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909BF313-2504-4657-A404-D606E75F2222}" xr6:coauthVersionLast="36" xr6:coauthVersionMax="36" xr10:uidLastSave="{00000000-0000-0000-0000-000000000000}"/>
  <bookViews>
    <workbookView xWindow="0" yWindow="0" windowWidth="28800" windowHeight="1209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가격및재고'!$2:$3</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60" i="6" l="1"/>
  <c r="Q7060" i="6"/>
  <c r="N138" i="10" l="1"/>
  <c r="K138" i="10"/>
  <c r="N116" i="10"/>
  <c r="K116" i="10"/>
  <c r="N38" i="10"/>
  <c r="K38" i="10"/>
  <c r="H3335" i="17"/>
  <c r="G3335" i="17"/>
  <c r="F3335" i="17"/>
  <c r="E3335" i="17"/>
  <c r="X7060" i="6"/>
  <c r="O7060" i="6"/>
  <c r="N7060" i="6"/>
  <c r="M7060" i="6"/>
  <c r="I7060" i="6"/>
  <c r="Q7059" i="6" l="1"/>
  <c r="W7059" i="6" s="1"/>
  <c r="F4268" i="13"/>
  <c r="E4268" i="13"/>
  <c r="F3334" i="17"/>
  <c r="E3334" i="17"/>
  <c r="X7059" i="6"/>
  <c r="M7059" i="6"/>
  <c r="I7059" i="6"/>
  <c r="W7058" i="6" l="1"/>
  <c r="Q7058" i="6"/>
  <c r="L1" i="10" l="1"/>
  <c r="F3333" i="17" l="1"/>
  <c r="E3333" i="17"/>
  <c r="X7058" i="6"/>
  <c r="M7058" i="6"/>
  <c r="I7058" i="6"/>
  <c r="W7057" i="6" l="1"/>
  <c r="Q7057" i="6"/>
  <c r="F3332" i="17"/>
  <c r="E3332" i="17"/>
  <c r="X7057" i="6"/>
  <c r="M7057" i="6"/>
  <c r="I7057" i="6"/>
  <c r="W7056" i="6" l="1"/>
  <c r="Q7056" i="6"/>
  <c r="F3331" i="17" l="1"/>
  <c r="E3331" i="17"/>
  <c r="X7056" i="6"/>
  <c r="M7056" i="6"/>
  <c r="I7056" i="6"/>
  <c r="W7055" i="6" l="1"/>
  <c r="Q7055" i="6"/>
  <c r="F3330" i="17"/>
  <c r="E3330" i="17"/>
  <c r="X7055" i="6"/>
  <c r="M7055" i="6"/>
  <c r="I7055" i="6"/>
  <c r="W7054" i="6" l="1"/>
  <c r="Q7054" i="6"/>
  <c r="F3329" i="17" l="1"/>
  <c r="E3329" i="17"/>
  <c r="X7054" i="6"/>
  <c r="M7054" i="6"/>
  <c r="I7054" i="6"/>
  <c r="Q7053" i="6" l="1"/>
  <c r="W7053" i="6" s="1"/>
  <c r="F3328" i="17" l="1"/>
  <c r="E3328" i="17"/>
  <c r="X7053" i="6"/>
  <c r="M7053" i="6"/>
  <c r="I7053" i="6"/>
  <c r="W7052" i="6" l="1"/>
  <c r="Q7052" i="6"/>
  <c r="F3327" i="17" l="1"/>
  <c r="E3327" i="17"/>
  <c r="F3326" i="17"/>
  <c r="E3326" i="17"/>
  <c r="F3325" i="17"/>
  <c r="E3325" i="17"/>
  <c r="X7052" i="6"/>
  <c r="M7052" i="6"/>
  <c r="I7052" i="6"/>
  <c r="Q7051" i="6"/>
  <c r="X7051" i="6"/>
  <c r="W7051" i="6"/>
  <c r="X7050" i="6"/>
  <c r="Q7050" i="6"/>
  <c r="W7050" i="6" s="1"/>
  <c r="M7051" i="6"/>
  <c r="I7051" i="6"/>
  <c r="M7050" i="6"/>
  <c r="I7050" i="6"/>
  <c r="Q7049" i="6"/>
  <c r="Q7048" i="6"/>
  <c r="Q7047" i="6"/>
  <c r="Q7045" i="6"/>
  <c r="Q7044" i="6"/>
  <c r="Q7043" i="6"/>
  <c r="Q7041" i="6"/>
  <c r="F3324" i="17" l="1"/>
  <c r="E3324" i="17"/>
  <c r="W7049" i="6"/>
  <c r="X7049" i="6"/>
  <c r="M7049" i="6"/>
  <c r="I7049" i="6"/>
  <c r="F3323" i="17" l="1"/>
  <c r="E3323" i="17"/>
  <c r="W7048" i="6"/>
  <c r="X7048" i="6"/>
  <c r="M7048" i="6"/>
  <c r="I7048" i="6"/>
  <c r="W7047" i="6" l="1"/>
  <c r="F3322" i="17"/>
  <c r="E3322" i="17"/>
  <c r="F3321" i="17"/>
  <c r="E3321" i="17"/>
  <c r="W7046" i="6"/>
  <c r="M7047" i="6"/>
  <c r="X7047" i="6"/>
  <c r="I7047" i="6"/>
  <c r="M7046" i="6"/>
  <c r="X7046" i="6"/>
  <c r="I7046" i="6"/>
  <c r="W7045" i="6" l="1"/>
  <c r="F3320" i="17"/>
  <c r="E3320" i="17"/>
  <c r="M7045" i="6"/>
  <c r="X7045" i="6"/>
  <c r="I7045" i="6"/>
  <c r="F3319" i="17" l="1"/>
  <c r="E3319" i="17"/>
  <c r="W7044" i="6"/>
  <c r="M7044" i="6"/>
  <c r="X7044" i="6"/>
  <c r="I7044" i="6"/>
  <c r="F3318" i="17" l="1"/>
  <c r="F3317" i="17"/>
  <c r="E3318" i="17"/>
  <c r="E3317" i="17"/>
  <c r="W7043" i="6"/>
  <c r="I7043" i="6"/>
  <c r="W7042" i="6"/>
  <c r="I7042" i="6"/>
  <c r="M7043" i="6"/>
  <c r="X7043" i="6"/>
  <c r="M7042" i="6"/>
  <c r="X7042" i="6"/>
  <c r="F4260" i="13" l="1"/>
  <c r="E4260" i="13"/>
  <c r="J138" i="10" s="1"/>
  <c r="K139" i="10" s="1"/>
  <c r="K98" i="10"/>
  <c r="K87" i="10"/>
  <c r="K63" i="10"/>
  <c r="F3316" i="17"/>
  <c r="F3315" i="17"/>
  <c r="E3316" i="17"/>
  <c r="H3315" i="17"/>
  <c r="G3315" i="17"/>
  <c r="J116" i="10" s="1"/>
  <c r="E3315" i="17"/>
  <c r="I7041" i="6"/>
  <c r="M7041" i="6"/>
  <c r="X7041" i="6"/>
  <c r="W7041" i="6"/>
  <c r="W7039" i="6"/>
  <c r="X7039" i="6"/>
  <c r="I7039" i="6"/>
  <c r="V7040" i="6"/>
  <c r="O7039" i="6"/>
  <c r="N7039" i="6"/>
  <c r="M7039" i="6"/>
  <c r="X7040" i="6" l="1"/>
  <c r="K117" i="10"/>
  <c r="Q7038" i="6"/>
  <c r="W7038" i="6" s="1"/>
  <c r="I7038" i="6"/>
  <c r="F3314" i="17"/>
  <c r="E3314" i="17"/>
  <c r="X7038" i="6"/>
  <c r="M7038" i="6"/>
  <c r="Q7037" i="6" l="1"/>
  <c r="W7037" i="6" s="1"/>
  <c r="J38" i="10" l="1"/>
  <c r="K39" i="10" s="1"/>
  <c r="F3313" i="17"/>
  <c r="E3313" i="17"/>
  <c r="X7037" i="6"/>
  <c r="M7037" i="6"/>
  <c r="I7037" i="6"/>
  <c r="Q7036" i="6" l="1"/>
  <c r="W7036" i="6" s="1"/>
  <c r="F3312" i="17"/>
  <c r="E3312" i="17"/>
  <c r="X7036" i="6"/>
  <c r="M7036" i="6"/>
  <c r="I7036" i="6"/>
  <c r="Q7035" i="6" l="1"/>
  <c r="W7035" i="6" s="1"/>
  <c r="F3311" i="17"/>
  <c r="E3311" i="17"/>
  <c r="X7035" i="6"/>
  <c r="M7035" i="6"/>
  <c r="I7035" i="6"/>
  <c r="Q7034" i="6" l="1"/>
  <c r="W7034" i="6" s="1"/>
  <c r="F3310" i="17" l="1"/>
  <c r="E3310" i="17"/>
  <c r="X7034" i="6"/>
  <c r="M7034" i="6"/>
  <c r="I7034" i="6"/>
  <c r="J98" i="10" l="1"/>
  <c r="J63" i="10"/>
  <c r="F3309" i="17"/>
  <c r="E3309" i="17"/>
  <c r="I3307" i="17"/>
  <c r="Q7033" i="6"/>
  <c r="W7033" i="6" s="1"/>
  <c r="X7033" i="6"/>
  <c r="I7033" i="6"/>
  <c r="M7033" i="6"/>
  <c r="Q7032" i="6" l="1"/>
  <c r="W7032" i="6" s="1"/>
  <c r="Q7031" i="6"/>
  <c r="W7031" i="6" s="1"/>
  <c r="F3308" i="17"/>
  <c r="E3308" i="17"/>
  <c r="I7032" i="6"/>
  <c r="M7032" i="6"/>
  <c r="F3307" i="17"/>
  <c r="E3307" i="17"/>
  <c r="I7031" i="6"/>
  <c r="M7031" i="6"/>
  <c r="F3306" i="17"/>
  <c r="E3306" i="17"/>
  <c r="I7030" i="6"/>
  <c r="M7030" i="6"/>
  <c r="I7029" i="6"/>
  <c r="M7029" i="6"/>
  <c r="F3305" i="17"/>
  <c r="E3305" i="17"/>
  <c r="F3304" i="17"/>
  <c r="E3304" i="17"/>
  <c r="I7028" i="6"/>
  <c r="M7028" i="6"/>
  <c r="F3303" i="17"/>
  <c r="E3303" i="17"/>
  <c r="X7032" i="6"/>
  <c r="X7031" i="6"/>
  <c r="X7030" i="6"/>
  <c r="W7030" i="6"/>
  <c r="X7029" i="6"/>
  <c r="W7029" i="6"/>
  <c r="X7028" i="6"/>
  <c r="W7028" i="6"/>
  <c r="X7027" i="6"/>
  <c r="W7027" i="6"/>
  <c r="I7027" i="6"/>
  <c r="M7027" i="6"/>
  <c r="Q7026" i="6" l="1"/>
  <c r="W7026" i="6" s="1"/>
  <c r="F3302" i="17" l="1"/>
  <c r="E3302" i="17"/>
  <c r="X7026" i="6"/>
  <c r="M7026" i="6"/>
  <c r="I7026" i="6"/>
  <c r="Q7025" i="6" l="1"/>
  <c r="W7025" i="6" s="1"/>
  <c r="X7025" i="6"/>
  <c r="F3301" i="17"/>
  <c r="E3301" i="17"/>
  <c r="M7025" i="6"/>
  <c r="I7025" i="6"/>
  <c r="Q7024" i="6" l="1"/>
  <c r="W7024" i="6" s="1"/>
  <c r="F3300" i="17" l="1"/>
  <c r="E3300" i="17"/>
  <c r="X7024" i="6"/>
  <c r="M7024" i="6"/>
  <c r="I7024" i="6"/>
  <c r="Q7023" i="6" l="1"/>
  <c r="W7023" i="6" s="1"/>
  <c r="F3299" i="17"/>
  <c r="E3299" i="17"/>
  <c r="X7023" i="6"/>
  <c r="M7023" i="6"/>
  <c r="I7023" i="6"/>
  <c r="Q7022" i="6" l="1"/>
  <c r="W7022" i="6" s="1"/>
  <c r="F3298" i="17"/>
  <c r="E3298" i="17"/>
  <c r="X7022" i="6"/>
  <c r="I7022" i="6"/>
  <c r="M7022" i="6"/>
  <c r="F2971" i="17" l="1"/>
  <c r="Q7021" i="6"/>
  <c r="W7021" i="6" s="1"/>
  <c r="F3297" i="17"/>
  <c r="E3297" i="17"/>
  <c r="X7021" i="6"/>
  <c r="M7021" i="6"/>
  <c r="I7021" i="6"/>
  <c r="Q7020" i="6" l="1"/>
  <c r="W7020" i="6" s="1"/>
  <c r="F3296" i="17"/>
  <c r="E3296" i="17"/>
  <c r="X7020" i="6"/>
  <c r="I7020" i="6"/>
  <c r="M7020" i="6"/>
  <c r="Q7019" i="6" l="1"/>
  <c r="W7019" i="6" s="1"/>
  <c r="I7019" i="6"/>
  <c r="V7018" i="6"/>
  <c r="X7019" i="6"/>
  <c r="F3295" i="17"/>
  <c r="E3295" i="17"/>
  <c r="M7019" i="6"/>
  <c r="J87" i="10" l="1"/>
  <c r="Q7017" i="6" l="1"/>
  <c r="W7017" i="6" s="1"/>
  <c r="E4252" i="13"/>
  <c r="I138" i="10" s="1"/>
  <c r="J139" i="10" s="1"/>
  <c r="F4252" i="13"/>
  <c r="G3294" i="17"/>
  <c r="H3294" i="17"/>
  <c r="F3294" i="17"/>
  <c r="E3294" i="17"/>
  <c r="X7017" i="6"/>
  <c r="I7017" i="6"/>
  <c r="O7017" i="6"/>
  <c r="N7017" i="6"/>
  <c r="M7017" i="6"/>
  <c r="X7018" i="6" l="1"/>
  <c r="Q7016" i="6"/>
  <c r="I116" i="10" l="1"/>
  <c r="J117" i="10" s="1"/>
  <c r="I38" i="10"/>
  <c r="J39" i="10" s="1"/>
  <c r="F3293" i="17"/>
  <c r="E3293" i="17"/>
  <c r="W7016" i="6"/>
  <c r="X7016" i="6"/>
  <c r="M7016" i="6"/>
  <c r="I7016" i="6"/>
  <c r="Q7015" i="6" l="1"/>
  <c r="W7015" i="6" s="1"/>
  <c r="F3292" i="17" l="1"/>
  <c r="E3292" i="17"/>
  <c r="X7015" i="6"/>
  <c r="M7015" i="6"/>
  <c r="I7015" i="6" l="1"/>
  <c r="Q7014" i="6" l="1"/>
  <c r="F3291" i="17" l="1"/>
  <c r="E3291" i="17"/>
  <c r="W7014" i="6"/>
  <c r="X7014" i="6"/>
  <c r="M7014" i="6"/>
  <c r="I7014" i="6"/>
  <c r="X7013" i="6" l="1"/>
  <c r="Q7013" i="6"/>
  <c r="W7013" i="6" l="1"/>
  <c r="Q7012" i="6" l="1"/>
  <c r="W7012" i="6" s="1"/>
  <c r="F3289" i="17"/>
  <c r="E3289" i="17"/>
  <c r="X7012" i="6"/>
  <c r="M7012" i="6"/>
  <c r="I7012" i="6"/>
  <c r="F3288" i="17" l="1"/>
  <c r="E3288" i="17"/>
  <c r="Q7011" i="6"/>
  <c r="W7011" i="6" s="1"/>
  <c r="X7011" i="6"/>
  <c r="I7011" i="6"/>
  <c r="M7011" i="6"/>
  <c r="Q7010" i="6" l="1"/>
  <c r="W7010" i="6" s="1"/>
  <c r="I7010" i="6"/>
  <c r="E3287" i="17"/>
  <c r="F3287" i="17"/>
  <c r="X7010" i="6"/>
  <c r="M7010" i="6"/>
  <c r="Q7009" i="6" l="1"/>
  <c r="W7009" i="6" s="1"/>
  <c r="I7009" i="6"/>
  <c r="X7009" i="6"/>
  <c r="F3286" i="17"/>
  <c r="E3286" i="17"/>
  <c r="M7009" i="6"/>
  <c r="Q7008" i="6" l="1"/>
  <c r="W7008" i="6" s="1"/>
  <c r="F3285" i="17"/>
  <c r="E3285" i="17"/>
  <c r="X7008" i="6"/>
  <c r="I7008" i="6"/>
  <c r="M7008" i="6"/>
  <c r="F3284" i="17" l="1"/>
  <c r="E3284" i="17"/>
  <c r="I7007" i="6"/>
  <c r="M7007" i="6"/>
  <c r="F3283" i="17"/>
  <c r="E3283" i="17"/>
  <c r="F3282" i="17"/>
  <c r="E3282" i="17"/>
  <c r="I7006" i="6"/>
  <c r="M7006" i="6"/>
  <c r="X7007" i="6"/>
  <c r="X7006" i="6"/>
  <c r="X7005" i="6"/>
  <c r="W7005" i="6"/>
  <c r="Q7007" i="6"/>
  <c r="W7007" i="6" s="1"/>
  <c r="Q7006" i="6"/>
  <c r="W7006" i="6" s="1"/>
  <c r="I7005" i="6"/>
  <c r="M7005" i="6"/>
  <c r="Q7004" i="6" l="1"/>
  <c r="W7004" i="6" s="1"/>
  <c r="F3281" i="17"/>
  <c r="E3281" i="17"/>
  <c r="X7004" i="6"/>
  <c r="M7004" i="6"/>
  <c r="I7004" i="6"/>
  <c r="Q7003" i="6" l="1"/>
  <c r="W7003" i="6" s="1"/>
  <c r="F3280" i="17"/>
  <c r="E3280" i="17"/>
  <c r="X7003" i="6"/>
  <c r="M7003" i="6"/>
  <c r="I7003" i="6"/>
  <c r="Q7002" i="6" l="1"/>
  <c r="W7002" i="6" s="1"/>
  <c r="F3279" i="17"/>
  <c r="E3279" i="17"/>
  <c r="X7002" i="6"/>
  <c r="M7002" i="6"/>
  <c r="I7002" i="6"/>
  <c r="Q7001" i="6"/>
  <c r="W7001" i="6" s="1"/>
  <c r="F3278" i="17"/>
  <c r="E3278" i="17"/>
  <c r="X7001" i="6"/>
  <c r="I7001" i="6"/>
  <c r="M7001" i="6"/>
  <c r="Q7000" i="6"/>
  <c r="W7000" i="6" s="1"/>
  <c r="F3277" i="17"/>
  <c r="E3277" i="17"/>
  <c r="I98" i="10"/>
  <c r="X7000" i="6"/>
  <c r="I7000" i="6"/>
  <c r="M7000" i="6"/>
  <c r="Q6999" i="6"/>
  <c r="W6999" i="6" s="1"/>
  <c r="X6999" i="6"/>
  <c r="M6999" i="6"/>
  <c r="F3276" i="17"/>
  <c r="E3276" i="17"/>
  <c r="I6999" i="6"/>
  <c r="Q6998" i="6"/>
  <c r="W6998" i="6" s="1"/>
  <c r="F3275" i="17"/>
  <c r="E3275" i="17"/>
  <c r="X6998" i="6"/>
  <c r="I6998" i="6"/>
  <c r="O6994" i="6"/>
  <c r="M6998" i="6"/>
  <c r="F4243" i="13"/>
  <c r="H3272" i="17"/>
  <c r="G3272" i="17"/>
  <c r="H116" i="10" s="1"/>
  <c r="I117" i="10" s="1"/>
  <c r="F3274" i="17"/>
  <c r="E3274" i="17"/>
  <c r="Q6997" i="6"/>
  <c r="W6997" i="6" s="1"/>
  <c r="X6997" i="6"/>
  <c r="I6997" i="6"/>
  <c r="M6997" i="6"/>
  <c r="Q6996" i="6"/>
  <c r="F3273" i="17"/>
  <c r="E3273" i="17"/>
  <c r="X6996" i="6"/>
  <c r="W6996" i="6"/>
  <c r="N6994" i="6"/>
  <c r="H38" i="10" s="1"/>
  <c r="I39" i="10" s="1"/>
  <c r="V6971" i="6"/>
  <c r="M6996" i="6"/>
  <c r="I6996" i="6"/>
  <c r="E4243" i="13"/>
  <c r="H138" i="10" s="1"/>
  <c r="I87" i="10"/>
  <c r="I63" i="10"/>
  <c r="Q6994" i="6"/>
  <c r="W6994" i="6" s="1"/>
  <c r="F3272" i="17"/>
  <c r="E3272" i="17"/>
  <c r="X6994" i="6"/>
  <c r="M6994" i="6"/>
  <c r="I6994" i="6"/>
  <c r="Q6993" i="6"/>
  <c r="W6993" i="6" s="1"/>
  <c r="F3271" i="17"/>
  <c r="E3271" i="17"/>
  <c r="X6993" i="6"/>
  <c r="M6993" i="6"/>
  <c r="I6993" i="6"/>
  <c r="Q6992" i="6"/>
  <c r="W6992" i="6" s="1"/>
  <c r="F3270" i="17"/>
  <c r="E3270" i="17"/>
  <c r="X6992" i="6"/>
  <c r="M6992" i="6"/>
  <c r="I6992" i="6"/>
  <c r="Q6991" i="6"/>
  <c r="W6991" i="6" s="1"/>
  <c r="F3269" i="17"/>
  <c r="E3269" i="17"/>
  <c r="X6991" i="6"/>
  <c r="M6991" i="6"/>
  <c r="I6991" i="6"/>
  <c r="Q6990" i="6"/>
  <c r="W6990" i="6" s="1"/>
  <c r="F3268" i="17"/>
  <c r="E3268" i="17"/>
  <c r="X6990" i="6"/>
  <c r="M6990" i="6"/>
  <c r="I6990" i="6"/>
  <c r="Q6989" i="6"/>
  <c r="W6989" i="6" s="1"/>
  <c r="F3267" i="17"/>
  <c r="E3267" i="17"/>
  <c r="Q6988" i="6"/>
  <c r="W6988" i="6" s="1"/>
  <c r="X6989" i="6"/>
  <c r="M6989" i="6"/>
  <c r="I6989" i="6"/>
  <c r="H87" i="10"/>
  <c r="F3259" i="17"/>
  <c r="F3266" i="17"/>
  <c r="E3266" i="17"/>
  <c r="I6988" i="6"/>
  <c r="X6988" i="6"/>
  <c r="M6988" i="6"/>
  <c r="F3265" i="17"/>
  <c r="E3265" i="17"/>
  <c r="Q6987" i="6"/>
  <c r="W6987" i="6" s="1"/>
  <c r="X6987" i="6"/>
  <c r="I6987" i="6"/>
  <c r="M6987" i="6"/>
  <c r="F4234" i="13"/>
  <c r="H3122" i="17"/>
  <c r="N115" i="10" s="1"/>
  <c r="H2864" i="17"/>
  <c r="N114" i="10" s="1"/>
  <c r="O6970" i="6"/>
  <c r="O6949" i="6"/>
  <c r="E3264" i="17"/>
  <c r="F3264" i="17"/>
  <c r="F3263" i="17"/>
  <c r="E3263" i="17"/>
  <c r="I6986" i="6"/>
  <c r="Q6986" i="6"/>
  <c r="W6986" i="6"/>
  <c r="M6986" i="6"/>
  <c r="Q6985" i="6"/>
  <c r="X6986" i="6"/>
  <c r="P6985" i="6"/>
  <c r="V6995" i="6" s="1"/>
  <c r="I6985" i="6"/>
  <c r="M6985" i="6"/>
  <c r="Q6984" i="6"/>
  <c r="W6984" i="6" s="1"/>
  <c r="F3262" i="17"/>
  <c r="E3262" i="17"/>
  <c r="X6984" i="6"/>
  <c r="M6984" i="6"/>
  <c r="I6984" i="6"/>
  <c r="Q6983" i="6"/>
  <c r="W6983" i="6" s="1"/>
  <c r="F3261" i="17"/>
  <c r="E3261" i="17"/>
  <c r="X6983" i="6"/>
  <c r="M6983" i="6"/>
  <c r="I6983" i="6"/>
  <c r="F3260" i="17"/>
  <c r="E3260" i="17"/>
  <c r="Q6982" i="6"/>
  <c r="W6982" i="6" s="1"/>
  <c r="X6982" i="6"/>
  <c r="M6982" i="6"/>
  <c r="I6982" i="6"/>
  <c r="Q6981" i="6"/>
  <c r="W6981" i="6" s="1"/>
  <c r="X6981" i="6"/>
  <c r="E3259" i="17"/>
  <c r="M6981" i="6"/>
  <c r="I6981" i="6"/>
  <c r="H63" i="10"/>
  <c r="F3258" i="17"/>
  <c r="E3258" i="17"/>
  <c r="Q6980" i="6"/>
  <c r="W6980" i="6" s="1"/>
  <c r="X6980" i="6"/>
  <c r="I6980" i="6"/>
  <c r="M6980" i="6"/>
  <c r="Q6979" i="6"/>
  <c r="F3257" i="17"/>
  <c r="E3257" i="17"/>
  <c r="X6979" i="6"/>
  <c r="W6979" i="6"/>
  <c r="I6979" i="6"/>
  <c r="M6979" i="6"/>
  <c r="Q6978" i="6"/>
  <c r="W6978" i="6" s="1"/>
  <c r="X6978" i="6"/>
  <c r="F3256" i="17"/>
  <c r="E3256" i="17"/>
  <c r="I6978" i="6"/>
  <c r="M6978" i="6"/>
  <c r="Q6977" i="6"/>
  <c r="W6977" i="6"/>
  <c r="F3255" i="17"/>
  <c r="E3255" i="17"/>
  <c r="X6977" i="6"/>
  <c r="I6977" i="6"/>
  <c r="M6977" i="6"/>
  <c r="H98" i="10"/>
  <c r="Q6976" i="6"/>
  <c r="W6976" i="6" s="1"/>
  <c r="F3254" i="17"/>
  <c r="E3254" i="17"/>
  <c r="X6976" i="6"/>
  <c r="I6976" i="6"/>
  <c r="M6976" i="6"/>
  <c r="Q6975" i="6"/>
  <c r="W6975" i="6" s="1"/>
  <c r="F3253" i="17"/>
  <c r="E3253" i="17"/>
  <c r="X6975" i="6"/>
  <c r="M6975" i="6"/>
  <c r="I6975" i="6"/>
  <c r="Q6974" i="6"/>
  <c r="W6974" i="6" s="1"/>
  <c r="F3252" i="17"/>
  <c r="E3252" i="17"/>
  <c r="X6974" i="6"/>
  <c r="M6974" i="6"/>
  <c r="I6974" i="6"/>
  <c r="Q6973" i="6"/>
  <c r="W6973" i="6" s="1"/>
  <c r="F3251" i="17"/>
  <c r="E3251" i="17"/>
  <c r="X6973" i="6"/>
  <c r="M6973" i="6"/>
  <c r="I6973" i="6"/>
  <c r="Q6972" i="6"/>
  <c r="W6972" i="6" s="1"/>
  <c r="F3250" i="17"/>
  <c r="E3250" i="17"/>
  <c r="X6972" i="6"/>
  <c r="M6972" i="6"/>
  <c r="I6972" i="6"/>
  <c r="Q6970" i="6"/>
  <c r="W6970" i="6" s="1"/>
  <c r="E4234" i="13"/>
  <c r="G138" i="10" s="1"/>
  <c r="G38" i="10"/>
  <c r="H3249" i="17"/>
  <c r="G3249" i="17"/>
  <c r="G116" i="10" s="1"/>
  <c r="F3249" i="17"/>
  <c r="E3249" i="17"/>
  <c r="X6970" i="6"/>
  <c r="N6970" i="6"/>
  <c r="M6970" i="6"/>
  <c r="I6970" i="6"/>
  <c r="Q6969" i="6"/>
  <c r="W6969" i="6" s="1"/>
  <c r="F3248" i="17"/>
  <c r="E3248" i="17"/>
  <c r="X6969" i="6"/>
  <c r="M6969" i="6"/>
  <c r="I6969" i="6"/>
  <c r="Q6968" i="6"/>
  <c r="W6968" i="6" s="1"/>
  <c r="F3247" i="17"/>
  <c r="E3247" i="17"/>
  <c r="X6968" i="6"/>
  <c r="M6968" i="6"/>
  <c r="I6968" i="6"/>
  <c r="F3246" i="17"/>
  <c r="E3246" i="17"/>
  <c r="I6967" i="6"/>
  <c r="M6967" i="6"/>
  <c r="X6967" i="6"/>
  <c r="Q6967" i="6"/>
  <c r="W6967" i="6" s="1"/>
  <c r="Q6966" i="6"/>
  <c r="W6966" i="6" s="1"/>
  <c r="F3245" i="17"/>
  <c r="E3245" i="17"/>
  <c r="X6966" i="6"/>
  <c r="M6966" i="6"/>
  <c r="I6966" i="6"/>
  <c r="Q6965" i="6"/>
  <c r="W6965" i="6"/>
  <c r="M6965" i="6"/>
  <c r="X6965" i="6"/>
  <c r="I6965" i="6"/>
  <c r="F3244" i="17"/>
  <c r="E3244" i="17"/>
  <c r="F3243" i="17"/>
  <c r="E3243" i="17"/>
  <c r="Q6964" i="6"/>
  <c r="W6964" i="6" s="1"/>
  <c r="X6964" i="6"/>
  <c r="I6964" i="6"/>
  <c r="M6964" i="6"/>
  <c r="Q6963" i="6"/>
  <c r="W6963" i="6" s="1"/>
  <c r="F3242" i="17"/>
  <c r="E3242" i="17"/>
  <c r="X6963" i="6"/>
  <c r="M6963" i="6"/>
  <c r="I6963" i="6"/>
  <c r="Q6962" i="6"/>
  <c r="W6962" i="6" s="1"/>
  <c r="F3241" i="17"/>
  <c r="E3241" i="17"/>
  <c r="X6962" i="6"/>
  <c r="M6962" i="6"/>
  <c r="I6962" i="6"/>
  <c r="Q6961" i="6"/>
  <c r="W6961" i="6" s="1"/>
  <c r="F3240" i="17"/>
  <c r="E3240" i="17"/>
  <c r="X6961" i="6"/>
  <c r="M6961" i="6"/>
  <c r="I6961" i="6"/>
  <c r="Q6960" i="6"/>
  <c r="W6960" i="6" s="1"/>
  <c r="F3239" i="17"/>
  <c r="E3239" i="17"/>
  <c r="X6960" i="6"/>
  <c r="M6960" i="6"/>
  <c r="I6960" i="6"/>
  <c r="F3238" i="17"/>
  <c r="E3238" i="17"/>
  <c r="I6959" i="6"/>
  <c r="Q6959" i="6"/>
  <c r="W6959" i="6" s="1"/>
  <c r="X6959" i="6"/>
  <c r="G87" i="10"/>
  <c r="M6959" i="6"/>
  <c r="Q6958" i="6"/>
  <c r="W6958" i="6"/>
  <c r="F3237" i="17"/>
  <c r="E3237" i="17"/>
  <c r="X6958" i="6"/>
  <c r="I6958" i="6"/>
  <c r="M6958" i="6"/>
  <c r="Q6957" i="6"/>
  <c r="W6957" i="6" s="1"/>
  <c r="F3236" i="17"/>
  <c r="E3236" i="17"/>
  <c r="I6957" i="6"/>
  <c r="M6957" i="6"/>
  <c r="X6957" i="6"/>
  <c r="F3235" i="17"/>
  <c r="E3235" i="17"/>
  <c r="Q6956" i="6"/>
  <c r="W6956" i="6" s="1"/>
  <c r="X6956" i="6"/>
  <c r="I6956" i="6"/>
  <c r="M6956" i="6"/>
  <c r="Q6955" i="6"/>
  <c r="W6955" i="6" s="1"/>
  <c r="X6955" i="6"/>
  <c r="F3234" i="17"/>
  <c r="E3234" i="17"/>
  <c r="I6955" i="6"/>
  <c r="M6955" i="6"/>
  <c r="Q6954" i="6"/>
  <c r="W6954" i="6" s="1"/>
  <c r="X6954" i="6"/>
  <c r="X6953" i="6"/>
  <c r="W6953" i="6"/>
  <c r="I6954" i="6"/>
  <c r="I6953" i="6"/>
  <c r="F3233" i="17"/>
  <c r="E3233" i="17"/>
  <c r="F3232" i="17"/>
  <c r="E3232" i="17"/>
  <c r="M6954" i="6"/>
  <c r="M6953" i="6"/>
  <c r="Q6952" i="6"/>
  <c r="W6952" i="6" s="1"/>
  <c r="F3231" i="17"/>
  <c r="E3231" i="17"/>
  <c r="X6952" i="6"/>
  <c r="M6952" i="6"/>
  <c r="I6952" i="6"/>
  <c r="Q6951" i="6"/>
  <c r="W6951" i="6" s="1"/>
  <c r="F3230" i="17"/>
  <c r="E3230" i="17"/>
  <c r="X6951" i="6"/>
  <c r="M6951" i="6"/>
  <c r="N6949" i="6"/>
  <c r="F38" i="10" s="1"/>
  <c r="X6945" i="6"/>
  <c r="I6951" i="6"/>
  <c r="G63" i="10"/>
  <c r="G98" i="10"/>
  <c r="Q6949" i="6"/>
  <c r="W6949" i="6" s="1"/>
  <c r="E138" i="10"/>
  <c r="E4226" i="13"/>
  <c r="F138" i="10" s="1"/>
  <c r="H3229" i="17"/>
  <c r="G3229" i="17"/>
  <c r="F116" i="10" s="1"/>
  <c r="F3229" i="17"/>
  <c r="E3229" i="17"/>
  <c r="X6949" i="6"/>
  <c r="M6949" i="6"/>
  <c r="I6949" i="6"/>
  <c r="F3228" i="17"/>
  <c r="E3228" i="17"/>
  <c r="Q6948" i="6"/>
  <c r="W6948" i="6" s="1"/>
  <c r="X6948" i="6"/>
  <c r="I6948" i="6"/>
  <c r="M6948" i="6"/>
  <c r="F3226" i="17"/>
  <c r="F3227" i="17"/>
  <c r="E3227" i="17"/>
  <c r="X6947" i="6"/>
  <c r="Q6947" i="6"/>
  <c r="W6947" i="6" s="1"/>
  <c r="I6947" i="6"/>
  <c r="M6947" i="6"/>
  <c r="E3226" i="17"/>
  <c r="Q6946" i="6"/>
  <c r="W6946" i="6"/>
  <c r="X6946" i="6"/>
  <c r="M6946" i="6"/>
  <c r="I6946" i="6"/>
  <c r="X6944" i="6"/>
  <c r="Q6945" i="6"/>
  <c r="W6945" i="6" s="1"/>
  <c r="Q6944" i="6"/>
  <c r="W6944" i="6" s="1"/>
  <c r="F3224" i="17"/>
  <c r="E3224" i="17"/>
  <c r="I6944" i="6"/>
  <c r="M6944" i="6"/>
  <c r="Q6943" i="6"/>
  <c r="W6943" i="6" s="1"/>
  <c r="F3223" i="17"/>
  <c r="E3223" i="17"/>
  <c r="X6943" i="6"/>
  <c r="M6943" i="6"/>
  <c r="I6943" i="6"/>
  <c r="Q6942" i="6"/>
  <c r="W6942" i="6" s="1"/>
  <c r="F3222" i="17"/>
  <c r="E3222" i="17"/>
  <c r="X6942" i="6"/>
  <c r="M6942" i="6"/>
  <c r="I6942" i="6"/>
  <c r="Q6941" i="6"/>
  <c r="W6941" i="6" s="1"/>
  <c r="F3221" i="17"/>
  <c r="E3221" i="17"/>
  <c r="X6941" i="6"/>
  <c r="M6941" i="6"/>
  <c r="I6941" i="6"/>
  <c r="Q6940" i="6"/>
  <c r="W6940" i="6" s="1"/>
  <c r="F3220" i="17"/>
  <c r="E3220" i="17"/>
  <c r="X6940" i="6"/>
  <c r="M6940" i="6"/>
  <c r="I6940" i="6"/>
  <c r="Q6939" i="6"/>
  <c r="W6939" i="6" s="1"/>
  <c r="F3219" i="17"/>
  <c r="E3219" i="17"/>
  <c r="X6939" i="6"/>
  <c r="M6939" i="6"/>
  <c r="I6939" i="6"/>
  <c r="Q6938" i="6"/>
  <c r="W6938" i="6" s="1"/>
  <c r="I6938" i="6"/>
  <c r="X6938" i="6"/>
  <c r="F3218" i="17"/>
  <c r="E3218" i="17"/>
  <c r="M6938" i="6"/>
  <c r="Q6937" i="6"/>
  <c r="W6937" i="6" s="1"/>
  <c r="I6937" i="6"/>
  <c r="X6937" i="6"/>
  <c r="M6937" i="6"/>
  <c r="P6936" i="6"/>
  <c r="F3217" i="17"/>
  <c r="E3217" i="17"/>
  <c r="I3216" i="17"/>
  <c r="F3216" i="17"/>
  <c r="E3216" i="17"/>
  <c r="I6936" i="6"/>
  <c r="M6936" i="6"/>
  <c r="Q6935" i="6"/>
  <c r="W6935" i="6" s="1"/>
  <c r="F3215" i="17"/>
  <c r="E3215" i="17"/>
  <c r="X6935" i="6"/>
  <c r="I6935" i="6"/>
  <c r="M6935" i="6"/>
  <c r="X6904" i="6"/>
  <c r="W6904" i="6"/>
  <c r="X6902" i="6"/>
  <c r="W6902" i="6"/>
  <c r="Q6934" i="6"/>
  <c r="W6934" i="6" s="1"/>
  <c r="X6934" i="6"/>
  <c r="F3214" i="17"/>
  <c r="E3214" i="17"/>
  <c r="I6934" i="6"/>
  <c r="M6934" i="6"/>
  <c r="Q6933" i="6"/>
  <c r="F3213" i="17"/>
  <c r="E3213" i="17"/>
  <c r="X6933" i="6"/>
  <c r="W6933" i="6"/>
  <c r="M6933" i="6"/>
  <c r="I6933" i="6"/>
  <c r="Q6932" i="6"/>
  <c r="W6932" i="6" s="1"/>
  <c r="F3212" i="17"/>
  <c r="E3212" i="17"/>
  <c r="X6932" i="6"/>
  <c r="M6932" i="6"/>
  <c r="I6932" i="6"/>
  <c r="Q6931" i="6"/>
  <c r="W6931" i="6" s="1"/>
  <c r="F3211" i="17"/>
  <c r="E3211" i="17"/>
  <c r="X6931" i="6"/>
  <c r="M6931" i="6"/>
  <c r="I6931" i="6"/>
  <c r="Q6929" i="6"/>
  <c r="F3209" i="17"/>
  <c r="E3209" i="17"/>
  <c r="M6929" i="6"/>
  <c r="I6929" i="6"/>
  <c r="Q6928" i="6"/>
  <c r="F3208" i="17"/>
  <c r="E3208" i="17"/>
  <c r="M6928" i="6"/>
  <c r="I6928" i="6"/>
  <c r="E139" i="10"/>
  <c r="Q6927" i="6"/>
  <c r="F98" i="10"/>
  <c r="F87" i="10"/>
  <c r="F63" i="10"/>
  <c r="G3206" i="17"/>
  <c r="E116" i="10" s="1"/>
  <c r="H3206" i="17"/>
  <c r="O6925" i="6"/>
  <c r="N6925" i="6"/>
  <c r="E38" i="10" s="1"/>
  <c r="V6926" i="6"/>
  <c r="X6925" i="6"/>
  <c r="F3206" i="17"/>
  <c r="F3207" i="17"/>
  <c r="E3207" i="17"/>
  <c r="E3206" i="17"/>
  <c r="M6927" i="6"/>
  <c r="M6925" i="6"/>
  <c r="I6925" i="6"/>
  <c r="I6927" i="6"/>
  <c r="F3205" i="17"/>
  <c r="E3205" i="17"/>
  <c r="Q6924" i="6"/>
  <c r="W6924" i="6" s="1"/>
  <c r="X6924" i="6"/>
  <c r="I6924" i="6"/>
  <c r="M6924" i="6"/>
  <c r="Q6923" i="6"/>
  <c r="W6923" i="6"/>
  <c r="F3204" i="17"/>
  <c r="E3204" i="17"/>
  <c r="X6923" i="6"/>
  <c r="M6923" i="6"/>
  <c r="I6923" i="6"/>
  <c r="F3203" i="17"/>
  <c r="E3203" i="17"/>
  <c r="X6922" i="6"/>
  <c r="Q6922" i="6"/>
  <c r="W6922" i="6" s="1"/>
  <c r="M6922" i="6"/>
  <c r="I6922" i="6"/>
  <c r="Q6921" i="6"/>
  <c r="W6921" i="6" s="1"/>
  <c r="F3202" i="17"/>
  <c r="F3201" i="17"/>
  <c r="E3202" i="17"/>
  <c r="X6921" i="6"/>
  <c r="I6921" i="6"/>
  <c r="M6921" i="6"/>
  <c r="Q6920" i="6"/>
  <c r="W6920" i="6" s="1"/>
  <c r="E3201" i="17"/>
  <c r="X6920" i="6"/>
  <c r="I6920" i="6"/>
  <c r="M6920" i="6"/>
  <c r="F3200" i="17"/>
  <c r="E3200" i="17"/>
  <c r="X6919" i="6"/>
  <c r="Q6919" i="6"/>
  <c r="W6919" i="6" s="1"/>
  <c r="I6919" i="6"/>
  <c r="M6919" i="6"/>
  <c r="Q6918" i="6"/>
  <c r="W6918" i="6" s="1"/>
  <c r="F3199" i="17"/>
  <c r="E3199" i="17"/>
  <c r="X6918" i="6"/>
  <c r="M6918" i="6"/>
  <c r="I6918" i="6"/>
  <c r="F3198" i="17"/>
  <c r="E3198" i="17"/>
  <c r="Q6917" i="6"/>
  <c r="W6917" i="6" s="1"/>
  <c r="X6917" i="6"/>
  <c r="I6917" i="6"/>
  <c r="M6917" i="6"/>
  <c r="Q6916" i="6"/>
  <c r="W6916" i="6" s="1"/>
  <c r="F3197" i="17"/>
  <c r="E3197" i="17"/>
  <c r="I6916" i="6"/>
  <c r="X6916" i="6"/>
  <c r="M6916" i="6"/>
  <c r="Q6915" i="6"/>
  <c r="W6915" i="6" s="1"/>
  <c r="F3196" i="17"/>
  <c r="E3196" i="17"/>
  <c r="X6915" i="6"/>
  <c r="M6915" i="6"/>
  <c r="I6915" i="6"/>
  <c r="Q6914" i="6"/>
  <c r="W6914" i="6" s="1"/>
  <c r="X6914" i="6"/>
  <c r="F3195" i="17"/>
  <c r="E3195" i="17"/>
  <c r="M6914" i="6"/>
  <c r="I6914" i="6"/>
  <c r="Q6913" i="6"/>
  <c r="W6913" i="6" s="1"/>
  <c r="F3194" i="17"/>
  <c r="E3194" i="17"/>
  <c r="M6913" i="6"/>
  <c r="X6913" i="6"/>
  <c r="I6913" i="6"/>
  <c r="I6912" i="6"/>
  <c r="M6912" i="6"/>
  <c r="X6912" i="6"/>
  <c r="Q6912" i="6"/>
  <c r="W6912" i="6" s="1"/>
  <c r="F3193" i="17"/>
  <c r="E3193" i="17"/>
  <c r="W6910" i="6"/>
  <c r="Q6911" i="6"/>
  <c r="W6911" i="6" s="1"/>
  <c r="M6911" i="6"/>
  <c r="X6911" i="6"/>
  <c r="I6911" i="6"/>
  <c r="F3192" i="17"/>
  <c r="F3186" i="17"/>
  <c r="E3192" i="17"/>
  <c r="F3190" i="17"/>
  <c r="F3191" i="17"/>
  <c r="E3191" i="17"/>
  <c r="I3191" i="17"/>
  <c r="X6910" i="6"/>
  <c r="I6910" i="6"/>
  <c r="M6910" i="6"/>
  <c r="E3190" i="17"/>
  <c r="Q6909" i="6"/>
  <c r="W6909" i="6" s="1"/>
  <c r="I6909" i="6"/>
  <c r="M6909" i="6"/>
  <c r="X6909" i="6"/>
  <c r="Q6908" i="6"/>
  <c r="W6908" i="6" s="1"/>
  <c r="D139" i="10"/>
  <c r="E4199" i="13"/>
  <c r="E4208" i="13"/>
  <c r="F3189" i="17"/>
  <c r="E3189" i="17"/>
  <c r="X6908" i="6"/>
  <c r="I6908" i="6"/>
  <c r="M6908" i="6"/>
  <c r="Q6907" i="6"/>
  <c r="W6907" i="6" s="1"/>
  <c r="F3188" i="17"/>
  <c r="E3188" i="17"/>
  <c r="X6907" i="6"/>
  <c r="M6907" i="6"/>
  <c r="I6907" i="6"/>
  <c r="E87" i="10"/>
  <c r="Q6906" i="6"/>
  <c r="W6906" i="6" s="1"/>
  <c r="F3187" i="17"/>
  <c r="E3187" i="17"/>
  <c r="X6906" i="6"/>
  <c r="M6906" i="6"/>
  <c r="I6906" i="6"/>
  <c r="E98" i="10"/>
  <c r="E63" i="10"/>
  <c r="Q6905" i="6"/>
  <c r="W6905" i="6" s="1"/>
  <c r="E3186" i="17"/>
  <c r="X6905" i="6"/>
  <c r="M6905" i="6"/>
  <c r="I6905" i="6"/>
  <c r="V6903" i="6"/>
  <c r="Q6901" i="6"/>
  <c r="W6901" i="6" s="1"/>
  <c r="H3185" i="17"/>
  <c r="G3185" i="17"/>
  <c r="D116" i="10"/>
  <c r="D117" i="10" s="1"/>
  <c r="F3185" i="17"/>
  <c r="E3185" i="17"/>
  <c r="X6901" i="6"/>
  <c r="O6901" i="6"/>
  <c r="N6901" i="6"/>
  <c r="D38" i="10" s="1"/>
  <c r="M6901" i="6"/>
  <c r="I6901" i="6"/>
  <c r="Q6900" i="6"/>
  <c r="W6900" i="6" s="1"/>
  <c r="F3184" i="17"/>
  <c r="E3184" i="17"/>
  <c r="X6900" i="6"/>
  <c r="I6900" i="6"/>
  <c r="M6900" i="6"/>
  <c r="Q6899" i="6"/>
  <c r="W6899" i="6"/>
  <c r="F3183" i="17"/>
  <c r="E3183" i="17"/>
  <c r="X6899" i="6"/>
  <c r="M6899" i="6"/>
  <c r="I6899" i="6"/>
  <c r="Q6898" i="6"/>
  <c r="W6898" i="6" s="1"/>
  <c r="F3182" i="17"/>
  <c r="E3182" i="17"/>
  <c r="X6898" i="6"/>
  <c r="M6898" i="6"/>
  <c r="I6898" i="6"/>
  <c r="Q6897" i="6"/>
  <c r="W6897" i="6" s="1"/>
  <c r="F3181" i="17"/>
  <c r="E3181" i="17"/>
  <c r="X6897" i="6"/>
  <c r="M6897" i="6"/>
  <c r="I6897" i="6"/>
  <c r="Q6896" i="6"/>
  <c r="W6896" i="6" s="1"/>
  <c r="F3180" i="17"/>
  <c r="E3180" i="17"/>
  <c r="X6896" i="6"/>
  <c r="I6896" i="6"/>
  <c r="M6896" i="6"/>
  <c r="Q6895" i="6"/>
  <c r="W6895" i="6" s="1"/>
  <c r="F3179" i="17"/>
  <c r="E3179" i="17"/>
  <c r="X6895" i="6"/>
  <c r="I6895" i="6"/>
  <c r="M6895" i="6"/>
  <c r="Q6894" i="6"/>
  <c r="W6894" i="6" s="1"/>
  <c r="X6894" i="6"/>
  <c r="F3178" i="17"/>
  <c r="E3178" i="17"/>
  <c r="I6894" i="6"/>
  <c r="M6894" i="6"/>
  <c r="Q6893" i="6"/>
  <c r="W6893" i="6" s="1"/>
  <c r="F3177" i="17"/>
  <c r="E3177" i="17"/>
  <c r="X6893" i="6"/>
  <c r="M6893" i="6"/>
  <c r="I6893" i="6"/>
  <c r="Q6892" i="6"/>
  <c r="W6892" i="6"/>
  <c r="F3176" i="17"/>
  <c r="E3176" i="17"/>
  <c r="X6892" i="6"/>
  <c r="M6892" i="6"/>
  <c r="I6892" i="6"/>
  <c r="Q6891" i="6"/>
  <c r="W6891" i="6" s="1"/>
  <c r="F3175" i="17"/>
  <c r="E3175" i="17"/>
  <c r="X6891" i="6"/>
  <c r="M6891" i="6"/>
  <c r="I6891" i="6"/>
  <c r="Q6890" i="6"/>
  <c r="W6890" i="6" s="1"/>
  <c r="F3174" i="17"/>
  <c r="E3174" i="17"/>
  <c r="X6890" i="6"/>
  <c r="M6890" i="6"/>
  <c r="I6890" i="6"/>
  <c r="Q6889" i="6"/>
  <c r="W6889" i="6" s="1"/>
  <c r="E3173" i="17"/>
  <c r="X6889" i="6"/>
  <c r="I6889" i="6"/>
  <c r="F3173" i="17"/>
  <c r="M6889" i="6"/>
  <c r="Q6888" i="6"/>
  <c r="W6888" i="6" s="1"/>
  <c r="E3172" i="17"/>
  <c r="X6888" i="6"/>
  <c r="I6888" i="6"/>
  <c r="F3172" i="17"/>
  <c r="M6888" i="6"/>
  <c r="Q6887" i="6"/>
  <c r="W6887" i="6" s="1"/>
  <c r="F3171" i="17"/>
  <c r="E3171" i="17"/>
  <c r="X6887" i="6"/>
  <c r="I6887" i="6"/>
  <c r="M6887" i="6"/>
  <c r="Q6886" i="6"/>
  <c r="W6886" i="6" s="1"/>
  <c r="F3170" i="17"/>
  <c r="E3170" i="17"/>
  <c r="X6886" i="6"/>
  <c r="M6886" i="6"/>
  <c r="I6886" i="6"/>
  <c r="Q6885" i="6"/>
  <c r="W6885" i="6" s="1"/>
  <c r="F3169" i="17"/>
  <c r="E3169" i="17"/>
  <c r="X6885" i="6"/>
  <c r="I6885" i="6"/>
  <c r="M6885" i="6"/>
  <c r="Q6884" i="6"/>
  <c r="W6884" i="6" s="1"/>
  <c r="F3168" i="17"/>
  <c r="E3168" i="17"/>
  <c r="X6884" i="6"/>
  <c r="I6884" i="6"/>
  <c r="M6884" i="6"/>
  <c r="Q6883" i="6"/>
  <c r="W6883" i="6" s="1"/>
  <c r="F3167" i="17"/>
  <c r="E3167" i="17"/>
  <c r="X6883" i="6"/>
  <c r="I6883" i="6"/>
  <c r="M6883" i="6"/>
  <c r="Q6882" i="6"/>
  <c r="W6882" i="6" s="1"/>
  <c r="D98" i="10"/>
  <c r="D87" i="10"/>
  <c r="D63" i="10"/>
  <c r="C139" i="10"/>
  <c r="C62" i="10"/>
  <c r="C97" i="10"/>
  <c r="C98" i="10" s="1"/>
  <c r="C86" i="10"/>
  <c r="C87" i="10" s="1"/>
  <c r="F3166" i="17"/>
  <c r="E3166" i="17"/>
  <c r="H3165" i="17"/>
  <c r="G3165" i="17"/>
  <c r="F3165" i="17"/>
  <c r="E3165" i="17"/>
  <c r="X6882" i="6"/>
  <c r="I6882" i="6"/>
  <c r="M6882" i="6"/>
  <c r="V6881" i="6"/>
  <c r="X6880" i="6"/>
  <c r="W6880" i="6"/>
  <c r="O6880" i="6"/>
  <c r="N6880" i="6"/>
  <c r="M6880" i="6"/>
  <c r="I6880" i="6"/>
  <c r="Q6879" i="6"/>
  <c r="W6879" i="6" s="1"/>
  <c r="F3164" i="17"/>
  <c r="E3164" i="17"/>
  <c r="X6879" i="6"/>
  <c r="M6879" i="6"/>
  <c r="I6879" i="6"/>
  <c r="Q6878" i="6"/>
  <c r="W6878" i="6" s="1"/>
  <c r="F3163" i="17"/>
  <c r="E3163" i="17"/>
  <c r="X6878" i="6"/>
  <c r="N6858" i="6"/>
  <c r="M6878" i="6"/>
  <c r="I6878" i="6"/>
  <c r="Q6877" i="6"/>
  <c r="W6877" i="6" s="1"/>
  <c r="F3162" i="17"/>
  <c r="E3162" i="17"/>
  <c r="X6877" i="6"/>
  <c r="M6877" i="6"/>
  <c r="I6877" i="6"/>
  <c r="Q6876" i="6"/>
  <c r="W6876" i="6" s="1"/>
  <c r="F3161" i="17"/>
  <c r="E3161" i="17"/>
  <c r="X6876" i="6"/>
  <c r="M6876" i="6"/>
  <c r="I6876" i="6"/>
  <c r="Q6875" i="6"/>
  <c r="W6875" i="6" s="1"/>
  <c r="I6875" i="6"/>
  <c r="M6875" i="6"/>
  <c r="X6875" i="6"/>
  <c r="F3160" i="17"/>
  <c r="E3160" i="17"/>
  <c r="F3159" i="17"/>
  <c r="E3159" i="17"/>
  <c r="Q6874" i="6"/>
  <c r="W6874" i="6" s="1"/>
  <c r="X6874" i="6"/>
  <c r="I6874" i="6"/>
  <c r="M6874" i="6"/>
  <c r="F3158" i="17"/>
  <c r="E3158" i="17"/>
  <c r="Q6873" i="6"/>
  <c r="W6873" i="6" s="1"/>
  <c r="X6873" i="6"/>
  <c r="M6873" i="6"/>
  <c r="I6873" i="6"/>
  <c r="Q6872" i="6"/>
  <c r="W6872" i="6" s="1"/>
  <c r="F3157" i="17"/>
  <c r="E3157" i="17"/>
  <c r="M6872" i="6"/>
  <c r="X6872" i="6"/>
  <c r="I6872" i="6"/>
  <c r="F3156" i="17"/>
  <c r="E3156" i="17"/>
  <c r="X6866" i="6"/>
  <c r="X6865" i="6"/>
  <c r="W6866" i="6"/>
  <c r="W6865" i="6"/>
  <c r="Q6871" i="6"/>
  <c r="W6871" i="6" s="1"/>
  <c r="I6871" i="6"/>
  <c r="M6871" i="6"/>
  <c r="X6871" i="6"/>
  <c r="X6870" i="6"/>
  <c r="Q6870" i="6"/>
  <c r="W6870" i="6" s="1"/>
  <c r="F3155" i="17"/>
  <c r="E3155" i="17"/>
  <c r="M6870" i="6"/>
  <c r="I6870" i="6"/>
  <c r="X6869" i="6"/>
  <c r="Q6869" i="6"/>
  <c r="W6869" i="6" s="1"/>
  <c r="F3154" i="17"/>
  <c r="E3154" i="17"/>
  <c r="M6869" i="6"/>
  <c r="I6869" i="6"/>
  <c r="X6868" i="6"/>
  <c r="Q6868" i="6"/>
  <c r="W6868" i="6" s="1"/>
  <c r="F3153" i="17"/>
  <c r="E3153" i="17"/>
  <c r="M6868" i="6"/>
  <c r="I6868" i="6"/>
  <c r="D36" i="10"/>
  <c r="C36" i="10"/>
  <c r="F3150" i="17"/>
  <c r="F3151" i="17"/>
  <c r="F3152" i="17"/>
  <c r="E3152" i="17"/>
  <c r="E3151" i="17"/>
  <c r="E3150" i="17"/>
  <c r="X6867" i="6"/>
  <c r="Q6867" i="6"/>
  <c r="W6867" i="6" s="1"/>
  <c r="I6867" i="6"/>
  <c r="M6867" i="6"/>
  <c r="M6866" i="6"/>
  <c r="M6865" i="6"/>
  <c r="I6866" i="6"/>
  <c r="I6865" i="6"/>
  <c r="Q6864" i="6"/>
  <c r="W6864" i="6" s="1"/>
  <c r="F3149" i="17"/>
  <c r="E3149" i="17"/>
  <c r="I6864" i="6"/>
  <c r="X6864" i="6"/>
  <c r="M6864" i="6"/>
  <c r="N6609" i="6"/>
  <c r="F3148" i="17"/>
  <c r="E3148" i="17"/>
  <c r="Q6863" i="6"/>
  <c r="W6863" i="6" s="1"/>
  <c r="X6863" i="6"/>
  <c r="M6863" i="6"/>
  <c r="I6863" i="6"/>
  <c r="F3147" i="17"/>
  <c r="E3147" i="17"/>
  <c r="Q6862" i="6"/>
  <c r="W6862" i="6" s="1"/>
  <c r="I6862" i="6"/>
  <c r="X6862" i="6"/>
  <c r="M6862" i="6"/>
  <c r="F3146" i="17"/>
  <c r="E3146" i="17"/>
  <c r="Q6861" i="6"/>
  <c r="W6861" i="6" s="1"/>
  <c r="X6861" i="6"/>
  <c r="M6861" i="6"/>
  <c r="I6861" i="6"/>
  <c r="B39" i="10"/>
  <c r="C39" i="10"/>
  <c r="C117" i="10"/>
  <c r="F3144" i="17"/>
  <c r="F3145" i="17"/>
  <c r="E3145" i="17"/>
  <c r="Q6860" i="6"/>
  <c r="W6860" i="6" s="1"/>
  <c r="X6860" i="6"/>
  <c r="I6860" i="6"/>
  <c r="M6860" i="6"/>
  <c r="V6859" i="6"/>
  <c r="C63" i="10"/>
  <c r="Q6858" i="6"/>
  <c r="W6858" i="6" s="1"/>
  <c r="E3144" i="17"/>
  <c r="H3144" i="17"/>
  <c r="G3144" i="17"/>
  <c r="X6858" i="6"/>
  <c r="O6858" i="6"/>
  <c r="M6858" i="6"/>
  <c r="I6858" i="6"/>
  <c r="F3143" i="17"/>
  <c r="E3143" i="17"/>
  <c r="Q6857" i="6"/>
  <c r="W6857" i="6" s="1"/>
  <c r="X6857" i="6"/>
  <c r="I6857" i="6"/>
  <c r="M6857" i="6"/>
  <c r="Q6856" i="6"/>
  <c r="W6856" i="6" s="1"/>
  <c r="F3142" i="17"/>
  <c r="E3142" i="17"/>
  <c r="X6856" i="6"/>
  <c r="I6856" i="6"/>
  <c r="M6856" i="6"/>
  <c r="Q6855" i="6"/>
  <c r="W6855" i="6" s="1"/>
  <c r="F3141" i="17"/>
  <c r="E3141" i="17"/>
  <c r="X6855" i="6"/>
  <c r="I6855" i="6"/>
  <c r="M6855" i="6"/>
  <c r="F3140" i="17"/>
  <c r="E3140" i="17"/>
  <c r="Q6854" i="6"/>
  <c r="W6854" i="6"/>
  <c r="X6854" i="6"/>
  <c r="M6854" i="6"/>
  <c r="I6854" i="6"/>
  <c r="X6853" i="6"/>
  <c r="Q6853" i="6"/>
  <c r="W6853" i="6" s="1"/>
  <c r="E3139" i="17"/>
  <c r="F3139" i="17"/>
  <c r="M6853" i="6"/>
  <c r="I6853" i="6"/>
  <c r="Q6852" i="6"/>
  <c r="W6852" i="6" s="1"/>
  <c r="F3138" i="17"/>
  <c r="E3138" i="17"/>
  <c r="X6852" i="6"/>
  <c r="M6852" i="6"/>
  <c r="I6852" i="6"/>
  <c r="X6851" i="6"/>
  <c r="Q6851" i="6"/>
  <c r="W6851" i="6"/>
  <c r="F3137" i="17"/>
  <c r="E3137" i="17"/>
  <c r="M6851" i="6"/>
  <c r="I6851" i="6"/>
  <c r="B63" i="10"/>
  <c r="B87" i="10"/>
  <c r="B98" i="10"/>
  <c r="E3136" i="17"/>
  <c r="F3136" i="17"/>
  <c r="X6850" i="6"/>
  <c r="Q6850" i="6"/>
  <c r="W6850" i="6" s="1"/>
  <c r="F3120" i="17"/>
  <c r="I6850" i="6"/>
  <c r="M6850" i="6"/>
  <c r="F3135" i="17"/>
  <c r="E3135" i="17"/>
  <c r="Q6849" i="6"/>
  <c r="X6849" i="6"/>
  <c r="W6849" i="6"/>
  <c r="M6849" i="6"/>
  <c r="I6849" i="6"/>
  <c r="Q6848" i="6"/>
  <c r="W6848" i="6" s="1"/>
  <c r="F3134" i="17"/>
  <c r="E3134" i="17"/>
  <c r="X6848" i="6"/>
  <c r="M6848" i="6"/>
  <c r="I6848" i="6"/>
  <c r="F3133" i="17"/>
  <c r="E3133" i="17"/>
  <c r="Q6847" i="6"/>
  <c r="W6847" i="6" s="1"/>
  <c r="X6847" i="6"/>
  <c r="M6847" i="6"/>
  <c r="I6847" i="6"/>
  <c r="F3132" i="17"/>
  <c r="E3132" i="17"/>
  <c r="Q6846" i="6"/>
  <c r="W6846" i="6" s="1"/>
  <c r="X6846" i="6"/>
  <c r="M6846" i="6"/>
  <c r="I6846" i="6"/>
  <c r="F3131" i="17"/>
  <c r="E3131" i="17"/>
  <c r="Q6845" i="6"/>
  <c r="W6845" i="6" s="1"/>
  <c r="X6845" i="6"/>
  <c r="M6845" i="6"/>
  <c r="I6845" i="6"/>
  <c r="F3130" i="17"/>
  <c r="E3130" i="17"/>
  <c r="Q6844" i="6"/>
  <c r="W6844" i="6" s="1"/>
  <c r="X6844" i="6"/>
  <c r="I6844" i="6"/>
  <c r="M6844" i="6"/>
  <c r="F3129" i="17"/>
  <c r="E3129" i="17"/>
  <c r="I6843" i="6"/>
  <c r="Q6843" i="6"/>
  <c r="W6843" i="6" s="1"/>
  <c r="X6843" i="6"/>
  <c r="M6843" i="6"/>
  <c r="Q6842" i="6"/>
  <c r="W6842" i="6" s="1"/>
  <c r="F3128" i="17"/>
  <c r="E3128" i="17"/>
  <c r="X6842" i="6"/>
  <c r="I6842" i="6"/>
  <c r="M6842" i="6"/>
  <c r="Q6841" i="6"/>
  <c r="W6841" i="6" s="1"/>
  <c r="E4182" i="13"/>
  <c r="F3127" i="17"/>
  <c r="E3127" i="17"/>
  <c r="X6841" i="6"/>
  <c r="M6841" i="6"/>
  <c r="I6841" i="6"/>
  <c r="Q6840" i="6"/>
  <c r="W6840" i="6" s="1"/>
  <c r="F3126" i="17"/>
  <c r="E3126" i="17"/>
  <c r="X6840" i="6"/>
  <c r="M6840" i="6"/>
  <c r="I6840" i="6"/>
  <c r="Q6839" i="6"/>
  <c r="W6839" i="6" s="1"/>
  <c r="E3125" i="17"/>
  <c r="F3125" i="17"/>
  <c r="X6839" i="6"/>
  <c r="M6839" i="6"/>
  <c r="I6839" i="6"/>
  <c r="Q6837" i="6"/>
  <c r="W6837" i="6" s="1"/>
  <c r="Q6838" i="6"/>
  <c r="W6838" i="6"/>
  <c r="E3124" i="17"/>
  <c r="F3124" i="17"/>
  <c r="F3123" i="17"/>
  <c r="X6838" i="6"/>
  <c r="O6835" i="6"/>
  <c r="N37" i="10" s="1"/>
  <c r="M6838" i="6"/>
  <c r="I6838" i="6"/>
  <c r="E3123" i="17"/>
  <c r="X6837" i="6"/>
  <c r="N6835" i="6"/>
  <c r="M6835" i="6"/>
  <c r="M6837" i="6"/>
  <c r="G3122" i="17"/>
  <c r="B117" i="10"/>
  <c r="V6816" i="6"/>
  <c r="V6836" i="6"/>
  <c r="X6836" i="6" s="1"/>
  <c r="I6837" i="6"/>
  <c r="Q6835" i="6"/>
  <c r="W6835" i="6"/>
  <c r="F3122" i="17"/>
  <c r="E3122" i="17"/>
  <c r="X6835" i="6"/>
  <c r="I6835" i="6"/>
  <c r="Q6834" i="6"/>
  <c r="W6834" i="6" s="1"/>
  <c r="F3121" i="17"/>
  <c r="E3121" i="17"/>
  <c r="X6834" i="6"/>
  <c r="M6834" i="6"/>
  <c r="I6834" i="6"/>
  <c r="Q6833" i="6"/>
  <c r="W6833" i="6" s="1"/>
  <c r="X6833" i="6"/>
  <c r="E3120" i="17"/>
  <c r="M6833" i="6"/>
  <c r="I6833" i="6"/>
  <c r="Q6832" i="6"/>
  <c r="W6832" i="6" s="1"/>
  <c r="F3119" i="17"/>
  <c r="E3119" i="17"/>
  <c r="X6832" i="6"/>
  <c r="M6832" i="6"/>
  <c r="I6832" i="6"/>
  <c r="Q6831" i="6"/>
  <c r="W6831" i="6" s="1"/>
  <c r="E3118" i="17"/>
  <c r="F3118" i="17"/>
  <c r="X6831" i="6"/>
  <c r="M6831" i="6"/>
  <c r="I6831" i="6"/>
  <c r="Q6830" i="6"/>
  <c r="W6830" i="6" s="1"/>
  <c r="F3117" i="17"/>
  <c r="E3117" i="17"/>
  <c r="X6830" i="6"/>
  <c r="M6830" i="6"/>
  <c r="I6830" i="6"/>
  <c r="Q6829" i="6"/>
  <c r="W6829" i="6" s="1"/>
  <c r="F3116" i="17"/>
  <c r="E3116" i="17"/>
  <c r="X6829" i="6"/>
  <c r="M6829" i="6"/>
  <c r="I6829" i="6"/>
  <c r="Q6828" i="6"/>
  <c r="W6828" i="6" s="1"/>
  <c r="F3115" i="17"/>
  <c r="E3115" i="17"/>
  <c r="X6828" i="6"/>
  <c r="M6828" i="6"/>
  <c r="I6828" i="6"/>
  <c r="Q6827" i="6"/>
  <c r="W6827" i="6" s="1"/>
  <c r="F3114" i="17"/>
  <c r="E3114" i="17"/>
  <c r="X6827" i="6"/>
  <c r="M6827" i="6"/>
  <c r="I6827" i="6"/>
  <c r="F3113" i="17"/>
  <c r="E3113" i="17"/>
  <c r="Q6826" i="6"/>
  <c r="W6826" i="6" s="1"/>
  <c r="X6826" i="6"/>
  <c r="M6826" i="6"/>
  <c r="I6826" i="6"/>
  <c r="F3112" i="17"/>
  <c r="E3112" i="17"/>
  <c r="Q6825" i="6"/>
  <c r="W6825" i="6" s="1"/>
  <c r="X6825" i="6"/>
  <c r="I6825" i="6"/>
  <c r="M6825" i="6"/>
  <c r="F3111" i="17"/>
  <c r="E3111" i="17"/>
  <c r="X6824" i="6"/>
  <c r="Q6824" i="6"/>
  <c r="W6824" i="6" s="1"/>
  <c r="I6824" i="6"/>
  <c r="M6824" i="6"/>
  <c r="F3110" i="17"/>
  <c r="E3110" i="17"/>
  <c r="Q6823" i="6"/>
  <c r="W6823" i="6" s="1"/>
  <c r="X6823" i="6"/>
  <c r="I6823" i="6"/>
  <c r="M6823" i="6"/>
  <c r="I6822" i="6"/>
  <c r="Q6822" i="6"/>
  <c r="W6822" i="6" s="1"/>
  <c r="M6822" i="6"/>
  <c r="X6822" i="6"/>
  <c r="F3109" i="17"/>
  <c r="E3109" i="17"/>
  <c r="F3108" i="17"/>
  <c r="E3108" i="17"/>
  <c r="Q6821" i="6"/>
  <c r="W6821" i="6" s="1"/>
  <c r="X6821" i="6"/>
  <c r="M6821" i="6"/>
  <c r="I6821" i="6"/>
  <c r="Q6820" i="6"/>
  <c r="W6820" i="6" s="1"/>
  <c r="F3107" i="17"/>
  <c r="E3107" i="17"/>
  <c r="X6820" i="6"/>
  <c r="M6820" i="6"/>
  <c r="I6820" i="6"/>
  <c r="F3106" i="17"/>
  <c r="E3106" i="17"/>
  <c r="Q6819" i="6"/>
  <c r="W6819" i="6" s="1"/>
  <c r="X6819" i="6"/>
  <c r="M6819" i="6"/>
  <c r="I6819" i="6"/>
  <c r="Q6818" i="6"/>
  <c r="W6818" i="6" s="1"/>
  <c r="F3105" i="17"/>
  <c r="E3105" i="17"/>
  <c r="X6818" i="6"/>
  <c r="M6818" i="6"/>
  <c r="I6818" i="6"/>
  <c r="Q6817" i="6"/>
  <c r="W6817" i="6" s="1"/>
  <c r="F3104" i="17"/>
  <c r="E3104" i="17"/>
  <c r="X6817" i="6"/>
  <c r="M6817" i="6"/>
  <c r="I6817" i="6"/>
  <c r="E4173" i="13"/>
  <c r="Q6815" i="6"/>
  <c r="W6815" i="6"/>
  <c r="H3103" i="17"/>
  <c r="G3103" i="17"/>
  <c r="F3103" i="17"/>
  <c r="E3103" i="17"/>
  <c r="X6815" i="6"/>
  <c r="O6815" i="6"/>
  <c r="N6815" i="6"/>
  <c r="M6815" i="6"/>
  <c r="I6815" i="6"/>
  <c r="Q6814" i="6"/>
  <c r="W6814" i="6" s="1"/>
  <c r="F3102" i="17"/>
  <c r="E3102" i="17"/>
  <c r="X6814" i="6"/>
  <c r="M6814" i="6"/>
  <c r="I6814" i="6"/>
  <c r="Q6813" i="6"/>
  <c r="W6813" i="6" s="1"/>
  <c r="F3101" i="17"/>
  <c r="E3101" i="17"/>
  <c r="X6813" i="6"/>
  <c r="M6813" i="6"/>
  <c r="I6813" i="6"/>
  <c r="Q6812" i="6"/>
  <c r="W6812" i="6" s="1"/>
  <c r="F3100" i="17"/>
  <c r="E3100" i="17"/>
  <c r="X6812" i="6"/>
  <c r="M6812" i="6"/>
  <c r="I6812" i="6"/>
  <c r="Q6811" i="6"/>
  <c r="W6811" i="6" s="1"/>
  <c r="F3099" i="17"/>
  <c r="E3099" i="17"/>
  <c r="X6811" i="6"/>
  <c r="M6811" i="6"/>
  <c r="I6811" i="6"/>
  <c r="F3098" i="17"/>
  <c r="E3098" i="17"/>
  <c r="Q6810" i="6"/>
  <c r="W6810" i="6" s="1"/>
  <c r="I6810" i="6"/>
  <c r="X6810" i="6"/>
  <c r="M6810" i="6"/>
  <c r="I6809" i="6"/>
  <c r="X6809" i="6"/>
  <c r="F3097" i="17"/>
  <c r="E3097" i="17"/>
  <c r="M6809" i="6"/>
  <c r="Q6809" i="6"/>
  <c r="W6809" i="6" s="1"/>
  <c r="F3096" i="17"/>
  <c r="E3096" i="17"/>
  <c r="Q6808" i="6"/>
  <c r="W6808" i="6" s="1"/>
  <c r="X6808" i="6"/>
  <c r="I6808" i="6"/>
  <c r="M6808" i="6"/>
  <c r="Q6807" i="6"/>
  <c r="W6807" i="6" s="1"/>
  <c r="F3095" i="17"/>
  <c r="E3095" i="17"/>
  <c r="X6807" i="6"/>
  <c r="M6807" i="6"/>
  <c r="I6807" i="6"/>
  <c r="Q6806" i="6"/>
  <c r="W6806" i="6" s="1"/>
  <c r="F3094" i="17"/>
  <c r="E3094" i="17"/>
  <c r="X6806" i="6"/>
  <c r="M6806" i="6"/>
  <c r="I6806" i="6"/>
  <c r="F3093" i="17"/>
  <c r="E3093" i="17"/>
  <c r="Q6805" i="6"/>
  <c r="W6805" i="6" s="1"/>
  <c r="X6805" i="6"/>
  <c r="M6805" i="6"/>
  <c r="I6805" i="6"/>
  <c r="Q6804" i="6"/>
  <c r="W6804" i="6" s="1"/>
  <c r="F3092" i="17"/>
  <c r="E3092" i="17"/>
  <c r="X6804" i="6"/>
  <c r="I6804" i="6"/>
  <c r="M6804" i="6"/>
  <c r="Q6803" i="6"/>
  <c r="W6803" i="6" s="1"/>
  <c r="F3091" i="17"/>
  <c r="E3091" i="17"/>
  <c r="X6803" i="6"/>
  <c r="M6803" i="6"/>
  <c r="I6803" i="6"/>
  <c r="F3090" i="17"/>
  <c r="E3090" i="17"/>
  <c r="Q6802" i="6"/>
  <c r="W6802" i="6" s="1"/>
  <c r="X6802" i="6"/>
  <c r="M6802" i="6"/>
  <c r="I6802" i="6"/>
  <c r="Q6801" i="6"/>
  <c r="W6801" i="6" s="1"/>
  <c r="F3089" i="17"/>
  <c r="E3089" i="17"/>
  <c r="X6801" i="6"/>
  <c r="M6801" i="6"/>
  <c r="I6801" i="6"/>
  <c r="Q6800" i="6"/>
  <c r="W6800" i="6" s="1"/>
  <c r="F3088" i="17"/>
  <c r="E3088" i="17"/>
  <c r="X6800" i="6"/>
  <c r="M6800" i="6"/>
  <c r="I6800" i="6"/>
  <c r="F3087" i="17"/>
  <c r="E3087" i="17"/>
  <c r="Q6799" i="6"/>
  <c r="W6799" i="6" s="1"/>
  <c r="X6799" i="6"/>
  <c r="M6799" i="6"/>
  <c r="I6799" i="6"/>
  <c r="Q6798" i="6"/>
  <c r="W6798" i="6" s="1"/>
  <c r="F3086" i="17"/>
  <c r="E3086" i="17"/>
  <c r="X6798" i="6"/>
  <c r="M6798" i="6"/>
  <c r="I6798" i="6"/>
  <c r="Q6797" i="6"/>
  <c r="W6797" i="6" s="1"/>
  <c r="F3085" i="17"/>
  <c r="E3085" i="17"/>
  <c r="X6797" i="6"/>
  <c r="M6797" i="6"/>
  <c r="I6797" i="6"/>
  <c r="Q6796" i="6"/>
  <c r="W6796" i="6" s="1"/>
  <c r="F3084" i="17"/>
  <c r="E3084" i="17"/>
  <c r="X6796" i="6"/>
  <c r="M6796" i="6"/>
  <c r="I6796" i="6"/>
  <c r="F3083" i="17"/>
  <c r="E3083" i="17"/>
  <c r="Q6795" i="6"/>
  <c r="W6795" i="6" s="1"/>
  <c r="X6795" i="6"/>
  <c r="I6795" i="6"/>
  <c r="M6795" i="6"/>
  <c r="F3082" i="17"/>
  <c r="E3082" i="17"/>
  <c r="Q6794" i="6"/>
  <c r="W6794" i="6" s="1"/>
  <c r="X6794" i="6"/>
  <c r="M6794" i="6"/>
  <c r="I6794" i="6"/>
  <c r="E4164" i="13"/>
  <c r="K137" i="10" s="1"/>
  <c r="N6792" i="6"/>
  <c r="O6792" i="6"/>
  <c r="Q6792" i="6"/>
  <c r="W6792" i="6" s="1"/>
  <c r="F3081" i="17"/>
  <c r="E3081" i="17"/>
  <c r="H3081" i="17"/>
  <c r="G3081" i="17"/>
  <c r="X6792" i="6"/>
  <c r="I6792" i="6"/>
  <c r="M6792" i="6"/>
  <c r="F3080" i="17"/>
  <c r="E3080" i="17"/>
  <c r="Q6791" i="6"/>
  <c r="W6791" i="6" s="1"/>
  <c r="X6791" i="6"/>
  <c r="I6791" i="6"/>
  <c r="M6791" i="6"/>
  <c r="Q6790" i="6"/>
  <c r="W6790" i="6"/>
  <c r="F3079" i="17"/>
  <c r="E3079" i="17"/>
  <c r="X6790" i="6"/>
  <c r="I6790" i="6"/>
  <c r="M6790" i="6"/>
  <c r="Q6789" i="6"/>
  <c r="W6789" i="6" s="1"/>
  <c r="F3078" i="17"/>
  <c r="E3078" i="17"/>
  <c r="X6789" i="6"/>
  <c r="M6789" i="6"/>
  <c r="I6789" i="6"/>
  <c r="V6748" i="6"/>
  <c r="V6770" i="6"/>
  <c r="Q6788" i="6"/>
  <c r="W6788" i="6" s="1"/>
  <c r="F3077" i="17"/>
  <c r="E3077" i="17"/>
  <c r="I6788" i="6"/>
  <c r="X6788" i="6"/>
  <c r="M6788" i="6"/>
  <c r="Q6787" i="6"/>
  <c r="W6787" i="6" s="1"/>
  <c r="F3076" i="17"/>
  <c r="E3076" i="17"/>
  <c r="X6787" i="6"/>
  <c r="M6787" i="6"/>
  <c r="I6787" i="6"/>
  <c r="F3075" i="17"/>
  <c r="E3075" i="17"/>
  <c r="Q6786" i="6"/>
  <c r="W6786" i="6" s="1"/>
  <c r="X6786" i="6"/>
  <c r="M6786" i="6"/>
  <c r="I6786" i="6"/>
  <c r="F3074" i="17"/>
  <c r="E3074" i="17"/>
  <c r="Q6785" i="6"/>
  <c r="W6785" i="6" s="1"/>
  <c r="X6785" i="6"/>
  <c r="M6785" i="6"/>
  <c r="I6785" i="6"/>
  <c r="F3073" i="17"/>
  <c r="E3073" i="17"/>
  <c r="Q6784" i="6"/>
  <c r="W6784" i="6" s="1"/>
  <c r="M6784" i="6"/>
  <c r="X6784" i="6"/>
  <c r="I6784" i="6"/>
  <c r="Q6783" i="6"/>
  <c r="W6783" i="6" s="1"/>
  <c r="F3072" i="17"/>
  <c r="E3072" i="17"/>
  <c r="X6783" i="6"/>
  <c r="M6783" i="6"/>
  <c r="I6783" i="6"/>
  <c r="Q6782" i="6"/>
  <c r="W6782" i="6" s="1"/>
  <c r="F3071" i="17"/>
  <c r="E3071" i="17"/>
  <c r="X6782" i="6"/>
  <c r="M6782" i="6"/>
  <c r="I6782" i="6"/>
  <c r="Q6781" i="6"/>
  <c r="W6781" i="6" s="1"/>
  <c r="E3070" i="17"/>
  <c r="F3070" i="17"/>
  <c r="X6781" i="6"/>
  <c r="M6781" i="6"/>
  <c r="I6781" i="6"/>
  <c r="Q6780" i="6"/>
  <c r="W6780" i="6" s="1"/>
  <c r="F3069" i="17"/>
  <c r="E3069" i="17"/>
  <c r="X6780" i="6"/>
  <c r="M6780" i="6"/>
  <c r="I6780" i="6"/>
  <c r="F3068" i="17"/>
  <c r="E3068" i="17"/>
  <c r="Q6779" i="6"/>
  <c r="P6779" i="6"/>
  <c r="W6779" i="6" s="1"/>
  <c r="I6779" i="6"/>
  <c r="M6779" i="6"/>
  <c r="Q6778" i="6"/>
  <c r="W6778" i="6" s="1"/>
  <c r="F3067" i="17"/>
  <c r="E3067" i="17"/>
  <c r="X6778" i="6"/>
  <c r="I6778" i="6"/>
  <c r="M6778" i="6"/>
  <c r="Q6777" i="6"/>
  <c r="W6777" i="6" s="1"/>
  <c r="F3066" i="17"/>
  <c r="E3066" i="17"/>
  <c r="X6777" i="6"/>
  <c r="I6777" i="6"/>
  <c r="M6777" i="6"/>
  <c r="E3065" i="17"/>
  <c r="F3065" i="17"/>
  <c r="F3064" i="17"/>
  <c r="E3064" i="17"/>
  <c r="I3064" i="17"/>
  <c r="P6775" i="6"/>
  <c r="Q6776" i="6"/>
  <c r="W6776" i="6" s="1"/>
  <c r="I6776" i="6"/>
  <c r="M6776" i="6"/>
  <c r="X6776" i="6"/>
  <c r="I6775" i="6"/>
  <c r="M6775" i="6"/>
  <c r="F3063" i="17"/>
  <c r="E3063" i="17"/>
  <c r="Q6774" i="6"/>
  <c r="X6774" i="6"/>
  <c r="W6774" i="6"/>
  <c r="M6774" i="6"/>
  <c r="I6774" i="6"/>
  <c r="J137" i="10"/>
  <c r="E4156" i="13"/>
  <c r="E4147" i="13"/>
  <c r="Q6773" i="6"/>
  <c r="W6773" i="6" s="1"/>
  <c r="F3062" i="17"/>
  <c r="E3062" i="17"/>
  <c r="Q6772" i="6"/>
  <c r="W6772" i="6" s="1"/>
  <c r="X6773" i="6"/>
  <c r="M6773" i="6"/>
  <c r="I6773" i="6"/>
  <c r="F3061" i="17"/>
  <c r="E3061" i="17"/>
  <c r="X6772" i="6"/>
  <c r="M6772" i="6"/>
  <c r="I6772" i="6"/>
  <c r="F3060" i="17"/>
  <c r="E3060" i="17"/>
  <c r="X6771" i="6"/>
  <c r="Q6771" i="6"/>
  <c r="W6771" i="6" s="1"/>
  <c r="M6771" i="6"/>
  <c r="I6771" i="6"/>
  <c r="H3059" i="17"/>
  <c r="G3059" i="17"/>
  <c r="F3059" i="17"/>
  <c r="E3059" i="17"/>
  <c r="N6769" i="6"/>
  <c r="O6769" i="6"/>
  <c r="X6769" i="6"/>
  <c r="Q6769" i="6"/>
  <c r="W6769" i="6" s="1"/>
  <c r="M6769" i="6"/>
  <c r="I6769" i="6"/>
  <c r="F3058" i="17"/>
  <c r="E3058" i="17"/>
  <c r="Q6768" i="6"/>
  <c r="W6768" i="6" s="1"/>
  <c r="X6768" i="6"/>
  <c r="M6768" i="6"/>
  <c r="I6768" i="6"/>
  <c r="F3057" i="17"/>
  <c r="E3057" i="17"/>
  <c r="Q6767" i="6"/>
  <c r="W6767" i="6" s="1"/>
  <c r="X6767" i="6"/>
  <c r="M6767" i="6"/>
  <c r="I6767" i="6"/>
  <c r="F3056" i="17"/>
  <c r="E3056" i="17"/>
  <c r="Q6766" i="6"/>
  <c r="W6766" i="6" s="1"/>
  <c r="X6766" i="6"/>
  <c r="M6766" i="6"/>
  <c r="I6766" i="6"/>
  <c r="Q6765" i="6"/>
  <c r="W6765" i="6" s="1"/>
  <c r="F3055" i="17"/>
  <c r="E3055" i="17"/>
  <c r="X6765" i="6"/>
  <c r="M6765" i="6"/>
  <c r="I6765" i="6"/>
  <c r="Q6764" i="6"/>
  <c r="W6764" i="6" s="1"/>
  <c r="F3054" i="17"/>
  <c r="E3054" i="17"/>
  <c r="X6764" i="6"/>
  <c r="M6764" i="6"/>
  <c r="I6764" i="6"/>
  <c r="Q6763" i="6"/>
  <c r="W6763" i="6" s="1"/>
  <c r="F3053" i="17"/>
  <c r="E3053" i="17"/>
  <c r="X6763" i="6"/>
  <c r="I6763" i="6"/>
  <c r="M6763" i="6"/>
  <c r="F3052" i="17"/>
  <c r="E3052" i="17"/>
  <c r="I6762" i="6"/>
  <c r="Q6762" i="6"/>
  <c r="W6762" i="6" s="1"/>
  <c r="X6762" i="6"/>
  <c r="M6762" i="6"/>
  <c r="F3051" i="17"/>
  <c r="E3051" i="17"/>
  <c r="Q6761" i="6"/>
  <c r="W6761" i="6" s="1"/>
  <c r="X6761" i="6"/>
  <c r="M6761" i="6"/>
  <c r="I6761" i="6"/>
  <c r="F3050" i="17"/>
  <c r="E3050" i="17"/>
  <c r="Q6760" i="6"/>
  <c r="W6760" i="6" s="1"/>
  <c r="X6760" i="6"/>
  <c r="M6760" i="6"/>
  <c r="I6760" i="6"/>
  <c r="Q6759" i="6"/>
  <c r="W6759" i="6" s="1"/>
  <c r="F3049" i="17"/>
  <c r="E3049" i="17"/>
  <c r="X6759" i="6"/>
  <c r="I6759" i="6"/>
  <c r="M6759" i="6"/>
  <c r="Q6758" i="6"/>
  <c r="W6758" i="6" s="1"/>
  <c r="F3048" i="17"/>
  <c r="E3048" i="17"/>
  <c r="X6758" i="6"/>
  <c r="M6758" i="6"/>
  <c r="I6758" i="6"/>
  <c r="Q6757" i="6"/>
  <c r="W6757" i="6" s="1"/>
  <c r="Q6756" i="6"/>
  <c r="W6756" i="6" s="1"/>
  <c r="F3047" i="17"/>
  <c r="E3047" i="17"/>
  <c r="I3046" i="17"/>
  <c r="F3046" i="17"/>
  <c r="E3046" i="17"/>
  <c r="X6757" i="6"/>
  <c r="X6756" i="6"/>
  <c r="I6757" i="6"/>
  <c r="I6756" i="6"/>
  <c r="M6757" i="6"/>
  <c r="M6756" i="6"/>
  <c r="Q6755" i="6"/>
  <c r="W6755" i="6" s="1"/>
  <c r="F3045" i="17"/>
  <c r="E3045" i="17"/>
  <c r="X6755" i="6"/>
  <c r="M6755" i="6"/>
  <c r="I6755" i="6"/>
  <c r="F3044" i="17"/>
  <c r="E3044" i="17"/>
  <c r="Q6754" i="6"/>
  <c r="W6754" i="6" s="1"/>
  <c r="X6754" i="6"/>
  <c r="M6754" i="6"/>
  <c r="I6754" i="6"/>
  <c r="F3043" i="17"/>
  <c r="E3043" i="17"/>
  <c r="Q6753" i="6"/>
  <c r="W6753" i="6" s="1"/>
  <c r="X6753" i="6"/>
  <c r="M6753" i="6"/>
  <c r="I6753" i="6"/>
  <c r="Q6752" i="6"/>
  <c r="W6752" i="6" s="1"/>
  <c r="F3042" i="17"/>
  <c r="E3042" i="17"/>
  <c r="M6752" i="6"/>
  <c r="X6752" i="6"/>
  <c r="I6752" i="6"/>
  <c r="Q6751" i="6"/>
  <c r="W6751" i="6" s="1"/>
  <c r="F3041" i="17"/>
  <c r="E3041" i="17"/>
  <c r="X6751" i="6"/>
  <c r="M6751" i="6"/>
  <c r="I6751" i="6"/>
  <c r="Q6750" i="6"/>
  <c r="W6750" i="6" s="1"/>
  <c r="F3040" i="17"/>
  <c r="E3040" i="17"/>
  <c r="X6750" i="6"/>
  <c r="M6750" i="6"/>
  <c r="I6750" i="6"/>
  <c r="Q6749" i="6"/>
  <c r="F3039" i="17"/>
  <c r="E3039" i="17"/>
  <c r="X6749" i="6"/>
  <c r="W6749" i="6"/>
  <c r="M6749" i="6"/>
  <c r="I6749" i="6"/>
  <c r="N6747" i="6"/>
  <c r="Q6747" i="6"/>
  <c r="W6747" i="6" s="1"/>
  <c r="H3038" i="17"/>
  <c r="G3038" i="17"/>
  <c r="F3038" i="17"/>
  <c r="F3037" i="17"/>
  <c r="E3038" i="17"/>
  <c r="O6747" i="6"/>
  <c r="V6724" i="6"/>
  <c r="X6747" i="6"/>
  <c r="I6747" i="6"/>
  <c r="M6747" i="6"/>
  <c r="Q6746" i="6"/>
  <c r="W6746" i="6" s="1"/>
  <c r="E3037" i="17"/>
  <c r="X6746" i="6"/>
  <c r="I6746" i="6"/>
  <c r="M6746" i="6"/>
  <c r="Q6745" i="6"/>
  <c r="W6745" i="6" s="1"/>
  <c r="F3036" i="17"/>
  <c r="E3036" i="17"/>
  <c r="X6745" i="6"/>
  <c r="I6745" i="6"/>
  <c r="M6745" i="6"/>
  <c r="Q6744" i="6"/>
  <c r="W6744" i="6" s="1"/>
  <c r="X6744" i="6"/>
  <c r="Q6743" i="6"/>
  <c r="W6743" i="6" s="1"/>
  <c r="F3034" i="17"/>
  <c r="E3034" i="17"/>
  <c r="X6743" i="6"/>
  <c r="I6743" i="6"/>
  <c r="M6743" i="6"/>
  <c r="F3033" i="17"/>
  <c r="E3033" i="17"/>
  <c r="Q6742" i="6"/>
  <c r="W6742" i="6" s="1"/>
  <c r="X6742" i="6"/>
  <c r="M6742" i="6"/>
  <c r="I6742" i="6"/>
  <c r="F3032" i="17"/>
  <c r="E3032" i="17"/>
  <c r="Q6741" i="6"/>
  <c r="W6741" i="6" s="1"/>
  <c r="Q6740" i="6"/>
  <c r="W6740" i="6" s="1"/>
  <c r="I6741" i="6"/>
  <c r="X6741" i="6"/>
  <c r="M6741" i="6"/>
  <c r="F3031" i="17"/>
  <c r="E3031" i="17"/>
  <c r="X6740" i="6"/>
  <c r="M6740" i="6"/>
  <c r="I6740" i="6"/>
  <c r="Q6739" i="6"/>
  <c r="W6739" i="6" s="1"/>
  <c r="F3030" i="17"/>
  <c r="E3030" i="17"/>
  <c r="X6739" i="6"/>
  <c r="M6739" i="6"/>
  <c r="I6739" i="6"/>
  <c r="F3029" i="17"/>
  <c r="E3029" i="17"/>
  <c r="Q6738" i="6"/>
  <c r="W6738" i="6" s="1"/>
  <c r="X6738" i="6"/>
  <c r="M6738" i="6"/>
  <c r="I6738" i="6"/>
  <c r="Q6737" i="6"/>
  <c r="W6737" i="6" s="1"/>
  <c r="F3028" i="17"/>
  <c r="E3028" i="17"/>
  <c r="X6737" i="6"/>
  <c r="M6737" i="6"/>
  <c r="I6737" i="6"/>
  <c r="F3027" i="17"/>
  <c r="E3027" i="17"/>
  <c r="Q6736" i="6"/>
  <c r="W6736" i="6" s="1"/>
  <c r="X6736" i="6"/>
  <c r="M6736" i="6"/>
  <c r="I6736" i="6"/>
  <c r="Q6735" i="6"/>
  <c r="W6735" i="6"/>
  <c r="F3026" i="17"/>
  <c r="E3026" i="17"/>
  <c r="X6735" i="6"/>
  <c r="M6735" i="6"/>
  <c r="I6735" i="6"/>
  <c r="I3025" i="17"/>
  <c r="F3025" i="17"/>
  <c r="E3025" i="17"/>
  <c r="Q6734" i="6"/>
  <c r="W6734" i="6" s="1"/>
  <c r="X6734" i="6"/>
  <c r="M6734" i="6"/>
  <c r="I6734" i="6"/>
  <c r="F3024" i="17"/>
  <c r="E3024" i="17"/>
  <c r="Q6733" i="6"/>
  <c r="W6733" i="6" s="1"/>
  <c r="X6733" i="6"/>
  <c r="I6733" i="6"/>
  <c r="M6733" i="6"/>
  <c r="F3023" i="17"/>
  <c r="E3023" i="17"/>
  <c r="Q6732" i="6"/>
  <c r="W6732" i="6" s="1"/>
  <c r="X6732" i="6"/>
  <c r="I6732" i="6"/>
  <c r="M6732" i="6"/>
  <c r="Q6731" i="6"/>
  <c r="F3022" i="17"/>
  <c r="E3022" i="17"/>
  <c r="W6731" i="6"/>
  <c r="X6731" i="6"/>
  <c r="I6731" i="6"/>
  <c r="M6731" i="6"/>
  <c r="F3021" i="17"/>
  <c r="E3021" i="17"/>
  <c r="Q6730" i="6"/>
  <c r="W6730" i="6"/>
  <c r="X6730" i="6"/>
  <c r="M6730" i="6"/>
  <c r="I6730" i="6"/>
  <c r="Q6729" i="6"/>
  <c r="W6729" i="6" s="1"/>
  <c r="F3020" i="17"/>
  <c r="E3020" i="17"/>
  <c r="X6729" i="6"/>
  <c r="M6729" i="6"/>
  <c r="I6729" i="6"/>
  <c r="Q6728" i="6"/>
  <c r="W6728" i="6" s="1"/>
  <c r="F3019" i="17"/>
  <c r="E3019" i="17"/>
  <c r="X6728" i="6"/>
  <c r="M6728" i="6"/>
  <c r="I6728" i="6"/>
  <c r="Q6727" i="6"/>
  <c r="W6727" i="6" s="1"/>
  <c r="F3018" i="17"/>
  <c r="E3018" i="17"/>
  <c r="X6727" i="6"/>
  <c r="M6727" i="6"/>
  <c r="I6727" i="6"/>
  <c r="Q6726" i="6"/>
  <c r="W6726" i="6" s="1"/>
  <c r="F3017" i="17"/>
  <c r="E3017" i="17"/>
  <c r="X6726" i="6"/>
  <c r="M6726" i="6"/>
  <c r="I6726" i="6"/>
  <c r="Q6725" i="6"/>
  <c r="W6725" i="6" s="1"/>
  <c r="N6723" i="6"/>
  <c r="F3016" i="17"/>
  <c r="E3016" i="17"/>
  <c r="X6725" i="6"/>
  <c r="M6725" i="6"/>
  <c r="I6725" i="6"/>
  <c r="E4138" i="13"/>
  <c r="Q6723" i="6"/>
  <c r="W6723" i="6" s="1"/>
  <c r="H3015" i="17"/>
  <c r="G3015" i="17"/>
  <c r="F3015" i="17"/>
  <c r="E3015" i="17"/>
  <c r="X6723" i="6"/>
  <c r="O6723" i="6"/>
  <c r="M6723" i="6"/>
  <c r="I6723" i="6"/>
  <c r="Q6722" i="6"/>
  <c r="W6722" i="6" s="1"/>
  <c r="F3014" i="17"/>
  <c r="E3014" i="17"/>
  <c r="X6722" i="6"/>
  <c r="M6722" i="6"/>
  <c r="I6722" i="6"/>
  <c r="Q6721" i="6"/>
  <c r="W6721" i="6" s="1"/>
  <c r="F3013" i="17"/>
  <c r="E3013" i="17"/>
  <c r="X6721" i="6"/>
  <c r="M6721" i="6"/>
  <c r="I6721" i="6"/>
  <c r="Q6720" i="6"/>
  <c r="W6720" i="6" s="1"/>
  <c r="F3012" i="17"/>
  <c r="E3012" i="17"/>
  <c r="X6720" i="6"/>
  <c r="M6720" i="6"/>
  <c r="I6720" i="6"/>
  <c r="Q6719" i="6"/>
  <c r="W6719" i="6" s="1"/>
  <c r="F3011" i="17"/>
  <c r="E3011" i="17"/>
  <c r="X6719" i="6"/>
  <c r="M6719" i="6"/>
  <c r="I6719" i="6"/>
  <c r="Q6718" i="6"/>
  <c r="W6718" i="6" s="1"/>
  <c r="E3010" i="17"/>
  <c r="F3010" i="17"/>
  <c r="X6718" i="6"/>
  <c r="M6718" i="6"/>
  <c r="I6718" i="6"/>
  <c r="Q6717" i="6"/>
  <c r="W6717" i="6" s="1"/>
  <c r="I6717" i="6"/>
  <c r="X6717" i="6"/>
  <c r="F3009" i="17"/>
  <c r="E3009" i="17"/>
  <c r="M6717" i="6"/>
  <c r="F3008" i="17"/>
  <c r="E3008" i="17"/>
  <c r="Q6716" i="6"/>
  <c r="W6716" i="6" s="1"/>
  <c r="X6716" i="6"/>
  <c r="I6716" i="6"/>
  <c r="M6716" i="6"/>
  <c r="Q6715" i="6"/>
  <c r="W6715" i="6" s="1"/>
  <c r="F3007" i="17"/>
  <c r="E3007" i="17"/>
  <c r="X6715" i="6"/>
  <c r="M6715" i="6"/>
  <c r="I6715" i="6"/>
  <c r="Q6714" i="6"/>
  <c r="W6714" i="6" s="1"/>
  <c r="E3006" i="17"/>
  <c r="F3006" i="17"/>
  <c r="X6714" i="6"/>
  <c r="I6714" i="6"/>
  <c r="M6714" i="6"/>
  <c r="F3005" i="17"/>
  <c r="E3005" i="17"/>
  <c r="Q6713" i="6"/>
  <c r="W6713" i="6" s="1"/>
  <c r="X6713" i="6"/>
  <c r="M6713" i="6"/>
  <c r="I6713" i="6"/>
  <c r="Q6712" i="6"/>
  <c r="W6712" i="6" s="1"/>
  <c r="F3004" i="17"/>
  <c r="E3004" i="17"/>
  <c r="X6712" i="6"/>
  <c r="I6712" i="6"/>
  <c r="M6712" i="6"/>
  <c r="Q6711" i="6"/>
  <c r="W6711" i="6" s="1"/>
  <c r="F3003" i="17"/>
  <c r="E3003" i="17"/>
  <c r="X6711" i="6"/>
  <c r="M6711" i="6"/>
  <c r="I6711" i="6"/>
  <c r="Q6710" i="6"/>
  <c r="W6710" i="6" s="1"/>
  <c r="F3002" i="17"/>
  <c r="E3002" i="17"/>
  <c r="X6710" i="6"/>
  <c r="M6710" i="6"/>
  <c r="I6710" i="6"/>
  <c r="Q6709" i="6"/>
  <c r="W6709" i="6" s="1"/>
  <c r="F3001" i="17"/>
  <c r="E3001" i="17"/>
  <c r="X6709" i="6"/>
  <c r="M6709" i="6"/>
  <c r="I6709" i="6"/>
  <c r="Q6708" i="6"/>
  <c r="W6708" i="6" s="1"/>
  <c r="F3000" i="17"/>
  <c r="E3000" i="17"/>
  <c r="I6708" i="6"/>
  <c r="X6708" i="6"/>
  <c r="M6708" i="6"/>
  <c r="Q6707" i="6"/>
  <c r="W6707" i="6" s="1"/>
  <c r="F2999" i="17"/>
  <c r="E2999" i="17"/>
  <c r="X6707" i="6"/>
  <c r="M6707" i="6"/>
  <c r="I6707" i="6"/>
  <c r="Q6706" i="6"/>
  <c r="W6706" i="6" s="1"/>
  <c r="F2998" i="17"/>
  <c r="E2998" i="17"/>
  <c r="X6706" i="6"/>
  <c r="M6706" i="6"/>
  <c r="I6706" i="6"/>
  <c r="Q6705" i="6"/>
  <c r="W6705" i="6" s="1"/>
  <c r="F2997" i="17"/>
  <c r="E2997" i="17"/>
  <c r="X6705" i="6"/>
  <c r="M6705" i="6"/>
  <c r="I6705" i="6"/>
  <c r="Q6704" i="6"/>
  <c r="W6704" i="6" s="1"/>
  <c r="F2996" i="17"/>
  <c r="E2996" i="17"/>
  <c r="X6704" i="6"/>
  <c r="M6704" i="6"/>
  <c r="I6704" i="6"/>
  <c r="Q6703" i="6"/>
  <c r="W6703" i="6" s="1"/>
  <c r="F2995" i="17"/>
  <c r="E2995" i="17"/>
  <c r="I6703" i="6"/>
  <c r="X6703" i="6"/>
  <c r="M6703" i="6"/>
  <c r="E4121" i="13"/>
  <c r="H2994" i="17"/>
  <c r="G2994" i="17"/>
  <c r="F2994" i="17"/>
  <c r="E2994" i="17"/>
  <c r="V6702" i="6"/>
  <c r="Q6701" i="6"/>
  <c r="W6701" i="6" s="1"/>
  <c r="N6701" i="6"/>
  <c r="X6701" i="6"/>
  <c r="O6701" i="6"/>
  <c r="M6701" i="6"/>
  <c r="I6701" i="6"/>
  <c r="Q6700" i="6"/>
  <c r="W6700" i="6" s="1"/>
  <c r="F2993" i="17"/>
  <c r="E2993" i="17"/>
  <c r="X6700" i="6"/>
  <c r="M6700" i="6"/>
  <c r="I6700" i="6"/>
  <c r="Q6699" i="6"/>
  <c r="W6699" i="6" s="1"/>
  <c r="F2992" i="17"/>
  <c r="E2992" i="17"/>
  <c r="X6699" i="6"/>
  <c r="I6699" i="6"/>
  <c r="M6699" i="6"/>
  <c r="F2991" i="17"/>
  <c r="E2991" i="17"/>
  <c r="Q6698" i="6"/>
  <c r="W6698" i="6"/>
  <c r="X6698" i="6"/>
  <c r="I6698" i="6"/>
  <c r="M6698" i="6"/>
  <c r="F2990" i="17"/>
  <c r="E2990" i="17"/>
  <c r="Q6697" i="6"/>
  <c r="W6697" i="6" s="1"/>
  <c r="I6697" i="6"/>
  <c r="M6697" i="6"/>
  <c r="X6697" i="6"/>
  <c r="Q6696" i="6"/>
  <c r="W6696" i="6" s="1"/>
  <c r="F2989" i="17"/>
  <c r="E2989" i="17"/>
  <c r="I6696" i="6"/>
  <c r="M6696" i="6"/>
  <c r="X6696" i="6"/>
  <c r="Q6695" i="6"/>
  <c r="W6695" i="6" s="1"/>
  <c r="F2988" i="17"/>
  <c r="E2988" i="17"/>
  <c r="X6695" i="6"/>
  <c r="M6695" i="6"/>
  <c r="I6695" i="6"/>
  <c r="Q6694" i="6"/>
  <c r="W6694" i="6"/>
  <c r="E2987" i="17"/>
  <c r="F2987" i="17"/>
  <c r="M6694" i="6"/>
  <c r="X6694" i="6"/>
  <c r="I6694" i="6"/>
  <c r="I6693" i="6"/>
  <c r="Q6693" i="6"/>
  <c r="W6693" i="6" s="1"/>
  <c r="F2986" i="17"/>
  <c r="E2986" i="17"/>
  <c r="Q6692" i="6"/>
  <c r="W6692" i="6" s="1"/>
  <c r="X6693" i="6"/>
  <c r="M6693" i="6"/>
  <c r="F2985" i="17"/>
  <c r="E2985" i="17"/>
  <c r="X6692" i="6"/>
  <c r="M6692" i="6"/>
  <c r="I6692" i="6"/>
  <c r="Q6691" i="6"/>
  <c r="W6691" i="6" s="1"/>
  <c r="F2984" i="17"/>
  <c r="E2984" i="17"/>
  <c r="X6691" i="6"/>
  <c r="M6691" i="6"/>
  <c r="I6691" i="6"/>
  <c r="Q6690" i="6"/>
  <c r="W6690" i="6" s="1"/>
  <c r="F2983" i="17"/>
  <c r="E2983" i="17"/>
  <c r="X6690" i="6"/>
  <c r="M6690" i="6"/>
  <c r="I6690" i="6"/>
  <c r="Q6689" i="6"/>
  <c r="W6689" i="6" s="1"/>
  <c r="F2982" i="17"/>
  <c r="E2982" i="17"/>
  <c r="X6689" i="6"/>
  <c r="M6689" i="6"/>
  <c r="I6689" i="6"/>
  <c r="F2981" i="17"/>
  <c r="E2981" i="17"/>
  <c r="X6688" i="6"/>
  <c r="M6688" i="6"/>
  <c r="I6688" i="6"/>
  <c r="Q6688" i="6"/>
  <c r="W6688" i="6" s="1"/>
  <c r="Q6687" i="6"/>
  <c r="W6687" i="6" s="1"/>
  <c r="X6687" i="6"/>
  <c r="M6687" i="6"/>
  <c r="I6687" i="6"/>
  <c r="F2980" i="17"/>
  <c r="E2980" i="17"/>
  <c r="F2979" i="17"/>
  <c r="E2979" i="17"/>
  <c r="Q6686" i="6"/>
  <c r="W6686" i="6" s="1"/>
  <c r="X6686" i="6"/>
  <c r="M6686" i="6"/>
  <c r="I6686" i="6"/>
  <c r="Q6685" i="6"/>
  <c r="W6685" i="6" s="1"/>
  <c r="F2978" i="17"/>
  <c r="E2978" i="17"/>
  <c r="X6685" i="6"/>
  <c r="I6685" i="6"/>
  <c r="M6685" i="6"/>
  <c r="Q6684" i="6"/>
  <c r="W6684" i="6" s="1"/>
  <c r="I6684" i="6"/>
  <c r="X6684" i="6"/>
  <c r="F2977" i="17"/>
  <c r="E2977" i="17"/>
  <c r="M6684" i="6"/>
  <c r="Q6683" i="6"/>
  <c r="W6683" i="6" s="1"/>
  <c r="Q6681" i="6"/>
  <c r="W6681" i="6" s="1"/>
  <c r="F2976" i="17"/>
  <c r="E2976" i="17"/>
  <c r="I6683" i="6"/>
  <c r="M6683" i="6"/>
  <c r="M6682" i="6"/>
  <c r="I6682" i="6"/>
  <c r="E2975" i="17"/>
  <c r="F2975" i="17"/>
  <c r="F2974" i="17"/>
  <c r="E2974" i="17"/>
  <c r="X6683" i="6"/>
  <c r="X6682" i="6"/>
  <c r="W6682" i="6"/>
  <c r="X6681" i="6"/>
  <c r="N6678" i="6"/>
  <c r="M6681" i="6"/>
  <c r="I6681" i="6"/>
  <c r="Q6680" i="6"/>
  <c r="W6680" i="6" s="1"/>
  <c r="F2973" i="17"/>
  <c r="E2973" i="17"/>
  <c r="X6680" i="6"/>
  <c r="M6680" i="6"/>
  <c r="I6680" i="6"/>
  <c r="V6655" i="6"/>
  <c r="Q6678" i="6"/>
  <c r="H2972" i="17"/>
  <c r="G2972" i="17"/>
  <c r="F2972" i="17"/>
  <c r="E2972" i="17"/>
  <c r="X6678" i="6"/>
  <c r="W6678" i="6"/>
  <c r="O6678" i="6"/>
  <c r="M6678" i="6"/>
  <c r="I6678" i="6"/>
  <c r="E2971" i="17"/>
  <c r="X6676" i="6"/>
  <c r="Q6677" i="6"/>
  <c r="W6677" i="6" s="1"/>
  <c r="Q6676" i="6"/>
  <c r="W6676" i="6" s="1"/>
  <c r="X6677" i="6"/>
  <c r="M6677" i="6"/>
  <c r="I6677" i="6"/>
  <c r="F2969" i="17"/>
  <c r="E2969" i="17"/>
  <c r="Q6675" i="6"/>
  <c r="W6675" i="6" s="1"/>
  <c r="X6675" i="6"/>
  <c r="I6675" i="6"/>
  <c r="M6675" i="6"/>
  <c r="Q6674" i="6"/>
  <c r="W6674" i="6" s="1"/>
  <c r="F2968" i="17"/>
  <c r="E2968" i="17"/>
  <c r="X6674" i="6"/>
  <c r="M6674" i="6"/>
  <c r="I6674" i="6"/>
  <c r="Q6673" i="6"/>
  <c r="W6673" i="6" s="1"/>
  <c r="F2967" i="17"/>
  <c r="E2967" i="17"/>
  <c r="X6673" i="6"/>
  <c r="M6673" i="6"/>
  <c r="I6673" i="6"/>
  <c r="X6672" i="6"/>
  <c r="Q6672" i="6"/>
  <c r="W6672" i="6" s="1"/>
  <c r="M6672" i="6"/>
  <c r="I6672" i="6"/>
  <c r="F2966" i="17"/>
  <c r="E2966" i="17"/>
  <c r="Q6671" i="6"/>
  <c r="W6671" i="6" s="1"/>
  <c r="F2965" i="17"/>
  <c r="E2965" i="17"/>
  <c r="X6671" i="6"/>
  <c r="M6671" i="6"/>
  <c r="I6671" i="6"/>
  <c r="Q6670" i="6"/>
  <c r="W6670" i="6" s="1"/>
  <c r="F2964" i="17"/>
  <c r="E2964" i="17"/>
  <c r="X6670" i="6"/>
  <c r="M6670" i="6"/>
  <c r="I6670" i="6"/>
  <c r="Q6669" i="6"/>
  <c r="W6669" i="6" s="1"/>
  <c r="F2963" i="17"/>
  <c r="E2963" i="17"/>
  <c r="X6669" i="6"/>
  <c r="I6669" i="6"/>
  <c r="M6669" i="6"/>
  <c r="Q6668" i="6"/>
  <c r="W6668" i="6"/>
  <c r="F2962" i="17"/>
  <c r="E2962" i="17"/>
  <c r="X6668" i="6"/>
  <c r="I6668" i="6"/>
  <c r="M6668" i="6"/>
  <c r="Q6667" i="6"/>
  <c r="W6667" i="6" s="1"/>
  <c r="F2961" i="17"/>
  <c r="E2961" i="17"/>
  <c r="X6667" i="6"/>
  <c r="I6667" i="6"/>
  <c r="M6667" i="6"/>
  <c r="Q6666" i="6"/>
  <c r="W6666" i="6" s="1"/>
  <c r="F2960" i="17"/>
  <c r="E2960" i="17"/>
  <c r="X6666" i="6"/>
  <c r="I6666" i="6"/>
  <c r="M6666" i="6"/>
  <c r="Q6665" i="6"/>
  <c r="W6665" i="6" s="1"/>
  <c r="F2956" i="17"/>
  <c r="F2959" i="17"/>
  <c r="E2959" i="17"/>
  <c r="X6665" i="6"/>
  <c r="I6665" i="6"/>
  <c r="O6654" i="6"/>
  <c r="N6654" i="6"/>
  <c r="M6665" i="6"/>
  <c r="Q6664" i="6"/>
  <c r="W6664" i="6" s="1"/>
  <c r="F2958" i="17"/>
  <c r="E2958" i="17"/>
  <c r="X6664" i="6"/>
  <c r="M6664" i="6"/>
  <c r="I6664" i="6"/>
  <c r="F2957" i="17"/>
  <c r="E2957" i="17"/>
  <c r="I6663" i="6"/>
  <c r="Q6663" i="6"/>
  <c r="W6663" i="6" s="1"/>
  <c r="X6663" i="6"/>
  <c r="M6663" i="6"/>
  <c r="Q6662" i="6"/>
  <c r="W6662" i="6" s="1"/>
  <c r="X6661" i="6"/>
  <c r="E2956" i="17"/>
  <c r="X6662" i="6"/>
  <c r="M6662" i="6"/>
  <c r="I6662" i="6"/>
  <c r="Q6661" i="6"/>
  <c r="W6661" i="6" s="1"/>
  <c r="Q6660" i="6"/>
  <c r="W6660" i="6" s="1"/>
  <c r="Q6659" i="6"/>
  <c r="I2953" i="17"/>
  <c r="F2954" i="17"/>
  <c r="E2954" i="17"/>
  <c r="F2953" i="17"/>
  <c r="E2953" i="17"/>
  <c r="P6659" i="6"/>
  <c r="X6660" i="6"/>
  <c r="M6660" i="6"/>
  <c r="I6660" i="6"/>
  <c r="M6659" i="6"/>
  <c r="I6659" i="6"/>
  <c r="Q6658" i="6"/>
  <c r="W6658" i="6" s="1"/>
  <c r="F2951" i="17"/>
  <c r="F2952" i="17"/>
  <c r="E2952" i="17"/>
  <c r="I6658" i="6"/>
  <c r="M6658" i="6"/>
  <c r="X6658" i="6"/>
  <c r="H2949" i="17"/>
  <c r="G2949" i="17"/>
  <c r="O6633" i="6"/>
  <c r="N6633" i="6"/>
  <c r="X6656" i="6"/>
  <c r="X6657" i="6"/>
  <c r="Q6657" i="6"/>
  <c r="W6657" i="6" s="1"/>
  <c r="E2951" i="17"/>
  <c r="I6654" i="6"/>
  <c r="I6657" i="6"/>
  <c r="M6657" i="6"/>
  <c r="D4112" i="13"/>
  <c r="D4111" i="13"/>
  <c r="D4110" i="13"/>
  <c r="D4109" i="13"/>
  <c r="D4108" i="13"/>
  <c r="D4107" i="13"/>
  <c r="D4106" i="13"/>
  <c r="D4105" i="13"/>
  <c r="Q6656" i="6"/>
  <c r="W6656" i="6" s="1"/>
  <c r="X6654" i="6"/>
  <c r="F2949" i="17"/>
  <c r="E2949" i="17"/>
  <c r="M6654" i="6"/>
  <c r="Q6653" i="6"/>
  <c r="W6653" i="6" s="1"/>
  <c r="F2948" i="17"/>
  <c r="E2948" i="17"/>
  <c r="X6653" i="6"/>
  <c r="M6653" i="6"/>
  <c r="I6653" i="6"/>
  <c r="Q6652" i="6"/>
  <c r="W6652" i="6" s="1"/>
  <c r="F2947" i="17"/>
  <c r="E2947" i="17"/>
  <c r="X6652" i="6"/>
  <c r="M6652" i="6"/>
  <c r="I6652" i="6"/>
  <c r="Q6651" i="6"/>
  <c r="W6651" i="6" s="1"/>
  <c r="F2946" i="17"/>
  <c r="E2946" i="17"/>
  <c r="X6651" i="6"/>
  <c r="M6651" i="6"/>
  <c r="I6651" i="6"/>
  <c r="Q6650" i="6"/>
  <c r="W6650" i="6" s="1"/>
  <c r="F2945" i="17"/>
  <c r="E2945" i="17"/>
  <c r="X6650" i="6"/>
  <c r="M6650" i="6"/>
  <c r="I6650" i="6"/>
  <c r="Q6649" i="6"/>
  <c r="W6649" i="6" s="1"/>
  <c r="Q6648" i="6"/>
  <c r="W6648" i="6" s="1"/>
  <c r="F2944" i="17"/>
  <c r="E2944" i="17"/>
  <c r="X6649" i="6"/>
  <c r="M6649" i="6"/>
  <c r="I6649" i="6"/>
  <c r="F2943" i="17"/>
  <c r="E2943" i="17"/>
  <c r="X6648" i="6"/>
  <c r="M6648" i="6"/>
  <c r="I6648" i="6"/>
  <c r="Q6647" i="6"/>
  <c r="W6647" i="6"/>
  <c r="F2942" i="17"/>
  <c r="E2942" i="17"/>
  <c r="X6647" i="6"/>
  <c r="M6647" i="6"/>
  <c r="I6647" i="6"/>
  <c r="Q6646" i="6"/>
  <c r="W6646" i="6" s="1"/>
  <c r="F2941" i="17"/>
  <c r="E2941" i="17"/>
  <c r="M6646" i="6"/>
  <c r="X6646" i="6"/>
  <c r="I6646" i="6"/>
  <c r="Q6645" i="6"/>
  <c r="W6645" i="6" s="1"/>
  <c r="F2940" i="17"/>
  <c r="E2940" i="17"/>
  <c r="X6645" i="6"/>
  <c r="M6645" i="6"/>
  <c r="I6645" i="6"/>
  <c r="Q6644" i="6"/>
  <c r="W6644" i="6" s="1"/>
  <c r="F2939" i="17"/>
  <c r="E2939" i="17"/>
  <c r="X6644" i="6"/>
  <c r="M6644" i="6"/>
  <c r="I6644" i="6"/>
  <c r="Q6643" i="6"/>
  <c r="W6643" i="6" s="1"/>
  <c r="F2938" i="17"/>
  <c r="E2938" i="17"/>
  <c r="X6643" i="6"/>
  <c r="I6643" i="6"/>
  <c r="M6643" i="6"/>
  <c r="Q6642" i="6"/>
  <c r="W6642" i="6" s="1"/>
  <c r="F2936" i="17"/>
  <c r="F2937" i="17"/>
  <c r="E2937" i="17"/>
  <c r="X6642" i="6"/>
  <c r="M6642" i="6"/>
  <c r="I6642" i="6"/>
  <c r="Q6641" i="6"/>
  <c r="W6641" i="6" s="1"/>
  <c r="X6641" i="6"/>
  <c r="I6641" i="6"/>
  <c r="E2936" i="17"/>
  <c r="M6641" i="6"/>
  <c r="Q6640" i="6"/>
  <c r="W6640" i="6" s="1"/>
  <c r="X6640" i="6"/>
  <c r="X6639" i="6"/>
  <c r="Q6639" i="6"/>
  <c r="W6639" i="6" s="1"/>
  <c r="Q6638" i="6"/>
  <c r="W6638" i="6" s="1"/>
  <c r="F2933" i="17"/>
  <c r="E2933" i="17"/>
  <c r="I6638" i="6"/>
  <c r="X6638" i="6"/>
  <c r="M6638" i="6"/>
  <c r="Q6637" i="6"/>
  <c r="I6637" i="6"/>
  <c r="F2932" i="17"/>
  <c r="E2932" i="17"/>
  <c r="X6637" i="6"/>
  <c r="M6637" i="6"/>
  <c r="Q6636" i="6"/>
  <c r="W6636" i="6" s="1"/>
  <c r="F2931" i="17"/>
  <c r="E2931" i="17"/>
  <c r="X6636" i="6"/>
  <c r="M6636" i="6"/>
  <c r="I6636" i="6"/>
  <c r="Q6635" i="6"/>
  <c r="W6635" i="6" s="1"/>
  <c r="O5293" i="6"/>
  <c r="O6609" i="6"/>
  <c r="H2929" i="17"/>
  <c r="G2929" i="17"/>
  <c r="F2930" i="17"/>
  <c r="E2930" i="17"/>
  <c r="X6635" i="6"/>
  <c r="M6635" i="6"/>
  <c r="I6635" i="6"/>
  <c r="V6634" i="6"/>
  <c r="D4104" i="13"/>
  <c r="D4103" i="13"/>
  <c r="D4102" i="13"/>
  <c r="D4101" i="13"/>
  <c r="D4100" i="13"/>
  <c r="D4099" i="13"/>
  <c r="D4098" i="13"/>
  <c r="D4097" i="13"/>
  <c r="D4096" i="13"/>
  <c r="D4095" i="13"/>
  <c r="Q6633" i="6"/>
  <c r="W6633" i="6" s="1"/>
  <c r="F2929" i="17"/>
  <c r="E2929" i="17"/>
  <c r="Q6632" i="6"/>
  <c r="W6632" i="6" s="1"/>
  <c r="Q6631" i="6"/>
  <c r="W6631" i="6" s="1"/>
  <c r="I6633" i="6"/>
  <c r="I6632" i="6"/>
  <c r="X6633" i="6"/>
  <c r="M6633" i="6"/>
  <c r="F2928" i="17"/>
  <c r="E2928" i="17"/>
  <c r="X6632" i="6"/>
  <c r="M6632" i="6"/>
  <c r="F2927" i="17"/>
  <c r="E2927" i="17"/>
  <c r="X6631" i="6"/>
  <c r="M6631" i="6"/>
  <c r="I6631" i="6"/>
  <c r="Q6630" i="6"/>
  <c r="W6630" i="6" s="1"/>
  <c r="F2926" i="17"/>
  <c r="E2926" i="17"/>
  <c r="X6630" i="6"/>
  <c r="M6630" i="6"/>
  <c r="I6630" i="6"/>
  <c r="Q6629" i="6"/>
  <c r="W6629" i="6" s="1"/>
  <c r="F2925" i="17"/>
  <c r="E2925" i="17"/>
  <c r="X6629" i="6"/>
  <c r="M6629" i="6"/>
  <c r="I6629" i="6"/>
  <c r="Q6628" i="6"/>
  <c r="W6628" i="6" s="1"/>
  <c r="F2924" i="17"/>
  <c r="E2924" i="17"/>
  <c r="X6628" i="6"/>
  <c r="M6628" i="6"/>
  <c r="I6628" i="6"/>
  <c r="F2923" i="17"/>
  <c r="E2923" i="17"/>
  <c r="Q6627" i="6"/>
  <c r="W6627" i="6" s="1"/>
  <c r="X6627" i="6"/>
  <c r="M6627" i="6"/>
  <c r="I6627" i="6"/>
  <c r="Q6626" i="6"/>
  <c r="W6626" i="6" s="1"/>
  <c r="F2922" i="17"/>
  <c r="E2922" i="17"/>
  <c r="X6626" i="6"/>
  <c r="I6626" i="6"/>
  <c r="M6626" i="6"/>
  <c r="Q6625" i="6"/>
  <c r="W6625" i="6" s="1"/>
  <c r="F2921" i="17"/>
  <c r="E2921" i="17"/>
  <c r="X6625" i="6"/>
  <c r="I6625" i="6"/>
  <c r="M6625" i="6"/>
  <c r="Q6624" i="6"/>
  <c r="W6624" i="6" s="1"/>
  <c r="F2920" i="17"/>
  <c r="E2920" i="17"/>
  <c r="X6624" i="6"/>
  <c r="I6624" i="6"/>
  <c r="M6624" i="6"/>
  <c r="Q6623" i="6"/>
  <c r="W6623" i="6" s="1"/>
  <c r="F2919" i="17"/>
  <c r="E2919" i="17"/>
  <c r="X6623" i="6"/>
  <c r="M6623" i="6"/>
  <c r="I6623" i="6"/>
  <c r="Q6622" i="6"/>
  <c r="W6622" i="6" s="1"/>
  <c r="F2918" i="17"/>
  <c r="E2918" i="17"/>
  <c r="X6622" i="6"/>
  <c r="I6622" i="6"/>
  <c r="M6622" i="6"/>
  <c r="Q6621" i="6"/>
  <c r="W6621" i="6"/>
  <c r="F2917" i="17"/>
  <c r="E2917" i="17"/>
  <c r="X6621" i="6"/>
  <c r="I6621" i="6"/>
  <c r="M6621" i="6"/>
  <c r="Q6620" i="6"/>
  <c r="W6620" i="6" s="1"/>
  <c r="F2916" i="17"/>
  <c r="E2916" i="17"/>
  <c r="X6620" i="6"/>
  <c r="M6620" i="6"/>
  <c r="I6620" i="6"/>
  <c r="Q6619" i="6"/>
  <c r="W6619" i="6" s="1"/>
  <c r="F2915" i="17"/>
  <c r="E2915" i="17"/>
  <c r="X6619" i="6"/>
  <c r="M6619" i="6"/>
  <c r="I6619" i="6"/>
  <c r="Q6618" i="6"/>
  <c r="W6618" i="6" s="1"/>
  <c r="F2914" i="17"/>
  <c r="E2914" i="17"/>
  <c r="X6618" i="6"/>
  <c r="M6618" i="6"/>
  <c r="I6618" i="6"/>
  <c r="Q6617" i="6"/>
  <c r="W6617" i="6" s="1"/>
  <c r="X6617" i="6"/>
  <c r="M6617" i="6"/>
  <c r="I6617" i="6"/>
  <c r="F2913" i="17"/>
  <c r="E2913" i="17"/>
  <c r="F2912" i="17"/>
  <c r="E2912" i="17"/>
  <c r="Q6616" i="6"/>
  <c r="W6616" i="6" s="1"/>
  <c r="X6616" i="6"/>
  <c r="M6616" i="6"/>
  <c r="I6616" i="6"/>
  <c r="Q6614" i="6"/>
  <c r="W6614" i="6" s="1"/>
  <c r="Q6615" i="6"/>
  <c r="W6615" i="6" s="1"/>
  <c r="F2911" i="17"/>
  <c r="E2911" i="17"/>
  <c r="X6615" i="6"/>
  <c r="M6615" i="6"/>
  <c r="I6615" i="6"/>
  <c r="F2910" i="17"/>
  <c r="E2910" i="17"/>
  <c r="X6614" i="6"/>
  <c r="M6614" i="6"/>
  <c r="I6614" i="6"/>
  <c r="Q6613" i="6"/>
  <c r="W6613" i="6" s="1"/>
  <c r="F2909" i="17"/>
  <c r="E2909" i="17"/>
  <c r="X6613" i="6"/>
  <c r="M6613" i="6"/>
  <c r="I6613" i="6"/>
  <c r="Q6612" i="6"/>
  <c r="W6612" i="6" s="1"/>
  <c r="I6612" i="6"/>
  <c r="X6612" i="6"/>
  <c r="F2908" i="17"/>
  <c r="E2908" i="17"/>
  <c r="M6612" i="6"/>
  <c r="D4094" i="13"/>
  <c r="D4093" i="13"/>
  <c r="D4092" i="13"/>
  <c r="D4091" i="13"/>
  <c r="D4090" i="13"/>
  <c r="D4089" i="13"/>
  <c r="D4088" i="13"/>
  <c r="D4087" i="13"/>
  <c r="Q6611" i="6"/>
  <c r="W6611" i="6"/>
  <c r="H2906" i="17"/>
  <c r="G2906" i="17"/>
  <c r="F2907" i="17"/>
  <c r="E2907" i="17"/>
  <c r="W6609" i="6"/>
  <c r="X6611" i="6"/>
  <c r="X6608" i="6"/>
  <c r="I6611" i="6"/>
  <c r="M6611" i="6"/>
  <c r="V6610" i="6"/>
  <c r="X6610" i="6" s="1"/>
  <c r="F2906" i="17"/>
  <c r="E2906" i="17"/>
  <c r="X6609" i="6"/>
  <c r="I6609" i="6"/>
  <c r="M6609" i="6"/>
  <c r="F2905" i="17"/>
  <c r="E2905" i="17"/>
  <c r="Q6608" i="6"/>
  <c r="W6608" i="6" s="1"/>
  <c r="I6608" i="6"/>
  <c r="M6608" i="6"/>
  <c r="Q6607" i="6"/>
  <c r="W6607" i="6" s="1"/>
  <c r="F2904" i="17"/>
  <c r="E2904" i="17"/>
  <c r="X6607" i="6"/>
  <c r="I6607" i="6"/>
  <c r="M6607" i="6"/>
  <c r="F2903" i="17"/>
  <c r="E2903" i="17"/>
  <c r="Q6606" i="6"/>
  <c r="W6606" i="6" s="1"/>
  <c r="X6606" i="6"/>
  <c r="I6606" i="6"/>
  <c r="M6606" i="6"/>
  <c r="Q6605" i="6"/>
  <c r="W6605" i="6" s="1"/>
  <c r="F2902" i="17"/>
  <c r="E2902" i="17"/>
  <c r="X6605" i="6"/>
  <c r="I6605" i="6"/>
  <c r="M6605" i="6"/>
  <c r="Q6604" i="6"/>
  <c r="W6604" i="6" s="1"/>
  <c r="F2901" i="17"/>
  <c r="E2901" i="17"/>
  <c r="I6604" i="6"/>
  <c r="X6604" i="6"/>
  <c r="M6604" i="6"/>
  <c r="Q6603" i="6"/>
  <c r="W6603" i="6" s="1"/>
  <c r="I6602" i="6"/>
  <c r="F2900" i="17"/>
  <c r="E2900" i="17"/>
  <c r="Q6601" i="6"/>
  <c r="W6601" i="6" s="1"/>
  <c r="Q6602" i="6"/>
  <c r="W6602" i="6" s="1"/>
  <c r="X6603" i="6"/>
  <c r="M6603" i="6"/>
  <c r="I6603" i="6"/>
  <c r="F2899" i="17"/>
  <c r="E2899" i="17"/>
  <c r="X6602" i="6"/>
  <c r="M6602" i="6"/>
  <c r="F2898" i="17"/>
  <c r="E2898" i="17"/>
  <c r="X6601" i="6"/>
  <c r="M6601" i="6"/>
  <c r="I6601" i="6"/>
  <c r="Q6600" i="6"/>
  <c r="W6600" i="6" s="1"/>
  <c r="F2897" i="17"/>
  <c r="E2897" i="17"/>
  <c r="X6600" i="6"/>
  <c r="M6600" i="6"/>
  <c r="I6600" i="6"/>
  <c r="F2896" i="17"/>
  <c r="E2896" i="17"/>
  <c r="Q6599" i="6"/>
  <c r="W6599" i="6" s="1"/>
  <c r="X6599" i="6"/>
  <c r="M6599" i="6"/>
  <c r="I6599" i="6"/>
  <c r="Q6598" i="6"/>
  <c r="W6598" i="6" s="1"/>
  <c r="F2895" i="17"/>
  <c r="E2895" i="17"/>
  <c r="X6598" i="6"/>
  <c r="M6598" i="6"/>
  <c r="I6598" i="6"/>
  <c r="Q6597" i="6"/>
  <c r="W6597" i="6" s="1"/>
  <c r="F2894" i="17"/>
  <c r="E2894" i="17"/>
  <c r="X6597" i="6"/>
  <c r="M6597" i="6"/>
  <c r="I6597" i="6"/>
  <c r="Q6596" i="6"/>
  <c r="W6596" i="6" s="1"/>
  <c r="F2893" i="17"/>
  <c r="E2893" i="17"/>
  <c r="X6596" i="6"/>
  <c r="I6596" i="6"/>
  <c r="M6596" i="6"/>
  <c r="Q6595" i="6"/>
  <c r="W6595" i="6" s="1"/>
  <c r="F2892" i="17"/>
  <c r="E2892" i="17"/>
  <c r="X6595" i="6"/>
  <c r="I6595" i="6"/>
  <c r="M6595" i="6"/>
  <c r="Q6594" i="6"/>
  <c r="W6594" i="6" s="1"/>
  <c r="F2891" i="17"/>
  <c r="E2891" i="17"/>
  <c r="X6594" i="6"/>
  <c r="I6594" i="6"/>
  <c r="M6594" i="6"/>
  <c r="F2890" i="17"/>
  <c r="E2890" i="17"/>
  <c r="X6593" i="6"/>
  <c r="Q6593" i="6"/>
  <c r="W6593" i="6"/>
  <c r="O6588" i="6"/>
  <c r="M6593" i="6"/>
  <c r="I6593" i="6"/>
  <c r="F2889" i="17"/>
  <c r="E2889" i="17"/>
  <c r="Q6592" i="6"/>
  <c r="W6592" i="6" s="1"/>
  <c r="X6592" i="6"/>
  <c r="M6592" i="6"/>
  <c r="I6592" i="6"/>
  <c r="Q6591" i="6"/>
  <c r="W6591" i="6"/>
  <c r="F2888" i="17"/>
  <c r="E2888" i="17"/>
  <c r="X6591" i="6"/>
  <c r="M6591" i="6"/>
  <c r="I6591" i="6"/>
  <c r="Q6590" i="6"/>
  <c r="W6590" i="6" s="1"/>
  <c r="F2887" i="17"/>
  <c r="F2886" i="17"/>
  <c r="I6590" i="6"/>
  <c r="N6588" i="6"/>
  <c r="O6565" i="6"/>
  <c r="N36" i="10" s="1"/>
  <c r="N6565" i="6"/>
  <c r="E2887" i="17"/>
  <c r="X6590" i="6"/>
  <c r="M6590" i="6"/>
  <c r="B139" i="10"/>
  <c r="D4086" i="13"/>
  <c r="D4085" i="13"/>
  <c r="D4084" i="13"/>
  <c r="D4083" i="13"/>
  <c r="D4082" i="13"/>
  <c r="D4081" i="13"/>
  <c r="D4080" i="13"/>
  <c r="D4079" i="13"/>
  <c r="Q6588" i="6"/>
  <c r="V6589" i="6"/>
  <c r="V6543" i="6"/>
  <c r="G2886" i="17"/>
  <c r="H2886" i="17"/>
  <c r="E2886" i="17"/>
  <c r="X6588" i="6"/>
  <c r="W6588" i="6"/>
  <c r="M6588" i="6"/>
  <c r="I6588" i="6"/>
  <c r="Q6587" i="6"/>
  <c r="W6587" i="6" s="1"/>
  <c r="F2885" i="17"/>
  <c r="E2885" i="17"/>
  <c r="X6587" i="6"/>
  <c r="M6587" i="6"/>
  <c r="I6587" i="6"/>
  <c r="Q6586" i="6"/>
  <c r="W6586" i="6" s="1"/>
  <c r="F2884" i="17"/>
  <c r="E2884" i="17"/>
  <c r="X6586" i="6"/>
  <c r="M6586" i="6"/>
  <c r="I6586" i="6"/>
  <c r="Q6585" i="6"/>
  <c r="W6585" i="6" s="1"/>
  <c r="F2883" i="17"/>
  <c r="E2883" i="17"/>
  <c r="X6585" i="6"/>
  <c r="M6585" i="6"/>
  <c r="I6585" i="6"/>
  <c r="X6584" i="6"/>
  <c r="Q6584" i="6"/>
  <c r="W6584" i="6" s="1"/>
  <c r="F2882" i="17"/>
  <c r="E2882" i="17"/>
  <c r="I6584" i="6"/>
  <c r="M6584" i="6"/>
  <c r="X6583" i="6"/>
  <c r="Q6582" i="6"/>
  <c r="W6582" i="6" s="1"/>
  <c r="Q6581" i="6"/>
  <c r="W6581" i="6" s="1"/>
  <c r="F2881" i="17"/>
  <c r="E2881" i="17"/>
  <c r="F2880" i="17"/>
  <c r="E2880" i="17"/>
  <c r="F2879" i="17"/>
  <c r="E2879" i="17"/>
  <c r="Q6583" i="6"/>
  <c r="W6583" i="6" s="1"/>
  <c r="M6583" i="6"/>
  <c r="I6583" i="6"/>
  <c r="X6582" i="6"/>
  <c r="M6582" i="6"/>
  <c r="I6582" i="6"/>
  <c r="X6581" i="6"/>
  <c r="M6581" i="6"/>
  <c r="I6581" i="6"/>
  <c r="Q6580" i="6"/>
  <c r="W6580" i="6" s="1"/>
  <c r="F2878" i="17"/>
  <c r="E2878" i="17"/>
  <c r="X6580" i="6"/>
  <c r="I6580" i="6"/>
  <c r="M6580" i="6"/>
  <c r="Q6579" i="6"/>
  <c r="W6579" i="6" s="1"/>
  <c r="M6579" i="6"/>
  <c r="I6579" i="6"/>
  <c r="X6579" i="6"/>
  <c r="F2877" i="17"/>
  <c r="E2877" i="17"/>
  <c r="Q6578" i="6"/>
  <c r="W6578" i="6" s="1"/>
  <c r="F2876" i="17"/>
  <c r="E2876" i="17"/>
  <c r="X6578" i="6"/>
  <c r="I6578" i="6"/>
  <c r="M6578" i="6"/>
  <c r="Q6577" i="6"/>
  <c r="W6577" i="6" s="1"/>
  <c r="F2875" i="17"/>
  <c r="E2875" i="17"/>
  <c r="X6577" i="6"/>
  <c r="M6577" i="6"/>
  <c r="I6577" i="6"/>
  <c r="X6576" i="6"/>
  <c r="Q6576" i="6"/>
  <c r="W6576" i="6"/>
  <c r="F2874" i="17"/>
  <c r="F2873" i="17"/>
  <c r="E2874" i="17"/>
  <c r="M6576" i="6"/>
  <c r="I6576" i="6"/>
  <c r="Q6575" i="6"/>
  <c r="W6575" i="6" s="1"/>
  <c r="E2873" i="17"/>
  <c r="I6575" i="6"/>
  <c r="X6575" i="6"/>
  <c r="M6575" i="6"/>
  <c r="Q6574" i="6"/>
  <c r="W6574" i="6" s="1"/>
  <c r="F2872" i="17"/>
  <c r="E2872" i="17"/>
  <c r="X6574" i="6"/>
  <c r="M6574" i="6"/>
  <c r="I6574" i="6"/>
  <c r="Q6573" i="6"/>
  <c r="W6573" i="6" s="1"/>
  <c r="F2871" i="17"/>
  <c r="E2871" i="17"/>
  <c r="X6573" i="6"/>
  <c r="M6573" i="6"/>
  <c r="I6573" i="6"/>
  <c r="Q6572" i="6"/>
  <c r="F2870" i="17"/>
  <c r="E2870" i="17"/>
  <c r="X6572" i="6"/>
  <c r="W6572" i="6"/>
  <c r="M6572" i="6"/>
  <c r="I6572" i="6"/>
  <c r="Q6571" i="6"/>
  <c r="W6571" i="6" s="1"/>
  <c r="F2869" i="17"/>
  <c r="E2869" i="17"/>
  <c r="X6571" i="6"/>
  <c r="M6571" i="6"/>
  <c r="I6571" i="6"/>
  <c r="Q6570" i="6"/>
  <c r="W6570" i="6" s="1"/>
  <c r="F2868" i="17"/>
  <c r="E2868" i="17"/>
  <c r="X6570" i="6"/>
  <c r="I6570" i="6"/>
  <c r="M6570" i="6"/>
  <c r="Q6569" i="6"/>
  <c r="W6569" i="6" s="1"/>
  <c r="F2867" i="17"/>
  <c r="F2866" i="17"/>
  <c r="F2847" i="17"/>
  <c r="F2848" i="17"/>
  <c r="F2849" i="17"/>
  <c r="F2864" i="17"/>
  <c r="F2863" i="17"/>
  <c r="F2862" i="17"/>
  <c r="F2859" i="17"/>
  <c r="F2858" i="17"/>
  <c r="F2857" i="17"/>
  <c r="F2856" i="17"/>
  <c r="F2855" i="17"/>
  <c r="F2854" i="17"/>
  <c r="E2867" i="17"/>
  <c r="X6569" i="6"/>
  <c r="M6569" i="6"/>
  <c r="I6569" i="6"/>
  <c r="Q6568" i="6"/>
  <c r="W6568" i="6" s="1"/>
  <c r="E2866"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G2864" i="17"/>
  <c r="E2864" i="17"/>
  <c r="M6565" i="6"/>
  <c r="I6565" i="6"/>
  <c r="Q6564" i="6"/>
  <c r="W6564" i="6" s="1"/>
  <c r="E2863" i="17"/>
  <c r="X6564" i="6"/>
  <c r="M6564" i="6"/>
  <c r="I6564" i="6"/>
  <c r="E2862" i="17"/>
  <c r="Q6563" i="6"/>
  <c r="W6563" i="6" s="1"/>
  <c r="Q6562" i="6"/>
  <c r="W6562" i="6" s="1"/>
  <c r="X6563" i="6"/>
  <c r="M6563" i="6"/>
  <c r="I6563" i="6"/>
  <c r="Q6561" i="6"/>
  <c r="W6561" i="6" s="1"/>
  <c r="Q6560" i="6"/>
  <c r="W6560" i="6" s="1"/>
  <c r="E2859" i="17"/>
  <c r="X6560" i="6"/>
  <c r="M6560" i="6"/>
  <c r="I6560" i="6"/>
  <c r="Q6559" i="6"/>
  <c r="E2858" i="17"/>
  <c r="X6559" i="6"/>
  <c r="W6559" i="6"/>
  <c r="M6559" i="6"/>
  <c r="I6559" i="6"/>
  <c r="Q6558" i="6"/>
  <c r="W6558" i="6" s="1"/>
  <c r="E2857" i="17"/>
  <c r="X6558" i="6"/>
  <c r="M6558" i="6"/>
  <c r="I6558" i="6"/>
  <c r="Q6557" i="6"/>
  <c r="W6557" i="6" s="1"/>
  <c r="E2856" i="17"/>
  <c r="X6557" i="6"/>
  <c r="I6557" i="6"/>
  <c r="M6557" i="6"/>
  <c r="Q6556" i="6"/>
  <c r="W6556" i="6" s="1"/>
  <c r="Q6555" i="6"/>
  <c r="W6555" i="6" s="1"/>
  <c r="E2855" i="17"/>
  <c r="E2854" i="17"/>
  <c r="X6556" i="6"/>
  <c r="X6555" i="6"/>
  <c r="M6556" i="6"/>
  <c r="M6555" i="6"/>
  <c r="I6555" i="6"/>
  <c r="I6556" i="6"/>
  <c r="Q6554" i="6"/>
  <c r="W6554" i="6" s="1"/>
  <c r="F2853" i="17"/>
  <c r="E2853" i="17"/>
  <c r="X6554" i="6"/>
  <c r="M6554" i="6"/>
  <c r="I6554" i="6"/>
  <c r="Q6553" i="6"/>
  <c r="W6553" i="6" s="1"/>
  <c r="F2852" i="17"/>
  <c r="E2852" i="17"/>
  <c r="X6553" i="6"/>
  <c r="M6553" i="6"/>
  <c r="I6553" i="6"/>
  <c r="Q6552" i="6"/>
  <c r="W6552" i="6" s="1"/>
  <c r="F2851" i="17"/>
  <c r="E2851" i="17"/>
  <c r="X6552" i="6"/>
  <c r="M6552" i="6"/>
  <c r="I6552" i="6"/>
  <c r="Q6551" i="6"/>
  <c r="W6551" i="6" s="1"/>
  <c r="F2850" i="17"/>
  <c r="E2850" i="17"/>
  <c r="X6551" i="6"/>
  <c r="M6551" i="6"/>
  <c r="I6551" i="6"/>
  <c r="Q6550" i="6"/>
  <c r="W6550" i="6" s="1"/>
  <c r="E2849" i="17"/>
  <c r="I6550" i="6"/>
  <c r="X6550" i="6"/>
  <c r="M6550" i="6"/>
  <c r="Q6549" i="6"/>
  <c r="W6549" i="6" s="1"/>
  <c r="E2848" i="17"/>
  <c r="X6549" i="6"/>
  <c r="M6549" i="6"/>
  <c r="I6549" i="6"/>
  <c r="Q6548" i="6"/>
  <c r="W6548" i="6" s="1"/>
  <c r="E2847" i="17"/>
  <c r="X6548" i="6"/>
  <c r="M6548" i="6"/>
  <c r="I6548" i="6"/>
  <c r="Q6547" i="6"/>
  <c r="W6547" i="6" s="1"/>
  <c r="X6547" i="6"/>
  <c r="M6547" i="6"/>
  <c r="I6547" i="6"/>
  <c r="F2846" i="17"/>
  <c r="E2846" i="17"/>
  <c r="Q6546" i="6"/>
  <c r="W6546" i="6" s="1"/>
  <c r="F2845" i="17"/>
  <c r="E2845" i="17"/>
  <c r="X6546" i="6"/>
  <c r="M6546" i="6"/>
  <c r="I6546" i="6"/>
  <c r="Q6545" i="6"/>
  <c r="W6545" i="6" s="1"/>
  <c r="F2844" i="17"/>
  <c r="E2844" i="17"/>
  <c r="X6545" i="6"/>
  <c r="M6545" i="6"/>
  <c r="I6545" i="6"/>
  <c r="Q6544" i="6"/>
  <c r="W6544" i="6" s="1"/>
  <c r="F2843" i="17"/>
  <c r="E2843" i="17"/>
  <c r="X6544" i="6"/>
  <c r="M6544" i="6"/>
  <c r="I6544" i="6"/>
  <c r="D4069" i="13"/>
  <c r="D4068" i="13"/>
  <c r="D4067" i="13"/>
  <c r="D4066" i="13"/>
  <c r="D4065" i="13"/>
  <c r="D4064" i="13"/>
  <c r="D4063" i="13"/>
  <c r="D4062" i="13"/>
  <c r="D4061" i="13"/>
  <c r="Q6542" i="6"/>
  <c r="W6542" i="6" s="1"/>
  <c r="H2842" i="17"/>
  <c r="G2842" i="17"/>
  <c r="F2842" i="17"/>
  <c r="E2842" i="17"/>
  <c r="X6542" i="6"/>
  <c r="N6542" i="6"/>
  <c r="M6542" i="6"/>
  <c r="I6542" i="6"/>
  <c r="Q6541" i="6"/>
  <c r="W6541" i="6" s="1"/>
  <c r="F2841" i="17"/>
  <c r="E2841" i="17"/>
  <c r="X6541" i="6"/>
  <c r="M6541" i="6"/>
  <c r="I6541" i="6"/>
  <c r="Q6540" i="6"/>
  <c r="Q6539" i="6"/>
  <c r="F2840" i="17"/>
  <c r="E2840" i="17"/>
  <c r="X6540" i="6"/>
  <c r="W6540" i="6"/>
  <c r="M6540" i="6"/>
  <c r="I6540" i="6"/>
  <c r="F2839" i="17"/>
  <c r="E2839" i="17"/>
  <c r="X6539" i="6"/>
  <c r="W6539" i="6"/>
  <c r="M6539" i="6"/>
  <c r="I6539" i="6"/>
  <c r="F2838" i="17"/>
  <c r="E2838" i="17"/>
  <c r="Q6538" i="6"/>
  <c r="W6538" i="6" s="1"/>
  <c r="X6538" i="6"/>
  <c r="I6538" i="6"/>
  <c r="M6538" i="6"/>
  <c r="Q6537" i="6"/>
  <c r="F2837" i="17"/>
  <c r="E2837" i="17"/>
  <c r="X6537" i="6"/>
  <c r="W6537" i="6"/>
  <c r="M6537" i="6"/>
  <c r="I6537" i="6"/>
  <c r="Q6536" i="6"/>
  <c r="W6536" i="6" s="1"/>
  <c r="F2836" i="17"/>
  <c r="E2836" i="17"/>
  <c r="X6536" i="6"/>
  <c r="I6536" i="6"/>
  <c r="M6536" i="6"/>
  <c r="Q6535" i="6"/>
  <c r="W6535" i="6" s="1"/>
  <c r="F2835" i="17"/>
  <c r="E2835" i="17"/>
  <c r="X6535" i="6"/>
  <c r="M6535" i="6"/>
  <c r="I6535" i="6"/>
  <c r="Q6534" i="6"/>
  <c r="W6534" i="6" s="1"/>
  <c r="F2834" i="17"/>
  <c r="E2834" i="17"/>
  <c r="X6534" i="6"/>
  <c r="M6534" i="6"/>
  <c r="I6534" i="6"/>
  <c r="Q6533" i="6"/>
  <c r="W6533" i="6" s="1"/>
  <c r="F2833" i="17"/>
  <c r="E2833" i="17"/>
  <c r="X6533" i="6"/>
  <c r="M6533" i="6"/>
  <c r="I6533" i="6"/>
  <c r="Q6532" i="6"/>
  <c r="W6532" i="6" s="1"/>
  <c r="F2832" i="17"/>
  <c r="E2832" i="17"/>
  <c r="X6532" i="6"/>
  <c r="M6532" i="6"/>
  <c r="I6532" i="6"/>
  <c r="Q6531" i="6"/>
  <c r="W6531" i="6" s="1"/>
  <c r="X6531" i="6"/>
  <c r="F2831" i="17"/>
  <c r="E2831" i="17"/>
  <c r="M6531" i="6"/>
  <c r="I6531" i="6"/>
  <c r="Q6530" i="6"/>
  <c r="W6530" i="6" s="1"/>
  <c r="F2830" i="17"/>
  <c r="E2830" i="17"/>
  <c r="X6530" i="6"/>
  <c r="M6530" i="6"/>
  <c r="I6530" i="6"/>
  <c r="Q6529" i="6"/>
  <c r="W6529" i="6" s="1"/>
  <c r="F2829" i="17"/>
  <c r="E2829" i="17"/>
  <c r="X6529" i="6"/>
  <c r="M6529" i="6"/>
  <c r="I6529" i="6"/>
  <c r="Q6528" i="6"/>
  <c r="W6528" i="6" s="1"/>
  <c r="F2828" i="17"/>
  <c r="E2828" i="17"/>
  <c r="X6528" i="6"/>
  <c r="M6528" i="6"/>
  <c r="I6528" i="6"/>
  <c r="Q6527" i="6"/>
  <c r="W6527" i="6" s="1"/>
  <c r="F2827" i="17"/>
  <c r="E2827" i="17"/>
  <c r="X6527" i="6"/>
  <c r="M6527" i="6"/>
  <c r="I6527" i="6"/>
  <c r="Q6526" i="6"/>
  <c r="W6526" i="6" s="1"/>
  <c r="F2826" i="17"/>
  <c r="E2826" i="17"/>
  <c r="X6526" i="6"/>
  <c r="M6526" i="6"/>
  <c r="I6526" i="6"/>
  <c r="Q6525" i="6"/>
  <c r="W6525" i="6" s="1"/>
  <c r="F2825" i="17"/>
  <c r="E2825" i="17"/>
  <c r="X6525" i="6"/>
  <c r="M6525" i="6"/>
  <c r="I6525" i="6"/>
  <c r="Q6524" i="6"/>
  <c r="W6524" i="6" s="1"/>
  <c r="E2824" i="17"/>
  <c r="F2824" i="17"/>
  <c r="X6524" i="6"/>
  <c r="M6524" i="6"/>
  <c r="I6524" i="6"/>
  <c r="Q6523" i="6"/>
  <c r="W6523" i="6" s="1"/>
  <c r="N6519" i="6"/>
  <c r="F2823" i="17"/>
  <c r="E2823" i="17"/>
  <c r="X6523" i="6"/>
  <c r="M6523" i="6"/>
  <c r="I6523" i="6"/>
  <c r="Q6522" i="6"/>
  <c r="W6522" i="6" s="1"/>
  <c r="Q6521" i="6"/>
  <c r="W6521" i="6" s="1"/>
  <c r="F2822" i="17"/>
  <c r="E2822" i="17"/>
  <c r="M6522" i="6"/>
  <c r="X6522" i="6"/>
  <c r="I6522" i="6"/>
  <c r="H2820" i="17"/>
  <c r="G2820" i="17"/>
  <c r="D4060" i="13"/>
  <c r="D4059" i="13"/>
  <c r="D4058" i="13"/>
  <c r="D4057" i="13"/>
  <c r="D4056" i="13"/>
  <c r="D4055" i="13"/>
  <c r="D4054" i="13"/>
  <c r="D4053" i="13"/>
  <c r="F2821" i="17"/>
  <c r="E2821" i="17"/>
  <c r="X6521" i="6"/>
  <c r="M6521" i="6"/>
  <c r="I6521" i="6"/>
  <c r="V6520" i="6"/>
  <c r="V6475" i="6"/>
  <c r="V6498" i="6"/>
  <c r="Q6519" i="6"/>
  <c r="W6519" i="6" s="1"/>
  <c r="F2820" i="17"/>
  <c r="E2820" i="17"/>
  <c r="X6519" i="6"/>
  <c r="O6519" i="6"/>
  <c r="M6519" i="6"/>
  <c r="I6519" i="6"/>
  <c r="Q6518" i="6"/>
  <c r="F2819" i="17"/>
  <c r="E2819" i="17"/>
  <c r="X6518" i="6"/>
  <c r="W6518" i="6"/>
  <c r="M6518" i="6"/>
  <c r="I6518" i="6"/>
  <c r="Q6517" i="6"/>
  <c r="W6517" i="6" s="1"/>
  <c r="F2818" i="17"/>
  <c r="E2818" i="17"/>
  <c r="X6517" i="6"/>
  <c r="M6517" i="6"/>
  <c r="I6517" i="6"/>
  <c r="Q6516" i="6"/>
  <c r="W6516" i="6" s="1"/>
  <c r="F2817" i="17"/>
  <c r="E2817" i="17"/>
  <c r="X6516" i="6"/>
  <c r="M6516" i="6"/>
  <c r="I6516" i="6"/>
  <c r="Q6515" i="6"/>
  <c r="W6515" i="6" s="1"/>
  <c r="F2816" i="17"/>
  <c r="E2816" i="17"/>
  <c r="X6515" i="6"/>
  <c r="M6515" i="6"/>
  <c r="I6515" i="6"/>
  <c r="Q6514" i="6"/>
  <c r="W6514" i="6" s="1"/>
  <c r="F2815" i="17"/>
  <c r="E2815" i="17"/>
  <c r="X6514" i="6"/>
  <c r="M6514" i="6"/>
  <c r="I6514" i="6"/>
  <c r="Q6513" i="6"/>
  <c r="W6513" i="6" s="1"/>
  <c r="F2814" i="17"/>
  <c r="E2814" i="17"/>
  <c r="X6513" i="6"/>
  <c r="M6513" i="6"/>
  <c r="I6513" i="6"/>
  <c r="Q6512" i="6"/>
  <c r="W6512" i="6" s="1"/>
  <c r="F2813" i="17"/>
  <c r="E2813" i="17"/>
  <c r="X6512" i="6"/>
  <c r="M6512" i="6"/>
  <c r="I6512" i="6"/>
  <c r="Q6511" i="6"/>
  <c r="W6511" i="6" s="1"/>
  <c r="F2812" i="17"/>
  <c r="E2812" i="17"/>
  <c r="X6511" i="6"/>
  <c r="M6511" i="6"/>
  <c r="I6511" i="6"/>
  <c r="Q6510" i="6"/>
  <c r="W6510" i="6" s="1"/>
  <c r="F2811" i="17"/>
  <c r="E2811" i="17"/>
  <c r="X6510" i="6"/>
  <c r="M6510" i="6"/>
  <c r="I6510" i="6"/>
  <c r="Q6509" i="6"/>
  <c r="W6509" i="6" s="1"/>
  <c r="F2810" i="17"/>
  <c r="E2810" i="17"/>
  <c r="X6509" i="6"/>
  <c r="M6509" i="6"/>
  <c r="I6509" i="6"/>
  <c r="Q6508" i="6"/>
  <c r="W6508" i="6" s="1"/>
  <c r="F2809" i="17"/>
  <c r="E2809" i="17"/>
  <c r="X6508" i="6"/>
  <c r="M6508" i="6"/>
  <c r="I6508" i="6"/>
  <c r="Q6507" i="6"/>
  <c r="W6507" i="6" s="1"/>
  <c r="F2808" i="17"/>
  <c r="E2808" i="17"/>
  <c r="X6507" i="6"/>
  <c r="M6507" i="6"/>
  <c r="I6507" i="6"/>
  <c r="Q6506" i="6"/>
  <c r="W6506" i="6" s="1"/>
  <c r="F2807" i="17"/>
  <c r="E2807" i="17"/>
  <c r="X6506" i="6"/>
  <c r="M6506" i="6"/>
  <c r="I6506" i="6"/>
  <c r="Q6505" i="6"/>
  <c r="W6505" i="6" s="1"/>
  <c r="E2806" i="17"/>
  <c r="F2806" i="17"/>
  <c r="X6505" i="6"/>
  <c r="M6505" i="6"/>
  <c r="I6505" i="6"/>
  <c r="W6497" i="6"/>
  <c r="W6503" i="6"/>
  <c r="Q6504" i="6"/>
  <c r="W6504" i="6" s="1"/>
  <c r="F2805" i="17"/>
  <c r="E2805" i="17"/>
  <c r="X6504" i="6"/>
  <c r="M6504" i="6"/>
  <c r="I6504" i="6"/>
  <c r="F2804" i="17"/>
  <c r="E2804" i="17"/>
  <c r="X6497" i="6"/>
  <c r="X6503" i="6"/>
  <c r="M6503" i="6"/>
  <c r="I6503" i="6"/>
  <c r="Q6502" i="6"/>
  <c r="F2803" i="17"/>
  <c r="E2803" i="17"/>
  <c r="X6502" i="6"/>
  <c r="W6502" i="6"/>
  <c r="M6502" i="6"/>
  <c r="I6502" i="6"/>
  <c r="Q6501" i="6"/>
  <c r="W6501" i="6" s="1"/>
  <c r="F2802" i="17"/>
  <c r="E2802" i="17"/>
  <c r="X6501" i="6"/>
  <c r="M6501" i="6"/>
  <c r="I6501" i="6"/>
  <c r="Q6500" i="6"/>
  <c r="W6500" i="6" s="1"/>
  <c r="I6500" i="6"/>
  <c r="M6500" i="6"/>
  <c r="X6500" i="6"/>
  <c r="F2801" i="17"/>
  <c r="E2801" i="17"/>
  <c r="D4052" i="13"/>
  <c r="D4051" i="13"/>
  <c r="D4050" i="13"/>
  <c r="D4049" i="13"/>
  <c r="D4048" i="13"/>
  <c r="D4047" i="13"/>
  <c r="D4046" i="13"/>
  <c r="D4045" i="13"/>
  <c r="D4044" i="13"/>
  <c r="G2799" i="17"/>
  <c r="G2777" i="17"/>
  <c r="N6497" i="6"/>
  <c r="X6499" i="6"/>
  <c r="Q6499" i="6"/>
  <c r="W6499" i="6" s="1"/>
  <c r="F2800" i="17"/>
  <c r="E2800" i="17"/>
  <c r="O6497" i="6"/>
  <c r="M6499" i="6"/>
  <c r="I6499" i="6"/>
  <c r="Q6496" i="6"/>
  <c r="W6496" i="6" s="1"/>
  <c r="H2799" i="17"/>
  <c r="F2799" i="17"/>
  <c r="E2799" i="17"/>
  <c r="M6497" i="6"/>
  <c r="I6497" i="6"/>
  <c r="F2798" i="17"/>
  <c r="E2798" i="17"/>
  <c r="X6496" i="6"/>
  <c r="M6496" i="6"/>
  <c r="I6496" i="6"/>
  <c r="Q6495" i="6"/>
  <c r="W6495" i="6" s="1"/>
  <c r="Q6494" i="6"/>
  <c r="W6494" i="6" s="1"/>
  <c r="F2797" i="17"/>
  <c r="E2797" i="17"/>
  <c r="I6495" i="6"/>
  <c r="X6495" i="6"/>
  <c r="M6495" i="6"/>
  <c r="I6494" i="6"/>
  <c r="I6493" i="6"/>
  <c r="Q6493" i="6"/>
  <c r="W6493" i="6" s="1"/>
  <c r="F2796" i="17"/>
  <c r="E2796" i="17"/>
  <c r="X6494" i="6"/>
  <c r="M6494" i="6"/>
  <c r="Q6492" i="6"/>
  <c r="W6492" i="6" s="1"/>
  <c r="F2795" i="17"/>
  <c r="E2795" i="17"/>
  <c r="M6493" i="6"/>
  <c r="X6493" i="6"/>
  <c r="Q6491" i="6"/>
  <c r="W6491" i="6" s="1"/>
  <c r="F2794" i="17"/>
  <c r="E2794" i="17"/>
  <c r="X6492" i="6"/>
  <c r="M6492" i="6"/>
  <c r="I6492" i="6"/>
  <c r="F2793" i="17"/>
  <c r="E2793" i="17"/>
  <c r="X6491" i="6"/>
  <c r="M6491" i="6"/>
  <c r="I6491" i="6"/>
  <c r="Q6490" i="6"/>
  <c r="W6490" i="6" s="1"/>
  <c r="F2792" i="17"/>
  <c r="E2792" i="17"/>
  <c r="X6490" i="6"/>
  <c r="M6490" i="6"/>
  <c r="I6490" i="6"/>
  <c r="Q6489" i="6"/>
  <c r="W6489" i="6" s="1"/>
  <c r="F2791" i="17"/>
  <c r="E2791" i="17"/>
  <c r="X6489" i="6"/>
  <c r="M6489" i="6"/>
  <c r="I6489" i="6"/>
  <c r="Q6488" i="6"/>
  <c r="W6488" i="6" s="1"/>
  <c r="F2790" i="17"/>
  <c r="E2790" i="17"/>
  <c r="X6488" i="6"/>
  <c r="M6488" i="6"/>
  <c r="I6488" i="6"/>
  <c r="Q6486" i="6"/>
  <c r="W6486" i="6" s="1"/>
  <c r="Q6487" i="6"/>
  <c r="W6487" i="6" s="1"/>
  <c r="F2789" i="17"/>
  <c r="E2789" i="17"/>
  <c r="X6487" i="6"/>
  <c r="M6487" i="6"/>
  <c r="I6487" i="6"/>
  <c r="F2788" i="17"/>
  <c r="E2788" i="17"/>
  <c r="X6486" i="6"/>
  <c r="M6486" i="6"/>
  <c r="I6486" i="6"/>
  <c r="Q6485" i="6"/>
  <c r="W6485" i="6" s="1"/>
  <c r="F2787" i="17"/>
  <c r="E2787" i="17"/>
  <c r="X6485" i="6"/>
  <c r="M6485" i="6"/>
  <c r="I6485" i="6"/>
  <c r="Q6484" i="6"/>
  <c r="W6484" i="6" s="1"/>
  <c r="Q6483" i="6"/>
  <c r="W6483" i="6" s="1"/>
  <c r="Q6482" i="6"/>
  <c r="W6482" i="6" s="1"/>
  <c r="Q6481" i="6"/>
  <c r="W6481" i="6" s="1"/>
  <c r="X6481" i="6"/>
  <c r="X6482" i="6"/>
  <c r="X6483" i="6"/>
  <c r="X6484" i="6"/>
  <c r="M6484" i="6"/>
  <c r="I6484" i="6"/>
  <c r="M6481" i="6"/>
  <c r="M6482" i="6"/>
  <c r="M6483" i="6"/>
  <c r="I6483" i="6"/>
  <c r="F2786" i="17"/>
  <c r="E2786" i="17"/>
  <c r="F2785" i="17"/>
  <c r="E2785" i="17"/>
  <c r="F2784" i="17"/>
  <c r="E2784" i="17"/>
  <c r="F2783" i="17"/>
  <c r="E2783" i="17"/>
  <c r="I6482" i="6"/>
  <c r="I6481" i="6"/>
  <c r="Q6479" i="6"/>
  <c r="W6479" i="6" s="1"/>
  <c r="Q6480" i="6"/>
  <c r="W6480" i="6" s="1"/>
  <c r="F2782" i="17"/>
  <c r="E2782" i="17"/>
  <c r="X6480" i="6"/>
  <c r="M6480" i="6"/>
  <c r="I6480" i="6"/>
  <c r="F2781" i="17"/>
  <c r="E2781" i="17"/>
  <c r="X6479" i="6"/>
  <c r="M6479" i="6"/>
  <c r="I6479" i="6"/>
  <c r="Q6478" i="6"/>
  <c r="W6478" i="6" s="1"/>
  <c r="Q6474" i="6"/>
  <c r="F2780" i="17"/>
  <c r="E2780" i="17"/>
  <c r="X6478" i="6"/>
  <c r="M6478" i="6"/>
  <c r="I6478" i="6"/>
  <c r="Q6477" i="6"/>
  <c r="W6477" i="6" s="1"/>
  <c r="Q6476" i="6"/>
  <c r="W6476" i="6" s="1"/>
  <c r="N6474" i="6"/>
  <c r="F2779" i="17"/>
  <c r="E2779" i="17"/>
  <c r="X6477" i="6"/>
  <c r="M6477" i="6"/>
  <c r="I6477" i="6"/>
  <c r="D4043" i="13"/>
  <c r="D4042" i="13"/>
  <c r="D4041" i="13"/>
  <c r="D4040" i="13"/>
  <c r="D4039" i="13"/>
  <c r="D4038" i="13"/>
  <c r="D4037" i="13"/>
  <c r="D4036" i="13"/>
  <c r="D4035" i="13"/>
  <c r="F2778" i="17"/>
  <c r="E2778" i="17"/>
  <c r="X6476" i="6"/>
  <c r="M6476" i="6"/>
  <c r="I6476" i="6"/>
  <c r="H2777" i="17"/>
  <c r="O6474" i="6"/>
  <c r="F2777" i="17"/>
  <c r="E2777" i="17"/>
  <c r="X6474" i="6"/>
  <c r="W6474" i="6"/>
  <c r="M6474" i="6"/>
  <c r="I6474" i="6"/>
  <c r="Q6473" i="6"/>
  <c r="E2776" i="17"/>
  <c r="F2776" i="17"/>
  <c r="X6473" i="6"/>
  <c r="W6473" i="6"/>
  <c r="M6473" i="6"/>
  <c r="I6473" i="6"/>
  <c r="Q6472" i="6"/>
  <c r="W6472" i="6" s="1"/>
  <c r="Q6471" i="6"/>
  <c r="W6471" i="6" s="1"/>
  <c r="F2774" i="17"/>
  <c r="E2774" i="17"/>
  <c r="X6471" i="6"/>
  <c r="M6471" i="6"/>
  <c r="I6471" i="6"/>
  <c r="Q6470" i="6"/>
  <c r="W6470" i="6" s="1"/>
  <c r="F2773" i="17"/>
  <c r="E2773" i="17"/>
  <c r="X6470" i="6"/>
  <c r="M6470" i="6"/>
  <c r="I6470" i="6"/>
  <c r="Q6469" i="6"/>
  <c r="W6469" i="6" s="1"/>
  <c r="E2772" i="17"/>
  <c r="E2771" i="17"/>
  <c r="F2772" i="17"/>
  <c r="X6469" i="6"/>
  <c r="M6469" i="6"/>
  <c r="I6469" i="6"/>
  <c r="Q6468" i="6"/>
  <c r="W6468" i="6" s="1"/>
  <c r="F2771" i="17"/>
  <c r="X6468" i="6"/>
  <c r="M6468" i="6"/>
  <c r="I6468" i="6"/>
  <c r="Q6467" i="6"/>
  <c r="W6467" i="6" s="1"/>
  <c r="F2770" i="17"/>
  <c r="E2770" i="17"/>
  <c r="X6467" i="6"/>
  <c r="M6467" i="6"/>
  <c r="I6467" i="6"/>
  <c r="Q6466" i="6"/>
  <c r="W6466" i="6" s="1"/>
  <c r="F2769" i="17"/>
  <c r="E2769" i="17"/>
  <c r="X6466" i="6"/>
  <c r="M6466" i="6"/>
  <c r="I6466" i="6"/>
  <c r="Q6465" i="6"/>
  <c r="W6465" i="6" s="1"/>
  <c r="F2768" i="17"/>
  <c r="E2768" i="17"/>
  <c r="X6465" i="6"/>
  <c r="M6465" i="6"/>
  <c r="I6465" i="6"/>
  <c r="Q6464" i="6"/>
  <c r="W6464" i="6" s="1"/>
  <c r="F2767" i="17"/>
  <c r="E2767" i="17"/>
  <c r="X6464" i="6"/>
  <c r="M6464" i="6"/>
  <c r="I6464" i="6"/>
  <c r="Q6463" i="6"/>
  <c r="W6463" i="6" s="1"/>
  <c r="F2766" i="17"/>
  <c r="E2766" i="17"/>
  <c r="X6463" i="6"/>
  <c r="M6463" i="6"/>
  <c r="I6463" i="6"/>
  <c r="Q6462" i="6"/>
  <c r="W6462" i="6" s="1"/>
  <c r="F2765" i="17"/>
  <c r="E2765" i="17"/>
  <c r="X6462" i="6"/>
  <c r="M6462" i="6"/>
  <c r="I6462" i="6"/>
  <c r="F2764" i="17"/>
  <c r="E2764" i="17"/>
  <c r="Q6461" i="6"/>
  <c r="W6461" i="6" s="1"/>
  <c r="X6461" i="6"/>
  <c r="M6461" i="6"/>
  <c r="I6461" i="6"/>
  <c r="Q6460" i="6"/>
  <c r="W6460" i="6" s="1"/>
  <c r="F2763" i="17"/>
  <c r="E2763" i="17"/>
  <c r="X6460" i="6"/>
  <c r="M6460" i="6"/>
  <c r="I6460" i="6"/>
  <c r="Q6459" i="6"/>
  <c r="W6459" i="6" s="1"/>
  <c r="F2762" i="17"/>
  <c r="E2762" i="17"/>
  <c r="X6459" i="6"/>
  <c r="M6459" i="6"/>
  <c r="I6459" i="6"/>
  <c r="F2761" i="17"/>
  <c r="E2761" i="17"/>
  <c r="Q6458" i="6"/>
  <c r="W6458" i="6" s="1"/>
  <c r="X6458" i="6"/>
  <c r="M6458" i="6"/>
  <c r="I6458" i="6"/>
  <c r="F2760" i="17"/>
  <c r="E2760" i="17"/>
  <c r="Q6457" i="6"/>
  <c r="W6457" i="6" s="1"/>
  <c r="X6457" i="6"/>
  <c r="M6457" i="6"/>
  <c r="I6457" i="6"/>
  <c r="Q6456" i="6"/>
  <c r="W6456" i="6" s="1"/>
  <c r="F2759" i="17"/>
  <c r="E2759" i="17"/>
  <c r="X6456" i="6"/>
  <c r="M6456" i="6"/>
  <c r="I6456" i="6"/>
  <c r="Q6455" i="6"/>
  <c r="W6455" i="6" s="1"/>
  <c r="F2758" i="17"/>
  <c r="E2758" i="17"/>
  <c r="X6455" i="6"/>
  <c r="M6455" i="6"/>
  <c r="I6455" i="6"/>
  <c r="F2757" i="17"/>
  <c r="E2757" i="17"/>
  <c r="Q6454" i="6"/>
  <c r="W6454" i="6" s="1"/>
  <c r="X6454" i="6"/>
  <c r="M6454" i="6"/>
  <c r="I6454" i="6"/>
  <c r="Q6453" i="6"/>
  <c r="W6453" i="6" s="1"/>
  <c r="F2756" i="17"/>
  <c r="E2756" i="17"/>
  <c r="X6453" i="6"/>
  <c r="M6453" i="6"/>
  <c r="I6453" i="6"/>
  <c r="D4034" i="13"/>
  <c r="D4033" i="13"/>
  <c r="D4032" i="13"/>
  <c r="D4031" i="13"/>
  <c r="D4030" i="13"/>
  <c r="D4029" i="13"/>
  <c r="D4028" i="13"/>
  <c r="D4027" i="13"/>
  <c r="D4026" i="13"/>
  <c r="E4034" i="13" s="1"/>
  <c r="Q6452" i="6"/>
  <c r="W6452" i="6" s="1"/>
  <c r="F2755" i="17"/>
  <c r="E2755" i="17"/>
  <c r="X6452" i="6"/>
  <c r="M6452" i="6"/>
  <c r="I6452" i="6"/>
  <c r="V6451" i="6"/>
  <c r="H2754" i="17"/>
  <c r="G2754" i="17"/>
  <c r="F2754" i="17"/>
  <c r="E2754" i="17"/>
  <c r="Q6450" i="6"/>
  <c r="W6450" i="6" s="1"/>
  <c r="X6450" i="6"/>
  <c r="O6450" i="6"/>
  <c r="N6450" i="6"/>
  <c r="M6450" i="6"/>
  <c r="I6450" i="6"/>
  <c r="Q6449" i="6"/>
  <c r="W6449" i="6" s="1"/>
  <c r="F2753" i="17"/>
  <c r="E2753" i="17"/>
  <c r="X6449" i="6"/>
  <c r="M6449" i="6"/>
  <c r="I6449" i="6"/>
  <c r="Q6448" i="6"/>
  <c r="W6448" i="6" s="1"/>
  <c r="F2752" i="17"/>
  <c r="E2752" i="17"/>
  <c r="V6429" i="6"/>
  <c r="X6448" i="6"/>
  <c r="M6448" i="6"/>
  <c r="I6448" i="6"/>
  <c r="Q6447" i="6"/>
  <c r="W6447" i="6" s="1"/>
  <c r="I6447" i="6"/>
  <c r="X6447" i="6"/>
  <c r="F2751" i="17"/>
  <c r="E2751" i="17"/>
  <c r="M6447" i="6"/>
  <c r="Q6446" i="6"/>
  <c r="W6446" i="6" s="1"/>
  <c r="F2750" i="17"/>
  <c r="E2750" i="17"/>
  <c r="X6446" i="6"/>
  <c r="M6446" i="6"/>
  <c r="I6446" i="6"/>
  <c r="Q6445" i="6"/>
  <c r="W6445" i="6" s="1"/>
  <c r="F2749" i="17"/>
  <c r="E2749" i="17"/>
  <c r="X6445" i="6"/>
  <c r="M6445" i="6"/>
  <c r="I6445" i="6"/>
  <c r="Q6444" i="6"/>
  <c r="W6444" i="6"/>
  <c r="F2748" i="17"/>
  <c r="E2748" i="17"/>
  <c r="X6444" i="6"/>
  <c r="M6444" i="6"/>
  <c r="I6444" i="6"/>
  <c r="Q6443" i="6"/>
  <c r="W6443" i="6" s="1"/>
  <c r="F2747" i="17"/>
  <c r="E2747" i="17"/>
  <c r="X6443" i="6"/>
  <c r="M6443" i="6"/>
  <c r="I6443" i="6"/>
  <c r="Q6442" i="6"/>
  <c r="W6442" i="6" s="1"/>
  <c r="F2746" i="17"/>
  <c r="E2746" i="17"/>
  <c r="X6442" i="6"/>
  <c r="M6442" i="6"/>
  <c r="I6442" i="6"/>
  <c r="Q6441" i="6"/>
  <c r="W6441" i="6" s="1"/>
  <c r="F2745" i="17"/>
  <c r="E2745" i="17"/>
  <c r="X6441" i="6"/>
  <c r="M6441" i="6"/>
  <c r="I6441" i="6"/>
  <c r="F2744" i="17"/>
  <c r="E2744" i="17"/>
  <c r="Q6440" i="6"/>
  <c r="W6440" i="6" s="1"/>
  <c r="X6440" i="6"/>
  <c r="M6440" i="6"/>
  <c r="I6440" i="6"/>
  <c r="Q6439" i="6"/>
  <c r="W6439" i="6" s="1"/>
  <c r="X6439" i="6"/>
  <c r="I6439" i="6"/>
  <c r="F2743" i="17"/>
  <c r="E2743" i="17"/>
  <c r="M6439" i="6"/>
  <c r="Q6438" i="6"/>
  <c r="W6438" i="6" s="1"/>
  <c r="F2742" i="17"/>
  <c r="E2742" i="17"/>
  <c r="X6438" i="6"/>
  <c r="M6438" i="6"/>
  <c r="I6438" i="6"/>
  <c r="Q6437" i="6"/>
  <c r="W6437" i="6" s="1"/>
  <c r="F2741" i="17"/>
  <c r="E2741" i="17"/>
  <c r="X6437" i="6"/>
  <c r="I6437" i="6"/>
  <c r="M6437" i="6"/>
  <c r="F2740" i="17"/>
  <c r="E2740" i="17"/>
  <c r="X6436" i="6"/>
  <c r="Q6436" i="6"/>
  <c r="W6436" i="6" s="1"/>
  <c r="M6436" i="6"/>
  <c r="I6436" i="6"/>
  <c r="Q6435" i="6"/>
  <c r="W6435" i="6"/>
  <c r="F2739" i="17"/>
  <c r="E2739" i="17"/>
  <c r="X6435" i="6"/>
  <c r="I6435" i="6"/>
  <c r="M6435" i="6"/>
  <c r="Q6434" i="6"/>
  <c r="W6434" i="6" s="1"/>
  <c r="F2738" i="17"/>
  <c r="E2738" i="17"/>
  <c r="X6434" i="6"/>
  <c r="M6434" i="6"/>
  <c r="I6434" i="6"/>
  <c r="Q6433" i="6"/>
  <c r="W6433" i="6" s="1"/>
  <c r="F2737" i="17"/>
  <c r="E2737" i="17"/>
  <c r="I6433" i="6"/>
  <c r="X6433" i="6"/>
  <c r="M6433" i="6"/>
  <c r="Q6432" i="6"/>
  <c r="W6432" i="6" s="1"/>
  <c r="F2736" i="17"/>
  <c r="E2736" i="17"/>
  <c r="X6432" i="6"/>
  <c r="I6432" i="6"/>
  <c r="M6432" i="6"/>
  <c r="Q6431" i="6"/>
  <c r="W6431" i="6" s="1"/>
  <c r="F2735" i="17"/>
  <c r="E2735"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Q6430" i="6"/>
  <c r="W6430" i="6" s="1"/>
  <c r="F2734" i="17"/>
  <c r="E2734" i="17"/>
  <c r="X6430" i="6"/>
  <c r="I6430" i="6"/>
  <c r="M6430" i="6"/>
  <c r="Q6428" i="6"/>
  <c r="W6428" i="6" s="1"/>
  <c r="X6428" i="6"/>
  <c r="I6428" i="6"/>
  <c r="F2733" i="17"/>
  <c r="E2733" i="17"/>
  <c r="H2733" i="17"/>
  <c r="G2733" i="17"/>
  <c r="M6428" i="6"/>
  <c r="O6428" i="6"/>
  <c r="N6428" i="6"/>
  <c r="Q6427" i="6"/>
  <c r="W6427" i="6" s="1"/>
  <c r="X6427" i="6"/>
  <c r="I6427" i="6"/>
  <c r="F2732" i="17"/>
  <c r="E2732" i="17"/>
  <c r="M6427" i="6"/>
  <c r="Q6426" i="6"/>
  <c r="W6426" i="6" s="1"/>
  <c r="X6426" i="6"/>
  <c r="F2731" i="17"/>
  <c r="E2731" i="17"/>
  <c r="I6426" i="6"/>
  <c r="M6426" i="6"/>
  <c r="Q6425" i="6"/>
  <c r="W6425" i="6" s="1"/>
  <c r="F2730" i="17"/>
  <c r="E2730" i="17"/>
  <c r="X6425" i="6"/>
  <c r="I6425" i="6"/>
  <c r="M6425" i="6"/>
  <c r="Q6424" i="6"/>
  <c r="W6424" i="6" s="1"/>
  <c r="X6424" i="6"/>
  <c r="M6424" i="6"/>
  <c r="I6424" i="6"/>
  <c r="F2729" i="17"/>
  <c r="E2729" i="17"/>
  <c r="Q6423" i="6"/>
  <c r="W6423" i="6" s="1"/>
  <c r="F2728" i="17"/>
  <c r="E2728" i="17"/>
  <c r="Q6422" i="6"/>
  <c r="W6422" i="6" s="1"/>
  <c r="X6423" i="6"/>
  <c r="I6423" i="6"/>
  <c r="M6423" i="6"/>
  <c r="F2727" i="17"/>
  <c r="E2727" i="17"/>
  <c r="X6422" i="6"/>
  <c r="I6422" i="6"/>
  <c r="M6422" i="6"/>
  <c r="Q6421" i="6"/>
  <c r="W6421" i="6" s="1"/>
  <c r="F2726" i="17"/>
  <c r="E2726" i="17"/>
  <c r="X6421" i="6"/>
  <c r="I6421" i="6"/>
  <c r="M6421" i="6"/>
  <c r="F2725" i="17"/>
  <c r="E2725" i="17"/>
  <c r="Q6420" i="6"/>
  <c r="W6420" i="6" s="1"/>
  <c r="X6420" i="6"/>
  <c r="M6420" i="6"/>
  <c r="I6420" i="6"/>
  <c r="Q6419" i="6"/>
  <c r="W6419" i="6" s="1"/>
  <c r="X6419" i="6"/>
  <c r="F2724" i="17"/>
  <c r="E2724" i="17"/>
  <c r="I6419" i="6"/>
  <c r="M6419" i="6"/>
  <c r="Q6418" i="6"/>
  <c r="W6418" i="6" s="1"/>
  <c r="X6418" i="6"/>
  <c r="F2723" i="17"/>
  <c r="E2723" i="17"/>
  <c r="I6418" i="6"/>
  <c r="M6418" i="6"/>
  <c r="Q6417" i="6"/>
  <c r="W6417" i="6" s="1"/>
  <c r="F2722" i="17"/>
  <c r="E2722" i="17"/>
  <c r="I6417" i="6"/>
  <c r="X6417" i="6"/>
  <c r="M6417" i="6"/>
  <c r="Q6416" i="6"/>
  <c r="W6416" i="6" s="1"/>
  <c r="F2721" i="17"/>
  <c r="X6416" i="6"/>
  <c r="E2721" i="17"/>
  <c r="I6416" i="6"/>
  <c r="M6416" i="6"/>
  <c r="Q6415" i="6"/>
  <c r="W6415" i="6" s="1"/>
  <c r="F2720" i="17"/>
  <c r="E2720" i="17"/>
  <c r="X6415" i="6"/>
  <c r="I6415" i="6"/>
  <c r="M6415" i="6"/>
  <c r="Q6414" i="6"/>
  <c r="W6414" i="6" s="1"/>
  <c r="F2719" i="17"/>
  <c r="E2719" i="17"/>
  <c r="X6414" i="6"/>
  <c r="M6414" i="6"/>
  <c r="I6414" i="6"/>
  <c r="Q6413" i="6"/>
  <c r="W6413" i="6" s="1"/>
  <c r="F2718" i="17"/>
  <c r="E2718" i="17"/>
  <c r="X6413" i="6"/>
  <c r="I6413" i="6"/>
  <c r="M6413" i="6"/>
  <c r="Q6412" i="6"/>
  <c r="W6412" i="6" s="1"/>
  <c r="F2717" i="17"/>
  <c r="E2717" i="17"/>
  <c r="X6412" i="6"/>
  <c r="M6412" i="6"/>
  <c r="I6412" i="6"/>
  <c r="Q6411" i="6"/>
  <c r="W6411" i="6" s="1"/>
  <c r="M6411" i="6"/>
  <c r="F2715" i="17"/>
  <c r="F2716" i="17"/>
  <c r="E2716" i="17"/>
  <c r="X6411" i="6"/>
  <c r="I6411" i="6"/>
  <c r="Q6410" i="6"/>
  <c r="W6410" i="6" s="1"/>
  <c r="X6410" i="6"/>
  <c r="X6409" i="6"/>
  <c r="W6409" i="6"/>
  <c r="I6410" i="6"/>
  <c r="E2715"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Q6407" i="6"/>
  <c r="W6407" i="6" s="1"/>
  <c r="B2711" i="17"/>
  <c r="F2712" i="17"/>
  <c r="E2712" i="17"/>
  <c r="I6407" i="6"/>
  <c r="M6407" i="6"/>
  <c r="V6406" i="6"/>
  <c r="X6407" i="6"/>
  <c r="I6405" i="6"/>
  <c r="X6405" i="6"/>
  <c r="W6405" i="6"/>
  <c r="H2711" i="17"/>
  <c r="G2711" i="17"/>
  <c r="F2711" i="17"/>
  <c r="E2711" i="17"/>
  <c r="O6405" i="6"/>
  <c r="N6405" i="6"/>
  <c r="M6405" i="6"/>
  <c r="Q6404" i="6"/>
  <c r="W6404" i="6" s="1"/>
  <c r="F2710" i="17"/>
  <c r="E2710" i="17"/>
  <c r="Q6403" i="6"/>
  <c r="W6403" i="6" s="1"/>
  <c r="X6404" i="6"/>
  <c r="X6403" i="6"/>
  <c r="M6404" i="6"/>
  <c r="I6404" i="6"/>
  <c r="I6403" i="6"/>
  <c r="F2709" i="17"/>
  <c r="E2709" i="17"/>
  <c r="M6403" i="6"/>
  <c r="Q6402" i="6"/>
  <c r="W6402" i="6" s="1"/>
  <c r="I6402" i="6"/>
  <c r="X6402" i="6"/>
  <c r="F2708" i="17"/>
  <c r="E2708" i="17"/>
  <c r="M6402" i="6"/>
  <c r="Q6401" i="6"/>
  <c r="W6401" i="6" s="1"/>
  <c r="X6401" i="6"/>
  <c r="F2707" i="17"/>
  <c r="E2707" i="17"/>
  <c r="I6401" i="6"/>
  <c r="M6401" i="6"/>
  <c r="F2706" i="17"/>
  <c r="E2706" i="17"/>
  <c r="Q6400" i="6"/>
  <c r="W6400" i="6" s="1"/>
  <c r="M6400" i="6"/>
  <c r="X6400" i="6"/>
  <c r="I6400" i="6"/>
  <c r="F2705" i="17"/>
  <c r="E2705" i="17"/>
  <c r="X6399" i="6"/>
  <c r="Q6399" i="6"/>
  <c r="W6399" i="6" s="1"/>
  <c r="I6399" i="6"/>
  <c r="M6399" i="6"/>
  <c r="E2704" i="17"/>
  <c r="F2704" i="17"/>
  <c r="Q6398" i="6"/>
  <c r="W6398" i="6" s="1"/>
  <c r="I6398" i="6"/>
  <c r="X6398" i="6"/>
  <c r="M6398" i="6"/>
  <c r="Q6397" i="6"/>
  <c r="W6397" i="6" s="1"/>
  <c r="I6397" i="6"/>
  <c r="X6397" i="6"/>
  <c r="F2703" i="17"/>
  <c r="E2703" i="17"/>
  <c r="M6397" i="6"/>
  <c r="Q6396" i="6"/>
  <c r="W6396" i="6" s="1"/>
  <c r="E2702" i="17"/>
  <c r="F2702" i="17"/>
  <c r="X6396" i="6"/>
  <c r="I6396" i="6"/>
  <c r="M6396" i="6"/>
  <c r="F2701" i="17"/>
  <c r="E2701" i="17"/>
  <c r="Q6395" i="6"/>
  <c r="W6395" i="6" s="1"/>
  <c r="Q6394" i="6"/>
  <c r="W6394" i="6" s="1"/>
  <c r="X6395" i="6"/>
  <c r="I6395" i="6"/>
  <c r="M6395" i="6"/>
  <c r="Q6393" i="6"/>
  <c r="W6393" i="6" s="1"/>
  <c r="X6394" i="6"/>
  <c r="F2700" i="17"/>
  <c r="E2700" i="17"/>
  <c r="I6394" i="6"/>
  <c r="M6394" i="6"/>
  <c r="X6393" i="6"/>
  <c r="I6393" i="6"/>
  <c r="F2699" i="17"/>
  <c r="E2699" i="17"/>
  <c r="M6393" i="6"/>
  <c r="I6392" i="6"/>
  <c r="Q6392" i="6"/>
  <c r="W6392" i="6" s="1"/>
  <c r="X6392" i="6"/>
  <c r="F2698" i="17"/>
  <c r="E2698" i="17"/>
  <c r="M6392" i="6"/>
  <c r="Q6391" i="6"/>
  <c r="W6391" i="6" s="1"/>
  <c r="F2697" i="17"/>
  <c r="E2697" i="17"/>
  <c r="X6391" i="6"/>
  <c r="I6391" i="6"/>
  <c r="M6391" i="6"/>
  <c r="Q6390" i="6"/>
  <c r="W6390" i="6" s="1"/>
  <c r="X6390" i="6"/>
  <c r="F2696" i="17"/>
  <c r="E2696" i="17"/>
  <c r="I6390" i="6"/>
  <c r="M6390" i="6"/>
  <c r="Q6389" i="6"/>
  <c r="W6389" i="6" s="1"/>
  <c r="I6389" i="6"/>
  <c r="X6389" i="6"/>
  <c r="F2695" i="17"/>
  <c r="E2695" i="17"/>
  <c r="M6389" i="6"/>
  <c r="Q6388" i="6"/>
  <c r="W6388" i="6" s="1"/>
  <c r="X6388" i="6"/>
  <c r="X6387" i="6"/>
  <c r="X6386" i="6"/>
  <c r="W6386" i="6"/>
  <c r="I6388" i="6"/>
  <c r="F2694" i="17"/>
  <c r="E2694" i="17"/>
  <c r="M6388" i="6"/>
  <c r="Q6387" i="6"/>
  <c r="W6387" i="6" s="1"/>
  <c r="I6387" i="6"/>
  <c r="Q6228" i="6"/>
  <c r="W6228" i="6" s="1"/>
  <c r="F2691" i="17"/>
  <c r="M6387" i="6"/>
  <c r="F2693" i="17"/>
  <c r="E2693" i="17"/>
  <c r="E2692" i="17"/>
  <c r="F2692" i="17"/>
  <c r="I6386" i="6"/>
  <c r="M6386" i="6"/>
  <c r="Q6385" i="6"/>
  <c r="W6385" i="6" s="1"/>
  <c r="I6385" i="6"/>
  <c r="M6385" i="6"/>
  <c r="X6385" i="6"/>
  <c r="X6384" i="6"/>
  <c r="E2691"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W6382" i="6" s="1"/>
  <c r="V6383" i="6"/>
  <c r="X6382" i="6"/>
  <c r="I6382" i="6"/>
  <c r="H2689" i="17"/>
  <c r="G2689" i="17"/>
  <c r="F2689" i="17"/>
  <c r="E2689" i="17"/>
  <c r="O6382" i="6"/>
  <c r="N6382" i="6"/>
  <c r="M6382" i="6"/>
  <c r="Q6381" i="6"/>
  <c r="W6381" i="6" s="1"/>
  <c r="X6381" i="6"/>
  <c r="F2688" i="17"/>
  <c r="E2688" i="17"/>
  <c r="I6381" i="6"/>
  <c r="M6381" i="6"/>
  <c r="Q6380" i="6"/>
  <c r="W6380" i="6" s="1"/>
  <c r="X6380" i="6"/>
  <c r="F2687" i="17"/>
  <c r="E2687" i="17"/>
  <c r="I6380" i="6"/>
  <c r="M6380" i="6"/>
  <c r="Q6379" i="6"/>
  <c r="W6379" i="6" s="1"/>
  <c r="I6379" i="6"/>
  <c r="F2686" i="17"/>
  <c r="E2686" i="17"/>
  <c r="X6379" i="6"/>
  <c r="M6379" i="6"/>
  <c r="Q6378" i="6"/>
  <c r="W6378" i="6" s="1"/>
  <c r="M6378" i="6"/>
  <c r="I6378" i="6"/>
  <c r="F2685" i="17"/>
  <c r="E2685" i="17"/>
  <c r="F2684" i="17"/>
  <c r="E2684" i="17"/>
  <c r="X6378" i="6"/>
  <c r="Q6377" i="6"/>
  <c r="W6377" i="6" s="1"/>
  <c r="X6377" i="6"/>
  <c r="I6377" i="6"/>
  <c r="M6377" i="6"/>
  <c r="Q6376" i="6"/>
  <c r="W6376" i="6" s="1"/>
  <c r="Q6375" i="6"/>
  <c r="W6375" i="6" s="1"/>
  <c r="X6376" i="6"/>
  <c r="X6375" i="6"/>
  <c r="I2682" i="17"/>
  <c r="F2683" i="17"/>
  <c r="E2683" i="17"/>
  <c r="M6376" i="6"/>
  <c r="I6375" i="6"/>
  <c r="I6376" i="6"/>
  <c r="F2682" i="17"/>
  <c r="E2682" i="17"/>
  <c r="M6375" i="6"/>
  <c r="Q6374" i="6"/>
  <c r="W6374" i="6" s="1"/>
  <c r="I6374" i="6"/>
  <c r="X6374" i="6"/>
  <c r="M6374" i="6"/>
  <c r="F2681" i="17"/>
  <c r="E2681" i="17"/>
  <c r="Q6373" i="6"/>
  <c r="W6373" i="6" s="1"/>
  <c r="Q6372" i="6"/>
  <c r="W6372" i="6" s="1"/>
  <c r="X6373" i="6"/>
  <c r="X6372" i="6"/>
  <c r="Q6371" i="6"/>
  <c r="W6371" i="6" s="1"/>
  <c r="Q6370" i="6"/>
  <c r="W6370" i="6" s="1"/>
  <c r="X6371" i="6"/>
  <c r="X6370" i="6"/>
  <c r="F2678" i="17"/>
  <c r="E2678" i="17"/>
  <c r="I6371" i="6"/>
  <c r="M6371" i="6"/>
  <c r="F2677" i="17"/>
  <c r="E2677" i="17"/>
  <c r="F2676" i="17"/>
  <c r="E2676" i="17"/>
  <c r="I6370" i="6"/>
  <c r="M6370" i="6"/>
  <c r="Q6369" i="6"/>
  <c r="W6369" i="6" s="1"/>
  <c r="I6369" i="6"/>
  <c r="X6369" i="6"/>
  <c r="M6369" i="6"/>
  <c r="Q6368" i="6"/>
  <c r="W6368" i="6" s="1"/>
  <c r="X6368" i="6"/>
  <c r="F2675" i="17"/>
  <c r="E2675" i="17"/>
  <c r="M6368" i="6"/>
  <c r="I6368" i="6"/>
  <c r="Q6367" i="6"/>
  <c r="W6367" i="6" s="1"/>
  <c r="X6367" i="6"/>
  <c r="F2674" i="17"/>
  <c r="E2674" i="17"/>
  <c r="M6367" i="6"/>
  <c r="I6367" i="6"/>
  <c r="F2673" i="17"/>
  <c r="E2673" i="17"/>
  <c r="Q6366" i="6"/>
  <c r="W6366" i="6" s="1"/>
  <c r="O6360" i="6"/>
  <c r="X6366" i="6"/>
  <c r="M6366" i="6"/>
  <c r="I6366" i="6"/>
  <c r="Q6365" i="6"/>
  <c r="W6365" i="6" s="1"/>
  <c r="X6365" i="6"/>
  <c r="M6365" i="6"/>
  <c r="F2672" i="17"/>
  <c r="E2672" i="17"/>
  <c r="I6365" i="6"/>
  <c r="Q6364" i="6"/>
  <c r="W6364" i="6" s="1"/>
  <c r="F2671" i="17"/>
  <c r="E2671" i="17"/>
  <c r="X6364" i="6"/>
  <c r="M6364" i="6"/>
  <c r="I6364" i="6"/>
  <c r="Q6363" i="6"/>
  <c r="W6363" i="6" s="1"/>
  <c r="F2670" i="17"/>
  <c r="E2670" i="17"/>
  <c r="X6363" i="6"/>
  <c r="M6363" i="6"/>
  <c r="I6363" i="6"/>
  <c r="Q6362" i="6"/>
  <c r="W6362" i="6" s="1"/>
  <c r="X6355" i="6"/>
  <c r="X6362" i="6"/>
  <c r="M6362" i="6"/>
  <c r="F2669" i="17"/>
  <c r="E2669"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X6337" i="6" s="1"/>
  <c r="Q6360" i="6"/>
  <c r="W6360" i="6" s="1"/>
  <c r="N6360" i="6"/>
  <c r="M6360" i="6"/>
  <c r="X6360" i="6"/>
  <c r="H2668" i="17"/>
  <c r="G2668" i="17"/>
  <c r="F2668" i="17"/>
  <c r="E2668" i="17"/>
  <c r="I6360" i="6"/>
  <c r="Q6359" i="6"/>
  <c r="W6359" i="6" s="1"/>
  <c r="I6359" i="6"/>
  <c r="X6359" i="6"/>
  <c r="M6359" i="6"/>
  <c r="F2667" i="17"/>
  <c r="E2667" i="17"/>
  <c r="Q6358" i="6"/>
  <c r="W6358" i="6" s="1"/>
  <c r="X6358" i="6"/>
  <c r="I6358" i="6"/>
  <c r="M6358" i="6"/>
  <c r="F2666" i="17"/>
  <c r="E2666" i="17"/>
  <c r="Q6357" i="6"/>
  <c r="W6357" i="6" s="1"/>
  <c r="X6357" i="6"/>
  <c r="F2665" i="17"/>
  <c r="E2665" i="17"/>
  <c r="M6357" i="6"/>
  <c r="I6357" i="6"/>
  <c r="Q6356" i="6"/>
  <c r="W6356" i="6" s="1"/>
  <c r="M6356" i="6"/>
  <c r="X6356" i="6"/>
  <c r="F2664" i="17"/>
  <c r="E2664" i="17"/>
  <c r="I6356" i="6"/>
  <c r="Q6355" i="6"/>
  <c r="W6355" i="6" s="1"/>
  <c r="M6355" i="6"/>
  <c r="F2663" i="17"/>
  <c r="E2663" i="17"/>
  <c r="I6355" i="6"/>
  <c r="Q6354" i="6"/>
  <c r="W6354" i="6" s="1"/>
  <c r="X6354" i="6"/>
  <c r="M6354" i="6"/>
  <c r="F2662" i="17"/>
  <c r="E2662" i="17"/>
  <c r="I6354" i="6"/>
  <c r="Q6353" i="6"/>
  <c r="W6353" i="6" s="1"/>
  <c r="F2661" i="17"/>
  <c r="E2661" i="17"/>
  <c r="X6353" i="6"/>
  <c r="M6353" i="6"/>
  <c r="I6353" i="6"/>
  <c r="Q6352" i="6"/>
  <c r="W6352" i="6" s="1"/>
  <c r="X6352" i="6"/>
  <c r="F2660" i="17"/>
  <c r="E2660" i="17"/>
  <c r="M6352" i="6"/>
  <c r="I6352" i="6"/>
  <c r="Q6351" i="6"/>
  <c r="W6351" i="6" s="1"/>
  <c r="X6351" i="6"/>
  <c r="M6351" i="6"/>
  <c r="F2659" i="17"/>
  <c r="E2659" i="17"/>
  <c r="I6351" i="6"/>
  <c r="Q6350" i="6"/>
  <c r="W6350" i="6" s="1"/>
  <c r="X6350" i="6"/>
  <c r="M6350" i="6"/>
  <c r="F2658" i="17"/>
  <c r="E2658" i="17"/>
  <c r="I6350" i="6"/>
  <c r="Q6349" i="6"/>
  <c r="W6349" i="6" s="1"/>
  <c r="X6349" i="6"/>
  <c r="M6349" i="6"/>
  <c r="F2657" i="17"/>
  <c r="E2657" i="17"/>
  <c r="I6349" i="6"/>
  <c r="Q6348" i="6"/>
  <c r="W6348" i="6" s="1"/>
  <c r="X6348" i="6"/>
  <c r="M6348" i="6"/>
  <c r="F2656" i="17"/>
  <c r="E2656" i="17"/>
  <c r="I6348" i="6"/>
  <c r="Q6347" i="6"/>
  <c r="W6347" i="6" s="1"/>
  <c r="F2655" i="17"/>
  <c r="E2655" i="17"/>
  <c r="X6347" i="6"/>
  <c r="M6347" i="6"/>
  <c r="I6347" i="6"/>
  <c r="Q6346" i="6"/>
  <c r="W6346" i="6" s="1"/>
  <c r="F2654" i="17"/>
  <c r="E2654" i="17"/>
  <c r="M6346" i="6"/>
  <c r="X6346" i="6"/>
  <c r="I6346" i="6"/>
  <c r="I6345" i="6"/>
  <c r="F2653" i="17"/>
  <c r="E2653" i="17"/>
  <c r="Q6345" i="6"/>
  <c r="W6345" i="6" s="1"/>
  <c r="X6345" i="6"/>
  <c r="M6345" i="6"/>
  <c r="Q6344" i="6"/>
  <c r="W6344" i="6" s="1"/>
  <c r="Q6343" i="6"/>
  <c r="X6344" i="6"/>
  <c r="M6344" i="6"/>
  <c r="I6344" i="6"/>
  <c r="F2652" i="17"/>
  <c r="E2652" i="17"/>
  <c r="M6343" i="6"/>
  <c r="F2651" i="17"/>
  <c r="E2651" i="17"/>
  <c r="I2651" i="17"/>
  <c r="P6343" i="6"/>
  <c r="V6361" i="6" s="1"/>
  <c r="I6343" i="6"/>
  <c r="Q6342" i="6"/>
  <c r="W6342" i="6" s="1"/>
  <c r="X6342" i="6"/>
  <c r="M6342" i="6"/>
  <c r="F2650" i="17"/>
  <c r="E2650" i="17"/>
  <c r="I6342" i="6"/>
  <c r="Q6341" i="6"/>
  <c r="W6341" i="6" s="1"/>
  <c r="X6341" i="6"/>
  <c r="M6341" i="6"/>
  <c r="F2649" i="17"/>
  <c r="E2649" i="17"/>
  <c r="I6341" i="6"/>
  <c r="Q6340" i="6"/>
  <c r="W6340" i="6" s="1"/>
  <c r="X6340" i="6"/>
  <c r="M6340" i="6"/>
  <c r="I6340" i="6"/>
  <c r="F2648" i="17"/>
  <c r="E2648" i="17"/>
  <c r="Q6339" i="6"/>
  <c r="W6339" i="6" s="1"/>
  <c r="X6339" i="6"/>
  <c r="M6339" i="6"/>
  <c r="F2647" i="17"/>
  <c r="E2647"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5" i="17"/>
  <c r="G2645" i="17"/>
  <c r="F2646" i="17"/>
  <c r="E2646" i="17"/>
  <c r="X6338" i="6"/>
  <c r="M6338" i="6"/>
  <c r="I6338" i="6"/>
  <c r="X6336" i="6"/>
  <c r="O6336" i="6"/>
  <c r="N6336" i="6"/>
  <c r="M6336" i="6"/>
  <c r="I6336" i="6"/>
  <c r="F2645" i="17"/>
  <c r="E2645" i="17"/>
  <c r="Q6335" i="6"/>
  <c r="W6335" i="6" s="1"/>
  <c r="F2644" i="17"/>
  <c r="E2644" i="17"/>
  <c r="X6335" i="6"/>
  <c r="M6335" i="6"/>
  <c r="I6335" i="6"/>
  <c r="Q6334" i="6"/>
  <c r="W6334" i="6" s="1"/>
  <c r="X6334" i="6"/>
  <c r="M6334" i="6"/>
  <c r="F2643" i="17"/>
  <c r="E2643" i="17"/>
  <c r="I6334" i="6"/>
  <c r="Q6333" i="6"/>
  <c r="W6333" i="6" s="1"/>
  <c r="X6333" i="6"/>
  <c r="F2642" i="17"/>
  <c r="E2642" i="17"/>
  <c r="M6333" i="6"/>
  <c r="I6333" i="6"/>
  <c r="I6332" i="6"/>
  <c r="F2641" i="17"/>
  <c r="E2641" i="17"/>
  <c r="Q6332" i="6"/>
  <c r="W6332" i="6" s="1"/>
  <c r="X6332" i="6"/>
  <c r="M6332" i="6"/>
  <c r="Q6331" i="6"/>
  <c r="W6331" i="6" s="1"/>
  <c r="X6331" i="6"/>
  <c r="M6331" i="6"/>
  <c r="F2640" i="17"/>
  <c r="E2640" i="17"/>
  <c r="I6331" i="6"/>
  <c r="Q6330" i="6"/>
  <c r="W6330" i="6" s="1"/>
  <c r="F2639" i="17"/>
  <c r="E2639" i="17"/>
  <c r="X6330" i="6"/>
  <c r="M6330" i="6"/>
  <c r="I6330" i="6"/>
  <c r="Q6329" i="6"/>
  <c r="W6329" i="6" s="1"/>
  <c r="X6329" i="6"/>
  <c r="M6329" i="6"/>
  <c r="F2638" i="17"/>
  <c r="E2638" i="17"/>
  <c r="I6329" i="6"/>
  <c r="Q6328" i="6"/>
  <c r="W6328" i="6" s="1"/>
  <c r="F2637" i="17"/>
  <c r="E2637" i="17"/>
  <c r="X6328" i="6"/>
  <c r="M6328" i="6"/>
  <c r="I6328" i="6"/>
  <c r="Q6327" i="6"/>
  <c r="W6327" i="6" s="1"/>
  <c r="X6327" i="6"/>
  <c r="M6327" i="6"/>
  <c r="F2636" i="17"/>
  <c r="E2636" i="17"/>
  <c r="I6327" i="6"/>
  <c r="Q6326" i="6"/>
  <c r="W6326" i="6" s="1"/>
  <c r="X6326" i="6"/>
  <c r="M6326" i="6"/>
  <c r="F2635" i="17"/>
  <c r="E2635" i="17"/>
  <c r="I6326" i="6"/>
  <c r="Q6325" i="6"/>
  <c r="W6325" i="6" s="1"/>
  <c r="F2634" i="17"/>
  <c r="E2634" i="17"/>
  <c r="X6325" i="6"/>
  <c r="I6325" i="6"/>
  <c r="M6325" i="6"/>
  <c r="Q6324" i="6"/>
  <c r="W6324" i="6" s="1"/>
  <c r="X6324" i="6"/>
  <c r="M6324" i="6"/>
  <c r="I6324" i="6"/>
  <c r="F2633" i="17"/>
  <c r="E2633" i="17"/>
  <c r="Q6323" i="6"/>
  <c r="W6323" i="6" s="1"/>
  <c r="F2632" i="17"/>
  <c r="E2632" i="17"/>
  <c r="M6323" i="6"/>
  <c r="X6323" i="6"/>
  <c r="I6323" i="6"/>
  <c r="Q6322" i="6"/>
  <c r="W6322" i="6" s="1"/>
  <c r="F2631" i="17"/>
  <c r="E2631" i="17"/>
  <c r="X6322" i="6"/>
  <c r="M6322" i="6"/>
  <c r="I6322" i="6"/>
  <c r="Q6321" i="6"/>
  <c r="W6321" i="6" s="1"/>
  <c r="F2630" i="17"/>
  <c r="E2630" i="17"/>
  <c r="X6321" i="6"/>
  <c r="M6321" i="6"/>
  <c r="I6321" i="6"/>
  <c r="Q6320" i="6"/>
  <c r="W6320" i="6" s="1"/>
  <c r="X6320" i="6"/>
  <c r="F2629" i="17"/>
  <c r="E2629"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8" i="17"/>
  <c r="E2628" i="17"/>
  <c r="F2627" i="17"/>
  <c r="E2627" i="17"/>
  <c r="F2626" i="17"/>
  <c r="E2626" i="17"/>
  <c r="H2625" i="17"/>
  <c r="G2625" i="17"/>
  <c r="F2625" i="17"/>
  <c r="E2625" i="17"/>
  <c r="F2624" i="17"/>
  <c r="E2624" i="17"/>
  <c r="I6319" i="6"/>
  <c r="I6318" i="6"/>
  <c r="I6317" i="6"/>
  <c r="I6315" i="6"/>
  <c r="I6314" i="6"/>
  <c r="M6317" i="6"/>
  <c r="M6318" i="6"/>
  <c r="M6319" i="6"/>
  <c r="N6315" i="6"/>
  <c r="X6316" i="6"/>
  <c r="M6314" i="6"/>
  <c r="M6315" i="6"/>
  <c r="Q6313" i="6"/>
  <c r="W6313" i="6" s="1"/>
  <c r="F2623" i="17"/>
  <c r="E2623" i="17"/>
  <c r="X6313" i="6"/>
  <c r="M6313" i="6"/>
  <c r="I6313" i="6"/>
  <c r="Q6312" i="6"/>
  <c r="W6312" i="6" s="1"/>
  <c r="F2622" i="17"/>
  <c r="E2622" i="17"/>
  <c r="X6312" i="6"/>
  <c r="M6312" i="6"/>
  <c r="I6312" i="6"/>
  <c r="Q6311" i="6"/>
  <c r="W6311" i="6" s="1"/>
  <c r="X6311" i="6"/>
  <c r="F2621" i="17"/>
  <c r="E2621" i="17"/>
  <c r="M6311" i="6"/>
  <c r="I6311" i="6"/>
  <c r="Q6310" i="6"/>
  <c r="W6310" i="6" s="1"/>
  <c r="F2620" i="17"/>
  <c r="E2620" i="17"/>
  <c r="X6310" i="6"/>
  <c r="M6310" i="6"/>
  <c r="I6310" i="6"/>
  <c r="Q6309" i="6"/>
  <c r="W6309" i="6" s="1"/>
  <c r="X6309" i="6"/>
  <c r="M6309" i="6"/>
  <c r="F2619" i="17"/>
  <c r="E2619" i="17"/>
  <c r="I6309" i="6"/>
  <c r="Q6308" i="6"/>
  <c r="W6308" i="6" s="1"/>
  <c r="F2618" i="17"/>
  <c r="E2618" i="17"/>
  <c r="X6308" i="6"/>
  <c r="M6308" i="6"/>
  <c r="I6308" i="6"/>
  <c r="Q6307" i="6"/>
  <c r="W6307" i="6" s="1"/>
  <c r="F2617" i="17"/>
  <c r="E2617" i="17"/>
  <c r="X6307" i="6"/>
  <c r="M6307" i="6"/>
  <c r="I6307" i="6"/>
  <c r="Q6306" i="6"/>
  <c r="W6306" i="6" s="1"/>
  <c r="F2616" i="17"/>
  <c r="E2616" i="17"/>
  <c r="X6306" i="6"/>
  <c r="M6306" i="6"/>
  <c r="I6306" i="6"/>
  <c r="Q6305" i="6"/>
  <c r="W6305" i="6" s="1"/>
  <c r="F2615" i="17"/>
  <c r="E2615" i="17"/>
  <c r="X6305" i="6"/>
  <c r="M6305" i="6"/>
  <c r="I6305" i="6"/>
  <c r="F2614" i="17"/>
  <c r="E2614" i="17"/>
  <c r="I6304" i="6"/>
  <c r="Q6304" i="6"/>
  <c r="W6304" i="6" s="1"/>
  <c r="X6304" i="6"/>
  <c r="M6304" i="6"/>
  <c r="Q6303" i="6"/>
  <c r="W6303" i="6" s="1"/>
  <c r="Q6302" i="6"/>
  <c r="W6302" i="6"/>
  <c r="X6303" i="6"/>
  <c r="F2613" i="17"/>
  <c r="E2613" i="17"/>
  <c r="M6303" i="6"/>
  <c r="I6303" i="6"/>
  <c r="F2612" i="17"/>
  <c r="E2612" i="17"/>
  <c r="X6302" i="6"/>
  <c r="M6302" i="6"/>
  <c r="I6302" i="6"/>
  <c r="Q6301" i="6"/>
  <c r="X6301" i="6"/>
  <c r="W6301" i="6"/>
  <c r="M6301" i="6"/>
  <c r="F2611" i="17"/>
  <c r="E2611" i="17"/>
  <c r="I6301" i="6"/>
  <c r="Q6300" i="6"/>
  <c r="W6300" i="6" s="1"/>
  <c r="X6300" i="6"/>
  <c r="M6300" i="6"/>
  <c r="F2610" i="17"/>
  <c r="E2610" i="17"/>
  <c r="I6300" i="6"/>
  <c r="Q6299" i="6"/>
  <c r="W6299" i="6" s="1"/>
  <c r="M6299" i="6"/>
  <c r="X6299" i="6"/>
  <c r="F2609" i="17"/>
  <c r="E2609" i="17"/>
  <c r="I6299" i="6"/>
  <c r="Q6298" i="6"/>
  <c r="F2608" i="17"/>
  <c r="E2608" i="17"/>
  <c r="X6298" i="6"/>
  <c r="W6298" i="6"/>
  <c r="M6298" i="6"/>
  <c r="I6298" i="6"/>
  <c r="Q6297" i="6"/>
  <c r="W6297" i="6" s="1"/>
  <c r="F2607" i="17"/>
  <c r="E2607" i="17"/>
  <c r="X6297" i="6"/>
  <c r="M6297" i="6"/>
  <c r="I6297" i="6"/>
  <c r="O6042" i="6"/>
  <c r="H2604" i="17"/>
  <c r="N113" i="10" s="1"/>
  <c r="Q6296" i="6"/>
  <c r="W6296" i="6" s="1"/>
  <c r="F2606" i="17"/>
  <c r="E2606" i="17"/>
  <c r="X6296" i="6"/>
  <c r="M6296" i="6"/>
  <c r="I6296" i="6"/>
  <c r="N6293" i="6"/>
  <c r="M35" i="10" s="1"/>
  <c r="G2604"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4" i="17"/>
  <c r="E2604" i="17"/>
  <c r="X6293" i="6"/>
  <c r="M6293" i="6"/>
  <c r="I6293" i="6"/>
  <c r="Q6292" i="6"/>
  <c r="W6292" i="6" s="1"/>
  <c r="X6292" i="6"/>
  <c r="F2603" i="17"/>
  <c r="E2603" i="17"/>
  <c r="I6292" i="6"/>
  <c r="M6292" i="6"/>
  <c r="Q6291" i="6"/>
  <c r="X6291" i="6"/>
  <c r="W6291" i="6"/>
  <c r="F2602" i="17"/>
  <c r="E2602" i="17"/>
  <c r="I6291" i="6"/>
  <c r="M6291" i="6"/>
  <c r="Q6290" i="6"/>
  <c r="W6290" i="6" s="1"/>
  <c r="Q6289" i="6"/>
  <c r="W6289" i="6" s="1"/>
  <c r="Q6288" i="6"/>
  <c r="W6288" i="6" s="1"/>
  <c r="F2599" i="17"/>
  <c r="E2599" i="17"/>
  <c r="X6288" i="6"/>
  <c r="M6288" i="6"/>
  <c r="I6288" i="6"/>
  <c r="Q6287" i="6"/>
  <c r="W6287" i="6" s="1"/>
  <c r="F2598" i="17"/>
  <c r="E2598" i="17"/>
  <c r="X6287" i="6"/>
  <c r="M6287" i="6"/>
  <c r="I6287" i="6"/>
  <c r="Q6286" i="6"/>
  <c r="W6286" i="6" s="1"/>
  <c r="F2597" i="17"/>
  <c r="E2597" i="17"/>
  <c r="X6286" i="6"/>
  <c r="M6286" i="6"/>
  <c r="I6286" i="6"/>
  <c r="Q6285" i="6"/>
  <c r="W6285" i="6" s="1"/>
  <c r="F2596" i="17"/>
  <c r="E2596" i="17"/>
  <c r="X6285" i="6"/>
  <c r="M6285" i="6"/>
  <c r="I6285" i="6"/>
  <c r="Q6284" i="6"/>
  <c r="W6284" i="6" s="1"/>
  <c r="F2595" i="17"/>
  <c r="E2595" i="17"/>
  <c r="X6284" i="6"/>
  <c r="M6284" i="6"/>
  <c r="I6284" i="6"/>
  <c r="Q6283" i="6"/>
  <c r="W6283" i="6" s="1"/>
  <c r="F2594" i="17"/>
  <c r="E2594" i="17"/>
  <c r="X6283" i="6"/>
  <c r="M6283" i="6"/>
  <c r="I6283" i="6"/>
  <c r="Q6282" i="6"/>
  <c r="W6282" i="6" s="1"/>
  <c r="F2593" i="17"/>
  <c r="E2593" i="17"/>
  <c r="X6282" i="6"/>
  <c r="M6282" i="6"/>
  <c r="I6282" i="6"/>
  <c r="Q6281" i="6"/>
  <c r="F2592" i="17"/>
  <c r="E2592" i="17"/>
  <c r="X6281" i="6"/>
  <c r="W6281" i="6"/>
  <c r="M6281" i="6"/>
  <c r="I6281" i="6"/>
  <c r="Q6280" i="6"/>
  <c r="W6280" i="6" s="1"/>
  <c r="X6280" i="6"/>
  <c r="F2591" i="17"/>
  <c r="E2591" i="17"/>
  <c r="M6280" i="6"/>
  <c r="I6280" i="6"/>
  <c r="Q6279" i="6"/>
  <c r="W6279" i="6" s="1"/>
  <c r="F2590" i="17"/>
  <c r="E2590" i="17"/>
  <c r="X6279" i="6"/>
  <c r="M6279" i="6"/>
  <c r="I6279" i="6"/>
  <c r="Q6278" i="6"/>
  <c r="W6278" i="6" s="1"/>
  <c r="F2589" i="17"/>
  <c r="E2589" i="17"/>
  <c r="X6278" i="6"/>
  <c r="M6278" i="6"/>
  <c r="I6278" i="6"/>
  <c r="Q6277" i="6"/>
  <c r="W6277" i="6" s="1"/>
  <c r="X6277" i="6"/>
  <c r="M6277" i="6"/>
  <c r="I6277" i="6"/>
  <c r="F2588" i="17"/>
  <c r="E2588" i="17"/>
  <c r="Q6276" i="6"/>
  <c r="F2587" i="17"/>
  <c r="E2587" i="17"/>
  <c r="X6276" i="6"/>
  <c r="W6276" i="6"/>
  <c r="M6276" i="6"/>
  <c r="I6276" i="6"/>
  <c r="Q6275" i="6"/>
  <c r="W6275" i="6" s="1"/>
  <c r="F2586" i="17"/>
  <c r="E2586" i="17"/>
  <c r="X6275" i="6"/>
  <c r="M6275" i="6"/>
  <c r="I6275" i="6"/>
  <c r="Q6274" i="6"/>
  <c r="W6274" i="6" s="1"/>
  <c r="O6269" i="6"/>
  <c r="X6274" i="6"/>
  <c r="M6274" i="6"/>
  <c r="F2585" i="17"/>
  <c r="E2585" i="17"/>
  <c r="I6274" i="6"/>
  <c r="Q6273" i="6"/>
  <c r="W6273" i="6" s="1"/>
  <c r="X6273" i="6"/>
  <c r="F2584" i="17"/>
  <c r="E2584" i="17"/>
  <c r="M6273" i="6"/>
  <c r="I6273" i="6"/>
  <c r="Q6272" i="6"/>
  <c r="W6272" i="6" s="1"/>
  <c r="F2583" i="17"/>
  <c r="E2583" i="17"/>
  <c r="X6272" i="6"/>
  <c r="M6272" i="6"/>
  <c r="I6272" i="6"/>
  <c r="Q6271" i="6"/>
  <c r="W6271" i="6" s="1"/>
  <c r="F2582" i="17"/>
  <c r="E2582"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1" i="17"/>
  <c r="L113" i="10" s="1"/>
  <c r="N6269" i="6"/>
  <c r="L35" i="10" s="1"/>
  <c r="Q6269" i="6"/>
  <c r="W6269" i="6" s="1"/>
  <c r="V6179" i="6"/>
  <c r="X6179" i="6" s="1"/>
  <c r="V6202" i="6"/>
  <c r="V6225" i="6"/>
  <c r="V6247" i="6"/>
  <c r="V6043" i="6"/>
  <c r="H2581" i="17"/>
  <c r="X6269" i="6"/>
  <c r="M6269" i="6"/>
  <c r="F2581" i="17"/>
  <c r="E2581" i="17"/>
  <c r="I6269" i="6"/>
  <c r="Q6268" i="6"/>
  <c r="F2580" i="17"/>
  <c r="E2580" i="17"/>
  <c r="X6268" i="6"/>
  <c r="W6268" i="6"/>
  <c r="M6268" i="6"/>
  <c r="I6268" i="6"/>
  <c r="Q6267" i="6"/>
  <c r="W6267" i="6" s="1"/>
  <c r="F2579" i="17"/>
  <c r="E2579" i="17"/>
  <c r="X6267" i="6"/>
  <c r="M6267" i="6"/>
  <c r="I6267" i="6"/>
  <c r="Q6266" i="6"/>
  <c r="W6266" i="6" s="1"/>
  <c r="F2578" i="17"/>
  <c r="E2578" i="17"/>
  <c r="X6266" i="6"/>
  <c r="M6266" i="6"/>
  <c r="I6266" i="6"/>
  <c r="Q6265" i="6"/>
  <c r="W6265" i="6" s="1"/>
  <c r="F2577" i="17"/>
  <c r="E2577" i="17"/>
  <c r="X6265" i="6"/>
  <c r="M6265" i="6"/>
  <c r="I6265" i="6"/>
  <c r="Q6264" i="6"/>
  <c r="W6264" i="6" s="1"/>
  <c r="F2576" i="17"/>
  <c r="E2576" i="17"/>
  <c r="X6264" i="6"/>
  <c r="M6264" i="6"/>
  <c r="I6264" i="6"/>
  <c r="Q6263" i="6"/>
  <c r="W6263" i="6" s="1"/>
  <c r="F2575" i="17"/>
  <c r="E2575" i="17"/>
  <c r="X6263" i="6"/>
  <c r="M6263" i="6"/>
  <c r="I6263" i="6"/>
  <c r="Q6262" i="6"/>
  <c r="W6262" i="6" s="1"/>
  <c r="X6262" i="6"/>
  <c r="F2574" i="17"/>
  <c r="E2574" i="17"/>
  <c r="M6260" i="6"/>
  <c r="M6261" i="6"/>
  <c r="M6262" i="6"/>
  <c r="I6262" i="6"/>
  <c r="Q6261" i="6"/>
  <c r="W6261" i="6" s="1"/>
  <c r="I6261" i="6"/>
  <c r="F2573" i="17"/>
  <c r="E2573" i="17"/>
  <c r="X6261" i="6"/>
  <c r="Q6260" i="6"/>
  <c r="W6260" i="6" s="1"/>
  <c r="I6260" i="6"/>
  <c r="F2572" i="17"/>
  <c r="E2572" i="17"/>
  <c r="X6260" i="6"/>
  <c r="Q6259" i="6"/>
  <c r="W6259" i="6" s="1"/>
  <c r="X6259" i="6"/>
  <c r="F2571" i="17"/>
  <c r="E2571" i="17"/>
  <c r="M6259" i="6"/>
  <c r="I6259" i="6"/>
  <c r="Q6258" i="6"/>
  <c r="W6258" i="6" s="1"/>
  <c r="F2570" i="17"/>
  <c r="E2570" i="17"/>
  <c r="X6258" i="6"/>
  <c r="M6258" i="6"/>
  <c r="I6258" i="6"/>
  <c r="Q6257" i="6"/>
  <c r="X6257" i="6"/>
  <c r="W6257" i="6"/>
  <c r="M6257" i="6"/>
  <c r="F2569" i="17"/>
  <c r="E2569" i="17"/>
  <c r="I6257" i="6"/>
  <c r="Q6256" i="6"/>
  <c r="W6256" i="6" s="1"/>
  <c r="X6256" i="6"/>
  <c r="M6256" i="6"/>
  <c r="F2568" i="17"/>
  <c r="E2568" i="17"/>
  <c r="I6256" i="6"/>
  <c r="Q6255" i="6"/>
  <c r="W6255" i="6" s="1"/>
  <c r="F2567" i="17"/>
  <c r="E2567" i="17"/>
  <c r="X6255" i="6"/>
  <c r="M6255" i="6"/>
  <c r="I6255" i="6"/>
  <c r="Q6254" i="6"/>
  <c r="W6254" i="6" s="1"/>
  <c r="F2566" i="17"/>
  <c r="E2566" i="17"/>
  <c r="X6254" i="6"/>
  <c r="M6254" i="6"/>
  <c r="I6254" i="6"/>
  <c r="Q6253" i="6"/>
  <c r="W6253" i="6" s="1"/>
  <c r="X6253" i="6"/>
  <c r="F2565" i="17"/>
  <c r="E2565" i="17"/>
  <c r="M6253" i="6"/>
  <c r="I6253" i="6"/>
  <c r="Q6252" i="6"/>
  <c r="W6252" i="6" s="1"/>
  <c r="X6252" i="6"/>
  <c r="F2564" i="17"/>
  <c r="E2564" i="17"/>
  <c r="M6252" i="6"/>
  <c r="I6252" i="6"/>
  <c r="Q6251" i="6"/>
  <c r="W6251" i="6" s="1"/>
  <c r="X6251" i="6"/>
  <c r="F2563" i="17"/>
  <c r="E2563" i="17"/>
  <c r="M6251" i="6"/>
  <c r="I6251" i="6"/>
  <c r="Q6250" i="6"/>
  <c r="W6250" i="6" s="1"/>
  <c r="F2562" i="17"/>
  <c r="E2562" i="17"/>
  <c r="X6250" i="6"/>
  <c r="M6250" i="6"/>
  <c r="I6250" i="6"/>
  <c r="Q6249" i="6"/>
  <c r="W6249" i="6" s="1"/>
  <c r="F2561" i="17"/>
  <c r="E2561" i="17"/>
  <c r="X6249" i="6"/>
  <c r="M6249" i="6"/>
  <c r="I6249" i="6"/>
  <c r="Q6248" i="6"/>
  <c r="W6248" i="6" s="1"/>
  <c r="F2560" i="17"/>
  <c r="E2560"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9" i="17"/>
  <c r="G2559" i="17"/>
  <c r="K113" i="10" s="1"/>
  <c r="F2559" i="17"/>
  <c r="E2559" i="17"/>
  <c r="X6246" i="6"/>
  <c r="O6246" i="6"/>
  <c r="N6246" i="6"/>
  <c r="K35" i="10" s="1"/>
  <c r="M6246" i="6"/>
  <c r="I6246" i="6"/>
  <c r="Q6245" i="6"/>
  <c r="W6245" i="6" s="1"/>
  <c r="F2558" i="17"/>
  <c r="E2558" i="17"/>
  <c r="X6245" i="6"/>
  <c r="M6245" i="6"/>
  <c r="I6245" i="6"/>
  <c r="M6244" i="6"/>
  <c r="F2557" i="17"/>
  <c r="E2557" i="17"/>
  <c r="Q6244" i="6"/>
  <c r="W6244" i="6" s="1"/>
  <c r="Q6243" i="6"/>
  <c r="W6243" i="6" s="1"/>
  <c r="X6244" i="6"/>
  <c r="I6244" i="6"/>
  <c r="F2556" i="17"/>
  <c r="E2556" i="17"/>
  <c r="X6243" i="6"/>
  <c r="I6243" i="6"/>
  <c r="M6243" i="6"/>
  <c r="Q6242" i="6"/>
  <c r="W6242" i="6" s="1"/>
  <c r="F2555" i="17"/>
  <c r="E2555" i="17"/>
  <c r="X6242" i="6"/>
  <c r="M6242" i="6"/>
  <c r="I6242" i="6"/>
  <c r="Q6241" i="6"/>
  <c r="W6241" i="6" s="1"/>
  <c r="F2554" i="17"/>
  <c r="E2554" i="17"/>
  <c r="X6241" i="6"/>
  <c r="M6241" i="6"/>
  <c r="I6241" i="6"/>
  <c r="Q6240" i="6"/>
  <c r="W6240" i="6" s="1"/>
  <c r="F2553" i="17"/>
  <c r="E2553" i="17"/>
  <c r="X6240" i="6"/>
  <c r="M6240" i="6"/>
  <c r="I6240" i="6"/>
  <c r="Q6239" i="6"/>
  <c r="W6239" i="6" s="1"/>
  <c r="F2552" i="17"/>
  <c r="E2552" i="17"/>
  <c r="X6239" i="6"/>
  <c r="I6239" i="6"/>
  <c r="M6239" i="6"/>
  <c r="Q6238" i="6"/>
  <c r="W6238" i="6" s="1"/>
  <c r="F2551" i="17"/>
  <c r="E2551" i="17"/>
  <c r="X6238" i="6"/>
  <c r="I6238" i="6"/>
  <c r="M6238" i="6"/>
  <c r="Q6237" i="6"/>
  <c r="W6237" i="6" s="1"/>
  <c r="X6237" i="6"/>
  <c r="F2550" i="17"/>
  <c r="E2550" i="17"/>
  <c r="I6237" i="6"/>
  <c r="M6237" i="6"/>
  <c r="Q6236" i="6"/>
  <c r="W6236" i="6" s="1"/>
  <c r="F2549" i="17"/>
  <c r="E2549" i="17"/>
  <c r="X6236" i="6"/>
  <c r="I6236" i="6"/>
  <c r="M6236" i="6"/>
  <c r="Q6235" i="6"/>
  <c r="W6235" i="6" s="1"/>
  <c r="X6235" i="6"/>
  <c r="F2548" i="17"/>
  <c r="E2548" i="17"/>
  <c r="M6235" i="6"/>
  <c r="I6235" i="6"/>
  <c r="Q6234" i="6"/>
  <c r="W6234" i="6" s="1"/>
  <c r="F2547" i="17"/>
  <c r="E2547" i="17"/>
  <c r="X6234" i="6"/>
  <c r="M6234" i="6"/>
  <c r="I6234" i="6"/>
  <c r="Q6233" i="6"/>
  <c r="W6233" i="6" s="1"/>
  <c r="F2546" i="17"/>
  <c r="E2546" i="17"/>
  <c r="X6233" i="6"/>
  <c r="I6233" i="6"/>
  <c r="M6233" i="6"/>
  <c r="Q6232" i="6"/>
  <c r="W6232" i="6" s="1"/>
  <c r="X6231" i="6"/>
  <c r="X6232" i="6"/>
  <c r="Q6231" i="6"/>
  <c r="W6231" i="6"/>
  <c r="F2545" i="17"/>
  <c r="E2545" i="17"/>
  <c r="I6232" i="6"/>
  <c r="M6232" i="6"/>
  <c r="F2544" i="17"/>
  <c r="E2544" i="17"/>
  <c r="I6231" i="6"/>
  <c r="M6231" i="6"/>
  <c r="Q6229" i="6"/>
  <c r="W6229" i="6" s="1"/>
  <c r="Q6230" i="6"/>
  <c r="W6230" i="6" s="1"/>
  <c r="F2543" i="17"/>
  <c r="E2543" i="17"/>
  <c r="X6230" i="6"/>
  <c r="M6230" i="6"/>
  <c r="I6230" i="6"/>
  <c r="F2542" i="17"/>
  <c r="E2542" i="17"/>
  <c r="X6229" i="6"/>
  <c r="M6229" i="6"/>
  <c r="I6229" i="6"/>
  <c r="F2541" i="17"/>
  <c r="E2541" i="17"/>
  <c r="X6228" i="6"/>
  <c r="I6228" i="6"/>
  <c r="M6228" i="6"/>
  <c r="Q6227" i="6"/>
  <c r="W6227" i="6" s="1"/>
  <c r="Q6226" i="6"/>
  <c r="W6226" i="6" s="1"/>
  <c r="F2540" i="17"/>
  <c r="E2540" i="17"/>
  <c r="X6227" i="6"/>
  <c r="X6226" i="6"/>
  <c r="I6227" i="6"/>
  <c r="M6227" i="6"/>
  <c r="F2539" i="17"/>
  <c r="E2539" i="17"/>
  <c r="I6226" i="6"/>
  <c r="M6226" i="6"/>
  <c r="Q6224" i="6"/>
  <c r="W6224" i="6" s="1"/>
  <c r="H2538" i="17"/>
  <c r="G2538" i="17"/>
  <c r="F2538" i="17"/>
  <c r="E2538" i="17"/>
  <c r="D3830" i="13"/>
  <c r="X6224" i="6"/>
  <c r="O6224" i="6"/>
  <c r="N6224" i="6"/>
  <c r="I6224" i="6"/>
  <c r="M6224" i="6"/>
  <c r="Q6223" i="6"/>
  <c r="W6223" i="6" s="1"/>
  <c r="F2537" i="17"/>
  <c r="E2537" i="17"/>
  <c r="D3829" i="13"/>
  <c r="X6223" i="6"/>
  <c r="M6223" i="6"/>
  <c r="I6223" i="6"/>
  <c r="Q6222" i="6"/>
  <c r="W6222" i="6" s="1"/>
  <c r="F2536" i="17"/>
  <c r="E2536" i="17"/>
  <c r="D3828" i="13"/>
  <c r="X6222" i="6"/>
  <c r="M6222" i="6"/>
  <c r="I6222" i="6"/>
  <c r="Q6221" i="6"/>
  <c r="W6221" i="6" s="1"/>
  <c r="D3827" i="13"/>
  <c r="F2535" i="17"/>
  <c r="E2535" i="17"/>
  <c r="X6221" i="6"/>
  <c r="I6221" i="6"/>
  <c r="M6221" i="6"/>
  <c r="Q6220" i="6"/>
  <c r="W6220" i="6" s="1"/>
  <c r="F2534" i="17"/>
  <c r="E2534" i="17"/>
  <c r="X6220" i="6"/>
  <c r="D3826" i="13"/>
  <c r="I6220" i="6"/>
  <c r="M6220" i="6"/>
  <c r="X6219" i="6"/>
  <c r="F2533" i="17"/>
  <c r="E2533" i="17"/>
  <c r="Q6219" i="6"/>
  <c r="W6219" i="6" s="1"/>
  <c r="D3825" i="13"/>
  <c r="I6219" i="6"/>
  <c r="M6219" i="6"/>
  <c r="F2532" i="17"/>
  <c r="E2532" i="17"/>
  <c r="D3824" i="13"/>
  <c r="X6218" i="6"/>
  <c r="Q6218" i="6"/>
  <c r="W6218" i="6" s="1"/>
  <c r="M6218" i="6"/>
  <c r="I6218" i="6"/>
  <c r="F2531" i="17"/>
  <c r="E2531" i="17"/>
  <c r="X6217" i="6"/>
  <c r="Q6217" i="6"/>
  <c r="W6217" i="6" s="1"/>
  <c r="D3823" i="13"/>
  <c r="I6217" i="6"/>
  <c r="M6217" i="6"/>
  <c r="F2530" i="17"/>
  <c r="E2530" i="17"/>
  <c r="D3822" i="13"/>
  <c r="X6216" i="6"/>
  <c r="Q6216" i="6"/>
  <c r="W6216" i="6" s="1"/>
  <c r="I6216" i="6"/>
  <c r="M6216" i="6"/>
  <c r="F2529" i="17"/>
  <c r="E2529" i="17"/>
  <c r="D3821" i="13"/>
  <c r="Q6215" i="6"/>
  <c r="W6215" i="6" s="1"/>
  <c r="X6215" i="6"/>
  <c r="I6215" i="6"/>
  <c r="M6215" i="6"/>
  <c r="Q6214" i="6"/>
  <c r="W6214" i="6" s="1"/>
  <c r="F2528" i="17"/>
  <c r="E2528" i="17"/>
  <c r="D3820" i="13"/>
  <c r="X6214" i="6"/>
  <c r="I6214" i="6"/>
  <c r="M6214" i="6"/>
  <c r="Q6213" i="6"/>
  <c r="W6213" i="6" s="1"/>
  <c r="D3819" i="13"/>
  <c r="F2527" i="17"/>
  <c r="E2527" i="17"/>
  <c r="X6213" i="6"/>
  <c r="I6213" i="6"/>
  <c r="M6213" i="6"/>
  <c r="Q6212" i="6"/>
  <c r="W6212" i="6" s="1"/>
  <c r="F2526" i="17"/>
  <c r="E2526" i="17"/>
  <c r="D3818" i="13"/>
  <c r="X6212" i="6"/>
  <c r="I6212" i="6"/>
  <c r="M6212" i="6"/>
  <c r="Q6211" i="6"/>
  <c r="W6211" i="6" s="1"/>
  <c r="D3816" i="13"/>
  <c r="D3817" i="13"/>
  <c r="F2525" i="17"/>
  <c r="E2525" i="17"/>
  <c r="I6211" i="6"/>
  <c r="M6211" i="6"/>
  <c r="F2524" i="17"/>
  <c r="E2524" i="17"/>
  <c r="I2524" i="17"/>
  <c r="X6210" i="6"/>
  <c r="X6211" i="6"/>
  <c r="Q6210" i="6"/>
  <c r="W6210" i="6" s="1"/>
  <c r="I6210" i="6"/>
  <c r="M6210" i="6"/>
  <c r="Q6209" i="6"/>
  <c r="W6209" i="6" s="1"/>
  <c r="F2523" i="17"/>
  <c r="E2523" i="17"/>
  <c r="D3815" i="13"/>
  <c r="X6209" i="6"/>
  <c r="I6209" i="6"/>
  <c r="M6209" i="6"/>
  <c r="Q6208" i="6"/>
  <c r="W6208" i="6" s="1"/>
  <c r="F2522" i="17"/>
  <c r="E2522" i="17"/>
  <c r="D3814" i="13"/>
  <c r="X6208" i="6"/>
  <c r="I6208" i="6"/>
  <c r="M6208" i="6"/>
  <c r="Q6207" i="6"/>
  <c r="F2521" i="17"/>
  <c r="E2521" i="17"/>
  <c r="D3813" i="13"/>
  <c r="X6207" i="6"/>
  <c r="W6207" i="6"/>
  <c r="I6207" i="6"/>
  <c r="M6207" i="6"/>
  <c r="Q6206" i="6"/>
  <c r="W6206" i="6" s="1"/>
  <c r="F2520" i="17"/>
  <c r="E2520" i="17"/>
  <c r="D3812" i="13"/>
  <c r="X6206" i="6"/>
  <c r="I6206" i="6"/>
  <c r="M6206" i="6"/>
  <c r="Q6205" i="6"/>
  <c r="W6205" i="6" s="1"/>
  <c r="F2519" i="17"/>
  <c r="E2519" i="17"/>
  <c r="D3811" i="13"/>
  <c r="X6205" i="6"/>
  <c r="I6205" i="6"/>
  <c r="M6205" i="6"/>
  <c r="Q6204" i="6"/>
  <c r="W6204" i="6" s="1"/>
  <c r="X6204" i="6"/>
  <c r="F2518" i="17"/>
  <c r="E2518" i="17"/>
  <c r="D3810" i="13"/>
  <c r="M6204" i="6"/>
  <c r="I6204" i="6"/>
  <c r="Q6203" i="6"/>
  <c r="W6203" i="6" s="1"/>
  <c r="X6203" i="6"/>
  <c r="I6203" i="6"/>
  <c r="M6203" i="6"/>
  <c r="F2517" i="17"/>
  <c r="E2517"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Q6201" i="6"/>
  <c r="W6201" i="6" s="1"/>
  <c r="H2516" i="17"/>
  <c r="G2516" i="17"/>
  <c r="F2516" i="17"/>
  <c r="E2516" i="17"/>
  <c r="X6201" i="6"/>
  <c r="O6201" i="6"/>
  <c r="N6201" i="6"/>
  <c r="I6199" i="6"/>
  <c r="I6201" i="6"/>
  <c r="M6201" i="6"/>
  <c r="Q6200" i="6"/>
  <c r="W6200" i="6" s="1"/>
  <c r="Q6199" i="6"/>
  <c r="W6199" i="6" s="1"/>
  <c r="F2514" i="17"/>
  <c r="E2514" i="17"/>
  <c r="X6199" i="6"/>
  <c r="M6199" i="6"/>
  <c r="Q6198" i="6"/>
  <c r="W6198" i="6" s="1"/>
  <c r="F2513" i="17"/>
  <c r="E2513" i="17"/>
  <c r="X6198" i="6"/>
  <c r="M6198" i="6"/>
  <c r="I6198" i="6"/>
  <c r="Q6197" i="6"/>
  <c r="W6197" i="6" s="1"/>
  <c r="F2512" i="17"/>
  <c r="E2512" i="17"/>
  <c r="X6197" i="6"/>
  <c r="I6197" i="6"/>
  <c r="M6197" i="6"/>
  <c r="Q6196" i="6"/>
  <c r="W6196" i="6" s="1"/>
  <c r="F2511" i="17"/>
  <c r="E2511" i="17"/>
  <c r="X6196" i="6"/>
  <c r="M6196" i="6"/>
  <c r="I6196" i="6"/>
  <c r="Q6195" i="6"/>
  <c r="W6195" i="6" s="1"/>
  <c r="F2510" i="17"/>
  <c r="E2510" i="17"/>
  <c r="X6195" i="6"/>
  <c r="I6195" i="6"/>
  <c r="M6195" i="6"/>
  <c r="Q6194" i="6"/>
  <c r="W6194" i="6" s="1"/>
  <c r="F2509" i="17"/>
  <c r="E2509" i="17"/>
  <c r="X6194" i="6"/>
  <c r="M6194" i="6"/>
  <c r="I6194" i="6"/>
  <c r="Q6193" i="6"/>
  <c r="W6193" i="6" s="1"/>
  <c r="X6193" i="6"/>
  <c r="I6193" i="6"/>
  <c r="F2508" i="17"/>
  <c r="E2508" i="17"/>
  <c r="M6193" i="6"/>
  <c r="Q6192" i="6"/>
  <c r="W6192" i="6"/>
  <c r="X6192" i="6"/>
  <c r="F2507" i="17"/>
  <c r="E2507" i="17"/>
  <c r="M6192" i="6"/>
  <c r="I6192" i="6"/>
  <c r="Q6191" i="6"/>
  <c r="W6191" i="6" s="1"/>
  <c r="F2506" i="17"/>
  <c r="E2506" i="17"/>
  <c r="X6191" i="6"/>
  <c r="M6191" i="6"/>
  <c r="I6191" i="6"/>
  <c r="Q6189" i="6"/>
  <c r="W6189" i="6" s="1"/>
  <c r="Q6190" i="6"/>
  <c r="W6190" i="6" s="1"/>
  <c r="M6190" i="6"/>
  <c r="I6190" i="6"/>
  <c r="F2505" i="17"/>
  <c r="E2505" i="17"/>
  <c r="F2504" i="17"/>
  <c r="E2504" i="17"/>
  <c r="X6189" i="6"/>
  <c r="X6190" i="6"/>
  <c r="I6189" i="6"/>
  <c r="M6189" i="6"/>
  <c r="Q6188" i="6"/>
  <c r="W6188" i="6" s="1"/>
  <c r="F2503" i="17"/>
  <c r="E2503" i="17"/>
  <c r="X6188" i="6"/>
  <c r="M6188" i="6"/>
  <c r="I6188" i="6"/>
  <c r="Q6187" i="6"/>
  <c r="W6187" i="6" s="1"/>
  <c r="F2502" i="17"/>
  <c r="E2502" i="17"/>
  <c r="X6187" i="6"/>
  <c r="M6187" i="6"/>
  <c r="I6187" i="6"/>
  <c r="Q6186" i="6"/>
  <c r="W6186" i="6" s="1"/>
  <c r="F2501" i="17"/>
  <c r="E2501" i="17"/>
  <c r="X6186" i="6"/>
  <c r="M6186" i="6"/>
  <c r="I6186" i="6"/>
  <c r="Q6185" i="6"/>
  <c r="W6185" i="6" s="1"/>
  <c r="F2500" i="17"/>
  <c r="E2500" i="17"/>
  <c r="I6185" i="6"/>
  <c r="M6185" i="6"/>
  <c r="X6185" i="6"/>
  <c r="Q6184" i="6"/>
  <c r="W6184" i="6" s="1"/>
  <c r="F2499" i="17"/>
  <c r="E2499" i="17"/>
  <c r="X6184" i="6"/>
  <c r="M6184" i="6"/>
  <c r="I6184" i="6"/>
  <c r="Q6183" i="6"/>
  <c r="W6183" i="6" s="1"/>
  <c r="X6183" i="6"/>
  <c r="F2498" i="17"/>
  <c r="E2498" i="17"/>
  <c r="M6183" i="6"/>
  <c r="I6183" i="6"/>
  <c r="Q6182" i="6"/>
  <c r="W6182" i="6" s="1"/>
  <c r="F2497" i="17"/>
  <c r="E2497" i="17"/>
  <c r="X6182" i="6"/>
  <c r="M6182" i="6"/>
  <c r="I6182" i="6"/>
  <c r="Q6181" i="6"/>
  <c r="W6181" i="6" s="1"/>
  <c r="F2496" i="17"/>
  <c r="E2496"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4" i="17"/>
  <c r="F2495" i="17"/>
  <c r="E2495" i="17"/>
  <c r="M6180" i="6"/>
  <c r="X6178" i="6"/>
  <c r="Q6178" i="6"/>
  <c r="W6178" i="6" s="1"/>
  <c r="H2494" i="17"/>
  <c r="F2494" i="17"/>
  <c r="E2494" i="17"/>
  <c r="O6178" i="6"/>
  <c r="N6178" i="6"/>
  <c r="M6178" i="6"/>
  <c r="I6178" i="6"/>
  <c r="Q6177" i="6"/>
  <c r="W6177" i="6" s="1"/>
  <c r="X6177" i="6"/>
  <c r="M6177" i="6"/>
  <c r="I6177" i="6"/>
  <c r="F2493" i="17"/>
  <c r="E2493" i="17"/>
  <c r="Q6176" i="6"/>
  <c r="W6176" i="6" s="1"/>
  <c r="X6176" i="6"/>
  <c r="M6176" i="6"/>
  <c r="I6176" i="6"/>
  <c r="F2492" i="17"/>
  <c r="E2492" i="17"/>
  <c r="Q6175" i="6"/>
  <c r="W6175" i="6" s="1"/>
  <c r="M6175" i="6"/>
  <c r="F2491" i="17"/>
  <c r="E2491" i="17"/>
  <c r="X6175" i="6"/>
  <c r="I6175" i="6"/>
  <c r="Q6174" i="6"/>
  <c r="W6174" i="6" s="1"/>
  <c r="F2490" i="17"/>
  <c r="E2490" i="17"/>
  <c r="X6174" i="6"/>
  <c r="M6174" i="6"/>
  <c r="I6174" i="6"/>
  <c r="Q6173" i="6"/>
  <c r="W6173" i="6" s="1"/>
  <c r="I6173" i="6"/>
  <c r="F2489" i="17"/>
  <c r="E2489" i="17"/>
  <c r="X6173" i="6"/>
  <c r="M6173" i="6"/>
  <c r="Q6172" i="6"/>
  <c r="W6172" i="6" s="1"/>
  <c r="X6172" i="6"/>
  <c r="M6172" i="6"/>
  <c r="I6172" i="6"/>
  <c r="F2488" i="17"/>
  <c r="E2488" i="17"/>
  <c r="F2473" i="17"/>
  <c r="F2474" i="17"/>
  <c r="F2475" i="17"/>
  <c r="F2476" i="17"/>
  <c r="F2477" i="17"/>
  <c r="F2478" i="17"/>
  <c r="F2479" i="17"/>
  <c r="F2480" i="17"/>
  <c r="F2481" i="17"/>
  <c r="F2482" i="17"/>
  <c r="F2483" i="17"/>
  <c r="F2484" i="17"/>
  <c r="F2485" i="17"/>
  <c r="F2486" i="17"/>
  <c r="F2487" i="17"/>
  <c r="F2461" i="17"/>
  <c r="F2462" i="17"/>
  <c r="F2463" i="17"/>
  <c r="F2464" i="17"/>
  <c r="F2465" i="17"/>
  <c r="F2466" i="17"/>
  <c r="F2467" i="17"/>
  <c r="F2468" i="17"/>
  <c r="F2469" i="17"/>
  <c r="F2470" i="17"/>
  <c r="F2471" i="17"/>
  <c r="F2472" i="17"/>
  <c r="F2460" i="17"/>
  <c r="F2454" i="17"/>
  <c r="F2455" i="17"/>
  <c r="F2456" i="17"/>
  <c r="F2457" i="17"/>
  <c r="F2458" i="17"/>
  <c r="F2459" i="17"/>
  <c r="F2453" i="17"/>
  <c r="F2452" i="17"/>
  <c r="Q6171" i="6"/>
  <c r="W6171" i="6" s="1"/>
  <c r="E2487" i="17"/>
  <c r="X6171" i="6"/>
  <c r="M6171" i="6"/>
  <c r="I6171" i="6"/>
  <c r="Q6170" i="6"/>
  <c r="W6170" i="6" s="1"/>
  <c r="X6170" i="6"/>
  <c r="E2486" i="17"/>
  <c r="M6170" i="6"/>
  <c r="I6170" i="6"/>
  <c r="Q6169" i="6"/>
  <c r="W6169" i="6" s="1"/>
  <c r="X6169" i="6"/>
  <c r="E2485" i="17"/>
  <c r="I6169" i="6"/>
  <c r="M6169" i="6"/>
  <c r="X6168" i="6"/>
  <c r="Q6168" i="6"/>
  <c r="W6168" i="6" s="1"/>
  <c r="E2484" i="17"/>
  <c r="M6168" i="6"/>
  <c r="I6168" i="6"/>
  <c r="Q6167" i="6"/>
  <c r="X6167" i="6"/>
  <c r="W6167" i="6"/>
  <c r="M6167" i="6"/>
  <c r="E2483" i="17"/>
  <c r="I6167" i="6"/>
  <c r="Q6166" i="6"/>
  <c r="W6166" i="6" s="1"/>
  <c r="X6166" i="6"/>
  <c r="E2482" i="17"/>
  <c r="I6166" i="6"/>
  <c r="M6166" i="6"/>
  <c r="X6165" i="6"/>
  <c r="Q6165" i="6"/>
  <c r="W6165" i="6" s="1"/>
  <c r="E2481" i="17"/>
  <c r="M6165" i="6"/>
  <c r="I6165" i="6"/>
  <c r="Q6164" i="6"/>
  <c r="W6164" i="6"/>
  <c r="X6164" i="6"/>
  <c r="M6164" i="6"/>
  <c r="I6164" i="6"/>
  <c r="E2480" i="17"/>
  <c r="M6163" i="6"/>
  <c r="X6163" i="6"/>
  <c r="Q6163" i="6"/>
  <c r="W6163" i="6"/>
  <c r="E2479" i="17"/>
  <c r="I6163" i="6"/>
  <c r="X6162" i="6"/>
  <c r="Q6162" i="6"/>
  <c r="W6162" i="6" s="1"/>
  <c r="Q6161" i="6"/>
  <c r="E2478" i="17"/>
  <c r="M6162" i="6"/>
  <c r="I6162" i="6"/>
  <c r="X6161" i="6"/>
  <c r="W6161" i="6"/>
  <c r="E2477" i="17"/>
  <c r="M6161" i="6"/>
  <c r="I6161" i="6"/>
  <c r="X6160" i="6"/>
  <c r="Q6160" i="6"/>
  <c r="W6160" i="6" s="1"/>
  <c r="E2476" i="17"/>
  <c r="I6160" i="6"/>
  <c r="M6160" i="6"/>
  <c r="X6159" i="6"/>
  <c r="Q6159" i="6"/>
  <c r="W6159" i="6" s="1"/>
  <c r="E2475" i="17"/>
  <c r="I6159" i="6"/>
  <c r="M6159" i="6"/>
  <c r="Q6158" i="6"/>
  <c r="W6158" i="6" s="1"/>
  <c r="X6158" i="6"/>
  <c r="E2474" i="17"/>
  <c r="M6158" i="6"/>
  <c r="I6158" i="6"/>
  <c r="D3764" i="13"/>
  <c r="D3763" i="13"/>
  <c r="D3762" i="13"/>
  <c r="D3761" i="13"/>
  <c r="D3760" i="13"/>
  <c r="Q6157" i="6"/>
  <c r="W6157" i="6" s="1"/>
  <c r="E2473" i="17"/>
  <c r="M6157" i="6"/>
  <c r="I6157" i="6"/>
  <c r="X6157" i="6"/>
  <c r="M6155" i="6"/>
  <c r="I6155" i="6"/>
  <c r="O6155" i="6"/>
  <c r="E2472" i="17"/>
  <c r="H2472" i="17"/>
  <c r="G2472" i="17"/>
  <c r="Q6155" i="6"/>
  <c r="W6155" i="6" s="1"/>
  <c r="V6156" i="6"/>
  <c r="V6133" i="6"/>
  <c r="X6155" i="6"/>
  <c r="N6155" i="6"/>
  <c r="X6156" i="6" s="1"/>
  <c r="Q6154" i="6"/>
  <c r="W6154" i="6" s="1"/>
  <c r="E2471" i="17"/>
  <c r="X6154" i="6"/>
  <c r="M6154" i="6"/>
  <c r="I6154" i="6"/>
  <c r="Q6153" i="6"/>
  <c r="W6153" i="6" s="1"/>
  <c r="E2470" i="17"/>
  <c r="X6153" i="6"/>
  <c r="M6153" i="6"/>
  <c r="I6153" i="6"/>
  <c r="Q6152" i="6"/>
  <c r="W6152" i="6" s="1"/>
  <c r="X6152" i="6"/>
  <c r="I6152" i="6"/>
  <c r="E2469" i="17"/>
  <c r="M6152" i="6"/>
  <c r="E2468" i="17"/>
  <c r="Q6151" i="6"/>
  <c r="W6151" i="6" s="1"/>
  <c r="I6151" i="6"/>
  <c r="M6151" i="6"/>
  <c r="X6151" i="6"/>
  <c r="Q6150" i="6"/>
  <c r="W6150" i="6" s="1"/>
  <c r="E2467" i="17"/>
  <c r="D3759" i="13"/>
  <c r="X6150" i="6"/>
  <c r="M6150" i="6"/>
  <c r="I6150" i="6"/>
  <c r="D3758" i="13"/>
  <c r="Q6149" i="6"/>
  <c r="W6149" i="6" s="1"/>
  <c r="X6149" i="6"/>
  <c r="I6149" i="6"/>
  <c r="E2466" i="17"/>
  <c r="M6149" i="6"/>
  <c r="D3757" i="13"/>
  <c r="I6148" i="6"/>
  <c r="X6148" i="6"/>
  <c r="Q6148" i="6"/>
  <c r="W6148" i="6" s="1"/>
  <c r="E2465" i="17"/>
  <c r="M6148" i="6"/>
  <c r="E2464" i="17"/>
  <c r="D3756" i="13"/>
  <c r="X6147" i="6"/>
  <c r="Q6147" i="6"/>
  <c r="W6147" i="6" s="1"/>
  <c r="M6147" i="6"/>
  <c r="I6147" i="6"/>
  <c r="Q6146" i="6"/>
  <c r="W6146" i="6" s="1"/>
  <c r="D3755" i="13"/>
  <c r="X6146" i="6"/>
  <c r="I6146" i="6"/>
  <c r="E2463" i="17"/>
  <c r="M6146" i="6"/>
  <c r="Q6145" i="6"/>
  <c r="W6145" i="6" s="1"/>
  <c r="D3754" i="13"/>
  <c r="X6145" i="6"/>
  <c r="I6145" i="6"/>
  <c r="E2462" i="17"/>
  <c r="M6145" i="6"/>
  <c r="D3753" i="13"/>
  <c r="X6144" i="6"/>
  <c r="I6144" i="6"/>
  <c r="Q6144" i="6"/>
  <c r="W6144" i="6" s="1"/>
  <c r="X6123" i="6"/>
  <c r="E2461" i="17"/>
  <c r="M6144" i="6"/>
  <c r="D3752" i="13"/>
  <c r="Q6143" i="6"/>
  <c r="W6143" i="6" s="1"/>
  <c r="D3751" i="13"/>
  <c r="Q6142" i="6"/>
  <c r="W6142" i="6" s="1"/>
  <c r="E2460" i="17"/>
  <c r="E2459" i="17"/>
  <c r="X6143" i="6"/>
  <c r="X6142" i="6"/>
  <c r="X6141" i="6"/>
  <c r="X6140" i="6"/>
  <c r="X6139" i="6"/>
  <c r="M6143" i="6"/>
  <c r="M6142" i="6"/>
  <c r="I6143" i="6"/>
  <c r="I6142" i="6"/>
  <c r="I6141" i="6"/>
  <c r="Q6141" i="6"/>
  <c r="W6141" i="6" s="1"/>
  <c r="D3750" i="13"/>
  <c r="E2458" i="17"/>
  <c r="M6141" i="6"/>
  <c r="D3749" i="13"/>
  <c r="Q6140" i="6"/>
  <c r="W6140" i="6" s="1"/>
  <c r="I6140" i="6"/>
  <c r="E2457" i="17"/>
  <c r="M6140" i="6"/>
  <c r="D3748" i="13"/>
  <c r="Q6139" i="6"/>
  <c r="W6139" i="6" s="1"/>
  <c r="I6139" i="6"/>
  <c r="E2456" i="17"/>
  <c r="M6139" i="6"/>
  <c r="Q6138" i="6"/>
  <c r="W6138" i="6" s="1"/>
  <c r="D3747" i="13"/>
  <c r="I6138" i="6"/>
  <c r="E2455" i="17"/>
  <c r="X6138" i="6"/>
  <c r="M6138" i="6"/>
  <c r="D3746" i="13"/>
  <c r="Q6137" i="6"/>
  <c r="W6137" i="6" s="1"/>
  <c r="X6137" i="6"/>
  <c r="I6137" i="6"/>
  <c r="E2454" i="17"/>
  <c r="M6137" i="6"/>
  <c r="I6136" i="6"/>
  <c r="X6136" i="6"/>
  <c r="Q6136" i="6"/>
  <c r="W6136" i="6" s="1"/>
  <c r="D3744" i="13"/>
  <c r="D3745" i="13"/>
  <c r="E2453" i="17"/>
  <c r="M6136" i="6"/>
  <c r="I6135" i="6"/>
  <c r="Q6135" i="6"/>
  <c r="W6135" i="6" s="1"/>
  <c r="X6135" i="6"/>
  <c r="E2452" i="17"/>
  <c r="M6135" i="6"/>
  <c r="Q6134" i="6"/>
  <c r="W6134" i="6" s="1"/>
  <c r="D3743" i="13"/>
  <c r="F2257" i="17"/>
  <c r="F2342" i="17"/>
  <c r="F2411" i="17"/>
  <c r="F2431" i="17"/>
  <c r="F2451" i="17"/>
  <c r="E2451" i="17"/>
  <c r="X6134" i="6"/>
  <c r="M6134" i="6"/>
  <c r="I6134" i="6"/>
  <c r="G2450" i="17"/>
  <c r="H2450" i="17"/>
  <c r="N6132" i="6"/>
  <c r="Q6132" i="6"/>
  <c r="W6132" i="6" s="1"/>
  <c r="O6132" i="6"/>
  <c r="Q6131" i="6"/>
  <c r="W6131" i="6" s="1"/>
  <c r="D3741" i="13"/>
  <c r="X6131" i="6"/>
  <c r="I6131" i="6"/>
  <c r="F2449" i="17"/>
  <c r="E2449" i="17"/>
  <c r="M6131" i="6"/>
  <c r="Q6130" i="6"/>
  <c r="W6130" i="6" s="1"/>
  <c r="D3740" i="13"/>
  <c r="X6130" i="6"/>
  <c r="I6130" i="6"/>
  <c r="F2448" i="17"/>
  <c r="E2448" i="17"/>
  <c r="M6130" i="6"/>
  <c r="Q6129" i="6"/>
  <c r="W6129" i="6" s="1"/>
  <c r="D3739" i="13"/>
  <c r="X6129" i="6"/>
  <c r="F2447" i="17"/>
  <c r="E2447" i="17"/>
  <c r="I6129" i="6"/>
  <c r="M6129" i="6"/>
  <c r="Q6128" i="6"/>
  <c r="W6128" i="6" s="1"/>
  <c r="F2446" i="17"/>
  <c r="E2446" i="17"/>
  <c r="D3738" i="13"/>
  <c r="I6128" i="6"/>
  <c r="X6128" i="6"/>
  <c r="M6128" i="6"/>
  <c r="Q6127" i="6"/>
  <c r="W6127" i="6" s="1"/>
  <c r="D3737" i="13"/>
  <c r="F2445" i="17"/>
  <c r="E2445" i="17"/>
  <c r="X6127" i="6"/>
  <c r="I6127" i="6"/>
  <c r="M6127" i="6"/>
  <c r="Q6126" i="6"/>
  <c r="W6126" i="6"/>
  <c r="I6126" i="6"/>
  <c r="X6126" i="6"/>
  <c r="D3736" i="13"/>
  <c r="F2444" i="17"/>
  <c r="E2444" i="17"/>
  <c r="M6126" i="6"/>
  <c r="Q6125" i="6"/>
  <c r="W6125" i="6" s="1"/>
  <c r="D3735" i="13"/>
  <c r="F2443" i="17"/>
  <c r="E2443" i="17"/>
  <c r="X6125" i="6"/>
  <c r="I6125" i="6"/>
  <c r="M6125" i="6"/>
  <c r="Q6124" i="6"/>
  <c r="W6124" i="6" s="1"/>
  <c r="W6123" i="6"/>
  <c r="X6124" i="6"/>
  <c r="F2442" i="17"/>
  <c r="E2442" i="17"/>
  <c r="F2441" i="17"/>
  <c r="E2441" i="17"/>
  <c r="D3734" i="13"/>
  <c r="D3733" i="13"/>
  <c r="D3732" i="13"/>
  <c r="M6124" i="6"/>
  <c r="I6123" i="6"/>
  <c r="I6124" i="6"/>
  <c r="M6123" i="6"/>
  <c r="I6122" i="6"/>
  <c r="Q6122" i="6"/>
  <c r="W6122" i="6" s="1"/>
  <c r="X6122" i="6"/>
  <c r="F2440" i="17"/>
  <c r="E2440" i="17"/>
  <c r="M6122" i="6"/>
  <c r="D3731" i="13"/>
  <c r="Q6121" i="6"/>
  <c r="W6121" i="6" s="1"/>
  <c r="I6121" i="6"/>
  <c r="X6121" i="6"/>
  <c r="F2439" i="17"/>
  <c r="E2439" i="17"/>
  <c r="M6121" i="6"/>
  <c r="Q6120" i="6"/>
  <c r="W6120" i="6" s="1"/>
  <c r="F2438" i="17"/>
  <c r="E2438" i="17"/>
  <c r="X6120" i="6"/>
  <c r="I6120" i="6"/>
  <c r="M6120" i="6"/>
  <c r="D3730" i="13"/>
  <c r="Q6119" i="6"/>
  <c r="W6119" i="6"/>
  <c r="X6119" i="6"/>
  <c r="I6119" i="6"/>
  <c r="D3729" i="13"/>
  <c r="F2437" i="17"/>
  <c r="E2437" i="17"/>
  <c r="M6119" i="6"/>
  <c r="Q6118" i="6"/>
  <c r="W6118" i="6" s="1"/>
  <c r="F2436" i="17"/>
  <c r="E2436" i="17"/>
  <c r="D3728" i="13"/>
  <c r="X6118" i="6"/>
  <c r="M6118" i="6"/>
  <c r="I6118" i="6"/>
  <c r="Q6117" i="6"/>
  <c r="W6117" i="6" s="1"/>
  <c r="D3727" i="13"/>
  <c r="E3742" i="13" s="1"/>
  <c r="F2435" i="17"/>
  <c r="E2435" i="17"/>
  <c r="X6117" i="6"/>
  <c r="I6117" i="6"/>
  <c r="M6117" i="6"/>
  <c r="Q6116" i="6"/>
  <c r="W6116" i="6" s="1"/>
  <c r="D3726" i="13"/>
  <c r="F2434" i="17"/>
  <c r="E2434" i="17"/>
  <c r="X6116" i="6"/>
  <c r="I6116" i="6"/>
  <c r="M6116" i="6"/>
  <c r="Q6115" i="6"/>
  <c r="W6115" i="6" s="1"/>
  <c r="Q6112" i="6"/>
  <c r="D3725" i="13"/>
  <c r="F2433" i="17"/>
  <c r="E2433" i="17"/>
  <c r="X6115" i="6"/>
  <c r="I6115" i="6"/>
  <c r="M6115" i="6"/>
  <c r="F2432" i="17"/>
  <c r="E2432" i="17"/>
  <c r="E2431" i="17"/>
  <c r="D3724" i="13"/>
  <c r="D3723" i="13"/>
  <c r="M6114" i="6"/>
  <c r="I6114" i="6"/>
  <c r="X6113" i="6"/>
  <c r="W6113" i="6"/>
  <c r="X6114" i="6"/>
  <c r="Q6114" i="6"/>
  <c r="W6114" i="6" s="1"/>
  <c r="M6113" i="6"/>
  <c r="I6113" i="6"/>
  <c r="D3704" i="13"/>
  <c r="D3721" i="13"/>
  <c r="V6111" i="6"/>
  <c r="I6110" i="6"/>
  <c r="Q6110" i="6"/>
  <c r="W6110" i="6" s="1"/>
  <c r="X6110" i="6"/>
  <c r="H2429" i="17"/>
  <c r="G2429" i="17"/>
  <c r="F2429" i="17"/>
  <c r="E2429" i="17"/>
  <c r="O6110" i="6"/>
  <c r="N6110" i="6"/>
  <c r="M6110" i="6"/>
  <c r="Q6109" i="6"/>
  <c r="W6109" i="6" s="1"/>
  <c r="F2428" i="17"/>
  <c r="E2428" i="17"/>
  <c r="D3720" i="13"/>
  <c r="X6109" i="6"/>
  <c r="M6109" i="6"/>
  <c r="I6109" i="6"/>
  <c r="Q6108" i="6"/>
  <c r="W6108" i="6" s="1"/>
  <c r="D3719" i="13"/>
  <c r="F2427" i="17"/>
  <c r="E2427" i="17"/>
  <c r="X6108" i="6"/>
  <c r="I6108" i="6"/>
  <c r="M6108" i="6"/>
  <c r="Q6107" i="6"/>
  <c r="W6107" i="6" s="1"/>
  <c r="D3718" i="13"/>
  <c r="F2426" i="17"/>
  <c r="E2426" i="17"/>
  <c r="X6107" i="6"/>
  <c r="I6107" i="6"/>
  <c r="M6107" i="6"/>
  <c r="Q6106" i="6"/>
  <c r="W6106" i="6" s="1"/>
  <c r="D3717" i="13"/>
  <c r="F2425" i="17"/>
  <c r="E2425" i="17"/>
  <c r="X6106" i="6"/>
  <c r="I6106" i="6"/>
  <c r="M6106" i="6"/>
  <c r="D3716" i="13"/>
  <c r="Q6105" i="6"/>
  <c r="W6105" i="6" s="1"/>
  <c r="I6105" i="6"/>
  <c r="X6105" i="6"/>
  <c r="F2424" i="17"/>
  <c r="E2424" i="17"/>
  <c r="M6105" i="6"/>
  <c r="D3715" i="13"/>
  <c r="Q6104" i="6"/>
  <c r="W6104" i="6" s="1"/>
  <c r="X6104" i="6"/>
  <c r="I6104" i="6"/>
  <c r="F2423" i="17"/>
  <c r="E2423" i="17"/>
  <c r="M6104" i="6"/>
  <c r="Q6103" i="6"/>
  <c r="W6103" i="6" s="1"/>
  <c r="D3714" i="13"/>
  <c r="I6103" i="6"/>
  <c r="X6103" i="6"/>
  <c r="F2422" i="17"/>
  <c r="E2422" i="17"/>
  <c r="M6103" i="6"/>
  <c r="Q6102" i="6"/>
  <c r="W6102" i="6" s="1"/>
  <c r="X6102" i="6"/>
  <c r="I6102" i="6"/>
  <c r="D3713" i="13"/>
  <c r="F2421" i="17"/>
  <c r="E2421" i="17"/>
  <c r="M6102" i="6"/>
  <c r="Q6101" i="6"/>
  <c r="W6101" i="6" s="1"/>
  <c r="I6101" i="6"/>
  <c r="D3712" i="13"/>
  <c r="X6101" i="6"/>
  <c r="F2420" i="17"/>
  <c r="E2420" i="17"/>
  <c r="M6101" i="6"/>
  <c r="D3711" i="13"/>
  <c r="Q6100" i="6"/>
  <c r="W6100" i="6" s="1"/>
  <c r="X6100" i="6"/>
  <c r="F2419" i="17"/>
  <c r="E2419" i="17"/>
  <c r="I6100" i="6"/>
  <c r="M6100" i="6"/>
  <c r="I6099" i="6"/>
  <c r="D3710" i="13"/>
  <c r="Q6099" i="6"/>
  <c r="W6099" i="6" s="1"/>
  <c r="X6099" i="6"/>
  <c r="F2418" i="17"/>
  <c r="E2418" i="17"/>
  <c r="M6099" i="6"/>
  <c r="Q6098" i="6"/>
  <c r="W6098" i="6" s="1"/>
  <c r="X6098" i="6"/>
  <c r="I6098" i="6"/>
  <c r="D3709" i="13"/>
  <c r="F2417" i="17"/>
  <c r="E2417" i="17"/>
  <c r="M6098" i="6"/>
  <c r="I6097" i="6"/>
  <c r="X6097" i="6"/>
  <c r="Q6097" i="6"/>
  <c r="W6097" i="6" s="1"/>
  <c r="D3708" i="13"/>
  <c r="F2416" i="17"/>
  <c r="E2416" i="17"/>
  <c r="M6097" i="6"/>
  <c r="Q6096" i="6"/>
  <c r="W6096" i="6" s="1"/>
  <c r="D3707" i="13"/>
  <c r="F2415" i="17"/>
  <c r="E2415" i="17"/>
  <c r="X6096" i="6"/>
  <c r="I6096" i="6"/>
  <c r="M6096" i="6"/>
  <c r="Q6095" i="6"/>
  <c r="W6095" i="6" s="1"/>
  <c r="X6095" i="6"/>
  <c r="D3706" i="13"/>
  <c r="F2414" i="17"/>
  <c r="E2414" i="17"/>
  <c r="I6095" i="6"/>
  <c r="M6095" i="6"/>
  <c r="D3705" i="13"/>
  <c r="F2413" i="17"/>
  <c r="E2413" i="17"/>
  <c r="X6094" i="6"/>
  <c r="Q6094" i="6"/>
  <c r="W6094" i="6" s="1"/>
  <c r="M6094" i="6"/>
  <c r="I6094" i="6"/>
  <c r="I6093" i="6"/>
  <c r="X6093" i="6"/>
  <c r="X6092" i="6"/>
  <c r="Q6093" i="6"/>
  <c r="W6093" i="6"/>
  <c r="F2412" i="17"/>
  <c r="E2412" i="17"/>
  <c r="M6093" i="6"/>
  <c r="Q6092" i="6"/>
  <c r="W6092" i="6" s="1"/>
  <c r="E2411" i="17"/>
  <c r="D3703" i="13"/>
  <c r="Q6091" i="6"/>
  <c r="W6091" i="6"/>
  <c r="Q6090" i="6"/>
  <c r="W6090" i="6" s="1"/>
  <c r="I6092" i="6"/>
  <c r="M6092" i="6"/>
  <c r="Q6089" i="6"/>
  <c r="W6089" i="6" s="1"/>
  <c r="F2408" i="17"/>
  <c r="E2408" i="17"/>
  <c r="D3700" i="13"/>
  <c r="E3721" i="13" s="1"/>
  <c r="M6089" i="6"/>
  <c r="X6089" i="6"/>
  <c r="I6089" i="6"/>
  <c r="Q6087" i="6"/>
  <c r="W6087" i="6" s="1"/>
  <c r="V6088" i="6"/>
  <c r="X6087" i="6"/>
  <c r="I6087" i="6"/>
  <c r="D3699" i="13"/>
  <c r="H2407" i="17"/>
  <c r="G2407" i="17"/>
  <c r="F2407" i="17"/>
  <c r="E2407" i="17"/>
  <c r="O6087" i="6"/>
  <c r="N6087" i="6"/>
  <c r="M6087" i="6"/>
  <c r="Q6086" i="6"/>
  <c r="W6086" i="6" s="1"/>
  <c r="F2406" i="17"/>
  <c r="E2406" i="17"/>
  <c r="D3698" i="13"/>
  <c r="X6086" i="6"/>
  <c r="M6086" i="6"/>
  <c r="I6086" i="6"/>
  <c r="Q6085" i="6"/>
  <c r="W6085" i="6" s="1"/>
  <c r="E2405" i="17"/>
  <c r="E2404" i="17"/>
  <c r="F2405" i="17"/>
  <c r="X6085" i="6"/>
  <c r="D3697" i="13"/>
  <c r="I6085" i="6"/>
  <c r="M6085" i="6"/>
  <c r="F2404" i="17"/>
  <c r="D3696" i="13"/>
  <c r="Q6084" i="6"/>
  <c r="W6084" i="6" s="1"/>
  <c r="X6084" i="6"/>
  <c r="M6084" i="6"/>
  <c r="I6084" i="6"/>
  <c r="D3695" i="13"/>
  <c r="I6083" i="6"/>
  <c r="X6083" i="6"/>
  <c r="Q6083" i="6"/>
  <c r="W6083" i="6" s="1"/>
  <c r="F2403" i="17"/>
  <c r="E2403" i="17"/>
  <c r="M6083" i="6"/>
  <c r="Q6082" i="6"/>
  <c r="W6082" i="6" s="1"/>
  <c r="D3694" i="13"/>
  <c r="D3693" i="13"/>
  <c r="X6082" i="6"/>
  <c r="I6082" i="6"/>
  <c r="F2402" i="17"/>
  <c r="E2402" i="17"/>
  <c r="M6082" i="6"/>
  <c r="Q6081" i="6"/>
  <c r="W6081" i="6" s="1"/>
  <c r="X6081" i="6"/>
  <c r="I6081" i="6"/>
  <c r="F2401" i="17"/>
  <c r="E2401" i="17"/>
  <c r="M6081" i="6"/>
  <c r="Q6080" i="6"/>
  <c r="W6080" i="6" s="1"/>
  <c r="D3692" i="13"/>
  <c r="X6080" i="6"/>
  <c r="I6080" i="6"/>
  <c r="F2400" i="17"/>
  <c r="E2400" i="17"/>
  <c r="M6080" i="6"/>
  <c r="D3691" i="13"/>
  <c r="Q6079" i="6"/>
  <c r="W6079" i="6" s="1"/>
  <c r="X6079" i="6"/>
  <c r="I6079" i="6"/>
  <c r="M6079" i="6"/>
  <c r="F2399" i="17"/>
  <c r="E2399" i="17"/>
  <c r="Q6078" i="6"/>
  <c r="W6078" i="6" s="1"/>
  <c r="D3690" i="13"/>
  <c r="D3689" i="13"/>
  <c r="X6078" i="6"/>
  <c r="F2398" i="17"/>
  <c r="E2398" i="17"/>
  <c r="I6078" i="6"/>
  <c r="M6078" i="6"/>
  <c r="X6077" i="6"/>
  <c r="Q6077" i="6"/>
  <c r="W6077" i="6" s="1"/>
  <c r="I6077" i="6"/>
  <c r="F2397" i="17"/>
  <c r="E2397" i="17"/>
  <c r="M6077" i="6"/>
  <c r="Q6076" i="6"/>
  <c r="W6076" i="6" s="1"/>
  <c r="D3688" i="13"/>
  <c r="F2396" i="17"/>
  <c r="E2396" i="17"/>
  <c r="X6076" i="6"/>
  <c r="I6076" i="6"/>
  <c r="M6076" i="6"/>
  <c r="Q6075" i="6"/>
  <c r="W6075" i="6" s="1"/>
  <c r="D3687" i="13"/>
  <c r="I6075" i="6"/>
  <c r="F2395" i="17"/>
  <c r="E2395" i="17"/>
  <c r="X6075" i="6"/>
  <c r="M6075" i="6"/>
  <c r="Q6074" i="6"/>
  <c r="W6074" i="6" s="1"/>
  <c r="D3686" i="13"/>
  <c r="X6074" i="6"/>
  <c r="F2394" i="17"/>
  <c r="E2394" i="17"/>
  <c r="I6074" i="6"/>
  <c r="M6074" i="6"/>
  <c r="Q6073" i="6"/>
  <c r="W6073" i="6" s="1"/>
  <c r="I6073" i="6"/>
  <c r="D3685" i="13"/>
  <c r="X6073" i="6"/>
  <c r="F2393" i="17"/>
  <c r="E2393" i="17"/>
  <c r="M6073" i="6"/>
  <c r="Q6072" i="6"/>
  <c r="W6072" i="6" s="1"/>
  <c r="X6072" i="6"/>
  <c r="I6072" i="6"/>
  <c r="M6072" i="6"/>
  <c r="D3684" i="13"/>
  <c r="F2392" i="17"/>
  <c r="E2392" i="17"/>
  <c r="D3683" i="13"/>
  <c r="Q6071" i="6"/>
  <c r="W6071" i="6" s="1"/>
  <c r="X6071" i="6"/>
  <c r="I6071" i="6"/>
  <c r="F2391" i="17"/>
  <c r="E2391" i="17"/>
  <c r="M6071" i="6"/>
  <c r="D3682" i="13"/>
  <c r="Q6070" i="6"/>
  <c r="W6070" i="6" s="1"/>
  <c r="X6070" i="6"/>
  <c r="F2390" i="17"/>
  <c r="E2390" i="17"/>
  <c r="I6070" i="6"/>
  <c r="M6070" i="6"/>
  <c r="D3681" i="13"/>
  <c r="Q6069" i="6"/>
  <c r="W6069" i="6" s="1"/>
  <c r="F2389" i="17"/>
  <c r="E2389" i="17"/>
  <c r="X6069" i="6"/>
  <c r="I6069" i="6"/>
  <c r="M6069" i="6"/>
  <c r="Q6068" i="6"/>
  <c r="W6068" i="6" s="1"/>
  <c r="D3680" i="13"/>
  <c r="I6068" i="6"/>
  <c r="X6068" i="6"/>
  <c r="F2388" i="17"/>
  <c r="E2388" i="17"/>
  <c r="M6068" i="6"/>
  <c r="Q6067" i="6"/>
  <c r="W6067" i="6" s="1"/>
  <c r="D3679" i="13"/>
  <c r="F2387" i="17"/>
  <c r="E2387" i="17"/>
  <c r="X6067" i="6"/>
  <c r="I6067" i="6"/>
  <c r="M6067" i="6"/>
  <c r="Q6066" i="6"/>
  <c r="W6066" i="6"/>
  <c r="F2386" i="17"/>
  <c r="E2386" i="17"/>
  <c r="D3678" i="13"/>
  <c r="X6066" i="6"/>
  <c r="I6066" i="6"/>
  <c r="M6066" i="6"/>
  <c r="D3677" i="13"/>
  <c r="X6065" i="6"/>
  <c r="Q6065" i="6"/>
  <c r="W6065" i="6" s="1"/>
  <c r="I6065" i="6"/>
  <c r="M6065" i="6"/>
  <c r="F2385" i="17"/>
  <c r="E2385" i="17"/>
  <c r="H2384" i="17"/>
  <c r="G2384" i="17"/>
  <c r="F2384" i="17"/>
  <c r="E2384" i="17"/>
  <c r="D3676" i="13"/>
  <c r="V6064" i="6"/>
  <c r="X6063" i="6"/>
  <c r="I6063" i="6"/>
  <c r="O6063" i="6"/>
  <c r="N6063" i="6"/>
  <c r="M6063" i="6"/>
  <c r="F2382" i="17"/>
  <c r="F2383" i="17"/>
  <c r="E2383" i="17"/>
  <c r="D3675" i="13"/>
  <c r="X6062" i="6"/>
  <c r="Q6062" i="6"/>
  <c r="W6062" i="6" s="1"/>
  <c r="Q6061" i="6"/>
  <c r="W6061" i="6" s="1"/>
  <c r="M6062" i="6"/>
  <c r="I6062" i="6"/>
  <c r="D3674" i="13"/>
  <c r="I6061" i="6"/>
  <c r="X6061" i="6"/>
  <c r="E2382" i="17"/>
  <c r="M6061" i="6"/>
  <c r="Q6060" i="6"/>
  <c r="W6060" i="6" s="1"/>
  <c r="D3673" i="13"/>
  <c r="I6060" i="6"/>
  <c r="F2381" i="17"/>
  <c r="E2381" i="17"/>
  <c r="X6060" i="6"/>
  <c r="M6060" i="6"/>
  <c r="Q6059" i="6"/>
  <c r="W6059" i="6" s="1"/>
  <c r="X6059" i="6"/>
  <c r="I6059" i="6"/>
  <c r="F2380" i="17"/>
  <c r="E2380" i="17"/>
  <c r="D3672" i="13"/>
  <c r="M6059" i="6"/>
  <c r="Q6058" i="6"/>
  <c r="W6058" i="6" s="1"/>
  <c r="D3671" i="13"/>
  <c r="I6058" i="6"/>
  <c r="X6058" i="6"/>
  <c r="F2379" i="17"/>
  <c r="E2379" i="17"/>
  <c r="M6058" i="6"/>
  <c r="Q6057" i="6"/>
  <c r="W6057" i="6" s="1"/>
  <c r="I6057" i="6"/>
  <c r="D3670" i="13"/>
  <c r="X6057" i="6"/>
  <c r="F2378" i="17"/>
  <c r="E2378" i="17"/>
  <c r="M6057" i="6"/>
  <c r="Q6056" i="6"/>
  <c r="D3669" i="13"/>
  <c r="F2377" i="17"/>
  <c r="E2377" i="17"/>
  <c r="M6056" i="6"/>
  <c r="I6056" i="6"/>
  <c r="F2376" i="17"/>
  <c r="E2376" i="17"/>
  <c r="D3668" i="13"/>
  <c r="Q6055" i="6"/>
  <c r="I6055" i="6"/>
  <c r="M6055" i="6"/>
  <c r="Q6054" i="6"/>
  <c r="X6051" i="6"/>
  <c r="I6054" i="6"/>
  <c r="D3667" i="13"/>
  <c r="E2375" i="17"/>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39"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5"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5" i="17"/>
  <c r="E2184" i="17"/>
  <c r="E2183" i="17"/>
  <c r="E2182" i="17"/>
  <c r="E2181" i="17"/>
  <c r="E2180" i="17"/>
  <c r="E2179" i="17"/>
  <c r="E2178" i="17"/>
  <c r="E2177" i="17"/>
  <c r="E2176" i="17"/>
  <c r="E2174" i="17"/>
  <c r="E2173" i="17"/>
  <c r="E2172" i="17"/>
  <c r="E2171" i="17"/>
  <c r="E2170" i="17"/>
  <c r="E2169" i="17"/>
  <c r="E2168" i="17"/>
  <c r="E2167" i="17"/>
  <c r="E2166" i="17"/>
  <c r="E2165" i="17"/>
  <c r="E2164" i="17"/>
  <c r="E2163" i="17"/>
  <c r="E2162" i="17"/>
  <c r="E2161" i="17"/>
  <c r="E2160" i="17"/>
  <c r="E2159" i="17"/>
  <c r="E2158" i="17"/>
  <c r="E2157" i="17"/>
  <c r="E2154"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78"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1"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6" i="17"/>
  <c r="E1925" i="17"/>
  <c r="E1924" i="17"/>
  <c r="E1923" i="17"/>
  <c r="E1922" i="17"/>
  <c r="E1921" i="17"/>
  <c r="E1920" i="17"/>
  <c r="E1919" i="17"/>
  <c r="E1918" i="17"/>
  <c r="E1917" i="17"/>
  <c r="E1916" i="17"/>
  <c r="E1915" i="17"/>
  <c r="E1914" i="17"/>
  <c r="E1913" i="17"/>
  <c r="E1911" i="17"/>
  <c r="E1910" i="17"/>
  <c r="E1909" i="17"/>
  <c r="E1908" i="17"/>
  <c r="E1907" i="17"/>
  <c r="E1906" i="17"/>
  <c r="E1905" i="17"/>
  <c r="E1904" i="17"/>
  <c r="E1903" i="17"/>
  <c r="E1900"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18"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2"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7" i="17"/>
  <c r="E1666" i="17"/>
  <c r="E1665" i="17"/>
  <c r="E1664" i="17"/>
  <c r="E1663" i="17"/>
  <c r="E1662" i="17"/>
  <c r="E1661" i="17"/>
  <c r="E1660" i="17"/>
  <c r="E1659" i="17"/>
  <c r="E1658" i="17"/>
  <c r="E1657" i="17"/>
  <c r="E1656" i="17"/>
  <c r="E1655" i="17"/>
  <c r="E1654" i="17"/>
  <c r="E1652"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6"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58"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3"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8" i="17"/>
  <c r="E1407" i="17"/>
  <c r="E1406" i="17"/>
  <c r="E1405" i="17"/>
  <c r="E1404" i="17"/>
  <c r="E1403" i="17"/>
  <c r="E1402" i="17"/>
  <c r="E1401" i="17"/>
  <c r="E1400" i="17"/>
  <c r="E1399" i="17"/>
  <c r="E1398" i="17"/>
  <c r="E1397" i="17"/>
  <c r="E1396" i="17"/>
  <c r="E1395" i="17"/>
  <c r="E1394" i="17"/>
  <c r="E1393" i="17"/>
  <c r="E1392" i="17"/>
  <c r="E1391" i="17"/>
  <c r="E1390" i="17"/>
  <c r="E1388" i="17"/>
  <c r="E1387" i="17"/>
  <c r="E1386" i="17"/>
  <c r="E1385" i="17"/>
  <c r="E1384" i="17"/>
  <c r="E1383" i="17"/>
  <c r="E1382" i="17"/>
  <c r="E1381" i="17"/>
  <c r="E1380" i="17"/>
  <c r="E1377"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299"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4"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49" i="17"/>
  <c r="E1148" i="17"/>
  <c r="E1147" i="17"/>
  <c r="E1146" i="17"/>
  <c r="E1145" i="17"/>
  <c r="E1144" i="17"/>
  <c r="E1143" i="17"/>
  <c r="E1142" i="17"/>
  <c r="E1141" i="17"/>
  <c r="E1140" i="17"/>
  <c r="E1139" i="17"/>
  <c r="E1138" i="17"/>
  <c r="E1137" i="17"/>
  <c r="E1136" i="17"/>
  <c r="E1135" i="17"/>
  <c r="E1134" i="17"/>
  <c r="E1133" i="17"/>
  <c r="E1132" i="17"/>
  <c r="E1131" i="17"/>
  <c r="E1129"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3"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0"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6"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6" i="17"/>
  <c r="E885" i="17"/>
  <c r="E884" i="17"/>
  <c r="E883" i="17"/>
  <c r="E882" i="17"/>
  <c r="E881" i="17"/>
  <c r="E880" i="17"/>
  <c r="E879" i="17"/>
  <c r="E878" i="17"/>
  <c r="E877" i="17"/>
  <c r="E876" i="17"/>
  <c r="E875" i="17"/>
  <c r="E874" i="17"/>
  <c r="E873" i="17"/>
  <c r="E871" i="17"/>
  <c r="E870" i="17"/>
  <c r="E869" i="17"/>
  <c r="E868" i="17"/>
  <c r="E867" i="17"/>
  <c r="E866" i="17"/>
  <c r="E865" i="17"/>
  <c r="E864" i="17"/>
  <c r="E863" i="17"/>
  <c r="E862" i="17"/>
  <c r="E861" i="17"/>
  <c r="E860" i="17"/>
  <c r="E859" i="17"/>
  <c r="E858" i="17"/>
  <c r="E857" i="17"/>
  <c r="E856" i="17"/>
  <c r="E855" i="17"/>
  <c r="E854" i="17"/>
  <c r="E853" i="17"/>
  <c r="E850"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0"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0"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3"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8" i="17"/>
  <c r="E367" i="17"/>
  <c r="E366" i="17"/>
  <c r="E365" i="17"/>
  <c r="E364" i="17"/>
  <c r="E363" i="17"/>
  <c r="E362" i="17"/>
  <c r="E361" i="17"/>
  <c r="E360" i="17"/>
  <c r="E359" i="17"/>
  <c r="E358" i="17"/>
  <c r="E357" i="17"/>
  <c r="E356" i="17"/>
  <c r="E355" i="17"/>
  <c r="E353"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7"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4" i="17"/>
  <c r="E263" i="17"/>
  <c r="E262" i="17"/>
  <c r="E259"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3" i="17"/>
  <c r="E112" i="17"/>
  <c r="E111" i="17"/>
  <c r="E110" i="17"/>
  <c r="E109" i="17"/>
  <c r="E108" i="17"/>
  <c r="E107" i="17"/>
  <c r="E106" i="17"/>
  <c r="E105" i="17"/>
  <c r="E104" i="17"/>
  <c r="E103" i="17"/>
  <c r="E102" i="17"/>
  <c r="E101" i="17"/>
  <c r="E100" i="17"/>
  <c r="E99" i="17"/>
  <c r="E98" i="17"/>
  <c r="E97" i="17"/>
  <c r="E96" i="17"/>
  <c r="E95" i="17"/>
  <c r="E93" i="17"/>
  <c r="E92" i="17"/>
  <c r="E91" i="17"/>
  <c r="E90" i="17"/>
  <c r="E89" i="17"/>
  <c r="E88" i="17"/>
  <c r="E87" i="17"/>
  <c r="E86" i="17"/>
  <c r="E85" i="17"/>
  <c r="E84" i="17"/>
  <c r="E83" i="17"/>
  <c r="E82" i="17"/>
  <c r="E81" i="17"/>
  <c r="E80" i="17"/>
  <c r="E79" i="17"/>
  <c r="E78" i="17"/>
  <c r="E77" i="17"/>
  <c r="E76" i="17"/>
  <c r="E75"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F2375" i="17"/>
  <c r="M6054" i="6"/>
  <c r="Q6053" i="6"/>
  <c r="D3666" i="13"/>
  <c r="F2374" i="17"/>
  <c r="I6053" i="6"/>
  <c r="M6053" i="6"/>
  <c r="D3665" i="13"/>
  <c r="I6052" i="6"/>
  <c r="M6052" i="6"/>
  <c r="F2373" i="17"/>
  <c r="F2372" i="17"/>
  <c r="D3664" i="13"/>
  <c r="I6051" i="6"/>
  <c r="M6051" i="6"/>
  <c r="D3663" i="13"/>
  <c r="I6050" i="6"/>
  <c r="Q6050" i="6"/>
  <c r="W6050" i="6" s="1"/>
  <c r="X6050" i="6"/>
  <c r="F2371" i="17"/>
  <c r="M6050" i="6"/>
  <c r="Q6049" i="6"/>
  <c r="W6049" i="6" s="1"/>
  <c r="I6049" i="6"/>
  <c r="D3662" i="13"/>
  <c r="X6049" i="6"/>
  <c r="F2370" i="17"/>
  <c r="M6049" i="6"/>
  <c r="Q6048" i="6"/>
  <c r="W6048" i="6" s="1"/>
  <c r="X6048" i="6"/>
  <c r="I6048" i="6"/>
  <c r="D3661" i="13"/>
  <c r="F2369" i="17"/>
  <c r="M6048" i="6"/>
  <c r="F2368" i="17"/>
  <c r="D3660" i="13"/>
  <c r="Q6047" i="6"/>
  <c r="W6047" i="6" s="1"/>
  <c r="X6047" i="6"/>
  <c r="I6047" i="6"/>
  <c r="M6047" i="6"/>
  <c r="Q6046" i="6"/>
  <c r="W6046" i="6" s="1"/>
  <c r="X6046" i="6"/>
  <c r="I6046" i="6"/>
  <c r="F2367" i="17"/>
  <c r="M6046" i="6"/>
  <c r="D3658" i="13"/>
  <c r="D3659" i="13"/>
  <c r="I6045" i="6"/>
  <c r="X6045" i="6"/>
  <c r="Q6045" i="6"/>
  <c r="W6045" i="6" s="1"/>
  <c r="F2366" i="17"/>
  <c r="M6045" i="6"/>
  <c r="Q6044" i="6"/>
  <c r="W6044" i="6"/>
  <c r="D3657" i="13"/>
  <c r="X6044" i="6"/>
  <c r="I6044" i="6"/>
  <c r="F2365" i="17"/>
  <c r="M6044" i="6"/>
  <c r="Q6042" i="6"/>
  <c r="W6042" i="6" s="1"/>
  <c r="D3656" i="13"/>
  <c r="I6042" i="6"/>
  <c r="X6042" i="6"/>
  <c r="H2364" i="17"/>
  <c r="G2364" i="17"/>
  <c r="F2364" i="17"/>
  <c r="N6042" i="6"/>
  <c r="M6042" i="6"/>
  <c r="D3655" i="13"/>
  <c r="Q6041" i="6"/>
  <c r="W6041" i="6" s="1"/>
  <c r="X6041" i="6"/>
  <c r="I6041" i="6"/>
  <c r="F2363" i="17"/>
  <c r="M6041" i="6"/>
  <c r="Q6040" i="6"/>
  <c r="W6040" i="6" s="1"/>
  <c r="I6040" i="6"/>
  <c r="D3654" i="13"/>
  <c r="X6040" i="6"/>
  <c r="F2362" i="17"/>
  <c r="M6040" i="6"/>
  <c r="Q6039" i="6"/>
  <c r="W6039" i="6" s="1"/>
  <c r="D3653" i="13"/>
  <c r="I6039" i="6"/>
  <c r="X6039" i="6"/>
  <c r="F2361" i="17"/>
  <c r="M6039" i="6"/>
  <c r="Q6038" i="6"/>
  <c r="W6038" i="6" s="1"/>
  <c r="D3652" i="13"/>
  <c r="X6038" i="6"/>
  <c r="F2360" i="17"/>
  <c r="I6038" i="6"/>
  <c r="M6038" i="6"/>
  <c r="D3651" i="13"/>
  <c r="X6037" i="6"/>
  <c r="Q6037" i="6"/>
  <c r="W6037" i="6" s="1"/>
  <c r="I6037" i="6"/>
  <c r="F2359" i="17"/>
  <c r="M6037" i="6"/>
  <c r="Q6036" i="6"/>
  <c r="W6036" i="6" s="1"/>
  <c r="I6036" i="6"/>
  <c r="D3650" i="13"/>
  <c r="X6036" i="6"/>
  <c r="F2358" i="17"/>
  <c r="M6036" i="6"/>
  <c r="I6035" i="6"/>
  <c r="D3649" i="13"/>
  <c r="Q6035" i="6"/>
  <c r="W6035" i="6" s="1"/>
  <c r="X6035" i="6"/>
  <c r="F2357" i="17"/>
  <c r="M6035" i="6"/>
  <c r="I6034" i="6"/>
  <c r="Q6034" i="6"/>
  <c r="W6034" i="6" s="1"/>
  <c r="X6034" i="6"/>
  <c r="D3648" i="13"/>
  <c r="F2356" i="17"/>
  <c r="M6034" i="6"/>
  <c r="Q6033" i="6"/>
  <c r="W6033" i="6" s="1"/>
  <c r="D3647" i="13"/>
  <c r="X6033" i="6"/>
  <c r="I6033" i="6"/>
  <c r="M6033" i="6"/>
  <c r="F2355" i="17"/>
  <c r="I6032" i="6"/>
  <c r="Q6032" i="6"/>
  <c r="W6032" i="6" s="1"/>
  <c r="D3646" i="13"/>
  <c r="X6032" i="6"/>
  <c r="F2354" i="17"/>
  <c r="M6032" i="6"/>
  <c r="I6031" i="6"/>
  <c r="X6031" i="6"/>
  <c r="Q6031" i="6"/>
  <c r="W6031" i="6" s="1"/>
  <c r="D3645" i="13"/>
  <c r="F2353" i="17"/>
  <c r="M6031" i="6"/>
  <c r="Q6030" i="6"/>
  <c r="W6030" i="6" s="1"/>
  <c r="I6030" i="6"/>
  <c r="X6030" i="6"/>
  <c r="D3644" i="13"/>
  <c r="F2352" i="17"/>
  <c r="M6030" i="6"/>
  <c r="Q6029" i="6"/>
  <c r="W6029" i="6" s="1"/>
  <c r="X6029" i="6"/>
  <c r="I6029" i="6"/>
  <c r="D3643" i="13"/>
  <c r="F2351" i="17"/>
  <c r="M6029" i="6"/>
  <c r="Q6028" i="6"/>
  <c r="W6028" i="6" s="1"/>
  <c r="F2350" i="17"/>
  <c r="I6028" i="6"/>
  <c r="X6028" i="6"/>
  <c r="D3642" i="13"/>
  <c r="M6028" i="6"/>
  <c r="Q6027" i="6"/>
  <c r="W6027" i="6" s="1"/>
  <c r="I6027" i="6"/>
  <c r="D3641" i="13"/>
  <c r="X6027" i="6"/>
  <c r="F2349" i="17"/>
  <c r="M6027" i="6"/>
  <c r="Q6026" i="6"/>
  <c r="W6026" i="6" s="1"/>
  <c r="D3640" i="13"/>
  <c r="F2348" i="17"/>
  <c r="X6026" i="6"/>
  <c r="I6026" i="6"/>
  <c r="M6026" i="6"/>
  <c r="D3639" i="13"/>
  <c r="I6025" i="6"/>
  <c r="X6025" i="6"/>
  <c r="Q6025" i="6"/>
  <c r="W6025" i="6" s="1"/>
  <c r="F2347" i="17"/>
  <c r="M6025" i="6"/>
  <c r="X6024" i="6"/>
  <c r="Q6024" i="6"/>
  <c r="W6024" i="6" s="1"/>
  <c r="I6024" i="6"/>
  <c r="D3638" i="13"/>
  <c r="F2346" i="17"/>
  <c r="M6024" i="6"/>
  <c r="Q6023" i="6"/>
  <c r="W6023" i="6" s="1"/>
  <c r="X6023" i="6"/>
  <c r="M6023" i="6"/>
  <c r="I6023" i="6"/>
  <c r="D3637" i="13"/>
  <c r="F2345" i="17"/>
  <c r="V6022" i="6"/>
  <c r="D3636" i="13"/>
  <c r="Q6021" i="6"/>
  <c r="W6021" i="6" s="1"/>
  <c r="X6021" i="6"/>
  <c r="I6021" i="6"/>
  <c r="N6021" i="6"/>
  <c r="H2344" i="17"/>
  <c r="G2344" i="17"/>
  <c r="F2344" i="17"/>
  <c r="O6021" i="6"/>
  <c r="N34" i="10" s="1"/>
  <c r="M6021" i="6"/>
  <c r="Q6018" i="6"/>
  <c r="W6018" i="6" s="1"/>
  <c r="X6020" i="6"/>
  <c r="Q6020" i="6"/>
  <c r="W6020" i="6" s="1"/>
  <c r="F2343" i="17"/>
  <c r="D3634" i="13"/>
  <c r="D3635" i="13"/>
  <c r="D3631" i="13"/>
  <c r="M6020" i="6"/>
  <c r="I6020" i="6"/>
  <c r="Q6019" i="6"/>
  <c r="W6019" i="6" s="1"/>
  <c r="I6019" i="6"/>
  <c r="X6019" i="6"/>
  <c r="M6019" i="6"/>
  <c r="Q6016" i="6"/>
  <c r="W6016" i="6" s="1"/>
  <c r="X6016" i="6"/>
  <c r="I6016" i="6"/>
  <c r="F2339" i="17"/>
  <c r="M6016" i="6"/>
  <c r="Q6015" i="6"/>
  <c r="W6015" i="6" s="1"/>
  <c r="D3630" i="13"/>
  <c r="X6015" i="6"/>
  <c r="I6015" i="6"/>
  <c r="F2338" i="17"/>
  <c r="M6015" i="6"/>
  <c r="Q6014" i="6"/>
  <c r="W6014" i="6" s="1"/>
  <c r="D3629" i="13"/>
  <c r="F2337" i="17"/>
  <c r="X6014" i="6"/>
  <c r="I6014" i="6"/>
  <c r="M6014" i="6"/>
  <c r="X6013" i="6"/>
  <c r="Q6013" i="6"/>
  <c r="W6013" i="6" s="1"/>
  <c r="I6013" i="6"/>
  <c r="D3628" i="13"/>
  <c r="F2336" i="17"/>
  <c r="M6013" i="6"/>
  <c r="I6012" i="6"/>
  <c r="D3627" i="13"/>
  <c r="Q6012" i="6"/>
  <c r="W6012" i="6" s="1"/>
  <c r="X6012" i="6"/>
  <c r="F2335" i="17"/>
  <c r="M6012" i="6"/>
  <c r="Q6011" i="6"/>
  <c r="W6011" i="6" s="1"/>
  <c r="D3626" i="13"/>
  <c r="X6011" i="6"/>
  <c r="I6011" i="6"/>
  <c r="F2334" i="17"/>
  <c r="M6011" i="6"/>
  <c r="Q6010" i="6"/>
  <c r="W6010" i="6" s="1"/>
  <c r="D3625" i="13"/>
  <c r="I6010" i="6"/>
  <c r="X6010" i="6"/>
  <c r="F2333"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2" i="17"/>
  <c r="I6009" i="6"/>
  <c r="M6009" i="6"/>
  <c r="I6008" i="6"/>
  <c r="Q6008" i="6"/>
  <c r="W6008" i="6" s="1"/>
  <c r="D3623" i="13"/>
  <c r="F2331" i="17"/>
  <c r="M6008" i="6"/>
  <c r="D3622" i="13"/>
  <c r="I6007" i="6"/>
  <c r="Q6007" i="6"/>
  <c r="W6007" i="6" s="1"/>
  <c r="F2330" i="17"/>
  <c r="M6007" i="6"/>
  <c r="Q6006" i="6"/>
  <c r="W6006" i="6" s="1"/>
  <c r="D3621" i="13"/>
  <c r="I6006" i="6"/>
  <c r="F2329" i="17"/>
  <c r="M6006" i="6"/>
  <c r="D3620" i="13"/>
  <c r="I6005" i="6"/>
  <c r="Q6005" i="6"/>
  <c r="W6005" i="6" s="1"/>
  <c r="F2328" i="17"/>
  <c r="M6005" i="6"/>
  <c r="Q6004" i="6"/>
  <c r="W6004" i="6" s="1"/>
  <c r="I6004" i="6"/>
  <c r="D3619" i="13"/>
  <c r="F2327" i="17"/>
  <c r="M6004" i="6"/>
  <c r="Q6003" i="6"/>
  <c r="W6003" i="6" s="1"/>
  <c r="F2326" i="17"/>
  <c r="D3618" i="13"/>
  <c r="M6003" i="6"/>
  <c r="I6003" i="6"/>
  <c r="Q6002" i="6"/>
  <c r="W6002" i="6" s="1"/>
  <c r="F2325" i="17"/>
  <c r="D3617" i="13"/>
  <c r="M6002" i="6"/>
  <c r="I6002" i="6"/>
  <c r="I6001" i="6"/>
  <c r="Q6001" i="6"/>
  <c r="W6001" i="6" s="1"/>
  <c r="D3616" i="13"/>
  <c r="F2324" i="17"/>
  <c r="M6001" i="6"/>
  <c r="I6000" i="6"/>
  <c r="Q6000" i="6"/>
  <c r="W6000" i="6" s="1"/>
  <c r="F2323" i="17"/>
  <c r="D3615" i="13"/>
  <c r="M6000" i="6"/>
  <c r="I5999" i="6"/>
  <c r="Q5999" i="6"/>
  <c r="W5999" i="6" s="1"/>
  <c r="F2322" i="17"/>
  <c r="D3614" i="13"/>
  <c r="M5999" i="6"/>
  <c r="D3613" i="13"/>
  <c r="Q5997" i="6"/>
  <c r="W5997" i="6" s="1"/>
  <c r="I5997" i="6"/>
  <c r="V5998" i="6"/>
  <c r="H2321" i="17"/>
  <c r="G2321" i="17"/>
  <c r="F2321" i="17"/>
  <c r="O5997" i="6"/>
  <c r="N5997" i="6"/>
  <c r="M5997" i="6"/>
  <c r="D3612" i="13"/>
  <c r="Q5996" i="6"/>
  <c r="W5996" i="6" s="1"/>
  <c r="I5996" i="6"/>
  <c r="F2320" i="17"/>
  <c r="M5996" i="6"/>
  <c r="Q5995" i="6"/>
  <c r="W5995" i="6" s="1"/>
  <c r="I5995" i="6"/>
  <c r="D3611" i="13"/>
  <c r="F2319" i="17"/>
  <c r="M5995" i="6"/>
  <c r="Q5994" i="6"/>
  <c r="W5994" i="6" s="1"/>
  <c r="D3610" i="13"/>
  <c r="I5994" i="6"/>
  <c r="F2318" i="17"/>
  <c r="M5994" i="6"/>
  <c r="D3609" i="13"/>
  <c r="I5993" i="6"/>
  <c r="Q5993" i="6"/>
  <c r="W5993" i="6" s="1"/>
  <c r="Q5992" i="6"/>
  <c r="W5992" i="6" s="1"/>
  <c r="F2317" i="17"/>
  <c r="M5993" i="6"/>
  <c r="F2316" i="17"/>
  <c r="I5992" i="6"/>
  <c r="D3608" i="13"/>
  <c r="M5992" i="6"/>
  <c r="Q5991" i="6"/>
  <c r="W5991" i="6" s="1"/>
  <c r="D3607" i="13"/>
  <c r="F2315" i="17"/>
  <c r="I5991" i="6"/>
  <c r="M5991" i="6"/>
  <c r="Q5990" i="6"/>
  <c r="W5990" i="6" s="1"/>
  <c r="F2314" i="17"/>
  <c r="I2313" i="17"/>
  <c r="D3606" i="13"/>
  <c r="M5990" i="6"/>
  <c r="I5990" i="6"/>
  <c r="Q5989" i="6"/>
  <c r="W5989" i="6"/>
  <c r="F2313" i="17"/>
  <c r="D3605" i="13"/>
  <c r="I5989" i="6"/>
  <c r="M5989" i="6"/>
  <c r="D3604" i="13"/>
  <c r="Q5988" i="6"/>
  <c r="W5988" i="6" s="1"/>
  <c r="I5988" i="6"/>
  <c r="F2312" i="17"/>
  <c r="M5988" i="6"/>
  <c r="Q5987" i="6"/>
  <c r="W5987" i="6" s="1"/>
  <c r="D3603" i="13"/>
  <c r="F2311" i="17"/>
  <c r="I5987" i="6"/>
  <c r="M5987" i="6"/>
  <c r="D3602" i="13"/>
  <c r="Q5986" i="6"/>
  <c r="W5986" i="6" s="1"/>
  <c r="I5986" i="6"/>
  <c r="F2310" i="17"/>
  <c r="M5986" i="6"/>
  <c r="D3601" i="13"/>
  <c r="I5985" i="6"/>
  <c r="Q5985" i="6"/>
  <c r="W5985" i="6"/>
  <c r="F2309" i="17"/>
  <c r="M5985" i="6"/>
  <c r="Q5984" i="6"/>
  <c r="W5984" i="6" s="1"/>
  <c r="I5984" i="6"/>
  <c r="D3600" i="13"/>
  <c r="F2308" i="17"/>
  <c r="M5984" i="6"/>
  <c r="I5983" i="6"/>
  <c r="D3599" i="13"/>
  <c r="Q5983" i="6"/>
  <c r="W5983" i="6" s="1"/>
  <c r="F2307" i="17"/>
  <c r="M5983" i="6"/>
  <c r="D3598" i="13"/>
  <c r="Q5982" i="6"/>
  <c r="W5982" i="6"/>
  <c r="F2306" i="17"/>
  <c r="I5982" i="6"/>
  <c r="M5982" i="6"/>
  <c r="Q5981" i="6"/>
  <c r="W5981" i="6" s="1"/>
  <c r="Q5980" i="6"/>
  <c r="I5981" i="6"/>
  <c r="D3597" i="13"/>
  <c r="F2305" i="17"/>
  <c r="M5981" i="6"/>
  <c r="W5980" i="6"/>
  <c r="D3596" i="13"/>
  <c r="I5980" i="6"/>
  <c r="F2304" i="17"/>
  <c r="M5980" i="6"/>
  <c r="Q5979" i="6"/>
  <c r="W5979" i="6" s="1"/>
  <c r="D3595" i="13"/>
  <c r="F2303" i="17"/>
  <c r="I5979" i="6"/>
  <c r="M5979" i="6"/>
  <c r="Q5978" i="6"/>
  <c r="W5978" i="6" s="1"/>
  <c r="I5978" i="6"/>
  <c r="D3594" i="13"/>
  <c r="F2302" i="17"/>
  <c r="N5975" i="6"/>
  <c r="O5975" i="6"/>
  <c r="M5978" i="6"/>
  <c r="Q5977" i="6"/>
  <c r="W5977" i="6" s="1"/>
  <c r="D3593" i="13"/>
  <c r="F2301" i="17"/>
  <c r="I5977" i="6"/>
  <c r="M5977" i="6"/>
  <c r="V5976" i="6"/>
  <c r="Q5975" i="6"/>
  <c r="W5975" i="6" s="1"/>
  <c r="D3592" i="13"/>
  <c r="I5975" i="6"/>
  <c r="H2300" i="17"/>
  <c r="G2300" i="17"/>
  <c r="F2300" i="17"/>
  <c r="M5975" i="6"/>
  <c r="Q5974" i="6"/>
  <c r="W5974" i="6" s="1"/>
  <c r="D3591" i="13"/>
  <c r="F2299" i="17"/>
  <c r="X5974" i="6"/>
  <c r="I5974" i="6"/>
  <c r="M5974" i="6"/>
  <c r="F2298" i="17"/>
  <c r="Q5973" i="6"/>
  <c r="W5973" i="6" s="1"/>
  <c r="I5973" i="6"/>
  <c r="X5973" i="6"/>
  <c r="D3590" i="13"/>
  <c r="M5973" i="6"/>
  <c r="Q5972" i="6"/>
  <c r="W5972" i="6" s="1"/>
  <c r="Q5971" i="6"/>
  <c r="W5971" i="6" s="1"/>
  <c r="X5972" i="6"/>
  <c r="F2297" i="17"/>
  <c r="D3589" i="13"/>
  <c r="I5972" i="6"/>
  <c r="M5972" i="6"/>
  <c r="F2296" i="17"/>
  <c r="D3588" i="13"/>
  <c r="X5971" i="6"/>
  <c r="I5971" i="6"/>
  <c r="M5971" i="6"/>
  <c r="Q5970" i="6"/>
  <c r="W5970" i="6" s="1"/>
  <c r="X5970" i="6"/>
  <c r="F2295" i="17"/>
  <c r="D3587" i="13"/>
  <c r="M5970" i="6"/>
  <c r="I5970" i="6"/>
  <c r="Q5969" i="6"/>
  <c r="W5969" i="6" s="1"/>
  <c r="D3586" i="13"/>
  <c r="F2294" i="17"/>
  <c r="X5969" i="6"/>
  <c r="I5969" i="6"/>
  <c r="M5969" i="6"/>
  <c r="Q5968" i="6"/>
  <c r="W5968" i="6" s="1"/>
  <c r="D3585" i="13"/>
  <c r="X5968" i="6"/>
  <c r="I5968" i="6"/>
  <c r="F2293" i="17"/>
  <c r="M5968" i="6"/>
  <c r="D3584" i="13"/>
  <c r="X5967" i="6"/>
  <c r="Q5967" i="6"/>
  <c r="W5967" i="6"/>
  <c r="I5967" i="6"/>
  <c r="F2292" i="17"/>
  <c r="M5967" i="6"/>
  <c r="Q5966" i="6"/>
  <c r="W5966" i="6" s="1"/>
  <c r="D3583" i="13"/>
  <c r="X5966" i="6"/>
  <c r="F2291" i="17"/>
  <c r="I5966" i="6"/>
  <c r="M5966" i="6"/>
  <c r="D3582" i="13"/>
  <c r="Q5965" i="6"/>
  <c r="W5965" i="6" s="1"/>
  <c r="X5965" i="6"/>
  <c r="F2290" i="17"/>
  <c r="I5965" i="6"/>
  <c r="M5965" i="6"/>
  <c r="F2289" i="17"/>
  <c r="D3581" i="13"/>
  <c r="Q5964" i="6"/>
  <c r="W5964" i="6" s="1"/>
  <c r="X5964" i="6"/>
  <c r="I5964" i="6"/>
  <c r="M5964" i="6"/>
  <c r="Q5963" i="6"/>
  <c r="W5963" i="6"/>
  <c r="D3580" i="13"/>
  <c r="I5963" i="6"/>
  <c r="X5963" i="6"/>
  <c r="F2288" i="17"/>
  <c r="M5963" i="6"/>
  <c r="Q5962" i="6"/>
  <c r="W5962" i="6" s="1"/>
  <c r="I5962" i="6"/>
  <c r="X5962" i="6"/>
  <c r="F2287" i="17"/>
  <c r="D3579" i="13"/>
  <c r="M5962" i="6"/>
  <c r="Q5961" i="6"/>
  <c r="W5961" i="6" s="1"/>
  <c r="D3578" i="13"/>
  <c r="I5961" i="6"/>
  <c r="X5961" i="6"/>
  <c r="F2286" i="17"/>
  <c r="M5961" i="6"/>
  <c r="D3577" i="13"/>
  <c r="Q5960" i="6"/>
  <c r="W5960" i="6" s="1"/>
  <c r="X5960" i="6"/>
  <c r="I5960" i="6"/>
  <c r="M5960" i="6"/>
  <c r="F2285" i="17"/>
  <c r="D3576" i="13"/>
  <c r="F2284" i="17"/>
  <c r="W5959" i="6"/>
  <c r="I5959" i="6"/>
  <c r="M5959" i="6"/>
  <c r="Q5958" i="6"/>
  <c r="W5958" i="6" s="1"/>
  <c r="I5958" i="6"/>
  <c r="D3575" i="13"/>
  <c r="F2283" i="17"/>
  <c r="M5958" i="6"/>
  <c r="Q5957" i="6"/>
  <c r="W5957" i="6" s="1"/>
  <c r="F2282" i="17"/>
  <c r="D3574" i="13"/>
  <c r="I5957" i="6"/>
  <c r="M5957" i="6"/>
  <c r="Q5956" i="6"/>
  <c r="W5956" i="6" s="1"/>
  <c r="I5956" i="6"/>
  <c r="D3573" i="13"/>
  <c r="M5956" i="6"/>
  <c r="F2281" i="17"/>
  <c r="Q5955" i="6"/>
  <c r="W5955" i="6" s="1"/>
  <c r="D3572" i="13"/>
  <c r="D3571" i="13"/>
  <c r="F2280" i="17"/>
  <c r="F2279" i="17"/>
  <c r="H2278" i="17"/>
  <c r="G2278" i="17"/>
  <c r="F2278" i="17"/>
  <c r="F2277"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6" i="17"/>
  <c r="I5950" i="6"/>
  <c r="M5950" i="6"/>
  <c r="Q5949" i="6"/>
  <c r="W5949" i="6" s="1"/>
  <c r="Q5948" i="6"/>
  <c r="W5948" i="6" s="1"/>
  <c r="D3567" i="13"/>
  <c r="I5949" i="6"/>
  <c r="X5949" i="6"/>
  <c r="F2275" i="17"/>
  <c r="M5949" i="6"/>
  <c r="D3566" i="13"/>
  <c r="F2274" i="17"/>
  <c r="X5948" i="6"/>
  <c r="I5948" i="6"/>
  <c r="M5948" i="6"/>
  <c r="Q5947" i="6"/>
  <c r="W5947" i="6" s="1"/>
  <c r="X5947" i="6"/>
  <c r="I5947" i="6"/>
  <c r="D3565" i="13"/>
  <c r="F2273" i="17"/>
  <c r="M5947" i="6"/>
  <c r="Q5946" i="6"/>
  <c r="W5946" i="6" s="1"/>
  <c r="I5946" i="6"/>
  <c r="X5946" i="6"/>
  <c r="F2272" i="17"/>
  <c r="D3564" i="13"/>
  <c r="M5946" i="6"/>
  <c r="Q5945" i="6"/>
  <c r="W5945" i="6" s="1"/>
  <c r="F2271" i="17"/>
  <c r="D3563" i="13"/>
  <c r="X5945" i="6"/>
  <c r="I5945" i="6"/>
  <c r="M5945" i="6"/>
  <c r="Q5944" i="6"/>
  <c r="W5944" i="6" s="1"/>
  <c r="D3562" i="13"/>
  <c r="F2270" i="17"/>
  <c r="X5944" i="6"/>
  <c r="I5944" i="6"/>
  <c r="M5944" i="6"/>
  <c r="Q5943" i="6"/>
  <c r="W5943" i="6" s="1"/>
  <c r="X5943" i="6"/>
  <c r="F2269" i="17"/>
  <c r="D3561" i="13"/>
  <c r="I5943" i="6"/>
  <c r="M5943" i="6"/>
  <c r="V5930" i="6"/>
  <c r="Q5942" i="6"/>
  <c r="W5942" i="6" s="1"/>
  <c r="X5942" i="6"/>
  <c r="F2268" i="17"/>
  <c r="D3560" i="13"/>
  <c r="I5942" i="6"/>
  <c r="M5942" i="6"/>
  <c r="F2267" i="17"/>
  <c r="D3559" i="13"/>
  <c r="Q5941" i="6"/>
  <c r="W5941" i="6" s="1"/>
  <c r="X5941" i="6"/>
  <c r="M5941" i="6"/>
  <c r="I5941" i="6"/>
  <c r="Q5939" i="6"/>
  <c r="W5939" i="6" s="1"/>
  <c r="Q5940" i="6"/>
  <c r="W5940" i="6" s="1"/>
  <c r="D3558" i="13"/>
  <c r="I5940" i="6"/>
  <c r="X5940" i="6"/>
  <c r="F2266" i="17"/>
  <c r="M5940" i="6"/>
  <c r="D3557" i="13"/>
  <c r="I5939" i="6"/>
  <c r="X5939" i="6"/>
  <c r="F2265" i="17"/>
  <c r="M5939" i="6"/>
  <c r="Q5938" i="6"/>
  <c r="W5938" i="6" s="1"/>
  <c r="I5938" i="6"/>
  <c r="D3556" i="13"/>
  <c r="X5938" i="6"/>
  <c r="F2264" i="17"/>
  <c r="M5938" i="6"/>
  <c r="F2263" i="17"/>
  <c r="D3555" i="13"/>
  <c r="Q5937" i="6"/>
  <c r="W5937" i="6" s="1"/>
  <c r="X5937" i="6"/>
  <c r="M5937" i="6"/>
  <c r="I5937" i="6"/>
  <c r="Q5936" i="6"/>
  <c r="W5936" i="6" s="1"/>
  <c r="D3554" i="13"/>
  <c r="X5936" i="6"/>
  <c r="I5936" i="6"/>
  <c r="F2262" i="17"/>
  <c r="M5936" i="6"/>
  <c r="D3553" i="13"/>
  <c r="I5935" i="6"/>
  <c r="Q5935" i="6"/>
  <c r="W5935" i="6" s="1"/>
  <c r="X5935" i="6"/>
  <c r="F2261" i="17"/>
  <c r="M5935" i="6"/>
  <c r="X5934" i="6"/>
  <c r="Q5934" i="6"/>
  <c r="W5934" i="6" s="1"/>
  <c r="D3552" i="13"/>
  <c r="I5934" i="6"/>
  <c r="F2260" i="17"/>
  <c r="M5934" i="6"/>
  <c r="Q5933" i="6"/>
  <c r="W5933" i="6" s="1"/>
  <c r="I5933" i="6"/>
  <c r="D3551" i="13"/>
  <c r="X5933" i="6"/>
  <c r="F2259" i="17"/>
  <c r="M5933" i="6"/>
  <c r="Q5932" i="6"/>
  <c r="F2258" i="17"/>
  <c r="X5932" i="6"/>
  <c r="W5932" i="6"/>
  <c r="M5932" i="6"/>
  <c r="I5932" i="6"/>
  <c r="D3550" i="13"/>
  <c r="D3549" i="13"/>
  <c r="Q5931" i="6"/>
  <c r="W5931" i="6" s="1"/>
  <c r="M5931" i="6"/>
  <c r="X5931" i="6"/>
  <c r="I5931" i="6"/>
  <c r="Q5929" i="6"/>
  <c r="H2256" i="17"/>
  <c r="G2256" i="17"/>
  <c r="O5929" i="6"/>
  <c r="N5929" i="6"/>
  <c r="Q5928" i="6"/>
  <c r="W5928" i="6" s="1"/>
  <c r="I5928" i="6"/>
  <c r="D3547" i="13"/>
  <c r="D3546" i="13"/>
  <c r="F2255" i="17"/>
  <c r="X5928" i="6"/>
  <c r="M5928" i="6"/>
  <c r="Q5927" i="6"/>
  <c r="W5927" i="6" s="1"/>
  <c r="X5927" i="6"/>
  <c r="I5927" i="6"/>
  <c r="F2254" i="17"/>
  <c r="M5927" i="6"/>
  <c r="I5926" i="6"/>
  <c r="D3545" i="13"/>
  <c r="Q5926" i="6"/>
  <c r="W5926" i="6"/>
  <c r="X5926" i="6"/>
  <c r="F2253" i="17"/>
  <c r="M5926" i="6"/>
  <c r="Q5925" i="6"/>
  <c r="W5925" i="6" s="1"/>
  <c r="X5925" i="6"/>
  <c r="I5925" i="6"/>
  <c r="D3544" i="13"/>
  <c r="F2252" i="17"/>
  <c r="M5925" i="6"/>
  <c r="D3543" i="13"/>
  <c r="Q5924" i="6"/>
  <c r="W5924" i="6" s="1"/>
  <c r="F2251" i="17"/>
  <c r="X5924" i="6"/>
  <c r="I5924" i="6"/>
  <c r="M5924" i="6"/>
  <c r="Q5923" i="6"/>
  <c r="W5923" i="6" s="1"/>
  <c r="X5923" i="6"/>
  <c r="M5923" i="6"/>
  <c r="I5923" i="6"/>
  <c r="D3542" i="13"/>
  <c r="F2250" i="17"/>
  <c r="F2249" i="17"/>
  <c r="D3541" i="13"/>
  <c r="X5922" i="6"/>
  <c r="I5922" i="6"/>
  <c r="Q5922" i="6"/>
  <c r="W5922" i="6" s="1"/>
  <c r="M5922" i="6"/>
  <c r="Q5921" i="6"/>
  <c r="W5921" i="6"/>
  <c r="I5921" i="6"/>
  <c r="D3540" i="13"/>
  <c r="X5921" i="6"/>
  <c r="F2248" i="17"/>
  <c r="M5921" i="6"/>
  <c r="Q5920" i="6"/>
  <c r="W5920" i="6" s="1"/>
  <c r="D3539" i="13"/>
  <c r="X5920" i="6"/>
  <c r="I5920" i="6"/>
  <c r="M5920" i="6"/>
  <c r="F2247" i="17"/>
  <c r="D3538" i="13"/>
  <c r="Q5919" i="6"/>
  <c r="W5919" i="6" s="1"/>
  <c r="F2246" i="17"/>
  <c r="F2245" i="17"/>
  <c r="D3537" i="13"/>
  <c r="X5919" i="6"/>
  <c r="I5919" i="6"/>
  <c r="M5919" i="6"/>
  <c r="X5918" i="6"/>
  <c r="M5918" i="6"/>
  <c r="I5918" i="6"/>
  <c r="Q5917" i="6"/>
  <c r="W5917" i="6"/>
  <c r="Q5916" i="6"/>
  <c r="W5916" i="6" s="1"/>
  <c r="X5917" i="6"/>
  <c r="D3536" i="13"/>
  <c r="I5917" i="6"/>
  <c r="F2244" i="17"/>
  <c r="M5917" i="6"/>
  <c r="X5916" i="6"/>
  <c r="I5916" i="6"/>
  <c r="D3535" i="13"/>
  <c r="F2243" i="17"/>
  <c r="M5916" i="6"/>
  <c r="D3534" i="13"/>
  <c r="Q5915" i="6"/>
  <c r="W5915" i="6" s="1"/>
  <c r="X5915" i="6"/>
  <c r="I5915" i="6"/>
  <c r="I5914" i="6"/>
  <c r="F2242" i="17"/>
  <c r="M5915" i="6"/>
  <c r="D3533" i="13"/>
  <c r="Q5914" i="6"/>
  <c r="W5914" i="6" s="1"/>
  <c r="X5914" i="6"/>
  <c r="F2241" i="17"/>
  <c r="M5914" i="6"/>
  <c r="Q5913" i="6"/>
  <c r="W5913" i="6" s="1"/>
  <c r="F2240" i="17"/>
  <c r="D3532" i="13"/>
  <c r="X5913" i="6"/>
  <c r="I5913" i="6"/>
  <c r="M5913" i="6"/>
  <c r="Q5912" i="6"/>
  <c r="W5912" i="6" s="1"/>
  <c r="D3531" i="13"/>
  <c r="X5912" i="6"/>
  <c r="F2239" i="17"/>
  <c r="I5912" i="6"/>
  <c r="M5912" i="6"/>
  <c r="D3530" i="13"/>
  <c r="Q5911" i="6"/>
  <c r="W5911" i="6" s="1"/>
  <c r="X5911" i="6"/>
  <c r="I5911" i="6"/>
  <c r="F2238" i="17"/>
  <c r="M5911" i="6"/>
  <c r="Q5910" i="6"/>
  <c r="W5910" i="6" s="1"/>
  <c r="D3529" i="13"/>
  <c r="F2237" i="17"/>
  <c r="X5910" i="6"/>
  <c r="I5910" i="6"/>
  <c r="M5910" i="6"/>
  <c r="Q5909" i="6"/>
  <c r="W5909" i="6" s="1"/>
  <c r="F2236" i="17"/>
  <c r="D3528" i="13"/>
  <c r="X5909" i="6"/>
  <c r="M5909" i="6"/>
  <c r="I5909" i="6"/>
  <c r="Q5907" i="6"/>
  <c r="W5907" i="6" s="1"/>
  <c r="V5908" i="6"/>
  <c r="I5907" i="6"/>
  <c r="X5907" i="6"/>
  <c r="H2235" i="17"/>
  <c r="G2235" i="17"/>
  <c r="F2235" i="17"/>
  <c r="D3527" i="13"/>
  <c r="O5907" i="6"/>
  <c r="N5907" i="6"/>
  <c r="M5907" i="6"/>
  <c r="Q5906" i="6"/>
  <c r="W5906" i="6" s="1"/>
  <c r="F2234" i="17"/>
  <c r="D3526" i="13"/>
  <c r="X5906" i="6"/>
  <c r="I5906" i="6"/>
  <c r="M5906" i="6"/>
  <c r="Q5905" i="6"/>
  <c r="W5905" i="6" s="1"/>
  <c r="D3525" i="13"/>
  <c r="F2233" i="17"/>
  <c r="X5905" i="6"/>
  <c r="I5905" i="6"/>
  <c r="M5905" i="6"/>
  <c r="X5904" i="6"/>
  <c r="Q5904" i="6"/>
  <c r="W5904" i="6" s="1"/>
  <c r="D3524" i="13"/>
  <c r="I5904" i="6"/>
  <c r="F2232" i="17"/>
  <c r="M5904" i="6"/>
  <c r="D3523" i="13"/>
  <c r="I5903" i="6"/>
  <c r="Q5903" i="6"/>
  <c r="W5903" i="6" s="1"/>
  <c r="X5903" i="6"/>
  <c r="F2231" i="17"/>
  <c r="M5903" i="6"/>
  <c r="Q5902" i="6"/>
  <c r="W5902" i="6" s="1"/>
  <c r="D3522" i="13"/>
  <c r="F2230" i="17"/>
  <c r="X5902" i="6"/>
  <c r="I5902" i="6"/>
  <c r="M5902" i="6"/>
  <c r="Q5901" i="6"/>
  <c r="W5901" i="6" s="1"/>
  <c r="F2229" i="17"/>
  <c r="D3521" i="13"/>
  <c r="X5901" i="6"/>
  <c r="I5901" i="6"/>
  <c r="M5901" i="6"/>
  <c r="D3520" i="13"/>
  <c r="Q5900" i="6"/>
  <c r="W5900" i="6" s="1"/>
  <c r="X5900" i="6"/>
  <c r="F2228" i="17"/>
  <c r="I5900" i="6"/>
  <c r="M5900" i="6"/>
  <c r="Q5899" i="6"/>
  <c r="W5899" i="6" s="1"/>
  <c r="D3519" i="13"/>
  <c r="I5899" i="6"/>
  <c r="X5899" i="6"/>
  <c r="F2227" i="17"/>
  <c r="M5899" i="6"/>
  <c r="Q5898" i="6"/>
  <c r="W5898" i="6" s="1"/>
  <c r="D3518" i="13"/>
  <c r="X5898" i="6"/>
  <c r="I5898" i="6"/>
  <c r="F2226" i="17"/>
  <c r="M5898" i="6"/>
  <c r="D3517" i="13"/>
  <c r="I5897" i="6"/>
  <c r="X5897" i="6"/>
  <c r="Q5897" i="6"/>
  <c r="W5897" i="6" s="1"/>
  <c r="F2225" i="17"/>
  <c r="M5897" i="6"/>
  <c r="Q5896" i="6"/>
  <c r="W5896" i="6" s="1"/>
  <c r="D3516" i="13"/>
  <c r="F2224" i="17"/>
  <c r="X5896" i="6"/>
  <c r="I5896" i="6"/>
  <c r="M5896" i="6"/>
  <c r="Q5895" i="6"/>
  <c r="W5895" i="6" s="1"/>
  <c r="D3515" i="13"/>
  <c r="X5895" i="6"/>
  <c r="I5895" i="6"/>
  <c r="F2223" i="17"/>
  <c r="M5895" i="6"/>
  <c r="Q5894" i="6"/>
  <c r="W5894" i="6" s="1"/>
  <c r="D3514" i="13"/>
  <c r="X5894" i="6"/>
  <c r="I5894" i="6"/>
  <c r="F2222" i="17"/>
  <c r="M5894" i="6"/>
  <c r="Q5893" i="6"/>
  <c r="W5893" i="6" s="1"/>
  <c r="F2221" i="17"/>
  <c r="D3513" i="13"/>
  <c r="X5893" i="6"/>
  <c r="M5893" i="6"/>
  <c r="I5893" i="6"/>
  <c r="Q5891" i="6"/>
  <c r="W5891" i="6" s="1"/>
  <c r="Q5892" i="6"/>
  <c r="W5892" i="6" s="1"/>
  <c r="I5892" i="6"/>
  <c r="D3512" i="13"/>
  <c r="X5892" i="6"/>
  <c r="F2220" i="17"/>
  <c r="M5892" i="6"/>
  <c r="D3511" i="13"/>
  <c r="F2219" i="17"/>
  <c r="X5891" i="6"/>
  <c r="I5891" i="6"/>
  <c r="M5891" i="6"/>
  <c r="D3510" i="13"/>
  <c r="Q5890" i="6"/>
  <c r="W5890" i="6" s="1"/>
  <c r="X5890" i="6"/>
  <c r="I5890" i="6"/>
  <c r="F2218" i="17"/>
  <c r="M5890" i="6"/>
  <c r="D3509" i="13"/>
  <c r="Q5889" i="6"/>
  <c r="W5889" i="6" s="1"/>
  <c r="X5889" i="6"/>
  <c r="I5889" i="6"/>
  <c r="F2217" i="17"/>
  <c r="M5889" i="6"/>
  <c r="X5888" i="6"/>
  <c r="Q5888" i="6"/>
  <c r="W5888" i="6" s="1"/>
  <c r="I5888" i="6"/>
  <c r="D3508" i="13"/>
  <c r="F2216" i="17"/>
  <c r="M5888" i="6"/>
  <c r="Q5887" i="6"/>
  <c r="W5887" i="6" s="1"/>
  <c r="H2212" i="17"/>
  <c r="G2212" i="17"/>
  <c r="F2215" i="17"/>
  <c r="D3507" i="13"/>
  <c r="X5887" i="6"/>
  <c r="M5887" i="6"/>
  <c r="I5887" i="6"/>
  <c r="Q5885" i="6"/>
  <c r="W5885" i="6" s="1"/>
  <c r="Q5886" i="6"/>
  <c r="W5886" i="6" s="1"/>
  <c r="X5886" i="6"/>
  <c r="I5886" i="6"/>
  <c r="I5885" i="6"/>
  <c r="D3506" i="13"/>
  <c r="F2214" i="17"/>
  <c r="M5886" i="6"/>
  <c r="D3505" i="13"/>
  <c r="F2213" i="17"/>
  <c r="X5885" i="6"/>
  <c r="M5885" i="6"/>
  <c r="N5883" i="6"/>
  <c r="V5884" i="6"/>
  <c r="Q5883" i="6"/>
  <c r="W5883" i="6" s="1"/>
  <c r="I5883" i="6"/>
  <c r="D3504" i="13"/>
  <c r="X5883" i="6"/>
  <c r="F2212" i="17"/>
  <c r="O5883" i="6"/>
  <c r="M5883" i="6"/>
  <c r="Q5882" i="6"/>
  <c r="W5882" i="6" s="1"/>
  <c r="F2211" i="17"/>
  <c r="D3503" i="13"/>
  <c r="X5882" i="6"/>
  <c r="M5882" i="6"/>
  <c r="I5882" i="6"/>
  <c r="D3502" i="13"/>
  <c r="Q5881" i="6"/>
  <c r="W5881" i="6" s="1"/>
  <c r="X5881" i="6"/>
  <c r="I5881" i="6"/>
  <c r="F2210" i="17"/>
  <c r="M5881" i="6"/>
  <c r="Q5880" i="6"/>
  <c r="W5880" i="6" s="1"/>
  <c r="X5880" i="6"/>
  <c r="D3501" i="13"/>
  <c r="I5880" i="6"/>
  <c r="F2209" i="17"/>
  <c r="M5880" i="6"/>
  <c r="X5879" i="6"/>
  <c r="Q5879" i="6"/>
  <c r="W5879" i="6" s="1"/>
  <c r="Q5878" i="6"/>
  <c r="W5878" i="6" s="1"/>
  <c r="D3500" i="13"/>
  <c r="F2208" i="17"/>
  <c r="I5879" i="6"/>
  <c r="M5879" i="6"/>
  <c r="D3499" i="13"/>
  <c r="I5878" i="6"/>
  <c r="X5878" i="6"/>
  <c r="F2207" i="17"/>
  <c r="M5878" i="6"/>
  <c r="D3498" i="13"/>
  <c r="Q5877" i="6"/>
  <c r="W5877" i="6" s="1"/>
  <c r="F2206" i="17"/>
  <c r="X5877" i="6"/>
  <c r="I5877" i="6"/>
  <c r="M5877" i="6"/>
  <c r="D3497" i="13"/>
  <c r="Q5876" i="6"/>
  <c r="W5876" i="6" s="1"/>
  <c r="F2205" i="17"/>
  <c r="X5876" i="6"/>
  <c r="I5876" i="6"/>
  <c r="M5876" i="6"/>
  <c r="Q5875" i="6"/>
  <c r="W5875" i="6" s="1"/>
  <c r="D3496" i="13"/>
  <c r="I5875" i="6"/>
  <c r="X5875" i="6"/>
  <c r="F2204" i="17"/>
  <c r="M5875" i="6"/>
  <c r="Q5874" i="6"/>
  <c r="W5874" i="6" s="1"/>
  <c r="X5874" i="6"/>
  <c r="M5874" i="6"/>
  <c r="I5874" i="6"/>
  <c r="D3495" i="13"/>
  <c r="F2203" i="17"/>
  <c r="D3494" i="13"/>
  <c r="Q5873" i="6"/>
  <c r="W5873" i="6" s="1"/>
  <c r="F2202" i="17"/>
  <c r="X5873" i="6"/>
  <c r="I5873" i="6"/>
  <c r="M5873" i="6"/>
  <c r="F2201" i="17"/>
  <c r="D3493" i="13"/>
  <c r="Q5872" i="6"/>
  <c r="W5872" i="6" s="1"/>
  <c r="X5872" i="6"/>
  <c r="M5872" i="6"/>
  <c r="I5872" i="6"/>
  <c r="Q5871" i="6"/>
  <c r="W5871" i="6" s="1"/>
  <c r="Q5870" i="6"/>
  <c r="W5870" i="6" s="1"/>
  <c r="Q5869" i="6"/>
  <c r="W5869" i="6" s="1"/>
  <c r="M5871" i="6"/>
  <c r="D3492" i="13"/>
  <c r="F2200" i="17"/>
  <c r="F2199" i="17"/>
  <c r="X5871" i="6"/>
  <c r="X5870" i="6"/>
  <c r="I5870" i="6"/>
  <c r="I5871" i="6"/>
  <c r="D3491" i="13"/>
  <c r="M5870" i="6"/>
  <c r="F2198" i="17"/>
  <c r="X5869" i="6"/>
  <c r="M5869" i="6"/>
  <c r="I5869" i="6"/>
  <c r="D3490" i="13"/>
  <c r="D3489" i="13"/>
  <c r="Q5868" i="6"/>
  <c r="W5868" i="6" s="1"/>
  <c r="I5868" i="6"/>
  <c r="X5868" i="6"/>
  <c r="F2197" i="17"/>
  <c r="M5868" i="6"/>
  <c r="D3488" i="13"/>
  <c r="Q5867" i="6"/>
  <c r="W5867" i="6" s="1"/>
  <c r="X5867" i="6"/>
  <c r="I5867" i="6"/>
  <c r="F2196" i="17"/>
  <c r="M5867" i="6"/>
  <c r="Q5866" i="6"/>
  <c r="W5866" i="6" s="1"/>
  <c r="D3487" i="13"/>
  <c r="F2195" i="17"/>
  <c r="X5866" i="6"/>
  <c r="I5866" i="6"/>
  <c r="M5866" i="6"/>
  <c r="Q5865" i="6"/>
  <c r="W5865" i="6" s="1"/>
  <c r="D3486" i="13"/>
  <c r="F2194" i="17"/>
  <c r="X5865" i="6"/>
  <c r="I5865" i="6"/>
  <c r="M5865" i="6"/>
  <c r="F2193" i="17"/>
  <c r="D3485" i="13"/>
  <c r="Q5864" i="6"/>
  <c r="W5864" i="6" s="1"/>
  <c r="X5864" i="6"/>
  <c r="I5864" i="6"/>
  <c r="M5864" i="6"/>
  <c r="Q5863" i="6"/>
  <c r="W5863" i="6" s="1"/>
  <c r="I5863" i="6"/>
  <c r="D3484" i="13"/>
  <c r="F2192" i="17"/>
  <c r="F2191" i="17"/>
  <c r="X5863" i="6"/>
  <c r="M5863" i="6"/>
  <c r="N5860" i="6"/>
  <c r="O5860" i="6"/>
  <c r="Q5862" i="6"/>
  <c r="W5862" i="6" s="1"/>
  <c r="X5862" i="6"/>
  <c r="D3483" i="13"/>
  <c r="I5862" i="6"/>
  <c r="M5862" i="6"/>
  <c r="Q5860" i="6"/>
  <c r="W5860" i="6" s="1"/>
  <c r="V5861" i="6"/>
  <c r="H2190" i="17"/>
  <c r="G2190" i="17"/>
  <c r="F2190" i="17"/>
  <c r="F2189" i="17"/>
  <c r="I5860" i="6"/>
  <c r="D3482" i="13"/>
  <c r="M5860" i="6"/>
  <c r="Q5859" i="6"/>
  <c r="W5859" i="6" s="1"/>
  <c r="X5859" i="6"/>
  <c r="X5860" i="6"/>
  <c r="M5859" i="6"/>
  <c r="I5859" i="6"/>
  <c r="D3481" i="13"/>
  <c r="Q5858" i="6"/>
  <c r="W5858" i="6" s="1"/>
  <c r="F2188" i="17"/>
  <c r="D3480" i="13"/>
  <c r="X5858" i="6"/>
  <c r="I5858" i="6"/>
  <c r="M5858" i="6"/>
  <c r="Q5857" i="6"/>
  <c r="W5857" i="6" s="1"/>
  <c r="D3479" i="13"/>
  <c r="F2187" i="17"/>
  <c r="X5857" i="6"/>
  <c r="I5857" i="6"/>
  <c r="M5857" i="6"/>
  <c r="Q5856" i="6"/>
  <c r="W5856" i="6" s="1"/>
  <c r="Q5855" i="6"/>
  <c r="W5855" i="6" s="1"/>
  <c r="F2185" i="17"/>
  <c r="D3477" i="13"/>
  <c r="D3476" i="13"/>
  <c r="I5855" i="6"/>
  <c r="M5855" i="6"/>
  <c r="X5855" i="6"/>
  <c r="Q5854" i="6"/>
  <c r="W5854" i="6" s="1"/>
  <c r="I5854" i="6"/>
  <c r="X5854" i="6"/>
  <c r="F2184" i="17"/>
  <c r="M5854" i="6"/>
  <c r="Q5853" i="6"/>
  <c r="W5853" i="6" s="1"/>
  <c r="D3475" i="13"/>
  <c r="F2183" i="17"/>
  <c r="X5853" i="6"/>
  <c r="I5853" i="6"/>
  <c r="M5853" i="6"/>
  <c r="D3474" i="13"/>
  <c r="Q5851" i="6"/>
  <c r="Q5852" i="6"/>
  <c r="W5852" i="6" s="1"/>
  <c r="X5852" i="6"/>
  <c r="I5852" i="6"/>
  <c r="F2182" i="17"/>
  <c r="M5852" i="6"/>
  <c r="D3473" i="13"/>
  <c r="W5851" i="6"/>
  <c r="I5851" i="6"/>
  <c r="X5851" i="6"/>
  <c r="F2181" i="17"/>
  <c r="M5851" i="6"/>
  <c r="D3472" i="13"/>
  <c r="Q5850" i="6"/>
  <c r="W5850" i="6" s="1"/>
  <c r="I5850" i="6"/>
  <c r="X5850" i="6"/>
  <c r="F2180" i="17"/>
  <c r="M5850" i="6"/>
  <c r="Q5849" i="6"/>
  <c r="W5849" i="6" s="1"/>
  <c r="I5849" i="6"/>
  <c r="D3471" i="13"/>
  <c r="X5849" i="6"/>
  <c r="F2179" i="17"/>
  <c r="M5849" i="6"/>
  <c r="Q5848" i="6"/>
  <c r="W5848" i="6" s="1"/>
  <c r="D3470" i="13"/>
  <c r="F2178" i="17"/>
  <c r="F2177" i="17"/>
  <c r="X5848" i="6"/>
  <c r="I5848" i="6"/>
  <c r="M5848" i="6"/>
  <c r="N45" i="10"/>
  <c r="N44" i="10"/>
  <c r="N43" i="10"/>
  <c r="Q5847" i="6"/>
  <c r="W5847" i="6" s="1"/>
  <c r="X5847" i="6"/>
  <c r="I5847" i="6"/>
  <c r="D3469" i="13"/>
  <c r="M5847" i="6"/>
  <c r="F2176" i="17"/>
  <c r="D3468" i="13"/>
  <c r="Q5846" i="6"/>
  <c r="W5846" i="6" s="1"/>
  <c r="X5846" i="6"/>
  <c r="I5846" i="6"/>
  <c r="M5846" i="6"/>
  <c r="Q5845" i="6"/>
  <c r="W5845" i="6" s="1"/>
  <c r="I5844" i="6"/>
  <c r="D3466" i="13"/>
  <c r="F2174" i="17"/>
  <c r="Q5844" i="6"/>
  <c r="W5844" i="6" s="1"/>
  <c r="X5844" i="6"/>
  <c r="M5844" i="6"/>
  <c r="F2173" i="17"/>
  <c r="D3465" i="13"/>
  <c r="Q5843" i="6"/>
  <c r="W5843" i="6" s="1"/>
  <c r="X5843" i="6"/>
  <c r="M5843" i="6"/>
  <c r="I5843" i="6"/>
  <c r="G2169" i="17"/>
  <c r="H2169" i="17"/>
  <c r="D3462" i="13"/>
  <c r="F2171" i="17"/>
  <c r="F2172" i="17"/>
  <c r="F2170" i="17"/>
  <c r="F2168" i="17"/>
  <c r="F2169"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7" i="17"/>
  <c r="D3459" i="13"/>
  <c r="I5836" i="6"/>
  <c r="X5836" i="6"/>
  <c r="M5836" i="6"/>
  <c r="F2166" i="17"/>
  <c r="D3458" i="13"/>
  <c r="I5835" i="6"/>
  <c r="X5835" i="6"/>
  <c r="Q5835" i="6"/>
  <c r="W5835" i="6" s="1"/>
  <c r="M5835" i="6"/>
  <c r="Q5834" i="6"/>
  <c r="W5834" i="6" s="1"/>
  <c r="D3457" i="13"/>
  <c r="I5834" i="6"/>
  <c r="X5834" i="6"/>
  <c r="F2165" i="17"/>
  <c r="M5834" i="6"/>
  <c r="D3456" i="13"/>
  <c r="Q5833" i="6"/>
  <c r="W5833" i="6" s="1"/>
  <c r="F2164" i="17"/>
  <c r="X5833" i="6"/>
  <c r="M5833" i="6"/>
  <c r="I5833" i="6"/>
  <c r="D3455" i="13"/>
  <c r="X5832" i="6"/>
  <c r="Q5832" i="6"/>
  <c r="W5832" i="6" s="1"/>
  <c r="I5832" i="6"/>
  <c r="M5832" i="6"/>
  <c r="F2163" i="17"/>
  <c r="D3454" i="13"/>
  <c r="Q5831" i="6"/>
  <c r="W5831" i="6" s="1"/>
  <c r="I5831" i="6"/>
  <c r="F2162" i="17"/>
  <c r="X5831" i="6"/>
  <c r="M5831" i="6"/>
  <c r="D3453" i="13"/>
  <c r="Q5830" i="6"/>
  <c r="I5830" i="6"/>
  <c r="M5830" i="6"/>
  <c r="W5830" i="6"/>
  <c r="X5830" i="6"/>
  <c r="F2161" i="17"/>
  <c r="Q5829" i="6"/>
  <c r="W5829" i="6" s="1"/>
  <c r="X5829" i="6"/>
  <c r="D3452" i="13"/>
  <c r="F2160" i="17"/>
  <c r="M5829" i="6"/>
  <c r="I5829" i="6"/>
  <c r="F2159" i="17"/>
  <c r="Q5828" i="6"/>
  <c r="W5828" i="6" s="1"/>
  <c r="X5828" i="6"/>
  <c r="D3451" i="13"/>
  <c r="M5828" i="6"/>
  <c r="I5828" i="6"/>
  <c r="Q5827" i="6"/>
  <c r="W5827" i="6" s="1"/>
  <c r="I5827" i="6"/>
  <c r="X5827" i="6"/>
  <c r="X5826" i="6"/>
  <c r="M5827" i="6"/>
  <c r="M5826" i="6"/>
  <c r="I5826" i="6"/>
  <c r="D3450" i="13"/>
  <c r="D3449" i="13"/>
  <c r="F2157" i="17"/>
  <c r="F2158" i="17"/>
  <c r="Q5825" i="6"/>
  <c r="W5825" i="6" s="1"/>
  <c r="Q5824" i="6"/>
  <c r="W5824" i="6" s="1"/>
  <c r="D3446" i="13"/>
  <c r="D3445" i="13"/>
  <c r="I5823" i="6"/>
  <c r="Q5823" i="6"/>
  <c r="W5823" i="6" s="1"/>
  <c r="X5823" i="6"/>
  <c r="F2154" i="17"/>
  <c r="M5823" i="6"/>
  <c r="Q5822" i="6"/>
  <c r="W5822" i="6" s="1"/>
  <c r="X5822" i="6"/>
  <c r="I5822" i="6"/>
  <c r="F2153" i="17"/>
  <c r="M5822" i="6"/>
  <c r="Q5821" i="6"/>
  <c r="W5821" i="6" s="1"/>
  <c r="X5821" i="6"/>
  <c r="I5821" i="6"/>
  <c r="D3444" i="13"/>
  <c r="F2152" i="17"/>
  <c r="M5821" i="6"/>
  <c r="Q5820" i="6"/>
  <c r="I5820" i="6"/>
  <c r="D3443" i="13"/>
  <c r="D3442" i="13"/>
  <c r="F2151" i="17"/>
  <c r="M5820" i="6"/>
  <c r="Q5819" i="6"/>
  <c r="W5819" i="6" s="1"/>
  <c r="I5819" i="6"/>
  <c r="X5819" i="6"/>
  <c r="F2150" i="17"/>
  <c r="M5819" i="6"/>
  <c r="I5818" i="6"/>
  <c r="Q5818" i="6"/>
  <c r="W5818" i="6" s="1"/>
  <c r="X5818" i="6"/>
  <c r="D3441" i="13"/>
  <c r="D3440" i="13"/>
  <c r="F2149" i="17"/>
  <c r="M5818" i="6"/>
  <c r="Q5817" i="6"/>
  <c r="W5817" i="6" s="1"/>
  <c r="F2148" i="17"/>
  <c r="I5817" i="6"/>
  <c r="X5817" i="6"/>
  <c r="M5817" i="6"/>
  <c r="V5816" i="6"/>
  <c r="I5815" i="6"/>
  <c r="D3439" i="13"/>
  <c r="Q5815" i="6"/>
  <c r="W5815" i="6" s="1"/>
  <c r="X5815" i="6"/>
  <c r="H2147" i="17"/>
  <c r="G2147" i="17"/>
  <c r="F2147" i="17"/>
  <c r="O5815" i="6"/>
  <c r="N5815" i="6"/>
  <c r="M5815" i="6"/>
  <c r="I5814" i="6"/>
  <c r="Q5814" i="6"/>
  <c r="W5814" i="6" s="1"/>
  <c r="X5814" i="6"/>
  <c r="D3438" i="13"/>
  <c r="F2146" i="17"/>
  <c r="M5814" i="6"/>
  <c r="Q5813" i="6"/>
  <c r="W5813" i="6" s="1"/>
  <c r="F2145" i="17"/>
  <c r="D3437" i="13"/>
  <c r="X5813" i="6"/>
  <c r="M5813" i="6"/>
  <c r="I5813" i="6"/>
  <c r="Q5812" i="6"/>
  <c r="W5812" i="6" s="1"/>
  <c r="Q5811" i="6"/>
  <c r="W5811" i="6" s="1"/>
  <c r="F2144" i="17"/>
  <c r="D3436" i="13"/>
  <c r="X5812" i="6"/>
  <c r="M5812" i="6"/>
  <c r="I5812" i="6"/>
  <c r="F2111" i="17"/>
  <c r="F2143" i="17"/>
  <c r="D3435" i="13"/>
  <c r="I5811" i="6"/>
  <c r="X5811" i="6"/>
  <c r="M5811" i="6"/>
  <c r="D3434" i="13"/>
  <c r="Q5810" i="6"/>
  <c r="W5810" i="6" s="1"/>
  <c r="I5810" i="6"/>
  <c r="X5810" i="6"/>
  <c r="F2142" i="17"/>
  <c r="M5810" i="6"/>
  <c r="D3433" i="13"/>
  <c r="Q5809" i="6"/>
  <c r="W5809" i="6" s="1"/>
  <c r="X5809" i="6"/>
  <c r="I5809" i="6"/>
  <c r="F2141" i="17"/>
  <c r="M5809" i="6"/>
  <c r="Q5808" i="6"/>
  <c r="W5808" i="6" s="1"/>
  <c r="D3432" i="13"/>
  <c r="F2140" i="17"/>
  <c r="X5808" i="6"/>
  <c r="I5808" i="6"/>
  <c r="M5808" i="6"/>
  <c r="D3431" i="13"/>
  <c r="I5807" i="6"/>
  <c r="Q5807" i="6"/>
  <c r="W5807" i="6"/>
  <c r="X5807" i="6"/>
  <c r="F2139" i="17"/>
  <c r="M5807" i="6"/>
  <c r="F2138" i="17"/>
  <c r="D3430" i="13"/>
  <c r="Q5806" i="6"/>
  <c r="W5806" i="6" s="1"/>
  <c r="X5806" i="6"/>
  <c r="M5806" i="6"/>
  <c r="I5806" i="6"/>
  <c r="Q5805" i="6"/>
  <c r="W5805" i="6" s="1"/>
  <c r="F2137" i="17"/>
  <c r="D3428" i="13"/>
  <c r="D3429" i="13"/>
  <c r="X5805" i="6"/>
  <c r="I5805" i="6"/>
  <c r="M5805" i="6"/>
  <c r="Q5804" i="6"/>
  <c r="W5804" i="6"/>
  <c r="X5804" i="6"/>
  <c r="I5804" i="6"/>
  <c r="F2136" i="17"/>
  <c r="M5804" i="6"/>
  <c r="Q5803" i="6"/>
  <c r="W5803" i="6" s="1"/>
  <c r="X5803" i="6"/>
  <c r="I5803" i="6"/>
  <c r="D3426" i="13"/>
  <c r="D3427" i="13"/>
  <c r="F2135" i="17"/>
  <c r="M5803" i="6"/>
  <c r="I5802" i="6"/>
  <c r="Q5802" i="6"/>
  <c r="W5802" i="6" s="1"/>
  <c r="X5802" i="6"/>
  <c r="F2134" i="17"/>
  <c r="M5802" i="6"/>
  <c r="Q5801" i="6"/>
  <c r="W5801" i="6"/>
  <c r="X5801" i="6"/>
  <c r="D3425" i="13"/>
  <c r="I5801" i="6"/>
  <c r="F2133" i="17"/>
  <c r="M5801" i="6"/>
  <c r="Q5800" i="6"/>
  <c r="W5800" i="6" s="1"/>
  <c r="X5800" i="6"/>
  <c r="I5800" i="6"/>
  <c r="D3424" i="13"/>
  <c r="F2132" i="17"/>
  <c r="M5800" i="6"/>
  <c r="I5799" i="6"/>
  <c r="Q5799" i="6"/>
  <c r="W5799" i="6" s="1"/>
  <c r="X5799" i="6"/>
  <c r="D3423" i="13"/>
  <c r="F2131" i="17"/>
  <c r="M5799" i="6"/>
  <c r="D3422" i="13"/>
  <c r="Q5798" i="6"/>
  <c r="W5798" i="6" s="1"/>
  <c r="X5798" i="6"/>
  <c r="I5798" i="6"/>
  <c r="F2130" i="17"/>
  <c r="M5798" i="6"/>
  <c r="Q5797" i="6"/>
  <c r="W5797" i="6"/>
  <c r="X5797" i="6"/>
  <c r="I5797" i="6"/>
  <c r="D3421" i="13"/>
  <c r="F2129" i="17"/>
  <c r="M5797" i="6"/>
  <c r="F2128" i="17"/>
  <c r="D3420" i="13"/>
  <c r="Q5796" i="6"/>
  <c r="W5796" i="6" s="1"/>
  <c r="X5796" i="6"/>
  <c r="I5796" i="6"/>
  <c r="M5796" i="6"/>
  <c r="Q5795" i="6"/>
  <c r="W5795" i="6" s="1"/>
  <c r="X5795" i="6"/>
  <c r="I5795" i="6"/>
  <c r="D3419" i="13"/>
  <c r="F2127" i="17"/>
  <c r="M5795" i="6"/>
  <c r="D3418" i="13"/>
  <c r="F2126" i="17"/>
  <c r="Q5794" i="6"/>
  <c r="W5794" i="6" s="1"/>
  <c r="X5794" i="6"/>
  <c r="M5794" i="6"/>
  <c r="I5794" i="6"/>
  <c r="N5792" i="6"/>
  <c r="G2125" i="17"/>
  <c r="Q5792" i="6"/>
  <c r="W5792" i="6" s="1"/>
  <c r="F2125" i="17"/>
  <c r="H2125" i="17"/>
  <c r="V5793" i="6"/>
  <c r="X5792" i="6"/>
  <c r="M5792" i="6"/>
  <c r="O5792" i="6"/>
  <c r="I5792" i="6"/>
  <c r="D3417" i="13"/>
  <c r="Q5791" i="6"/>
  <c r="W5791" i="6"/>
  <c r="I5791" i="6"/>
  <c r="D3416" i="13"/>
  <c r="D3415" i="13"/>
  <c r="F2124" i="17"/>
  <c r="X5791" i="6"/>
  <c r="M5791" i="6"/>
  <c r="Q5790" i="6"/>
  <c r="W5790" i="6"/>
  <c r="X5790" i="6"/>
  <c r="I5790" i="6"/>
  <c r="F2123" i="17"/>
  <c r="M5790" i="6"/>
  <c r="Q5789" i="6"/>
  <c r="W5789" i="6" s="1"/>
  <c r="X5789" i="6"/>
  <c r="I5789" i="6"/>
  <c r="D3414" i="13"/>
  <c r="F2122" i="17"/>
  <c r="M5789" i="6"/>
  <c r="D3413" i="13"/>
  <c r="I5788" i="6"/>
  <c r="Q5788" i="6"/>
  <c r="W5788" i="6" s="1"/>
  <c r="X5788" i="6"/>
  <c r="D3412" i="13"/>
  <c r="F2121" i="17"/>
  <c r="M5788" i="6"/>
  <c r="X5787" i="6"/>
  <c r="Q5787" i="6"/>
  <c r="W5787" i="6" s="1"/>
  <c r="Q5786" i="6"/>
  <c r="W5786" i="6" s="1"/>
  <c r="I5787" i="6"/>
  <c r="D3411" i="13"/>
  <c r="F2120" i="17"/>
  <c r="M5787" i="6"/>
  <c r="X5786" i="6"/>
  <c r="I5786" i="6"/>
  <c r="F2119" i="17"/>
  <c r="M5786" i="6"/>
  <c r="Q5785" i="6"/>
  <c r="W5785" i="6" s="1"/>
  <c r="X5785" i="6"/>
  <c r="I5785" i="6"/>
  <c r="D3410" i="13"/>
  <c r="F2118" i="17"/>
  <c r="M5785" i="6"/>
  <c r="F2117" i="17"/>
  <c r="D3408" i="13"/>
  <c r="D3409" i="13"/>
  <c r="Q5784" i="6"/>
  <c r="W5784" i="6" s="1"/>
  <c r="X5784" i="6"/>
  <c r="I5784" i="6"/>
  <c r="M5784" i="6"/>
  <c r="E5617" i="6"/>
  <c r="I5617" i="6" s="1"/>
  <c r="E5618" i="6"/>
  <c r="E5619" i="6"/>
  <c r="I5619" i="6" s="1"/>
  <c r="E5620" i="6"/>
  <c r="I5620" i="6" s="1"/>
  <c r="E5621" i="6"/>
  <c r="I5621" i="6" s="1"/>
  <c r="E5622" i="6"/>
  <c r="I5622" i="6" s="1"/>
  <c r="E5623" i="6"/>
  <c r="I5623" i="6" s="1"/>
  <c r="E5624" i="6"/>
  <c r="E5616" i="6"/>
  <c r="Q5783" i="6"/>
  <c r="W5783" i="6" s="1"/>
  <c r="X5783" i="6"/>
  <c r="I5783" i="6"/>
  <c r="F2116" i="17"/>
  <c r="M5783" i="6"/>
  <c r="Q5782" i="6"/>
  <c r="W5782" i="6"/>
  <c r="X5782" i="6"/>
  <c r="I5782" i="6"/>
  <c r="D3407" i="13"/>
  <c r="F2115" i="17"/>
  <c r="M5782" i="6"/>
  <c r="Q5781" i="6"/>
  <c r="W5781" i="6" s="1"/>
  <c r="I5781" i="6"/>
  <c r="X5781" i="6"/>
  <c r="D3406" i="13"/>
  <c r="F2114" i="17"/>
  <c r="M5781" i="6"/>
  <c r="Q5780" i="6"/>
  <c r="W5780" i="6" s="1"/>
  <c r="X5780" i="6"/>
  <c r="I5780" i="6"/>
  <c r="D3405" i="13"/>
  <c r="F2113" i="17"/>
  <c r="M5780" i="6"/>
  <c r="F2112" i="17"/>
  <c r="D3404" i="13"/>
  <c r="D3403" i="13"/>
  <c r="Q5779" i="6"/>
  <c r="W5779" i="6" s="1"/>
  <c r="X5779" i="6"/>
  <c r="M5779" i="6"/>
  <c r="I5779" i="6"/>
  <c r="Q5778" i="6"/>
  <c r="W5778" i="6" s="1"/>
  <c r="X5778" i="6"/>
  <c r="I5778" i="6"/>
  <c r="D3402" i="13"/>
  <c r="M5778" i="6"/>
  <c r="I5777" i="6"/>
  <c r="Q5777" i="6"/>
  <c r="W5777" i="6"/>
  <c r="X5777" i="6"/>
  <c r="D3401" i="13"/>
  <c r="F2110" i="17"/>
  <c r="M5777" i="6"/>
  <c r="X5776" i="6"/>
  <c r="Q5776" i="6"/>
  <c r="W5776" i="6" s="1"/>
  <c r="I5776" i="6"/>
  <c r="D3400" i="13"/>
  <c r="F2109" i="17"/>
  <c r="M5776" i="6"/>
  <c r="Q5775" i="6"/>
  <c r="W5775" i="6" s="1"/>
  <c r="Q5774" i="6"/>
  <c r="W5774" i="6" s="1"/>
  <c r="X5775" i="6"/>
  <c r="I5775" i="6"/>
  <c r="D3399" i="13"/>
  <c r="F2108" i="17"/>
  <c r="M5775" i="6"/>
  <c r="X5774" i="6"/>
  <c r="I5774" i="6"/>
  <c r="D3398" i="13"/>
  <c r="F2107" i="17"/>
  <c r="M5774" i="6"/>
  <c r="F2106" i="17"/>
  <c r="D3397" i="13"/>
  <c r="X5773" i="6"/>
  <c r="Q5773" i="6"/>
  <c r="W5773" i="6" s="1"/>
  <c r="I5773" i="6"/>
  <c r="M5773" i="6"/>
  <c r="Q5771" i="6"/>
  <c r="W5771" i="6" s="1"/>
  <c r="V5772" i="6"/>
  <c r="I5771" i="6"/>
  <c r="D3396" i="13"/>
  <c r="H2105" i="17"/>
  <c r="G2105" i="17"/>
  <c r="F2105" i="17"/>
  <c r="O5771" i="6"/>
  <c r="N5771" i="6"/>
  <c r="M5771" i="6"/>
  <c r="Q5770" i="6"/>
  <c r="W5770" i="6" s="1"/>
  <c r="I5770" i="6"/>
  <c r="D3395" i="13"/>
  <c r="F2104" i="17"/>
  <c r="M5770" i="6"/>
  <c r="I5769" i="6"/>
  <c r="Q5769" i="6"/>
  <c r="W5769" i="6" s="1"/>
  <c r="D3394" i="13"/>
  <c r="F2103" i="17"/>
  <c r="M5769" i="6"/>
  <c r="F2102" i="17"/>
  <c r="D3393" i="13"/>
  <c r="M5768" i="6"/>
  <c r="I5768" i="6"/>
  <c r="Q5768" i="6"/>
  <c r="W5768" i="6" s="1"/>
  <c r="Q5767" i="6"/>
  <c r="W5767" i="6" s="1"/>
  <c r="W5765" i="6"/>
  <c r="W5766" i="6"/>
  <c r="I5766" i="6"/>
  <c r="I5767" i="6"/>
  <c r="I5765" i="6"/>
  <c r="D3390" i="13"/>
  <c r="D3391" i="13"/>
  <c r="D3392" i="13"/>
  <c r="F2099" i="17"/>
  <c r="F2100" i="17"/>
  <c r="F2101" i="17"/>
  <c r="M5765" i="6"/>
  <c r="M5766" i="6"/>
  <c r="M5767" i="6"/>
  <c r="Q5764" i="6"/>
  <c r="W5764" i="6" s="1"/>
  <c r="X5764" i="6"/>
  <c r="I5764" i="6"/>
  <c r="D3389" i="13"/>
  <c r="F2098" i="17"/>
  <c r="M5764" i="6"/>
  <c r="Q5763" i="6"/>
  <c r="W5763" i="6"/>
  <c r="X5763" i="6"/>
  <c r="I5763" i="6"/>
  <c r="D3388" i="13"/>
  <c r="F2097" i="17"/>
  <c r="M5763" i="6"/>
  <c r="Q5762" i="6"/>
  <c r="W5762" i="6" s="1"/>
  <c r="X5762" i="6"/>
  <c r="I5762" i="6"/>
  <c r="D3387" i="13"/>
  <c r="F2096" i="17"/>
  <c r="M5762" i="6"/>
  <c r="X5761" i="6"/>
  <c r="Q5761" i="6"/>
  <c r="W5761" i="6" s="1"/>
  <c r="I5761" i="6"/>
  <c r="D3386" i="13"/>
  <c r="M5761" i="6"/>
  <c r="F2095" i="17"/>
  <c r="X5760" i="6"/>
  <c r="Q5760" i="6"/>
  <c r="W5760" i="6" s="1"/>
  <c r="M5760" i="6"/>
  <c r="I5760" i="6"/>
  <c r="F2094" i="17"/>
  <c r="D3385" i="13"/>
  <c r="Q5759" i="6"/>
  <c r="W5759" i="6" s="1"/>
  <c r="I5759" i="6"/>
  <c r="M5759" i="6"/>
  <c r="X5759" i="6"/>
  <c r="F2093" i="17"/>
  <c r="D3384" i="13"/>
  <c r="F2092" i="17"/>
  <c r="D3383" i="13"/>
  <c r="Q5758" i="6"/>
  <c r="W5758" i="6" s="1"/>
  <c r="X5758" i="6"/>
  <c r="M5758" i="6"/>
  <c r="I5758" i="6"/>
  <c r="Q5757" i="6"/>
  <c r="W5757" i="6" s="1"/>
  <c r="X5757" i="6"/>
  <c r="M5757" i="6"/>
  <c r="I5757" i="6"/>
  <c r="F2091" i="17"/>
  <c r="D3382" i="13"/>
  <c r="I5756" i="6"/>
  <c r="Q5756" i="6"/>
  <c r="W5756" i="6" s="1"/>
  <c r="X5756" i="6"/>
  <c r="M5756" i="6"/>
  <c r="F2090" i="17"/>
  <c r="D3381" i="13"/>
  <c r="D3380" i="13"/>
  <c r="F2089" i="17"/>
  <c r="X5755" i="6"/>
  <c r="Q5754" i="6"/>
  <c r="W5754" i="6" s="1"/>
  <c r="Q5755" i="6"/>
  <c r="W5755" i="6"/>
  <c r="I5755" i="6"/>
  <c r="M5755" i="6"/>
  <c r="F2088" i="17"/>
  <c r="D3379" i="13"/>
  <c r="D3378" i="13"/>
  <c r="D3377" i="13"/>
  <c r="X5754" i="6"/>
  <c r="M5754" i="6"/>
  <c r="I5754" i="6"/>
  <c r="F2087" i="17"/>
  <c r="I5753" i="6"/>
  <c r="Q5753" i="6"/>
  <c r="W5753" i="6" s="1"/>
  <c r="X5753" i="6"/>
  <c r="M5753" i="6"/>
  <c r="M5752" i="6"/>
  <c r="I5752" i="6"/>
  <c r="F2086" i="17"/>
  <c r="X5752" i="6"/>
  <c r="Q5752" i="6"/>
  <c r="W5752" i="6" s="1"/>
  <c r="Q5751" i="6"/>
  <c r="W5751" i="6" s="1"/>
  <c r="I5751" i="6"/>
  <c r="I5750" i="6"/>
  <c r="M5751" i="6"/>
  <c r="X5751" i="6"/>
  <c r="F2085" i="17"/>
  <c r="D3376" i="13"/>
  <c r="D3375" i="13"/>
  <c r="F2084" i="17"/>
  <c r="Q5750" i="6"/>
  <c r="W5750" i="6" s="1"/>
  <c r="N5748" i="6"/>
  <c r="O5748" i="6"/>
  <c r="X5750" i="6"/>
  <c r="M5750" i="6"/>
  <c r="F2082" i="17"/>
  <c r="F2083" i="17"/>
  <c r="V5749" i="6"/>
  <c r="X5748" i="6"/>
  <c r="Q5748" i="6"/>
  <c r="W5748" i="6" s="1"/>
  <c r="Q5747" i="6"/>
  <c r="W5747" i="6" s="1"/>
  <c r="D3374" i="13"/>
  <c r="D3373" i="13"/>
  <c r="H2083" i="17"/>
  <c r="G2083" i="17"/>
  <c r="X5747" i="6"/>
  <c r="M5748" i="6"/>
  <c r="I5747" i="6"/>
  <c r="I5748" i="6"/>
  <c r="M5747" i="6"/>
  <c r="F2081" i="17"/>
  <c r="X5746" i="6"/>
  <c r="Q5746" i="6"/>
  <c r="W5746" i="6" s="1"/>
  <c r="M5746" i="6"/>
  <c r="I5746" i="6"/>
  <c r="I5738" i="6"/>
  <c r="D3372" i="13"/>
  <c r="Q5744" i="6"/>
  <c r="W5744" i="6" s="1"/>
  <c r="Q5745" i="6"/>
  <c r="W5745" i="6" s="1"/>
  <c r="F2078" i="17"/>
  <c r="D3369" i="13"/>
  <c r="Q5743" i="6"/>
  <c r="W5743" i="6" s="1"/>
  <c r="X5743" i="6"/>
  <c r="M5743" i="6"/>
  <c r="I5743" i="6"/>
  <c r="Q5742" i="6"/>
  <c r="W5742" i="6" s="1"/>
  <c r="X5742" i="6"/>
  <c r="I5742" i="6"/>
  <c r="D3368" i="13"/>
  <c r="F2077" i="17"/>
  <c r="M5742" i="6"/>
  <c r="F2076" i="17"/>
  <c r="D3367" i="13"/>
  <c r="Q5741" i="6"/>
  <c r="W5741" i="6" s="1"/>
  <c r="X5741" i="6"/>
  <c r="M5741" i="6"/>
  <c r="I5741" i="6"/>
  <c r="F2075" i="17"/>
  <c r="D3366" i="13"/>
  <c r="M5740" i="6"/>
  <c r="X5740" i="6"/>
  <c r="Q5740" i="6"/>
  <c r="W5740" i="6" s="1"/>
  <c r="I5740" i="6"/>
  <c r="Q5739" i="6"/>
  <c r="W5739" i="6" s="1"/>
  <c r="Q5738" i="6"/>
  <c r="W5738" i="6" s="1"/>
  <c r="X5739" i="6"/>
  <c r="M5739" i="6"/>
  <c r="I5739" i="6"/>
  <c r="D3365" i="13"/>
  <c r="F2074" i="17"/>
  <c r="F2073" i="17"/>
  <c r="D3364" i="13"/>
  <c r="X5738" i="6"/>
  <c r="M5738" i="6"/>
  <c r="Q5737" i="6"/>
  <c r="W5737" i="6" s="1"/>
  <c r="X5737" i="6"/>
  <c r="M5737" i="6"/>
  <c r="I5737" i="6"/>
  <c r="D3363" i="13"/>
  <c r="F2072" i="17"/>
  <c r="D3362" i="13"/>
  <c r="F2071" i="17"/>
  <c r="X5736" i="6"/>
  <c r="Q5736" i="6"/>
  <c r="W5736" i="6" s="1"/>
  <c r="I5736" i="6"/>
  <c r="M5736" i="6"/>
  <c r="Q5735" i="6"/>
  <c r="W5735" i="6" s="1"/>
  <c r="I5735" i="6"/>
  <c r="F2070" i="17"/>
  <c r="X5735" i="6"/>
  <c r="M5735" i="6"/>
  <c r="Q5734" i="6"/>
  <c r="W5734" i="6" s="1"/>
  <c r="X5734" i="6"/>
  <c r="I5734" i="6"/>
  <c r="F2063" i="17"/>
  <c r="F2064" i="17"/>
  <c r="F2065" i="17"/>
  <c r="F2066" i="17"/>
  <c r="F2067" i="17"/>
  <c r="F2068" i="17"/>
  <c r="F2069" i="17"/>
  <c r="F2062" i="17"/>
  <c r="F2061" i="17"/>
  <c r="M5734" i="6"/>
  <c r="Q5733" i="6"/>
  <c r="W5733" i="6" s="1"/>
  <c r="M5733" i="6"/>
  <c r="I5733" i="6"/>
  <c r="X5733" i="6"/>
  <c r="X5732" i="6"/>
  <c r="Q5732" i="6"/>
  <c r="W5732" i="6" s="1"/>
  <c r="M5732" i="6"/>
  <c r="I5732" i="6"/>
  <c r="Q5731" i="6"/>
  <c r="W5731" i="6" s="1"/>
  <c r="Q5730" i="6"/>
  <c r="W5730" i="6" s="1"/>
  <c r="D3356" i="13"/>
  <c r="X5731" i="6"/>
  <c r="M5731" i="6"/>
  <c r="I5731" i="6"/>
  <c r="X5730" i="6"/>
  <c r="D3355" i="13"/>
  <c r="I5730" i="6"/>
  <c r="M5730" i="6"/>
  <c r="D3353" i="13"/>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1" i="17"/>
  <c r="V5726" i="6"/>
  <c r="Q5725" i="6"/>
  <c r="W5725" i="6" s="1"/>
  <c r="X5725" i="6"/>
  <c r="M5725" i="6"/>
  <c r="I5725" i="6"/>
  <c r="H2061" i="17"/>
  <c r="N5725" i="6"/>
  <c r="O5725" i="6"/>
  <c r="I5724" i="6"/>
  <c r="X5724" i="6"/>
  <c r="Q5724" i="6"/>
  <c r="W5724" i="6" s="1"/>
  <c r="F2060" i="17"/>
  <c r="M5724" i="6"/>
  <c r="Q5723" i="6"/>
  <c r="W5723" i="6" s="1"/>
  <c r="I5723" i="6"/>
  <c r="F2059" i="17"/>
  <c r="X5723" i="6"/>
  <c r="M5723" i="6"/>
  <c r="Q5722" i="6"/>
  <c r="W5722" i="6" s="1"/>
  <c r="X5722" i="6"/>
  <c r="I5722" i="6"/>
  <c r="F2058" i="17"/>
  <c r="M5722" i="6"/>
  <c r="Q5721" i="6"/>
  <c r="W5721" i="6" s="1"/>
  <c r="Q5720" i="6"/>
  <c r="W5720" i="6" s="1"/>
  <c r="X5721" i="6"/>
  <c r="I5721" i="6"/>
  <c r="F2057" i="17"/>
  <c r="M5721" i="6"/>
  <c r="X5720" i="6"/>
  <c r="I5720" i="6"/>
  <c r="F2056" i="17"/>
  <c r="M5720" i="6"/>
  <c r="X5719" i="6"/>
  <c r="Q5719" i="6"/>
  <c r="W5719" i="6" s="1"/>
  <c r="Q5718" i="6"/>
  <c r="W5718" i="6" s="1"/>
  <c r="I5719" i="6"/>
  <c r="F2055" i="17"/>
  <c r="M5719" i="6"/>
  <c r="X5718" i="6"/>
  <c r="F2054" i="17"/>
  <c r="M5718" i="6"/>
  <c r="I5718" i="6"/>
  <c r="Q5717" i="6"/>
  <c r="W5717" i="6"/>
  <c r="F2053" i="17"/>
  <c r="X5717" i="6"/>
  <c r="M5717" i="6"/>
  <c r="I5717" i="6"/>
  <c r="Q5716" i="6"/>
  <c r="W5716" i="6" s="1"/>
  <c r="X5716" i="6"/>
  <c r="M5716" i="6"/>
  <c r="I5716" i="6"/>
  <c r="F2052" i="17"/>
  <c r="F2051" i="17"/>
  <c r="Q5715" i="6"/>
  <c r="W5715" i="6"/>
  <c r="X5715" i="6"/>
  <c r="M5715" i="6"/>
  <c r="I5715" i="6"/>
  <c r="Q5714" i="6"/>
  <c r="W5714" i="6" s="1"/>
  <c r="F2050" i="17"/>
  <c r="X5714" i="6"/>
  <c r="I5714" i="6"/>
  <c r="M5714" i="6"/>
  <c r="F2049" i="17"/>
  <c r="X5713" i="6"/>
  <c r="Q5713" i="6"/>
  <c r="W5713" i="6" s="1"/>
  <c r="I5713" i="6"/>
  <c r="M5713" i="6"/>
  <c r="Q5712" i="6"/>
  <c r="W5712" i="6" s="1"/>
  <c r="X5712" i="6"/>
  <c r="F2048" i="17"/>
  <c r="M5712" i="6"/>
  <c r="I5712" i="6"/>
  <c r="Q5711" i="6"/>
  <c r="W5711" i="6"/>
  <c r="F2047" i="17"/>
  <c r="X5711" i="6"/>
  <c r="M5711" i="6"/>
  <c r="I5711" i="6"/>
  <c r="Q5710" i="6"/>
  <c r="W5710" i="6" s="1"/>
  <c r="X5710" i="6"/>
  <c r="M5710" i="6"/>
  <c r="I5710" i="6"/>
  <c r="F2046" i="17"/>
  <c r="F2045" i="17"/>
  <c r="Q5709" i="6"/>
  <c r="W5709" i="6"/>
  <c r="X5709" i="6"/>
  <c r="M5709" i="6"/>
  <c r="I5709" i="6"/>
  <c r="Q5708" i="6"/>
  <c r="W5708" i="6" s="1"/>
  <c r="Q5707" i="6"/>
  <c r="W5707" i="6" s="1"/>
  <c r="X5708" i="6"/>
  <c r="F2044" i="17"/>
  <c r="M5708" i="6"/>
  <c r="I5708" i="6"/>
  <c r="Q5706" i="6"/>
  <c r="W5706" i="6" s="1"/>
  <c r="F2043" i="17"/>
  <c r="X5707" i="6"/>
  <c r="M5707" i="6"/>
  <c r="I5707" i="6"/>
  <c r="F2042" i="17"/>
  <c r="D3333" i="13"/>
  <c r="X5706" i="6"/>
  <c r="M5706" i="6"/>
  <c r="I5706" i="6"/>
  <c r="F2041"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40" i="17"/>
  <c r="H2040" i="17"/>
  <c r="G2040" i="17"/>
  <c r="V5704" i="6"/>
  <c r="O5703" i="6"/>
  <c r="N5703" i="6"/>
  <c r="M5703" i="6"/>
  <c r="F2039" i="17"/>
  <c r="Q5702" i="6"/>
  <c r="W5702" i="6" s="1"/>
  <c r="X5702" i="6"/>
  <c r="M5702" i="6"/>
  <c r="I5702" i="6"/>
  <c r="F2038" i="17"/>
  <c r="X5701" i="6"/>
  <c r="Q5701" i="6"/>
  <c r="W5701" i="6" s="1"/>
  <c r="M5701" i="6"/>
  <c r="I5701" i="6"/>
  <c r="Q5700" i="6"/>
  <c r="W5700" i="6"/>
  <c r="X5700" i="6"/>
  <c r="I5700" i="6"/>
  <c r="I5699" i="6"/>
  <c r="F2037" i="17"/>
  <c r="M5700" i="6"/>
  <c r="D3316" i="13"/>
  <c r="Q5699" i="6"/>
  <c r="W5699" i="6" s="1"/>
  <c r="X5699" i="6"/>
  <c r="F2036" i="17"/>
  <c r="M5699" i="6"/>
  <c r="Q5698" i="6"/>
  <c r="W5698" i="6" s="1"/>
  <c r="X5698" i="6"/>
  <c r="I5698" i="6"/>
  <c r="F2035" i="17"/>
  <c r="M5698" i="6"/>
  <c r="Q5697" i="6"/>
  <c r="W5697" i="6" s="1"/>
  <c r="X5697" i="6"/>
  <c r="F2034" i="17"/>
  <c r="M5697" i="6"/>
  <c r="I5697" i="6"/>
  <c r="Q5696" i="6"/>
  <c r="W5696" i="6"/>
  <c r="X5696" i="6"/>
  <c r="F2033" i="17"/>
  <c r="I5696" i="6"/>
  <c r="M5696" i="6"/>
  <c r="Q5695" i="6"/>
  <c r="W5695" i="6" s="1"/>
  <c r="F2032" i="17"/>
  <c r="X5695" i="6"/>
  <c r="M5695" i="6"/>
  <c r="I5695" i="6"/>
  <c r="Q5686" i="6"/>
  <c r="W5686" i="6" s="1"/>
  <c r="Q5694" i="6"/>
  <c r="W5694" i="6"/>
  <c r="D3313" i="13"/>
  <c r="M5694" i="6"/>
  <c r="M5693" i="6"/>
  <c r="M5692" i="6"/>
  <c r="M5691" i="6"/>
  <c r="F2031" i="17"/>
  <c r="X5694" i="6"/>
  <c r="I5694" i="6"/>
  <c r="F2030" i="17"/>
  <c r="Q5693" i="6"/>
  <c r="W5693" i="6" s="1"/>
  <c r="X5693" i="6"/>
  <c r="I5693" i="6"/>
  <c r="Q5692" i="6"/>
  <c r="W5692" i="6" s="1"/>
  <c r="X5692" i="6"/>
  <c r="F2029" i="17"/>
  <c r="I5692" i="6"/>
  <c r="Q5691" i="6"/>
  <c r="W5691" i="6" s="1"/>
  <c r="F2028" i="17"/>
  <c r="X5691" i="6"/>
  <c r="I5691" i="6"/>
  <c r="Q5690" i="6"/>
  <c r="W5690" i="6" s="1"/>
  <c r="Q5689" i="6"/>
  <c r="W5689" i="6" s="1"/>
  <c r="X5690" i="6"/>
  <c r="M5690" i="6"/>
  <c r="I5690" i="6"/>
  <c r="F2027" i="17"/>
  <c r="F2026" i="17"/>
  <c r="D3317" i="13"/>
  <c r="X5689" i="6"/>
  <c r="M5689" i="6"/>
  <c r="I5689" i="6"/>
  <c r="F2025" i="17"/>
  <c r="X5688" i="6"/>
  <c r="Q5688" i="6"/>
  <c r="W5688" i="6" s="1"/>
  <c r="M5688" i="6"/>
  <c r="I5688" i="6"/>
  <c r="F2023" i="17"/>
  <c r="F2024" i="17"/>
  <c r="D3315" i="13"/>
  <c r="D3314" i="13"/>
  <c r="Q5687" i="6"/>
  <c r="W5687" i="6" s="1"/>
  <c r="N5679" i="6"/>
  <c r="M5687" i="6"/>
  <c r="I5687" i="6"/>
  <c r="X5686" i="6"/>
  <c r="X5687" i="6"/>
  <c r="W5682" i="6"/>
  <c r="Q5685" i="6"/>
  <c r="W5685" i="6" s="1"/>
  <c r="M5686" i="6"/>
  <c r="I5686" i="6"/>
  <c r="F2022" i="17"/>
  <c r="M5685" i="6"/>
  <c r="I5685" i="6"/>
  <c r="Q5684" i="6"/>
  <c r="W5684" i="6" s="1"/>
  <c r="F2021" i="17"/>
  <c r="D3312" i="13"/>
  <c r="M5684" i="6"/>
  <c r="I5684" i="6"/>
  <c r="F2019" i="17"/>
  <c r="F2020" i="17"/>
  <c r="Q5683" i="6"/>
  <c r="W5683" i="6" s="1"/>
  <c r="I5683" i="6"/>
  <c r="M5683" i="6"/>
  <c r="M5682" i="6"/>
  <c r="I5682" i="6"/>
  <c r="D3310" i="13"/>
  <c r="D3311" i="13"/>
  <c r="D3309" i="13"/>
  <c r="Q5681" i="6"/>
  <c r="W5681" i="6" s="1"/>
  <c r="M5681" i="6"/>
  <c r="I5681" i="6"/>
  <c r="F2018" i="17"/>
  <c r="F2017" i="17"/>
  <c r="V5680" i="6"/>
  <c r="Q5679" i="6"/>
  <c r="W5679" i="6"/>
  <c r="X5679" i="6"/>
  <c r="M5679" i="6"/>
  <c r="I5679" i="6"/>
  <c r="D3308" i="13"/>
  <c r="H2017" i="17"/>
  <c r="G2017" i="17"/>
  <c r="O5679" i="6"/>
  <c r="F2016" i="17"/>
  <c r="N5407" i="6"/>
  <c r="Q5678" i="6"/>
  <c r="W5678" i="6"/>
  <c r="X5678" i="6"/>
  <c r="M5678" i="6"/>
  <c r="D3307" i="13"/>
  <c r="I5678" i="6"/>
  <c r="F2015" i="17"/>
  <c r="Q5677" i="6"/>
  <c r="W5677" i="6" s="1"/>
  <c r="X5677" i="6"/>
  <c r="M5677" i="6"/>
  <c r="I5677" i="6"/>
  <c r="D3306" i="13"/>
  <c r="F2014" i="17"/>
  <c r="D3305" i="13"/>
  <c r="Q5676" i="6"/>
  <c r="W5676" i="6" s="1"/>
  <c r="X5676" i="6"/>
  <c r="M5676" i="6"/>
  <c r="I5676" i="6"/>
  <c r="Q5675" i="6"/>
  <c r="W5675" i="6"/>
  <c r="X5675" i="6"/>
  <c r="Q5674" i="6"/>
  <c r="W5674" i="6" s="1"/>
  <c r="F2013" i="17"/>
  <c r="D3304" i="13"/>
  <c r="M5675" i="6"/>
  <c r="I5675" i="6"/>
  <c r="F2012" i="17"/>
  <c r="D3303" i="13"/>
  <c r="X5674" i="6"/>
  <c r="M5674" i="6"/>
  <c r="I5674" i="6"/>
  <c r="Q5673" i="6"/>
  <c r="W5673" i="6" s="1"/>
  <c r="X5673" i="6"/>
  <c r="F2011" i="17"/>
  <c r="D3302" i="13"/>
  <c r="I5673" i="6"/>
  <c r="M5673" i="6"/>
  <c r="Q5672" i="6"/>
  <c r="W5672" i="6" s="1"/>
  <c r="X5672" i="6"/>
  <c r="M5672" i="6"/>
  <c r="I5672" i="6"/>
  <c r="D3301" i="13"/>
  <c r="F2010" i="17"/>
  <c r="F2009" i="17"/>
  <c r="D3300" i="13"/>
  <c r="Q5671" i="6"/>
  <c r="W5671" i="6" s="1"/>
  <c r="Q5670" i="6"/>
  <c r="W5670" i="6" s="1"/>
  <c r="X5671" i="6"/>
  <c r="M5671" i="6"/>
  <c r="I5671" i="6"/>
  <c r="F2008" i="17"/>
  <c r="D3299" i="13"/>
  <c r="Q5669" i="6"/>
  <c r="W5669" i="6" s="1"/>
  <c r="X5670" i="6"/>
  <c r="M5670" i="6"/>
  <c r="I5670" i="6"/>
  <c r="F2007" i="17"/>
  <c r="X5669" i="6"/>
  <c r="Q5668" i="6"/>
  <c r="M5669" i="6"/>
  <c r="I5669" i="6"/>
  <c r="D3298" i="13"/>
  <c r="M5668" i="6"/>
  <c r="D3297" i="13"/>
  <c r="D3296" i="13"/>
  <c r="F2004" i="17"/>
  <c r="F2005" i="17"/>
  <c r="F2006" i="17"/>
  <c r="D3295" i="13"/>
  <c r="X5667" i="6"/>
  <c r="X5666" i="6"/>
  <c r="Q5667" i="6"/>
  <c r="W5667" i="6"/>
  <c r="Q5666" i="6"/>
  <c r="W5666" i="6" s="1"/>
  <c r="I5668" i="6"/>
  <c r="I5667" i="6"/>
  <c r="M5667" i="6"/>
  <c r="I5666" i="6"/>
  <c r="M5666" i="6"/>
  <c r="F2003" i="17"/>
  <c r="D3294" i="13"/>
  <c r="Q5665" i="6"/>
  <c r="W5665" i="6" s="1"/>
  <c r="X5665" i="6"/>
  <c r="M5665" i="6"/>
  <c r="I5665" i="6"/>
  <c r="F2002" i="17"/>
  <c r="D3293" i="13"/>
  <c r="Q5664" i="6"/>
  <c r="W5664" i="6" s="1"/>
  <c r="X5664" i="6"/>
  <c r="M5664" i="6"/>
  <c r="I5664" i="6"/>
  <c r="F2001" i="17"/>
  <c r="D3292" i="13"/>
  <c r="Q5663" i="6"/>
  <c r="W5663" i="6" s="1"/>
  <c r="X5663" i="6"/>
  <c r="M5663" i="6"/>
  <c r="I5663" i="6"/>
  <c r="F2000" i="17"/>
  <c r="D3291" i="13"/>
  <c r="Q5662" i="6"/>
  <c r="W5662" i="6" s="1"/>
  <c r="X5662" i="6"/>
  <c r="M5662" i="6"/>
  <c r="I5662" i="6"/>
  <c r="F1999" i="17"/>
  <c r="D3290" i="13"/>
  <c r="Q5661" i="6"/>
  <c r="W5661" i="6" s="1"/>
  <c r="X5661" i="6"/>
  <c r="M5661" i="6"/>
  <c r="I5661" i="6"/>
  <c r="F1998" i="17"/>
  <c r="D3289" i="13"/>
  <c r="Q5660" i="6"/>
  <c r="W5660" i="6" s="1"/>
  <c r="X5660" i="6"/>
  <c r="M5659" i="6"/>
  <c r="M5660" i="6"/>
  <c r="I5660" i="6"/>
  <c r="B4658" i="6"/>
  <c r="B4616" i="6"/>
  <c r="B4570" i="6"/>
  <c r="B4482" i="6"/>
  <c r="B4497" i="6"/>
  <c r="F1997" i="17"/>
  <c r="D3288" i="13"/>
  <c r="X5659" i="6"/>
  <c r="Q5659" i="6"/>
  <c r="W5659" i="6" s="1"/>
  <c r="I5659" i="6"/>
  <c r="H1996" i="17"/>
  <c r="G1996" i="17"/>
  <c r="F1996" i="17"/>
  <c r="D3287" i="13"/>
  <c r="V5658" i="6"/>
  <c r="Q5657" i="6"/>
  <c r="W5657" i="6" s="1"/>
  <c r="X5657" i="6"/>
  <c r="O5657" i="6"/>
  <c r="N5657" i="6"/>
  <c r="M5657" i="6"/>
  <c r="I5657" i="6"/>
  <c r="F1995" i="17"/>
  <c r="D3286" i="13"/>
  <c r="Q5656" i="6"/>
  <c r="W5656" i="6" s="1"/>
  <c r="X5656" i="6"/>
  <c r="M5656" i="6"/>
  <c r="I5656" i="6"/>
  <c r="F1994" i="17"/>
  <c r="D3285" i="13"/>
  <c r="Q5655" i="6"/>
  <c r="W5655" i="6" s="1"/>
  <c r="X5655" i="6"/>
  <c r="M5655" i="6"/>
  <c r="I5655" i="6"/>
  <c r="F1993" i="17"/>
  <c r="D3284" i="13"/>
  <c r="X5654" i="6"/>
  <c r="Q5653" i="6"/>
  <c r="Q5654" i="6"/>
  <c r="W5654" i="6" s="1"/>
  <c r="M5654" i="6"/>
  <c r="I5654" i="6"/>
  <c r="W5653" i="6"/>
  <c r="D3282" i="13"/>
  <c r="F1991" i="17"/>
  <c r="Q5652" i="6"/>
  <c r="W5652" i="6" s="1"/>
  <c r="X5652" i="6"/>
  <c r="I5652" i="6"/>
  <c r="M5652" i="6"/>
  <c r="F1990" i="17"/>
  <c r="D3281" i="13"/>
  <c r="Q5651" i="6"/>
  <c r="W5651" i="6" s="1"/>
  <c r="X5651" i="6"/>
  <c r="M5651" i="6"/>
  <c r="I5651" i="6"/>
  <c r="I5650" i="6"/>
  <c r="F1989" i="17"/>
  <c r="D3280" i="13"/>
  <c r="Q5650" i="6"/>
  <c r="W5650" i="6" s="1"/>
  <c r="X5650" i="6"/>
  <c r="M5650" i="6"/>
  <c r="Q5649" i="6"/>
  <c r="W5649" i="6" s="1"/>
  <c r="X5649" i="6"/>
  <c r="M5649" i="6"/>
  <c r="I5649" i="6"/>
  <c r="D3279" i="13"/>
  <c r="F1988" i="17"/>
  <c r="F1987" i="17"/>
  <c r="D3278" i="13"/>
  <c r="Q5648" i="6"/>
  <c r="W5648" i="6"/>
  <c r="X5648" i="6"/>
  <c r="M5648" i="6"/>
  <c r="I5648" i="6"/>
  <c r="F1986" i="17"/>
  <c r="D3277" i="13"/>
  <c r="X5647" i="6"/>
  <c r="Q5647" i="6"/>
  <c r="W5647" i="6" s="1"/>
  <c r="M5647" i="6"/>
  <c r="I5647" i="6"/>
  <c r="F1985" i="17"/>
  <c r="F1984" i="17"/>
  <c r="D3276" i="13"/>
  <c r="D3275" i="13"/>
  <c r="X5645" i="6"/>
  <c r="X5646" i="6"/>
  <c r="Q5646" i="6"/>
  <c r="W5646" i="6"/>
  <c r="M5646" i="6"/>
  <c r="I5646" i="6"/>
  <c r="M5645" i="6"/>
  <c r="I5645" i="6"/>
  <c r="F1983" i="17"/>
  <c r="D3273" i="13"/>
  <c r="D3274" i="13"/>
  <c r="Q5644" i="6"/>
  <c r="X5644" i="6"/>
  <c r="M5644" i="6"/>
  <c r="I5644" i="6"/>
  <c r="Q5643" i="6"/>
  <c r="W5643" i="6" s="1"/>
  <c r="X5643" i="6"/>
  <c r="M5643" i="6"/>
  <c r="I5643" i="6"/>
  <c r="F1982" i="17"/>
  <c r="Q5642" i="6"/>
  <c r="W5642" i="6" s="1"/>
  <c r="F1981" i="17"/>
  <c r="D3272" i="13"/>
  <c r="X5642" i="6"/>
  <c r="M5642" i="6"/>
  <c r="I5642" i="6"/>
  <c r="Q5641" i="6"/>
  <c r="W5641" i="6" s="1"/>
  <c r="X5641" i="6"/>
  <c r="M5641" i="6"/>
  <c r="I5641" i="6"/>
  <c r="D3271" i="13"/>
  <c r="F1980" i="17"/>
  <c r="Q5640" i="6"/>
  <c r="W5640" i="6" s="1"/>
  <c r="X5640" i="6"/>
  <c r="M5640" i="6"/>
  <c r="I5640" i="6"/>
  <c r="D3270" i="13"/>
  <c r="F1979" i="17"/>
  <c r="X5639" i="6"/>
  <c r="Q5639" i="6"/>
  <c r="W5639" i="6"/>
  <c r="F1978" i="17"/>
  <c r="D3269" i="13"/>
  <c r="I5639" i="6"/>
  <c r="M5639" i="6"/>
  <c r="Q5638" i="6"/>
  <c r="W5638" i="6" s="1"/>
  <c r="X5638" i="6"/>
  <c r="M5638" i="6"/>
  <c r="I5638" i="6"/>
  <c r="D3268" i="13"/>
  <c r="F1977" i="17"/>
  <c r="Q5637" i="6"/>
  <c r="W5637" i="6" s="1"/>
  <c r="X5637" i="6"/>
  <c r="M5637" i="6"/>
  <c r="I5637" i="6"/>
  <c r="D3267" i="13"/>
  <c r="F1976" i="17"/>
  <c r="X5636" i="6"/>
  <c r="Q5636" i="6"/>
  <c r="W5636" i="6" s="1"/>
  <c r="M5636" i="6"/>
  <c r="I5636" i="6"/>
  <c r="G1714" i="17"/>
  <c r="D3266" i="13"/>
  <c r="F1975" i="17"/>
  <c r="V5635" i="6"/>
  <c r="Q5634" i="6"/>
  <c r="W5634" i="6" s="1"/>
  <c r="X5634" i="6"/>
  <c r="N5634" i="6"/>
  <c r="O5634" i="6"/>
  <c r="M5634" i="6"/>
  <c r="I5634" i="6"/>
  <c r="D3265" i="13"/>
  <c r="F1974" i="17"/>
  <c r="G1974" i="17"/>
  <c r="H1974" i="17"/>
  <c r="D3264" i="13"/>
  <c r="Q5633" i="6"/>
  <c r="W5633" i="6" s="1"/>
  <c r="X5633" i="6"/>
  <c r="M5633" i="6"/>
  <c r="I5633" i="6"/>
  <c r="F1973" i="17"/>
  <c r="Q5632" i="6"/>
  <c r="W5632" i="6" s="1"/>
  <c r="X5632" i="6"/>
  <c r="M5632" i="6"/>
  <c r="I5632" i="6"/>
  <c r="D3263" i="13"/>
  <c r="F1972" i="17"/>
  <c r="F1971" i="17"/>
  <c r="D3262" i="13"/>
  <c r="X5631" i="6"/>
  <c r="Q5631" i="6"/>
  <c r="W5631" i="6" s="1"/>
  <c r="M5631" i="6"/>
  <c r="I5631" i="6"/>
  <c r="F1970" i="17"/>
  <c r="D3261" i="13"/>
  <c r="Q5630" i="6"/>
  <c r="W5630" i="6"/>
  <c r="X5630" i="6"/>
  <c r="M5630" i="6"/>
  <c r="I5630" i="6"/>
  <c r="X5629" i="6"/>
  <c r="Q5629" i="6"/>
  <c r="W5629" i="6" s="1"/>
  <c r="F1969" i="17"/>
  <c r="D3260" i="13"/>
  <c r="M5629" i="6"/>
  <c r="I5629" i="6"/>
  <c r="Q5628" i="6"/>
  <c r="W5628" i="6" s="1"/>
  <c r="X5628" i="6"/>
  <c r="M5628" i="6"/>
  <c r="I5628" i="6"/>
  <c r="D3259" i="13"/>
  <c r="F1968" i="17"/>
  <c r="Q5627" i="6"/>
  <c r="W5627" i="6" s="1"/>
  <c r="X5627" i="6"/>
  <c r="M5627" i="6"/>
  <c r="I5627" i="6"/>
  <c r="D3258" i="13"/>
  <c r="F1967" i="17"/>
  <c r="Q5626" i="6"/>
  <c r="W5626" i="6" s="1"/>
  <c r="X5626" i="6"/>
  <c r="F1966" i="17"/>
  <c r="D3257" i="13"/>
  <c r="M5626" i="6"/>
  <c r="I5626" i="6"/>
  <c r="Q5625" i="6"/>
  <c r="W5625" i="6" s="1"/>
  <c r="X5625" i="6"/>
  <c r="M5625" i="6"/>
  <c r="I5625" i="6"/>
  <c r="D3256" i="13"/>
  <c r="F1965" i="17"/>
  <c r="Q5624" i="6"/>
  <c r="W5624" i="6" s="1"/>
  <c r="X5624" i="6"/>
  <c r="M5624" i="6"/>
  <c r="I5624" i="6"/>
  <c r="D3255" i="13"/>
  <c r="F1964" i="17"/>
  <c r="X5623" i="6"/>
  <c r="Q5623" i="6"/>
  <c r="W5623" i="6" s="1"/>
  <c r="M5623" i="6"/>
  <c r="D3254" i="13"/>
  <c r="F1963" i="17"/>
  <c r="Q5622" i="6"/>
  <c r="W5622" i="6" s="1"/>
  <c r="X5622" i="6"/>
  <c r="M5622" i="6"/>
  <c r="D3253" i="13"/>
  <c r="F1962" i="17"/>
  <c r="Q5621" i="6"/>
  <c r="W5621" i="6" s="1"/>
  <c r="F1961" i="17"/>
  <c r="D3252" i="13"/>
  <c r="X5621" i="6"/>
  <c r="M5621" i="6"/>
  <c r="Q5620" i="6"/>
  <c r="W5620" i="6" s="1"/>
  <c r="Q5619" i="6"/>
  <c r="W5619" i="6" s="1"/>
  <c r="F1960" i="17"/>
  <c r="D3251" i="13"/>
  <c r="X5620" i="6"/>
  <c r="M5620" i="6"/>
  <c r="X5619" i="6"/>
  <c r="M5619" i="6"/>
  <c r="D3250" i="13"/>
  <c r="F1959" i="17"/>
  <c r="Q5618" i="6"/>
  <c r="W5618" i="6" s="1"/>
  <c r="X5618" i="6"/>
  <c r="M5618" i="6"/>
  <c r="I5618" i="6"/>
  <c r="D3249" i="13"/>
  <c r="F1958" i="17"/>
  <c r="Q5617" i="6"/>
  <c r="F1957" i="17"/>
  <c r="D3248" i="13"/>
  <c r="W5617" i="6"/>
  <c r="X5617" i="6"/>
  <c r="M5617" i="6"/>
  <c r="F1956" i="17"/>
  <c r="D3247" i="13"/>
  <c r="Q5616" i="6"/>
  <c r="W5616" i="6" s="1"/>
  <c r="X5616" i="6"/>
  <c r="M5616" i="6"/>
  <c r="I5616" i="6"/>
  <c r="Q5615" i="6"/>
  <c r="W5615" i="6" s="1"/>
  <c r="X5615" i="6"/>
  <c r="M5615" i="6"/>
  <c r="I5615" i="6"/>
  <c r="D3246" i="13"/>
  <c r="F1955" i="17"/>
  <c r="Q5614" i="6"/>
  <c r="W5614" i="6" s="1"/>
  <c r="X5614" i="6"/>
  <c r="M5614" i="6"/>
  <c r="I5614" i="6"/>
  <c r="D3245" i="13"/>
  <c r="F1954" i="17"/>
  <c r="F1953" i="17"/>
  <c r="Q5613" i="6"/>
  <c r="W5613" i="6" s="1"/>
  <c r="X5613" i="6"/>
  <c r="M5613" i="6"/>
  <c r="I5613" i="6"/>
  <c r="D3244" i="13"/>
  <c r="Q5612" i="6"/>
  <c r="W5612" i="6"/>
  <c r="X5612" i="6"/>
  <c r="M5612" i="6"/>
  <c r="I5612" i="6"/>
  <c r="D3243" i="13"/>
  <c r="F1952" i="17"/>
  <c r="Q5610" i="6"/>
  <c r="W5610" i="6" s="1"/>
  <c r="V5611" i="6"/>
  <c r="X5610" i="6"/>
  <c r="N5610" i="6"/>
  <c r="O5610" i="6"/>
  <c r="M5610" i="6"/>
  <c r="I5610" i="6"/>
  <c r="D3242" i="13"/>
  <c r="F1951" i="17"/>
  <c r="G1951" i="17"/>
  <c r="H1951" i="17"/>
  <c r="X5609" i="6"/>
  <c r="Q5609" i="6"/>
  <c r="W5609" i="6" s="1"/>
  <c r="F1950" i="17"/>
  <c r="D3241" i="13"/>
  <c r="I5609" i="6"/>
  <c r="M5609" i="6"/>
  <c r="Q5608" i="6"/>
  <c r="W5608" i="6" s="1"/>
  <c r="X5608" i="6"/>
  <c r="M5608" i="6"/>
  <c r="I5608" i="6"/>
  <c r="D3240" i="13"/>
  <c r="F1949" i="17"/>
  <c r="Q5607" i="6"/>
  <c r="W5607" i="6" s="1"/>
  <c r="M5607" i="6"/>
  <c r="X5607" i="6"/>
  <c r="I5607" i="6"/>
  <c r="D3239" i="13"/>
  <c r="F1948" i="17"/>
  <c r="Q5606" i="6"/>
  <c r="W5606" i="6" s="1"/>
  <c r="M5606" i="6"/>
  <c r="X5606" i="6"/>
  <c r="I5606" i="6"/>
  <c r="D3238" i="13"/>
  <c r="F1947" i="17"/>
  <c r="Q5605" i="6"/>
  <c r="W5605" i="6" s="1"/>
  <c r="M5605" i="6"/>
  <c r="I5605" i="6"/>
  <c r="D3237" i="13"/>
  <c r="F1946" i="17"/>
  <c r="Q5604" i="6"/>
  <c r="W5604" i="6" s="1"/>
  <c r="M5604" i="6"/>
  <c r="I5604" i="6"/>
  <c r="D3236" i="13"/>
  <c r="F1945" i="17"/>
  <c r="Q5603" i="6"/>
  <c r="W5603" i="6" s="1"/>
  <c r="X5603" i="6"/>
  <c r="M5603" i="6"/>
  <c r="I5603" i="6"/>
  <c r="D3235" i="13"/>
  <c r="F1944" i="17"/>
  <c r="Q5602" i="6"/>
  <c r="W5602" i="6" s="1"/>
  <c r="X5602" i="6"/>
  <c r="M5602" i="6"/>
  <c r="I5602" i="6"/>
  <c r="D3234" i="13"/>
  <c r="F1943" i="17"/>
  <c r="Q5601" i="6"/>
  <c r="W5601" i="6"/>
  <c r="X5601" i="6"/>
  <c r="M5601" i="6"/>
  <c r="I5601" i="6"/>
  <c r="D3233" i="13"/>
  <c r="F1942" i="17"/>
  <c r="Q5600" i="6"/>
  <c r="W5600" i="6" s="1"/>
  <c r="X5600" i="6"/>
  <c r="M5600" i="6"/>
  <c r="I5600" i="6"/>
  <c r="D3232" i="13"/>
  <c r="F1941" i="17"/>
  <c r="Q5599" i="6"/>
  <c r="W5599" i="6" s="1"/>
  <c r="X5599" i="6"/>
  <c r="M5599" i="6"/>
  <c r="I5599" i="6"/>
  <c r="D3231" i="13"/>
  <c r="F1940" i="17"/>
  <c r="Q5598" i="6"/>
  <c r="W5598" i="6"/>
  <c r="X5598" i="6"/>
  <c r="M5598" i="6"/>
  <c r="I5598" i="6"/>
  <c r="D3230" i="13"/>
  <c r="F1939" i="17"/>
  <c r="Q5597" i="6"/>
  <c r="W5597" i="6" s="1"/>
  <c r="X5597" i="6"/>
  <c r="M5597" i="6"/>
  <c r="I5597" i="6"/>
  <c r="D3229" i="13"/>
  <c r="F1938" i="17"/>
  <c r="Q5596" i="6"/>
  <c r="W5596" i="6" s="1"/>
  <c r="X5596" i="6"/>
  <c r="M5596" i="6"/>
  <c r="I5596" i="6"/>
  <c r="D3228" i="13"/>
  <c r="F1937" i="17"/>
  <c r="Q5595" i="6"/>
  <c r="W5595" i="6" s="1"/>
  <c r="X5595" i="6"/>
  <c r="M5595" i="6"/>
  <c r="I5595" i="6"/>
  <c r="D3227" i="13"/>
  <c r="F1936" i="17"/>
  <c r="D3226" i="13"/>
  <c r="M5594" i="6"/>
  <c r="I5594" i="6"/>
  <c r="G5594" i="6"/>
  <c r="F1935" i="17"/>
  <c r="X5594" i="6"/>
  <c r="M5593" i="6"/>
  <c r="X5593" i="6"/>
  <c r="I5593" i="6"/>
  <c r="Q5594" i="6"/>
  <c r="W5594" i="6" s="1"/>
  <c r="Q5593" i="6"/>
  <c r="W5593" i="6"/>
  <c r="D3225" i="13"/>
  <c r="F1934" i="17"/>
  <c r="Q5592" i="6"/>
  <c r="W5592" i="6" s="1"/>
  <c r="D3224" i="13"/>
  <c r="F1933" i="17"/>
  <c r="X5592" i="6"/>
  <c r="M5592" i="6"/>
  <c r="I5592" i="6"/>
  <c r="Q5591" i="6"/>
  <c r="W5591" i="6" s="1"/>
  <c r="X5591" i="6"/>
  <c r="M5591" i="6"/>
  <c r="I5591" i="6"/>
  <c r="D3223" i="13"/>
  <c r="G1931" i="17"/>
  <c r="F1932" i="17"/>
  <c r="N5589" i="6"/>
  <c r="V5590" i="6"/>
  <c r="Q5589" i="6"/>
  <c r="W5589" i="6"/>
  <c r="X5589" i="6"/>
  <c r="O5589" i="6"/>
  <c r="M5589" i="6"/>
  <c r="I5589" i="6"/>
  <c r="D3222" i="13"/>
  <c r="F1931" i="17"/>
  <c r="H1931" i="17"/>
  <c r="Q5588" i="6"/>
  <c r="W5588" i="6" s="1"/>
  <c r="X5588" i="6"/>
  <c r="M5588" i="6"/>
  <c r="I5588" i="6"/>
  <c r="D3221" i="13"/>
  <c r="F1930" i="17"/>
  <c r="Q5587" i="6"/>
  <c r="W5587" i="6" s="1"/>
  <c r="X5587" i="6"/>
  <c r="M5587" i="6"/>
  <c r="I5587" i="6"/>
  <c r="D3220" i="13"/>
  <c r="F1929" i="17"/>
  <c r="Q5586" i="6"/>
  <c r="W5586" i="6" s="1"/>
  <c r="X5586" i="6"/>
  <c r="M5586" i="6"/>
  <c r="I5586" i="6"/>
  <c r="F1928" i="17"/>
  <c r="F1926" i="17"/>
  <c r="D3219" i="13"/>
  <c r="Q5585" i="6"/>
  <c r="W5585" i="6" s="1"/>
  <c r="Q5584" i="6"/>
  <c r="W5584" i="6" s="1"/>
  <c r="X5584" i="6"/>
  <c r="M5584" i="6"/>
  <c r="I5584" i="6"/>
  <c r="D3217" i="13"/>
  <c r="Q5583" i="6"/>
  <c r="W5583" i="6" s="1"/>
  <c r="X5583" i="6"/>
  <c r="M5583" i="6"/>
  <c r="I5583" i="6"/>
  <c r="D3216" i="13"/>
  <c r="F1925" i="17"/>
  <c r="Q5582" i="6"/>
  <c r="W5582" i="6" s="1"/>
  <c r="X5582" i="6"/>
  <c r="M5582" i="6"/>
  <c r="I5582" i="6"/>
  <c r="D3215" i="13"/>
  <c r="F1924" i="17"/>
  <c r="Q5581" i="6"/>
  <c r="W5581" i="6" s="1"/>
  <c r="X5581" i="6"/>
  <c r="M5581" i="6"/>
  <c r="I5581" i="6"/>
  <c r="D3214" i="13"/>
  <c r="F1923" i="17"/>
  <c r="Q5571" i="6"/>
  <c r="W5571" i="6" s="1"/>
  <c r="Q5580" i="6"/>
  <c r="W5580" i="6" s="1"/>
  <c r="X5580" i="6"/>
  <c r="M5580" i="6"/>
  <c r="I5580" i="6"/>
  <c r="D3213" i="13"/>
  <c r="F1922" i="17"/>
  <c r="Q5579" i="6"/>
  <c r="W5579" i="6" s="1"/>
  <c r="X5579" i="6"/>
  <c r="M5579" i="6"/>
  <c r="I5579" i="6"/>
  <c r="D3212" i="13"/>
  <c r="F1921" i="17"/>
  <c r="X5578" i="6"/>
  <c r="Q5578" i="6"/>
  <c r="W5578" i="6" s="1"/>
  <c r="F1920" i="17"/>
  <c r="D3211" i="13"/>
  <c r="I5578" i="6"/>
  <c r="M5578" i="6"/>
  <c r="Q5577" i="6"/>
  <c r="W5577" i="6" s="1"/>
  <c r="X5577" i="6"/>
  <c r="M5577" i="6"/>
  <c r="I5577" i="6"/>
  <c r="D3210" i="13"/>
  <c r="F1919" i="17"/>
  <c r="Q5576" i="6"/>
  <c r="W5576" i="6" s="1"/>
  <c r="I5576" i="6"/>
  <c r="X5576" i="6"/>
  <c r="M5576" i="6"/>
  <c r="D3209" i="13"/>
  <c r="F1918" i="17"/>
  <c r="Q5575" i="6"/>
  <c r="W5575" i="6" s="1"/>
  <c r="X5575" i="6"/>
  <c r="M5575" i="6"/>
  <c r="I5575" i="6"/>
  <c r="D3208" i="13"/>
  <c r="F1917" i="17"/>
  <c r="Q5574" i="6"/>
  <c r="W5574" i="6"/>
  <c r="X5574" i="6"/>
  <c r="M5574" i="6"/>
  <c r="I5574" i="6"/>
  <c r="D3207" i="13"/>
  <c r="F1916" i="17"/>
  <c r="Q5573" i="6"/>
  <c r="W5573" i="6" s="1"/>
  <c r="X5573" i="6"/>
  <c r="M5573" i="6"/>
  <c r="I5573" i="6"/>
  <c r="D3206" i="13"/>
  <c r="F1915" i="17"/>
  <c r="X5572" i="6"/>
  <c r="Q5572" i="6"/>
  <c r="W5572" i="6" s="1"/>
  <c r="M5572" i="6"/>
  <c r="I5572" i="6"/>
  <c r="D3205" i="13"/>
  <c r="F1914" i="17"/>
  <c r="X5571" i="6"/>
  <c r="M5571" i="6"/>
  <c r="I5571" i="6"/>
  <c r="D3204" i="13"/>
  <c r="F1913" i="17"/>
  <c r="Q5570" i="6"/>
  <c r="W5570" i="6"/>
  <c r="Q5569" i="6"/>
  <c r="W5569" i="6" s="1"/>
  <c r="M5569" i="6"/>
  <c r="I5569" i="6"/>
  <c r="D3202" i="13"/>
  <c r="F1911" i="17"/>
  <c r="Q5568" i="6"/>
  <c r="W5568" i="6" s="1"/>
  <c r="M5568" i="6"/>
  <c r="I5568" i="6"/>
  <c r="D3201" i="13"/>
  <c r="F1910" i="17"/>
  <c r="Q5567" i="6"/>
  <c r="W5567" i="6" s="1"/>
  <c r="M5567" i="6"/>
  <c r="I5567" i="6"/>
  <c r="Q5565" i="6"/>
  <c r="W5565" i="6" s="1"/>
  <c r="X5565" i="6"/>
  <c r="M5565" i="6"/>
  <c r="I5565" i="6"/>
  <c r="V5566" i="6"/>
  <c r="N5565" i="6"/>
  <c r="O5565" i="6"/>
  <c r="D3200" i="13"/>
  <c r="D3199" i="13"/>
  <c r="F1909" i="17"/>
  <c r="F1908" i="17"/>
  <c r="G1908" i="17"/>
  <c r="H1908" i="17"/>
  <c r="Q5564" i="6"/>
  <c r="W5564" i="6" s="1"/>
  <c r="X5564" i="6"/>
  <c r="M5564" i="6"/>
  <c r="I5564" i="6"/>
  <c r="D3198" i="13"/>
  <c r="F1907" i="17"/>
  <c r="X5563" i="6"/>
  <c r="Q5563" i="6"/>
  <c r="W5563" i="6"/>
  <c r="M5563" i="6"/>
  <c r="I5563" i="6"/>
  <c r="D3197" i="13"/>
  <c r="F1906" i="17"/>
  <c r="X5562" i="6"/>
  <c r="Q5562" i="6"/>
  <c r="W5562" i="6" s="1"/>
  <c r="M5562" i="6"/>
  <c r="I5562" i="6"/>
  <c r="D3196" i="13"/>
  <c r="F1905" i="17"/>
  <c r="X5561" i="6"/>
  <c r="Q5561" i="6"/>
  <c r="W5561" i="6" s="1"/>
  <c r="M5561" i="6"/>
  <c r="I5561" i="6"/>
  <c r="D3195" i="13"/>
  <c r="F1904" i="17"/>
  <c r="X5560" i="6"/>
  <c r="Q5560" i="6"/>
  <c r="W5560" i="6" s="1"/>
  <c r="M5560" i="6"/>
  <c r="I5560" i="6"/>
  <c r="D3194" i="13"/>
  <c r="F1903"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900" i="17"/>
  <c r="Q5556" i="6"/>
  <c r="W5556" i="6" s="1"/>
  <c r="X5556" i="6"/>
  <c r="M5556" i="6"/>
  <c r="I5556" i="6"/>
  <c r="F1899" i="17"/>
  <c r="Q5555" i="6"/>
  <c r="W5555" i="6" s="1"/>
  <c r="X5555" i="6"/>
  <c r="M5555" i="6"/>
  <c r="I5555" i="6"/>
  <c r="F1898" i="17"/>
  <c r="X5554" i="6"/>
  <c r="Q5554" i="6"/>
  <c r="W5554" i="6" s="1"/>
  <c r="F1897" i="17"/>
  <c r="I5554" i="6"/>
  <c r="M5554" i="6"/>
  <c r="I5553" i="6"/>
  <c r="Q5553" i="6"/>
  <c r="W5553" i="6" s="1"/>
  <c r="X5553" i="6"/>
  <c r="F1896" i="17"/>
  <c r="M5553" i="6"/>
  <c r="Q5552" i="6"/>
  <c r="W5552" i="6" s="1"/>
  <c r="X5552" i="6"/>
  <c r="M5552" i="6"/>
  <c r="I5552" i="6"/>
  <c r="F1895" i="17"/>
  <c r="Q5551" i="6"/>
  <c r="W5551" i="6" s="1"/>
  <c r="X5551" i="6"/>
  <c r="X5566" i="6" s="1"/>
  <c r="M5551" i="6"/>
  <c r="I5551" i="6"/>
  <c r="F1894" i="17"/>
  <c r="X5550" i="6"/>
  <c r="Q5550" i="6"/>
  <c r="W5550" i="6" s="1"/>
  <c r="F1893" i="17"/>
  <c r="I5550" i="6"/>
  <c r="M5550" i="6"/>
  <c r="Q5549" i="6"/>
  <c r="W5549" i="6" s="1"/>
  <c r="M5549" i="6"/>
  <c r="X5549" i="6"/>
  <c r="I5549" i="6"/>
  <c r="F1892" i="17"/>
  <c r="Q5548" i="6"/>
  <c r="W5548" i="6" s="1"/>
  <c r="M5548" i="6"/>
  <c r="I5548" i="6"/>
  <c r="F1891" i="17"/>
  <c r="Q5547" i="6"/>
  <c r="W5547" i="6" s="1"/>
  <c r="X5547" i="6"/>
  <c r="M5547" i="6"/>
  <c r="I5547" i="6"/>
  <c r="F1890" i="17"/>
  <c r="Q5546" i="6"/>
  <c r="W5546" i="6" s="1"/>
  <c r="X5546" i="6"/>
  <c r="M5546" i="6"/>
  <c r="I5546" i="6"/>
  <c r="F1889" i="17"/>
  <c r="Q5545" i="6"/>
  <c r="W5545" i="6"/>
  <c r="I5545" i="6"/>
  <c r="X5545" i="6"/>
  <c r="M5545" i="6"/>
  <c r="N5271" i="6"/>
  <c r="F1888" i="17"/>
  <c r="X5544" i="6"/>
  <c r="Q5544" i="6"/>
  <c r="W5544" i="6" s="1"/>
  <c r="M5544" i="6"/>
  <c r="I5544" i="6"/>
  <c r="G1627" i="17"/>
  <c r="F1887" i="17"/>
  <c r="Q5542" i="6"/>
  <c r="W5542" i="6" s="1"/>
  <c r="V5543" i="6"/>
  <c r="X5542" i="6"/>
  <c r="N5542" i="6"/>
  <c r="O5542" i="6"/>
  <c r="M5542" i="6"/>
  <c r="I5542" i="6"/>
  <c r="F1886" i="17"/>
  <c r="G1886" i="17"/>
  <c r="H1886" i="17"/>
  <c r="Q5541" i="6"/>
  <c r="W5541" i="6" s="1"/>
  <c r="X5541" i="6"/>
  <c r="M5541" i="6"/>
  <c r="I5541" i="6"/>
  <c r="F1885" i="17"/>
  <c r="Q5540" i="6"/>
  <c r="W5540" i="6"/>
  <c r="X5540" i="6"/>
  <c r="M5540" i="6"/>
  <c r="I5540" i="6"/>
  <c r="F1884" i="17"/>
  <c r="Q5539" i="6"/>
  <c r="W5539" i="6" s="1"/>
  <c r="X5539" i="6"/>
  <c r="M5539" i="6"/>
  <c r="I5539" i="6"/>
  <c r="F1883" i="17"/>
  <c r="Q5538" i="6"/>
  <c r="W5538" i="6" s="1"/>
  <c r="X5538" i="6"/>
  <c r="M5538" i="6"/>
  <c r="I5538" i="6"/>
  <c r="F1882" i="17"/>
  <c r="Q5537" i="6"/>
  <c r="W5537" i="6"/>
  <c r="X5537" i="6"/>
  <c r="M5537" i="6"/>
  <c r="I5537" i="6"/>
  <c r="F1881" i="17"/>
  <c r="Q5536" i="6"/>
  <c r="W5536" i="6" s="1"/>
  <c r="X5536" i="6"/>
  <c r="M5536" i="6"/>
  <c r="I5536" i="6"/>
  <c r="F1880" i="17"/>
  <c r="Q5535" i="6"/>
  <c r="W5535" i="6" s="1"/>
  <c r="X5535" i="6"/>
  <c r="M5535" i="6"/>
  <c r="I5535" i="6"/>
  <c r="F1879" i="17"/>
  <c r="Q5534" i="6"/>
  <c r="W5534" i="6" s="1"/>
  <c r="X5534" i="6"/>
  <c r="F1878" i="17"/>
  <c r="I5534" i="6"/>
  <c r="M5534" i="6"/>
  <c r="Q5533" i="6"/>
  <c r="W5533" i="6" s="1"/>
  <c r="X5533" i="6"/>
  <c r="M5533" i="6"/>
  <c r="I5533" i="6"/>
  <c r="F1877" i="17"/>
  <c r="Q5532" i="6"/>
  <c r="W5532" i="6" s="1"/>
  <c r="X5532" i="6"/>
  <c r="M5532" i="6"/>
  <c r="I5532" i="6"/>
  <c r="F1876" i="17"/>
  <c r="Q5531" i="6"/>
  <c r="W5531" i="6" s="1"/>
  <c r="X5531" i="6"/>
  <c r="M5531" i="6"/>
  <c r="I5531" i="6"/>
  <c r="F1875" i="17"/>
  <c r="Q5530" i="6"/>
  <c r="W5530" i="6" s="1"/>
  <c r="X5530" i="6"/>
  <c r="M5530" i="6"/>
  <c r="I5530" i="6"/>
  <c r="F1874" i="17"/>
  <c r="Q5529" i="6"/>
  <c r="W5529" i="6"/>
  <c r="X5529" i="6"/>
  <c r="M5529" i="6"/>
  <c r="I5529" i="6"/>
  <c r="F1873" i="17"/>
  <c r="Q5528" i="6"/>
  <c r="W5528" i="6" s="1"/>
  <c r="X5528" i="6"/>
  <c r="M5528" i="6"/>
  <c r="I5528" i="6"/>
  <c r="F1872" i="17"/>
  <c r="Q5527" i="6"/>
  <c r="W5527" i="6" s="1"/>
  <c r="X5527" i="6"/>
  <c r="M5527" i="6"/>
  <c r="I5527" i="6"/>
  <c r="F1871" i="17"/>
  <c r="Q5526" i="6"/>
  <c r="W5526" i="6" s="1"/>
  <c r="X5526" i="6"/>
  <c r="M5526" i="6"/>
  <c r="I5526" i="6"/>
  <c r="F1870" i="17"/>
  <c r="Q5525" i="6"/>
  <c r="W5525" i="6" s="1"/>
  <c r="X5525" i="6"/>
  <c r="M5525" i="6"/>
  <c r="I5525" i="6"/>
  <c r="F1869" i="17"/>
  <c r="Q5524" i="6"/>
  <c r="W5524" i="6" s="1"/>
  <c r="X5524" i="6"/>
  <c r="M5524" i="6"/>
  <c r="I5524" i="6"/>
  <c r="F1868" i="17"/>
  <c r="Q5523" i="6"/>
  <c r="W5523" i="6" s="1"/>
  <c r="X5523" i="6"/>
  <c r="M5523" i="6"/>
  <c r="I5523" i="6"/>
  <c r="F1867" i="17"/>
  <c r="M5522" i="6"/>
  <c r="I5522" i="6"/>
  <c r="X5522" i="6"/>
  <c r="Q5522" i="6"/>
  <c r="W5522" i="6" s="1"/>
  <c r="Q5520" i="6"/>
  <c r="W5520" i="6" s="1"/>
  <c r="X5520" i="6"/>
  <c r="N5520" i="6"/>
  <c r="O5520" i="6"/>
  <c r="M5520" i="6"/>
  <c r="I5520" i="6"/>
  <c r="V5521" i="6"/>
  <c r="G1605" i="17"/>
  <c r="H1865" i="17"/>
  <c r="G1865" i="17"/>
  <c r="F1866" i="17"/>
  <c r="F1865" i="17"/>
  <c r="Q5519" i="6"/>
  <c r="W5519" i="6" s="1"/>
  <c r="X5519" i="6"/>
  <c r="M5519" i="6"/>
  <c r="I5519" i="6"/>
  <c r="F1864" i="17"/>
  <c r="Q5518" i="6"/>
  <c r="W5518" i="6" s="1"/>
  <c r="X5518" i="6"/>
  <c r="M5518" i="6"/>
  <c r="I5518" i="6"/>
  <c r="F1863" i="17"/>
  <c r="Q5517" i="6"/>
  <c r="W5517" i="6" s="1"/>
  <c r="X5517" i="6"/>
  <c r="M5517" i="6"/>
  <c r="I5517" i="6"/>
  <c r="F1862" i="17"/>
  <c r="Q5516" i="6"/>
  <c r="W5516" i="6"/>
  <c r="X5516" i="6"/>
  <c r="M5516" i="6"/>
  <c r="I5516" i="6"/>
  <c r="F1861" i="17"/>
  <c r="Q5515" i="6"/>
  <c r="W5515" i="6" s="1"/>
  <c r="I5515" i="6"/>
  <c r="X5515" i="6"/>
  <c r="M5515" i="6"/>
  <c r="F1860" i="17"/>
  <c r="I5514" i="6"/>
  <c r="Q5514" i="6"/>
  <c r="W5514" i="6" s="1"/>
  <c r="X5514" i="6"/>
  <c r="M5514" i="6"/>
  <c r="F1859" i="17"/>
  <c r="Q5513" i="6"/>
  <c r="W5513" i="6" s="1"/>
  <c r="X5513" i="6"/>
  <c r="M5513" i="6"/>
  <c r="I5513" i="6"/>
  <c r="F1858" i="17"/>
  <c r="Q5512" i="6"/>
  <c r="W5512" i="6" s="1"/>
  <c r="X5512" i="6"/>
  <c r="M5512" i="6"/>
  <c r="I5512" i="6"/>
  <c r="F1857" i="17"/>
  <c r="Q5511" i="6"/>
  <c r="W5511" i="6"/>
  <c r="X5511" i="6"/>
  <c r="M5511" i="6"/>
  <c r="I5511" i="6"/>
  <c r="F1856" i="17"/>
  <c r="Q5510" i="6"/>
  <c r="W5510" i="6" s="1"/>
  <c r="X5510" i="6"/>
  <c r="M5510" i="6"/>
  <c r="I5510" i="6"/>
  <c r="F1855" i="17"/>
  <c r="X5509" i="6"/>
  <c r="Q5509" i="6"/>
  <c r="W5509" i="6"/>
  <c r="M5509" i="6"/>
  <c r="I5509" i="6"/>
  <c r="F1854" i="17"/>
  <c r="Q5508" i="6"/>
  <c r="W5508" i="6"/>
  <c r="X5508" i="6"/>
  <c r="I5508" i="6"/>
  <c r="M5508" i="6"/>
  <c r="F1853" i="17"/>
  <c r="X5507" i="6"/>
  <c r="M5507" i="6"/>
  <c r="I5507" i="6"/>
  <c r="F1852" i="17"/>
  <c r="Q5507" i="6"/>
  <c r="W5507" i="6" s="1"/>
  <c r="Q5502" i="6"/>
  <c r="W5502" i="6" s="1"/>
  <c r="Q5503" i="6"/>
  <c r="W5503" i="6"/>
  <c r="Q5504" i="6"/>
  <c r="W5504" i="6" s="1"/>
  <c r="Q5505" i="6"/>
  <c r="W5505" i="6" s="1"/>
  <c r="Q5506" i="6"/>
  <c r="W5506" i="6" s="1"/>
  <c r="M5506" i="6"/>
  <c r="X5506" i="6"/>
  <c r="I5506" i="6"/>
  <c r="F1851" i="17"/>
  <c r="M5505" i="6"/>
  <c r="X5505" i="6"/>
  <c r="I5505" i="6"/>
  <c r="F1850" i="17"/>
  <c r="M5504" i="6"/>
  <c r="X5504" i="6"/>
  <c r="I5504" i="6"/>
  <c r="F1849" i="17"/>
  <c r="M5503" i="6"/>
  <c r="X5503" i="6"/>
  <c r="I5503" i="6"/>
  <c r="F1848" i="17"/>
  <c r="M5502" i="6"/>
  <c r="X5502" i="6"/>
  <c r="I5502" i="6"/>
  <c r="F1847" i="17"/>
  <c r="N5227" i="6"/>
  <c r="X5501" i="6"/>
  <c r="X5499" i="6"/>
  <c r="Q5501" i="6"/>
  <c r="W5501" i="6" s="1"/>
  <c r="M5501" i="6"/>
  <c r="I5501" i="6"/>
  <c r="F1846" i="17"/>
  <c r="G1585" i="17"/>
  <c r="O5499" i="6"/>
  <c r="N5499" i="6"/>
  <c r="V5500" i="6"/>
  <c r="Q5499" i="6"/>
  <c r="W5499" i="6" s="1"/>
  <c r="M5499" i="6"/>
  <c r="I5499" i="6"/>
  <c r="F1845" i="17"/>
  <c r="G1845" i="17"/>
  <c r="H1845" i="17"/>
  <c r="Q5498" i="6"/>
  <c r="W5498" i="6" s="1"/>
  <c r="X5498" i="6"/>
  <c r="M5498" i="6"/>
  <c r="I5498" i="6"/>
  <c r="F1844" i="17"/>
  <c r="Q5497" i="6"/>
  <c r="W5497" i="6" s="1"/>
  <c r="I5497" i="6"/>
  <c r="X5497" i="6"/>
  <c r="M5497" i="6"/>
  <c r="F1843" i="17"/>
  <c r="Q5496" i="6"/>
  <c r="W5496" i="6" s="1"/>
  <c r="X5496" i="6"/>
  <c r="M5496" i="6"/>
  <c r="I5496" i="6"/>
  <c r="F1842" i="17"/>
  <c r="Q5495" i="6"/>
  <c r="W5495" i="6" s="1"/>
  <c r="X5495" i="6"/>
  <c r="M5495" i="6"/>
  <c r="I5495" i="6"/>
  <c r="F1841" i="17"/>
  <c r="F1840" i="17"/>
  <c r="I5494" i="6"/>
  <c r="Q5494" i="6"/>
  <c r="W5494" i="6" s="1"/>
  <c r="X5494" i="6"/>
  <c r="M5494" i="6"/>
  <c r="Q5493" i="6"/>
  <c r="W5493" i="6" s="1"/>
  <c r="X5493" i="6"/>
  <c r="M5493" i="6"/>
  <c r="I5493" i="6"/>
  <c r="F1839" i="17"/>
  <c r="Q5492" i="6"/>
  <c r="W5492" i="6" s="1"/>
  <c r="X5492" i="6"/>
  <c r="M5492" i="6"/>
  <c r="I5492" i="6"/>
  <c r="F1838" i="17"/>
  <c r="Q5491" i="6"/>
  <c r="W5491" i="6" s="1"/>
  <c r="X5491" i="6"/>
  <c r="M5491" i="6"/>
  <c r="I5491" i="6"/>
  <c r="F1837" i="17"/>
  <c r="Q5490" i="6"/>
  <c r="W5490" i="6" s="1"/>
  <c r="X5490" i="6"/>
  <c r="M5490" i="6"/>
  <c r="I5490" i="6"/>
  <c r="F1836" i="17"/>
  <c r="Q5489" i="6"/>
  <c r="W5489" i="6" s="1"/>
  <c r="X5489" i="6"/>
  <c r="M5489" i="6"/>
  <c r="I5489" i="6"/>
  <c r="F1835" i="17"/>
  <c r="Q5488" i="6"/>
  <c r="W5488" i="6" s="1"/>
  <c r="X5488" i="6"/>
  <c r="M5488" i="6"/>
  <c r="I5488" i="6"/>
  <c r="F1834" i="17"/>
  <c r="Q5487" i="6"/>
  <c r="W5487" i="6" s="1"/>
  <c r="X5487" i="6"/>
  <c r="M5487" i="6"/>
  <c r="I5487" i="6"/>
  <c r="F1833" i="17"/>
  <c r="Q5486" i="6"/>
  <c r="W5486" i="6" s="1"/>
  <c r="X5486" i="6"/>
  <c r="M5486" i="6"/>
  <c r="I5486" i="6"/>
  <c r="F1832" i="17"/>
  <c r="X5485" i="6"/>
  <c r="Q5485" i="6"/>
  <c r="W5485" i="6"/>
  <c r="M5485" i="6"/>
  <c r="I5485" i="6"/>
  <c r="F1831" i="17"/>
  <c r="Q5484" i="6"/>
  <c r="W5484" i="6"/>
  <c r="X5484" i="6"/>
  <c r="M5484" i="6"/>
  <c r="I5484" i="6"/>
  <c r="F1830" i="17"/>
  <c r="Q5483" i="6"/>
  <c r="W5483" i="6" s="1"/>
  <c r="X5483" i="6"/>
  <c r="M5483" i="6"/>
  <c r="I5483" i="6"/>
  <c r="F1829" i="17"/>
  <c r="Q5482" i="6"/>
  <c r="W5482" i="6" s="1"/>
  <c r="X5482" i="6"/>
  <c r="M5482" i="6"/>
  <c r="I5482" i="6"/>
  <c r="F1828" i="17"/>
  <c r="Q5481" i="6"/>
  <c r="W5481" i="6" s="1"/>
  <c r="X5481" i="6"/>
  <c r="M5481" i="6"/>
  <c r="I5481" i="6"/>
  <c r="F1827" i="17"/>
  <c r="X5480" i="6"/>
  <c r="Q5480" i="6"/>
  <c r="W5480" i="6" s="1"/>
  <c r="M5480" i="6"/>
  <c r="I5480" i="6"/>
  <c r="F1826" i="17"/>
  <c r="X5479" i="6"/>
  <c r="Q5479" i="6"/>
  <c r="W5479" i="6" s="1"/>
  <c r="M5479" i="6"/>
  <c r="I5479" i="6"/>
  <c r="F1825" i="17"/>
  <c r="X5478" i="6"/>
  <c r="Q5478" i="6"/>
  <c r="W5478" i="6" s="1"/>
  <c r="M5478" i="6"/>
  <c r="I5478" i="6"/>
  <c r="H1823" i="17"/>
  <c r="F1824" i="17"/>
  <c r="V5477" i="6"/>
  <c r="Q5476" i="6"/>
  <c r="N5476" i="6"/>
  <c r="F1823" i="17"/>
  <c r="G1823"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1" i="17"/>
  <c r="F1822" i="17"/>
  <c r="I5475" i="6"/>
  <c r="X5474" i="6"/>
  <c r="Q5474" i="6"/>
  <c r="W5474" i="6" s="1"/>
  <c r="M5474" i="6"/>
  <c r="I5474" i="6"/>
  <c r="Q5473" i="6"/>
  <c r="W5473" i="6" s="1"/>
  <c r="Q5472" i="6"/>
  <c r="W5472" i="6"/>
  <c r="M5471" i="6"/>
  <c r="I5471" i="6"/>
  <c r="F1818" i="17"/>
  <c r="Q5470" i="6"/>
  <c r="W5470" i="6" s="1"/>
  <c r="M5470" i="6"/>
  <c r="I5470" i="6"/>
  <c r="F1817" i="17"/>
  <c r="Q5469" i="6"/>
  <c r="W5469" i="6" s="1"/>
  <c r="X5469" i="6"/>
  <c r="M5469" i="6"/>
  <c r="I5469" i="6"/>
  <c r="F1816" i="17"/>
  <c r="Q5468" i="6"/>
  <c r="W5468" i="6" s="1"/>
  <c r="X5468" i="6"/>
  <c r="M5468" i="6"/>
  <c r="I5468" i="6"/>
  <c r="F1815" i="17"/>
  <c r="Q5467" i="6"/>
  <c r="W5467" i="6" s="1"/>
  <c r="X5467" i="6"/>
  <c r="M5467" i="6"/>
  <c r="I5467" i="6"/>
  <c r="F1814" i="17"/>
  <c r="Q5466" i="6"/>
  <c r="W5466" i="6" s="1"/>
  <c r="X5466" i="6"/>
  <c r="M5466" i="6"/>
  <c r="I5466" i="6"/>
  <c r="F1813" i="17"/>
  <c r="F1812" i="17"/>
  <c r="Q5465" i="6"/>
  <c r="W5465" i="6" s="1"/>
  <c r="X5465" i="6"/>
  <c r="M5465" i="6"/>
  <c r="I5465" i="6"/>
  <c r="Q5464" i="6"/>
  <c r="W5464" i="6" s="1"/>
  <c r="X5464" i="6"/>
  <c r="M5464" i="6"/>
  <c r="I5464" i="6"/>
  <c r="F1811" i="17"/>
  <c r="Q5463" i="6"/>
  <c r="W5463" i="6" s="1"/>
  <c r="X5463" i="6"/>
  <c r="M5463" i="6"/>
  <c r="I5463" i="6"/>
  <c r="F1810" i="17"/>
  <c r="Q5462" i="6"/>
  <c r="W5462" i="6" s="1"/>
  <c r="X5462" i="6"/>
  <c r="M5462" i="6"/>
  <c r="I5462" i="6"/>
  <c r="F1809" i="17"/>
  <c r="Q5461" i="6"/>
  <c r="W5461" i="6" s="1"/>
  <c r="X5461" i="6"/>
  <c r="M5461" i="6"/>
  <c r="I5461" i="6"/>
  <c r="F1808" i="17"/>
  <c r="Q5460" i="6"/>
  <c r="W5460" i="6" s="1"/>
  <c r="X5460" i="6"/>
  <c r="M5460" i="6"/>
  <c r="I5460" i="6"/>
  <c r="F1807" i="17"/>
  <c r="Q5459" i="6"/>
  <c r="W5459" i="6" s="1"/>
  <c r="X5459" i="6"/>
  <c r="M5459" i="6"/>
  <c r="I5459" i="6"/>
  <c r="F1806" i="17"/>
  <c r="Q5458" i="6"/>
  <c r="W5458" i="6" s="1"/>
  <c r="X5458" i="6"/>
  <c r="M5458" i="6"/>
  <c r="I5458" i="6"/>
  <c r="F1805" i="17"/>
  <c r="Q5457" i="6"/>
  <c r="W5457" i="6" s="1"/>
  <c r="X5457" i="6"/>
  <c r="M5457" i="6"/>
  <c r="I5457" i="6"/>
  <c r="F1804" i="17"/>
  <c r="X5456" i="6"/>
  <c r="Q5456" i="6"/>
  <c r="W5456" i="6" s="1"/>
  <c r="M5456" i="6"/>
  <c r="I5456" i="6"/>
  <c r="G1542" i="17"/>
  <c r="F1803" i="17"/>
  <c r="V5455" i="6"/>
  <c r="Q5454" i="6"/>
  <c r="W5454" i="6" s="1"/>
  <c r="X5454" i="6"/>
  <c r="N5454" i="6"/>
  <c r="O5454" i="6"/>
  <c r="M5454" i="6"/>
  <c r="I5454" i="6"/>
  <c r="F1802" i="17"/>
  <c r="G1802" i="17"/>
  <c r="H1802" i="17"/>
  <c r="Q5453" i="6"/>
  <c r="W5453" i="6" s="1"/>
  <c r="X5453" i="6"/>
  <c r="M5453" i="6"/>
  <c r="I5453" i="6"/>
  <c r="F1801" i="17"/>
  <c r="Q5452" i="6"/>
  <c r="W5452" i="6" s="1"/>
  <c r="X5452" i="6"/>
  <c r="M5452" i="6"/>
  <c r="I5452" i="6"/>
  <c r="F1800" i="17"/>
  <c r="Q5451" i="6"/>
  <c r="W5451" i="6"/>
  <c r="X5451" i="6"/>
  <c r="M5451" i="6"/>
  <c r="I5451" i="6"/>
  <c r="F1799" i="17"/>
  <c r="Q5450" i="6"/>
  <c r="W5450" i="6" s="1"/>
  <c r="X5450" i="6"/>
  <c r="M5450" i="6"/>
  <c r="I5450" i="6"/>
  <c r="F1798" i="17"/>
  <c r="F1797" i="17"/>
  <c r="I5449" i="6"/>
  <c r="Q5449" i="6"/>
  <c r="W5449" i="6" s="1"/>
  <c r="X5449" i="6"/>
  <c r="M5449" i="6"/>
  <c r="Q5448" i="6"/>
  <c r="W5448" i="6"/>
  <c r="X5448" i="6"/>
  <c r="M5448" i="6"/>
  <c r="I5448" i="6"/>
  <c r="F1796" i="17"/>
  <c r="Q5447" i="6"/>
  <c r="W5447" i="6" s="1"/>
  <c r="X5447" i="6"/>
  <c r="M5447" i="6"/>
  <c r="I5447" i="6"/>
  <c r="F1795" i="17"/>
  <c r="Q5446" i="6"/>
  <c r="W5446" i="6" s="1"/>
  <c r="X5446" i="6"/>
  <c r="M5446" i="6"/>
  <c r="I5446" i="6"/>
  <c r="F1794" i="17"/>
  <c r="Q5445" i="6"/>
  <c r="W5445" i="6" s="1"/>
  <c r="X5445" i="6"/>
  <c r="M5445" i="6"/>
  <c r="I5445" i="6"/>
  <c r="F1793" i="17"/>
  <c r="Q5444" i="6"/>
  <c r="W5444" i="6" s="1"/>
  <c r="X5444" i="6"/>
  <c r="M5444" i="6"/>
  <c r="I5444" i="6"/>
  <c r="F1792" i="17"/>
  <c r="Q5443" i="6"/>
  <c r="W5443" i="6" s="1"/>
  <c r="X5443" i="6"/>
  <c r="M5443" i="6"/>
  <c r="I5443" i="6"/>
  <c r="F1791" i="17"/>
  <c r="Q5442" i="6"/>
  <c r="W5442" i="6" s="1"/>
  <c r="X5442" i="6"/>
  <c r="M5442" i="6"/>
  <c r="I5442" i="6"/>
  <c r="F1790" i="17"/>
  <c r="Q5441" i="6"/>
  <c r="W5441" i="6" s="1"/>
  <c r="X5441" i="6"/>
  <c r="I5441" i="6"/>
  <c r="M5441" i="6"/>
  <c r="F1789" i="17"/>
  <c r="Q5440" i="6"/>
  <c r="W5440" i="6" s="1"/>
  <c r="X5440" i="6"/>
  <c r="M5440" i="6"/>
  <c r="I5440" i="6"/>
  <c r="F1788" i="17"/>
  <c r="Q5439" i="6"/>
  <c r="W5439" i="6" s="1"/>
  <c r="X5439" i="6"/>
  <c r="M5439" i="6"/>
  <c r="I5439" i="6"/>
  <c r="F1787" i="17"/>
  <c r="Q5438" i="6"/>
  <c r="W5438" i="6" s="1"/>
  <c r="X5438" i="6"/>
  <c r="M5438" i="6"/>
  <c r="I5438" i="6"/>
  <c r="F1786" i="17"/>
  <c r="Q5437" i="6"/>
  <c r="W5437" i="6" s="1"/>
  <c r="X5437" i="6"/>
  <c r="M5437" i="6"/>
  <c r="I5437" i="6"/>
  <c r="F1785" i="17"/>
  <c r="Q5436" i="6"/>
  <c r="W5436" i="6" s="1"/>
  <c r="X5436" i="6"/>
  <c r="X5455" i="6" s="1"/>
  <c r="M5436" i="6"/>
  <c r="I5436" i="6"/>
  <c r="F1784" i="17"/>
  <c r="Q5435" i="6"/>
  <c r="W5435" i="6" s="1"/>
  <c r="X5435" i="6"/>
  <c r="M5435" i="6"/>
  <c r="I5435" i="6"/>
  <c r="F1783" i="17"/>
  <c r="Q5434" i="6"/>
  <c r="W5434" i="6" s="1"/>
  <c r="X5434" i="6"/>
  <c r="M5434" i="6"/>
  <c r="I5434" i="6"/>
  <c r="F1782" i="17"/>
  <c r="G1780" i="17"/>
  <c r="X5433" i="6"/>
  <c r="X5431" i="6"/>
  <c r="Q5433" i="6"/>
  <c r="W5433" i="6" s="1"/>
  <c r="M5433" i="6"/>
  <c r="M5431" i="6"/>
  <c r="I5433" i="6"/>
  <c r="F1781" i="17"/>
  <c r="Q5431" i="6"/>
  <c r="W5431" i="6" s="1"/>
  <c r="N5431" i="6"/>
  <c r="O5431" i="6"/>
  <c r="I5431" i="6"/>
  <c r="V5432" i="6"/>
  <c r="F1780" i="17"/>
  <c r="H1780" i="17"/>
  <c r="Q5430" i="6"/>
  <c r="W5430" i="6" s="1"/>
  <c r="X5430" i="6"/>
  <c r="M5430" i="6"/>
  <c r="I5430" i="6"/>
  <c r="F1779" i="17"/>
  <c r="Q5429" i="6"/>
  <c r="W5429" i="6" s="1"/>
  <c r="X5429" i="6"/>
  <c r="M5429" i="6"/>
  <c r="I5429" i="6"/>
  <c r="F1778" i="17"/>
  <c r="Q5428" i="6"/>
  <c r="W5428" i="6" s="1"/>
  <c r="X5428" i="6"/>
  <c r="M5428" i="6"/>
  <c r="I5428" i="6"/>
  <c r="F1777" i="17"/>
  <c r="F1776" i="17"/>
  <c r="I5427" i="6"/>
  <c r="M5427" i="6"/>
  <c r="X5427" i="6"/>
  <c r="Q5427" i="6"/>
  <c r="W5427" i="6" s="1"/>
  <c r="Q5426" i="6"/>
  <c r="W5426" i="6" s="1"/>
  <c r="X5426" i="6"/>
  <c r="F1775" i="17"/>
  <c r="I5426" i="6"/>
  <c r="M5426" i="6"/>
  <c r="Q5425" i="6"/>
  <c r="W5425" i="6" s="1"/>
  <c r="F1774" i="17"/>
  <c r="X5425" i="6"/>
  <c r="I5425" i="6"/>
  <c r="M5425" i="6"/>
  <c r="I5424" i="6"/>
  <c r="Q5424" i="6"/>
  <c r="W5424" i="6" s="1"/>
  <c r="Q5423" i="6"/>
  <c r="W5423" i="6" s="1"/>
  <c r="F1773" i="17"/>
  <c r="X5424" i="6"/>
  <c r="M5424" i="6"/>
  <c r="X5423" i="6"/>
  <c r="M5423" i="6"/>
  <c r="I5423" i="6"/>
  <c r="F1772" i="17"/>
  <c r="Q5422" i="6"/>
  <c r="W5422" i="6" s="1"/>
  <c r="X5422" i="6"/>
  <c r="M5422" i="6"/>
  <c r="I5422" i="6"/>
  <c r="F1771" i="17"/>
  <c r="I5421" i="6"/>
  <c r="Q5421" i="6"/>
  <c r="W5421" i="6" s="1"/>
  <c r="X5421" i="6"/>
  <c r="M5421" i="6"/>
  <c r="F1770" i="17"/>
  <c r="Q5420" i="6"/>
  <c r="W5420" i="6" s="1"/>
  <c r="X5420" i="6"/>
  <c r="M5420" i="6"/>
  <c r="I5420" i="6"/>
  <c r="F1769" i="17"/>
  <c r="I5419" i="6"/>
  <c r="M5419" i="6"/>
  <c r="X5419" i="6"/>
  <c r="Q5419" i="6"/>
  <c r="W5419" i="6" s="1"/>
  <c r="F1768" i="17"/>
  <c r="Q5418" i="6"/>
  <c r="W5418" i="6" s="1"/>
  <c r="X5418" i="6"/>
  <c r="M5418" i="6"/>
  <c r="I5418" i="6"/>
  <c r="F1767" i="17"/>
  <c r="I5417" i="6"/>
  <c r="X5417" i="6"/>
  <c r="Q5417" i="6"/>
  <c r="W5417" i="6"/>
  <c r="M5417" i="6"/>
  <c r="F1766" i="17"/>
  <c r="Q5416" i="6"/>
  <c r="W5416" i="6" s="1"/>
  <c r="X5416" i="6"/>
  <c r="M5416" i="6"/>
  <c r="I5416" i="6"/>
  <c r="F1765" i="17"/>
  <c r="M5415" i="6"/>
  <c r="I5415" i="6"/>
  <c r="X5415" i="6"/>
  <c r="Q5415" i="6"/>
  <c r="W5415" i="6" s="1"/>
  <c r="M5414" i="6"/>
  <c r="X5414" i="6"/>
  <c r="I5414" i="6"/>
  <c r="F1764" i="17"/>
  <c r="F1763" i="17"/>
  <c r="Q5413" i="6"/>
  <c r="I5413" i="6"/>
  <c r="M5413" i="6"/>
  <c r="X5413" i="6"/>
  <c r="F1762" i="17"/>
  <c r="Q5412" i="6"/>
  <c r="W5412" i="6" s="1"/>
  <c r="M5412" i="6"/>
  <c r="X5412" i="6"/>
  <c r="I5412" i="6"/>
  <c r="G1757" i="17"/>
  <c r="F1761" i="17"/>
  <c r="F1760" i="17"/>
  <c r="Q5411" i="6"/>
  <c r="W5411" i="6" s="1"/>
  <c r="M5411" i="6"/>
  <c r="I5411" i="6"/>
  <c r="X5411" i="6"/>
  <c r="W5410" i="6"/>
  <c r="M5410" i="6"/>
  <c r="X5410" i="6"/>
  <c r="I5410" i="6"/>
  <c r="N5136" i="6"/>
  <c r="O5407" i="6"/>
  <c r="H1757" i="17"/>
  <c r="F1759" i="17"/>
  <c r="G1498" i="17"/>
  <c r="Q5409" i="6"/>
  <c r="W5409" i="6"/>
  <c r="X5409" i="6"/>
  <c r="I5407" i="6"/>
  <c r="I5409" i="6"/>
  <c r="M5409" i="6"/>
  <c r="M5407" i="6"/>
  <c r="F1758" i="17"/>
  <c r="F1757" i="17"/>
  <c r="V5408" i="6"/>
  <c r="X5407" i="6"/>
  <c r="Q5407" i="6"/>
  <c r="W5407" i="6" s="1"/>
  <c r="X5406" i="6"/>
  <c r="Q5406" i="6"/>
  <c r="W5406" i="6" s="1"/>
  <c r="M5406" i="6"/>
  <c r="I5406" i="6"/>
  <c r="F1756" i="17"/>
  <c r="M5405" i="6"/>
  <c r="I5405" i="6"/>
  <c r="M5404" i="6"/>
  <c r="I5404" i="6"/>
  <c r="Q5402" i="6"/>
  <c r="Q5403" i="6"/>
  <c r="Q5404" i="6"/>
  <c r="M5403" i="6"/>
  <c r="I5403" i="6"/>
  <c r="M5402" i="6"/>
  <c r="I5402" i="6"/>
  <c r="X5405" i="6"/>
  <c r="Q5405" i="6"/>
  <c r="W5405" i="6" s="1"/>
  <c r="F1755" i="17"/>
  <c r="F1754" i="17"/>
  <c r="F1753" i="17"/>
  <c r="F1752" i="17"/>
  <c r="Q5401" i="6"/>
  <c r="W5401" i="6" s="1"/>
  <c r="X5401" i="6"/>
  <c r="M5401" i="6"/>
  <c r="I5401" i="6"/>
  <c r="F1751" i="17"/>
  <c r="M5400" i="6"/>
  <c r="X5400" i="6"/>
  <c r="I5400" i="6"/>
  <c r="Q5400" i="6"/>
  <c r="W5400" i="6" s="1"/>
  <c r="F1750" i="17"/>
  <c r="F1749" i="17"/>
  <c r="Q5399" i="6"/>
  <c r="W5399" i="6" s="1"/>
  <c r="X5399" i="6"/>
  <c r="M5399" i="6"/>
  <c r="I5399" i="6"/>
  <c r="F1748" i="17"/>
  <c r="Q5398" i="6"/>
  <c r="W5398" i="6" s="1"/>
  <c r="X5398" i="6"/>
  <c r="M5398" i="6"/>
  <c r="I5398" i="6"/>
  <c r="F1747" i="17"/>
  <c r="Q5397" i="6"/>
  <c r="W5397" i="6" s="1"/>
  <c r="X5397" i="6"/>
  <c r="M5397" i="6"/>
  <c r="I5397" i="6"/>
  <c r="M5396" i="6"/>
  <c r="I5396" i="6"/>
  <c r="X5396" i="6"/>
  <c r="Q5396" i="6"/>
  <c r="W5396" i="6"/>
  <c r="Q5395" i="6"/>
  <c r="M5395" i="6"/>
  <c r="I5395" i="6"/>
  <c r="F1746" i="17"/>
  <c r="F1745" i="17"/>
  <c r="Q5394" i="6"/>
  <c r="W5394" i="6" s="1"/>
  <c r="X5394" i="6"/>
  <c r="M5394" i="6"/>
  <c r="I5394" i="6"/>
  <c r="F1744" i="17"/>
  <c r="F1743" i="17"/>
  <c r="Q5393" i="6"/>
  <c r="W5393" i="6" s="1"/>
  <c r="X5393" i="6"/>
  <c r="M5393" i="6"/>
  <c r="I5393" i="6"/>
  <c r="F1742" i="17"/>
  <c r="Q5392" i="6"/>
  <c r="W5392" i="6" s="1"/>
  <c r="X5392" i="6"/>
  <c r="M5392" i="6"/>
  <c r="I5392" i="6"/>
  <c r="Q5391" i="6"/>
  <c r="W5391" i="6" s="1"/>
  <c r="X5391" i="6"/>
  <c r="F1741" i="17"/>
  <c r="M5391" i="6"/>
  <c r="I5391" i="6"/>
  <c r="Q5390" i="6"/>
  <c r="W5390" i="6" s="1"/>
  <c r="X5390" i="6"/>
  <c r="X5408" i="6" s="1"/>
  <c r="M5390" i="6"/>
  <c r="I5390" i="6"/>
  <c r="F1740" i="17"/>
  <c r="Q5389" i="6"/>
  <c r="W5389" i="6" s="1"/>
  <c r="X5389" i="6"/>
  <c r="M5389" i="6"/>
  <c r="I5389" i="6"/>
  <c r="F1739" i="17"/>
  <c r="X5388" i="6"/>
  <c r="X5386" i="6"/>
  <c r="Q5388" i="6"/>
  <c r="W5388" i="6" s="1"/>
  <c r="M5388" i="6"/>
  <c r="I5388" i="6"/>
  <c r="G1737" i="17"/>
  <c r="F1738" i="17"/>
  <c r="H1477" i="17"/>
  <c r="V5387" i="6"/>
  <c r="V5363" i="6"/>
  <c r="Q5386" i="6"/>
  <c r="W5386" i="6" s="1"/>
  <c r="N5386" i="6"/>
  <c r="O5386" i="6"/>
  <c r="M5386" i="6"/>
  <c r="I5386" i="6"/>
  <c r="F1737" i="17"/>
  <c r="H1737" i="17"/>
  <c r="M5385" i="6"/>
  <c r="I5385" i="6"/>
  <c r="X5385" i="6"/>
  <c r="Q5385" i="6"/>
  <c r="W5385" i="6" s="1"/>
  <c r="F1736" i="17"/>
  <c r="F1735" i="17"/>
  <c r="X5384" i="6"/>
  <c r="Q5384" i="6"/>
  <c r="W5384" i="6" s="1"/>
  <c r="M5384" i="6"/>
  <c r="I5384" i="6"/>
  <c r="X5383" i="6"/>
  <c r="Q5383" i="6"/>
  <c r="W5383" i="6" s="1"/>
  <c r="M5383" i="6"/>
  <c r="M5381" i="6"/>
  <c r="I5383" i="6"/>
  <c r="I5381" i="6"/>
  <c r="F1734" i="17"/>
  <c r="F1732" i="17"/>
  <c r="Q5381" i="6"/>
  <c r="W5381" i="6" s="1"/>
  <c r="X5381" i="6"/>
  <c r="Q5380" i="6"/>
  <c r="W5380" i="6" s="1"/>
  <c r="X5380" i="6"/>
  <c r="M5380" i="6"/>
  <c r="I5380" i="6"/>
  <c r="F1731" i="17"/>
  <c r="Q5379" i="6"/>
  <c r="W5379" i="6" s="1"/>
  <c r="X5379" i="6"/>
  <c r="M5379" i="6"/>
  <c r="I5379" i="6"/>
  <c r="F1730" i="17"/>
  <c r="Q5378" i="6"/>
  <c r="W5378" i="6" s="1"/>
  <c r="X5378" i="6"/>
  <c r="M5378" i="6"/>
  <c r="I5378" i="6"/>
  <c r="F1729" i="17"/>
  <c r="Q5377" i="6"/>
  <c r="W5377" i="6" s="1"/>
  <c r="X5377" i="6"/>
  <c r="M5377" i="6"/>
  <c r="I5377" i="6"/>
  <c r="F1728" i="17"/>
  <c r="Q5376" i="6"/>
  <c r="W5376" i="6" s="1"/>
  <c r="X5376" i="6"/>
  <c r="M5376" i="6"/>
  <c r="I5376" i="6"/>
  <c r="F1727" i="17"/>
  <c r="F1726" i="17"/>
  <c r="I5375" i="6"/>
  <c r="Q5375" i="6"/>
  <c r="W5375" i="6" s="1"/>
  <c r="X5375" i="6"/>
  <c r="M5375" i="6"/>
  <c r="Q5373" i="6"/>
  <c r="W5373" i="6" s="1"/>
  <c r="M5374" i="6"/>
  <c r="X5374" i="6"/>
  <c r="I5374" i="6"/>
  <c r="Q5374" i="6"/>
  <c r="W5374" i="6" s="1"/>
  <c r="F1725" i="17"/>
  <c r="X5373" i="6"/>
  <c r="M5373" i="6"/>
  <c r="I5373" i="6"/>
  <c r="F1724" i="17"/>
  <c r="Q5372" i="6"/>
  <c r="W5372" i="6" s="1"/>
  <c r="X5372" i="6"/>
  <c r="M5372" i="6"/>
  <c r="I5372" i="6"/>
  <c r="F1723" i="17"/>
  <c r="F1722" i="17"/>
  <c r="Q5371" i="6"/>
  <c r="W5371" i="6" s="1"/>
  <c r="X5371" i="6"/>
  <c r="M5371" i="6"/>
  <c r="I5371" i="6"/>
  <c r="F1721" i="17"/>
  <c r="Q5370" i="6"/>
  <c r="W5370" i="6" s="1"/>
  <c r="X5370" i="6"/>
  <c r="M5370" i="6"/>
  <c r="I5370" i="6"/>
  <c r="F1720" i="17"/>
  <c r="Q5369" i="6"/>
  <c r="W5369" i="6"/>
  <c r="X5369" i="6"/>
  <c r="M5369" i="6"/>
  <c r="I5369" i="6"/>
  <c r="F1719" i="17"/>
  <c r="Q5368" i="6"/>
  <c r="W5368" i="6" s="1"/>
  <c r="X5368" i="6"/>
  <c r="M5368" i="6"/>
  <c r="I5368" i="6"/>
  <c r="F1718" i="17"/>
  <c r="Q5367" i="6"/>
  <c r="W5367" i="6" s="1"/>
  <c r="X5367" i="6"/>
  <c r="M5367" i="6"/>
  <c r="M5366" i="6"/>
  <c r="M5365" i="6"/>
  <c r="M5364" i="6"/>
  <c r="I5367" i="6"/>
  <c r="G5366" i="6"/>
  <c r="F1717" i="17"/>
  <c r="Q5366" i="6"/>
  <c r="W5366" i="6" s="1"/>
  <c r="X5366" i="6"/>
  <c r="I5366" i="6"/>
  <c r="F1716" i="17"/>
  <c r="Q5365" i="6"/>
  <c r="W5365" i="6"/>
  <c r="X5365" i="6"/>
  <c r="I5365" i="6"/>
  <c r="F1715" i="17"/>
  <c r="X5364" i="6"/>
  <c r="Q5364" i="6"/>
  <c r="W5364" i="6" s="1"/>
  <c r="I5364" i="6"/>
  <c r="H1714" i="17"/>
  <c r="F1714" i="17"/>
  <c r="Q5362" i="6"/>
  <c r="W5362" i="6" s="1"/>
  <c r="X5362" i="6"/>
  <c r="O5362" i="6"/>
  <c r="N5362" i="6"/>
  <c r="M5362" i="6"/>
  <c r="I5362" i="6"/>
  <c r="F1713" i="17"/>
  <c r="Q5361" i="6"/>
  <c r="W5361" i="6" s="1"/>
  <c r="X5361" i="6"/>
  <c r="M5361" i="6"/>
  <c r="I5361" i="6"/>
  <c r="Q5360" i="6"/>
  <c r="W5360" i="6" s="1"/>
  <c r="X5360" i="6"/>
  <c r="M5360" i="6"/>
  <c r="I5360" i="6"/>
  <c r="F1712" i="17"/>
  <c r="Q5359" i="6"/>
  <c r="W5359" i="6" s="1"/>
  <c r="X5359" i="6"/>
  <c r="M5359" i="6"/>
  <c r="I5359" i="6"/>
  <c r="F1711" i="17"/>
  <c r="Q5358" i="6"/>
  <c r="W5358" i="6" s="1"/>
  <c r="X5358" i="6"/>
  <c r="M5358" i="6"/>
  <c r="I5358" i="6"/>
  <c r="F1710" i="17"/>
  <c r="Q5357" i="6"/>
  <c r="W5357" i="6"/>
  <c r="X5357" i="6"/>
  <c r="M5357" i="6"/>
  <c r="I5357" i="6"/>
  <c r="F1709" i="17"/>
  <c r="Q5356" i="6"/>
  <c r="W5356" i="6" s="1"/>
  <c r="X5356" i="6"/>
  <c r="M5356" i="6"/>
  <c r="I5356" i="6"/>
  <c r="F1708" i="17"/>
  <c r="F1707" i="17"/>
  <c r="Q5355" i="6"/>
  <c r="W5355" i="6" s="1"/>
  <c r="X5355" i="6"/>
  <c r="M5355" i="6"/>
  <c r="I5355" i="6"/>
  <c r="F1706" i="17"/>
  <c r="Q5354" i="6"/>
  <c r="W5354" i="6" s="1"/>
  <c r="X5354" i="6"/>
  <c r="M5354" i="6"/>
  <c r="I5354" i="6"/>
  <c r="F1705" i="17"/>
  <c r="Q5353" i="6"/>
  <c r="W5353" i="6" s="1"/>
  <c r="X5353" i="6"/>
  <c r="M5353" i="6"/>
  <c r="I5353" i="6"/>
  <c r="M5352" i="6"/>
  <c r="X5352" i="6"/>
  <c r="I5352" i="6"/>
  <c r="Q5352" i="6"/>
  <c r="W5352" i="6" s="1"/>
  <c r="F1704" i="17"/>
  <c r="F1703" i="17"/>
  <c r="Q5351" i="6"/>
  <c r="W5351" i="6" s="1"/>
  <c r="X5351" i="6"/>
  <c r="M5351" i="6"/>
  <c r="I5351" i="6"/>
  <c r="F1702" i="17"/>
  <c r="Q5350" i="6"/>
  <c r="W5350" i="6" s="1"/>
  <c r="X5350" i="6"/>
  <c r="M5350" i="6"/>
  <c r="I5350" i="6"/>
  <c r="F1701" i="17"/>
  <c r="Q5349" i="6"/>
  <c r="W5349" i="6" s="1"/>
  <c r="X5349" i="6"/>
  <c r="I5349" i="6"/>
  <c r="M5349" i="6"/>
  <c r="F1700" i="17"/>
  <c r="Q5348" i="6"/>
  <c r="W5348" i="6" s="1"/>
  <c r="X5348" i="6"/>
  <c r="M5348" i="6"/>
  <c r="I5348" i="6"/>
  <c r="G5348" i="6"/>
  <c r="F1699" i="17"/>
  <c r="Q5347" i="6"/>
  <c r="W5347" i="6" s="1"/>
  <c r="X5347" i="6"/>
  <c r="M5347" i="6"/>
  <c r="I5347" i="6"/>
  <c r="F1698" i="17"/>
  <c r="Q5346" i="6"/>
  <c r="W5346" i="6"/>
  <c r="X5346" i="6"/>
  <c r="M5346" i="6"/>
  <c r="I5346" i="6"/>
  <c r="F1697" i="17"/>
  <c r="Q5345" i="6"/>
  <c r="W5345" i="6" s="1"/>
  <c r="X5345" i="6"/>
  <c r="M5345" i="6"/>
  <c r="I5345" i="6"/>
  <c r="F1696" i="17"/>
  <c r="Q5344" i="6"/>
  <c r="W5344" i="6" s="1"/>
  <c r="X5344" i="6"/>
  <c r="M5344" i="6"/>
  <c r="I5344" i="6"/>
  <c r="F1695" i="17"/>
  <c r="Q5343" i="6"/>
  <c r="W5343" i="6" s="1"/>
  <c r="X5343" i="6"/>
  <c r="M5343" i="6"/>
  <c r="I5343" i="6"/>
  <c r="F1694" i="17"/>
  <c r="Q5342" i="6"/>
  <c r="W5342" i="6" s="1"/>
  <c r="X5342" i="6"/>
  <c r="M5342" i="6"/>
  <c r="I5342" i="6"/>
  <c r="G1692" i="17"/>
  <c r="F1693" i="17"/>
  <c r="Q5341" i="6"/>
  <c r="W5341" i="6" s="1"/>
  <c r="X5341" i="6"/>
  <c r="X5339" i="6"/>
  <c r="O5339" i="6"/>
  <c r="N5339" i="6"/>
  <c r="M5341" i="6"/>
  <c r="M5339" i="6"/>
  <c r="I5341" i="6"/>
  <c r="V5340" i="6"/>
  <c r="V5318" i="6"/>
  <c r="F1692" i="17"/>
  <c r="H1692" i="17"/>
  <c r="Q5339" i="6"/>
  <c r="W5339" i="6" s="1"/>
  <c r="I5339" i="6"/>
  <c r="F1691" i="17"/>
  <c r="Q5338" i="6"/>
  <c r="W5338" i="6" s="1"/>
  <c r="X5338" i="6"/>
  <c r="I5338" i="6"/>
  <c r="M5338" i="6"/>
  <c r="F1690" i="17"/>
  <c r="Q5337" i="6"/>
  <c r="W5337" i="6"/>
  <c r="X5337" i="6"/>
  <c r="M5337" i="6"/>
  <c r="E5337" i="6"/>
  <c r="I5337" i="6" s="1"/>
  <c r="Q5336" i="6"/>
  <c r="W5336" i="6" s="1"/>
  <c r="F1689" i="17"/>
  <c r="X5336" i="6"/>
  <c r="Q5334" i="6"/>
  <c r="W5334" i="6" s="1"/>
  <c r="Q5335" i="6"/>
  <c r="W5335" i="6" s="1"/>
  <c r="M5336" i="6"/>
  <c r="I5336" i="6"/>
  <c r="F1688" i="17"/>
  <c r="X5335" i="6"/>
  <c r="M5335" i="6"/>
  <c r="I5335" i="6"/>
  <c r="F1687" i="17"/>
  <c r="X5334" i="6"/>
  <c r="M5334" i="6"/>
  <c r="I5334" i="6"/>
  <c r="F1686" i="17"/>
  <c r="Q5333" i="6"/>
  <c r="W5333" i="6" s="1"/>
  <c r="X5333" i="6"/>
  <c r="M5333" i="6"/>
  <c r="I5333" i="6"/>
  <c r="F1685" i="17"/>
  <c r="Q5332" i="6"/>
  <c r="W5332" i="6" s="1"/>
  <c r="X5332" i="6"/>
  <c r="M5332" i="6"/>
  <c r="I5332" i="6"/>
  <c r="F1684" i="17"/>
  <c r="Q5331" i="6"/>
  <c r="W5331" i="6" s="1"/>
  <c r="X5331" i="6"/>
  <c r="M5331" i="6"/>
  <c r="I5331" i="6"/>
  <c r="F1683" i="17"/>
  <c r="Q5330" i="6"/>
  <c r="W5330" i="6" s="1"/>
  <c r="M5330" i="6"/>
  <c r="X5330" i="6"/>
  <c r="I5330" i="6"/>
  <c r="F1682" i="17"/>
  <c r="Q5329" i="6"/>
  <c r="W5329" i="6"/>
  <c r="X5329" i="6"/>
  <c r="M5329" i="6"/>
  <c r="I5329" i="6"/>
  <c r="F1681" i="17"/>
  <c r="Q5328" i="6"/>
  <c r="W5328" i="6" s="1"/>
  <c r="X5328" i="6"/>
  <c r="M5328" i="6"/>
  <c r="I5328" i="6"/>
  <c r="F1680" i="17"/>
  <c r="M5327" i="6"/>
  <c r="I5327" i="6"/>
  <c r="F1679" i="17"/>
  <c r="Q5327" i="6"/>
  <c r="W5327" i="6" s="1"/>
  <c r="X5327" i="6"/>
  <c r="X5326" i="6"/>
  <c r="W5326" i="6"/>
  <c r="M5326" i="6"/>
  <c r="I5326" i="6"/>
  <c r="F1678" i="17"/>
  <c r="Q5325" i="6"/>
  <c r="W5325" i="6" s="1"/>
  <c r="X5325" i="6"/>
  <c r="M5325" i="6"/>
  <c r="I5325" i="6"/>
  <c r="F1677" i="17"/>
  <c r="Q5324" i="6"/>
  <c r="W5324" i="6" s="1"/>
  <c r="X5324" i="6"/>
  <c r="M5324" i="6"/>
  <c r="I5324" i="6"/>
  <c r="F1676" i="17"/>
  <c r="Q5323" i="6"/>
  <c r="W5323" i="6"/>
  <c r="X5323" i="6"/>
  <c r="M5323" i="6"/>
  <c r="I5323" i="6"/>
  <c r="F1675" i="17"/>
  <c r="Q5322" i="6"/>
  <c r="W5322" i="6" s="1"/>
  <c r="M5322" i="6"/>
  <c r="I5322" i="6"/>
  <c r="F1674" i="17"/>
  <c r="X5322" i="6"/>
  <c r="M5321" i="6"/>
  <c r="I5321" i="6"/>
  <c r="F1673" i="17"/>
  <c r="Q5320" i="6"/>
  <c r="W5320" i="6" s="1"/>
  <c r="X5320" i="6"/>
  <c r="M5320" i="6"/>
  <c r="I5320" i="6"/>
  <c r="X5319" i="6"/>
  <c r="H1671" i="17"/>
  <c r="F1672" i="17"/>
  <c r="Q5319" i="6"/>
  <c r="W5319" i="6" s="1"/>
  <c r="O5317" i="6"/>
  <c r="M5319" i="6"/>
  <c r="I5319" i="6"/>
  <c r="G1671" i="17"/>
  <c r="F1671" i="17"/>
  <c r="Q5317" i="6"/>
  <c r="W5317" i="6" s="1"/>
  <c r="X5317" i="6"/>
  <c r="N5317" i="6"/>
  <c r="M5317" i="6"/>
  <c r="I5317" i="6"/>
  <c r="F1670" i="17"/>
  <c r="Q5316" i="6"/>
  <c r="W5316" i="6"/>
  <c r="X5316" i="6"/>
  <c r="M5316" i="6"/>
  <c r="I5316" i="6"/>
  <c r="X5315" i="6"/>
  <c r="F1669" i="17"/>
  <c r="Q5315" i="6"/>
  <c r="W5315" i="6" s="1"/>
  <c r="M5315" i="6"/>
  <c r="I5315" i="6"/>
  <c r="F1667" i="17"/>
  <c r="Q5313" i="6"/>
  <c r="W5313" i="6" s="1"/>
  <c r="X5313" i="6"/>
  <c r="M5313" i="6"/>
  <c r="I5313" i="6"/>
  <c r="F1666" i="17"/>
  <c r="Q5312" i="6"/>
  <c r="W5312" i="6" s="1"/>
  <c r="X5312" i="6"/>
  <c r="M5312" i="6"/>
  <c r="I5312" i="6"/>
  <c r="X5311" i="6"/>
  <c r="Q5311" i="6"/>
  <c r="W5311" i="6" s="1"/>
  <c r="F1665" i="17"/>
  <c r="I5311" i="6"/>
  <c r="M5311" i="6"/>
  <c r="X5310" i="6"/>
  <c r="X5309" i="6"/>
  <c r="Q5309" i="6"/>
  <c r="W5309" i="6" s="1"/>
  <c r="Q5310" i="6"/>
  <c r="W5310" i="6" s="1"/>
  <c r="I5310" i="6"/>
  <c r="M5310" i="6"/>
  <c r="F1663" i="17"/>
  <c r="F1664" i="17"/>
  <c r="M5309" i="6"/>
  <c r="I5309" i="6"/>
  <c r="F1662" i="17"/>
  <c r="Q5308" i="6"/>
  <c r="W5308" i="6" s="1"/>
  <c r="X5308" i="6"/>
  <c r="M5308" i="6"/>
  <c r="I5308" i="6"/>
  <c r="F1661" i="17"/>
  <c r="Q5307" i="6"/>
  <c r="W5307" i="6" s="1"/>
  <c r="X5307" i="6"/>
  <c r="X5318" i="6" s="1"/>
  <c r="M5307" i="6"/>
  <c r="I5307" i="6"/>
  <c r="F1660" i="17"/>
  <c r="Q5306" i="6"/>
  <c r="W5306" i="6" s="1"/>
  <c r="X5306" i="6"/>
  <c r="M5306" i="6"/>
  <c r="I5306" i="6"/>
  <c r="F1659" i="17"/>
  <c r="Q5305" i="6"/>
  <c r="W5305" i="6" s="1"/>
  <c r="X5305" i="6"/>
  <c r="M5305" i="6"/>
  <c r="I5305" i="6"/>
  <c r="F1658" i="17"/>
  <c r="Q5304" i="6"/>
  <c r="W5304" i="6" s="1"/>
  <c r="X5304" i="6"/>
  <c r="M5304" i="6"/>
  <c r="I5304" i="6"/>
  <c r="F1657" i="17"/>
  <c r="Q5303" i="6"/>
  <c r="W5303" i="6"/>
  <c r="X5303" i="6"/>
  <c r="M5303" i="6"/>
  <c r="I5303" i="6"/>
  <c r="F1656" i="17"/>
  <c r="Q5302" i="6"/>
  <c r="W5302" i="6" s="1"/>
  <c r="X5302" i="6"/>
  <c r="M5302" i="6"/>
  <c r="I5302" i="6"/>
  <c r="F1655" i="17"/>
  <c r="Q5301" i="6"/>
  <c r="W5301" i="6" s="1"/>
  <c r="X5301" i="6"/>
  <c r="M5301" i="6"/>
  <c r="I5301" i="6"/>
  <c r="F1654" i="17"/>
  <c r="Q5300" i="6"/>
  <c r="W5300" i="6" s="1"/>
  <c r="X5300" i="6"/>
  <c r="M5300" i="6"/>
  <c r="I5300" i="6"/>
  <c r="Q5298" i="6"/>
  <c r="W5298" i="6" s="1"/>
  <c r="F1652" i="17"/>
  <c r="X5298" i="6"/>
  <c r="M5298" i="6"/>
  <c r="M5297" i="6"/>
  <c r="M5296" i="6"/>
  <c r="M5295" i="6"/>
  <c r="I5298" i="6"/>
  <c r="F1651" i="17"/>
  <c r="Q5297" i="6"/>
  <c r="W5297" i="6" s="1"/>
  <c r="X5297" i="6"/>
  <c r="I5297" i="6"/>
  <c r="F1650" i="17"/>
  <c r="Q5296" i="6"/>
  <c r="W5296" i="6" s="1"/>
  <c r="X5296" i="6"/>
  <c r="I5296" i="6"/>
  <c r="H1648" i="17"/>
  <c r="F1649" i="17"/>
  <c r="I5295" i="6"/>
  <c r="G1648" i="17"/>
  <c r="F1648" i="17"/>
  <c r="V5294" i="6"/>
  <c r="N5293" i="6"/>
  <c r="M5293" i="6"/>
  <c r="I5293" i="6"/>
  <c r="F1647" i="17"/>
  <c r="Q5292" i="6"/>
  <c r="W5292" i="6" s="1"/>
  <c r="X5292" i="6"/>
  <c r="M5292" i="6"/>
  <c r="I5292" i="6"/>
  <c r="F1646" i="17"/>
  <c r="Q5291" i="6"/>
  <c r="W5291" i="6" s="1"/>
  <c r="X5291" i="6"/>
  <c r="M5291" i="6"/>
  <c r="I5291" i="6"/>
  <c r="F1645" i="17"/>
  <c r="Q5290" i="6"/>
  <c r="W5290" i="6" s="1"/>
  <c r="X5290" i="6"/>
  <c r="M5290" i="6"/>
  <c r="I5290" i="6"/>
  <c r="F1644" i="17"/>
  <c r="Q5289" i="6"/>
  <c r="W5289" i="6" s="1"/>
  <c r="X5289" i="6"/>
  <c r="M5289" i="6"/>
  <c r="I5289" i="6"/>
  <c r="F1643" i="17"/>
  <c r="Q5288" i="6"/>
  <c r="W5288" i="6" s="1"/>
  <c r="X5288" i="6"/>
  <c r="M5288" i="6"/>
  <c r="I5288" i="6"/>
  <c r="F1642" i="17"/>
  <c r="Q5287" i="6"/>
  <c r="W5287" i="6" s="1"/>
  <c r="X5287" i="6"/>
  <c r="M5287" i="6"/>
  <c r="I5287" i="6"/>
  <c r="F1641" i="17"/>
  <c r="Q5286" i="6"/>
  <c r="W5286" i="6" s="1"/>
  <c r="X5286" i="6"/>
  <c r="M5286" i="6"/>
  <c r="I5286" i="6"/>
  <c r="F1640" i="17"/>
  <c r="Q5285" i="6"/>
  <c r="W5285" i="6" s="1"/>
  <c r="X5285" i="6"/>
  <c r="M5285" i="6"/>
  <c r="I5285" i="6"/>
  <c r="F1639" i="17"/>
  <c r="Q5284" i="6"/>
  <c r="W5284" i="6" s="1"/>
  <c r="X5284" i="6"/>
  <c r="M5284" i="6"/>
  <c r="I5284" i="6"/>
  <c r="F1638" i="17"/>
  <c r="Q5283" i="6"/>
  <c r="W5283" i="6" s="1"/>
  <c r="X5283" i="6"/>
  <c r="M5283" i="6"/>
  <c r="I5283" i="6"/>
  <c r="F1637" i="17"/>
  <c r="I5282" i="6"/>
  <c r="Q5282" i="6"/>
  <c r="W5282" i="6" s="1"/>
  <c r="X5282" i="6"/>
  <c r="M5282" i="6"/>
  <c r="F1636" i="17"/>
  <c r="Q5281" i="6"/>
  <c r="W5281" i="6" s="1"/>
  <c r="X5281" i="6"/>
  <c r="M5281" i="6"/>
  <c r="I5281" i="6"/>
  <c r="F1635" i="17"/>
  <c r="Q5280" i="6"/>
  <c r="W5280" i="6" s="1"/>
  <c r="X5280" i="6"/>
  <c r="M5280" i="6"/>
  <c r="I5280" i="6"/>
  <c r="F1634" i="17"/>
  <c r="Q5279" i="6"/>
  <c r="W5279" i="6" s="1"/>
  <c r="X5279" i="6"/>
  <c r="M5279" i="6"/>
  <c r="I5279" i="6"/>
  <c r="F1633" i="17"/>
  <c r="Q5278" i="6"/>
  <c r="W5278" i="6"/>
  <c r="X5278" i="6"/>
  <c r="M5278" i="6"/>
  <c r="I5278" i="6"/>
  <c r="Q5277" i="6"/>
  <c r="F1632" i="17"/>
  <c r="M5277" i="6"/>
  <c r="I5277" i="6"/>
  <c r="Q5276" i="6"/>
  <c r="F1631" i="17"/>
  <c r="I5276" i="6"/>
  <c r="M5276" i="6"/>
  <c r="X5275" i="6"/>
  <c r="Q5275" i="6"/>
  <c r="W5275" i="6" s="1"/>
  <c r="F1630" i="17"/>
  <c r="I5275" i="6"/>
  <c r="M5275" i="6"/>
  <c r="H1627" i="17"/>
  <c r="F1629" i="17"/>
  <c r="Q5274" i="6"/>
  <c r="W5274" i="6" s="1"/>
  <c r="M5274" i="6"/>
  <c r="I5274" i="6"/>
  <c r="X5274" i="6"/>
  <c r="V5272" i="6"/>
  <c r="F1626" i="17"/>
  <c r="Q5270" i="6"/>
  <c r="W5270" i="6" s="1"/>
  <c r="X5270" i="6"/>
  <c r="O5271" i="6"/>
  <c r="M5270" i="6"/>
  <c r="I5270" i="6"/>
  <c r="F1625" i="17"/>
  <c r="Q5269" i="6"/>
  <c r="W5269" i="6" s="1"/>
  <c r="X5269" i="6"/>
  <c r="M5269" i="6"/>
  <c r="I5269" i="6"/>
  <c r="F1624" i="17"/>
  <c r="Q5268" i="6"/>
  <c r="W5268" i="6"/>
  <c r="X5268" i="6"/>
  <c r="M5268" i="6"/>
  <c r="I5268" i="6"/>
  <c r="F1623" i="17"/>
  <c r="Q5267" i="6"/>
  <c r="W5267" i="6" s="1"/>
  <c r="X5267" i="6"/>
  <c r="M5267" i="6"/>
  <c r="I5267" i="6"/>
  <c r="F1622" i="17"/>
  <c r="Q5266" i="6"/>
  <c r="W5266" i="6" s="1"/>
  <c r="X5266" i="6"/>
  <c r="M5266" i="6"/>
  <c r="I5266" i="6"/>
  <c r="F1621" i="17"/>
  <c r="Q5265" i="6"/>
  <c r="W5265" i="6" s="1"/>
  <c r="X5265" i="6"/>
  <c r="M5265" i="6"/>
  <c r="I5265" i="6"/>
  <c r="F1620" i="17"/>
  <c r="F1619" i="17"/>
  <c r="Q5264" i="6"/>
  <c r="W5264" i="6" s="1"/>
  <c r="X5264" i="6"/>
  <c r="M5264" i="6"/>
  <c r="I5264" i="6"/>
  <c r="X5263" i="6"/>
  <c r="Q5263" i="6"/>
  <c r="W5263" i="6" s="1"/>
  <c r="M5263" i="6"/>
  <c r="I5263" i="6"/>
  <c r="F1618" i="17"/>
  <c r="Q5262" i="6"/>
  <c r="W5262" i="6" s="1"/>
  <c r="X5262" i="6"/>
  <c r="M5262" i="6"/>
  <c r="I5262" i="6"/>
  <c r="F1617" i="17"/>
  <c r="Q5261" i="6"/>
  <c r="W5261" i="6" s="1"/>
  <c r="X5261" i="6"/>
  <c r="M5261" i="6"/>
  <c r="I5261" i="6"/>
  <c r="Q5260" i="6"/>
  <c r="W5260" i="6" s="1"/>
  <c r="X5260" i="6"/>
  <c r="F1616" i="17"/>
  <c r="I5260" i="6"/>
  <c r="M5260" i="6"/>
  <c r="F1615" i="17"/>
  <c r="Q5259" i="6"/>
  <c r="W5259" i="6"/>
  <c r="X5259" i="6"/>
  <c r="M5259" i="6"/>
  <c r="I5259" i="6"/>
  <c r="Q5258" i="6"/>
  <c r="W5258" i="6" s="1"/>
  <c r="F1614" i="17"/>
  <c r="X5258" i="6"/>
  <c r="M5258" i="6"/>
  <c r="I5258" i="6"/>
  <c r="F1613" i="17"/>
  <c r="Q5257" i="6"/>
  <c r="W5257" i="6" s="1"/>
  <c r="X5257" i="6"/>
  <c r="M5257" i="6"/>
  <c r="I5257" i="6"/>
  <c r="F1612" i="17"/>
  <c r="Q5256" i="6"/>
  <c r="W5256" i="6" s="1"/>
  <c r="X5256" i="6"/>
  <c r="M5256" i="6"/>
  <c r="I5256" i="6"/>
  <c r="F1611" i="17"/>
  <c r="Q5255" i="6"/>
  <c r="W5255" i="6"/>
  <c r="X5255" i="6"/>
  <c r="M5255" i="6"/>
  <c r="I5255" i="6"/>
  <c r="F1610" i="17"/>
  <c r="Q5254" i="6"/>
  <c r="W5254" i="6" s="1"/>
  <c r="X5254" i="6"/>
  <c r="M5254" i="6"/>
  <c r="I5254" i="6"/>
  <c r="F1609" i="17"/>
  <c r="Q5253" i="6"/>
  <c r="W5253" i="6" s="1"/>
  <c r="X5253" i="6"/>
  <c r="M5253" i="6"/>
  <c r="I5253" i="6"/>
  <c r="F1608" i="17"/>
  <c r="Q5252" i="6"/>
  <c r="W5252" i="6" s="1"/>
  <c r="X5252" i="6"/>
  <c r="M5252" i="6"/>
  <c r="I5252" i="6"/>
  <c r="F1607" i="17"/>
  <c r="Q5251" i="6"/>
  <c r="W5251" i="6"/>
  <c r="X5251" i="6"/>
  <c r="M5251" i="6"/>
  <c r="I5251" i="6"/>
  <c r="F1606" i="17"/>
  <c r="I5250" i="6"/>
  <c r="M5250" i="6"/>
  <c r="X5250" i="6"/>
  <c r="Q5250" i="6"/>
  <c r="W5250" i="6" s="1"/>
  <c r="V5249" i="6"/>
  <c r="H1605" i="17"/>
  <c r="F1605" i="17"/>
  <c r="W5248" i="6"/>
  <c r="X5248" i="6"/>
  <c r="O5248" i="6"/>
  <c r="N5248" i="6"/>
  <c r="M5248" i="6"/>
  <c r="I5248" i="6"/>
  <c r="F1604" i="17"/>
  <c r="Q5247" i="6"/>
  <c r="W5247" i="6" s="1"/>
  <c r="M5247" i="6"/>
  <c r="X5247" i="6"/>
  <c r="I5247" i="6"/>
  <c r="F1603" i="17"/>
  <c r="Q5246" i="6"/>
  <c r="W5246" i="6" s="1"/>
  <c r="X5246" i="6"/>
  <c r="M5246" i="6"/>
  <c r="I5246" i="6"/>
  <c r="F1602" i="17"/>
  <c r="Q5245" i="6"/>
  <c r="W5245" i="6" s="1"/>
  <c r="X5245" i="6"/>
  <c r="M5245" i="6"/>
  <c r="I5245" i="6"/>
  <c r="Q5244" i="6"/>
  <c r="W5244" i="6" s="1"/>
  <c r="F1601" i="17"/>
  <c r="X5244" i="6"/>
  <c r="M5244" i="6"/>
  <c r="I5244" i="6"/>
  <c r="F1600" i="17"/>
  <c r="M5243" i="6"/>
  <c r="I5243" i="6"/>
  <c r="F1599" i="17"/>
  <c r="M5242" i="6"/>
  <c r="I5242" i="6"/>
  <c r="F1598" i="17"/>
  <c r="M5241" i="6"/>
  <c r="I5241" i="6"/>
  <c r="Q5238" i="6"/>
  <c r="W5238" i="6" s="1"/>
  <c r="F1597" i="17"/>
  <c r="I5240" i="6"/>
  <c r="M5240" i="6"/>
  <c r="X5238" i="6"/>
  <c r="F1596" i="17"/>
  <c r="I5239" i="6"/>
  <c r="M5239" i="6"/>
  <c r="F1595" i="17"/>
  <c r="I5238" i="6"/>
  <c r="M5238" i="6"/>
  <c r="Q5237" i="6"/>
  <c r="W5237" i="6" s="1"/>
  <c r="X5237" i="6"/>
  <c r="F1594" i="17"/>
  <c r="I5237" i="6"/>
  <c r="M5237" i="6"/>
  <c r="F1593" i="17"/>
  <c r="Q5236" i="6"/>
  <c r="W5236" i="6" s="1"/>
  <c r="X5236" i="6"/>
  <c r="M5236" i="6"/>
  <c r="I5236" i="6"/>
  <c r="F1592" i="17"/>
  <c r="Q5235" i="6"/>
  <c r="W5235" i="6" s="1"/>
  <c r="X5235" i="6"/>
  <c r="M5235" i="6"/>
  <c r="I5235" i="6"/>
  <c r="X5234" i="6"/>
  <c r="Q5234" i="6"/>
  <c r="W5234" i="6" s="1"/>
  <c r="F1591" i="17"/>
  <c r="M5234" i="6"/>
  <c r="I5234" i="6"/>
  <c r="F1590" i="17"/>
  <c r="Q5233" i="6"/>
  <c r="W5233" i="6" s="1"/>
  <c r="X5233" i="6"/>
  <c r="M5233" i="6"/>
  <c r="I5233" i="6"/>
  <c r="F1589" i="17"/>
  <c r="Q5232" i="6"/>
  <c r="W5232" i="6" s="1"/>
  <c r="X5232" i="6"/>
  <c r="M5232" i="6"/>
  <c r="I5232" i="6"/>
  <c r="F1588" i="17"/>
  <c r="Q5231" i="6"/>
  <c r="W5231" i="6" s="1"/>
  <c r="X5231" i="6"/>
  <c r="M5231" i="6"/>
  <c r="I5231" i="6"/>
  <c r="Q5230" i="6"/>
  <c r="W5230" i="6" s="1"/>
  <c r="X5230" i="6"/>
  <c r="F1587" i="17"/>
  <c r="O5227" i="6"/>
  <c r="I5230" i="6"/>
  <c r="M5230" i="6"/>
  <c r="X5229" i="6"/>
  <c r="F1586" i="17"/>
  <c r="Q5229" i="6"/>
  <c r="W5229" i="6" s="1"/>
  <c r="M5229" i="6"/>
  <c r="I5229" i="6"/>
  <c r="H1585" i="17"/>
  <c r="F1585" i="17"/>
  <c r="V5228" i="6"/>
  <c r="Q5227" i="6"/>
  <c r="W5227" i="6" s="1"/>
  <c r="X5227" i="6"/>
  <c r="M5227" i="6"/>
  <c r="I5227" i="6"/>
  <c r="F1584" i="17"/>
  <c r="Q5226" i="6"/>
  <c r="W5226" i="6"/>
  <c r="X5226" i="6"/>
  <c r="M5226" i="6"/>
  <c r="I5226" i="6"/>
  <c r="Q5225" i="6"/>
  <c r="W5225" i="6" s="1"/>
  <c r="F1583" i="17"/>
  <c r="X5225" i="6"/>
  <c r="M5225" i="6"/>
  <c r="I5225" i="6"/>
  <c r="F1582" i="17"/>
  <c r="Q5224" i="6"/>
  <c r="W5224" i="6" s="1"/>
  <c r="X5224" i="6"/>
  <c r="M5224" i="6"/>
  <c r="I5224" i="6"/>
  <c r="F1581" i="17"/>
  <c r="Q5223" i="6"/>
  <c r="W5223" i="6" s="1"/>
  <c r="X5223" i="6"/>
  <c r="M5223" i="6"/>
  <c r="I5223" i="6"/>
  <c r="F1580" i="17"/>
  <c r="Q5222" i="6"/>
  <c r="W5222" i="6" s="1"/>
  <c r="X5222" i="6"/>
  <c r="M5222" i="6"/>
  <c r="I5222" i="6"/>
  <c r="F1579" i="17"/>
  <c r="Q5221" i="6"/>
  <c r="W5221" i="6" s="1"/>
  <c r="X5221" i="6"/>
  <c r="M5221" i="6"/>
  <c r="I5221" i="6"/>
  <c r="F1578" i="17"/>
  <c r="Q5220" i="6"/>
  <c r="W5220" i="6" s="1"/>
  <c r="X5220" i="6"/>
  <c r="M5220" i="6"/>
  <c r="I5220" i="6"/>
  <c r="X5219" i="6"/>
  <c r="Q5219" i="6"/>
  <c r="W5219" i="6"/>
  <c r="F1577" i="17"/>
  <c r="I5219" i="6"/>
  <c r="M5219" i="6"/>
  <c r="F1576" i="17"/>
  <c r="Q5218" i="6"/>
  <c r="W5218" i="6" s="1"/>
  <c r="X5218" i="6"/>
  <c r="M5218" i="6"/>
  <c r="I5218" i="6"/>
  <c r="F1575" i="17"/>
  <c r="Q5217" i="6"/>
  <c r="W5217" i="6" s="1"/>
  <c r="X5217" i="6"/>
  <c r="M5217" i="6"/>
  <c r="I5217" i="6"/>
  <c r="F1574" i="17"/>
  <c r="Q5216" i="6"/>
  <c r="W5216" i="6" s="1"/>
  <c r="X5216" i="6"/>
  <c r="M5216" i="6"/>
  <c r="I5216" i="6"/>
  <c r="F1573" i="17"/>
  <c r="Q5215" i="6"/>
  <c r="W5215" i="6" s="1"/>
  <c r="X5215" i="6"/>
  <c r="M5215" i="6"/>
  <c r="I5215" i="6"/>
  <c r="F1572" i="17"/>
  <c r="Q5214" i="6"/>
  <c r="W5214" i="6" s="1"/>
  <c r="X5214" i="6"/>
  <c r="M5214" i="6"/>
  <c r="I5214" i="6"/>
  <c r="F1571" i="17"/>
  <c r="Q5213" i="6"/>
  <c r="W5213" i="6" s="1"/>
  <c r="X5213" i="6"/>
  <c r="M5213" i="6"/>
  <c r="I5213" i="6"/>
  <c r="F1570" i="17"/>
  <c r="Q5212" i="6"/>
  <c r="W5212" i="6" s="1"/>
  <c r="X5212" i="6"/>
  <c r="M5212" i="6"/>
  <c r="I5212" i="6"/>
  <c r="F1569" i="17"/>
  <c r="Q5211" i="6"/>
  <c r="W5211" i="6" s="1"/>
  <c r="M5211" i="6"/>
  <c r="X5211" i="6"/>
  <c r="I5211" i="6"/>
  <c r="F1568" i="17"/>
  <c r="Q5210" i="6"/>
  <c r="W5210" i="6" s="1"/>
  <c r="X5210" i="6"/>
  <c r="M5210" i="6"/>
  <c r="I5210" i="6"/>
  <c r="F1567" i="17"/>
  <c r="Q5209" i="6"/>
  <c r="W5209" i="6" s="1"/>
  <c r="X5209" i="6"/>
  <c r="M5209" i="6"/>
  <c r="I5209" i="6"/>
  <c r="F1566" i="17"/>
  <c r="Q5208" i="6"/>
  <c r="W5208" i="6" s="1"/>
  <c r="X5208" i="6"/>
  <c r="M5208" i="6"/>
  <c r="I5208" i="6"/>
  <c r="F1565" i="17"/>
  <c r="Q5207" i="6"/>
  <c r="W5207" i="6"/>
  <c r="X5207" i="6"/>
  <c r="M5207" i="6"/>
  <c r="I5207" i="6"/>
  <c r="F1564" i="17"/>
  <c r="X5206" i="6"/>
  <c r="Q5206" i="6"/>
  <c r="W5206" i="6" s="1"/>
  <c r="M5206" i="6"/>
  <c r="I5206" i="6"/>
  <c r="H1563" i="17"/>
  <c r="G1563" i="17"/>
  <c r="F1563" i="17"/>
  <c r="D2854" i="13"/>
  <c r="V5205" i="6"/>
  <c r="X5204" i="6"/>
  <c r="Q5204" i="6"/>
  <c r="W5204" i="6"/>
  <c r="O5204" i="6"/>
  <c r="N5204" i="6"/>
  <c r="M5204" i="6"/>
  <c r="I5204" i="6"/>
  <c r="F1562" i="17"/>
  <c r="D2853" i="13"/>
  <c r="Q5203" i="6"/>
  <c r="W5203" i="6" s="1"/>
  <c r="M5203" i="6"/>
  <c r="X5203" i="6"/>
  <c r="I5203" i="6"/>
  <c r="F1561" i="17"/>
  <c r="D2852" i="13"/>
  <c r="Q5202" i="6"/>
  <c r="W5202" i="6" s="1"/>
  <c r="X5202" i="6"/>
  <c r="M5202" i="6"/>
  <c r="I5202" i="6"/>
  <c r="F1558" i="17"/>
  <c r="D2849" i="13"/>
  <c r="Q5199" i="6"/>
  <c r="W5199" i="6"/>
  <c r="X5199" i="6"/>
  <c r="M5199" i="6"/>
  <c r="I5199" i="6"/>
  <c r="F1557" i="17"/>
  <c r="D2848" i="13"/>
  <c r="Q5198" i="6"/>
  <c r="W5198" i="6" s="1"/>
  <c r="X5198" i="6"/>
  <c r="M5198" i="6"/>
  <c r="I5198" i="6"/>
  <c r="X5197" i="6"/>
  <c r="Q5197" i="6"/>
  <c r="W5197" i="6" s="1"/>
  <c r="F1556" i="17"/>
  <c r="D2847" i="13"/>
  <c r="I5197" i="6"/>
  <c r="M5197" i="6"/>
  <c r="F1555" i="17"/>
  <c r="D2846" i="13"/>
  <c r="Q5196" i="6"/>
  <c r="W5196" i="6" s="1"/>
  <c r="M5196" i="6"/>
  <c r="I5196" i="6"/>
  <c r="X5196" i="6"/>
  <c r="F1554" i="17"/>
  <c r="D2845" i="13"/>
  <c r="Q5195" i="6"/>
  <c r="W5195" i="6" s="1"/>
  <c r="X5195" i="6"/>
  <c r="M5195" i="6"/>
  <c r="I5195" i="6"/>
  <c r="F1553" i="17"/>
  <c r="D2844" i="13"/>
  <c r="Q5194" i="6"/>
  <c r="W5194" i="6" s="1"/>
  <c r="X5194" i="6"/>
  <c r="M5194" i="6"/>
  <c r="I5194" i="6"/>
  <c r="F1552" i="17"/>
  <c r="D2843" i="13"/>
  <c r="Q5193" i="6"/>
  <c r="W5193" i="6" s="1"/>
  <c r="X5193" i="6"/>
  <c r="M5193" i="6"/>
  <c r="I5193" i="6"/>
  <c r="F1551" i="17"/>
  <c r="D2842" i="13"/>
  <c r="Q5192" i="6"/>
  <c r="W5192" i="6" s="1"/>
  <c r="X5192" i="6"/>
  <c r="M5192" i="6"/>
  <c r="I5192" i="6"/>
  <c r="I5191" i="6"/>
  <c r="X5191" i="6"/>
  <c r="Q5191" i="6"/>
  <c r="W5191" i="6"/>
  <c r="F1550" i="17"/>
  <c r="D2841" i="13"/>
  <c r="M5191" i="6"/>
  <c r="X5190" i="6"/>
  <c r="Q5190" i="6"/>
  <c r="W5190" i="6" s="1"/>
  <c r="F1549" i="17"/>
  <c r="D2840" i="13"/>
  <c r="M5190" i="6"/>
  <c r="I5190" i="6"/>
  <c r="Q5189" i="6"/>
  <c r="W5189" i="6" s="1"/>
  <c r="X5189" i="6"/>
  <c r="F1548" i="17"/>
  <c r="D2839" i="13"/>
  <c r="I5189" i="6"/>
  <c r="M5189" i="6"/>
  <c r="F1547" i="17"/>
  <c r="D2838" i="13"/>
  <c r="Q5188" i="6"/>
  <c r="W5188" i="6" s="1"/>
  <c r="X5188" i="6"/>
  <c r="M5188" i="6"/>
  <c r="I5188" i="6"/>
  <c r="F1546" i="17"/>
  <c r="D2837" i="13"/>
  <c r="Q5187" i="6"/>
  <c r="W5187" i="6" s="1"/>
  <c r="X5187" i="6"/>
  <c r="M5187" i="6"/>
  <c r="I5187" i="6"/>
  <c r="F1545" i="17"/>
  <c r="D2836" i="13"/>
  <c r="Q5186" i="6"/>
  <c r="W5186" i="6" s="1"/>
  <c r="X5186" i="6"/>
  <c r="M5186" i="6"/>
  <c r="I5186" i="6"/>
  <c r="F1544" i="17"/>
  <c r="D2835" i="13"/>
  <c r="Q5185" i="6"/>
  <c r="W5185" i="6" s="1"/>
  <c r="X5185" i="6"/>
  <c r="M5185" i="6"/>
  <c r="I5185" i="6"/>
  <c r="F1543" i="17"/>
  <c r="D2834" i="13"/>
  <c r="X5184" i="6"/>
  <c r="Q5184" i="6"/>
  <c r="W5184" i="6" s="1"/>
  <c r="M5184" i="6"/>
  <c r="I5184" i="6"/>
  <c r="H1542" i="17"/>
  <c r="F1542" i="17"/>
  <c r="D2833" i="13"/>
  <c r="V5183" i="6"/>
  <c r="Q5182" i="6"/>
  <c r="W5182" i="6" s="1"/>
  <c r="X5182" i="6"/>
  <c r="O5182" i="6"/>
  <c r="N5182" i="6"/>
  <c r="M5182" i="6"/>
  <c r="I5182" i="6"/>
  <c r="F1541" i="17"/>
  <c r="D2832" i="13"/>
  <c r="Q5181" i="6"/>
  <c r="W5181" i="6" s="1"/>
  <c r="X5181" i="6"/>
  <c r="M5181" i="6"/>
  <c r="I5181" i="6"/>
  <c r="F1540" i="17"/>
  <c r="D2831" i="13"/>
  <c r="Q5180" i="6"/>
  <c r="W5180" i="6" s="1"/>
  <c r="X5180" i="6"/>
  <c r="M5180" i="6"/>
  <c r="I5180" i="6"/>
  <c r="F1539" i="17"/>
  <c r="D2830" i="13"/>
  <c r="X5179" i="6"/>
  <c r="Q5179" i="6"/>
  <c r="W5179" i="6"/>
  <c r="M5179" i="6"/>
  <c r="I5179" i="6"/>
  <c r="D2829" i="13"/>
  <c r="F1538" i="17"/>
  <c r="Q5178" i="6"/>
  <c r="W5178" i="6" s="1"/>
  <c r="X5178" i="6"/>
  <c r="M5178" i="6"/>
  <c r="I5178" i="6"/>
  <c r="Q5177" i="6"/>
  <c r="W5177" i="6" s="1"/>
  <c r="X5177" i="6"/>
  <c r="F1537" i="17"/>
  <c r="D2828" i="13"/>
  <c r="M5177" i="6"/>
  <c r="I5177" i="6"/>
  <c r="X5176" i="6"/>
  <c r="Q5176" i="6"/>
  <c r="W5176" i="6" s="1"/>
  <c r="F1536" i="17"/>
  <c r="D2827" i="13"/>
  <c r="I5176" i="6"/>
  <c r="M5176" i="6"/>
  <c r="X5174" i="6"/>
  <c r="X5175" i="6"/>
  <c r="Q5174" i="6"/>
  <c r="W5174" i="6" s="1"/>
  <c r="Q5175" i="6"/>
  <c r="W5175" i="6" s="1"/>
  <c r="F1534" i="17"/>
  <c r="F1535" i="17"/>
  <c r="D2826" i="13"/>
  <c r="D2825" i="13"/>
  <c r="I5174" i="6"/>
  <c r="I5175" i="6"/>
  <c r="M5175" i="6"/>
  <c r="M5174" i="6"/>
  <c r="F1533" i="17"/>
  <c r="D2824" i="13"/>
  <c r="Q5173" i="6"/>
  <c r="W5173" i="6" s="1"/>
  <c r="X5173" i="6"/>
  <c r="M5173" i="6"/>
  <c r="I5173" i="6"/>
  <c r="F1532" i="17"/>
  <c r="D2823" i="13"/>
  <c r="Q5172" i="6"/>
  <c r="W5172" i="6" s="1"/>
  <c r="X5172" i="6"/>
  <c r="M5172" i="6"/>
  <c r="I5172" i="6"/>
  <c r="F1531" i="17"/>
  <c r="D2822" i="13"/>
  <c r="X5171" i="6"/>
  <c r="Q5171" i="6"/>
  <c r="W5171" i="6"/>
  <c r="M5171" i="6"/>
  <c r="I5171" i="6"/>
  <c r="F1530" i="17"/>
  <c r="D2821" i="13"/>
  <c r="Q5170" i="6"/>
  <c r="W5170" i="6" s="1"/>
  <c r="X5170" i="6"/>
  <c r="M5170" i="6"/>
  <c r="I5170" i="6"/>
  <c r="F1529" i="17"/>
  <c r="D2820" i="13"/>
  <c r="Q5169" i="6"/>
  <c r="W5169" i="6" s="1"/>
  <c r="X5169" i="6"/>
  <c r="M5169" i="6"/>
  <c r="I5169" i="6"/>
  <c r="F1528" i="17"/>
  <c r="D2819" i="13"/>
  <c r="Q5168" i="6"/>
  <c r="W5168" i="6" s="1"/>
  <c r="M5168" i="6"/>
  <c r="I5168" i="6"/>
  <c r="X5168" i="6"/>
  <c r="F1527" i="17"/>
  <c r="D2818" i="13"/>
  <c r="Q5167" i="6"/>
  <c r="W5167" i="6" s="1"/>
  <c r="X5167" i="6"/>
  <c r="M5167" i="6"/>
  <c r="I5167" i="6"/>
  <c r="F1526" i="17"/>
  <c r="D2817" i="13"/>
  <c r="X5166" i="6"/>
  <c r="M5166" i="6"/>
  <c r="I5166" i="6"/>
  <c r="Q5166" i="6"/>
  <c r="W5166" i="6" s="1"/>
  <c r="F1525" i="17"/>
  <c r="D2816" i="13"/>
  <c r="Q5165" i="6"/>
  <c r="W5165" i="6" s="1"/>
  <c r="X5165" i="6"/>
  <c r="M5165" i="6"/>
  <c r="I5165" i="6"/>
  <c r="D2815" i="13"/>
  <c r="F1524" i="17"/>
  <c r="X5164" i="6"/>
  <c r="Q5164" i="6"/>
  <c r="W5164" i="6" s="1"/>
  <c r="M5164" i="6"/>
  <c r="I5164" i="6"/>
  <c r="F1523" i="17"/>
  <c r="D2814" i="13"/>
  <c r="Q5163" i="6"/>
  <c r="W5163" i="6" s="1"/>
  <c r="M5163" i="6"/>
  <c r="X5163" i="6"/>
  <c r="I5163" i="6"/>
  <c r="F1522" i="17"/>
  <c r="D2813" i="13"/>
  <c r="Q5162" i="6"/>
  <c r="W5162" i="6" s="1"/>
  <c r="X5162" i="6"/>
  <c r="M5162" i="6"/>
  <c r="I5162" i="6"/>
  <c r="F1521" i="17"/>
  <c r="D2812" i="13"/>
  <c r="Q5161" i="6"/>
  <c r="W5161" i="6" s="1"/>
  <c r="O5159" i="6"/>
  <c r="X5161" i="6"/>
  <c r="M5161" i="6"/>
  <c r="I5161" i="6"/>
  <c r="H1520" i="17"/>
  <c r="G1520" i="17"/>
  <c r="F1520" i="17"/>
  <c r="D2811" i="13"/>
  <c r="V5160" i="6"/>
  <c r="Q5159" i="6"/>
  <c r="W5159" i="6" s="1"/>
  <c r="X5159" i="6"/>
  <c r="N5159" i="6"/>
  <c r="M5159" i="6"/>
  <c r="I5159" i="6"/>
  <c r="F1519" i="17"/>
  <c r="D2810" i="13"/>
  <c r="Q5158" i="6"/>
  <c r="W5158" i="6" s="1"/>
  <c r="X5158" i="6"/>
  <c r="M5158" i="6"/>
  <c r="I5158" i="6"/>
  <c r="F1518" i="17"/>
  <c r="D2809" i="13"/>
  <c r="Q5157" i="6"/>
  <c r="W5157" i="6" s="1"/>
  <c r="X5157" i="6"/>
  <c r="M5157" i="6"/>
  <c r="I5157" i="6"/>
  <c r="F1517" i="17"/>
  <c r="D2808" i="13"/>
  <c r="Q5156" i="6"/>
  <c r="W5156" i="6" s="1"/>
  <c r="X5156" i="6"/>
  <c r="M5156" i="6"/>
  <c r="I5156" i="6"/>
  <c r="X5155" i="6"/>
  <c r="Q5155" i="6"/>
  <c r="W5155" i="6" s="1"/>
  <c r="F1516" i="17"/>
  <c r="D2807" i="13"/>
  <c r="M5155" i="6"/>
  <c r="I5155" i="6"/>
  <c r="X5154" i="6"/>
  <c r="Q5154" i="6"/>
  <c r="W5154" i="6" s="1"/>
  <c r="M5154" i="6"/>
  <c r="F1515" i="17"/>
  <c r="D2806" i="13"/>
  <c r="I5154" i="6"/>
  <c r="F1514" i="17"/>
  <c r="D2805" i="13"/>
  <c r="Q5153" i="6"/>
  <c r="W5153" i="6" s="1"/>
  <c r="X5153" i="6"/>
  <c r="M5153" i="6"/>
  <c r="I5153" i="6"/>
  <c r="F1513" i="17"/>
  <c r="D2804" i="13"/>
  <c r="Q5152" i="6"/>
  <c r="W5152" i="6"/>
  <c r="X5152" i="6"/>
  <c r="M5152" i="6"/>
  <c r="I5152" i="6"/>
  <c r="F1512" i="17"/>
  <c r="D2803" i="13"/>
  <c r="Q5151" i="6"/>
  <c r="W5151" i="6" s="1"/>
  <c r="X5151" i="6"/>
  <c r="M5151" i="6"/>
  <c r="I5151" i="6"/>
  <c r="X5150" i="6"/>
  <c r="Q5150" i="6"/>
  <c r="W5150" i="6" s="1"/>
  <c r="F1511" i="17"/>
  <c r="D2802" i="13"/>
  <c r="I5150" i="6"/>
  <c r="M5150" i="6"/>
  <c r="X5149" i="6"/>
  <c r="Q5149" i="6"/>
  <c r="W5149" i="6" s="1"/>
  <c r="F1510" i="17"/>
  <c r="D2801" i="13"/>
  <c r="M5149" i="6"/>
  <c r="I5149" i="6"/>
  <c r="F1509" i="17"/>
  <c r="D2800" i="13"/>
  <c r="X5148" i="6"/>
  <c r="Q5148" i="6"/>
  <c r="W5148" i="6" s="1"/>
  <c r="M5148" i="6"/>
  <c r="I5148" i="6"/>
  <c r="F1508" i="17"/>
  <c r="D2799" i="13"/>
  <c r="Q5147" i="6"/>
  <c r="W5147" i="6" s="1"/>
  <c r="X5147" i="6"/>
  <c r="M5147" i="6"/>
  <c r="I5147" i="6"/>
  <c r="F1507" i="17"/>
  <c r="D2798" i="13"/>
  <c r="X5146" i="6"/>
  <c r="Q5146" i="6"/>
  <c r="W5146" i="6" s="1"/>
  <c r="M5146" i="6"/>
  <c r="I5146" i="6"/>
  <c r="F1506" i="17"/>
  <c r="D2797" i="13"/>
  <c r="X5145" i="6"/>
  <c r="Q5145" i="6"/>
  <c r="W5145" i="6" s="1"/>
  <c r="M5145" i="6"/>
  <c r="I5145" i="6"/>
  <c r="F1505" i="17"/>
  <c r="D2796" i="13"/>
  <c r="X5144" i="6"/>
  <c r="Q5144" i="6"/>
  <c r="W5144" i="6" s="1"/>
  <c r="M5144" i="6"/>
  <c r="I5144" i="6"/>
  <c r="X5143" i="6"/>
  <c r="Q5143" i="6"/>
  <c r="W5143" i="6" s="1"/>
  <c r="F1504" i="17"/>
  <c r="D2795" i="13"/>
  <c r="M5143" i="6"/>
  <c r="I5143" i="6"/>
  <c r="F1503" i="17"/>
  <c r="D2794" i="13"/>
  <c r="M5142" i="6"/>
  <c r="I5142" i="6"/>
  <c r="F1502" i="17"/>
  <c r="D2793" i="13"/>
  <c r="M5141" i="6"/>
  <c r="I5141" i="6"/>
  <c r="F1501" i="17"/>
  <c r="D2792" i="13"/>
  <c r="M5140" i="6"/>
  <c r="I5140" i="6"/>
  <c r="F1500" i="17"/>
  <c r="D2791" i="13"/>
  <c r="M5139" i="6"/>
  <c r="I5139" i="6"/>
  <c r="H1498" i="17"/>
  <c r="F1499" i="17"/>
  <c r="D2790" i="13"/>
  <c r="I5138" i="6"/>
  <c r="O5136" i="6"/>
  <c r="M5138" i="6"/>
  <c r="F1498" i="17"/>
  <c r="D2789" i="13"/>
  <c r="X5136" i="6"/>
  <c r="M5136" i="6"/>
  <c r="I5136" i="6"/>
  <c r="V5137" i="6"/>
  <c r="F1497" i="17"/>
  <c r="D2788" i="13"/>
  <c r="Q5135" i="6"/>
  <c r="W5135" i="6" s="1"/>
  <c r="X5135" i="6"/>
  <c r="M5135" i="6"/>
  <c r="I5135" i="6"/>
  <c r="F1496" i="17"/>
  <c r="D2787" i="13"/>
  <c r="X5134" i="6"/>
  <c r="Q5134" i="6"/>
  <c r="W5134" i="6" s="1"/>
  <c r="M5134" i="6"/>
  <c r="I5134" i="6"/>
  <c r="F1495" i="17"/>
  <c r="D2786" i="13"/>
  <c r="X5133" i="6"/>
  <c r="Q5133" i="6"/>
  <c r="W5133" i="6" s="1"/>
  <c r="M5133" i="6"/>
  <c r="I5133" i="6"/>
  <c r="F1494" i="17"/>
  <c r="D2785" i="13"/>
  <c r="Q5132" i="6"/>
  <c r="W5132" i="6" s="1"/>
  <c r="X5132" i="6"/>
  <c r="M5132" i="6"/>
  <c r="I5132" i="6"/>
  <c r="F1493" i="17"/>
  <c r="D2784" i="13"/>
  <c r="Q5131" i="6"/>
  <c r="W5131" i="6" s="1"/>
  <c r="X5131" i="6"/>
  <c r="M5131" i="6"/>
  <c r="I5131" i="6"/>
  <c r="F1492" i="17"/>
  <c r="D2783" i="13"/>
  <c r="X5130" i="6"/>
  <c r="Q5130" i="6"/>
  <c r="W5130" i="6" s="1"/>
  <c r="M5130" i="6"/>
  <c r="I5130" i="6"/>
  <c r="F1491" i="17"/>
  <c r="D2782" i="13"/>
  <c r="Q5129" i="6"/>
  <c r="W5129" i="6" s="1"/>
  <c r="X5129" i="6"/>
  <c r="M5129" i="6"/>
  <c r="I5129" i="6"/>
  <c r="F1490" i="17"/>
  <c r="D2781" i="13"/>
  <c r="Q5128" i="6"/>
  <c r="W5128" i="6" s="1"/>
  <c r="X5128" i="6"/>
  <c r="M5128" i="6"/>
  <c r="I5128" i="6"/>
  <c r="F1489" i="17"/>
  <c r="D2780" i="13"/>
  <c r="Q5127" i="6"/>
  <c r="W5127" i="6"/>
  <c r="X5127" i="6"/>
  <c r="M5127" i="6"/>
  <c r="I5127" i="6"/>
  <c r="F1488" i="17"/>
  <c r="D2779" i="13"/>
  <c r="Q5126" i="6"/>
  <c r="W5126" i="6" s="1"/>
  <c r="X5126" i="6"/>
  <c r="M5126" i="6"/>
  <c r="I5126" i="6"/>
  <c r="Q5125" i="6"/>
  <c r="W5125" i="6" s="1"/>
  <c r="F1487" i="17"/>
  <c r="D2778" i="13"/>
  <c r="M5125" i="6"/>
  <c r="I5125" i="6"/>
  <c r="X5125" i="6"/>
  <c r="X5124" i="6"/>
  <c r="Q5124" i="6"/>
  <c r="W5124" i="6"/>
  <c r="Q5123" i="6"/>
  <c r="F1485" i="17"/>
  <c r="F1486" i="17"/>
  <c r="D2777" i="13"/>
  <c r="D2776" i="13"/>
  <c r="I5123" i="6"/>
  <c r="I5124" i="6"/>
  <c r="M5123" i="6"/>
  <c r="M5124" i="6"/>
  <c r="Q5122" i="6"/>
  <c r="W5122" i="6" s="1"/>
  <c r="X5122" i="6"/>
  <c r="F1484" i="17"/>
  <c r="D2775" i="13"/>
  <c r="I5122" i="6"/>
  <c r="M5122" i="6"/>
  <c r="Q5121" i="6"/>
  <c r="W5121" i="6" s="1"/>
  <c r="X5121" i="6"/>
  <c r="F1483" i="17"/>
  <c r="D2774" i="13"/>
  <c r="M5121" i="6"/>
  <c r="I5121" i="6"/>
  <c r="Q5120" i="6"/>
  <c r="W5120" i="6" s="1"/>
  <c r="F1482" i="17"/>
  <c r="D2773" i="13"/>
  <c r="X5120" i="6"/>
  <c r="I5120" i="6"/>
  <c r="M5120" i="6"/>
  <c r="F1481" i="17"/>
  <c r="D2772" i="13"/>
  <c r="Q5119" i="6"/>
  <c r="W5119" i="6"/>
  <c r="X5119" i="6"/>
  <c r="M5119" i="6"/>
  <c r="I5119" i="6"/>
  <c r="F1480" i="17"/>
  <c r="D2771" i="13"/>
  <c r="Q5118" i="6"/>
  <c r="W5118" i="6" s="1"/>
  <c r="X5118" i="6"/>
  <c r="M5118" i="6"/>
  <c r="I5118" i="6"/>
  <c r="F1479" i="17"/>
  <c r="D2770" i="13"/>
  <c r="X5117" i="6"/>
  <c r="Q5117" i="6"/>
  <c r="W5117" i="6" s="1"/>
  <c r="M5117" i="6"/>
  <c r="I5117" i="6"/>
  <c r="F1478" i="17"/>
  <c r="D2769" i="13"/>
  <c r="Q5116" i="6"/>
  <c r="W5116" i="6" s="1"/>
  <c r="N5114" i="6"/>
  <c r="M5116" i="6"/>
  <c r="X5116" i="6"/>
  <c r="I5116" i="6"/>
  <c r="G1477" i="17"/>
  <c r="F1477" i="17"/>
  <c r="F1476" i="17"/>
  <c r="D2768" i="13"/>
  <c r="Q5114" i="6"/>
  <c r="W5114" i="6" s="1"/>
  <c r="V5115" i="6"/>
  <c r="X5114" i="6"/>
  <c r="O5114" i="6"/>
  <c r="M5114" i="6"/>
  <c r="I5114" i="6"/>
  <c r="D2767" i="13"/>
  <c r="Q5113" i="6"/>
  <c r="W5113" i="6" s="1"/>
  <c r="X5113" i="6"/>
  <c r="M5113" i="6"/>
  <c r="I5113" i="6"/>
  <c r="F1475" i="17"/>
  <c r="D2766" i="13"/>
  <c r="X5112" i="6"/>
  <c r="Q5112" i="6"/>
  <c r="W5112" i="6" s="1"/>
  <c r="M5112" i="6"/>
  <c r="I5112" i="6"/>
  <c r="D2764" i="13"/>
  <c r="F1473" i="17"/>
  <c r="Q5110" i="6"/>
  <c r="W5110" i="6" s="1"/>
  <c r="X5110" i="6"/>
  <c r="M5110" i="6"/>
  <c r="I5110" i="6"/>
  <c r="F1472" i="17"/>
  <c r="D2763" i="13"/>
  <c r="Q5109" i="6"/>
  <c r="W5109" i="6" s="1"/>
  <c r="X5109" i="6"/>
  <c r="M5109" i="6"/>
  <c r="I5109" i="6"/>
  <c r="F1471" i="17"/>
  <c r="D2762" i="13"/>
  <c r="Q5108" i="6"/>
  <c r="W5108" i="6" s="1"/>
  <c r="X5108" i="6"/>
  <c r="M5108" i="6"/>
  <c r="I5108" i="6"/>
  <c r="F1470" i="17"/>
  <c r="D2761" i="13"/>
  <c r="Q5107" i="6"/>
  <c r="W5107" i="6" s="1"/>
  <c r="X5107" i="6"/>
  <c r="M5107" i="6"/>
  <c r="I5107" i="6"/>
  <c r="F1469" i="17"/>
  <c r="D2760" i="13"/>
  <c r="Q5106" i="6"/>
  <c r="W5106" i="6" s="1"/>
  <c r="X5106" i="6"/>
  <c r="M5106" i="6"/>
  <c r="I5106" i="6"/>
  <c r="F1468" i="17"/>
  <c r="D2759" i="13"/>
  <c r="Q5105" i="6"/>
  <c r="W5105" i="6" s="1"/>
  <c r="X5105" i="6"/>
  <c r="M5105" i="6"/>
  <c r="I5105" i="6"/>
  <c r="F1467" i="17"/>
  <c r="D2758" i="13"/>
  <c r="Q5104" i="6"/>
  <c r="W5104" i="6" s="1"/>
  <c r="X5104" i="6"/>
  <c r="M5104" i="6"/>
  <c r="I5104" i="6"/>
  <c r="F1466" i="17"/>
  <c r="D2757" i="13"/>
  <c r="Q5103" i="6"/>
  <c r="W5103" i="6" s="1"/>
  <c r="X5103" i="6"/>
  <c r="M5103" i="6"/>
  <c r="I5103" i="6"/>
  <c r="D2756" i="13"/>
  <c r="F1465" i="17"/>
  <c r="Q5102" i="6"/>
  <c r="W5102" i="6" s="1"/>
  <c r="M5102" i="6"/>
  <c r="I5102" i="6"/>
  <c r="F1464" i="17"/>
  <c r="D2755" i="13"/>
  <c r="X5102" i="6"/>
  <c r="M5101" i="6"/>
  <c r="I5101" i="6"/>
  <c r="F1463" i="17"/>
  <c r="D2754" i="13"/>
  <c r="Q5100" i="6"/>
  <c r="W5100" i="6" s="1"/>
  <c r="X5100" i="6"/>
  <c r="M5100" i="6"/>
  <c r="I5100" i="6"/>
  <c r="F1462" i="17"/>
  <c r="D2753" i="13"/>
  <c r="Q5099" i="6"/>
  <c r="W5099" i="6" s="1"/>
  <c r="X5099" i="6"/>
  <c r="M5099" i="6"/>
  <c r="I5099" i="6"/>
  <c r="F1461" i="17"/>
  <c r="D2752" i="13"/>
  <c r="M5098" i="6"/>
  <c r="I5098" i="6"/>
  <c r="Q5098" i="6"/>
  <c r="W5098" i="6"/>
  <c r="X5098" i="6"/>
  <c r="F1460" i="17"/>
  <c r="D2751" i="13"/>
  <c r="Q5097" i="6"/>
  <c r="W5097" i="6" s="1"/>
  <c r="X5097" i="6"/>
  <c r="M5097" i="6"/>
  <c r="I5097" i="6"/>
  <c r="F1459" i="17"/>
  <c r="D2750" i="13"/>
  <c r="Q5096" i="6"/>
  <c r="W5096" i="6"/>
  <c r="X5096" i="6"/>
  <c r="M5096" i="6"/>
  <c r="I5096" i="6"/>
  <c r="F1458" i="17"/>
  <c r="D2749" i="13"/>
  <c r="Q5095" i="6"/>
  <c r="W5095" i="6" s="1"/>
  <c r="X5095" i="6"/>
  <c r="X5094" i="6"/>
  <c r="M5095" i="6"/>
  <c r="I5095" i="6"/>
  <c r="Q5094" i="6"/>
  <c r="W5094" i="6" s="1"/>
  <c r="F1457" i="17"/>
  <c r="D2748" i="13"/>
  <c r="I5094" i="6"/>
  <c r="M5094" i="6"/>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56" i="17"/>
  <c r="F1414" i="17"/>
  <c r="F1413" i="17"/>
  <c r="F1412" i="17"/>
  <c r="D2747" i="13"/>
  <c r="Q5093" i="6"/>
  <c r="W5093" i="6" s="1"/>
  <c r="X5093" i="6"/>
  <c r="M5093" i="6"/>
  <c r="I5093" i="6"/>
  <c r="H1454" i="17"/>
  <c r="D2746" i="13"/>
  <c r="Q5092" i="6"/>
  <c r="W5092" i="6" s="1"/>
  <c r="O5090" i="6"/>
  <c r="X5092" i="6"/>
  <c r="M5092" i="6"/>
  <c r="I5092" i="6"/>
  <c r="G1454"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E2745" i="13" s="1"/>
  <c r="Q5070" i="6"/>
  <c r="W5070" i="6" s="1"/>
  <c r="X5070" i="6"/>
  <c r="O5068" i="6"/>
  <c r="M5070" i="6"/>
  <c r="I5070" i="6"/>
  <c r="H1433" i="17"/>
  <c r="G1433"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1" i="17"/>
  <c r="D2703" i="13"/>
  <c r="Q5047" i="6"/>
  <c r="W5047" i="6"/>
  <c r="M5047" i="6"/>
  <c r="I5047" i="6"/>
  <c r="G1411" i="17"/>
  <c r="F1411" i="17"/>
  <c r="D2702" i="13"/>
  <c r="V5046" i="6"/>
  <c r="O5045" i="6"/>
  <c r="N5045" i="6"/>
  <c r="M5045" i="6"/>
  <c r="I5045" i="6"/>
  <c r="Q5045" i="6"/>
  <c r="W5045" i="6" s="1"/>
  <c r="F1410" i="17"/>
  <c r="D2701" i="13"/>
  <c r="Q5044" i="6"/>
  <c r="W5044" i="6"/>
  <c r="I5044" i="6"/>
  <c r="M5044" i="6"/>
  <c r="F1408" i="17"/>
  <c r="D2699" i="13"/>
  <c r="Q5042" i="6"/>
  <c r="W5042" i="6" s="1"/>
  <c r="M5042" i="6"/>
  <c r="I5042" i="6"/>
  <c r="Q5041" i="6"/>
  <c r="W5041" i="6" s="1"/>
  <c r="F1407" i="17"/>
  <c r="D2698" i="13"/>
  <c r="I5041" i="6"/>
  <c r="M5041" i="6"/>
  <c r="F1406" i="17"/>
  <c r="D2697" i="13"/>
  <c r="Q5040" i="6"/>
  <c r="W5040" i="6" s="1"/>
  <c r="M5040" i="6"/>
  <c r="I5040" i="6"/>
  <c r="F1405" i="17"/>
  <c r="D2696" i="13"/>
  <c r="Q5039" i="6"/>
  <c r="W5039" i="6" s="1"/>
  <c r="M5039" i="6"/>
  <c r="I5039" i="6"/>
  <c r="F1404" i="17"/>
  <c r="D2695" i="13"/>
  <c r="Q5038" i="6"/>
  <c r="W5038" i="6" s="1"/>
  <c r="M5038" i="6"/>
  <c r="I5038" i="6"/>
  <c r="F1403" i="17"/>
  <c r="D2694" i="13"/>
  <c r="Q5037" i="6"/>
  <c r="W5037" i="6" s="1"/>
  <c r="M5037" i="6"/>
  <c r="I5037" i="6"/>
  <c r="F1402" i="17"/>
  <c r="D2693" i="13"/>
  <c r="Q5036" i="6"/>
  <c r="W5036" i="6" s="1"/>
  <c r="M5036" i="6"/>
  <c r="I5036" i="6"/>
  <c r="F1401" i="17"/>
  <c r="D2692" i="13"/>
  <c r="Q5035" i="6"/>
  <c r="W5035" i="6" s="1"/>
  <c r="M5035" i="6"/>
  <c r="I5035" i="6"/>
  <c r="F1400" i="17"/>
  <c r="D2691" i="13"/>
  <c r="Q5034" i="6"/>
  <c r="W5034" i="6"/>
  <c r="M5034" i="6"/>
  <c r="I5034" i="6"/>
  <c r="F1399" i="17"/>
  <c r="D2690" i="13"/>
  <c r="Q5033" i="6"/>
  <c r="W5033" i="6" s="1"/>
  <c r="M5033" i="6"/>
  <c r="I5033" i="6"/>
  <c r="F1398" i="17"/>
  <c r="D2689" i="13"/>
  <c r="Q5032" i="6"/>
  <c r="W5032" i="6" s="1"/>
  <c r="M5032" i="6"/>
  <c r="I5032" i="6"/>
  <c r="F1397" i="17"/>
  <c r="D2688" i="13"/>
  <c r="Q5031" i="6"/>
  <c r="W5031" i="6" s="1"/>
  <c r="M5031" i="6"/>
  <c r="I5031" i="6"/>
  <c r="F1396" i="17"/>
  <c r="D2687" i="13"/>
  <c r="Q5030" i="6"/>
  <c r="W5030" i="6" s="1"/>
  <c r="M5030" i="6"/>
  <c r="I5030" i="6"/>
  <c r="F1395" i="17"/>
  <c r="D2686" i="13"/>
  <c r="Q5029" i="6"/>
  <c r="W5029" i="6"/>
  <c r="M5029" i="6"/>
  <c r="I5029" i="6"/>
  <c r="F1394" i="17"/>
  <c r="D2685" i="13"/>
  <c r="M5028" i="6"/>
  <c r="I5028" i="6"/>
  <c r="Q5027" i="6"/>
  <c r="W5027" i="6" s="1"/>
  <c r="F1390" i="17"/>
  <c r="F1393" i="17"/>
  <c r="F1392" i="17"/>
  <c r="F1391" i="17"/>
  <c r="D2684" i="13"/>
  <c r="D2683" i="13"/>
  <c r="D2682" i="13"/>
  <c r="D2681" i="13"/>
  <c r="I5025" i="6"/>
  <c r="I5026" i="6"/>
  <c r="I5027" i="6"/>
  <c r="M5025" i="6"/>
  <c r="M5026" i="6"/>
  <c r="M5027" i="6"/>
  <c r="M5024" i="6"/>
  <c r="I5024" i="6"/>
  <c r="H1388" i="17"/>
  <c r="G1388" i="17"/>
  <c r="F1388" i="17"/>
  <c r="D2679" i="13"/>
  <c r="V5022" i="6"/>
  <c r="Q5021" i="6"/>
  <c r="W5021" i="6" s="1"/>
  <c r="O5021" i="6"/>
  <c r="N5021" i="6"/>
  <c r="M5021" i="6"/>
  <c r="I5021" i="6"/>
  <c r="F1387" i="17"/>
  <c r="D2678" i="13"/>
  <c r="Q5020" i="6"/>
  <c r="W5020" i="6"/>
  <c r="M5020" i="6"/>
  <c r="I5020" i="6"/>
  <c r="F1386" i="17"/>
  <c r="D2677" i="13"/>
  <c r="Q5019" i="6"/>
  <c r="W5019" i="6" s="1"/>
  <c r="M5019" i="6"/>
  <c r="I5019" i="6"/>
  <c r="F1385" i="17"/>
  <c r="D2676" i="13"/>
  <c r="Q5018" i="6"/>
  <c r="W5018" i="6" s="1"/>
  <c r="M5018" i="6"/>
  <c r="I5018" i="6"/>
  <c r="F1384" i="17"/>
  <c r="D2675" i="13"/>
  <c r="Q5017" i="6"/>
  <c r="W5017" i="6" s="1"/>
  <c r="M5017" i="6"/>
  <c r="I5017" i="6"/>
  <c r="F1383" i="17"/>
  <c r="D2674" i="13"/>
  <c r="Q5016" i="6"/>
  <c r="W5016" i="6" s="1"/>
  <c r="M5016" i="6"/>
  <c r="I5016" i="6"/>
  <c r="F1382" i="17"/>
  <c r="D2673" i="13"/>
  <c r="Q5015" i="6"/>
  <c r="W5015" i="6" s="1"/>
  <c r="M5015" i="6"/>
  <c r="I5015" i="6"/>
  <c r="F1381" i="17"/>
  <c r="D2672" i="13"/>
  <c r="Q5014" i="6"/>
  <c r="W5014" i="6" s="1"/>
  <c r="M5014" i="6"/>
  <c r="I5014" i="6"/>
  <c r="Q5012" i="6"/>
  <c r="W5012" i="6" s="1"/>
  <c r="Q5011" i="6"/>
  <c r="Q5013" i="6"/>
  <c r="W5013" i="6" s="1"/>
  <c r="F1380" i="17"/>
  <c r="D2671" i="13"/>
  <c r="M5013" i="6"/>
  <c r="I5013" i="6"/>
  <c r="M5010" i="6"/>
  <c r="Q5010" i="6"/>
  <c r="W5010" i="6" s="1"/>
  <c r="F1377" i="17"/>
  <c r="D2668" i="13"/>
  <c r="I5010" i="6"/>
  <c r="F1376" i="17"/>
  <c r="D2667" i="13"/>
  <c r="Q5009" i="6"/>
  <c r="W5009" i="6" s="1"/>
  <c r="M5009" i="6"/>
  <c r="I5009" i="6"/>
  <c r="Q5008" i="6"/>
  <c r="W5008" i="6" s="1"/>
  <c r="F1375" i="17"/>
  <c r="D2666" i="13"/>
  <c r="I5008" i="6"/>
  <c r="M5008" i="6"/>
  <c r="F1374" i="17"/>
  <c r="D2665" i="13"/>
  <c r="Q5007" i="6"/>
  <c r="W5007" i="6"/>
  <c r="M5007" i="6"/>
  <c r="I5007" i="6"/>
  <c r="F1373" i="17"/>
  <c r="D2664" i="13"/>
  <c r="Q5006" i="6"/>
  <c r="W5006" i="6" s="1"/>
  <c r="M5006" i="6"/>
  <c r="I5006" i="6"/>
  <c r="Q5005" i="6"/>
  <c r="W5005" i="6" s="1"/>
  <c r="F1372" i="17"/>
  <c r="D2663" i="13"/>
  <c r="M5005" i="6"/>
  <c r="I5005" i="6"/>
  <c r="F1371" i="17"/>
  <c r="D2662" i="13"/>
  <c r="Q5004" i="6"/>
  <c r="W5004" i="6"/>
  <c r="M5004" i="6"/>
  <c r="I5004" i="6"/>
  <c r="F1370" i="17"/>
  <c r="D2661" i="13"/>
  <c r="Q5003" i="6"/>
  <c r="M5003" i="6"/>
  <c r="I5003" i="6"/>
  <c r="H1368" i="17"/>
  <c r="F1369" i="17"/>
  <c r="D2660" i="13"/>
  <c r="Q5002" i="6"/>
  <c r="O5000" i="6"/>
  <c r="M5002" i="6"/>
  <c r="I5002" i="6"/>
  <c r="V5001" i="6"/>
  <c r="G1368" i="17"/>
  <c r="F1368" i="17"/>
  <c r="D2659" i="13"/>
  <c r="Q5000" i="6"/>
  <c r="W5000" i="6" s="1"/>
  <c r="N5000" i="6"/>
  <c r="M5000" i="6"/>
  <c r="I5000" i="6"/>
  <c r="Q4999" i="6"/>
  <c r="W4999" i="6" s="1"/>
  <c r="F1367" i="17"/>
  <c r="D2658" i="13"/>
  <c r="I4999" i="6"/>
  <c r="M4999" i="6"/>
  <c r="F1366" i="17"/>
  <c r="D2657" i="13"/>
  <c r="Q4998" i="6"/>
  <c r="W4998" i="6" s="1"/>
  <c r="M4998" i="6"/>
  <c r="I4998" i="6"/>
  <c r="F1365" i="17"/>
  <c r="D2656" i="13"/>
  <c r="Q4997" i="6"/>
  <c r="W4997" i="6" s="1"/>
  <c r="M4997" i="6"/>
  <c r="I4997" i="6"/>
  <c r="F1364" i="17"/>
  <c r="D2655" i="13"/>
  <c r="Q4996" i="6"/>
  <c r="W4996" i="6" s="1"/>
  <c r="M4996" i="6"/>
  <c r="I4996" i="6"/>
  <c r="F1363" i="17"/>
  <c r="D2654" i="13"/>
  <c r="Q4995" i="6"/>
  <c r="W4995" i="6" s="1"/>
  <c r="M4995" i="6"/>
  <c r="I4995" i="6"/>
  <c r="F1362" i="17"/>
  <c r="D2653" i="13"/>
  <c r="Q4994" i="6"/>
  <c r="W4994" i="6"/>
  <c r="M4994" i="6"/>
  <c r="I4994" i="6"/>
  <c r="D2652" i="13"/>
  <c r="F1361" i="17"/>
  <c r="Q4993" i="6"/>
  <c r="W4993" i="6" s="1"/>
  <c r="M4993" i="6"/>
  <c r="I4993" i="6"/>
  <c r="F1360" i="17"/>
  <c r="D2651" i="13"/>
  <c r="Q4992" i="6"/>
  <c r="W4992" i="6" s="1"/>
  <c r="M4992" i="6"/>
  <c r="I4992" i="6"/>
  <c r="F1359" i="17"/>
  <c r="D2650" i="13"/>
  <c r="Q4991" i="6"/>
  <c r="W4991" i="6" s="1"/>
  <c r="M4991" i="6"/>
  <c r="I4991" i="6"/>
  <c r="F1358" i="17"/>
  <c r="D2649" i="13"/>
  <c r="Q4990" i="6"/>
  <c r="W4990" i="6" s="1"/>
  <c r="M4990" i="6"/>
  <c r="I4990" i="6"/>
  <c r="M4989" i="6"/>
  <c r="I4989" i="6"/>
  <c r="D2648" i="13"/>
  <c r="D2647" i="13"/>
  <c r="F1357" i="17"/>
  <c r="F1356" i="17"/>
  <c r="M4988" i="6"/>
  <c r="I4988" i="6"/>
  <c r="Q4989" i="6"/>
  <c r="W4989" i="6" s="1"/>
  <c r="Q4988" i="6"/>
  <c r="W4988" i="6" s="1"/>
  <c r="F1355" i="17"/>
  <c r="D2646" i="13"/>
  <c r="Q4987" i="6"/>
  <c r="W4987" i="6" s="1"/>
  <c r="M4987" i="6"/>
  <c r="I4987" i="6"/>
  <c r="D2645" i="13"/>
  <c r="F1354" i="17"/>
  <c r="Q4986" i="6"/>
  <c r="W4986" i="6" s="1"/>
  <c r="M4986" i="6"/>
  <c r="I4986" i="6"/>
  <c r="F1353" i="17"/>
  <c r="D2644" i="13"/>
  <c r="Q4985" i="6"/>
  <c r="W4985" i="6" s="1"/>
  <c r="M4985" i="6"/>
  <c r="I4985" i="6"/>
  <c r="F1352" i="17"/>
  <c r="D2643" i="13"/>
  <c r="Q4984" i="6"/>
  <c r="W4984" i="6" s="1"/>
  <c r="M4984" i="6"/>
  <c r="I4984" i="6"/>
  <c r="F1351" i="17"/>
  <c r="D2642" i="13"/>
  <c r="Q4983" i="6"/>
  <c r="W4983" i="6" s="1"/>
  <c r="M4983" i="6"/>
  <c r="I4983" i="6"/>
  <c r="Q4982" i="6"/>
  <c r="W4982" i="6" s="1"/>
  <c r="F1350" i="17"/>
  <c r="D2641" i="13"/>
  <c r="I4982" i="6"/>
  <c r="M4982" i="6"/>
  <c r="F1349" i="17"/>
  <c r="D2640" i="13"/>
  <c r="Q4981" i="6"/>
  <c r="W4981" i="6" s="1"/>
  <c r="M4981" i="6"/>
  <c r="I4981" i="6"/>
  <c r="O4704" i="6"/>
  <c r="Q4980" i="6"/>
  <c r="W4980" i="6" s="1"/>
  <c r="F1348" i="17"/>
  <c r="D2639" i="13"/>
  <c r="I4980" i="6"/>
  <c r="M4980" i="6"/>
  <c r="F1347" i="17"/>
  <c r="D2638" i="13"/>
  <c r="Q4979" i="6"/>
  <c r="W4979" i="6" s="1"/>
  <c r="M4979" i="6"/>
  <c r="I4979" i="6"/>
  <c r="O4682" i="6"/>
  <c r="Q4978" i="6"/>
  <c r="W4978" i="6" s="1"/>
  <c r="Q4976" i="6"/>
  <c r="W4976" i="6" s="1"/>
  <c r="F1346" i="17"/>
  <c r="H1345" i="17"/>
  <c r="G1345" i="17"/>
  <c r="F1345" i="17"/>
  <c r="D2637" i="13"/>
  <c r="D2636" i="13"/>
  <c r="I4978" i="6"/>
  <c r="M4978" i="6"/>
  <c r="I4976" i="6"/>
  <c r="M4976" i="6"/>
  <c r="O4976" i="6"/>
  <c r="N4976" i="6"/>
  <c r="V4977" i="6"/>
  <c r="F1344" i="17"/>
  <c r="D2635" i="13"/>
  <c r="Q4975" i="6"/>
  <c r="W4975" i="6" s="1"/>
  <c r="M4975" i="6"/>
  <c r="I4975" i="6"/>
  <c r="F1343" i="17"/>
  <c r="D2634" i="13"/>
  <c r="Q4974" i="6"/>
  <c r="W4974" i="6" s="1"/>
  <c r="M4974" i="6"/>
  <c r="I4974" i="6"/>
  <c r="F1342" i="17"/>
  <c r="D2633" i="13"/>
  <c r="Q4973" i="6"/>
  <c r="W4973" i="6" s="1"/>
  <c r="M4973" i="6"/>
  <c r="I4973" i="6"/>
  <c r="F1341" i="17"/>
  <c r="D2632" i="13"/>
  <c r="Q4972" i="6"/>
  <c r="W4972" i="6" s="1"/>
  <c r="M4972" i="6"/>
  <c r="I4972" i="6"/>
  <c r="F1340" i="17"/>
  <c r="D2631" i="13"/>
  <c r="Q4971" i="6"/>
  <c r="W4971" i="6" s="1"/>
  <c r="M4971" i="6"/>
  <c r="I4971" i="6"/>
  <c r="F1339" i="17"/>
  <c r="D2630" i="13"/>
  <c r="Q4970" i="6"/>
  <c r="W4970" i="6" s="1"/>
  <c r="M4970" i="6"/>
  <c r="I4970" i="6"/>
  <c r="F1338" i="17"/>
  <c r="D2629" i="13"/>
  <c r="Q4969" i="6"/>
  <c r="W4969" i="6" s="1"/>
  <c r="M4969" i="6"/>
  <c r="I4969" i="6"/>
  <c r="F1337" i="17"/>
  <c r="D2628" i="13"/>
  <c r="Q4968" i="6"/>
  <c r="W4968" i="6" s="1"/>
  <c r="M4968" i="6"/>
  <c r="I4968" i="6"/>
  <c r="F1336" i="17"/>
  <c r="D2627" i="13"/>
  <c r="Q4967" i="6"/>
  <c r="W4967" i="6" s="1"/>
  <c r="M4967" i="6"/>
  <c r="I4967" i="6"/>
  <c r="F1335" i="17"/>
  <c r="D2626" i="13"/>
  <c r="Q4966" i="6"/>
  <c r="W4966" i="6" s="1"/>
  <c r="M4966" i="6"/>
  <c r="I4966" i="6"/>
  <c r="F1334" i="17"/>
  <c r="D2625" i="13"/>
  <c r="M4965" i="6"/>
  <c r="Q4965" i="6"/>
  <c r="W4965" i="6" s="1"/>
  <c r="I4965" i="6"/>
  <c r="F1333" i="17"/>
  <c r="D2624" i="13"/>
  <c r="Q4964" i="6"/>
  <c r="W4964" i="6" s="1"/>
  <c r="M4964" i="6"/>
  <c r="I4964" i="6"/>
  <c r="Q4963" i="6"/>
  <c r="W4963" i="6" s="1"/>
  <c r="F1332" i="17"/>
  <c r="D2623" i="13"/>
  <c r="M4963" i="6"/>
  <c r="I4963" i="6"/>
  <c r="F1331" i="17"/>
  <c r="D2622" i="13"/>
  <c r="Q4962" i="6"/>
  <c r="W4962" i="6" s="1"/>
  <c r="M4962" i="6"/>
  <c r="I4962" i="6"/>
  <c r="F1330" i="17"/>
  <c r="D2621" i="13"/>
  <c r="Q4961" i="6"/>
  <c r="W4961" i="6" s="1"/>
  <c r="M4961" i="6"/>
  <c r="I4961" i="6"/>
  <c r="F1329" i="17"/>
  <c r="D2620" i="13"/>
  <c r="Q4960" i="6"/>
  <c r="W4960" i="6" s="1"/>
  <c r="M4960" i="6"/>
  <c r="I4960" i="6"/>
  <c r="F1328" i="17"/>
  <c r="D2619" i="13"/>
  <c r="Q4959" i="6"/>
  <c r="W4959" i="6" s="1"/>
  <c r="M4959" i="6"/>
  <c r="I4959" i="6"/>
  <c r="F1327" i="17"/>
  <c r="D2618" i="13"/>
  <c r="Q4958" i="6"/>
  <c r="M4958" i="6"/>
  <c r="I4958" i="6"/>
  <c r="F1326" i="17"/>
  <c r="D2617" i="13"/>
  <c r="E2636" i="13" s="1"/>
  <c r="Q4957" i="6"/>
  <c r="M4957" i="6"/>
  <c r="I4957" i="6"/>
  <c r="H1325" i="17"/>
  <c r="G1325" i="17"/>
  <c r="F1325" i="17"/>
  <c r="D2616" i="13"/>
  <c r="V4956" i="6"/>
  <c r="O4955" i="6"/>
  <c r="N4955" i="6"/>
  <c r="M4955" i="6"/>
  <c r="I4955" i="6"/>
  <c r="D2615" i="13"/>
  <c r="D2614" i="13"/>
  <c r="D2613" i="13"/>
  <c r="F1324" i="17"/>
  <c r="I4954" i="6"/>
  <c r="F1323" i="17"/>
  <c r="I4953" i="6"/>
  <c r="F1322" i="17"/>
  <c r="Q4952" i="6"/>
  <c r="W4952" i="6" s="1"/>
  <c r="M4954" i="6"/>
  <c r="M4953" i="6"/>
  <c r="M4952" i="6"/>
  <c r="I4952" i="6"/>
  <c r="Q4951" i="6"/>
  <c r="W4951" i="6" s="1"/>
  <c r="F1321" i="17"/>
  <c r="D2612" i="13"/>
  <c r="I4951" i="6"/>
  <c r="M4951" i="6"/>
  <c r="F1320" i="17"/>
  <c r="D2611" i="13"/>
  <c r="Q4950" i="6"/>
  <c r="W4950" i="6" s="1"/>
  <c r="M4950" i="6"/>
  <c r="I4950" i="6"/>
  <c r="F1319" i="17"/>
  <c r="D2610" i="13"/>
  <c r="Q4949" i="6"/>
  <c r="W4949" i="6" s="1"/>
  <c r="M4949" i="6"/>
  <c r="I4949" i="6"/>
  <c r="D2609" i="13"/>
  <c r="F1318" i="17"/>
  <c r="Q4948" i="6"/>
  <c r="W4948" i="6" s="1"/>
  <c r="M4948" i="6"/>
  <c r="I4948" i="6"/>
  <c r="F1317" i="17"/>
  <c r="D2608" i="13"/>
  <c r="Q4947" i="6"/>
  <c r="W4947" i="6" s="1"/>
  <c r="M4947" i="6"/>
  <c r="I4947" i="6"/>
  <c r="D2607" i="13"/>
  <c r="F1316" i="17"/>
  <c r="Q4946" i="6"/>
  <c r="W4946" i="6" s="1"/>
  <c r="M4946" i="6"/>
  <c r="I4946" i="6"/>
  <c r="F1315" i="17"/>
  <c r="D2606" i="13"/>
  <c r="Q4945" i="6"/>
  <c r="W4945" i="6" s="1"/>
  <c r="M4945" i="6"/>
  <c r="I4945" i="6"/>
  <c r="D2605" i="13"/>
  <c r="F1314" i="17"/>
  <c r="Q4944" i="6"/>
  <c r="W4944" i="6" s="1"/>
  <c r="M4944" i="6"/>
  <c r="I4944" i="6"/>
  <c r="F1313" i="17"/>
  <c r="D2604" i="13"/>
  <c r="Q4943" i="6"/>
  <c r="W4943" i="6" s="1"/>
  <c r="M4943" i="6"/>
  <c r="I4943" i="6"/>
  <c r="Q4942" i="6"/>
  <c r="W4942" i="6" s="1"/>
  <c r="F1312" i="17"/>
  <c r="D2603" i="13"/>
  <c r="I4942" i="6"/>
  <c r="M4942" i="6"/>
  <c r="F1311" i="17"/>
  <c r="D2602" i="13"/>
  <c r="Q4941" i="6"/>
  <c r="W4941" i="6" s="1"/>
  <c r="M4941" i="6"/>
  <c r="I4941" i="6"/>
  <c r="F1310" i="17"/>
  <c r="D2601" i="13"/>
  <c r="Q4940" i="6"/>
  <c r="W4940" i="6" s="1"/>
  <c r="M4940" i="6"/>
  <c r="I4940" i="6"/>
  <c r="F1309" i="17"/>
  <c r="D2600" i="13"/>
  <c r="Q4939" i="6"/>
  <c r="W4939" i="6" s="1"/>
  <c r="M4939" i="6"/>
  <c r="I4939" i="6"/>
  <c r="F1308" i="17"/>
  <c r="D2599" i="13"/>
  <c r="Q4938" i="6"/>
  <c r="W4938" i="6" s="1"/>
  <c r="M4938" i="6"/>
  <c r="I4938" i="6"/>
  <c r="F1307" i="17"/>
  <c r="D2598" i="13"/>
  <c r="Q4937" i="6"/>
  <c r="W4937" i="6" s="1"/>
  <c r="M4937" i="6"/>
  <c r="I4937" i="6"/>
  <c r="F1306" i="17"/>
  <c r="D2597" i="13"/>
  <c r="Q4936" i="6"/>
  <c r="W4936" i="6"/>
  <c r="M4936" i="6"/>
  <c r="I4936" i="6"/>
  <c r="F1305" i="17"/>
  <c r="D2596" i="13"/>
  <c r="F2636" i="13" s="1"/>
  <c r="Q4935" i="6"/>
  <c r="W4935" i="6" s="1"/>
  <c r="M4935" i="6"/>
  <c r="I4935" i="6"/>
  <c r="H1304" i="17"/>
  <c r="G1304" i="17"/>
  <c r="F1304" i="17"/>
  <c r="D2595" i="13"/>
  <c r="N4933" i="6"/>
  <c r="O4933" i="6"/>
  <c r="V4934" i="6"/>
  <c r="Q4933" i="6"/>
  <c r="W4933" i="6"/>
  <c r="M4933" i="6"/>
  <c r="I4933" i="6"/>
  <c r="F1303" i="17"/>
  <c r="D2594" i="13"/>
  <c r="Q4932" i="6"/>
  <c r="W4932" i="6" s="1"/>
  <c r="M4932" i="6"/>
  <c r="I4932" i="6"/>
  <c r="F1302" i="17"/>
  <c r="D2593" i="13"/>
  <c r="M4931" i="6"/>
  <c r="Q4931" i="6"/>
  <c r="W4931" i="6" s="1"/>
  <c r="Q4930" i="6"/>
  <c r="W4930" i="6" s="1"/>
  <c r="I4931" i="6"/>
  <c r="Q4929" i="6"/>
  <c r="W4929" i="6" s="1"/>
  <c r="F1299" i="17"/>
  <c r="D2590" i="13"/>
  <c r="Q4928" i="6"/>
  <c r="W4928" i="6" s="1"/>
  <c r="M4928" i="6"/>
  <c r="I4928" i="6"/>
  <c r="F1298" i="17"/>
  <c r="D2589" i="13"/>
  <c r="Q4927" i="6"/>
  <c r="W4927" i="6" s="1"/>
  <c r="M4927" i="6"/>
  <c r="I4927" i="6"/>
  <c r="F1297" i="17"/>
  <c r="D2588" i="13"/>
  <c r="D2587" i="13"/>
  <c r="Q4926" i="6"/>
  <c r="W4926" i="6" s="1"/>
  <c r="M4926" i="6"/>
  <c r="I4926" i="6"/>
  <c r="F1296" i="17"/>
  <c r="Q4925" i="6"/>
  <c r="W4925" i="6" s="1"/>
  <c r="M4925" i="6"/>
  <c r="I4925" i="6"/>
  <c r="F1295" i="17"/>
  <c r="D2586" i="13"/>
  <c r="Q4924" i="6"/>
  <c r="W4924" i="6" s="1"/>
  <c r="M4924" i="6"/>
  <c r="I4924" i="6"/>
  <c r="D2585" i="13"/>
  <c r="F1294" i="17"/>
  <c r="Q4923" i="6"/>
  <c r="W4923" i="6" s="1"/>
  <c r="M4923" i="6"/>
  <c r="I4923" i="6"/>
  <c r="Q4922" i="6"/>
  <c r="W4922" i="6" s="1"/>
  <c r="M4922" i="6"/>
  <c r="I4922" i="6"/>
  <c r="F1293" i="17"/>
  <c r="D2584" i="13"/>
  <c r="Q4921" i="6"/>
  <c r="W4921" i="6"/>
  <c r="F1292" i="17"/>
  <c r="D2583" i="13"/>
  <c r="I4921" i="6"/>
  <c r="M4921" i="6"/>
  <c r="Q4920" i="6"/>
  <c r="W4920" i="6" s="1"/>
  <c r="F1291" i="17"/>
  <c r="D2582" i="13"/>
  <c r="M4920" i="6"/>
  <c r="I4920" i="6"/>
  <c r="F1290" i="17"/>
  <c r="D2581" i="13"/>
  <c r="Q4918" i="6"/>
  <c r="W4918" i="6" s="1"/>
  <c r="Q4919" i="6"/>
  <c r="W4919" i="6"/>
  <c r="M4919" i="6"/>
  <c r="I4919" i="6"/>
  <c r="F1289" i="17"/>
  <c r="D2580" i="13"/>
  <c r="M4918" i="6"/>
  <c r="I4918" i="6"/>
  <c r="F1288" i="17"/>
  <c r="D2579" i="13"/>
  <c r="Q4917" i="6"/>
  <c r="W4917" i="6" s="1"/>
  <c r="M4917" i="6"/>
  <c r="I4917" i="6"/>
  <c r="F1287" i="17"/>
  <c r="D2578" i="13"/>
  <c r="Q4916" i="6"/>
  <c r="W4916" i="6" s="1"/>
  <c r="M4916" i="6"/>
  <c r="I4916" i="6"/>
  <c r="F1286" i="17"/>
  <c r="D2577" i="13"/>
  <c r="Q4915" i="6"/>
  <c r="W4915" i="6" s="1"/>
  <c r="M4915" i="6"/>
  <c r="I4915" i="6"/>
  <c r="F1285" i="17"/>
  <c r="D2576" i="13"/>
  <c r="Q4914" i="6"/>
  <c r="W4914" i="6" s="1"/>
  <c r="M4914" i="6"/>
  <c r="I4914" i="6"/>
  <c r="F1284" i="17"/>
  <c r="D2575" i="13"/>
  <c r="Q4912" i="6"/>
  <c r="W4912" i="6" s="1"/>
  <c r="M4912" i="6"/>
  <c r="I4912" i="6"/>
  <c r="O4910" i="6"/>
  <c r="Q4913" i="6"/>
  <c r="W4913" i="6" s="1"/>
  <c r="M4913" i="6"/>
  <c r="I4913" i="6"/>
  <c r="F1283" i="17"/>
  <c r="D2574" i="13"/>
  <c r="H1282" i="17"/>
  <c r="G1282" i="17"/>
  <c r="F1282" i="17"/>
  <c r="D2573" i="13"/>
  <c r="D2572" i="13"/>
  <c r="N4910" i="6"/>
  <c r="Q4910" i="6"/>
  <c r="W4910" i="6" s="1"/>
  <c r="M4910" i="6"/>
  <c r="I4910" i="6"/>
  <c r="F1281" i="17"/>
  <c r="Q4909" i="6"/>
  <c r="W4909" i="6" s="1"/>
  <c r="M4909" i="6"/>
  <c r="I4909" i="6"/>
  <c r="F1280" i="17"/>
  <c r="D2571" i="13"/>
  <c r="Q4908" i="6"/>
  <c r="W4908" i="6" s="1"/>
  <c r="M4908" i="6"/>
  <c r="I4908" i="6"/>
  <c r="F1279" i="17"/>
  <c r="D2570" i="13"/>
  <c r="Q4907" i="6"/>
  <c r="W4907" i="6" s="1"/>
  <c r="M4907" i="6"/>
  <c r="I4907" i="6"/>
  <c r="F1278" i="17"/>
  <c r="F1277" i="17"/>
  <c r="D2569" i="13"/>
  <c r="Q4906" i="6"/>
  <c r="W4906" i="6"/>
  <c r="M4906" i="6"/>
  <c r="I4906" i="6"/>
  <c r="D2568" i="13"/>
  <c r="Q4905" i="6"/>
  <c r="W4905" i="6" s="1"/>
  <c r="M4905" i="6"/>
  <c r="I4905" i="6"/>
  <c r="D2567" i="13"/>
  <c r="F1276" i="17"/>
  <c r="Q4904" i="6"/>
  <c r="W4904" i="6" s="1"/>
  <c r="I4904" i="6"/>
  <c r="M4904" i="6"/>
  <c r="F1275" i="17"/>
  <c r="D2566" i="13"/>
  <c r="Q4903" i="6"/>
  <c r="W4903" i="6" s="1"/>
  <c r="M4903" i="6"/>
  <c r="I4903" i="6"/>
  <c r="Q4902" i="6"/>
  <c r="W4902" i="6" s="1"/>
  <c r="F1274" i="17"/>
  <c r="D2565" i="13"/>
  <c r="M4902" i="6"/>
  <c r="I4902" i="6"/>
  <c r="Q4901" i="6"/>
  <c r="W4901" i="6" s="1"/>
  <c r="F1273" i="17"/>
  <c r="D2564" i="13"/>
  <c r="M4901" i="6"/>
  <c r="I4901" i="6"/>
  <c r="Q4900" i="6"/>
  <c r="W4900" i="6" s="1"/>
  <c r="F1272" i="17"/>
  <c r="D2563" i="13"/>
  <c r="I4900" i="6"/>
  <c r="M4900" i="6"/>
  <c r="Q4899" i="6"/>
  <c r="W4899" i="6" s="1"/>
  <c r="F1271" i="17"/>
  <c r="D2562" i="13"/>
  <c r="I4899" i="6"/>
  <c r="M4899" i="6"/>
  <c r="I1270" i="17"/>
  <c r="Q4898" i="6"/>
  <c r="P4898" i="6"/>
  <c r="V4911" i="6" s="1"/>
  <c r="E4898" i="6"/>
  <c r="I4898" i="6" s="1"/>
  <c r="F1270" i="17"/>
  <c r="D2561" i="13"/>
  <c r="M4898" i="6"/>
  <c r="Q4897" i="6"/>
  <c r="W4897" i="6"/>
  <c r="F1269" i="17"/>
  <c r="D2560" i="13"/>
  <c r="M4897" i="6"/>
  <c r="I4897" i="6"/>
  <c r="F1268" i="17"/>
  <c r="D2559" i="13"/>
  <c r="Q4896" i="6"/>
  <c r="W4896" i="6"/>
  <c r="M4896" i="6"/>
  <c r="I4896" i="6"/>
  <c r="F1267" i="17"/>
  <c r="D2558" i="13"/>
  <c r="Q4895" i="6"/>
  <c r="W4895" i="6" s="1"/>
  <c r="M4895" i="6"/>
  <c r="I4895" i="6"/>
  <c r="F1266" i="17"/>
  <c r="D2557" i="13"/>
  <c r="Q4894" i="6"/>
  <c r="W4894" i="6" s="1"/>
  <c r="M4894" i="6"/>
  <c r="I4894" i="6"/>
  <c r="F1265" i="17"/>
  <c r="D2556" i="13"/>
  <c r="Q4893" i="6"/>
  <c r="W4893" i="6" s="1"/>
  <c r="M4893" i="6"/>
  <c r="I4893" i="6"/>
  <c r="F1264" i="17"/>
  <c r="D2555" i="13"/>
  <c r="Q4892" i="6"/>
  <c r="W4892" i="6" s="1"/>
  <c r="O4865" i="6"/>
  <c r="M4892" i="6"/>
  <c r="I4892" i="6"/>
  <c r="F1263" i="17"/>
  <c r="D2554" i="13"/>
  <c r="Q4891" i="6"/>
  <c r="W4891" i="6"/>
  <c r="M4891" i="6"/>
  <c r="I4891" i="6"/>
  <c r="F1262" i="17"/>
  <c r="D2553" i="13"/>
  <c r="Q4890" i="6"/>
  <c r="W4890" i="6" s="1"/>
  <c r="M4890" i="6"/>
  <c r="I4890" i="6"/>
  <c r="F1261" i="17"/>
  <c r="D2552" i="13"/>
  <c r="E2573" i="13" s="1"/>
  <c r="Q4889" i="6"/>
  <c r="W4889" i="6" s="1"/>
  <c r="O4887" i="6"/>
  <c r="M4889" i="6"/>
  <c r="I4889" i="6"/>
  <c r="H1260" i="17"/>
  <c r="G1260" i="17"/>
  <c r="F1260" i="17"/>
  <c r="D2551" i="13"/>
  <c r="V4866" i="6"/>
  <c r="V4888" i="6"/>
  <c r="N4887" i="6"/>
  <c r="Q4887" i="6"/>
  <c r="W4887" i="6" s="1"/>
  <c r="M4887" i="6"/>
  <c r="I4887" i="6"/>
  <c r="I4886" i="6"/>
  <c r="Q4886" i="6"/>
  <c r="W4886" i="6" s="1"/>
  <c r="F1259" i="17"/>
  <c r="D2550" i="13"/>
  <c r="M4886" i="6"/>
  <c r="F1258" i="17"/>
  <c r="Q4885" i="6"/>
  <c r="W4885" i="6" s="1"/>
  <c r="I4885" i="6"/>
  <c r="D2549" i="13"/>
  <c r="M4885" i="6"/>
  <c r="Q4884" i="6"/>
  <c r="W4884" i="6" s="1"/>
  <c r="F1257" i="17"/>
  <c r="D2548" i="13"/>
  <c r="M4884" i="6"/>
  <c r="I4884" i="6"/>
  <c r="F1256" i="17"/>
  <c r="D2547" i="13"/>
  <c r="Q4883" i="6"/>
  <c r="W4883" i="6"/>
  <c r="M4883" i="6"/>
  <c r="I4883" i="6"/>
  <c r="F1255" i="17"/>
  <c r="D2546" i="13"/>
  <c r="Q4882" i="6"/>
  <c r="W4882" i="6" s="1"/>
  <c r="M4882" i="6"/>
  <c r="I4882" i="6"/>
  <c r="M4881" i="6"/>
  <c r="F1254" i="17"/>
  <c r="D2545" i="13"/>
  <c r="Q4881" i="6"/>
  <c r="W4881" i="6" s="1"/>
  <c r="I4881" i="6"/>
  <c r="F1253" i="17"/>
  <c r="D2544" i="13"/>
  <c r="Q4880" i="6"/>
  <c r="W4880" i="6" s="1"/>
  <c r="M4880" i="6"/>
  <c r="I4880" i="6"/>
  <c r="F1252" i="17"/>
  <c r="D2543" i="13"/>
  <c r="Q4879" i="6"/>
  <c r="W4879" i="6" s="1"/>
  <c r="M4879" i="6"/>
  <c r="I4879" i="6"/>
  <c r="Q4878" i="6"/>
  <c r="W4878" i="6" s="1"/>
  <c r="F1251" i="17"/>
  <c r="D2542" i="13"/>
  <c r="M4878" i="6"/>
  <c r="I4878" i="6"/>
  <c r="M4877" i="6"/>
  <c r="Q4877" i="6"/>
  <c r="W4877" i="6" s="1"/>
  <c r="F1250" i="17"/>
  <c r="D2541" i="13"/>
  <c r="I4877" i="6"/>
  <c r="Q4876" i="6"/>
  <c r="W4876" i="6" s="1"/>
  <c r="F1249" i="17"/>
  <c r="D2540" i="13"/>
  <c r="M4876" i="6"/>
  <c r="I4876" i="6"/>
  <c r="F1248" i="17"/>
  <c r="D2539" i="13"/>
  <c r="D2538" i="13"/>
  <c r="Q4875" i="6"/>
  <c r="W4875" i="6" s="1"/>
  <c r="M4875" i="6"/>
  <c r="I4875" i="6"/>
  <c r="F1247" i="17"/>
  <c r="Q4874" i="6"/>
  <c r="W4874" i="6" s="1"/>
  <c r="M4874" i="6"/>
  <c r="I4874" i="6"/>
  <c r="F1246" i="17"/>
  <c r="D2536" i="13"/>
  <c r="D2537" i="13"/>
  <c r="Q4873" i="6"/>
  <c r="W4873" i="6" s="1"/>
  <c r="M4873" i="6"/>
  <c r="I4873" i="6"/>
  <c r="F1245" i="17"/>
  <c r="Q4872" i="6"/>
  <c r="W4872" i="6" s="1"/>
  <c r="M4872" i="6"/>
  <c r="I4872" i="6"/>
  <c r="D2535" i="13"/>
  <c r="F1244" i="17"/>
  <c r="Q4871" i="6"/>
  <c r="M4871" i="6"/>
  <c r="I4871" i="6"/>
  <c r="F1243" i="17"/>
  <c r="D2534" i="13"/>
  <c r="Q4870" i="6"/>
  <c r="M4870" i="6"/>
  <c r="I4870" i="6"/>
  <c r="F1242" i="17"/>
  <c r="D2533" i="13"/>
  <c r="Q4869" i="6"/>
  <c r="M4868" i="6"/>
  <c r="M4869" i="6"/>
  <c r="M4867" i="6"/>
  <c r="I4869" i="6"/>
  <c r="Q4868" i="6"/>
  <c r="D2532" i="13"/>
  <c r="F1241" i="17"/>
  <c r="I4868" i="6"/>
  <c r="Q4865" i="6"/>
  <c r="W4865" i="6"/>
  <c r="H1239" i="17"/>
  <c r="G1239" i="17"/>
  <c r="F1240" i="17"/>
  <c r="F1239" i="17"/>
  <c r="D2531" i="13"/>
  <c r="D2530" i="13"/>
  <c r="I4867" i="6"/>
  <c r="N4865" i="6"/>
  <c r="I4865" i="6"/>
  <c r="M4865" i="6"/>
  <c r="Q4864" i="6"/>
  <c r="W4864" i="6" s="1"/>
  <c r="F1238" i="17"/>
  <c r="D2529" i="13"/>
  <c r="I4864" i="6"/>
  <c r="M4864" i="6"/>
  <c r="Q4863" i="6"/>
  <c r="W4863" i="6" s="1"/>
  <c r="F1237" i="17"/>
  <c r="D2528" i="13"/>
  <c r="M4863" i="6"/>
  <c r="I4863" i="6"/>
  <c r="F1236" i="17"/>
  <c r="D2527" i="13"/>
  <c r="Q4862" i="6"/>
  <c r="W4862" i="6" s="1"/>
  <c r="M4862" i="6"/>
  <c r="I4862" i="6"/>
  <c r="F1235" i="17"/>
  <c r="D2526" i="13"/>
  <c r="Q4861" i="6"/>
  <c r="W4861" i="6" s="1"/>
  <c r="M4861" i="6"/>
  <c r="I4861" i="6"/>
  <c r="Q4860" i="6"/>
  <c r="W4860" i="6" s="1"/>
  <c r="F1234" i="17"/>
  <c r="D2525" i="13"/>
  <c r="M4860" i="6"/>
  <c r="I4860" i="6"/>
  <c r="F1233" i="17"/>
  <c r="D2524" i="13"/>
  <c r="Q4859" i="6"/>
  <c r="W4859" i="6" s="1"/>
  <c r="M4859" i="6"/>
  <c r="I4859" i="6"/>
  <c r="F1232" i="17"/>
  <c r="D2523" i="13"/>
  <c r="Q4858" i="6"/>
  <c r="W4858" i="6" s="1"/>
  <c r="M4858" i="6"/>
  <c r="I4858" i="6"/>
  <c r="F1231" i="17"/>
  <c r="D2522" i="13"/>
  <c r="Q4857" i="6"/>
  <c r="W4857" i="6" s="1"/>
  <c r="M4857" i="6"/>
  <c r="I4857" i="6"/>
  <c r="F1230" i="17"/>
  <c r="D2521" i="13"/>
  <c r="Q4856" i="6"/>
  <c r="W4856" i="6" s="1"/>
  <c r="M4856" i="6"/>
  <c r="I4856" i="6"/>
  <c r="F1226" i="17"/>
  <c r="F1227" i="17"/>
  <c r="F1228" i="17"/>
  <c r="F1229" i="17"/>
  <c r="D2517" i="13"/>
  <c r="D2518" i="13"/>
  <c r="D2519" i="13"/>
  <c r="D2520" i="13"/>
  <c r="Q4855" i="6"/>
  <c r="M4852" i="6"/>
  <c r="M4853" i="6"/>
  <c r="M4854" i="6"/>
  <c r="M4855" i="6"/>
  <c r="I4855" i="6"/>
  <c r="I4854" i="6"/>
  <c r="I4853" i="6"/>
  <c r="I4852" i="6"/>
  <c r="Q4851" i="6"/>
  <c r="W4851" i="6" s="1"/>
  <c r="F1225" i="17"/>
  <c r="D2516" i="13"/>
  <c r="M4851" i="6"/>
  <c r="I4851" i="6"/>
  <c r="F1224" i="17"/>
  <c r="D2515" i="13"/>
  <c r="Q4850" i="6"/>
  <c r="W4850" i="6" s="1"/>
  <c r="M4850" i="6"/>
  <c r="I4850" i="6"/>
  <c r="F1223" i="17"/>
  <c r="D2514" i="13"/>
  <c r="Q4849" i="6"/>
  <c r="W4849" i="6" s="1"/>
  <c r="M4849" i="6"/>
  <c r="I4849" i="6"/>
  <c r="Q4848" i="6"/>
  <c r="W4848" i="6" s="1"/>
  <c r="F1222" i="17"/>
  <c r="D2513" i="13"/>
  <c r="M4848" i="6"/>
  <c r="I4848" i="6"/>
  <c r="F1221" i="17"/>
  <c r="D2512" i="13"/>
  <c r="Q4847" i="6"/>
  <c r="W4847" i="6" s="1"/>
  <c r="M4847" i="6"/>
  <c r="I4847" i="6"/>
  <c r="Q4846" i="6"/>
  <c r="W4846" i="6"/>
  <c r="F1220" i="17"/>
  <c r="D2511" i="13"/>
  <c r="M4846" i="6"/>
  <c r="I4846" i="6"/>
  <c r="Q4845" i="6"/>
  <c r="W4845" i="6" s="1"/>
  <c r="F1219" i="17"/>
  <c r="D2510" i="13"/>
  <c r="E2530" i="13" s="1"/>
  <c r="M4845" i="6"/>
  <c r="I4845" i="6"/>
  <c r="F1218" i="17"/>
  <c r="D2509" i="13"/>
  <c r="O4842" i="6"/>
  <c r="Q4844" i="6"/>
  <c r="W4844" i="6" s="1"/>
  <c r="M4844" i="6"/>
  <c r="I4844" i="6"/>
  <c r="F1217" i="17"/>
  <c r="V4843" i="6"/>
  <c r="M4842" i="6"/>
  <c r="I4842" i="6"/>
  <c r="F1216" i="17"/>
  <c r="H1217" i="17"/>
  <c r="G1217" i="17"/>
  <c r="D2508" i="13"/>
  <c r="D2507" i="13"/>
  <c r="M4841" i="6"/>
  <c r="Q4841" i="6"/>
  <c r="W4841" i="6" s="1"/>
  <c r="Q4842" i="6"/>
  <c r="W4842" i="6" s="1"/>
  <c r="N4842" i="6"/>
  <c r="I4841" i="6"/>
  <c r="Q4839" i="6"/>
  <c r="W4839" i="6" s="1"/>
  <c r="F1214" i="17"/>
  <c r="D2505" i="13"/>
  <c r="M4839" i="6"/>
  <c r="I4839" i="6"/>
  <c r="Q4838" i="6"/>
  <c r="W4838" i="6"/>
  <c r="F1213" i="17"/>
  <c r="D2504" i="13"/>
  <c r="M4838" i="6"/>
  <c r="I4838" i="6"/>
  <c r="Q4837" i="6"/>
  <c r="W4837" i="6" s="1"/>
  <c r="F1212" i="17"/>
  <c r="D2503" i="13"/>
  <c r="M4837" i="6"/>
  <c r="E4837" i="6"/>
  <c r="I4837" i="6" s="1"/>
  <c r="Q4836" i="6"/>
  <c r="W4836" i="6"/>
  <c r="F1211" i="17"/>
  <c r="D2502" i="13"/>
  <c r="M4836" i="6"/>
  <c r="I4836" i="6"/>
  <c r="F1210" i="17"/>
  <c r="D2501" i="13"/>
  <c r="Q4835" i="6"/>
  <c r="W4835" i="6" s="1"/>
  <c r="M4835" i="6"/>
  <c r="I4835" i="6"/>
  <c r="F1209" i="17"/>
  <c r="D2500" i="13"/>
  <c r="Q4834" i="6"/>
  <c r="W4834" i="6" s="1"/>
  <c r="M4834" i="6"/>
  <c r="I4834" i="6"/>
  <c r="D2499" i="13"/>
  <c r="F1208" i="17"/>
  <c r="Q4833" i="6"/>
  <c r="W4833" i="6" s="1"/>
  <c r="M4833" i="6"/>
  <c r="I4833" i="6"/>
  <c r="Q4832" i="6"/>
  <c r="W4832" i="6" s="1"/>
  <c r="F1207" i="17"/>
  <c r="D2498" i="13"/>
  <c r="M4832" i="6"/>
  <c r="I4832" i="6"/>
  <c r="F1206" i="17"/>
  <c r="D2497" i="13"/>
  <c r="Q4831" i="6"/>
  <c r="W4831" i="6" s="1"/>
  <c r="M4831" i="6"/>
  <c r="I4831" i="6"/>
  <c r="F1205" i="17"/>
  <c r="D2496" i="13"/>
  <c r="Q4830" i="6"/>
  <c r="W4830" i="6" s="1"/>
  <c r="Q4829" i="6"/>
  <c r="W4829" i="6" s="1"/>
  <c r="M4830" i="6"/>
  <c r="I4830" i="6"/>
  <c r="F1204" i="17"/>
  <c r="D2495" i="13"/>
  <c r="M4829" i="6"/>
  <c r="I4829" i="6"/>
  <c r="Q4828" i="6"/>
  <c r="W4828" i="6" s="1"/>
  <c r="F1203" i="17"/>
  <c r="D2494" i="13"/>
  <c r="I4828" i="6"/>
  <c r="M4828" i="6"/>
  <c r="Q4827" i="6"/>
  <c r="W4827" i="6" s="1"/>
  <c r="F1202" i="17"/>
  <c r="D2493" i="13"/>
  <c r="I4827" i="6"/>
  <c r="M4827" i="6"/>
  <c r="Q4826" i="6"/>
  <c r="W4826" i="6" s="1"/>
  <c r="F1201" i="17"/>
  <c r="D2492" i="13"/>
  <c r="I4826" i="6"/>
  <c r="M4826" i="6"/>
  <c r="Q4825" i="6"/>
  <c r="W4825" i="6" s="1"/>
  <c r="D2491" i="13"/>
  <c r="F1200" i="17"/>
  <c r="M4825" i="6"/>
  <c r="I4825" i="6"/>
  <c r="Q4824" i="6"/>
  <c r="W4824" i="6" s="1"/>
  <c r="F1199" i="17"/>
  <c r="D2490" i="13"/>
  <c r="M4824" i="6"/>
  <c r="I4824" i="6"/>
  <c r="Q4823" i="6"/>
  <c r="W4823" i="6" s="1"/>
  <c r="F1198" i="17"/>
  <c r="D2489" i="13"/>
  <c r="M4823" i="6"/>
  <c r="I4823" i="6"/>
  <c r="Q4822" i="6"/>
  <c r="W4822" i="6" s="1"/>
  <c r="F1197" i="17"/>
  <c r="D2488" i="13"/>
  <c r="M4822" i="6"/>
  <c r="I4822" i="6"/>
  <c r="Q4821" i="6"/>
  <c r="W4821" i="6"/>
  <c r="F1196" i="17"/>
  <c r="D2487" i="13"/>
  <c r="D2483" i="13"/>
  <c r="M4821" i="6"/>
  <c r="I4821" i="6"/>
  <c r="Q4820" i="6"/>
  <c r="W4820" i="6" s="1"/>
  <c r="H1194" i="17"/>
  <c r="G1194" i="17"/>
  <c r="F1195" i="17"/>
  <c r="D2486" i="13"/>
  <c r="M4820" i="6"/>
  <c r="I4820" i="6"/>
  <c r="Q4818" i="6"/>
  <c r="W4818" i="6" s="1"/>
  <c r="V4819" i="6"/>
  <c r="F1194" i="17"/>
  <c r="D2485" i="13"/>
  <c r="O4818" i="6"/>
  <c r="N4818" i="6"/>
  <c r="M4818" i="6"/>
  <c r="I4818" i="6"/>
  <c r="F1193" i="17"/>
  <c r="D2484" i="13"/>
  <c r="Q4817" i="6"/>
  <c r="W4817" i="6" s="1"/>
  <c r="M4817" i="6"/>
  <c r="I4817" i="6"/>
  <c r="Q4816" i="6"/>
  <c r="W4816" i="6" s="1"/>
  <c r="F1192" i="17"/>
  <c r="M4816" i="6"/>
  <c r="I4816" i="6"/>
  <c r="Q4815" i="6"/>
  <c r="W4815" i="6" s="1"/>
  <c r="F1191" i="17"/>
  <c r="D2482" i="13"/>
  <c r="M4815" i="6"/>
  <c r="I4815" i="6"/>
  <c r="Q4814" i="6"/>
  <c r="W4814" i="6"/>
  <c r="F1190" i="17"/>
  <c r="D2481" i="13"/>
  <c r="M4814" i="6"/>
  <c r="I4814" i="6"/>
  <c r="Q4813" i="6"/>
  <c r="W4813" i="6" s="1"/>
  <c r="F1189" i="17"/>
  <c r="D2480" i="13"/>
  <c r="M4813" i="6"/>
  <c r="I4813" i="6"/>
  <c r="F1188" i="17"/>
  <c r="D2479" i="13"/>
  <c r="Q4812" i="6"/>
  <c r="W4812" i="6" s="1"/>
  <c r="M4812" i="6"/>
  <c r="I4812" i="6"/>
  <c r="Q4811" i="6"/>
  <c r="W4811" i="6"/>
  <c r="F1187" i="17"/>
  <c r="D2478" i="13"/>
  <c r="M4811" i="6"/>
  <c r="I4811" i="6"/>
  <c r="F1186" i="17"/>
  <c r="D2477" i="13"/>
  <c r="Q4810" i="6"/>
  <c r="W4810" i="6" s="1"/>
  <c r="M4810" i="6"/>
  <c r="I4810" i="6"/>
  <c r="F1185" i="17"/>
  <c r="D2476" i="13"/>
  <c r="Q4809" i="6"/>
  <c r="W4809" i="6" s="1"/>
  <c r="M4809" i="6"/>
  <c r="I4809" i="6"/>
  <c r="Q4808" i="6"/>
  <c r="W4808" i="6" s="1"/>
  <c r="F1184" i="17"/>
  <c r="D2475" i="13"/>
  <c r="M4808" i="6"/>
  <c r="I4808" i="6"/>
  <c r="F1183" i="17"/>
  <c r="D2474" i="13"/>
  <c r="Q4807" i="6"/>
  <c r="W4807" i="6" s="1"/>
  <c r="M4807" i="6"/>
  <c r="I4807" i="6"/>
  <c r="Q4806" i="6"/>
  <c r="W4806" i="6" s="1"/>
  <c r="F1182" i="17"/>
  <c r="D2473" i="13"/>
  <c r="I4806" i="6"/>
  <c r="M4806" i="6"/>
  <c r="F1181" i="17"/>
  <c r="D2472" i="13"/>
  <c r="Q4805" i="6"/>
  <c r="W4805" i="6" s="1"/>
  <c r="M4805" i="6"/>
  <c r="I4805" i="6"/>
  <c r="F1180" i="17"/>
  <c r="D2471" i="13"/>
  <c r="Q4804" i="6"/>
  <c r="W4804" i="6" s="1"/>
  <c r="M4804" i="6"/>
  <c r="I4804" i="6"/>
  <c r="F1179" i="17"/>
  <c r="D2470" i="13"/>
  <c r="Q4803" i="6"/>
  <c r="W4803" i="6" s="1"/>
  <c r="M4803" i="6"/>
  <c r="I4803" i="6"/>
  <c r="F1178" i="17"/>
  <c r="D2469" i="13"/>
  <c r="Q4802" i="6"/>
  <c r="W4802" i="6"/>
  <c r="M4802" i="6"/>
  <c r="I4802" i="6"/>
  <c r="F1177" i="17"/>
  <c r="D2468" i="13"/>
  <c r="Q4801" i="6"/>
  <c r="W4801" i="6" s="1"/>
  <c r="M4801" i="6"/>
  <c r="I4801" i="6"/>
  <c r="F1176" i="17"/>
  <c r="D2467" i="13"/>
  <c r="Q4800" i="6"/>
  <c r="W4800" i="6"/>
  <c r="M4800" i="6"/>
  <c r="I4800" i="6"/>
  <c r="F1175" i="17"/>
  <c r="D2466" i="13"/>
  <c r="Q4799" i="6"/>
  <c r="W4799" i="6" s="1"/>
  <c r="M4799" i="6"/>
  <c r="I4799" i="6"/>
  <c r="H1173" i="17"/>
  <c r="F1174" i="17"/>
  <c r="D2465" i="13"/>
  <c r="Q4798" i="6"/>
  <c r="W4798" i="6" s="1"/>
  <c r="M4798" i="6"/>
  <c r="I4798" i="6"/>
  <c r="O4796" i="6"/>
  <c r="V4797" i="6"/>
  <c r="N4796" i="6"/>
  <c r="G1173" i="17"/>
  <c r="F1173" i="17"/>
  <c r="D2464" i="13"/>
  <c r="Q4796" i="6"/>
  <c r="W4796" i="6" s="1"/>
  <c r="M4796" i="6"/>
  <c r="I4796" i="6"/>
  <c r="F1172" i="17"/>
  <c r="D2463" i="13"/>
  <c r="Q4795" i="6"/>
  <c r="W4795" i="6"/>
  <c r="M4795" i="6"/>
  <c r="I4795" i="6"/>
  <c r="F1171" i="17"/>
  <c r="D2462" i="13"/>
  <c r="Q4794" i="6"/>
  <c r="W4794" i="6" s="1"/>
  <c r="M4794" i="6"/>
  <c r="I4794" i="6"/>
  <c r="F1170" i="17"/>
  <c r="D2461" i="13"/>
  <c r="Q4793" i="6"/>
  <c r="W4793" i="6" s="1"/>
  <c r="M4793" i="6"/>
  <c r="I4793" i="6"/>
  <c r="Q4792" i="6"/>
  <c r="W4792" i="6" s="1"/>
  <c r="F1169" i="17"/>
  <c r="D2460" i="13"/>
  <c r="I4792" i="6"/>
  <c r="M4792" i="6"/>
  <c r="D2459" i="13"/>
  <c r="I4791" i="6"/>
  <c r="F1168" i="17"/>
  <c r="Q4791" i="6"/>
  <c r="W4791" i="6"/>
  <c r="M4791" i="6"/>
  <c r="D2458" i="13"/>
  <c r="F1167" i="17"/>
  <c r="Q4790" i="6"/>
  <c r="W4790" i="6" s="1"/>
  <c r="M4790" i="6"/>
  <c r="I4790" i="6"/>
  <c r="D2457" i="13"/>
  <c r="F1166" i="17"/>
  <c r="Q4789" i="6"/>
  <c r="W4789" i="6"/>
  <c r="M4789" i="6"/>
  <c r="I4789" i="6"/>
  <c r="F1165" i="17"/>
  <c r="D2456" i="13"/>
  <c r="Q4788" i="6"/>
  <c r="W4788" i="6" s="1"/>
  <c r="M4788" i="6"/>
  <c r="I4788" i="6"/>
  <c r="F1164" i="17"/>
  <c r="D2455" i="13"/>
  <c r="Q4787" i="6"/>
  <c r="W4787" i="6" s="1"/>
  <c r="M4787" i="6"/>
  <c r="I4787" i="6"/>
  <c r="F1163" i="17"/>
  <c r="D2454" i="13"/>
  <c r="Q4786" i="6"/>
  <c r="W4786" i="6" s="1"/>
  <c r="M4786" i="6"/>
  <c r="I4786" i="6"/>
  <c r="F1162" i="17"/>
  <c r="D2453" i="13"/>
  <c r="Q4785" i="6"/>
  <c r="W4785" i="6"/>
  <c r="M4785" i="6"/>
  <c r="I4785" i="6"/>
  <c r="F1161" i="17"/>
  <c r="D2452" i="13"/>
  <c r="Q4784" i="6"/>
  <c r="W4784" i="6" s="1"/>
  <c r="M4784" i="6"/>
  <c r="I4784" i="6"/>
  <c r="F1160" i="17"/>
  <c r="D2451" i="13"/>
  <c r="Q4783" i="6"/>
  <c r="W4783" i="6" s="1"/>
  <c r="M4783" i="6"/>
  <c r="I4783" i="6"/>
  <c r="D2450" i="13"/>
  <c r="F1159" i="17"/>
  <c r="Q4782" i="6"/>
  <c r="M4782" i="6"/>
  <c r="I4782" i="6"/>
  <c r="F1158" i="17"/>
  <c r="D2449" i="13"/>
  <c r="Q4781" i="6"/>
  <c r="M4781" i="6"/>
  <c r="I4781" i="6"/>
  <c r="F1157" i="17"/>
  <c r="D2448" i="13"/>
  <c r="Q4780" i="6"/>
  <c r="W4780" i="6" s="1"/>
  <c r="M4780" i="6"/>
  <c r="I4780" i="6"/>
  <c r="F1156" i="17"/>
  <c r="D2447" i="13"/>
  <c r="Q4779" i="6"/>
  <c r="W4779" i="6" s="1"/>
  <c r="M4779" i="6"/>
  <c r="I4779" i="6"/>
  <c r="I4777" i="6"/>
  <c r="I4778" i="6"/>
  <c r="F1155" i="17"/>
  <c r="D2446" i="13"/>
  <c r="E2464" i="13" s="1"/>
  <c r="F1154" i="17"/>
  <c r="D2445" i="13"/>
  <c r="Q4778" i="6"/>
  <c r="W4778" i="6" s="1"/>
  <c r="M4778" i="6"/>
  <c r="M4777" i="6"/>
  <c r="Q4776" i="6"/>
  <c r="W4776" i="6" s="1"/>
  <c r="F1153" i="17"/>
  <c r="D2444" i="13"/>
  <c r="M4776" i="6"/>
  <c r="I4776" i="6"/>
  <c r="F1152" i="17"/>
  <c r="D2443" i="13"/>
  <c r="Q4775" i="6"/>
  <c r="W4775" i="6" s="1"/>
  <c r="M4775" i="6"/>
  <c r="I4775" i="6"/>
  <c r="V4774" i="6"/>
  <c r="H1151" i="17"/>
  <c r="O4773" i="6"/>
  <c r="Q4773" i="6"/>
  <c r="W4773" i="6" s="1"/>
  <c r="G1151" i="17"/>
  <c r="F1151" i="17"/>
  <c r="D2442" i="13"/>
  <c r="N4773" i="6"/>
  <c r="M4773" i="6"/>
  <c r="I4773" i="6"/>
  <c r="M4771" i="6"/>
  <c r="Q4772" i="6"/>
  <c r="W4772" i="6"/>
  <c r="Q4771" i="6"/>
  <c r="W4771" i="6" s="1"/>
  <c r="F1149" i="17"/>
  <c r="D2440" i="13"/>
  <c r="I4771" i="6"/>
  <c r="N4750" i="6"/>
  <c r="Q4770" i="6"/>
  <c r="W4770" i="6"/>
  <c r="F1148" i="17"/>
  <c r="D2439" i="13"/>
  <c r="M4770" i="6"/>
  <c r="I4770" i="6"/>
  <c r="F1147" i="17"/>
  <c r="D2438" i="13"/>
  <c r="Q4769" i="6"/>
  <c r="W4769" i="6" s="1"/>
  <c r="M4769" i="6"/>
  <c r="I4769" i="6"/>
  <c r="F1146" i="17"/>
  <c r="D2437" i="13"/>
  <c r="Q4768" i="6"/>
  <c r="W4768" i="6"/>
  <c r="M4768" i="6"/>
  <c r="I4768" i="6"/>
  <c r="F1145" i="17"/>
  <c r="D2436" i="13"/>
  <c r="Q4767" i="6"/>
  <c r="W4767" i="6" s="1"/>
  <c r="M4767" i="6"/>
  <c r="I4767" i="6"/>
  <c r="Q4766" i="6"/>
  <c r="W4766" i="6" s="1"/>
  <c r="I4766" i="6"/>
  <c r="F1144" i="17"/>
  <c r="D2435" i="13"/>
  <c r="M4766" i="6"/>
  <c r="Q4765" i="6"/>
  <c r="W4765" i="6" s="1"/>
  <c r="F1143" i="17"/>
  <c r="D2434" i="13"/>
  <c r="M4765" i="6"/>
  <c r="I4765" i="6"/>
  <c r="F1142" i="17"/>
  <c r="D2433" i="13"/>
  <c r="Q4764" i="6"/>
  <c r="W4764" i="6" s="1"/>
  <c r="M4764" i="6"/>
  <c r="I4764" i="6"/>
  <c r="F1141" i="17"/>
  <c r="D2432" i="13"/>
  <c r="Q4763" i="6"/>
  <c r="W4763" i="6" s="1"/>
  <c r="M4763" i="6"/>
  <c r="I4763" i="6"/>
  <c r="F1140" i="17"/>
  <c r="D2431" i="13"/>
  <c r="Q4762" i="6"/>
  <c r="W4762" i="6" s="1"/>
  <c r="M4762" i="6"/>
  <c r="I4762" i="6"/>
  <c r="F1139" i="17"/>
  <c r="D2430" i="13"/>
  <c r="Q4761" i="6"/>
  <c r="W4761" i="6" s="1"/>
  <c r="M4761" i="6"/>
  <c r="I4761" i="6"/>
  <c r="F1138" i="17"/>
  <c r="D2429" i="13"/>
  <c r="Q4760" i="6"/>
  <c r="W4760" i="6"/>
  <c r="M4760" i="6"/>
  <c r="I4760" i="6"/>
  <c r="F1137" i="17"/>
  <c r="D2428" i="13"/>
  <c r="Q4759" i="6"/>
  <c r="W4759" i="6" s="1"/>
  <c r="M4759" i="6"/>
  <c r="I4759" i="6"/>
  <c r="Q4758" i="6"/>
  <c r="W4758" i="6" s="1"/>
  <c r="F1136" i="17"/>
  <c r="D2427" i="13"/>
  <c r="M4758" i="6"/>
  <c r="I4758" i="6"/>
  <c r="D2426" i="13"/>
  <c r="F1135" i="17"/>
  <c r="Q4757" i="6"/>
  <c r="W4757" i="6" s="1"/>
  <c r="M4757" i="6"/>
  <c r="I4757" i="6"/>
  <c r="F1134" i="17"/>
  <c r="D2425" i="13"/>
  <c r="F1133" i="17"/>
  <c r="D2424" i="13"/>
  <c r="F1132" i="17"/>
  <c r="D2423" i="13"/>
  <c r="Q4754" i="6"/>
  <c r="W4754" i="6" s="1"/>
  <c r="M4755" i="6"/>
  <c r="M4756" i="6"/>
  <c r="M4754" i="6"/>
  <c r="I4756" i="6"/>
  <c r="I4755" i="6"/>
  <c r="I4754" i="6"/>
  <c r="F1131" i="17"/>
  <c r="D2422" i="13"/>
  <c r="Q4753" i="6"/>
  <c r="W4753" i="6"/>
  <c r="M4753" i="6"/>
  <c r="I4753" i="6"/>
  <c r="Q4752" i="6"/>
  <c r="O4750" i="6"/>
  <c r="V4751" i="6"/>
  <c r="Q4750" i="6"/>
  <c r="W4750" i="6" s="1"/>
  <c r="H1129" i="17"/>
  <c r="G1129" i="17"/>
  <c r="F1129" i="17"/>
  <c r="D2420" i="13"/>
  <c r="M4750" i="6"/>
  <c r="I4750" i="6"/>
  <c r="F1128" i="17"/>
  <c r="Q4749" i="6"/>
  <c r="W4749" i="6"/>
  <c r="I4749" i="6"/>
  <c r="D2419" i="13"/>
  <c r="M4749" i="6"/>
  <c r="Q4748" i="6"/>
  <c r="W4748" i="6" s="1"/>
  <c r="F1127" i="17"/>
  <c r="D2418" i="13"/>
  <c r="M4748" i="6"/>
  <c r="I4748" i="6"/>
  <c r="F1126" i="17"/>
  <c r="D2417" i="13"/>
  <c r="Q4747" i="6"/>
  <c r="W4747" i="6" s="1"/>
  <c r="M4747" i="6"/>
  <c r="I4747" i="6"/>
  <c r="F1125" i="17"/>
  <c r="D2416" i="13"/>
  <c r="Q4746" i="6"/>
  <c r="W4746" i="6" s="1"/>
  <c r="M4746" i="6"/>
  <c r="I4746" i="6"/>
  <c r="F1124" i="17"/>
  <c r="D2415" i="13"/>
  <c r="Q4745" i="6"/>
  <c r="W4745" i="6" s="1"/>
  <c r="M4745" i="6"/>
  <c r="I4745" i="6"/>
  <c r="F1123" i="17"/>
  <c r="D2414" i="13"/>
  <c r="Q4744" i="6"/>
  <c r="W4744" i="6" s="1"/>
  <c r="I4744" i="6"/>
  <c r="M4744" i="6"/>
  <c r="F1122" i="17"/>
  <c r="D2413" i="13"/>
  <c r="Q4743" i="6"/>
  <c r="W4743" i="6" s="1"/>
  <c r="M4743" i="6"/>
  <c r="I4743" i="6"/>
  <c r="Q4742" i="6"/>
  <c r="W4742" i="6" s="1"/>
  <c r="F1121" i="17"/>
  <c r="D2412" i="13"/>
  <c r="M4742" i="6"/>
  <c r="I4742" i="6"/>
  <c r="D2411" i="13"/>
  <c r="F1120" i="17"/>
  <c r="Q4741" i="6"/>
  <c r="W4741" i="6" s="1"/>
  <c r="M4741" i="6"/>
  <c r="I4741" i="6"/>
  <c r="D2410" i="13"/>
  <c r="F1119" i="17"/>
  <c r="Q4740" i="6"/>
  <c r="W4740" i="6" s="1"/>
  <c r="M4740" i="6"/>
  <c r="I4740" i="6"/>
  <c r="F1118" i="17"/>
  <c r="D2409" i="13"/>
  <c r="Q4739" i="6"/>
  <c r="W4739" i="6" s="1"/>
  <c r="M4739" i="6"/>
  <c r="I4739" i="6"/>
  <c r="Q4738" i="6"/>
  <c r="W4738" i="6" s="1"/>
  <c r="F1117" i="17"/>
  <c r="D2408" i="13"/>
  <c r="M4738" i="6"/>
  <c r="I4738" i="6"/>
  <c r="F1116" i="17"/>
  <c r="D2407" i="13"/>
  <c r="M4737" i="6"/>
  <c r="I4737" i="6"/>
  <c r="Q4736" i="6"/>
  <c r="W4736" i="6"/>
  <c r="F1115" i="17"/>
  <c r="D2406" i="13"/>
  <c r="M4736" i="6"/>
  <c r="I4736" i="6"/>
  <c r="D2405" i="13"/>
  <c r="F1114" i="17"/>
  <c r="Q4735" i="6"/>
  <c r="W4735" i="6" s="1"/>
  <c r="M4735" i="6"/>
  <c r="I4735" i="6"/>
  <c r="F1113" i="17"/>
  <c r="D2404" i="13"/>
  <c r="Q4734" i="6"/>
  <c r="W4734" i="6" s="1"/>
  <c r="M4734" i="6"/>
  <c r="I4734" i="6"/>
  <c r="F1112" i="17"/>
  <c r="D2403" i="13"/>
  <c r="Q4733" i="6"/>
  <c r="W4733" i="6" s="1"/>
  <c r="M4733" i="6"/>
  <c r="I4733" i="6"/>
  <c r="F1111" i="17"/>
  <c r="D2402" i="13"/>
  <c r="Q4732" i="6"/>
  <c r="W4732" i="6" s="1"/>
  <c r="M4732" i="6"/>
  <c r="I4732" i="6"/>
  <c r="D2401" i="13"/>
  <c r="F1110" i="17"/>
  <c r="Q4731" i="6"/>
  <c r="W4731" i="6" s="1"/>
  <c r="I4731" i="6"/>
  <c r="M4731" i="6"/>
  <c r="F1109" i="17"/>
  <c r="D2400" i="13"/>
  <c r="Q4730" i="6"/>
  <c r="W4730" i="6" s="1"/>
  <c r="O4728" i="6"/>
  <c r="M4730" i="6"/>
  <c r="I4730" i="6"/>
  <c r="H1108" i="17"/>
  <c r="G1108" i="17"/>
  <c r="F1108" i="17"/>
  <c r="D2399" i="13"/>
  <c r="V4729" i="6"/>
  <c r="Q4728" i="6"/>
  <c r="W4728" i="6" s="1"/>
  <c r="N4728" i="6"/>
  <c r="M4728" i="6"/>
  <c r="I4728" i="6"/>
  <c r="F1107" i="17"/>
  <c r="D2398" i="13"/>
  <c r="Q4727" i="6"/>
  <c r="W4727" i="6" s="1"/>
  <c r="M4727" i="6"/>
  <c r="I4727" i="6"/>
  <c r="Q4726" i="6"/>
  <c r="W4726" i="6" s="1"/>
  <c r="F1106" i="17"/>
  <c r="D2397" i="13"/>
  <c r="D2396" i="13"/>
  <c r="D2395" i="13"/>
  <c r="M4726" i="6"/>
  <c r="I4726" i="6"/>
  <c r="Q4725" i="6"/>
  <c r="W4725" i="6" s="1"/>
  <c r="Q4724" i="6"/>
  <c r="W4724" i="6" s="1"/>
  <c r="F1103" i="17"/>
  <c r="D2394" i="13"/>
  <c r="Q4723" i="6"/>
  <c r="W4723" i="6" s="1"/>
  <c r="M4723" i="6"/>
  <c r="I4723" i="6"/>
  <c r="F1102" i="17"/>
  <c r="D2393" i="13"/>
  <c r="Q4722" i="6"/>
  <c r="W4722" i="6" s="1"/>
  <c r="M4722" i="6"/>
  <c r="I4722" i="6"/>
  <c r="F1101" i="17"/>
  <c r="D2392" i="13"/>
  <c r="Q4721" i="6"/>
  <c r="W4721" i="6" s="1"/>
  <c r="M4721" i="6"/>
  <c r="I4721" i="6"/>
  <c r="F1100" i="17"/>
  <c r="D2391" i="13"/>
  <c r="Q4720" i="6"/>
  <c r="W4720" i="6" s="1"/>
  <c r="M4720" i="6"/>
  <c r="I4720" i="6"/>
  <c r="F1099" i="17"/>
  <c r="D2390" i="13"/>
  <c r="Q4719" i="6"/>
  <c r="W4719" i="6" s="1"/>
  <c r="M4719" i="6"/>
  <c r="I4719" i="6"/>
  <c r="F1098" i="17"/>
  <c r="D2389" i="13"/>
  <c r="Q4718" i="6"/>
  <c r="W4718" i="6" s="1"/>
  <c r="M4718" i="6"/>
  <c r="I4718" i="6"/>
  <c r="F1097" i="17"/>
  <c r="D2388" i="13"/>
  <c r="Q4717" i="6"/>
  <c r="W4717" i="6" s="1"/>
  <c r="M4717" i="6"/>
  <c r="I4717" i="6"/>
  <c r="F1096" i="17"/>
  <c r="D2387" i="13"/>
  <c r="Q4716" i="6"/>
  <c r="W4716" i="6" s="1"/>
  <c r="M4716" i="6"/>
  <c r="I4716" i="6"/>
  <c r="F1095" i="17"/>
  <c r="D2386" i="13"/>
  <c r="Q4715" i="6"/>
  <c r="W4715" i="6" s="1"/>
  <c r="M4715" i="6"/>
  <c r="I4715" i="6"/>
  <c r="Q4714" i="6"/>
  <c r="W4714" i="6" s="1"/>
  <c r="F1094" i="17"/>
  <c r="D2385" i="13"/>
  <c r="N4704" i="6"/>
  <c r="I4714" i="6"/>
  <c r="M4714" i="6"/>
  <c r="F1093" i="17"/>
  <c r="D2384" i="13"/>
  <c r="Q4713" i="6"/>
  <c r="W4713" i="6" s="1"/>
  <c r="M4713" i="6"/>
  <c r="I4713" i="6"/>
  <c r="F1092" i="17"/>
  <c r="D2383" i="13"/>
  <c r="Q4712" i="6"/>
  <c r="W4712" i="6" s="1"/>
  <c r="M4712" i="6"/>
  <c r="I4712" i="6"/>
  <c r="F1091" i="17"/>
  <c r="D2382" i="13"/>
  <c r="Q4711" i="6"/>
  <c r="W4711" i="6" s="1"/>
  <c r="M4711" i="6"/>
  <c r="I4711" i="6"/>
  <c r="F1090" i="17"/>
  <c r="D2381" i="13"/>
  <c r="Q4710" i="6"/>
  <c r="W4710" i="6" s="1"/>
  <c r="M4710" i="6"/>
  <c r="I4710" i="6"/>
  <c r="F1089" i="17"/>
  <c r="D2380" i="13"/>
  <c r="Q4709" i="6"/>
  <c r="W4709" i="6" s="1"/>
  <c r="M4709" i="6"/>
  <c r="I4709" i="6"/>
  <c r="Q4708" i="6"/>
  <c r="W4708" i="6" s="1"/>
  <c r="F1088" i="17"/>
  <c r="D2379" i="13"/>
  <c r="M4708" i="6"/>
  <c r="I4708" i="6"/>
  <c r="F1087" i="17"/>
  <c r="D2378" i="13"/>
  <c r="Q4707" i="6"/>
  <c r="W4707" i="6" s="1"/>
  <c r="M4707" i="6"/>
  <c r="I4707" i="6"/>
  <c r="F1086" i="17"/>
  <c r="D2377" i="13"/>
  <c r="Q4706" i="6"/>
  <c r="W4706" i="6" s="1"/>
  <c r="M4706" i="6"/>
  <c r="I4706" i="6"/>
  <c r="H1085" i="17"/>
  <c r="G1085" i="17"/>
  <c r="F1085" i="17"/>
  <c r="D2376" i="13"/>
  <c r="V4683" i="6"/>
  <c r="V4705" i="6"/>
  <c r="Q4704" i="6"/>
  <c r="W4704" i="6" s="1"/>
  <c r="M4704" i="6"/>
  <c r="I4704" i="6"/>
  <c r="Q4703" i="6"/>
  <c r="W4703" i="6" s="1"/>
  <c r="F1084" i="17"/>
  <c r="D2375" i="13"/>
  <c r="I4703" i="6"/>
  <c r="M4703" i="6"/>
  <c r="F1083" i="17"/>
  <c r="D2374" i="13"/>
  <c r="Q4702" i="6"/>
  <c r="W4702" i="6"/>
  <c r="M4702" i="6"/>
  <c r="I4702" i="6"/>
  <c r="F1082" i="17"/>
  <c r="D2373" i="13"/>
  <c r="Q4701" i="6"/>
  <c r="W4701" i="6"/>
  <c r="M4701" i="6"/>
  <c r="I4701" i="6"/>
  <c r="F1081" i="17"/>
  <c r="D2372" i="13"/>
  <c r="Q4700" i="6"/>
  <c r="W4700" i="6"/>
  <c r="M4700" i="6"/>
  <c r="I4700" i="6"/>
  <c r="D2371" i="13"/>
  <c r="F1080" i="17"/>
  <c r="Q4699" i="6"/>
  <c r="W4699" i="6"/>
  <c r="M4699" i="6"/>
  <c r="I4699" i="6"/>
  <c r="F1079" i="17"/>
  <c r="D2370" i="13"/>
  <c r="Q4698" i="6"/>
  <c r="W4698" i="6"/>
  <c r="M4698" i="6"/>
  <c r="I4698" i="6"/>
  <c r="F1078" i="17"/>
  <c r="D2369" i="13"/>
  <c r="Q4697" i="6"/>
  <c r="W4697" i="6"/>
  <c r="M4697" i="6"/>
  <c r="I4697" i="6"/>
  <c r="F1077" i="17"/>
  <c r="D2368" i="13"/>
  <c r="Q4696" i="6"/>
  <c r="W4696" i="6"/>
  <c r="M4696" i="6"/>
  <c r="I4696" i="6"/>
  <c r="F1076" i="17"/>
  <c r="D2367" i="13"/>
  <c r="Q4695" i="6"/>
  <c r="W4695" i="6"/>
  <c r="M4695" i="6"/>
  <c r="I4695" i="6"/>
  <c r="F1075" i="17"/>
  <c r="D2366" i="13"/>
  <c r="Q4694" i="6"/>
  <c r="W4694" i="6"/>
  <c r="M4694" i="6"/>
  <c r="I4694" i="6"/>
  <c r="O4661" i="6"/>
  <c r="D2365" i="13"/>
  <c r="F1074" i="17"/>
  <c r="Q4693" i="6"/>
  <c r="M4693" i="6"/>
  <c r="I4693" i="6"/>
  <c r="F1073" i="17"/>
  <c r="D2364" i="13"/>
  <c r="Q4692" i="6"/>
  <c r="M4692" i="6"/>
  <c r="I4692" i="6"/>
  <c r="F1072" i="17"/>
  <c r="I4691" i="6"/>
  <c r="F1071" i="17"/>
  <c r="M4691" i="6"/>
  <c r="M4690" i="6"/>
  <c r="I4690" i="6"/>
  <c r="F1070" i="17"/>
  <c r="M4689" i="6"/>
  <c r="I4689" i="6"/>
  <c r="F1069" i="17"/>
  <c r="D2363" i="13"/>
  <c r="D2362" i="13"/>
  <c r="D2361" i="13"/>
  <c r="D2360" i="13"/>
  <c r="Q4688" i="6"/>
  <c r="M4688" i="6"/>
  <c r="I4688" i="6"/>
  <c r="D2359" i="13"/>
  <c r="I4687" i="6"/>
  <c r="F1068" i="17"/>
  <c r="M4687" i="6"/>
  <c r="Q4687" i="6"/>
  <c r="W4687" i="6" s="1"/>
  <c r="F1067" i="17"/>
  <c r="D2358" i="13"/>
  <c r="Q4686" i="6"/>
  <c r="W4686" i="6" s="1"/>
  <c r="M4686" i="6"/>
  <c r="I4686" i="6"/>
  <c r="F1066" i="17"/>
  <c r="D2357" i="13"/>
  <c r="Q4685" i="6"/>
  <c r="W4685" i="6" s="1"/>
  <c r="M4685" i="6"/>
  <c r="I4685" i="6"/>
  <c r="H1064" i="17"/>
  <c r="F1065" i="17"/>
  <c r="D2356" i="13"/>
  <c r="Q4684" i="6"/>
  <c r="W4684" i="6" s="1"/>
  <c r="M4684" i="6"/>
  <c r="I4684" i="6"/>
  <c r="G1064" i="17"/>
  <c r="F1064" i="17"/>
  <c r="D2355" i="13"/>
  <c r="V4662" i="6"/>
  <c r="Q4682" i="6"/>
  <c r="W4682" i="6" s="1"/>
  <c r="N4682" i="6"/>
  <c r="M4682" i="6"/>
  <c r="I4682" i="6"/>
  <c r="Q4681" i="6"/>
  <c r="W4681" i="6"/>
  <c r="F1063" i="17"/>
  <c r="D2354" i="13"/>
  <c r="I4681" i="6"/>
  <c r="M4681" i="6"/>
  <c r="F1062" i="17"/>
  <c r="D2353" i="13"/>
  <c r="Q4680" i="6"/>
  <c r="W4680" i="6" s="1"/>
  <c r="M4680" i="6"/>
  <c r="I4680" i="6"/>
  <c r="F1061" i="17"/>
  <c r="D2352" i="13"/>
  <c r="Q4679" i="6"/>
  <c r="W4679" i="6" s="1"/>
  <c r="M4679" i="6"/>
  <c r="I4679" i="6"/>
  <c r="F1060" i="17"/>
  <c r="D2351" i="13"/>
  <c r="Q4678" i="6"/>
  <c r="W4678" i="6" s="1"/>
  <c r="M4678" i="6"/>
  <c r="I4678" i="6"/>
  <c r="F1059" i="17"/>
  <c r="D2350" i="13"/>
  <c r="Q4677" i="6"/>
  <c r="W4677" i="6" s="1"/>
  <c r="M4677" i="6"/>
  <c r="I4677" i="6"/>
  <c r="F1058" i="17"/>
  <c r="D2349" i="13"/>
  <c r="Q4676" i="6"/>
  <c r="W4676" i="6" s="1"/>
  <c r="M4676" i="6"/>
  <c r="I4676" i="6"/>
  <c r="F1057" i="17"/>
  <c r="D2348" i="13"/>
  <c r="Q4675" i="6"/>
  <c r="W4675" i="6" s="1"/>
  <c r="M4675" i="6"/>
  <c r="I4675" i="6"/>
  <c r="F1056" i="17"/>
  <c r="D2347" i="13"/>
  <c r="Q4674" i="6"/>
  <c r="W4674" i="6" s="1"/>
  <c r="M4674" i="6"/>
  <c r="I4674" i="6"/>
  <c r="F1055" i="17"/>
  <c r="D2346" i="13"/>
  <c r="Q4673" i="6"/>
  <c r="W4673" i="6" s="1"/>
  <c r="M4673" i="6"/>
  <c r="I4673" i="6"/>
  <c r="F1054" i="17"/>
  <c r="D2345" i="13"/>
  <c r="Q4672" i="6"/>
  <c r="W4672" i="6" s="1"/>
  <c r="M4672" i="6"/>
  <c r="I4672" i="6"/>
  <c r="F1053" i="17"/>
  <c r="D2344" i="13"/>
  <c r="Q4671" i="6"/>
  <c r="W4671" i="6"/>
  <c r="M4671" i="6"/>
  <c r="I4671" i="6"/>
  <c r="F1052" i="17"/>
  <c r="D2343" i="13"/>
  <c r="Q4670" i="6"/>
  <c r="W4670" i="6" s="1"/>
  <c r="M4670" i="6"/>
  <c r="I4670" i="6"/>
  <c r="F1051" i="17"/>
  <c r="D2342" i="13"/>
  <c r="Q4669" i="6"/>
  <c r="W4669" i="6" s="1"/>
  <c r="M4669" i="6"/>
  <c r="I4669" i="6"/>
  <c r="F1050" i="17"/>
  <c r="D2341" i="13"/>
  <c r="Q4668" i="6"/>
  <c r="W4668" i="6" s="1"/>
  <c r="M4668" i="6"/>
  <c r="I4668" i="6"/>
  <c r="F1049" i="17"/>
  <c r="D2340" i="13"/>
  <c r="Q4667" i="6"/>
  <c r="W4667" i="6" s="1"/>
  <c r="M4667" i="6"/>
  <c r="I4667" i="6"/>
  <c r="F1048" i="17"/>
  <c r="D2339" i="13"/>
  <c r="Q4666" i="6"/>
  <c r="W4666" i="6" s="1"/>
  <c r="M4666" i="6"/>
  <c r="I4666" i="6"/>
  <c r="F1047" i="17"/>
  <c r="D2338" i="13"/>
  <c r="Q4665" i="6"/>
  <c r="W4665" i="6" s="1"/>
  <c r="M4665" i="6"/>
  <c r="I4665" i="6"/>
  <c r="F1046" i="17"/>
  <c r="D2337" i="13"/>
  <c r="Q4664" i="6"/>
  <c r="W4664" i="6" s="1"/>
  <c r="M4664" i="6"/>
  <c r="I4664" i="6"/>
  <c r="F1045" i="17"/>
  <c r="D2336" i="13"/>
  <c r="Q4663" i="6"/>
  <c r="W4663" i="6" s="1"/>
  <c r="M4663" i="6"/>
  <c r="I4663" i="6"/>
  <c r="H1044" i="17"/>
  <c r="G1044" i="17"/>
  <c r="F1044" i="17"/>
  <c r="D2335" i="13"/>
  <c r="N4661" i="6"/>
  <c r="Q4661" i="6"/>
  <c r="W4661" i="6" s="1"/>
  <c r="I4661" i="6"/>
  <c r="M4661" i="6"/>
  <c r="Q4660" i="6"/>
  <c r="W4660" i="6" s="1"/>
  <c r="F1042" i="17"/>
  <c r="F1043" i="17"/>
  <c r="D2334" i="13"/>
  <c r="I4660" i="6"/>
  <c r="M4660" i="6"/>
  <c r="D2333" i="13"/>
  <c r="Q4659" i="6"/>
  <c r="W4659" i="6"/>
  <c r="M4659" i="6"/>
  <c r="I4659" i="6"/>
  <c r="Q4658" i="6"/>
  <c r="W4658" i="6" s="1"/>
  <c r="F1040" i="17"/>
  <c r="D2331" i="13"/>
  <c r="Q4657" i="6"/>
  <c r="W4657" i="6" s="1"/>
  <c r="M4657" i="6"/>
  <c r="I4657" i="6"/>
  <c r="F1039" i="17"/>
  <c r="D2330" i="13"/>
  <c r="Q4656" i="6"/>
  <c r="W4656" i="6"/>
  <c r="M4656" i="6"/>
  <c r="I4656" i="6"/>
  <c r="F1038" i="17"/>
  <c r="D2329" i="13"/>
  <c r="Q4655" i="6"/>
  <c r="W4655" i="6" s="1"/>
  <c r="M4655" i="6"/>
  <c r="I4655" i="6"/>
  <c r="F1037" i="17"/>
  <c r="D2328" i="13"/>
  <c r="Q4654" i="6"/>
  <c r="W4654" i="6" s="1"/>
  <c r="M4654" i="6"/>
  <c r="I4654" i="6"/>
  <c r="F1036" i="17"/>
  <c r="D2327" i="13"/>
  <c r="Q4653" i="6"/>
  <c r="W4653" i="6" s="1"/>
  <c r="M4653" i="6"/>
  <c r="I4653" i="6"/>
  <c r="F1035" i="17"/>
  <c r="D2326" i="13"/>
  <c r="Q4652" i="6"/>
  <c r="M4652" i="6"/>
  <c r="I4652" i="6"/>
  <c r="F1034" i="17"/>
  <c r="D2325" i="13"/>
  <c r="Q4651" i="6"/>
  <c r="M4651" i="6"/>
  <c r="I4651" i="6"/>
  <c r="F1033" i="17"/>
  <c r="D2324" i="13"/>
  <c r="Q4650" i="6"/>
  <c r="M4650" i="6"/>
  <c r="I4650" i="6"/>
  <c r="F1032" i="17"/>
  <c r="D2323" i="13"/>
  <c r="Q4649" i="6"/>
  <c r="W4649" i="6" s="1"/>
  <c r="M4649" i="6"/>
  <c r="I4649" i="6"/>
  <c r="F1031" i="17"/>
  <c r="F1030" i="17"/>
  <c r="D2322" i="13"/>
  <c r="D2321" i="13"/>
  <c r="Q4647" i="6"/>
  <c r="W4647" i="6" s="1"/>
  <c r="Q4648" i="6"/>
  <c r="W4648" i="6" s="1"/>
  <c r="M4648" i="6"/>
  <c r="M4647" i="6"/>
  <c r="I4648" i="6"/>
  <c r="I4647" i="6"/>
  <c r="F1029" i="17"/>
  <c r="D2320" i="13"/>
  <c r="Q4646" i="6"/>
  <c r="W4646" i="6" s="1"/>
  <c r="M4646" i="6"/>
  <c r="I4646" i="6"/>
  <c r="F1028" i="17"/>
  <c r="D2319" i="13"/>
  <c r="Q4645" i="6"/>
  <c r="W4645" i="6" s="1"/>
  <c r="M4645" i="6"/>
  <c r="I4645" i="6"/>
  <c r="O4638" i="6"/>
  <c r="F1027" i="17"/>
  <c r="D2318" i="13"/>
  <c r="Q4644" i="6"/>
  <c r="W4644" i="6" s="1"/>
  <c r="M4644" i="6"/>
  <c r="I4644" i="6"/>
  <c r="F1026" i="17"/>
  <c r="D2317" i="13"/>
  <c r="Q4643" i="6"/>
  <c r="W4643" i="6" s="1"/>
  <c r="M4643" i="6"/>
  <c r="I4643" i="6"/>
  <c r="F1025" i="17"/>
  <c r="D2316" i="13"/>
  <c r="Q4642" i="6"/>
  <c r="W4642" i="6" s="1"/>
  <c r="M4642" i="6"/>
  <c r="I4642" i="6"/>
  <c r="I4641" i="6"/>
  <c r="F1024" i="17"/>
  <c r="D2315" i="13"/>
  <c r="Q4641" i="6"/>
  <c r="W4641" i="6" s="1"/>
  <c r="M4641" i="6"/>
  <c r="H1022" i="17"/>
  <c r="F1022" i="17"/>
  <c r="F1023" i="17"/>
  <c r="D2314" i="13"/>
  <c r="E2335" i="13" s="1"/>
  <c r="Q4640" i="6"/>
  <c r="W4640" i="6" s="1"/>
  <c r="M4640" i="6"/>
  <c r="I4640" i="6"/>
  <c r="V4639" i="6"/>
  <c r="I4638" i="6"/>
  <c r="G1022" i="17"/>
  <c r="D2313" i="13"/>
  <c r="Q4638" i="6"/>
  <c r="W4638" i="6" s="1"/>
  <c r="N4638" i="6"/>
  <c r="M4638" i="6"/>
  <c r="F1021" i="17"/>
  <c r="D2312" i="13"/>
  <c r="Q4637" i="6"/>
  <c r="W4637" i="6"/>
  <c r="M4637" i="6"/>
  <c r="I4637" i="6"/>
  <c r="F1020" i="17"/>
  <c r="D2311" i="13"/>
  <c r="Q4636" i="6"/>
  <c r="W4636" i="6" s="1"/>
  <c r="M4636" i="6"/>
  <c r="I4636" i="6"/>
  <c r="F1019" i="17"/>
  <c r="D2310" i="13"/>
  <c r="Q4635" i="6"/>
  <c r="W4635" i="6" s="1"/>
  <c r="M4635" i="6"/>
  <c r="I4635" i="6"/>
  <c r="F1018" i="17"/>
  <c r="D2309" i="13"/>
  <c r="Q4634" i="6"/>
  <c r="W4634" i="6"/>
  <c r="M4634" i="6"/>
  <c r="I4634" i="6"/>
  <c r="F1017" i="17"/>
  <c r="D2308" i="13"/>
  <c r="Q4633" i="6"/>
  <c r="W4633" i="6"/>
  <c r="M4633" i="6"/>
  <c r="I4633" i="6"/>
  <c r="F1016" i="17"/>
  <c r="D2307" i="13"/>
  <c r="Q4632" i="6"/>
  <c r="W4632" i="6"/>
  <c r="M4632" i="6"/>
  <c r="I4632" i="6"/>
  <c r="F1015" i="17"/>
  <c r="D2306" i="13"/>
  <c r="Q4631" i="6"/>
  <c r="W4631" i="6" s="1"/>
  <c r="M4631" i="6"/>
  <c r="I4631" i="6"/>
  <c r="D2305" i="13"/>
  <c r="Q4630" i="6"/>
  <c r="W4630" i="6" s="1"/>
  <c r="F1014" i="17"/>
  <c r="I4630" i="6"/>
  <c r="M4630" i="6"/>
  <c r="M4629" i="6"/>
  <c r="Q4629" i="6"/>
  <c r="W4629" i="6" s="1"/>
  <c r="F1013" i="17"/>
  <c r="D2304" i="13"/>
  <c r="I4629" i="6"/>
  <c r="O4616" i="6"/>
  <c r="F1012" i="17"/>
  <c r="D2303" i="13"/>
  <c r="Q4628" i="6"/>
  <c r="W4628" i="6" s="1"/>
  <c r="M4628" i="6"/>
  <c r="I4628" i="6"/>
  <c r="F1011" i="17"/>
  <c r="D2302" i="13"/>
  <c r="Q4627" i="6"/>
  <c r="W4627" i="6" s="1"/>
  <c r="M4627" i="6"/>
  <c r="I4627" i="6"/>
  <c r="F1010" i="17"/>
  <c r="D2301" i="13"/>
  <c r="Q4626" i="6"/>
  <c r="W4626" i="6" s="1"/>
  <c r="M4626" i="6"/>
  <c r="I4626" i="6"/>
  <c r="F1009" i="17"/>
  <c r="D2300" i="13"/>
  <c r="Q4625" i="6"/>
  <c r="W4625" i="6" s="1"/>
  <c r="M4625" i="6"/>
  <c r="I4625" i="6"/>
  <c r="F1008" i="17"/>
  <c r="D2299" i="13"/>
  <c r="Q4624" i="6"/>
  <c r="W4624" i="6" s="1"/>
  <c r="M4624" i="6"/>
  <c r="I4624" i="6"/>
  <c r="F1007" i="17"/>
  <c r="D2298" i="13"/>
  <c r="Q4623" i="6"/>
  <c r="W4623" i="6" s="1"/>
  <c r="M4623" i="6"/>
  <c r="I4623" i="6"/>
  <c r="F1006" i="17"/>
  <c r="D2297" i="13"/>
  <c r="Q4622" i="6"/>
  <c r="W4622" i="6" s="1"/>
  <c r="M4622" i="6"/>
  <c r="I4622" i="6"/>
  <c r="F1005" i="17"/>
  <c r="D2296" i="13"/>
  <c r="Q4621" i="6"/>
  <c r="W4621" i="6" s="1"/>
  <c r="M4621" i="6"/>
  <c r="I4621" i="6"/>
  <c r="F1004" i="17"/>
  <c r="D2295" i="13"/>
  <c r="Q4620" i="6"/>
  <c r="W4620" i="6" s="1"/>
  <c r="M4620" i="6"/>
  <c r="I4620" i="6"/>
  <c r="F1003" i="17"/>
  <c r="D2294" i="13"/>
  <c r="Q4619" i="6"/>
  <c r="W4619" i="6" s="1"/>
  <c r="M4619" i="6"/>
  <c r="I4619" i="6"/>
  <c r="H1001" i="17"/>
  <c r="G1001" i="17"/>
  <c r="F1002" i="17"/>
  <c r="N4593" i="6"/>
  <c r="N4616" i="6"/>
  <c r="O4593" i="6"/>
  <c r="D2293" i="13"/>
  <c r="Q4618" i="6"/>
  <c r="W4618" i="6"/>
  <c r="M4618" i="6"/>
  <c r="I4618" i="6"/>
  <c r="V4617" i="6"/>
  <c r="F1001" i="17"/>
  <c r="D2292" i="13"/>
  <c r="I4616" i="6"/>
  <c r="M4616" i="6"/>
  <c r="Q4616" i="6"/>
  <c r="W4616" i="6" s="1"/>
  <c r="F1000" i="17"/>
  <c r="D2291" i="13"/>
  <c r="Q4615" i="6"/>
  <c r="W4615" i="6" s="1"/>
  <c r="M4615" i="6"/>
  <c r="I4615" i="6"/>
  <c r="F999" i="17"/>
  <c r="D2290" i="13"/>
  <c r="Q4614" i="6"/>
  <c r="W4614" i="6" s="1"/>
  <c r="M4614" i="6"/>
  <c r="I4614" i="6"/>
  <c r="F998" i="17"/>
  <c r="D2289" i="13"/>
  <c r="Q4613" i="6"/>
  <c r="W4613" i="6" s="1"/>
  <c r="M4613" i="6"/>
  <c r="I4613" i="6"/>
  <c r="F997" i="17"/>
  <c r="D2288" i="13"/>
  <c r="Q4612" i="6"/>
  <c r="W4612" i="6" s="1"/>
  <c r="M4612" i="6"/>
  <c r="I4612" i="6"/>
  <c r="F996" i="17"/>
  <c r="D2287" i="13"/>
  <c r="Q4611" i="6"/>
  <c r="W4611" i="6"/>
  <c r="M4611" i="6"/>
  <c r="I4611" i="6"/>
  <c r="Q4609" i="6"/>
  <c r="W4609" i="6" s="1"/>
  <c r="Q4610" i="6"/>
  <c r="W4610" i="6" s="1"/>
  <c r="F995" i="17"/>
  <c r="D2286" i="13"/>
  <c r="I4610" i="6"/>
  <c r="M4610" i="6"/>
  <c r="F994" i="17"/>
  <c r="D2285" i="13"/>
  <c r="I4609" i="6"/>
  <c r="M4609" i="6"/>
  <c r="Q4608" i="6"/>
  <c r="W4608" i="6" s="1"/>
  <c r="F993" i="17"/>
  <c r="D2284" i="13"/>
  <c r="I4608" i="6"/>
  <c r="M4608" i="6"/>
  <c r="F992" i="17"/>
  <c r="D2283" i="13"/>
  <c r="Q4607" i="6"/>
  <c r="W4607" i="6" s="1"/>
  <c r="M4607" i="6"/>
  <c r="I4607" i="6"/>
  <c r="F991" i="17"/>
  <c r="D2282" i="13"/>
  <c r="Q4606" i="6"/>
  <c r="W4606" i="6" s="1"/>
  <c r="M4606" i="6"/>
  <c r="I4606" i="6"/>
  <c r="F990" i="17"/>
  <c r="D2281" i="13"/>
  <c r="Q4605" i="6"/>
  <c r="W4605" i="6" s="1"/>
  <c r="M4605" i="6"/>
  <c r="I4605" i="6"/>
  <c r="F989" i="17"/>
  <c r="D2280" i="13"/>
  <c r="Q4604" i="6"/>
  <c r="W4604" i="6" s="1"/>
  <c r="M4604" i="6"/>
  <c r="I4604" i="6"/>
  <c r="F988" i="17"/>
  <c r="D2279" i="13"/>
  <c r="Q4603" i="6"/>
  <c r="W4603" i="6" s="1"/>
  <c r="M4603" i="6"/>
  <c r="I4603" i="6"/>
  <c r="F987" i="17"/>
  <c r="D2278" i="13"/>
  <c r="Q4602" i="6"/>
  <c r="W4602" i="6" s="1"/>
  <c r="M4602" i="6"/>
  <c r="I4602" i="6"/>
  <c r="F986" i="17"/>
  <c r="D2277" i="13"/>
  <c r="M4601" i="6"/>
  <c r="I4601" i="6"/>
  <c r="F985" i="17"/>
  <c r="D2276" i="13"/>
  <c r="Q4601" i="6"/>
  <c r="W4601" i="6" s="1"/>
  <c r="Q4600" i="6"/>
  <c r="M4600" i="6"/>
  <c r="I4600" i="6"/>
  <c r="F984" i="17"/>
  <c r="D2275" i="13"/>
  <c r="Q4599" i="6"/>
  <c r="M4599" i="6"/>
  <c r="I4599" i="6"/>
  <c r="F983" i="17"/>
  <c r="D2274" i="13"/>
  <c r="Q4598" i="6"/>
  <c r="M4598" i="6"/>
  <c r="I4598" i="6"/>
  <c r="F982" i="17"/>
  <c r="D2273" i="13"/>
  <c r="Q4597" i="6"/>
  <c r="M4597" i="6"/>
  <c r="I4597" i="6"/>
  <c r="F981" i="17"/>
  <c r="D2272" i="13"/>
  <c r="Q4596" i="6"/>
  <c r="M4596" i="6"/>
  <c r="I4596" i="6"/>
  <c r="F980" i="17"/>
  <c r="D2271" i="13"/>
  <c r="Q4595" i="6"/>
  <c r="M4595" i="6"/>
  <c r="I4595" i="6"/>
  <c r="O4570" i="6"/>
  <c r="H979" i="17"/>
  <c r="G979" i="17"/>
  <c r="F979" i="17"/>
  <c r="D2270" i="13"/>
  <c r="V4571" i="6"/>
  <c r="V4594" i="6"/>
  <c r="O4321" i="6"/>
  <c r="Q4593" i="6"/>
  <c r="W4593" i="6" s="1"/>
  <c r="M4593" i="6"/>
  <c r="I4593" i="6"/>
  <c r="Q4592" i="6"/>
  <c r="W4592" i="6" s="1"/>
  <c r="F978" i="17"/>
  <c r="D2269" i="13"/>
  <c r="M4592" i="6"/>
  <c r="I4592" i="6"/>
  <c r="F977" i="17"/>
  <c r="D2268" i="13"/>
  <c r="M4591" i="6"/>
  <c r="I4591" i="6"/>
  <c r="F976" i="17"/>
  <c r="D2267" i="13"/>
  <c r="I4590" i="6"/>
  <c r="M4590" i="6"/>
  <c r="F975" i="17"/>
  <c r="D2266" i="13"/>
  <c r="Q4589" i="6"/>
  <c r="W4589" i="6" s="1"/>
  <c r="M4589" i="6"/>
  <c r="I4589" i="6"/>
  <c r="Q4588" i="6"/>
  <c r="W4588" i="6"/>
  <c r="F974" i="17"/>
  <c r="D2265" i="13"/>
  <c r="M4588" i="6"/>
  <c r="I4588" i="6"/>
  <c r="F973" i="17"/>
  <c r="D2264" i="13"/>
  <c r="Q4587" i="6"/>
  <c r="W4587" i="6" s="1"/>
  <c r="M4587" i="6"/>
  <c r="I4587" i="6"/>
  <c r="Q4586" i="6"/>
  <c r="W4586" i="6" s="1"/>
  <c r="F972" i="17"/>
  <c r="D2263" i="13"/>
  <c r="M4586" i="6"/>
  <c r="I4586" i="6"/>
  <c r="F971" i="17"/>
  <c r="D2262" i="13"/>
  <c r="Q4585" i="6"/>
  <c r="W4585" i="6"/>
  <c r="M4585" i="6"/>
  <c r="I4585" i="6"/>
  <c r="F970" i="17"/>
  <c r="D2261" i="13"/>
  <c r="Q4584" i="6"/>
  <c r="W4584" i="6" s="1"/>
  <c r="M4584" i="6"/>
  <c r="I4584" i="6"/>
  <c r="F969" i="17"/>
  <c r="D2260" i="13"/>
  <c r="Q4583" i="6"/>
  <c r="W4583" i="6"/>
  <c r="M4583" i="6"/>
  <c r="I4583" i="6"/>
  <c r="Q4582" i="6"/>
  <c r="W4582" i="6" s="1"/>
  <c r="F968" i="17"/>
  <c r="D2259" i="13"/>
  <c r="I4582" i="6"/>
  <c r="M4582" i="6"/>
  <c r="Q4581" i="6"/>
  <c r="W4581" i="6" s="1"/>
  <c r="H697" i="17"/>
  <c r="H719" i="17"/>
  <c r="F967" i="17"/>
  <c r="D2258" i="13"/>
  <c r="I4581" i="6"/>
  <c r="M4581" i="6"/>
  <c r="Q4580" i="6"/>
  <c r="W4580" i="6" s="1"/>
  <c r="F966" i="17"/>
  <c r="D2257" i="13"/>
  <c r="I4580" i="6"/>
  <c r="M4580" i="6"/>
  <c r="Q4579" i="6"/>
  <c r="W4579" i="6" s="1"/>
  <c r="F965" i="17"/>
  <c r="D2256" i="13"/>
  <c r="I4579" i="6"/>
  <c r="M4579" i="6"/>
  <c r="Q4578" i="6"/>
  <c r="W4578" i="6" s="1"/>
  <c r="F964" i="17"/>
  <c r="D2255" i="13"/>
  <c r="I4578" i="6"/>
  <c r="M4578" i="6"/>
  <c r="Q4577" i="6"/>
  <c r="W4577" i="6" s="1"/>
  <c r="Q4576" i="6"/>
  <c r="W4576" i="6" s="1"/>
  <c r="F963" i="17"/>
  <c r="D2254" i="13"/>
  <c r="I4577" i="6"/>
  <c r="M4577" i="6"/>
  <c r="F962" i="17"/>
  <c r="D2253" i="13"/>
  <c r="I4576" i="6"/>
  <c r="M4576" i="6"/>
  <c r="Q4575" i="6"/>
  <c r="F961" i="17"/>
  <c r="D2252" i="13"/>
  <c r="I4575" i="6"/>
  <c r="M4575" i="6"/>
  <c r="Q4574" i="6"/>
  <c r="F960" i="17"/>
  <c r="D2251" i="13"/>
  <c r="I4574" i="6"/>
  <c r="M4574" i="6"/>
  <c r="Q4573" i="6"/>
  <c r="W4573" i="6" s="1"/>
  <c r="D2249" i="13"/>
  <c r="F959" i="17"/>
  <c r="D2250" i="13"/>
  <c r="I4573" i="6"/>
  <c r="M4573" i="6"/>
  <c r="Q4572" i="6"/>
  <c r="W4572" i="6" s="1"/>
  <c r="F958" i="17"/>
  <c r="I4572" i="6"/>
  <c r="M4572" i="6"/>
  <c r="Q4570" i="6"/>
  <c r="W4570" i="6" s="1"/>
  <c r="G957" i="17"/>
  <c r="H957" i="17"/>
  <c r="Q4569" i="6"/>
  <c r="W4569" i="6" s="1"/>
  <c r="F956" i="17"/>
  <c r="D2247" i="13"/>
  <c r="N4570" i="6"/>
  <c r="I4569" i="6"/>
  <c r="M4569" i="6"/>
  <c r="Q4568" i="6"/>
  <c r="W4568" i="6"/>
  <c r="F955" i="17"/>
  <c r="D2246" i="13"/>
  <c r="I4568" i="6"/>
  <c r="M4568" i="6"/>
  <c r="Q4567" i="6"/>
  <c r="W4567" i="6" s="1"/>
  <c r="F954" i="17"/>
  <c r="D2245" i="13"/>
  <c r="I4567" i="6"/>
  <c r="M4567" i="6"/>
  <c r="F953" i="17"/>
  <c r="D2244" i="13"/>
  <c r="Q4566" i="6"/>
  <c r="W4566" i="6" s="1"/>
  <c r="M4566" i="6"/>
  <c r="I4566" i="6"/>
  <c r="F952" i="17"/>
  <c r="D2243" i="13"/>
  <c r="Q4565" i="6"/>
  <c r="W4565" i="6" s="1"/>
  <c r="M4565" i="6"/>
  <c r="I4565" i="6"/>
  <c r="Q4564" i="6"/>
  <c r="W4564" i="6" s="1"/>
  <c r="M4564" i="6"/>
  <c r="I4564" i="6"/>
  <c r="F951" i="17"/>
  <c r="D2242" i="13"/>
  <c r="Q4563" i="6"/>
  <c r="W4563" i="6"/>
  <c r="F950" i="17"/>
  <c r="D2241" i="13"/>
  <c r="I4563" i="6"/>
  <c r="M4563" i="6"/>
  <c r="Q4562" i="6"/>
  <c r="W4562" i="6" s="1"/>
  <c r="F949" i="17"/>
  <c r="D2240" i="13"/>
  <c r="I4562" i="6"/>
  <c r="M4562" i="6"/>
  <c r="Q4561" i="6"/>
  <c r="W4561" i="6" s="1"/>
  <c r="F948" i="17"/>
  <c r="I4561" i="6"/>
  <c r="M4561" i="6"/>
  <c r="D2239" i="13"/>
  <c r="Q4560" i="6"/>
  <c r="W4560" i="6" s="1"/>
  <c r="F947" i="17"/>
  <c r="D2238" i="13"/>
  <c r="I4560" i="6"/>
  <c r="M4560" i="6"/>
  <c r="Q4558" i="6"/>
  <c r="W4558" i="6" s="1"/>
  <c r="Q4559" i="6"/>
  <c r="W4559" i="6" s="1"/>
  <c r="Q4557" i="6"/>
  <c r="W4557" i="6" s="1"/>
  <c r="H676" i="17"/>
  <c r="F946" i="17"/>
  <c r="D2237" i="13"/>
  <c r="I4559" i="6"/>
  <c r="M4559" i="6"/>
  <c r="F945" i="17"/>
  <c r="D2236" i="13"/>
  <c r="I4558" i="6"/>
  <c r="M4558" i="6"/>
  <c r="F944" i="17"/>
  <c r="D2235" i="13"/>
  <c r="Q4556" i="6"/>
  <c r="W4556" i="6" s="1"/>
  <c r="M4557" i="6"/>
  <c r="I4557" i="6"/>
  <c r="F943" i="17"/>
  <c r="D2234" i="13"/>
  <c r="M4556" i="6"/>
  <c r="D2233" i="13"/>
  <c r="I4556" i="6"/>
  <c r="F942" i="17"/>
  <c r="Q4555" i="6"/>
  <c r="W4555" i="6" s="1"/>
  <c r="M4555" i="6"/>
  <c r="I4555" i="6"/>
  <c r="F941" i="17"/>
  <c r="D2232" i="13"/>
  <c r="Q4554" i="6"/>
  <c r="W4554" i="6" s="1"/>
  <c r="Q4553" i="6"/>
  <c r="W4553" i="6" s="1"/>
  <c r="M4554" i="6"/>
  <c r="I4554" i="6"/>
  <c r="F940" i="17"/>
  <c r="D2231" i="13"/>
  <c r="I4553" i="6"/>
  <c r="M4553" i="6"/>
  <c r="Q4552" i="6"/>
  <c r="W4552" i="6" s="1"/>
  <c r="F939" i="17"/>
  <c r="D2230" i="13"/>
  <c r="I4552" i="6"/>
  <c r="M4552" i="6"/>
  <c r="Q4551" i="6"/>
  <c r="W4551" i="6" s="1"/>
  <c r="Q4550" i="6"/>
  <c r="W4550" i="6" s="1"/>
  <c r="M4551" i="6"/>
  <c r="F938" i="17"/>
  <c r="D2229" i="13"/>
  <c r="I4551" i="6"/>
  <c r="F937" i="17"/>
  <c r="D2228" i="13"/>
  <c r="I4550" i="6"/>
  <c r="M4550" i="6"/>
  <c r="Q4548" i="6"/>
  <c r="W4548" i="6" s="1"/>
  <c r="V4549" i="6"/>
  <c r="G936" i="17"/>
  <c r="H936" i="17"/>
  <c r="F936" i="17"/>
  <c r="D2227" i="13"/>
  <c r="O4548" i="6"/>
  <c r="N4548" i="6"/>
  <c r="I4548" i="6"/>
  <c r="M4548" i="6"/>
  <c r="Q4547" i="6"/>
  <c r="W4547" i="6" s="1"/>
  <c r="F935" i="17"/>
  <c r="D2226" i="13"/>
  <c r="I4547" i="6"/>
  <c r="M4547" i="6"/>
  <c r="Q4546" i="6"/>
  <c r="W4546" i="6" s="1"/>
  <c r="F934" i="17"/>
  <c r="D2225" i="13"/>
  <c r="I4546" i="6"/>
  <c r="M4546" i="6"/>
  <c r="Q4545" i="6"/>
  <c r="W4545" i="6" s="1"/>
  <c r="H913" i="17"/>
  <c r="F933" i="17"/>
  <c r="D2224" i="13"/>
  <c r="I4545" i="6"/>
  <c r="M4545" i="6"/>
  <c r="Q4544" i="6"/>
  <c r="W4544" i="6" s="1"/>
  <c r="F932" i="17"/>
  <c r="D2223" i="13"/>
  <c r="I4544" i="6"/>
  <c r="M4544" i="6"/>
  <c r="Q4543" i="6"/>
  <c r="W4543" i="6" s="1"/>
  <c r="F931" i="17"/>
  <c r="D2222" i="13"/>
  <c r="I4543" i="6"/>
  <c r="M4543" i="6"/>
  <c r="Q4542" i="6"/>
  <c r="W4542" i="6" s="1"/>
  <c r="F930" i="17"/>
  <c r="D2221" i="13"/>
  <c r="I4542" i="6"/>
  <c r="M4542" i="6"/>
  <c r="Q4541" i="6"/>
  <c r="W4541" i="6" s="1"/>
  <c r="F929" i="17"/>
  <c r="D2220" i="13"/>
  <c r="I4541" i="6"/>
  <c r="M4541" i="6"/>
  <c r="Q4540" i="6"/>
  <c r="W4540" i="6" s="1"/>
  <c r="F928" i="17"/>
  <c r="D2219" i="13"/>
  <c r="I4540" i="6"/>
  <c r="M4540" i="6"/>
  <c r="Q4539" i="6"/>
  <c r="W4539" i="6" s="1"/>
  <c r="F927" i="17"/>
  <c r="D2218" i="13"/>
  <c r="I4539" i="6"/>
  <c r="M4539" i="6"/>
  <c r="Q4538" i="6"/>
  <c r="W4538" i="6" s="1"/>
  <c r="F926" i="17"/>
  <c r="D2217" i="13"/>
  <c r="I4538" i="6"/>
  <c r="M4538" i="6"/>
  <c r="Q4537" i="6"/>
  <c r="W4537" i="6" s="1"/>
  <c r="F925" i="17"/>
  <c r="D2216" i="13"/>
  <c r="I4537" i="6"/>
  <c r="M4537" i="6"/>
  <c r="Q4536" i="6"/>
  <c r="W4536" i="6" s="1"/>
  <c r="F924" i="17"/>
  <c r="D2215" i="13"/>
  <c r="I4536" i="6"/>
  <c r="M4536" i="6"/>
  <c r="Q4535" i="6"/>
  <c r="W4535" i="6" s="1"/>
  <c r="F923" i="17"/>
  <c r="D2214" i="13"/>
  <c r="I4535" i="6"/>
  <c r="M4535" i="6"/>
  <c r="Q4534" i="6"/>
  <c r="W4534" i="6" s="1"/>
  <c r="F922" i="17"/>
  <c r="D2213" i="13"/>
  <c r="I4534" i="6"/>
  <c r="M4534" i="6"/>
  <c r="Q4533" i="6"/>
  <c r="W4533" i="6" s="1"/>
  <c r="F921" i="17"/>
  <c r="D2212" i="13"/>
  <c r="I4533" i="6"/>
  <c r="M4533" i="6"/>
  <c r="Q4532" i="6"/>
  <c r="W4532" i="6" s="1"/>
  <c r="F920" i="17"/>
  <c r="D2211" i="13"/>
  <c r="I4532" i="6"/>
  <c r="M4532" i="6"/>
  <c r="Q4531" i="6"/>
  <c r="W4531" i="6" s="1"/>
  <c r="F919" i="17"/>
  <c r="D2210" i="13"/>
  <c r="I4531" i="6"/>
  <c r="M4531" i="6"/>
  <c r="Q4530" i="6"/>
  <c r="W4530" i="6" s="1"/>
  <c r="F918" i="17"/>
  <c r="D2209" i="13"/>
  <c r="I4530" i="6"/>
  <c r="M4530" i="6"/>
  <c r="Q4529" i="6"/>
  <c r="W4529" i="6" s="1"/>
  <c r="F917" i="17"/>
  <c r="D2208" i="13"/>
  <c r="I4529" i="6"/>
  <c r="M4529" i="6"/>
  <c r="Q4528" i="6"/>
  <c r="W4528" i="6" s="1"/>
  <c r="F916" i="17"/>
  <c r="D2207" i="13"/>
  <c r="I4528" i="6"/>
  <c r="M4528" i="6"/>
  <c r="Q4527" i="6"/>
  <c r="W4527" i="6" s="1"/>
  <c r="F915" i="17"/>
  <c r="D2206" i="13"/>
  <c r="I4527" i="6"/>
  <c r="M4527" i="6"/>
  <c r="N4524" i="6"/>
  <c r="O4524" i="6"/>
  <c r="Q4526" i="6"/>
  <c r="W4526" i="6" s="1"/>
  <c r="F914" i="17"/>
  <c r="D2205" i="13"/>
  <c r="I4526" i="6"/>
  <c r="M4526" i="6"/>
  <c r="Q4524" i="6"/>
  <c r="W4524" i="6" s="1"/>
  <c r="G913" i="17"/>
  <c r="V4525" i="6"/>
  <c r="F913" i="17"/>
  <c r="D2204" i="13"/>
  <c r="I4524" i="6"/>
  <c r="M4524" i="6"/>
  <c r="Q4523" i="6"/>
  <c r="W4523" i="6" s="1"/>
  <c r="F912" i="17"/>
  <c r="D2203" i="13"/>
  <c r="I4523" i="6"/>
  <c r="M4523" i="6"/>
  <c r="Q4522" i="6"/>
  <c r="W4522" i="6" s="1"/>
  <c r="F911" i="17"/>
  <c r="D2202" i="13"/>
  <c r="I4522" i="6"/>
  <c r="M4522" i="6"/>
  <c r="Q4521" i="6"/>
  <c r="W4521" i="6" s="1"/>
  <c r="F910" i="17"/>
  <c r="D2201" i="13"/>
  <c r="I4521" i="6"/>
  <c r="M4521" i="6"/>
  <c r="Q4520" i="6"/>
  <c r="W4520" i="6" s="1"/>
  <c r="F909" i="17"/>
  <c r="D2200" i="13"/>
  <c r="I4520" i="6"/>
  <c r="M4520" i="6"/>
  <c r="H653" i="17"/>
  <c r="Q4519" i="6"/>
  <c r="W4519" i="6" s="1"/>
  <c r="F908" i="17"/>
  <c r="D2199" i="13"/>
  <c r="I4519" i="6"/>
  <c r="M4519" i="6"/>
  <c r="Q4518" i="6"/>
  <c r="F907" i="17"/>
  <c r="D2198" i="13"/>
  <c r="I4518" i="6"/>
  <c r="M4518" i="6"/>
  <c r="Q4517" i="6"/>
  <c r="W4517" i="6" s="1"/>
  <c r="F906" i="17"/>
  <c r="D2197" i="13"/>
  <c r="I4517" i="6"/>
  <c r="M4517" i="6"/>
  <c r="Q4516" i="6"/>
  <c r="W4516" i="6"/>
  <c r="F905" i="17"/>
  <c r="D2196" i="13"/>
  <c r="I4516" i="6"/>
  <c r="M4516" i="6"/>
  <c r="Q4515" i="6"/>
  <c r="W4515" i="6" s="1"/>
  <c r="F904" i="17"/>
  <c r="D2195" i="13"/>
  <c r="I4515" i="6"/>
  <c r="M4515" i="6"/>
  <c r="Q4514" i="6"/>
  <c r="W4514" i="6" s="1"/>
  <c r="F903" i="17"/>
  <c r="D2194" i="13"/>
  <c r="I4514" i="6"/>
  <c r="M4514" i="6"/>
  <c r="Q4513" i="6"/>
  <c r="W4513" i="6"/>
  <c r="F902" i="17"/>
  <c r="D2193" i="13"/>
  <c r="I4513" i="6"/>
  <c r="M4513" i="6"/>
  <c r="Q4512" i="6"/>
  <c r="W4512" i="6" s="1"/>
  <c r="O4252" i="6"/>
  <c r="F901" i="17"/>
  <c r="D2192" i="13"/>
  <c r="I4512" i="6"/>
  <c r="M4512" i="6"/>
  <c r="Q4511" i="6"/>
  <c r="W4511" i="6" s="1"/>
  <c r="F900" i="17"/>
  <c r="D2191" i="13"/>
  <c r="I4511" i="6"/>
  <c r="M4511" i="6"/>
  <c r="Q4510" i="6"/>
  <c r="W4510" i="6" s="1"/>
  <c r="F899" i="17"/>
  <c r="D2190" i="13"/>
  <c r="I4510" i="6"/>
  <c r="M4510" i="6"/>
  <c r="Q4509" i="6"/>
  <c r="W4509" i="6" s="1"/>
  <c r="F898" i="17"/>
  <c r="D2189" i="13"/>
  <c r="I4509" i="6"/>
  <c r="M4509" i="6"/>
  <c r="Q4508" i="6"/>
  <c r="W4508" i="6" s="1"/>
  <c r="F897" i="17"/>
  <c r="D2188" i="13"/>
  <c r="I4508" i="6"/>
  <c r="M4508" i="6"/>
  <c r="Q4507" i="6"/>
  <c r="W4507" i="6" s="1"/>
  <c r="F896" i="17"/>
  <c r="I4507" i="6"/>
  <c r="M4507" i="6"/>
  <c r="D2187" i="13"/>
  <c r="Q4506" i="6"/>
  <c r="W4506" i="6"/>
  <c r="F895" i="17"/>
  <c r="D2186" i="13"/>
  <c r="I4506" i="6"/>
  <c r="M4506" i="6"/>
  <c r="Q4505" i="6"/>
  <c r="W4505" i="6" s="1"/>
  <c r="F894" i="17"/>
  <c r="D2185" i="13"/>
  <c r="I4505" i="6"/>
  <c r="M4505" i="6"/>
  <c r="Q4504" i="6"/>
  <c r="W4504" i="6" s="1"/>
  <c r="F893" i="17"/>
  <c r="D2184" i="13"/>
  <c r="I4504" i="6"/>
  <c r="M4504" i="6"/>
  <c r="Q4503" i="6"/>
  <c r="W4503" i="6" s="1"/>
  <c r="D2183" i="13"/>
  <c r="F892" i="17"/>
  <c r="I4503" i="6"/>
  <c r="M4503" i="6"/>
  <c r="V4502" i="6"/>
  <c r="Q4501" i="6"/>
  <c r="W4501" i="6" s="1"/>
  <c r="H891" i="17"/>
  <c r="G891" i="17"/>
  <c r="F891" i="17"/>
  <c r="D2182" i="13"/>
  <c r="I4501" i="6"/>
  <c r="O4501" i="6"/>
  <c r="N4501" i="6"/>
  <c r="M4501" i="6"/>
  <c r="Q4500" i="6"/>
  <c r="W4500" i="6" s="1"/>
  <c r="Q4499" i="6"/>
  <c r="W4499" i="6" s="1"/>
  <c r="Q4498" i="6"/>
  <c r="W4498" i="6" s="1"/>
  <c r="F890" i="17"/>
  <c r="D2181" i="13"/>
  <c r="I4500" i="6"/>
  <c r="M4500" i="6"/>
  <c r="F889" i="17"/>
  <c r="D2180" i="13"/>
  <c r="I4499" i="6"/>
  <c r="I4498" i="6"/>
  <c r="M4499" i="6"/>
  <c r="F888" i="17"/>
  <c r="D2179" i="13"/>
  <c r="M4498" i="6"/>
  <c r="Q4496" i="6"/>
  <c r="W4496" i="6" s="1"/>
  <c r="F886" i="17"/>
  <c r="D2177" i="13"/>
  <c r="I4496" i="6"/>
  <c r="M4496" i="6"/>
  <c r="Q4495" i="6"/>
  <c r="W4495" i="6" s="1"/>
  <c r="F885" i="17"/>
  <c r="D2176" i="13"/>
  <c r="I4495" i="6"/>
  <c r="M4495" i="6"/>
  <c r="O4479" i="6"/>
  <c r="Q4494" i="6"/>
  <c r="W4494" i="6"/>
  <c r="F884" i="17"/>
  <c r="D2175" i="13"/>
  <c r="I4494" i="6"/>
  <c r="M4494" i="6"/>
  <c r="Q4493" i="6"/>
  <c r="W4493" i="6" s="1"/>
  <c r="F883" i="17"/>
  <c r="D2174" i="13"/>
  <c r="I4493" i="6"/>
  <c r="M4493" i="6"/>
  <c r="Q4492" i="6"/>
  <c r="W4492" i="6" s="1"/>
  <c r="Q4491" i="6"/>
  <c r="W4491" i="6"/>
  <c r="D2172" i="13"/>
  <c r="F882" i="17"/>
  <c r="D2173" i="13"/>
  <c r="I4492" i="6"/>
  <c r="M4492" i="6"/>
  <c r="F881" i="17"/>
  <c r="I4491" i="6"/>
  <c r="M4491" i="6"/>
  <c r="Q4489" i="6"/>
  <c r="W4489" i="6"/>
  <c r="Q4490" i="6"/>
  <c r="W4490" i="6" s="1"/>
  <c r="F880" i="17"/>
  <c r="D2171" i="13"/>
  <c r="I4490" i="6"/>
  <c r="M4490" i="6"/>
  <c r="F879" i="17"/>
  <c r="D2170" i="13"/>
  <c r="I4489" i="6"/>
  <c r="M4489" i="6"/>
  <c r="Q4488" i="6"/>
  <c r="W4488" i="6"/>
  <c r="F878" i="17"/>
  <c r="D2169" i="13"/>
  <c r="I4488" i="6"/>
  <c r="M4488" i="6"/>
  <c r="Q4487" i="6"/>
  <c r="W4487" i="6" s="1"/>
  <c r="F877" i="17"/>
  <c r="D2168" i="13"/>
  <c r="I4487" i="6"/>
  <c r="M4487" i="6"/>
  <c r="Q4482" i="6"/>
  <c r="W4482" i="6" s="1"/>
  <c r="Q4486" i="6"/>
  <c r="W4486" i="6" s="1"/>
  <c r="H870" i="17"/>
  <c r="F876" i="17"/>
  <c r="D2167" i="13"/>
  <c r="I4486" i="6"/>
  <c r="M4486" i="6"/>
  <c r="Q4485" i="6"/>
  <c r="W4485" i="6"/>
  <c r="F875" i="17"/>
  <c r="D2166" i="13"/>
  <c r="I4485" i="6"/>
  <c r="M4485" i="6"/>
  <c r="Q4484" i="6"/>
  <c r="W4484" i="6"/>
  <c r="F874" i="17"/>
  <c r="D2165" i="13"/>
  <c r="I4484" i="6"/>
  <c r="M4484" i="6"/>
  <c r="V4480" i="6"/>
  <c r="Q4483" i="6"/>
  <c r="W4483" i="6" s="1"/>
  <c r="F873" i="17"/>
  <c r="D2164" i="13"/>
  <c r="I4483" i="6"/>
  <c r="M4483" i="6"/>
  <c r="F871" i="17"/>
  <c r="D2162" i="13"/>
  <c r="I4481" i="6"/>
  <c r="M4481" i="6"/>
  <c r="G870" i="17"/>
  <c r="F870" i="17"/>
  <c r="D2161" i="13"/>
  <c r="I4479" i="6"/>
  <c r="N4479" i="6"/>
  <c r="M4479" i="6"/>
  <c r="Q4478" i="6"/>
  <c r="W4478" i="6" s="1"/>
  <c r="F869" i="17"/>
  <c r="D2160" i="13"/>
  <c r="I4478" i="6"/>
  <c r="M4478" i="6"/>
  <c r="Q4477" i="6"/>
  <c r="W4477" i="6" s="1"/>
  <c r="F868" i="17"/>
  <c r="D2159" i="13"/>
  <c r="I4477" i="6"/>
  <c r="M4477" i="6"/>
  <c r="Q4476" i="6"/>
  <c r="W4476" i="6" s="1"/>
  <c r="F867" i="17"/>
  <c r="D2158" i="13"/>
  <c r="I4476" i="6"/>
  <c r="M4476" i="6"/>
  <c r="D2157" i="13"/>
  <c r="Q4475" i="6"/>
  <c r="W4475" i="6" s="1"/>
  <c r="F866" i="17"/>
  <c r="I4475" i="6"/>
  <c r="M4475" i="6"/>
  <c r="Q4474" i="6"/>
  <c r="W4474" i="6" s="1"/>
  <c r="F865" i="17"/>
  <c r="D2156" i="13"/>
  <c r="D2155" i="13"/>
  <c r="I4474" i="6"/>
  <c r="M4474" i="6"/>
  <c r="F864" i="17"/>
  <c r="Q4473" i="6"/>
  <c r="W4473" i="6"/>
  <c r="I4473" i="6"/>
  <c r="M4473" i="6"/>
  <c r="Q4472" i="6"/>
  <c r="W4472" i="6" s="1"/>
  <c r="F863" i="17"/>
  <c r="D2154" i="13"/>
  <c r="I4472" i="6"/>
  <c r="M4472" i="6"/>
  <c r="Q4471" i="6"/>
  <c r="W4471" i="6" s="1"/>
  <c r="F862" i="17"/>
  <c r="D2153" i="13"/>
  <c r="I4471" i="6"/>
  <c r="M4471" i="6"/>
  <c r="N4456" i="6"/>
  <c r="F861" i="17"/>
  <c r="D2152" i="13"/>
  <c r="Q4470" i="6"/>
  <c r="W4470" i="6" s="1"/>
  <c r="I4470" i="6"/>
  <c r="M4470" i="6"/>
  <c r="D2151" i="13"/>
  <c r="M4469" i="6"/>
  <c r="Q4469" i="6"/>
  <c r="W4469" i="6"/>
  <c r="I4469" i="6"/>
  <c r="F860" i="17"/>
  <c r="Q4468" i="6"/>
  <c r="W4468" i="6" s="1"/>
  <c r="F859" i="17"/>
  <c r="D2150" i="13"/>
  <c r="I4468" i="6"/>
  <c r="M4468" i="6"/>
  <c r="Q4467" i="6"/>
  <c r="W4467" i="6" s="1"/>
  <c r="F858" i="17"/>
  <c r="D2149" i="13"/>
  <c r="I4467" i="6"/>
  <c r="M4467" i="6"/>
  <c r="Q4466" i="6"/>
  <c r="W4466" i="6" s="1"/>
  <c r="F857" i="17"/>
  <c r="D2148" i="13"/>
  <c r="I4466" i="6"/>
  <c r="M4466" i="6"/>
  <c r="Q4465" i="6"/>
  <c r="W4465" i="6" s="1"/>
  <c r="F856" i="17"/>
  <c r="D2147" i="13"/>
  <c r="I4465" i="6"/>
  <c r="M4465" i="6"/>
  <c r="H610" i="17"/>
  <c r="H588" i="17"/>
  <c r="Q4464" i="6"/>
  <c r="W4464" i="6" s="1"/>
  <c r="F855" i="17"/>
  <c r="D2146" i="13"/>
  <c r="I4464" i="6"/>
  <c r="M4464" i="6"/>
  <c r="Q4463" i="6"/>
  <c r="W4463" i="6" s="1"/>
  <c r="F854" i="17"/>
  <c r="D2145" i="13"/>
  <c r="I4463" i="6"/>
  <c r="M4463" i="6"/>
  <c r="Q4462" i="6"/>
  <c r="W4462" i="6" s="1"/>
  <c r="F853" i="17"/>
  <c r="D2144" i="13"/>
  <c r="I4462" i="6"/>
  <c r="M4462" i="6"/>
  <c r="Q4461" i="6"/>
  <c r="Q4460" i="6"/>
  <c r="W4460" i="6" s="1"/>
  <c r="Q4459" i="6"/>
  <c r="W4459" i="6" s="1"/>
  <c r="F850" i="17"/>
  <c r="D2141" i="13"/>
  <c r="I4459" i="6"/>
  <c r="M4459" i="6"/>
  <c r="Q4458" i="6"/>
  <c r="W4458" i="6"/>
  <c r="F849" i="17"/>
  <c r="D2140" i="13"/>
  <c r="I4458" i="6"/>
  <c r="M4458" i="6"/>
  <c r="O4456" i="6"/>
  <c r="O4433" i="6"/>
  <c r="V4457" i="6"/>
  <c r="D2139" i="13"/>
  <c r="H848" i="17"/>
  <c r="G848" i="17"/>
  <c r="Q4456" i="6"/>
  <c r="W4456" i="6" s="1"/>
  <c r="F848" i="17"/>
  <c r="M4456" i="6"/>
  <c r="I4456" i="6"/>
  <c r="Q4455" i="6"/>
  <c r="W4455" i="6" s="1"/>
  <c r="F847" i="17"/>
  <c r="D2138" i="13"/>
  <c r="I4455" i="6"/>
  <c r="M4455" i="6"/>
  <c r="Q4454" i="6"/>
  <c r="W4454" i="6"/>
  <c r="F846" i="17"/>
  <c r="D2137" i="13"/>
  <c r="I4454" i="6"/>
  <c r="M4454" i="6"/>
  <c r="Q4453" i="6"/>
  <c r="W4453" i="6" s="1"/>
  <c r="F845" i="17"/>
  <c r="D2136" i="13"/>
  <c r="I4453" i="6"/>
  <c r="M4453" i="6"/>
  <c r="Q4452" i="6"/>
  <c r="W4452" i="6" s="1"/>
  <c r="F844" i="17"/>
  <c r="D2135" i="13"/>
  <c r="I4452" i="6"/>
  <c r="M4452" i="6"/>
  <c r="Q4451" i="6"/>
  <c r="W4451" i="6" s="1"/>
  <c r="F843" i="17"/>
  <c r="D2134" i="13"/>
  <c r="I4451" i="6"/>
  <c r="M4451" i="6"/>
  <c r="Q4450" i="6"/>
  <c r="W4450" i="6" s="1"/>
  <c r="F842" i="17"/>
  <c r="D2133" i="13"/>
  <c r="I4450" i="6"/>
  <c r="M4450" i="6"/>
  <c r="Q4449" i="6"/>
  <c r="W4449" i="6" s="1"/>
  <c r="D2132" i="13"/>
  <c r="G826" i="17"/>
  <c r="F841" i="17"/>
  <c r="I4449" i="6"/>
  <c r="M4449" i="6"/>
  <c r="Q4448" i="6"/>
  <c r="W4448" i="6" s="1"/>
  <c r="F840" i="17"/>
  <c r="D2131" i="13"/>
  <c r="I4448" i="6"/>
  <c r="M4448" i="6"/>
  <c r="Q4447" i="6"/>
  <c r="W4447" i="6" s="1"/>
  <c r="F839" i="17"/>
  <c r="D2130" i="13"/>
  <c r="I4447" i="6"/>
  <c r="M4447" i="6"/>
  <c r="D2129" i="13"/>
  <c r="Q4446" i="6"/>
  <c r="W4446" i="6" s="1"/>
  <c r="F838" i="17"/>
  <c r="I4446" i="6"/>
  <c r="M4446" i="6"/>
  <c r="Q4445" i="6"/>
  <c r="W4445" i="6" s="1"/>
  <c r="F837" i="17"/>
  <c r="D2128" i="13"/>
  <c r="I4445" i="6"/>
  <c r="M4445" i="6"/>
  <c r="Q4444" i="6"/>
  <c r="W4444" i="6" s="1"/>
  <c r="F836" i="17"/>
  <c r="D2127" i="13"/>
  <c r="I4444" i="6"/>
  <c r="M4444" i="6"/>
  <c r="Q4443" i="6"/>
  <c r="W4443" i="6" s="1"/>
  <c r="N4433" i="6"/>
  <c r="F835" i="17"/>
  <c r="D2126" i="13"/>
  <c r="I4443" i="6"/>
  <c r="M4443" i="6"/>
  <c r="Q4442" i="6"/>
  <c r="W4442" i="6" s="1"/>
  <c r="F834" i="17"/>
  <c r="D2125" i="13"/>
  <c r="I4442" i="6"/>
  <c r="M4442" i="6"/>
  <c r="Q4441" i="6"/>
  <c r="W4441" i="6" s="1"/>
  <c r="F833" i="17"/>
  <c r="D2124" i="13"/>
  <c r="I4441" i="6"/>
  <c r="M4441" i="6"/>
  <c r="M4440" i="6"/>
  <c r="Q4440" i="6"/>
  <c r="W4440" i="6" s="1"/>
  <c r="F832" i="17"/>
  <c r="D2123" i="13"/>
  <c r="I4440" i="6"/>
  <c r="Q4439" i="6"/>
  <c r="W4439" i="6" s="1"/>
  <c r="F831" i="17"/>
  <c r="D2122" i="13"/>
  <c r="I4439" i="6"/>
  <c r="M4439" i="6"/>
  <c r="F830" i="17"/>
  <c r="D2121" i="13"/>
  <c r="Q4438" i="6"/>
  <c r="W4438" i="6" s="1"/>
  <c r="M4438" i="6"/>
  <c r="I4438" i="6"/>
  <c r="D2120" i="13"/>
  <c r="Q4437" i="6"/>
  <c r="W4437" i="6" s="1"/>
  <c r="F829" i="17"/>
  <c r="I4437" i="6"/>
  <c r="M4437" i="6"/>
  <c r="F828" i="17"/>
  <c r="H567" i="17"/>
  <c r="Q4436" i="6"/>
  <c r="W4436" i="6" s="1"/>
  <c r="M4436" i="6"/>
  <c r="I4436" i="6"/>
  <c r="D2119" i="13"/>
  <c r="Q4435" i="6"/>
  <c r="W4435" i="6" s="1"/>
  <c r="F827" i="17"/>
  <c r="M4435" i="6"/>
  <c r="I4435" i="6"/>
  <c r="D2118" i="13"/>
  <c r="V4434" i="6"/>
  <c r="H826" i="17"/>
  <c r="Q4433" i="6"/>
  <c r="W4433" i="6"/>
  <c r="F826" i="17"/>
  <c r="D2117" i="13"/>
  <c r="I4433" i="6"/>
  <c r="M4433" i="6"/>
  <c r="Q4432" i="6"/>
  <c r="W4432" i="6" s="1"/>
  <c r="M4432" i="6"/>
  <c r="M4431" i="6"/>
  <c r="F825" i="17"/>
  <c r="I4432" i="6"/>
  <c r="O4162" i="6"/>
  <c r="D2116" i="13"/>
  <c r="F824" i="17"/>
  <c r="D2115" i="13"/>
  <c r="Q4431" i="6"/>
  <c r="W4431" i="6" s="1"/>
  <c r="I4431" i="6"/>
  <c r="Q4430" i="6"/>
  <c r="F823" i="17"/>
  <c r="D2114" i="13"/>
  <c r="I4430" i="6"/>
  <c r="M4430" i="6"/>
  <c r="Q4429" i="6"/>
  <c r="F822" i="17"/>
  <c r="D2113" i="13"/>
  <c r="I4429" i="6"/>
  <c r="M4429" i="6"/>
  <c r="I4428" i="6"/>
  <c r="M4428" i="6"/>
  <c r="I4427" i="6"/>
  <c r="M4427" i="6"/>
  <c r="I4426" i="6"/>
  <c r="M4426" i="6"/>
  <c r="F818" i="17"/>
  <c r="F819" i="17"/>
  <c r="F820" i="17"/>
  <c r="F821" i="17"/>
  <c r="Q4428" i="6"/>
  <c r="M4425" i="6"/>
  <c r="I4425" i="6"/>
  <c r="D2112" i="13"/>
  <c r="D2111" i="13"/>
  <c r="D2110" i="13"/>
  <c r="D2109" i="13"/>
  <c r="Q4424" i="6"/>
  <c r="W4424" i="6" s="1"/>
  <c r="N4412" i="6"/>
  <c r="F817" i="17"/>
  <c r="D2108" i="13"/>
  <c r="I4424" i="6"/>
  <c r="M4424" i="6"/>
  <c r="Q4423" i="6"/>
  <c r="W4423" i="6" s="1"/>
  <c r="F816" i="17"/>
  <c r="D2107" i="13"/>
  <c r="I4423" i="6"/>
  <c r="M4423" i="6"/>
  <c r="Q4422" i="6"/>
  <c r="W4422" i="6" s="1"/>
  <c r="F815" i="17"/>
  <c r="D2106" i="13"/>
  <c r="I4422" i="6"/>
  <c r="M4422" i="6"/>
  <c r="Q4421" i="6"/>
  <c r="W4421" i="6"/>
  <c r="F814" i="17"/>
  <c r="D2105" i="13"/>
  <c r="I4421" i="6"/>
  <c r="M4421" i="6"/>
  <c r="Q4420" i="6"/>
  <c r="W4420" i="6" s="1"/>
  <c r="F813" i="17"/>
  <c r="D2104" i="13"/>
  <c r="I4420" i="6"/>
  <c r="M4420" i="6"/>
  <c r="Q4419" i="6"/>
  <c r="W4419" i="6" s="1"/>
  <c r="F812" i="17"/>
  <c r="D2103" i="13"/>
  <c r="I4419" i="6"/>
  <c r="M4419" i="6"/>
  <c r="Q4418" i="6"/>
  <c r="W4418" i="6" s="1"/>
  <c r="F811" i="17"/>
  <c r="D2102" i="13"/>
  <c r="I4418" i="6"/>
  <c r="M4418" i="6"/>
  <c r="Q4417" i="6"/>
  <c r="W4417" i="6" s="1"/>
  <c r="F810" i="17"/>
  <c r="D2101" i="13"/>
  <c r="I4417" i="6"/>
  <c r="M4417" i="6"/>
  <c r="Q4416" i="6"/>
  <c r="W4416" i="6" s="1"/>
  <c r="F809" i="17"/>
  <c r="D2100" i="13"/>
  <c r="I4416" i="6"/>
  <c r="M4416" i="6"/>
  <c r="Q4415" i="6"/>
  <c r="W4415" i="6" s="1"/>
  <c r="F808" i="17"/>
  <c r="D2099" i="13"/>
  <c r="I4415" i="6"/>
  <c r="M4415" i="6"/>
  <c r="Q4414" i="6"/>
  <c r="W4414" i="6" s="1"/>
  <c r="F807" i="17"/>
  <c r="D2098" i="13"/>
  <c r="I4414" i="6"/>
  <c r="M4414" i="6"/>
  <c r="G806" i="17"/>
  <c r="V4413" i="6"/>
  <c r="Q4412" i="6"/>
  <c r="W4412" i="6" s="1"/>
  <c r="H806" i="17"/>
  <c r="F806" i="17"/>
  <c r="D2097" i="13"/>
  <c r="I4412" i="6"/>
  <c r="O4412" i="6"/>
  <c r="M4412" i="6"/>
  <c r="Q4411" i="6"/>
  <c r="W4411" i="6" s="1"/>
  <c r="F805" i="17"/>
  <c r="D2096" i="13"/>
  <c r="I4411" i="6"/>
  <c r="M4411" i="6"/>
  <c r="Q4410" i="6"/>
  <c r="W4410" i="6" s="1"/>
  <c r="I4410" i="6"/>
  <c r="F804" i="17"/>
  <c r="D2095" i="13"/>
  <c r="M4410" i="6"/>
  <c r="Q4409" i="6"/>
  <c r="W4409" i="6" s="1"/>
  <c r="F803" i="17"/>
  <c r="D2094" i="13"/>
  <c r="I4409" i="6"/>
  <c r="M4409" i="6"/>
  <c r="Q4408" i="6"/>
  <c r="W4408" i="6" s="1"/>
  <c r="F802" i="17"/>
  <c r="D2093" i="13"/>
  <c r="I4408" i="6"/>
  <c r="M4408" i="6"/>
  <c r="Q4407" i="6"/>
  <c r="W4407" i="6"/>
  <c r="F801" i="17"/>
  <c r="D2092" i="13"/>
  <c r="I4407" i="6"/>
  <c r="M4407" i="6"/>
  <c r="Q4406" i="6"/>
  <c r="W4406" i="6" s="1"/>
  <c r="F800" i="17"/>
  <c r="D2091" i="13"/>
  <c r="I4406" i="6"/>
  <c r="M4406" i="6"/>
  <c r="Q4405" i="6"/>
  <c r="W4405" i="6" s="1"/>
  <c r="F799" i="17"/>
  <c r="D2090" i="13"/>
  <c r="I4405" i="6"/>
  <c r="M4405" i="6"/>
  <c r="Q4404" i="6"/>
  <c r="W4404" i="6" s="1"/>
  <c r="F798" i="17"/>
  <c r="D2089" i="13"/>
  <c r="D2088" i="13"/>
  <c r="I4404" i="6"/>
  <c r="M4404" i="6"/>
  <c r="Q4403" i="6"/>
  <c r="W4403" i="6" s="1"/>
  <c r="F797" i="17"/>
  <c r="I4403" i="6"/>
  <c r="M4403" i="6"/>
  <c r="Q4402" i="6"/>
  <c r="W4402" i="6" s="1"/>
  <c r="F796" i="17"/>
  <c r="D2087" i="13"/>
  <c r="I4402" i="6"/>
  <c r="M4402" i="6"/>
  <c r="Q4401" i="6"/>
  <c r="W4401" i="6" s="1"/>
  <c r="D2086" i="13"/>
  <c r="M4401" i="6"/>
  <c r="F795" i="17"/>
  <c r="I4401" i="6"/>
  <c r="Q4400" i="6"/>
  <c r="W4400" i="6" s="1"/>
  <c r="F794" i="17"/>
  <c r="D2085" i="13"/>
  <c r="I4400" i="6"/>
  <c r="M4400" i="6"/>
  <c r="Q4399" i="6"/>
  <c r="W4399" i="6" s="1"/>
  <c r="F793" i="17"/>
  <c r="D2084" i="13"/>
  <c r="I4399" i="6"/>
  <c r="M4399" i="6"/>
  <c r="Q4398" i="6"/>
  <c r="W4398" i="6"/>
  <c r="F792" i="17"/>
  <c r="D2083" i="13"/>
  <c r="I4398" i="6"/>
  <c r="M4398" i="6"/>
  <c r="Q4397" i="6"/>
  <c r="W4397" i="6" s="1"/>
  <c r="F791" i="17"/>
  <c r="D2082" i="13"/>
  <c r="I4397" i="6"/>
  <c r="M4397" i="6"/>
  <c r="V4391" i="6"/>
  <c r="V4367" i="6"/>
  <c r="V4346" i="6"/>
  <c r="Q4396" i="6"/>
  <c r="W4396" i="6" s="1"/>
  <c r="F790" i="17"/>
  <c r="D2081" i="13"/>
  <c r="I4396" i="6"/>
  <c r="M4396" i="6"/>
  <c r="Q4395" i="6"/>
  <c r="W4395" i="6" s="1"/>
  <c r="F789" i="17"/>
  <c r="D2080" i="13"/>
  <c r="I4395" i="6"/>
  <c r="M4395" i="6"/>
  <c r="Q4394" i="6"/>
  <c r="W4394" i="6" s="1"/>
  <c r="F788" i="17"/>
  <c r="D2079" i="13"/>
  <c r="I4394" i="6"/>
  <c r="O4390" i="6"/>
  <c r="M4394" i="6"/>
  <c r="Q4393" i="6"/>
  <c r="W4393" i="6" s="1"/>
  <c r="F787" i="17"/>
  <c r="D2078" i="13"/>
  <c r="I4393" i="6"/>
  <c r="M4393" i="6"/>
  <c r="H785" i="17"/>
  <c r="G785" i="17"/>
  <c r="F786" i="17"/>
  <c r="F785" i="17"/>
  <c r="Q4392" i="6"/>
  <c r="W4392" i="6" s="1"/>
  <c r="Q4390" i="6"/>
  <c r="W4390" i="6" s="1"/>
  <c r="D2077" i="13"/>
  <c r="D2076" i="13"/>
  <c r="I4392" i="6"/>
  <c r="M4392" i="6"/>
  <c r="I4390" i="6"/>
  <c r="N4390" i="6"/>
  <c r="M4390" i="6"/>
  <c r="Q4389" i="6"/>
  <c r="W4389" i="6" s="1"/>
  <c r="F784" i="17"/>
  <c r="D2075" i="13"/>
  <c r="I4389" i="6"/>
  <c r="M4389" i="6"/>
  <c r="Q4388" i="6"/>
  <c r="W4388" i="6" s="1"/>
  <c r="F783" i="17"/>
  <c r="D2074" i="13"/>
  <c r="I4388" i="6"/>
  <c r="M4388" i="6"/>
  <c r="Q4387" i="6"/>
  <c r="W4387" i="6" s="1"/>
  <c r="Q4386" i="6"/>
  <c r="W4386" i="6" s="1"/>
  <c r="Q4385" i="6"/>
  <c r="W4385" i="6" s="1"/>
  <c r="F780" i="17"/>
  <c r="D2071" i="13"/>
  <c r="I4385" i="6"/>
  <c r="M4385" i="6"/>
  <c r="Q4384" i="6"/>
  <c r="W4384" i="6" s="1"/>
  <c r="I4384" i="6"/>
  <c r="F779" i="17"/>
  <c r="D2070" i="13"/>
  <c r="M4384" i="6"/>
  <c r="D2069" i="13"/>
  <c r="Q4383" i="6"/>
  <c r="W4383" i="6" s="1"/>
  <c r="F778" i="17"/>
  <c r="I4383" i="6"/>
  <c r="M4383" i="6"/>
  <c r="F777" i="17"/>
  <c r="D2068" i="13"/>
  <c r="Q4382" i="6"/>
  <c r="W4382" i="6" s="1"/>
  <c r="I4382" i="6"/>
  <c r="M4382" i="6"/>
  <c r="O4118" i="6"/>
  <c r="Q4381" i="6"/>
  <c r="W4381" i="6" s="1"/>
  <c r="F776" i="17"/>
  <c r="D2067" i="13"/>
  <c r="I4381" i="6"/>
  <c r="M4381" i="6"/>
  <c r="F775" i="17"/>
  <c r="D2066" i="13"/>
  <c r="Q4380" i="6"/>
  <c r="W4380" i="6" s="1"/>
  <c r="I4380" i="6"/>
  <c r="M4380" i="6"/>
  <c r="Q4379" i="6"/>
  <c r="W4379" i="6" s="1"/>
  <c r="F774" i="17"/>
  <c r="D2065" i="13"/>
  <c r="I4379" i="6"/>
  <c r="M4379" i="6"/>
  <c r="Q4378" i="6"/>
  <c r="W4378" i="6" s="1"/>
  <c r="F773" i="17"/>
  <c r="D2064" i="13"/>
  <c r="I4378" i="6"/>
  <c r="M4378" i="6"/>
  <c r="Q4377" i="6"/>
  <c r="W4377" i="6" s="1"/>
  <c r="F772" i="17"/>
  <c r="D2063" i="13"/>
  <c r="I4377" i="6"/>
  <c r="M4377" i="6"/>
  <c r="Q4376" i="6"/>
  <c r="W4376" i="6" s="1"/>
  <c r="F771" i="17"/>
  <c r="D2062" i="13"/>
  <c r="I4376" i="6"/>
  <c r="M4376" i="6"/>
  <c r="Q4375" i="6"/>
  <c r="W4375" i="6" s="1"/>
  <c r="F770" i="17"/>
  <c r="D2061" i="13"/>
  <c r="I4375" i="6"/>
  <c r="M4375" i="6"/>
  <c r="Q4374" i="6"/>
  <c r="W4374" i="6" s="1"/>
  <c r="F769" i="17"/>
  <c r="D2060" i="13"/>
  <c r="I4374" i="6"/>
  <c r="M4374" i="6"/>
  <c r="Q4373" i="6"/>
  <c r="W4373" i="6" s="1"/>
  <c r="F768" i="17"/>
  <c r="D2059" i="13"/>
  <c r="I4373" i="6"/>
  <c r="M4373" i="6"/>
  <c r="Q4372" i="6"/>
  <c r="W4372" i="6" s="1"/>
  <c r="F767" i="17"/>
  <c r="D2058" i="13"/>
  <c r="I4372" i="6"/>
  <c r="M4372" i="6"/>
  <c r="Q4371" i="6"/>
  <c r="W4371" i="6" s="1"/>
  <c r="F766" i="17"/>
  <c r="D2057" i="13"/>
  <c r="I4371" i="6"/>
  <c r="M4371" i="6"/>
  <c r="Q4370" i="6"/>
  <c r="W4370" i="6" s="1"/>
  <c r="I4370" i="6"/>
  <c r="F765" i="17"/>
  <c r="D2056" i="13"/>
  <c r="M4370" i="6"/>
  <c r="F764" i="17"/>
  <c r="D2055" i="13"/>
  <c r="Q4369" i="6"/>
  <c r="W4369" i="6" s="1"/>
  <c r="I4369" i="6"/>
  <c r="M4369" i="6"/>
  <c r="Q4368" i="6"/>
  <c r="W4368" i="6"/>
  <c r="F763" i="17"/>
  <c r="M4368" i="6"/>
  <c r="D2054" i="13"/>
  <c r="I4368" i="6"/>
  <c r="H762" i="17"/>
  <c r="G762" i="17"/>
  <c r="Q4366" i="6"/>
  <c r="W4366" i="6" s="1"/>
  <c r="Q4365" i="6"/>
  <c r="W4365" i="6" s="1"/>
  <c r="F762" i="17"/>
  <c r="D2053" i="13"/>
  <c r="I4366" i="6"/>
  <c r="O4366" i="6"/>
  <c r="N4366" i="6"/>
  <c r="M4366" i="6"/>
  <c r="Q4364" i="6"/>
  <c r="W4364" i="6" s="1"/>
  <c r="F761" i="17"/>
  <c r="D2052" i="13"/>
  <c r="I4365" i="6"/>
  <c r="M4365" i="6"/>
  <c r="F760" i="17"/>
  <c r="D2051" i="13"/>
  <c r="I4364" i="6"/>
  <c r="M4364" i="6"/>
  <c r="Q4362" i="6"/>
  <c r="W4362" i="6" s="1"/>
  <c r="Q4363" i="6"/>
  <c r="W4363" i="6" s="1"/>
  <c r="I4362" i="6"/>
  <c r="F759" i="17"/>
  <c r="F758" i="17"/>
  <c r="M4363" i="6"/>
  <c r="M4362" i="6"/>
  <c r="I4363" i="6"/>
  <c r="D2050" i="13"/>
  <c r="D2049" i="13"/>
  <c r="F757" i="17"/>
  <c r="Q4361" i="6"/>
  <c r="W4361" i="6" s="1"/>
  <c r="M4361" i="6"/>
  <c r="I4361" i="6"/>
  <c r="D2048" i="13"/>
  <c r="Q4360" i="6"/>
  <c r="W4360" i="6" s="1"/>
  <c r="F756" i="17"/>
  <c r="D2047" i="13"/>
  <c r="I4360" i="6"/>
  <c r="M4360" i="6"/>
  <c r="F755" i="17"/>
  <c r="D2046" i="13"/>
  <c r="Q4359" i="6"/>
  <c r="W4359" i="6" s="1"/>
  <c r="I4359" i="6"/>
  <c r="M4359" i="6"/>
  <c r="Q4358" i="6"/>
  <c r="W4358" i="6" s="1"/>
  <c r="F754" i="17"/>
  <c r="D2045" i="13"/>
  <c r="I4358" i="6"/>
  <c r="M4358" i="6"/>
  <c r="Q4357" i="6"/>
  <c r="W4357" i="6" s="1"/>
  <c r="F753" i="17"/>
  <c r="D2044" i="13"/>
  <c r="I4357" i="6"/>
  <c r="M4357" i="6"/>
  <c r="F752" i="17"/>
  <c r="D2043" i="13"/>
  <c r="Q4356" i="6"/>
  <c r="W4356" i="6" s="1"/>
  <c r="I4356" i="6"/>
  <c r="M4356" i="6"/>
  <c r="Q4355" i="6"/>
  <c r="W4355" i="6" s="1"/>
  <c r="F751" i="17"/>
  <c r="D2042" i="13"/>
  <c r="I4355" i="6"/>
  <c r="M4355" i="6"/>
  <c r="Q4354" i="6"/>
  <c r="W4354" i="6" s="1"/>
  <c r="F750" i="17"/>
  <c r="D2041" i="13"/>
  <c r="I4354" i="6"/>
  <c r="M4354" i="6"/>
  <c r="Q4353" i="6"/>
  <c r="W4353" i="6" s="1"/>
  <c r="F749" i="17"/>
  <c r="D2040" i="13"/>
  <c r="I4353" i="6"/>
  <c r="M4353" i="6"/>
  <c r="Q4352" i="6"/>
  <c r="W4352" i="6" s="1"/>
  <c r="O4073" i="6"/>
  <c r="O4095" i="6"/>
  <c r="F748" i="17"/>
  <c r="D2039" i="13"/>
  <c r="I4352" i="6"/>
  <c r="M4352" i="6"/>
  <c r="Q4351" i="6"/>
  <c r="W4351" i="6" s="1"/>
  <c r="F747" i="17"/>
  <c r="D2038" i="13"/>
  <c r="I4351" i="6"/>
  <c r="O4345" i="6"/>
  <c r="M4351" i="6"/>
  <c r="Q4350" i="6"/>
  <c r="W4350" i="6" s="1"/>
  <c r="F746" i="17"/>
  <c r="D2037" i="13"/>
  <c r="I4350" i="6"/>
  <c r="M4350" i="6"/>
  <c r="F745" i="17"/>
  <c r="D2036" i="13"/>
  <c r="Q4349" i="6"/>
  <c r="W4349" i="6"/>
  <c r="I4349" i="6"/>
  <c r="M4349" i="6"/>
  <c r="F744" i="17"/>
  <c r="D2035" i="13"/>
  <c r="Q4348" i="6"/>
  <c r="W4348" i="6"/>
  <c r="I4348" i="6"/>
  <c r="M4348" i="6"/>
  <c r="M4347" i="6"/>
  <c r="F743" i="17"/>
  <c r="D2034" i="13"/>
  <c r="Q4347" i="6"/>
  <c r="W4347" i="6" s="1"/>
  <c r="I4347" i="6"/>
  <c r="G742" i="17"/>
  <c r="Q4345" i="6"/>
  <c r="W4345" i="6" s="1"/>
  <c r="H742" i="17"/>
  <c r="F742" i="17"/>
  <c r="D2033" i="13"/>
  <c r="I4345" i="6"/>
  <c r="N4345" i="6"/>
  <c r="M4345" i="6"/>
  <c r="F741" i="17"/>
  <c r="D2032" i="13"/>
  <c r="Q4344" i="6"/>
  <c r="W4344" i="6" s="1"/>
  <c r="I4342" i="6"/>
  <c r="I4343" i="6"/>
  <c r="I4344" i="6"/>
  <c r="M4344" i="6"/>
  <c r="Q4343" i="6"/>
  <c r="W4343" i="6" s="1"/>
  <c r="F740" i="17"/>
  <c r="D2031" i="13"/>
  <c r="M4343" i="6"/>
  <c r="Q4342" i="6"/>
  <c r="W4342" i="6" s="1"/>
  <c r="F739" i="17"/>
  <c r="D2030" i="13"/>
  <c r="M4342" i="6"/>
  <c r="Q4341" i="6"/>
  <c r="W4341" i="6" s="1"/>
  <c r="F738" i="17"/>
  <c r="D2029" i="13"/>
  <c r="I4341" i="6"/>
  <c r="M4341" i="6"/>
  <c r="F737" i="17"/>
  <c r="D2028" i="13"/>
  <c r="Q4340" i="6"/>
  <c r="W4340" i="6"/>
  <c r="I4340" i="6"/>
  <c r="M4340" i="6"/>
  <c r="F736" i="17"/>
  <c r="D2027" i="13"/>
  <c r="Q4339" i="6"/>
  <c r="W4339" i="6" s="1"/>
  <c r="I4339" i="6"/>
  <c r="M4339" i="6"/>
  <c r="F735" i="17"/>
  <c r="D2026" i="13"/>
  <c r="Q4338" i="6"/>
  <c r="W4338" i="6" s="1"/>
  <c r="I4338" i="6"/>
  <c r="M4338" i="6"/>
  <c r="F734" i="17"/>
  <c r="D2025" i="13"/>
  <c r="Q4337" i="6"/>
  <c r="W4337" i="6" s="1"/>
  <c r="I4337" i="6"/>
  <c r="M4337" i="6"/>
  <c r="Q4336" i="6"/>
  <c r="W4336" i="6" s="1"/>
  <c r="F733" i="17"/>
  <c r="D2024" i="13"/>
  <c r="I4336" i="6"/>
  <c r="M4336" i="6"/>
  <c r="Q4335" i="6"/>
  <c r="W4335" i="6" s="1"/>
  <c r="F732" i="17"/>
  <c r="D2023" i="13"/>
  <c r="I4335" i="6"/>
  <c r="M4335" i="6"/>
  <c r="F731" i="17"/>
  <c r="D2022" i="13"/>
  <c r="Q4334" i="6"/>
  <c r="W4334" i="6" s="1"/>
  <c r="I4334" i="6"/>
  <c r="M4334" i="6"/>
  <c r="Q4333" i="6"/>
  <c r="W4333" i="6" s="1"/>
  <c r="F730" i="17"/>
  <c r="D2021" i="13"/>
  <c r="I4333" i="6"/>
  <c r="M4333" i="6"/>
  <c r="Q4332" i="6"/>
  <c r="W4332" i="6" s="1"/>
  <c r="F729" i="17"/>
  <c r="D2020" i="13"/>
  <c r="I4332" i="6"/>
  <c r="M4332" i="6"/>
  <c r="Q4331" i="6"/>
  <c r="W4331" i="6" s="1"/>
  <c r="F728" i="17"/>
  <c r="M4331" i="6"/>
  <c r="I4331" i="6"/>
  <c r="D2019" i="13"/>
  <c r="Q4330" i="6"/>
  <c r="W4330" i="6" s="1"/>
  <c r="F727" i="17"/>
  <c r="D2018" i="13"/>
  <c r="I4330" i="6"/>
  <c r="M4330" i="6"/>
  <c r="Q4329" i="6"/>
  <c r="W4329" i="6" s="1"/>
  <c r="F726" i="17"/>
  <c r="F725" i="17"/>
  <c r="D2017" i="13"/>
  <c r="D2016" i="13"/>
  <c r="I4329" i="6"/>
  <c r="M4329" i="6"/>
  <c r="I4328" i="6"/>
  <c r="M4328" i="6"/>
  <c r="Q4327" i="6"/>
  <c r="F724" i="17"/>
  <c r="D2015" i="13"/>
  <c r="I4327" i="6"/>
  <c r="M4327" i="6"/>
  <c r="F723" i="17"/>
  <c r="D2014" i="13"/>
  <c r="Q4326" i="6"/>
  <c r="I4326" i="6"/>
  <c r="M4326" i="6"/>
  <c r="Q4325" i="6"/>
  <c r="F722" i="17"/>
  <c r="F721" i="17"/>
  <c r="D2013" i="13"/>
  <c r="D2012" i="13"/>
  <c r="I4325" i="6"/>
  <c r="M4325" i="6"/>
  <c r="I4324" i="6"/>
  <c r="M4324" i="6"/>
  <c r="G719" i="17"/>
  <c r="F720" i="17"/>
  <c r="D2011" i="13"/>
  <c r="Q4323" i="6"/>
  <c r="M4323" i="6"/>
  <c r="I4323" i="6"/>
  <c r="V4322" i="6"/>
  <c r="F719" i="17"/>
  <c r="D2010" i="13"/>
  <c r="Q4321" i="6"/>
  <c r="W4321" i="6" s="1"/>
  <c r="I4321" i="6"/>
  <c r="N4321" i="6"/>
  <c r="M4321" i="6"/>
  <c r="F718" i="17"/>
  <c r="D2009" i="13"/>
  <c r="Q4320" i="6"/>
  <c r="W4320" i="6" s="1"/>
  <c r="I4320" i="6"/>
  <c r="M4320" i="6"/>
  <c r="F717" i="17"/>
  <c r="D2008" i="13"/>
  <c r="Q4319" i="6"/>
  <c r="W4319" i="6" s="1"/>
  <c r="I4319" i="6"/>
  <c r="M4319" i="6"/>
  <c r="F716" i="17"/>
  <c r="D2007" i="13"/>
  <c r="Q4318" i="6"/>
  <c r="W4318" i="6" s="1"/>
  <c r="I4318" i="6"/>
  <c r="M4318" i="6"/>
  <c r="H438" i="17"/>
  <c r="F715" i="17"/>
  <c r="D2006" i="13"/>
  <c r="Q4317" i="6"/>
  <c r="W4317" i="6" s="1"/>
  <c r="I4317" i="6"/>
  <c r="M4317" i="6"/>
  <c r="F714" i="17"/>
  <c r="D2005" i="13"/>
  <c r="Q4316" i="6"/>
  <c r="W4316" i="6"/>
  <c r="I4316" i="6"/>
  <c r="M4316" i="6"/>
  <c r="F713" i="17"/>
  <c r="D2004" i="13"/>
  <c r="Q4315" i="6"/>
  <c r="W4315" i="6" s="1"/>
  <c r="I4315" i="6"/>
  <c r="M4315" i="6"/>
  <c r="Q4314" i="6"/>
  <c r="W4314" i="6" s="1"/>
  <c r="F712" i="17"/>
  <c r="D2003" i="13"/>
  <c r="I4314" i="6"/>
  <c r="M4314" i="6"/>
  <c r="F711" i="17"/>
  <c r="D2002" i="13"/>
  <c r="Q4313" i="6"/>
  <c r="W4313" i="6" s="1"/>
  <c r="I4313" i="6"/>
  <c r="M4313" i="6"/>
  <c r="F710" i="17"/>
  <c r="D2001" i="13"/>
  <c r="Q4312" i="6"/>
  <c r="W4312" i="6" s="1"/>
  <c r="I4312" i="6"/>
  <c r="M4312" i="6"/>
  <c r="F709" i="17"/>
  <c r="D2000" i="13"/>
  <c r="Q4311" i="6"/>
  <c r="W4311" i="6" s="1"/>
  <c r="I4311" i="6"/>
  <c r="M4311" i="6"/>
  <c r="F708" i="17"/>
  <c r="D1999" i="13"/>
  <c r="I4310" i="6"/>
  <c r="M4310" i="6"/>
  <c r="Q4310" i="6"/>
  <c r="W4310" i="6" s="1"/>
  <c r="F707" i="17"/>
  <c r="D1998" i="13"/>
  <c r="Q4309" i="6"/>
  <c r="W4309" i="6" s="1"/>
  <c r="I4309" i="6"/>
  <c r="M4309" i="6"/>
  <c r="F706" i="17"/>
  <c r="D1997" i="13"/>
  <c r="Q4308" i="6"/>
  <c r="W4308" i="6" s="1"/>
  <c r="I4308" i="6"/>
  <c r="M4308" i="6"/>
  <c r="Q4307" i="6"/>
  <c r="W4307" i="6" s="1"/>
  <c r="F705" i="17"/>
  <c r="D1996" i="13"/>
  <c r="M4307" i="6"/>
  <c r="I4307" i="6"/>
  <c r="F704" i="17"/>
  <c r="D1995" i="13"/>
  <c r="M4306" i="6"/>
  <c r="I4306" i="6"/>
  <c r="F703" i="17"/>
  <c r="D1994" i="13"/>
  <c r="I4305" i="6"/>
  <c r="M4305" i="6"/>
  <c r="F702" i="17"/>
  <c r="D1993" i="13"/>
  <c r="I4304" i="6"/>
  <c r="M4304" i="6"/>
  <c r="D1992" i="13"/>
  <c r="F701" i="17"/>
  <c r="Q4303" i="6"/>
  <c r="W4303" i="6" s="1"/>
  <c r="I4303" i="6"/>
  <c r="M4303" i="6"/>
  <c r="F700" i="17"/>
  <c r="D1991" i="13"/>
  <c r="I4302" i="6"/>
  <c r="I4301" i="6"/>
  <c r="M4302" i="6"/>
  <c r="Q4302" i="6"/>
  <c r="W4302" i="6"/>
  <c r="F699" i="17"/>
  <c r="D1990" i="13"/>
  <c r="Q4301" i="6"/>
  <c r="W4301" i="6" s="1"/>
  <c r="M4301" i="6"/>
  <c r="O4298" i="6"/>
  <c r="F698" i="17"/>
  <c r="D1989" i="13"/>
  <c r="Q4300" i="6"/>
  <c r="W4300" i="6" s="1"/>
  <c r="I4300" i="6"/>
  <c r="M4300" i="6"/>
  <c r="V4299" i="6"/>
  <c r="G697" i="17"/>
  <c r="F697" i="17"/>
  <c r="D1988" i="13"/>
  <c r="Q4298" i="6"/>
  <c r="W4298" i="6" s="1"/>
  <c r="I4298" i="6"/>
  <c r="N4298" i="6"/>
  <c r="M4298" i="6"/>
  <c r="F696" i="17"/>
  <c r="Q4297" i="6"/>
  <c r="W4297" i="6" s="1"/>
  <c r="M4297" i="6"/>
  <c r="I4297" i="6"/>
  <c r="D1987" i="13"/>
  <c r="M4296" i="6"/>
  <c r="M4295" i="6"/>
  <c r="Q4296" i="6"/>
  <c r="W4296" i="6" s="1"/>
  <c r="F695" i="17"/>
  <c r="D1986" i="13"/>
  <c r="I4296" i="6"/>
  <c r="F694" i="17"/>
  <c r="D1985" i="13"/>
  <c r="Q4295" i="6"/>
  <c r="W4295" i="6" s="1"/>
  <c r="I4295" i="6"/>
  <c r="I4293" i="6"/>
  <c r="Q4294" i="6"/>
  <c r="W4294" i="6" s="1"/>
  <c r="G676" i="17"/>
  <c r="F692" i="17"/>
  <c r="D1983" i="13"/>
  <c r="Q4293" i="6"/>
  <c r="W4293" i="6"/>
  <c r="M4293" i="6"/>
  <c r="F691" i="17"/>
  <c r="D1982" i="13"/>
  <c r="Q4292" i="6"/>
  <c r="W4292" i="6" s="1"/>
  <c r="I4292" i="6"/>
  <c r="M4292" i="6"/>
  <c r="F690" i="17"/>
  <c r="D1981" i="13"/>
  <c r="Q4291" i="6"/>
  <c r="W4291" i="6"/>
  <c r="I4291" i="6"/>
  <c r="M4291" i="6"/>
  <c r="Q4290" i="6"/>
  <c r="W4290" i="6"/>
  <c r="F689" i="17"/>
  <c r="D1980" i="13"/>
  <c r="I4290" i="6"/>
  <c r="M4290" i="6"/>
  <c r="F688" i="17"/>
  <c r="D1979" i="13"/>
  <c r="O4027" i="6"/>
  <c r="Q4289" i="6"/>
  <c r="W4289" i="6" s="1"/>
  <c r="I4289" i="6"/>
  <c r="M4289" i="6"/>
  <c r="F686" i="17"/>
  <c r="Q4287" i="6"/>
  <c r="W4287" i="6" s="1"/>
  <c r="Q4288" i="6"/>
  <c r="W4288" i="6" s="1"/>
  <c r="F687" i="17"/>
  <c r="D1978" i="13"/>
  <c r="D1977" i="13"/>
  <c r="M4288" i="6"/>
  <c r="I4288" i="6"/>
  <c r="I4287" i="6"/>
  <c r="M4287" i="6"/>
  <c r="Q4286" i="6"/>
  <c r="W4286" i="6" s="1"/>
  <c r="F685" i="17"/>
  <c r="D1976" i="13"/>
  <c r="I4286" i="6"/>
  <c r="M4286" i="6"/>
  <c r="F684" i="17"/>
  <c r="D1975" i="13"/>
  <c r="Q4285" i="6"/>
  <c r="W4285" i="6" s="1"/>
  <c r="I4285" i="6"/>
  <c r="M4285" i="6"/>
  <c r="F683" i="17"/>
  <c r="D1974" i="13"/>
  <c r="Q4284" i="6"/>
  <c r="W4284" i="6" s="1"/>
  <c r="I4284" i="6"/>
  <c r="M4284" i="6"/>
  <c r="F682" i="17"/>
  <c r="D1973" i="13"/>
  <c r="Q4283" i="6"/>
  <c r="W4283" i="6" s="1"/>
  <c r="I4283" i="6"/>
  <c r="M4283" i="6"/>
  <c r="F681" i="17"/>
  <c r="M4282" i="6"/>
  <c r="Q4282" i="6"/>
  <c r="W4282" i="6" s="1"/>
  <c r="I4282" i="6"/>
  <c r="D1972" i="13"/>
  <c r="F680" i="17"/>
  <c r="D1971" i="13"/>
  <c r="Q4281" i="6"/>
  <c r="W4281" i="6" s="1"/>
  <c r="I4281" i="6"/>
  <c r="M4281" i="6"/>
  <c r="F679" i="17"/>
  <c r="D1970" i="13"/>
  <c r="Q4280" i="6"/>
  <c r="W4280" i="6" s="1"/>
  <c r="I4280" i="6"/>
  <c r="M4280" i="6"/>
  <c r="F678" i="17"/>
  <c r="D1969" i="13"/>
  <c r="Q4279" i="6"/>
  <c r="W4279" i="6" s="1"/>
  <c r="I4279" i="6"/>
  <c r="M4279" i="6"/>
  <c r="H393" i="17"/>
  <c r="H416" i="17"/>
  <c r="F677" i="17"/>
  <c r="F63" i="22"/>
  <c r="D1968" i="13"/>
  <c r="Q4278" i="6"/>
  <c r="W4278" i="6" s="1"/>
  <c r="V4253" i="6"/>
  <c r="V4277" i="6"/>
  <c r="N4276" i="6"/>
  <c r="I4278" i="6"/>
  <c r="M4278" i="6"/>
  <c r="F676" i="17"/>
  <c r="D1967" i="13"/>
  <c r="Q4276" i="6"/>
  <c r="W4276" i="6" s="1"/>
  <c r="I4276" i="6"/>
  <c r="O4276" i="6"/>
  <c r="M4276" i="6"/>
  <c r="F675" i="17"/>
  <c r="D1966" i="13"/>
  <c r="Q4275" i="6"/>
  <c r="W4275" i="6" s="1"/>
  <c r="I4275" i="6"/>
  <c r="M4275" i="6"/>
  <c r="Q4274" i="6"/>
  <c r="W4274" i="6" s="1"/>
  <c r="F674" i="17"/>
  <c r="D1965" i="13"/>
  <c r="I4274" i="6"/>
  <c r="M4274" i="6"/>
  <c r="F673" i="17"/>
  <c r="D1964" i="13"/>
  <c r="Q4273" i="6"/>
  <c r="W4273" i="6" s="1"/>
  <c r="I4273" i="6"/>
  <c r="M4273" i="6"/>
  <c r="F672" i="17"/>
  <c r="D1963" i="13"/>
  <c r="Q4272" i="6"/>
  <c r="W4272" i="6" s="1"/>
  <c r="I4272" i="6"/>
  <c r="M4272" i="6"/>
  <c r="Q4271" i="6"/>
  <c r="W4271" i="6" s="1"/>
  <c r="F671" i="17"/>
  <c r="D1962" i="13"/>
  <c r="I4271" i="6"/>
  <c r="M4271" i="6"/>
  <c r="F670" i="17"/>
  <c r="D1961" i="13"/>
  <c r="O4004" i="6"/>
  <c r="Q4270" i="6"/>
  <c r="W4270" i="6" s="1"/>
  <c r="I4270" i="6"/>
  <c r="M4270" i="6"/>
  <c r="F669" i="17"/>
  <c r="D1960" i="13"/>
  <c r="Q4269" i="6"/>
  <c r="W4269" i="6" s="1"/>
  <c r="I4269" i="6"/>
  <c r="M4269" i="6"/>
  <c r="F668" i="17"/>
  <c r="Q4268" i="6"/>
  <c r="W4268" i="6" s="1"/>
  <c r="I4268" i="6"/>
  <c r="M4268" i="6"/>
  <c r="D1959" i="13"/>
  <c r="Q4267" i="6"/>
  <c r="W4267" i="6" s="1"/>
  <c r="F667" i="17"/>
  <c r="D1958" i="13"/>
  <c r="I4267" i="6"/>
  <c r="M4267" i="6"/>
  <c r="F666" i="17"/>
  <c r="D1957" i="13"/>
  <c r="Q4266" i="6"/>
  <c r="W4266" i="6" s="1"/>
  <c r="I4266" i="6"/>
  <c r="M4266" i="6"/>
  <c r="F665" i="17"/>
  <c r="D1956" i="13"/>
  <c r="Q4265" i="6"/>
  <c r="W4265" i="6" s="1"/>
  <c r="I4265" i="6"/>
  <c r="M4265" i="6"/>
  <c r="F664" i="17"/>
  <c r="D1955" i="13"/>
  <c r="Q4264" i="6"/>
  <c r="W4264" i="6" s="1"/>
  <c r="I4264" i="6"/>
  <c r="M4264" i="6"/>
  <c r="F663" i="17"/>
  <c r="Q4263" i="6"/>
  <c r="W4263" i="6" s="1"/>
  <c r="I4263" i="6"/>
  <c r="D1954" i="13"/>
  <c r="M4263" i="6"/>
  <c r="Q4262" i="6"/>
  <c r="W4262" i="6" s="1"/>
  <c r="I4262" i="6"/>
  <c r="F662" i="17"/>
  <c r="M4262" i="6"/>
  <c r="D1953" i="13"/>
  <c r="F661" i="17"/>
  <c r="D1952" i="13"/>
  <c r="Q4261" i="6"/>
  <c r="W4261" i="6" s="1"/>
  <c r="I4261" i="6"/>
  <c r="N4252" i="6"/>
  <c r="M4261" i="6"/>
  <c r="F660" i="17"/>
  <c r="D1951" i="13"/>
  <c r="Q4260" i="6"/>
  <c r="W4260" i="6" s="1"/>
  <c r="I4260" i="6"/>
  <c r="M4260" i="6"/>
  <c r="F659" i="17"/>
  <c r="D1950" i="13"/>
  <c r="Q4259" i="6"/>
  <c r="W4259" i="6" s="1"/>
  <c r="I4259" i="6"/>
  <c r="M4259" i="6"/>
  <c r="F658" i="17"/>
  <c r="D1949" i="13"/>
  <c r="Q4258" i="6"/>
  <c r="W4258" i="6" s="1"/>
  <c r="I4258" i="6"/>
  <c r="M4258" i="6"/>
  <c r="Q4257" i="6"/>
  <c r="W4257" i="6" s="1"/>
  <c r="F657" i="17"/>
  <c r="I4257" i="6"/>
  <c r="M4257" i="6"/>
  <c r="D1948" i="13"/>
  <c r="Q4256" i="6"/>
  <c r="W4256" i="6" s="1"/>
  <c r="F656" i="17"/>
  <c r="D1947" i="13"/>
  <c r="I4256" i="6"/>
  <c r="M4256" i="6"/>
  <c r="Q4255" i="6"/>
  <c r="W4255" i="6"/>
  <c r="F655" i="17"/>
  <c r="D1946" i="13"/>
  <c r="I4255" i="6"/>
  <c r="M4255" i="6"/>
  <c r="G653" i="17"/>
  <c r="F654" i="17"/>
  <c r="D1945" i="13"/>
  <c r="Q4254" i="6"/>
  <c r="W4254" i="6" s="1"/>
  <c r="I4254" i="6"/>
  <c r="M4254" i="6"/>
  <c r="F653" i="17"/>
  <c r="D1944" i="13"/>
  <c r="Q4252" i="6"/>
  <c r="W4252" i="6" s="1"/>
  <c r="I4252" i="6"/>
  <c r="M4252" i="6"/>
  <c r="Q4251" i="6"/>
  <c r="W4251" i="6" s="1"/>
  <c r="F652" i="17"/>
  <c r="D1943" i="13"/>
  <c r="I4251" i="6"/>
  <c r="M4251" i="6"/>
  <c r="F651" i="17"/>
  <c r="D1942" i="13"/>
  <c r="Q4250" i="6"/>
  <c r="W4250" i="6" s="1"/>
  <c r="I4250" i="6"/>
  <c r="M4250" i="6"/>
  <c r="F650" i="17"/>
  <c r="D1941" i="13"/>
  <c r="Q4249" i="6"/>
  <c r="W4249" i="6" s="1"/>
  <c r="I4249" i="6"/>
  <c r="M4249" i="6"/>
  <c r="F649" i="17"/>
  <c r="D1940" i="13"/>
  <c r="Q4248" i="6"/>
  <c r="W4248" i="6" s="1"/>
  <c r="I4248" i="6"/>
  <c r="M4248" i="6"/>
  <c r="Q4247" i="6"/>
  <c r="W4247" i="6" s="1"/>
  <c r="F648" i="17"/>
  <c r="D1939" i="13"/>
  <c r="I4247" i="6"/>
  <c r="M4247" i="6"/>
  <c r="O3054" i="6"/>
  <c r="O3845" i="6"/>
  <c r="F647" i="17"/>
  <c r="D1938" i="13"/>
  <c r="Q4246" i="6"/>
  <c r="W4246" i="6" s="1"/>
  <c r="I4246" i="6"/>
  <c r="M4246" i="6"/>
  <c r="F646" i="17"/>
  <c r="D1937" i="13"/>
  <c r="I4245" i="6"/>
  <c r="Q4245" i="6"/>
  <c r="W4245" i="6" s="1"/>
  <c r="M4245" i="6"/>
  <c r="N67" i="10"/>
  <c r="Q4244" i="6"/>
  <c r="W4244" i="6" s="1"/>
  <c r="F645" i="17"/>
  <c r="D1936" i="13"/>
  <c r="I4244" i="6"/>
  <c r="M4244" i="6"/>
  <c r="Q4243" i="6"/>
  <c r="W4243" i="6" s="1"/>
  <c r="F644" i="17"/>
  <c r="D1935" i="13"/>
  <c r="I4243" i="6"/>
  <c r="M4243" i="6"/>
  <c r="Q4242" i="6"/>
  <c r="W4242" i="6" s="1"/>
  <c r="F643" i="17"/>
  <c r="F642" i="17"/>
  <c r="D1934" i="13"/>
  <c r="I4242" i="6"/>
  <c r="M4242" i="6"/>
  <c r="Q4241" i="6"/>
  <c r="W4241" i="6" s="1"/>
  <c r="I4241" i="6"/>
  <c r="M4241" i="6"/>
  <c r="D1933" i="13"/>
  <c r="F641" i="17"/>
  <c r="D1932" i="13"/>
  <c r="Q4240" i="6"/>
  <c r="W4240" i="6" s="1"/>
  <c r="M4240" i="6"/>
  <c r="I4240" i="6"/>
  <c r="F640" i="17"/>
  <c r="D1931" i="13"/>
  <c r="Q4239" i="6"/>
  <c r="W4239" i="6" s="1"/>
  <c r="I4239" i="6"/>
  <c r="Q4238" i="6"/>
  <c r="W4238" i="6" s="1"/>
  <c r="F639" i="17"/>
  <c r="D1930" i="13"/>
  <c r="I4238" i="6"/>
  <c r="M4238" i="6"/>
  <c r="F638" i="17"/>
  <c r="Q4237" i="6"/>
  <c r="W4237" i="6"/>
  <c r="I4237" i="6"/>
  <c r="M4237" i="6"/>
  <c r="D1929" i="13"/>
  <c r="Q4236" i="6"/>
  <c r="W4236" i="6" s="1"/>
  <c r="Q4235" i="6"/>
  <c r="W4235" i="6" s="1"/>
  <c r="F637" i="17"/>
  <c r="F636" i="17"/>
  <c r="D1928" i="13"/>
  <c r="D1927" i="13"/>
  <c r="M4236" i="6"/>
  <c r="M4235" i="6"/>
  <c r="I4235" i="6"/>
  <c r="I4236" i="6"/>
  <c r="F635" i="17"/>
  <c r="D1926" i="13"/>
  <c r="I4234" i="6"/>
  <c r="Q4234" i="6"/>
  <c r="W4234" i="6" s="1"/>
  <c r="Q4233" i="6"/>
  <c r="W4233" i="6" s="1"/>
  <c r="F634" i="17"/>
  <c r="D1925" i="13"/>
  <c r="I4233" i="6"/>
  <c r="M4234" i="6"/>
  <c r="M4233" i="6"/>
  <c r="F633" i="17"/>
  <c r="I4232" i="6"/>
  <c r="M4232" i="6"/>
  <c r="D1924" i="13"/>
  <c r="Q4230" i="6"/>
  <c r="W4230" i="6" s="1"/>
  <c r="V4231" i="6"/>
  <c r="H632" i="17"/>
  <c r="G632" i="17"/>
  <c r="F632" i="17"/>
  <c r="D1923" i="13"/>
  <c r="O4230" i="6"/>
  <c r="N4230" i="6"/>
  <c r="M4230" i="6"/>
  <c r="I4230" i="6"/>
  <c r="F631" i="17"/>
  <c r="D1922" i="13"/>
  <c r="Q4229" i="6"/>
  <c r="W4229" i="6" s="1"/>
  <c r="M4229" i="6"/>
  <c r="I4229" i="6"/>
  <c r="F630" i="17"/>
  <c r="D1921" i="13"/>
  <c r="Q4228" i="6"/>
  <c r="W4228" i="6" s="1"/>
  <c r="M4228" i="6"/>
  <c r="I4228" i="6"/>
  <c r="Q4226" i="6"/>
  <c r="W4226" i="6"/>
  <c r="Q4227" i="6"/>
  <c r="W4227" i="6" s="1"/>
  <c r="F629" i="17"/>
  <c r="D1920" i="13"/>
  <c r="I4227" i="6"/>
  <c r="M4227" i="6"/>
  <c r="Q4225" i="6"/>
  <c r="W4225" i="6" s="1"/>
  <c r="F627" i="17"/>
  <c r="D1918" i="13"/>
  <c r="I4225" i="6"/>
  <c r="M4225" i="6"/>
  <c r="F626" i="17"/>
  <c r="D1917" i="13"/>
  <c r="Q4224" i="6"/>
  <c r="W4224" i="6" s="1"/>
  <c r="M4224" i="6"/>
  <c r="I4224" i="6"/>
  <c r="Q4223" i="6"/>
  <c r="W4223" i="6"/>
  <c r="F625" i="17"/>
  <c r="D1916" i="13"/>
  <c r="I4223" i="6"/>
  <c r="M4223" i="6"/>
  <c r="Q4222" i="6"/>
  <c r="W4222" i="6"/>
  <c r="F624" i="17"/>
  <c r="D1915" i="13"/>
  <c r="M4222" i="6"/>
  <c r="I4222" i="6"/>
  <c r="Q4220" i="6"/>
  <c r="W4220" i="6" s="1"/>
  <c r="Q4221" i="6"/>
  <c r="W4221" i="6" s="1"/>
  <c r="F623" i="17"/>
  <c r="F622" i="17"/>
  <c r="M4221" i="6"/>
  <c r="M4220" i="6"/>
  <c r="I4221" i="6"/>
  <c r="I4220" i="6"/>
  <c r="D1914" i="13"/>
  <c r="D1913" i="13"/>
  <c r="Q4219" i="6"/>
  <c r="W4219" i="6" s="1"/>
  <c r="F621" i="17"/>
  <c r="D1912" i="13"/>
  <c r="I4219" i="6"/>
  <c r="M4219" i="6"/>
  <c r="Q4218" i="6"/>
  <c r="W4218" i="6" s="1"/>
  <c r="I4218" i="6"/>
  <c r="F620" i="17"/>
  <c r="D1911" i="13"/>
  <c r="M4218" i="6"/>
  <c r="F619" i="17"/>
  <c r="F618" i="17"/>
  <c r="F617" i="17"/>
  <c r="F616"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5" i="17"/>
  <c r="D1907" i="13"/>
  <c r="Q4214" i="6"/>
  <c r="W4214" i="6" s="1"/>
  <c r="I4214" i="6"/>
  <c r="M4214" i="6"/>
  <c r="Q4213" i="6"/>
  <c r="W4213" i="6" s="1"/>
  <c r="D1906" i="13"/>
  <c r="I4213" i="6"/>
  <c r="M4213" i="6"/>
  <c r="Q4212" i="6"/>
  <c r="W4212" i="6" s="1"/>
  <c r="F614" i="17"/>
  <c r="M4212" i="6"/>
  <c r="I4212" i="6"/>
  <c r="D1905" i="13"/>
  <c r="D1903" i="13"/>
  <c r="F612" i="17"/>
  <c r="I4210" i="6"/>
  <c r="M4210" i="6"/>
  <c r="F611" i="17"/>
  <c r="D1902" i="13"/>
  <c r="E1923" i="13" s="1"/>
  <c r="Q4207" i="6"/>
  <c r="W4207" i="6" s="1"/>
  <c r="I4209" i="6"/>
  <c r="M4209" i="6"/>
  <c r="F610" i="17"/>
  <c r="G610" i="17"/>
  <c r="D1901" i="13"/>
  <c r="V4208" i="6"/>
  <c r="O4207" i="6"/>
  <c r="N4207" i="6"/>
  <c r="M4207" i="6"/>
  <c r="I4207" i="6"/>
  <c r="Q4206" i="6"/>
  <c r="W4206" i="6" s="1"/>
  <c r="F609" i="17"/>
  <c r="D1900" i="13"/>
  <c r="M4206" i="6"/>
  <c r="I4206" i="6"/>
  <c r="Q4205" i="6"/>
  <c r="W4205" i="6" s="1"/>
  <c r="I4205" i="6"/>
  <c r="M4205" i="6"/>
  <c r="F608" i="17"/>
  <c r="D1899" i="13"/>
  <c r="Q4204" i="6"/>
  <c r="W4204" i="6"/>
  <c r="D1898" i="13"/>
  <c r="F607" i="17"/>
  <c r="M4204" i="6"/>
  <c r="I4204" i="6"/>
  <c r="Q4200" i="6"/>
  <c r="W4200" i="6" s="1"/>
  <c r="Q4199" i="6"/>
  <c r="W4199" i="6" s="1"/>
  <c r="Q4202" i="6"/>
  <c r="W4202" i="6" s="1"/>
  <c r="Q4203" i="6"/>
  <c r="W4203" i="6" s="1"/>
  <c r="Q4201" i="6"/>
  <c r="W4201" i="6" s="1"/>
  <c r="F606" i="17"/>
  <c r="F605" i="17"/>
  <c r="F604" i="17"/>
  <c r="D1896" i="13"/>
  <c r="D1897" i="13"/>
  <c r="D1895" i="13"/>
  <c r="I4203" i="6"/>
  <c r="M4203" i="6"/>
  <c r="I4202" i="6"/>
  <c r="M4202" i="6"/>
  <c r="M4201" i="6"/>
  <c r="I4201" i="6"/>
  <c r="F601" i="17"/>
  <c r="D1892" i="13"/>
  <c r="Q4198" i="6"/>
  <c r="W4198" i="6" s="1"/>
  <c r="M4198" i="6"/>
  <c r="I4198" i="6"/>
  <c r="Q4197" i="6"/>
  <c r="W4197" i="6" s="1"/>
  <c r="F600" i="17"/>
  <c r="D1891" i="13"/>
  <c r="I4197" i="6"/>
  <c r="M4197" i="6"/>
  <c r="Q4196" i="6"/>
  <c r="W4196" i="6"/>
  <c r="F599" i="17"/>
  <c r="D1890" i="13"/>
  <c r="I4196" i="6"/>
  <c r="M4196" i="6"/>
  <c r="Q4195" i="6"/>
  <c r="W4195" i="6"/>
  <c r="F598" i="17"/>
  <c r="D1889" i="13"/>
  <c r="I4195" i="6"/>
  <c r="M4195" i="6"/>
  <c r="Q4194" i="6"/>
  <c r="W4194" i="6" s="1"/>
  <c r="D1888" i="13"/>
  <c r="F597" i="17"/>
  <c r="I4194" i="6"/>
  <c r="M4194" i="6"/>
  <c r="F596" i="17"/>
  <c r="D1887" i="13"/>
  <c r="Q4193" i="6"/>
  <c r="W4193" i="6" s="1"/>
  <c r="I4193" i="6"/>
  <c r="M4193" i="6"/>
  <c r="F595" i="17"/>
  <c r="Q4192" i="6"/>
  <c r="W4192" i="6"/>
  <c r="M4192" i="6"/>
  <c r="I4192" i="6"/>
  <c r="D1886" i="13"/>
  <c r="Q4191" i="6"/>
  <c r="W4191" i="6" s="1"/>
  <c r="F594" i="17"/>
  <c r="D1885" i="13"/>
  <c r="I4191" i="6"/>
  <c r="M4191" i="6"/>
  <c r="F593" i="17"/>
  <c r="I4190" i="6"/>
  <c r="M4190" i="6"/>
  <c r="D1884" i="13"/>
  <c r="Q4189" i="6"/>
  <c r="W4189" i="6" s="1"/>
  <c r="I4189" i="6"/>
  <c r="F592" i="17"/>
  <c r="D1883" i="13"/>
  <c r="M4189" i="6"/>
  <c r="F591" i="17"/>
  <c r="Q4188" i="6"/>
  <c r="W4188" i="6"/>
  <c r="M4188" i="6"/>
  <c r="I4188" i="6"/>
  <c r="D1882" i="13"/>
  <c r="Q4187" i="6"/>
  <c r="W4187" i="6" s="1"/>
  <c r="I4187" i="6"/>
  <c r="F590" i="17"/>
  <c r="D1881" i="13"/>
  <c r="M4187" i="6"/>
  <c r="Q4186" i="6"/>
  <c r="W4186" i="6" s="1"/>
  <c r="F589"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8" i="17"/>
  <c r="G588" i="17"/>
  <c r="O4184" i="6"/>
  <c r="N4184" i="6"/>
  <c r="V4185" i="6"/>
  <c r="F587" i="17"/>
  <c r="Q4183" i="6"/>
  <c r="W4183" i="6"/>
  <c r="M4183" i="6"/>
  <c r="I4183" i="6"/>
  <c r="D1878" i="13"/>
  <c r="G63" i="22"/>
  <c r="D63" i="22"/>
  <c r="D62" i="22"/>
  <c r="D61" i="22"/>
  <c r="E1879" i="20"/>
  <c r="Q4182" i="6"/>
  <c r="W4182" i="6" s="1"/>
  <c r="F586" i="17"/>
  <c r="F585"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4" i="17"/>
  <c r="D1875" i="13"/>
  <c r="I4180" i="6"/>
  <c r="M4180" i="6"/>
  <c r="F583" i="17"/>
  <c r="M4179" i="6"/>
  <c r="I4179" i="6"/>
  <c r="Q4179" i="6"/>
  <c r="W4179" i="6" s="1"/>
  <c r="D60" i="22"/>
  <c r="D1874" i="13"/>
  <c r="Q4178" i="6"/>
  <c r="W4178" i="6" s="1"/>
  <c r="D59" i="22"/>
  <c r="D1873" i="13"/>
  <c r="F582" i="17"/>
  <c r="I4178" i="6"/>
  <c r="M4178" i="6"/>
  <c r="F581" i="17"/>
  <c r="Q4177" i="6"/>
  <c r="W4177" i="6" s="1"/>
  <c r="M4177" i="6"/>
  <c r="I4177" i="6"/>
  <c r="D58" i="22"/>
  <c r="D1872" i="13"/>
  <c r="F580" i="17"/>
  <c r="D57" i="22"/>
  <c r="D1871" i="13"/>
  <c r="Q4176" i="6"/>
  <c r="W4176" i="6" s="1"/>
  <c r="M4176" i="6"/>
  <c r="I4176" i="6"/>
  <c r="Q4175" i="6"/>
  <c r="W4175" i="6" s="1"/>
  <c r="F579" i="17"/>
  <c r="D56" i="22"/>
  <c r="D1870" i="13"/>
  <c r="M4175" i="6"/>
  <c r="I4175" i="6"/>
  <c r="Q4174" i="6"/>
  <c r="W4174" i="6" s="1"/>
  <c r="F578" i="17"/>
  <c r="M4174" i="6"/>
  <c r="I4174" i="6"/>
  <c r="D55" i="22"/>
  <c r="D1869" i="13"/>
  <c r="Q4173" i="6"/>
  <c r="W4173" i="6" s="1"/>
  <c r="D54" i="22"/>
  <c r="D1868" i="13"/>
  <c r="I4173" i="6"/>
  <c r="I4172" i="6"/>
  <c r="F577" i="17"/>
  <c r="M4173" i="6"/>
  <c r="Q4172" i="6"/>
  <c r="W4172" i="6" s="1"/>
  <c r="D1867" i="13"/>
  <c r="D53" i="22"/>
  <c r="F576" i="17"/>
  <c r="M4172" i="6"/>
  <c r="F575" i="17"/>
  <c r="Q4171" i="6"/>
  <c r="W4171" i="6" s="1"/>
  <c r="D52" i="22"/>
  <c r="D1866" i="13"/>
  <c r="M4171" i="6"/>
  <c r="I4171" i="6"/>
  <c r="F574" i="17"/>
  <c r="D51" i="22"/>
  <c r="D1865" i="13"/>
  <c r="Q4170" i="6"/>
  <c r="W4170" i="6" s="1"/>
  <c r="I4170" i="6"/>
  <c r="M4170" i="6"/>
  <c r="Q4169" i="6"/>
  <c r="W4169" i="6" s="1"/>
  <c r="F573" i="17"/>
  <c r="M4169" i="6"/>
  <c r="I4169" i="6"/>
  <c r="D50" i="22"/>
  <c r="D1864" i="13"/>
  <c r="E1862" i="20"/>
  <c r="E1863" i="20"/>
  <c r="E1864" i="20"/>
  <c r="E1865" i="20"/>
  <c r="E1861" i="20"/>
  <c r="Q4168" i="6"/>
  <c r="W4168" i="6" s="1"/>
  <c r="F572" i="17"/>
  <c r="D49" i="22"/>
  <c r="D1863" i="13"/>
  <c r="I4168" i="6"/>
  <c r="M4168" i="6"/>
  <c r="Q4167" i="6"/>
  <c r="W4167" i="6" s="1"/>
  <c r="M4167" i="6"/>
  <c r="I4167" i="6"/>
  <c r="F571" i="17"/>
  <c r="D1862" i="13"/>
  <c r="D48" i="22"/>
  <c r="F570" i="17"/>
  <c r="Q4166" i="6"/>
  <c r="W4166" i="6" s="1"/>
  <c r="M4166" i="6"/>
  <c r="I4166" i="6"/>
  <c r="D47" i="22"/>
  <c r="D1861" i="13"/>
  <c r="Q4165" i="6"/>
  <c r="W4165" i="6" s="1"/>
  <c r="F569" i="17"/>
  <c r="M4165" i="6"/>
  <c r="I4165" i="6"/>
  <c r="D46" i="22"/>
  <c r="D1860" i="13"/>
  <c r="Q4164" i="6"/>
  <c r="W4164" i="6" s="1"/>
  <c r="F568"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7" i="17"/>
  <c r="F567" i="17"/>
  <c r="F566" i="17"/>
  <c r="I4162" i="6"/>
  <c r="N4162" i="6"/>
  <c r="M4162" i="6"/>
  <c r="I4161" i="6"/>
  <c r="M4161" i="6"/>
  <c r="Q4160" i="6"/>
  <c r="W4160" i="6" s="1"/>
  <c r="D42" i="22"/>
  <c r="D1856" i="13"/>
  <c r="F565" i="17"/>
  <c r="I4160" i="6"/>
  <c r="M4160" i="6"/>
  <c r="Q4159" i="6"/>
  <c r="W4159" i="6" s="1"/>
  <c r="I4159" i="6"/>
  <c r="N39" i="22"/>
  <c r="O39" i="22"/>
  <c r="P39" i="22" s="1"/>
  <c r="D41" i="22"/>
  <c r="D1855" i="13"/>
  <c r="D1854" i="13"/>
  <c r="F564" i="17"/>
  <c r="M4159" i="6"/>
  <c r="Q4158" i="6"/>
  <c r="W4158" i="6" s="1"/>
  <c r="D40" i="22"/>
  <c r="F563" i="17"/>
  <c r="I4158" i="6"/>
  <c r="M4158" i="6"/>
  <c r="Q4157" i="6"/>
  <c r="W4157" i="6"/>
  <c r="F562" i="17"/>
  <c r="D39" i="22"/>
  <c r="D1853" i="13"/>
  <c r="M4157" i="6"/>
  <c r="I4157" i="6"/>
  <c r="F561" i="17"/>
  <c r="Q4156" i="6"/>
  <c r="W4156" i="6"/>
  <c r="M4156" i="6"/>
  <c r="I4156" i="6"/>
  <c r="D38" i="22"/>
  <c r="D1852" i="13"/>
  <c r="Q4155" i="6"/>
  <c r="W4155" i="6" s="1"/>
  <c r="F560" i="17"/>
  <c r="D37" i="22"/>
  <c r="D1851" i="13"/>
  <c r="I4155" i="6"/>
  <c r="M4155" i="6"/>
  <c r="Q4154" i="6"/>
  <c r="W4154" i="6" s="1"/>
  <c r="F559" i="17"/>
  <c r="D36" i="22"/>
  <c r="D1850" i="13"/>
  <c r="M4154" i="6"/>
  <c r="I4154" i="6"/>
  <c r="Q4153" i="6"/>
  <c r="W4153" i="6" s="1"/>
  <c r="D35" i="22"/>
  <c r="D1849" i="13"/>
  <c r="F558" i="17"/>
  <c r="M4153" i="6"/>
  <c r="I4153" i="6"/>
  <c r="F557" i="17"/>
  <c r="F556" i="17"/>
  <c r="D34" i="22"/>
  <c r="D33" i="22"/>
  <c r="D1848" i="13"/>
  <c r="D1847" i="13"/>
  <c r="Q4152" i="6"/>
  <c r="W4152" i="6" s="1"/>
  <c r="M4152" i="6"/>
  <c r="M4151" i="6"/>
  <c r="I4152" i="6"/>
  <c r="I4151" i="6"/>
  <c r="Q4150" i="6"/>
  <c r="W4150" i="6" s="1"/>
  <c r="D32" i="22"/>
  <c r="D1846" i="13"/>
  <c r="I4150" i="6"/>
  <c r="M4150" i="6"/>
  <c r="F555" i="17"/>
  <c r="Q4149" i="6"/>
  <c r="W4149" i="6" s="1"/>
  <c r="D1845" i="13"/>
  <c r="D31" i="22"/>
  <c r="I4149" i="6"/>
  <c r="F554" i="17"/>
  <c r="M4149" i="6"/>
  <c r="F553" i="17"/>
  <c r="I4148" i="6"/>
  <c r="D30" i="22"/>
  <c r="Q4148" i="6"/>
  <c r="W4148" i="6"/>
  <c r="M4148" i="6"/>
  <c r="D29" i="22"/>
  <c r="D1844" i="13"/>
  <c r="Q4147" i="6"/>
  <c r="W4147" i="6" s="1"/>
  <c r="F552" i="17"/>
  <c r="I4147" i="6"/>
  <c r="D1843" i="13"/>
  <c r="M4147" i="6"/>
  <c r="F551" i="17"/>
  <c r="D28" i="22"/>
  <c r="D1842" i="13"/>
  <c r="M4146" i="6"/>
  <c r="M4145" i="6"/>
  <c r="I4146" i="6"/>
  <c r="F550" i="17"/>
  <c r="I4145" i="6"/>
  <c r="D27" i="22"/>
  <c r="D1841" i="13"/>
  <c r="F549" i="17"/>
  <c r="M4144" i="6"/>
  <c r="I4144" i="6"/>
  <c r="D26" i="22"/>
  <c r="D1840" i="13"/>
  <c r="F548" i="17"/>
  <c r="I4143" i="6"/>
  <c r="M4143" i="6"/>
  <c r="D25" i="22"/>
  <c r="D1839" i="13"/>
  <c r="H547" i="17"/>
  <c r="G547" i="17"/>
  <c r="F24" i="22"/>
  <c r="D24" i="22"/>
  <c r="D23" i="22"/>
  <c r="D22" i="22"/>
  <c r="E1832" i="20"/>
  <c r="E1833" i="20"/>
  <c r="E1834" i="20"/>
  <c r="E1835" i="20"/>
  <c r="E1836" i="20"/>
  <c r="E1837" i="20"/>
  <c r="E1838" i="20"/>
  <c r="E1839" i="20"/>
  <c r="V4142" i="6"/>
  <c r="D1836" i="13"/>
  <c r="D1837" i="13"/>
  <c r="D1838" i="13"/>
  <c r="F545" i="17"/>
  <c r="F546" i="17"/>
  <c r="F547"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S4042" i="6" s="1"/>
  <c r="R4043" i="6"/>
  <c r="S4043" i="6" s="1"/>
  <c r="T4043" i="6" s="1"/>
  <c r="I4139" i="6"/>
  <c r="I4140" i="6"/>
  <c r="I4141" i="6"/>
  <c r="O4141" i="6"/>
  <c r="N4141" i="6"/>
  <c r="M4139" i="6"/>
  <c r="M4140" i="6"/>
  <c r="M4141" i="6"/>
  <c r="F544" i="17"/>
  <c r="Q4138" i="6"/>
  <c r="R4138" i="6" s="1"/>
  <c r="S4138" i="6" s="1"/>
  <c r="I4138" i="6"/>
  <c r="M4138" i="6"/>
  <c r="D21" i="22"/>
  <c r="D1835" i="13"/>
  <c r="D20" i="22"/>
  <c r="Q4137" i="6"/>
  <c r="W4137" i="6" s="1"/>
  <c r="F543" i="17"/>
  <c r="D1834" i="13"/>
  <c r="M4137" i="6"/>
  <c r="I4137" i="6"/>
  <c r="Q4136" i="6"/>
  <c r="R4136" i="6"/>
  <c r="S4136" i="6" s="1"/>
  <c r="T4136" i="6" s="1"/>
  <c r="F542" i="17"/>
  <c r="I4136" i="6"/>
  <c r="M4136" i="6"/>
  <c r="D1833" i="13"/>
  <c r="D19" i="22"/>
  <c r="Q4135" i="6"/>
  <c r="R4135" i="6" s="1"/>
  <c r="S4135" i="6" s="1"/>
  <c r="T4135" i="6" s="1"/>
  <c r="F541" i="17"/>
  <c r="D18" i="22"/>
  <c r="D1832" i="13"/>
  <c r="M4135" i="6"/>
  <c r="I4135" i="6"/>
  <c r="F540" i="17"/>
  <c r="D17" i="22"/>
  <c r="D1831" i="13"/>
  <c r="Q4134" i="6"/>
  <c r="R4134" i="6" s="1"/>
  <c r="S4134" i="6" s="1"/>
  <c r="M4134" i="6"/>
  <c r="I4134" i="6"/>
  <c r="D16" i="22"/>
  <c r="D1830" i="13"/>
  <c r="Q4133" i="6"/>
  <c r="R4133" i="6" s="1"/>
  <c r="S4133" i="6" s="1"/>
  <c r="F539" i="17"/>
  <c r="M4133" i="6"/>
  <c r="I4133" i="6"/>
  <c r="E1830" i="20"/>
  <c r="E1831" i="20"/>
  <c r="N69" i="10"/>
  <c r="Q4132" i="6"/>
  <c r="R4132" i="6" s="1"/>
  <c r="S4132" i="6" s="1"/>
  <c r="F538" i="17"/>
  <c r="M4132" i="6"/>
  <c r="I4132" i="6"/>
  <c r="D15" i="22"/>
  <c r="D1829" i="13"/>
  <c r="Q4131" i="6"/>
  <c r="R4131" i="6" s="1"/>
  <c r="S4131" i="6" s="1"/>
  <c r="T4131" i="6" s="1"/>
  <c r="F537" i="17"/>
  <c r="M4131" i="6"/>
  <c r="I4131" i="6"/>
  <c r="D14" i="22"/>
  <c r="D1828" i="13"/>
  <c r="E1826" i="20"/>
  <c r="E1827" i="20"/>
  <c r="E1828" i="20"/>
  <c r="E1829" i="20"/>
  <c r="Q4130" i="6"/>
  <c r="R4130" i="6" s="1"/>
  <c r="S4130" i="6" s="1"/>
  <c r="T4130" i="6" s="1"/>
  <c r="D4" i="22"/>
  <c r="D5" i="22"/>
  <c r="D6" i="22"/>
  <c r="D7" i="22"/>
  <c r="D8" i="22"/>
  <c r="D9" i="22"/>
  <c r="D10" i="22"/>
  <c r="D11" i="22"/>
  <c r="D12" i="22"/>
  <c r="D13" i="22"/>
  <c r="D3" i="22"/>
  <c r="D1822" i="13"/>
  <c r="D1823" i="13"/>
  <c r="D1818" i="13"/>
  <c r="F536" i="17"/>
  <c r="D1827" i="13"/>
  <c r="M4130" i="6"/>
  <c r="I4130" i="6"/>
  <c r="Q4129" i="6"/>
  <c r="R4129" i="6" s="1"/>
  <c r="W4129" i="6"/>
  <c r="F535" i="17"/>
  <c r="D1826" i="13"/>
  <c r="M4129" i="6"/>
  <c r="I4129" i="6"/>
  <c r="Q4128" i="6"/>
  <c r="R4128" i="6" s="1"/>
  <c r="D1825" i="13"/>
  <c r="M4128" i="6"/>
  <c r="I4128" i="6"/>
  <c r="F534" i="17"/>
  <c r="D1820" i="13"/>
  <c r="D1821" i="13"/>
  <c r="D1824" i="13"/>
  <c r="F533" i="17"/>
  <c r="I4127" i="6"/>
  <c r="M4127" i="6"/>
  <c r="Q4127" i="6"/>
  <c r="R4127" i="6" s="1"/>
  <c r="S4127" i="6" s="1"/>
  <c r="T4127" i="6" s="1"/>
  <c r="E1821" i="20"/>
  <c r="E1822" i="20"/>
  <c r="E1823" i="20"/>
  <c r="E1824" i="20"/>
  <c r="E1825" i="20"/>
  <c r="Q4126" i="6"/>
  <c r="F532" i="17"/>
  <c r="M4126" i="6"/>
  <c r="I4126" i="6"/>
  <c r="F531" i="17"/>
  <c r="Q4125" i="6"/>
  <c r="R4125" i="6" s="1"/>
  <c r="S4125" i="6" s="1"/>
  <c r="I4125" i="6"/>
  <c r="M4125" i="6"/>
  <c r="D1819" i="13"/>
  <c r="Q4124" i="6"/>
  <c r="R4124" i="6" s="1"/>
  <c r="F530" i="17"/>
  <c r="I4124" i="6"/>
  <c r="M4124" i="6"/>
  <c r="Q4123" i="6"/>
  <c r="W4123" i="6" s="1"/>
  <c r="F529" i="17"/>
  <c r="I4123" i="6"/>
  <c r="M4123" i="6"/>
  <c r="Q4122" i="6"/>
  <c r="R4122" i="6" s="1"/>
  <c r="S4122" i="6" s="1"/>
  <c r="F528" i="17"/>
  <c r="M4122" i="6"/>
  <c r="I4122" i="6"/>
  <c r="D4120" i="6"/>
  <c r="D1817" i="13"/>
  <c r="Q4121" i="6"/>
  <c r="W4121" i="6" s="1"/>
  <c r="E1820" i="20"/>
  <c r="E1819" i="20"/>
  <c r="F527" i="17"/>
  <c r="M4121" i="6"/>
  <c r="I4121" i="6"/>
  <c r="F526" i="17"/>
  <c r="Q4120" i="6"/>
  <c r="R4120" i="6" s="1"/>
  <c r="M4120" i="6"/>
  <c r="I4120" i="6"/>
  <c r="V4119" i="6"/>
  <c r="N4118" i="6"/>
  <c r="D4116" i="6"/>
  <c r="D4111" i="6"/>
  <c r="D4113" i="6"/>
  <c r="E1818" i="20"/>
  <c r="Q4118" i="6"/>
  <c r="W4118" i="6" s="1"/>
  <c r="I4118" i="6"/>
  <c r="M4118" i="6"/>
  <c r="H525" i="17"/>
  <c r="G525" i="17"/>
  <c r="F525" i="17"/>
  <c r="D1816" i="13"/>
  <c r="D1815" i="13"/>
  <c r="E1817" i="20"/>
  <c r="D1814" i="13"/>
  <c r="Q4117" i="6"/>
  <c r="R4117" i="6"/>
  <c r="S4117" i="6" s="1"/>
  <c r="F524" i="17"/>
  <c r="M4117" i="6"/>
  <c r="I4117" i="6"/>
  <c r="E1813" i="20"/>
  <c r="E1814" i="20"/>
  <c r="E1815" i="20"/>
  <c r="E1816" i="20"/>
  <c r="Q4116" i="6"/>
  <c r="R4116" i="6" s="1"/>
  <c r="S4116" i="6" s="1"/>
  <c r="W4116" i="6"/>
  <c r="Q4115" i="6"/>
  <c r="W4115" i="6"/>
  <c r="F523" i="17"/>
  <c r="I4116" i="6"/>
  <c r="M4116" i="6"/>
  <c r="Q4114" i="6"/>
  <c r="R4114" i="6" s="1"/>
  <c r="S4114" i="6" s="1"/>
  <c r="T4114" i="6" s="1"/>
  <c r="Q4113" i="6"/>
  <c r="R4113" i="6" s="1"/>
  <c r="S4113" i="6" s="1"/>
  <c r="F520" i="17"/>
  <c r="D1811" i="13"/>
  <c r="M4113" i="6"/>
  <c r="I4113" i="6"/>
  <c r="F519" i="17"/>
  <c r="D1810" i="13"/>
  <c r="E1812" i="20"/>
  <c r="Q4112" i="6"/>
  <c r="R4112" i="6" s="1"/>
  <c r="M4112" i="6"/>
  <c r="I4112" i="6"/>
  <c r="D4112" i="6"/>
  <c r="F518" i="17"/>
  <c r="D1809" i="13"/>
  <c r="E1810" i="20"/>
  <c r="E1811" i="20"/>
  <c r="Q4111" i="6"/>
  <c r="W4111" i="6" s="1"/>
  <c r="I4111" i="6"/>
  <c r="M4111" i="6"/>
  <c r="F517" i="17"/>
  <c r="D1808" i="13"/>
  <c r="Q4110" i="6"/>
  <c r="W4110" i="6" s="1"/>
  <c r="M4110" i="6"/>
  <c r="I4110" i="6"/>
  <c r="D4110" i="6"/>
  <c r="E1809" i="20"/>
  <c r="Q4109" i="6"/>
  <c r="W4109" i="6" s="1"/>
  <c r="R4109" i="6"/>
  <c r="S4109" i="6" s="1"/>
  <c r="M4109" i="6"/>
  <c r="F516" i="17"/>
  <c r="D1807" i="13"/>
  <c r="I4109" i="6"/>
  <c r="D4109" i="6"/>
  <c r="F515"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S4107" i="6" s="1"/>
  <c r="F514" i="17"/>
  <c r="I4107" i="6"/>
  <c r="M4107" i="6"/>
  <c r="Q4105" i="6"/>
  <c r="W4105" i="6" s="1"/>
  <c r="R4105" i="6"/>
  <c r="S4105" i="6" s="1"/>
  <c r="T4105" i="6" s="1"/>
  <c r="Q4106" i="6"/>
  <c r="R4106" i="6" s="1"/>
  <c r="D1803" i="13"/>
  <c r="M4105" i="6"/>
  <c r="I4105" i="6"/>
  <c r="D4105" i="6"/>
  <c r="F512" i="17"/>
  <c r="F513" i="17"/>
  <c r="D1804" i="13"/>
  <c r="M4106" i="6"/>
  <c r="I4106" i="6"/>
  <c r="D4106" i="6"/>
  <c r="F511" i="17"/>
  <c r="D1802" i="13"/>
  <c r="D4104" i="6"/>
  <c r="Q4104" i="6"/>
  <c r="W4104" i="6"/>
  <c r="M4104" i="6"/>
  <c r="I4104" i="6"/>
  <c r="F510" i="17"/>
  <c r="D1801" i="13"/>
  <c r="D4103" i="6"/>
  <c r="Q4103" i="6"/>
  <c r="W4103" i="6" s="1"/>
  <c r="M4103" i="6"/>
  <c r="I4103" i="6"/>
  <c r="Q4102" i="6"/>
  <c r="W4102" i="6" s="1"/>
  <c r="F509" i="17"/>
  <c r="I4102" i="6"/>
  <c r="M4102" i="6"/>
  <c r="D4102" i="6"/>
  <c r="D1800" i="13"/>
  <c r="Q4101" i="6"/>
  <c r="R4101" i="6" s="1"/>
  <c r="S4101" i="6" s="1"/>
  <c r="F508" i="17"/>
  <c r="D1799" i="13"/>
  <c r="M4101" i="6"/>
  <c r="I4101" i="6"/>
  <c r="D4101" i="6"/>
  <c r="Q4100" i="6"/>
  <c r="R4100" i="6" s="1"/>
  <c r="F507" i="17"/>
  <c r="D1798" i="13"/>
  <c r="M4100" i="6"/>
  <c r="I4100" i="6"/>
  <c r="D4100" i="6"/>
  <c r="D1793" i="13"/>
  <c r="D4094" i="6"/>
  <c r="Q4099" i="6"/>
  <c r="W4099" i="6" s="1"/>
  <c r="F506" i="17"/>
  <c r="D1797" i="13"/>
  <c r="M4099" i="6"/>
  <c r="I4099" i="6"/>
  <c r="D4099" i="6"/>
  <c r="Q4098" i="6"/>
  <c r="W4098" i="6" s="1"/>
  <c r="F505" i="17"/>
  <c r="D1796" i="13"/>
  <c r="M4098" i="6"/>
  <c r="I4098" i="6"/>
  <c r="D4098" i="6"/>
  <c r="Q4097" i="6"/>
  <c r="D1795" i="13"/>
  <c r="D4097" i="6"/>
  <c r="I4097" i="6"/>
  <c r="F504" i="17"/>
  <c r="M4097" i="6"/>
  <c r="V4096" i="6"/>
  <c r="D4095" i="6"/>
  <c r="D1794" i="13"/>
  <c r="Q4094" i="6"/>
  <c r="R4094" i="6"/>
  <c r="S4094" i="6" s="1"/>
  <c r="Q4095" i="6"/>
  <c r="R4095" i="6" s="1"/>
  <c r="S4095" i="6" s="1"/>
  <c r="H503" i="17"/>
  <c r="G503" i="17"/>
  <c r="F503" i="17"/>
  <c r="N4095" i="6"/>
  <c r="M4095" i="6"/>
  <c r="I4095" i="6"/>
  <c r="F502" i="17"/>
  <c r="I4094" i="6"/>
  <c r="M4094" i="6"/>
  <c r="D1792" i="13"/>
  <c r="D4093" i="6"/>
  <c r="Q4093" i="6"/>
  <c r="W4093" i="6" s="1"/>
  <c r="F501" i="17"/>
  <c r="M4093" i="6"/>
  <c r="I4093" i="6"/>
  <c r="Q4092" i="6"/>
  <c r="R4092" i="6"/>
  <c r="D1791" i="13"/>
  <c r="D4092" i="6"/>
  <c r="F500" i="17"/>
  <c r="M4092" i="6"/>
  <c r="I4092" i="6"/>
  <c r="Q4091" i="6"/>
  <c r="R4091" i="6" s="1"/>
  <c r="D4091" i="6"/>
  <c r="D1790" i="13"/>
  <c r="F498" i="17"/>
  <c r="F499" i="17"/>
  <c r="M4091" i="6"/>
  <c r="I4091" i="6"/>
  <c r="F497" i="17"/>
  <c r="D1789" i="13"/>
  <c r="Q4090" i="6"/>
  <c r="W4090" i="6"/>
  <c r="M4090" i="6"/>
  <c r="I4090" i="6"/>
  <c r="D4090" i="6"/>
  <c r="Q4089" i="6"/>
  <c r="W4089" i="6" s="1"/>
  <c r="D1788" i="13"/>
  <c r="D4089" i="6"/>
  <c r="M4089" i="6"/>
  <c r="I4089" i="6"/>
  <c r="D1778" i="13"/>
  <c r="Q4088" i="6"/>
  <c r="R4088" i="6" s="1"/>
  <c r="S4088" i="6" s="1"/>
  <c r="W4088" i="6"/>
  <c r="D1787" i="13"/>
  <c r="D4088" i="6"/>
  <c r="F496" i="17"/>
  <c r="M4088" i="6"/>
  <c r="I4088" i="6"/>
  <c r="F495" i="17"/>
  <c r="D1786" i="13"/>
  <c r="Q4087" i="6"/>
  <c r="R4087" i="6" s="1"/>
  <c r="S4087" i="6" s="1"/>
  <c r="M4087" i="6"/>
  <c r="I4087" i="6"/>
  <c r="D4087" i="6"/>
  <c r="D1785" i="13"/>
  <c r="Q4086" i="6"/>
  <c r="R4086" i="6" s="1"/>
  <c r="M4086" i="6"/>
  <c r="I4086" i="6"/>
  <c r="D4086" i="6"/>
  <c r="F494" i="17"/>
  <c r="D1783" i="13"/>
  <c r="D4084" i="6"/>
  <c r="F493" i="17"/>
  <c r="D1784" i="13"/>
  <c r="D4085" i="6"/>
  <c r="Q4085" i="6"/>
  <c r="W4085" i="6" s="1"/>
  <c r="M4085" i="6"/>
  <c r="I4085" i="6"/>
  <c r="F492" i="17"/>
  <c r="Q4084" i="6"/>
  <c r="W4084" i="6" s="1"/>
  <c r="M4084" i="6"/>
  <c r="I4084" i="6"/>
  <c r="F491" i="17"/>
  <c r="D1782" i="13"/>
  <c r="Q4083" i="6"/>
  <c r="W4083" i="6" s="1"/>
  <c r="M4083" i="6"/>
  <c r="I4083" i="6"/>
  <c r="D4083" i="6"/>
  <c r="D1781" i="13"/>
  <c r="D4082" i="6"/>
  <c r="Q4082" i="6"/>
  <c r="R4082" i="6" s="1"/>
  <c r="F490" i="17"/>
  <c r="M4082" i="6"/>
  <c r="I4082" i="6"/>
  <c r="F489" i="17"/>
  <c r="Q4081" i="6"/>
  <c r="W4081" i="6" s="1"/>
  <c r="M4081" i="6"/>
  <c r="I4081" i="6"/>
  <c r="D4081" i="6"/>
  <c r="D1780" i="13"/>
  <c r="D1779" i="13"/>
  <c r="D4079" i="6"/>
  <c r="D4080" i="6"/>
  <c r="Q4080" i="6"/>
  <c r="R4080" i="6"/>
  <c r="S4080" i="6" s="1"/>
  <c r="F488" i="17"/>
  <c r="M4080" i="6"/>
  <c r="I4080" i="6"/>
  <c r="F487" i="17"/>
  <c r="Q4079" i="6"/>
  <c r="R4079" i="6" s="1"/>
  <c r="M4079" i="6"/>
  <c r="I4079" i="6"/>
  <c r="F486" i="17"/>
  <c r="D1777" i="13"/>
  <c r="Q4078" i="6"/>
  <c r="W4078" i="6" s="1"/>
  <c r="R4078" i="6"/>
  <c r="S4078" i="6" s="1"/>
  <c r="T4078" i="6" s="1"/>
  <c r="M4078" i="6"/>
  <c r="I4078" i="6"/>
  <c r="D4078" i="6"/>
  <c r="F485" i="17"/>
  <c r="D1776" i="13"/>
  <c r="Q4077" i="6"/>
  <c r="R4077" i="6" s="1"/>
  <c r="M4077" i="6"/>
  <c r="I4077" i="6"/>
  <c r="D4077" i="6"/>
  <c r="D4076" i="6"/>
  <c r="D1775" i="13"/>
  <c r="Q4076" i="6"/>
  <c r="R4076" i="6" s="1"/>
  <c r="S4076" i="6" s="1"/>
  <c r="F484" i="17"/>
  <c r="M4076" i="6"/>
  <c r="I4076" i="6"/>
  <c r="F483" i="17"/>
  <c r="D1774" i="13"/>
  <c r="Q4075" i="6"/>
  <c r="R4075" i="6" s="1"/>
  <c r="W4075" i="6"/>
  <c r="M4075" i="6"/>
  <c r="I4075" i="6"/>
  <c r="D4075" i="6"/>
  <c r="F482" i="17"/>
  <c r="D1773" i="13"/>
  <c r="Q4073" i="6"/>
  <c r="W4073" i="6" s="1"/>
  <c r="N4073" i="6"/>
  <c r="M4073" i="6"/>
  <c r="I4073" i="6"/>
  <c r="D4073" i="6"/>
  <c r="H482" i="17"/>
  <c r="G482" i="17"/>
  <c r="V4074" i="6"/>
  <c r="F481" i="17"/>
  <c r="D1772" i="13"/>
  <c r="Q4072" i="6"/>
  <c r="R4072" i="6" s="1"/>
  <c r="S4072" i="6" s="1"/>
  <c r="M4072" i="6"/>
  <c r="I4072" i="6"/>
  <c r="D4072" i="6"/>
  <c r="F480" i="17"/>
  <c r="D1771" i="13"/>
  <c r="Q4071" i="6"/>
  <c r="W4071" i="6" s="1"/>
  <c r="R4071" i="6"/>
  <c r="S4071" i="6" s="1"/>
  <c r="T4071" i="6" s="1"/>
  <c r="M4071" i="6"/>
  <c r="I4071" i="6"/>
  <c r="D4071" i="6"/>
  <c r="F479" i="17"/>
  <c r="D1770" i="13"/>
  <c r="Q4070" i="6"/>
  <c r="W4070" i="6" s="1"/>
  <c r="M4070" i="6"/>
  <c r="I4070" i="6"/>
  <c r="D4070" i="6"/>
  <c r="D1769" i="13"/>
  <c r="D4069" i="6"/>
  <c r="Q4069" i="6"/>
  <c r="R4069" i="6" s="1"/>
  <c r="S4069" i="6" s="1"/>
  <c r="F478" i="17"/>
  <c r="I4069" i="6"/>
  <c r="M4069" i="6"/>
  <c r="Q4068" i="6"/>
  <c r="R4068" i="6" s="1"/>
  <c r="F477" i="17"/>
  <c r="D1768" i="13"/>
  <c r="M4068" i="6"/>
  <c r="I4068" i="6"/>
  <c r="D4068" i="6"/>
  <c r="F476" i="17"/>
  <c r="D1767" i="13"/>
  <c r="Q4067" i="6"/>
  <c r="R4067" i="6" s="1"/>
  <c r="S4067" i="6" s="1"/>
  <c r="M4067" i="6"/>
  <c r="I4067" i="6"/>
  <c r="D4067" i="6"/>
  <c r="Q4066" i="6"/>
  <c r="R4066" i="6" s="1"/>
  <c r="S4066" i="6" s="1"/>
  <c r="Q4065" i="6"/>
  <c r="R4065" i="6" s="1"/>
  <c r="S4065" i="6" s="1"/>
  <c r="T4065" i="6" s="1"/>
  <c r="F475" i="17"/>
  <c r="D1766" i="13"/>
  <c r="D4066" i="6"/>
  <c r="I4066" i="6"/>
  <c r="M4066" i="6"/>
  <c r="D1765" i="13"/>
  <c r="D4065" i="6"/>
  <c r="F474" i="17"/>
  <c r="M4065" i="6"/>
  <c r="I4065" i="6"/>
  <c r="D1764" i="13"/>
  <c r="D4064" i="6"/>
  <c r="Q4064" i="6"/>
  <c r="R4064" i="6" s="1"/>
  <c r="F473" i="17"/>
  <c r="I4064" i="6"/>
  <c r="M4064" i="6"/>
  <c r="F472" i="17"/>
  <c r="D1763" i="13"/>
  <c r="Q4063" i="6"/>
  <c r="R4063" i="6" s="1"/>
  <c r="S4063" i="6" s="1"/>
  <c r="M4063" i="6"/>
  <c r="I4063" i="6"/>
  <c r="D4063" i="6"/>
  <c r="D1761" i="13"/>
  <c r="D1762" i="13"/>
  <c r="D1760" i="13"/>
  <c r="Q4062" i="6"/>
  <c r="R4062" i="6" s="1"/>
  <c r="D4060" i="6"/>
  <c r="D4061" i="6"/>
  <c r="F471" i="17"/>
  <c r="D4062" i="6"/>
  <c r="I4062" i="6"/>
  <c r="D1759" i="13"/>
  <c r="M4062" i="6"/>
  <c r="Q4061" i="6"/>
  <c r="W4061" i="6" s="1"/>
  <c r="M4061" i="6"/>
  <c r="I4061" i="6"/>
  <c r="F470" i="17"/>
  <c r="Q4060" i="6"/>
  <c r="W4060" i="6" s="1"/>
  <c r="M4060" i="6"/>
  <c r="I4060" i="6"/>
  <c r="F469" i="17"/>
  <c r="Q4059" i="6"/>
  <c r="W4059" i="6" s="1"/>
  <c r="F468" i="17"/>
  <c r="M4059" i="6"/>
  <c r="I4059" i="6"/>
  <c r="D4059" i="6"/>
  <c r="Q4058" i="6"/>
  <c r="F467" i="17"/>
  <c r="D1758" i="13"/>
  <c r="M4058" i="6"/>
  <c r="I4058" i="6"/>
  <c r="D4058" i="6"/>
  <c r="F466" i="17"/>
  <c r="F465" i="17"/>
  <c r="D1757" i="13"/>
  <c r="D1756" i="13"/>
  <c r="Q4057" i="6"/>
  <c r="R4057" i="6" s="1"/>
  <c r="M4057" i="6"/>
  <c r="I4057" i="6"/>
  <c r="D4057" i="6"/>
  <c r="Q4056" i="6"/>
  <c r="R4056" i="6" s="1"/>
  <c r="M4056" i="6"/>
  <c r="I4056" i="6"/>
  <c r="D4056" i="6"/>
  <c r="F464" i="17"/>
  <c r="D1755" i="13"/>
  <c r="M4055" i="6"/>
  <c r="I4055" i="6"/>
  <c r="D4055" i="6"/>
  <c r="F463" i="17"/>
  <c r="D1754" i="13"/>
  <c r="M4054" i="6"/>
  <c r="I4054" i="6"/>
  <c r="D4054" i="6"/>
  <c r="D1753" i="13"/>
  <c r="D4053" i="6"/>
  <c r="D1752" i="13"/>
  <c r="D4052" i="6"/>
  <c r="F462" i="17"/>
  <c r="F461" i="17"/>
  <c r="M4053" i="6"/>
  <c r="I4053" i="6"/>
  <c r="M4052" i="6"/>
  <c r="I4052" i="6"/>
  <c r="F460" i="17"/>
  <c r="D1751" i="13"/>
  <c r="M4051" i="6"/>
  <c r="I4051" i="6"/>
  <c r="D4051" i="6"/>
  <c r="D1750" i="13"/>
  <c r="Q4049" i="6"/>
  <c r="W4049" i="6" s="1"/>
  <c r="I4049" i="6"/>
  <c r="D4049" i="6"/>
  <c r="F459" i="17"/>
  <c r="M4049" i="6"/>
  <c r="H459" i="17"/>
  <c r="G459" i="17"/>
  <c r="V4050" i="6"/>
  <c r="O4049" i="6"/>
  <c r="N4049" i="6"/>
  <c r="Q4048" i="6"/>
  <c r="W4048" i="6" s="1"/>
  <c r="F458" i="17"/>
  <c r="D1749" i="13"/>
  <c r="M4048" i="6"/>
  <c r="I4048" i="6"/>
  <c r="D4048" i="6"/>
  <c r="Q4047" i="6"/>
  <c r="W4047" i="6" s="1"/>
  <c r="F457" i="17"/>
  <c r="D1748" i="13"/>
  <c r="M4047" i="6"/>
  <c r="I4047" i="6"/>
  <c r="D4047" i="6"/>
  <c r="Q4046" i="6"/>
  <c r="R4046" i="6"/>
  <c r="S4046" i="6" s="1"/>
  <c r="T4046" i="6" s="1"/>
  <c r="Q4045" i="6"/>
  <c r="W4045" i="6" s="1"/>
  <c r="R4045" i="6"/>
  <c r="S4045" i="6" s="1"/>
  <c r="F456" i="17"/>
  <c r="F455" i="17"/>
  <c r="D1747" i="13"/>
  <c r="D4046" i="6"/>
  <c r="I4046" i="6"/>
  <c r="M4046" i="6"/>
  <c r="D4045" i="6"/>
  <c r="O3776" i="6"/>
  <c r="N4027" i="6"/>
  <c r="D1746" i="13"/>
  <c r="I4045" i="6"/>
  <c r="M4045" i="6"/>
  <c r="D1745" i="13"/>
  <c r="Q4044" i="6"/>
  <c r="W4044" i="6" s="1"/>
  <c r="I4044" i="6"/>
  <c r="D4044" i="6"/>
  <c r="F454" i="17"/>
  <c r="M4044" i="6"/>
  <c r="D1744" i="13"/>
  <c r="D4043" i="6"/>
  <c r="D1743" i="13"/>
  <c r="D1742" i="13"/>
  <c r="D1741" i="13"/>
  <c r="D1740" i="13"/>
  <c r="Q4041" i="6"/>
  <c r="R4041" i="6" s="1"/>
  <c r="Q4040" i="6"/>
  <c r="R4040" i="6" s="1"/>
  <c r="S4040" i="6" s="1"/>
  <c r="T4040" i="6" s="1"/>
  <c r="W4040" i="6"/>
  <c r="D4042" i="6"/>
  <c r="D4041" i="6"/>
  <c r="D4040" i="6"/>
  <c r="D4039" i="6"/>
  <c r="F450" i="17"/>
  <c r="F451" i="17"/>
  <c r="F452" i="17"/>
  <c r="F453" i="17"/>
  <c r="I4040" i="6"/>
  <c r="I4041" i="6"/>
  <c r="I4042" i="6"/>
  <c r="I4043" i="6"/>
  <c r="I4039" i="6"/>
  <c r="M4041" i="6"/>
  <c r="M4042" i="6"/>
  <c r="M4043" i="6"/>
  <c r="M4040" i="6"/>
  <c r="Q4039" i="6"/>
  <c r="W4039" i="6" s="1"/>
  <c r="F449" i="17"/>
  <c r="M4039" i="6"/>
  <c r="Q4038" i="6"/>
  <c r="W4038" i="6" s="1"/>
  <c r="I4038" i="6"/>
  <c r="D4038" i="6"/>
  <c r="D1739" i="13"/>
  <c r="Q4037" i="6"/>
  <c r="W4037" i="6" s="1"/>
  <c r="R4037" i="6"/>
  <c r="S4037" i="6"/>
  <c r="F448" i="17"/>
  <c r="M4038" i="6"/>
  <c r="F447" i="17"/>
  <c r="D1738" i="13"/>
  <c r="I4037" i="6"/>
  <c r="D4037" i="6"/>
  <c r="M4037" i="6"/>
  <c r="D1737" i="13"/>
  <c r="Q4036" i="6"/>
  <c r="R4036" i="6" s="1"/>
  <c r="S4036" i="6" s="1"/>
  <c r="I4036" i="6"/>
  <c r="D4036" i="6"/>
  <c r="F446" i="17"/>
  <c r="M4036" i="6"/>
  <c r="F445" i="17"/>
  <c r="D1736" i="13"/>
  <c r="Q4035" i="6"/>
  <c r="R4035" i="6" s="1"/>
  <c r="S4035" i="6" s="1"/>
  <c r="T4035" i="6" s="1"/>
  <c r="M4035" i="6"/>
  <c r="I4035" i="6"/>
  <c r="D4035" i="6"/>
  <c r="Q4034" i="6"/>
  <c r="R4034" i="6" s="1"/>
  <c r="S4034" i="6" s="1"/>
  <c r="T4034" i="6" s="1"/>
  <c r="F444" i="17"/>
  <c r="D1735" i="13"/>
  <c r="M4034" i="6"/>
  <c r="I4034" i="6"/>
  <c r="D4034" i="6"/>
  <c r="D1734" i="13"/>
  <c r="D4033" i="6"/>
  <c r="Q4033" i="6"/>
  <c r="W4033" i="6" s="1"/>
  <c r="F443" i="17"/>
  <c r="M4033" i="6"/>
  <c r="I4033" i="6"/>
  <c r="D1733" i="13"/>
  <c r="Q4032" i="6"/>
  <c r="W4032" i="6"/>
  <c r="F442" i="17"/>
  <c r="M4032" i="6"/>
  <c r="I4032" i="6"/>
  <c r="D4032" i="6"/>
  <c r="D1732" i="13"/>
  <c r="Q4031" i="6"/>
  <c r="W4031" i="6" s="1"/>
  <c r="I4031" i="6"/>
  <c r="F441" i="17"/>
  <c r="M4031" i="6"/>
  <c r="D4031" i="6"/>
  <c r="D1731" i="13"/>
  <c r="Q4030" i="6"/>
  <c r="I4030" i="6"/>
  <c r="D4030" i="6"/>
  <c r="F440" i="17"/>
  <c r="M4030" i="6"/>
  <c r="D1730" i="13"/>
  <c r="I4029" i="6"/>
  <c r="D4029" i="6"/>
  <c r="M4029" i="6"/>
  <c r="Q4029" i="6"/>
  <c r="R4029" i="6" s="1"/>
  <c r="S4029" i="6" s="1"/>
  <c r="F439" i="17"/>
  <c r="V4028" i="6"/>
  <c r="Q4027" i="6"/>
  <c r="W4027" i="6" s="1"/>
  <c r="R4027" i="6"/>
  <c r="S4027" i="6" s="1"/>
  <c r="G438" i="17"/>
  <c r="F438" i="17"/>
  <c r="D1729" i="13"/>
  <c r="M4027" i="6"/>
  <c r="I4027" i="6"/>
  <c r="D4027" i="6"/>
  <c r="Q4026" i="6"/>
  <c r="W4026" i="6" s="1"/>
  <c r="F437" i="17"/>
  <c r="D1728" i="13"/>
  <c r="M4026" i="6"/>
  <c r="I4026" i="6"/>
  <c r="D4026" i="6"/>
  <c r="Q4025" i="6"/>
  <c r="W4025" i="6" s="1"/>
  <c r="I4025" i="6"/>
  <c r="F436" i="17"/>
  <c r="D1727" i="13"/>
  <c r="D4025" i="6"/>
  <c r="M4025" i="6"/>
  <c r="Q4024" i="6"/>
  <c r="W4024" i="6" s="1"/>
  <c r="F435" i="17"/>
  <c r="D1726" i="13"/>
  <c r="M4024" i="6"/>
  <c r="I4024" i="6"/>
  <c r="D4024" i="6"/>
  <c r="Q4023" i="6"/>
  <c r="W4023" i="6" s="1"/>
  <c r="Q4022" i="6"/>
  <c r="F433" i="17"/>
  <c r="D1724" i="13"/>
  <c r="M4022" i="6"/>
  <c r="I4022" i="6"/>
  <c r="D4022" i="6"/>
  <c r="F432" i="17"/>
  <c r="F431" i="17"/>
  <c r="D1723" i="13"/>
  <c r="Q4021" i="6"/>
  <c r="R4021" i="6" s="1"/>
  <c r="S4021" i="6" s="1"/>
  <c r="I4021" i="6"/>
  <c r="D4021" i="6"/>
  <c r="M4021" i="6"/>
  <c r="D1722" i="13"/>
  <c r="Q4020" i="6"/>
  <c r="W4020" i="6" s="1"/>
  <c r="M4020" i="6"/>
  <c r="I4020" i="6"/>
  <c r="D4020" i="6"/>
  <c r="F430" i="17"/>
  <c r="D1721" i="13"/>
  <c r="Q4019" i="6"/>
  <c r="W4019" i="6"/>
  <c r="I4019" i="6"/>
  <c r="D4019" i="6"/>
  <c r="M4019" i="6"/>
  <c r="Q4018" i="6"/>
  <c r="R4018" i="6" s="1"/>
  <c r="S4018" i="6" s="1"/>
  <c r="F429" i="17"/>
  <c r="D1720" i="13"/>
  <c r="M4018" i="6"/>
  <c r="I4018" i="6"/>
  <c r="D4018" i="6"/>
  <c r="Q4017" i="6"/>
  <c r="W4017" i="6" s="1"/>
  <c r="F428" i="17"/>
  <c r="D1719" i="13"/>
  <c r="M4017" i="6"/>
  <c r="I4017" i="6"/>
  <c r="D4017" i="6"/>
  <c r="Q4015" i="6"/>
  <c r="W4015" i="6" s="1"/>
  <c r="D1718" i="13"/>
  <c r="D1717" i="13"/>
  <c r="Q4016" i="6"/>
  <c r="R4016" i="6" s="1"/>
  <c r="S4016" i="6" s="1"/>
  <c r="I4016" i="6"/>
  <c r="D4016" i="6"/>
  <c r="I4015" i="6"/>
  <c r="D4015" i="6"/>
  <c r="F426" i="17"/>
  <c r="F427" i="17"/>
  <c r="M4016" i="6"/>
  <c r="M4015" i="6"/>
  <c r="D1716" i="13"/>
  <c r="D4014" i="6"/>
  <c r="I4014" i="6"/>
  <c r="Q4014" i="6"/>
  <c r="W4014" i="6" s="1"/>
  <c r="F425" i="17"/>
  <c r="M4014" i="6"/>
  <c r="D1715" i="13"/>
  <c r="Q4013" i="6"/>
  <c r="I4013" i="6"/>
  <c r="D4013" i="6"/>
  <c r="F424" i="17"/>
  <c r="M4013" i="6"/>
  <c r="D1714" i="13"/>
  <c r="Q4012" i="6"/>
  <c r="R4012" i="6" s="1"/>
  <c r="S4012" i="6" s="1"/>
  <c r="D4012" i="6"/>
  <c r="F423" i="17"/>
  <c r="I4012" i="6"/>
  <c r="M4012" i="6"/>
  <c r="Q4011" i="6"/>
  <c r="W4011" i="6"/>
  <c r="F422" i="17"/>
  <c r="D1713" i="13"/>
  <c r="M4011" i="6"/>
  <c r="I4011" i="6"/>
  <c r="D4011" i="6"/>
  <c r="D1712" i="13"/>
  <c r="D4010" i="6"/>
  <c r="F421" i="17"/>
  <c r="Q4010" i="6"/>
  <c r="W4010" i="6" s="1"/>
  <c r="I4010" i="6"/>
  <c r="M4010" i="6"/>
  <c r="Q4009" i="6"/>
  <c r="W4009" i="6" s="1"/>
  <c r="F420" i="17"/>
  <c r="D1711" i="13"/>
  <c r="M4009" i="6"/>
  <c r="I4009" i="6"/>
  <c r="D4009" i="6"/>
  <c r="D1710" i="13"/>
  <c r="Q4008" i="6"/>
  <c r="W4008" i="6" s="1"/>
  <c r="I4008" i="6"/>
  <c r="D4008" i="6"/>
  <c r="F419" i="17"/>
  <c r="M4008" i="6"/>
  <c r="D1709" i="13"/>
  <c r="Q4007" i="6"/>
  <c r="W4007" i="6"/>
  <c r="D4007" i="6"/>
  <c r="F418" i="17"/>
  <c r="I4007" i="6"/>
  <c r="M4007" i="6"/>
  <c r="D1708" i="13"/>
  <c r="Q4006" i="6"/>
  <c r="W4006" i="6" s="1"/>
  <c r="I4006" i="6"/>
  <c r="F417" i="17"/>
  <c r="M4006" i="6"/>
  <c r="D4006" i="6"/>
  <c r="N4004" i="6"/>
  <c r="F416" i="17"/>
  <c r="D1707" i="13"/>
  <c r="I4004" i="6"/>
  <c r="Q4004" i="6"/>
  <c r="W4004" i="6" s="1"/>
  <c r="G416" i="17"/>
  <c r="M4004" i="6"/>
  <c r="D4004" i="6"/>
  <c r="D1706" i="13"/>
  <c r="Q4003" i="6"/>
  <c r="W4003" i="6" s="1"/>
  <c r="I4003" i="6"/>
  <c r="D4003" i="6"/>
  <c r="F415" i="17"/>
  <c r="M4003" i="6"/>
  <c r="Q4002" i="6"/>
  <c r="R4002" i="6" s="1"/>
  <c r="D1705" i="13"/>
  <c r="D1704" i="13"/>
  <c r="F414" i="17"/>
  <c r="M4002" i="6"/>
  <c r="I4002" i="6"/>
  <c r="D4001" i="6"/>
  <c r="D4002" i="6"/>
  <c r="F413" i="17"/>
  <c r="Q4001" i="6"/>
  <c r="W4001" i="6" s="1"/>
  <c r="I4001" i="6"/>
  <c r="M4001" i="6"/>
  <c r="D1703" i="13"/>
  <c r="Q4000" i="6"/>
  <c r="W4000" i="6"/>
  <c r="I4000" i="6"/>
  <c r="F412" i="17"/>
  <c r="M4000" i="6"/>
  <c r="D4000" i="6"/>
  <c r="Q3999" i="6"/>
  <c r="W3999" i="6" s="1"/>
  <c r="R3999" i="6"/>
  <c r="S3999" i="6" s="1"/>
  <c r="D1702" i="13"/>
  <c r="D3999" i="6"/>
  <c r="F411" i="17"/>
  <c r="M3999" i="6"/>
  <c r="I3999" i="6"/>
  <c r="F410" i="17"/>
  <c r="D1701" i="13"/>
  <c r="Q3998" i="6"/>
  <c r="R3998" i="6" s="1"/>
  <c r="S3998" i="6" s="1"/>
  <c r="M3998" i="6"/>
  <c r="I3998" i="6"/>
  <c r="D3998" i="6"/>
  <c r="V4005" i="6"/>
  <c r="D3997" i="6"/>
  <c r="D1700" i="13"/>
  <c r="D1699" i="13"/>
  <c r="D1692" i="13"/>
  <c r="Q3997" i="6"/>
  <c r="W3997" i="6" s="1"/>
  <c r="I3997" i="6"/>
  <c r="F409" i="17"/>
  <c r="M3997" i="6"/>
  <c r="D3996" i="6"/>
  <c r="Q3996" i="6"/>
  <c r="W3996" i="6" s="1"/>
  <c r="F408" i="17"/>
  <c r="M3996" i="6"/>
  <c r="I3996" i="6"/>
  <c r="D1698" i="13"/>
  <c r="D3995" i="6"/>
  <c r="Q3995" i="6"/>
  <c r="W3995" i="6" s="1"/>
  <c r="I3994" i="6"/>
  <c r="I3995" i="6"/>
  <c r="F407" i="17"/>
  <c r="M3995" i="6"/>
  <c r="D1697" i="13"/>
  <c r="Q3994" i="6"/>
  <c r="D3994" i="6"/>
  <c r="F406" i="17"/>
  <c r="M3994" i="6"/>
  <c r="D1696" i="13"/>
  <c r="Q3993" i="6"/>
  <c r="W3993" i="6" s="1"/>
  <c r="I3993" i="6"/>
  <c r="D3993" i="6"/>
  <c r="F405" i="17"/>
  <c r="M3993" i="6"/>
  <c r="Q3992" i="6"/>
  <c r="F404" i="17"/>
  <c r="D1695" i="13"/>
  <c r="I3992" i="6"/>
  <c r="D3992" i="6"/>
  <c r="M3992" i="6"/>
  <c r="D1694" i="13"/>
  <c r="Q3991" i="6"/>
  <c r="R3991" i="6" s="1"/>
  <c r="S3991" i="6" s="1"/>
  <c r="T3991" i="6" s="1"/>
  <c r="D3991" i="6"/>
  <c r="F403" i="17"/>
  <c r="I3991" i="6"/>
  <c r="M3991" i="6"/>
  <c r="D3989" i="6"/>
  <c r="D1693" i="13"/>
  <c r="Q3990" i="6"/>
  <c r="W3990" i="6" s="1"/>
  <c r="F402" i="17"/>
  <c r="I3990" i="6"/>
  <c r="D3990" i="6"/>
  <c r="M3990" i="6"/>
  <c r="Q3989" i="6"/>
  <c r="I3989" i="6"/>
  <c r="F401" i="17"/>
  <c r="M3989" i="6"/>
  <c r="F400" i="17"/>
  <c r="D1691" i="13"/>
  <c r="Q3988" i="6"/>
  <c r="W3988" i="6" s="1"/>
  <c r="I3988" i="6"/>
  <c r="M3988" i="6"/>
  <c r="Q3987" i="6"/>
  <c r="D1690" i="13"/>
  <c r="I3987" i="6"/>
  <c r="F399" i="17"/>
  <c r="M3987" i="6"/>
  <c r="Q3986" i="6"/>
  <c r="W3986" i="6" s="1"/>
  <c r="I3986" i="6"/>
  <c r="D3986" i="6"/>
  <c r="F398" i="17"/>
  <c r="M3986" i="6"/>
  <c r="Q3985" i="6"/>
  <c r="R3985" i="6" s="1"/>
  <c r="S3985" i="6" s="1"/>
  <c r="F397" i="17"/>
  <c r="D1688" i="13"/>
  <c r="D1689" i="13"/>
  <c r="I3985" i="6"/>
  <c r="D3985" i="6"/>
  <c r="D3987" i="6"/>
  <c r="D3988" i="6"/>
  <c r="M3985" i="6"/>
  <c r="Q3984" i="6"/>
  <c r="D3984" i="6"/>
  <c r="F396" i="17"/>
  <c r="D1687" i="13"/>
  <c r="I3984" i="6"/>
  <c r="M3984" i="6"/>
  <c r="Q3983" i="6"/>
  <c r="W3983" i="6" s="1"/>
  <c r="D1686" i="13"/>
  <c r="D3983" i="6"/>
  <c r="F395" i="17"/>
  <c r="M3983" i="6"/>
  <c r="I3983" i="6"/>
  <c r="O3935" i="6"/>
  <c r="O3980" i="6"/>
  <c r="V3981" i="6"/>
  <c r="Q3982" i="6"/>
  <c r="W3982" i="6" s="1"/>
  <c r="F394" i="17"/>
  <c r="D1685" i="13"/>
  <c r="D3982" i="6"/>
  <c r="I3982" i="6"/>
  <c r="M3982" i="6"/>
  <c r="G393" i="17"/>
  <c r="N3980" i="6"/>
  <c r="Q3980" i="6"/>
  <c r="D1684" i="13"/>
  <c r="I3980" i="6"/>
  <c r="D3980" i="6"/>
  <c r="F393" i="17"/>
  <c r="M3980" i="6"/>
  <c r="Q3979" i="6"/>
  <c r="R3979" i="6" s="1"/>
  <c r="F392" i="17"/>
  <c r="D1683" i="13"/>
  <c r="I3979" i="6"/>
  <c r="D3979" i="6"/>
  <c r="M3979" i="6"/>
  <c r="Q3978" i="6"/>
  <c r="R3978" i="6" s="1"/>
  <c r="S3978" i="6" s="1"/>
  <c r="T3978" i="6" s="1"/>
  <c r="D1682" i="13"/>
  <c r="I3978" i="6"/>
  <c r="D3978" i="6"/>
  <c r="F391" i="17"/>
  <c r="M3978" i="6"/>
  <c r="Q3977" i="6"/>
  <c r="R3977" i="6"/>
  <c r="S3977" i="6" s="1"/>
  <c r="F390" i="17"/>
  <c r="D1681" i="13"/>
  <c r="I3977" i="6"/>
  <c r="D3977" i="6"/>
  <c r="M3977" i="6"/>
  <c r="Q3976" i="6"/>
  <c r="W3976" i="6" s="1"/>
  <c r="D1680" i="13"/>
  <c r="I3976" i="6"/>
  <c r="F389" i="17"/>
  <c r="M3976" i="6"/>
  <c r="D3976" i="6"/>
  <c r="Q3975" i="6"/>
  <c r="W3975" i="6" s="1"/>
  <c r="D1679" i="13"/>
  <c r="F388" i="17"/>
  <c r="M3975" i="6"/>
  <c r="D3975" i="6"/>
  <c r="I3975" i="6"/>
  <c r="Q3974" i="6"/>
  <c r="F387" i="17"/>
  <c r="D1678" i="13"/>
  <c r="I3974" i="6"/>
  <c r="D3974" i="6"/>
  <c r="M3974" i="6"/>
  <c r="Q3973" i="6"/>
  <c r="R3973" i="6" s="1"/>
  <c r="D1677" i="13"/>
  <c r="F386" i="17"/>
  <c r="M3973" i="6"/>
  <c r="I3973" i="6"/>
  <c r="D3973" i="6"/>
  <c r="Q3972" i="6"/>
  <c r="W3972" i="6" s="1"/>
  <c r="D1676" i="13"/>
  <c r="F385" i="17"/>
  <c r="M3972" i="6"/>
  <c r="I3972" i="6"/>
  <c r="D3972" i="6"/>
  <c r="Q3971" i="6"/>
  <c r="R3971" i="6" s="1"/>
  <c r="F384" i="17"/>
  <c r="D1675" i="13"/>
  <c r="M3971" i="6"/>
  <c r="I3971" i="6"/>
  <c r="D3971" i="6"/>
  <c r="Q3970" i="6"/>
  <c r="W3970" i="6" s="1"/>
  <c r="F383" i="17"/>
  <c r="D1674" i="13"/>
  <c r="M3970" i="6"/>
  <c r="I3970" i="6"/>
  <c r="D3970" i="6"/>
  <c r="Q3969" i="6"/>
  <c r="R3969" i="6" s="1"/>
  <c r="S3969" i="6" s="1"/>
  <c r="W3969" i="6"/>
  <c r="D3969" i="6"/>
  <c r="F382" i="17"/>
  <c r="D1673" i="13"/>
  <c r="M3969" i="6"/>
  <c r="I3969" i="6"/>
  <c r="D1672" i="13"/>
  <c r="D3968" i="6"/>
  <c r="F381" i="17"/>
  <c r="M3968" i="6"/>
  <c r="I3968" i="6"/>
  <c r="D1671" i="13"/>
  <c r="D3967" i="6"/>
  <c r="Q3965" i="6"/>
  <c r="R3965" i="6" s="1"/>
  <c r="S3965" i="6" s="1"/>
  <c r="F380" i="17"/>
  <c r="M3967" i="6"/>
  <c r="I3967" i="6"/>
  <c r="K4" i="17"/>
  <c r="F5" i="17"/>
  <c r="F6" i="17"/>
  <c r="F7" i="17"/>
  <c r="F8" i="17"/>
  <c r="F9" i="17"/>
  <c r="F10" i="17"/>
  <c r="F11" i="17"/>
  <c r="F12" i="17"/>
  <c r="F13" i="17"/>
  <c r="F14" i="17"/>
  <c r="F15" i="17"/>
  <c r="F16" i="17"/>
  <c r="F17" i="17"/>
  <c r="F18" i="17"/>
  <c r="F19" i="17"/>
  <c r="F20" i="17"/>
  <c r="F21" i="17"/>
  <c r="F22" i="17"/>
  <c r="F23" i="17"/>
  <c r="F24" i="17"/>
  <c r="F25" i="17"/>
  <c r="G25" i="17"/>
  <c r="H25" i="17"/>
  <c r="F26" i="17"/>
  <c r="F27" i="17"/>
  <c r="F28" i="17"/>
  <c r="F29" i="17"/>
  <c r="F30" i="17"/>
  <c r="F31" i="17"/>
  <c r="F32" i="17"/>
  <c r="F33" i="17"/>
  <c r="F34" i="17"/>
  <c r="F35" i="17"/>
  <c r="F36" i="17"/>
  <c r="F37" i="17"/>
  <c r="F38" i="17"/>
  <c r="F39" i="17"/>
  <c r="F40" i="17"/>
  <c r="F41" i="17"/>
  <c r="F42" i="17"/>
  <c r="F43" i="17"/>
  <c r="F44" i="17"/>
  <c r="F45" i="17"/>
  <c r="F46" i="17"/>
  <c r="G46" i="17"/>
  <c r="H46" i="17"/>
  <c r="F47" i="17"/>
  <c r="F48" i="17"/>
  <c r="F49" i="17"/>
  <c r="F50" i="17"/>
  <c r="F51" i="17"/>
  <c r="F52" i="17"/>
  <c r="F53" i="17"/>
  <c r="F54" i="17"/>
  <c r="F55" i="17"/>
  <c r="F56" i="17"/>
  <c r="F57" i="17"/>
  <c r="F58" i="17"/>
  <c r="F59" i="17"/>
  <c r="F60" i="17"/>
  <c r="F61" i="17"/>
  <c r="F62" i="17"/>
  <c r="F63" i="17"/>
  <c r="F64" i="17"/>
  <c r="F65" i="17"/>
  <c r="F66" i="17"/>
  <c r="F67" i="17"/>
  <c r="F68" i="17"/>
  <c r="G68" i="17"/>
  <c r="H68" i="17"/>
  <c r="F69" i="17"/>
  <c r="F70" i="17"/>
  <c r="F71" i="17"/>
  <c r="F72" i="17"/>
  <c r="F75" i="17"/>
  <c r="F76" i="17"/>
  <c r="F77" i="17"/>
  <c r="F78" i="17"/>
  <c r="F79" i="17"/>
  <c r="F80" i="17"/>
  <c r="F81" i="17"/>
  <c r="F82" i="17"/>
  <c r="F83" i="17"/>
  <c r="F84" i="17"/>
  <c r="F85" i="17"/>
  <c r="F86" i="17"/>
  <c r="F87" i="17"/>
  <c r="F88" i="17"/>
  <c r="F89" i="17"/>
  <c r="G89" i="17"/>
  <c r="H89" i="17"/>
  <c r="F90" i="17"/>
  <c r="F91" i="17"/>
  <c r="F92" i="17"/>
  <c r="F93" i="17"/>
  <c r="F95" i="17"/>
  <c r="F96" i="17"/>
  <c r="F97" i="17"/>
  <c r="F98" i="17"/>
  <c r="F99" i="17"/>
  <c r="F100" i="17"/>
  <c r="F101" i="17"/>
  <c r="F102" i="17"/>
  <c r="F103" i="17"/>
  <c r="F104" i="17"/>
  <c r="F105" i="17"/>
  <c r="F106" i="17"/>
  <c r="F107" i="17"/>
  <c r="F108" i="17"/>
  <c r="F109" i="17"/>
  <c r="F110" i="17"/>
  <c r="F111" i="17"/>
  <c r="F112" i="17"/>
  <c r="G112" i="17"/>
  <c r="H112" i="17"/>
  <c r="F113" i="17"/>
  <c r="F116" i="17"/>
  <c r="F117" i="17"/>
  <c r="F118" i="17"/>
  <c r="F119" i="17"/>
  <c r="F120" i="17"/>
  <c r="F121" i="17"/>
  <c r="F122" i="17"/>
  <c r="F123" i="17"/>
  <c r="F124" i="17"/>
  <c r="F125" i="17"/>
  <c r="F126" i="17"/>
  <c r="F127" i="17"/>
  <c r="F128" i="17"/>
  <c r="F129" i="17"/>
  <c r="F130" i="17"/>
  <c r="F131" i="17"/>
  <c r="F132" i="17"/>
  <c r="F133" i="17"/>
  <c r="G133" i="17"/>
  <c r="H133" i="17"/>
  <c r="F134" i="17"/>
  <c r="F135" i="17"/>
  <c r="F136" i="17"/>
  <c r="F137" i="17"/>
  <c r="F138" i="17"/>
  <c r="F139" i="17"/>
  <c r="F140" i="17"/>
  <c r="F141" i="17"/>
  <c r="F142" i="17"/>
  <c r="F143" i="17"/>
  <c r="F144" i="17"/>
  <c r="F145" i="17"/>
  <c r="F146" i="17"/>
  <c r="F147" i="17"/>
  <c r="F148" i="17"/>
  <c r="F149" i="17"/>
  <c r="F150" i="17"/>
  <c r="F151" i="17"/>
  <c r="F152" i="17"/>
  <c r="F153" i="17"/>
  <c r="F154" i="17"/>
  <c r="F155" i="17"/>
  <c r="G155" i="17"/>
  <c r="H155" i="17"/>
  <c r="F156" i="17"/>
  <c r="F157" i="17"/>
  <c r="F158" i="17"/>
  <c r="F159" i="17"/>
  <c r="F160" i="17"/>
  <c r="F161" i="17"/>
  <c r="F162" i="17"/>
  <c r="F163" i="17"/>
  <c r="F164" i="17"/>
  <c r="F165" i="17"/>
  <c r="F166" i="17"/>
  <c r="F167" i="17"/>
  <c r="F168" i="17"/>
  <c r="F169" i="17"/>
  <c r="F170" i="17"/>
  <c r="F171" i="17"/>
  <c r="F172" i="17"/>
  <c r="F173" i="17"/>
  <c r="F175" i="17"/>
  <c r="F176" i="17"/>
  <c r="F177" i="17"/>
  <c r="F178" i="17"/>
  <c r="G178" i="17"/>
  <c r="H178" i="17"/>
  <c r="F179" i="17"/>
  <c r="F180" i="17"/>
  <c r="F181" i="17"/>
  <c r="F182" i="17"/>
  <c r="F183" i="17"/>
  <c r="F184" i="17"/>
  <c r="F185" i="17"/>
  <c r="F186" i="17"/>
  <c r="F187" i="17"/>
  <c r="F188" i="17"/>
  <c r="F189" i="17"/>
  <c r="F190" i="17"/>
  <c r="F191" i="17"/>
  <c r="F192" i="17"/>
  <c r="F193" i="17"/>
  <c r="F194" i="17"/>
  <c r="F195" i="17"/>
  <c r="F196" i="17"/>
  <c r="F197" i="17"/>
  <c r="F198" i="17"/>
  <c r="G198" i="17"/>
  <c r="H198" i="17"/>
  <c r="F199" i="17"/>
  <c r="F200" i="17"/>
  <c r="F201" i="17"/>
  <c r="F202" i="17"/>
  <c r="F203" i="17"/>
  <c r="F204" i="17"/>
  <c r="F205" i="17"/>
  <c r="F206" i="17"/>
  <c r="F207" i="17"/>
  <c r="F208" i="17"/>
  <c r="F209" i="17"/>
  <c r="F210" i="17"/>
  <c r="F211" i="17"/>
  <c r="F212" i="17"/>
  <c r="F213" i="17"/>
  <c r="F214" i="17"/>
  <c r="F215" i="17"/>
  <c r="F216" i="17"/>
  <c r="F217" i="17"/>
  <c r="F218" i="17"/>
  <c r="F219" i="17"/>
  <c r="F220" i="17"/>
  <c r="F221" i="17"/>
  <c r="G221" i="17"/>
  <c r="H221" i="17"/>
  <c r="F222" i="17"/>
  <c r="F223" i="17"/>
  <c r="F224" i="17"/>
  <c r="F225" i="17"/>
  <c r="F226" i="17"/>
  <c r="F227" i="17"/>
  <c r="F228" i="17"/>
  <c r="F229" i="17"/>
  <c r="F230" i="17"/>
  <c r="F231" i="17"/>
  <c r="F232" i="17"/>
  <c r="F233" i="17"/>
  <c r="F234" i="17"/>
  <c r="F235" i="17"/>
  <c r="F236" i="17"/>
  <c r="F237" i="17"/>
  <c r="F238" i="17"/>
  <c r="F239" i="17"/>
  <c r="F240" i="17"/>
  <c r="F241" i="17"/>
  <c r="F242" i="17"/>
  <c r="F243" i="17"/>
  <c r="G243" i="17"/>
  <c r="H243" i="17"/>
  <c r="F244" i="17"/>
  <c r="F245" i="17"/>
  <c r="F246" i="17"/>
  <c r="F247" i="17"/>
  <c r="F248" i="17"/>
  <c r="F249" i="17"/>
  <c r="F250" i="17"/>
  <c r="F251" i="17"/>
  <c r="F252" i="17"/>
  <c r="F253" i="17"/>
  <c r="F254" i="17"/>
  <c r="F255" i="17"/>
  <c r="F256" i="17"/>
  <c r="F257" i="17"/>
  <c r="F258" i="17"/>
  <c r="F259" i="17"/>
  <c r="F262" i="17"/>
  <c r="F263" i="17"/>
  <c r="F264" i="17"/>
  <c r="G264" i="17"/>
  <c r="H264" i="17"/>
  <c r="F266" i="17"/>
  <c r="F267" i="17"/>
  <c r="F268" i="17"/>
  <c r="F269" i="17"/>
  <c r="F270" i="17"/>
  <c r="F271" i="17"/>
  <c r="F272" i="17"/>
  <c r="F273" i="17"/>
  <c r="F274" i="17"/>
  <c r="F275" i="17"/>
  <c r="F276" i="17"/>
  <c r="F277" i="17"/>
  <c r="F278" i="17"/>
  <c r="F279" i="17"/>
  <c r="F280" i="17"/>
  <c r="F281" i="17"/>
  <c r="F282" i="17"/>
  <c r="F283" i="17"/>
  <c r="F284" i="17"/>
  <c r="F285" i="17"/>
  <c r="F286" i="17"/>
  <c r="F287" i="17"/>
  <c r="G287" i="17"/>
  <c r="H287" i="17"/>
  <c r="F288" i="17"/>
  <c r="F289" i="17"/>
  <c r="F290" i="17"/>
  <c r="F291" i="17"/>
  <c r="F292" i="17"/>
  <c r="F293" i="17"/>
  <c r="F294" i="17"/>
  <c r="F295" i="17"/>
  <c r="F296" i="17"/>
  <c r="F297" i="17"/>
  <c r="F298" i="17"/>
  <c r="F299" i="17"/>
  <c r="F300" i="17"/>
  <c r="F301" i="17"/>
  <c r="F302" i="17"/>
  <c r="F303" i="17"/>
  <c r="F304" i="17"/>
  <c r="F305" i="17"/>
  <c r="F306" i="17"/>
  <c r="F307" i="17"/>
  <c r="G307" i="17"/>
  <c r="H307" i="17"/>
  <c r="F308" i="17"/>
  <c r="F309" i="17"/>
  <c r="F310" i="17"/>
  <c r="F311" i="17"/>
  <c r="F312" i="17"/>
  <c r="F313" i="17"/>
  <c r="F314" i="17"/>
  <c r="F315" i="17"/>
  <c r="F316" i="17"/>
  <c r="F317" i="17"/>
  <c r="F318" i="17"/>
  <c r="F319" i="17"/>
  <c r="F320" i="17"/>
  <c r="F321" i="17"/>
  <c r="F322" i="17"/>
  <c r="F323" i="17"/>
  <c r="F324" i="17"/>
  <c r="F325" i="17"/>
  <c r="F326" i="17"/>
  <c r="F327" i="17"/>
  <c r="G328" i="17"/>
  <c r="H328" i="17"/>
  <c r="F330" i="17"/>
  <c r="F331" i="17"/>
  <c r="F332" i="17"/>
  <c r="F333" i="17"/>
  <c r="F334" i="17"/>
  <c r="F335" i="17"/>
  <c r="F336" i="17"/>
  <c r="F337" i="17"/>
  <c r="F338" i="17"/>
  <c r="F339" i="17"/>
  <c r="F340" i="17"/>
  <c r="F341" i="17"/>
  <c r="F342" i="17"/>
  <c r="F343" i="17"/>
  <c r="F344" i="17"/>
  <c r="F345" i="17"/>
  <c r="F346" i="17"/>
  <c r="F347" i="17"/>
  <c r="F348" i="17"/>
  <c r="F349" i="17"/>
  <c r="F350" i="17"/>
  <c r="G350" i="17"/>
  <c r="H350" i="17"/>
  <c r="F351" i="17"/>
  <c r="F352" i="17"/>
  <c r="F353" i="17"/>
  <c r="F355" i="17"/>
  <c r="F356" i="17"/>
  <c r="F357" i="17"/>
  <c r="F358" i="17"/>
  <c r="F359" i="17"/>
  <c r="F360" i="17"/>
  <c r="F361" i="17"/>
  <c r="F362" i="17"/>
  <c r="F363" i="17"/>
  <c r="F364" i="17"/>
  <c r="F365" i="17"/>
  <c r="F366" i="17"/>
  <c r="F367" i="17"/>
  <c r="F368" i="17"/>
  <c r="F370" i="17"/>
  <c r="F371" i="17"/>
  <c r="F372" i="17"/>
  <c r="F373" i="17"/>
  <c r="G373" i="17"/>
  <c r="H373" i="17"/>
  <c r="F374" i="17"/>
  <c r="F375" i="17"/>
  <c r="F376" i="17"/>
  <c r="F377" i="17"/>
  <c r="F378" i="17"/>
  <c r="F379"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G191" i="13" s="1"/>
  <c r="I191" i="13" s="1"/>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E191" i="13" s="1"/>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E214" i="13" s="1"/>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E298" i="13" s="1"/>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E384" i="13" s="1"/>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G473" i="13" s="1"/>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E815" i="13" s="1"/>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E1075" i="13" s="1"/>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E1163" i="13" s="1"/>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E1337" i="13" s="1"/>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E1424" i="13" s="1"/>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E1469" i="13" s="1"/>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s="1"/>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s="1"/>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s="1"/>
  <c r="D3418" i="6"/>
  <c r="M3418" i="6"/>
  <c r="Q3418" i="6"/>
  <c r="W3418" i="6" s="1"/>
  <c r="Q3419" i="6"/>
  <c r="W3419" i="6" s="1"/>
  <c r="D3420" i="6"/>
  <c r="M3420" i="6"/>
  <c r="N3420" i="6"/>
  <c r="O3420" i="6"/>
  <c r="Q3420" i="6"/>
  <c r="W3420" i="6" s="1"/>
  <c r="V3420" i="6"/>
  <c r="D3421" i="6"/>
  <c r="M3421" i="6"/>
  <c r="Q3421" i="6"/>
  <c r="W3421" i="6"/>
  <c r="D3422" i="6"/>
  <c r="M3422" i="6"/>
  <c r="Q3422" i="6"/>
  <c r="W3422" i="6" s="1"/>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s="1"/>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c r="D3548" i="6"/>
  <c r="M3548" i="6"/>
  <c r="Q3548" i="6"/>
  <c r="W3548" i="6" s="1"/>
  <c r="D3549" i="6"/>
  <c r="M3549" i="6"/>
  <c r="Q3549" i="6"/>
  <c r="W3549" i="6" s="1"/>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s="1"/>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R3868" i="6" s="1"/>
  <c r="S3868" i="6" s="1"/>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W3922" i="6" s="1"/>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S3940" i="6" s="1"/>
  <c r="T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S3944" i="6" s="1"/>
  <c r="T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W4034" i="6"/>
  <c r="W4062" i="6"/>
  <c r="W4107" i="6"/>
  <c r="R4058" i="6"/>
  <c r="S4058" i="6" s="1"/>
  <c r="W4058" i="6"/>
  <c r="W4066" i="6"/>
  <c r="R4024" i="6"/>
  <c r="S4024" i="6" s="1"/>
  <c r="R4013" i="6"/>
  <c r="S4013" i="6" s="1"/>
  <c r="W4013" i="6"/>
  <c r="R4103" i="6"/>
  <c r="S4103" i="6" s="1"/>
  <c r="T4103" i="6" s="1"/>
  <c r="S4100" i="6"/>
  <c r="T4100" i="6" s="1"/>
  <c r="R4001" i="6"/>
  <c r="S4001" i="6" s="1"/>
  <c r="R4090" i="6"/>
  <c r="S4090" i="6"/>
  <c r="T4090" i="6" s="1"/>
  <c r="R3975" i="6"/>
  <c r="S3975" i="6" s="1"/>
  <c r="T3975" i="6" s="1"/>
  <c r="R4048" i="6"/>
  <c r="S4048" i="6" s="1"/>
  <c r="W4072" i="6"/>
  <c r="R4083" i="6"/>
  <c r="S4083" i="6" s="1"/>
  <c r="W3998" i="6"/>
  <c r="R4115" i="6"/>
  <c r="S4115" i="6" s="1"/>
  <c r="W4077" i="6"/>
  <c r="R4000" i="6"/>
  <c r="S4000" i="6" s="1"/>
  <c r="R4093" i="6"/>
  <c r="S4093" i="6"/>
  <c r="R4070" i="6"/>
  <c r="S4070" i="6" s="1"/>
  <c r="T4070" i="6" s="1"/>
  <c r="W3991" i="6"/>
  <c r="R4006" i="6"/>
  <c r="S4006" i="6" s="1"/>
  <c r="R4084" i="6"/>
  <c r="S4084" i="6"/>
  <c r="W4046" i="6"/>
  <c r="W4080" i="6"/>
  <c r="W4012" i="6"/>
  <c r="W4064" i="6"/>
  <c r="W4117" i="6"/>
  <c r="R4098" i="6"/>
  <c r="S4098" i="6" s="1"/>
  <c r="W4095" i="6"/>
  <c r="W4035" i="6"/>
  <c r="W4092" i="6"/>
  <c r="R4026" i="6"/>
  <c r="S4026" i="6" s="1"/>
  <c r="R4032" i="6"/>
  <c r="S4032" i="6" s="1"/>
  <c r="T4032" i="6" s="1"/>
  <c r="R4019" i="6"/>
  <c r="S4019" i="6" s="1"/>
  <c r="W4041" i="6"/>
  <c r="W4112" i="6"/>
  <c r="R4025" i="6"/>
  <c r="S4025" i="6" s="1"/>
  <c r="T4025" i="6" s="1"/>
  <c r="R4007" i="6"/>
  <c r="S4007" i="6"/>
  <c r="T4007" i="6" s="1"/>
  <c r="R4049" i="6"/>
  <c r="S4049" i="6" s="1"/>
  <c r="W4091" i="6"/>
  <c r="R4118" i="6"/>
  <c r="S4118" i="6" s="1"/>
  <c r="T4118" i="6" s="1"/>
  <c r="W4067" i="6"/>
  <c r="W4068" i="6"/>
  <c r="R4104" i="6"/>
  <c r="S4104" i="6" s="1"/>
  <c r="W4114" i="6"/>
  <c r="W3977" i="6"/>
  <c r="R4004" i="6"/>
  <c r="S4004" i="6" s="1"/>
  <c r="R4044" i="6"/>
  <c r="S4044" i="6" s="1"/>
  <c r="R3990" i="6"/>
  <c r="S3990" i="6"/>
  <c r="T3990" i="6"/>
  <c r="W4018" i="6"/>
  <c r="W4094" i="6"/>
  <c r="R4089" i="6"/>
  <c r="S4089" i="6" s="1"/>
  <c r="T4089" i="6" s="1"/>
  <c r="R3958" i="6"/>
  <c r="S3958" i="6" s="1"/>
  <c r="W3897" i="6"/>
  <c r="R3959" i="6"/>
  <c r="S3959" i="6" s="1"/>
  <c r="W3857" i="6"/>
  <c r="W4124" i="6"/>
  <c r="R3853" i="6"/>
  <c r="S3853" i="6"/>
  <c r="W3909" i="6"/>
  <c r="R3957" i="6"/>
  <c r="S3957" i="6" s="1"/>
  <c r="T3957" i="6" s="1"/>
  <c r="W4076" i="6"/>
  <c r="W4128" i="6"/>
  <c r="W4134" i="6"/>
  <c r="W3942" i="6"/>
  <c r="R3884" i="6"/>
  <c r="S3884" i="6" s="1"/>
  <c r="W3858" i="6"/>
  <c r="W3964" i="6"/>
  <c r="W3901" i="6"/>
  <c r="T4067" i="6"/>
  <c r="W4136" i="6"/>
  <c r="R4052" i="6"/>
  <c r="X5115" i="6"/>
  <c r="X5432" i="6"/>
  <c r="R3854" i="6"/>
  <c r="S3854" i="6" s="1"/>
  <c r="R3862" i="6"/>
  <c r="S3862" i="6" s="1"/>
  <c r="W3924" i="6"/>
  <c r="X3924" i="6" s="1"/>
  <c r="R3928" i="6"/>
  <c r="S3928" i="6" s="1"/>
  <c r="W3940" i="6"/>
  <c r="T4036" i="6"/>
  <c r="R4126" i="6"/>
  <c r="S4126" i="6" s="1"/>
  <c r="W4126" i="6"/>
  <c r="T3998" i="6"/>
  <c r="R4139" i="6"/>
  <c r="S4139" i="6" s="1"/>
  <c r="T4139" i="6" s="1"/>
  <c r="R3955" i="6"/>
  <c r="S3955" i="6" s="1"/>
  <c r="T3955" i="6" s="1"/>
  <c r="R3932" i="6"/>
  <c r="S3932" i="6" s="1"/>
  <c r="W3950" i="6"/>
  <c r="R3874" i="6"/>
  <c r="S3874" i="6" s="1"/>
  <c r="S4086" i="6"/>
  <c r="T4086" i="6" s="1"/>
  <c r="R3910" i="6"/>
  <c r="S3910" i="6" s="1"/>
  <c r="R3922" i="6"/>
  <c r="S3922" i="6" s="1"/>
  <c r="S4128" i="6"/>
  <c r="T4128" i="6" s="1"/>
  <c r="R3919" i="6"/>
  <c r="S3919" i="6" s="1"/>
  <c r="T3919" i="6" s="1"/>
  <c r="T3857" i="6"/>
  <c r="S3942" i="6"/>
  <c r="T3942" i="6" s="1"/>
  <c r="S4112" i="6"/>
  <c r="S4068" i="6"/>
  <c r="W3898" i="6"/>
  <c r="T4132" i="6"/>
  <c r="T4134" i="6"/>
  <c r="W4131" i="6"/>
  <c r="W5413" i="6"/>
  <c r="Q5414" i="6"/>
  <c r="W5414" i="6" s="1"/>
  <c r="G3223" i="13"/>
  <c r="E3093" i="13" l="1"/>
  <c r="E2983" i="13"/>
  <c r="E3636" i="13"/>
  <c r="F2918" i="13"/>
  <c r="E1619" i="13"/>
  <c r="E1578" i="13"/>
  <c r="E1512" i="13"/>
  <c r="E1011" i="13"/>
  <c r="G968" i="13"/>
  <c r="E127" i="13"/>
  <c r="E1707" i="13"/>
  <c r="F1923" i="13"/>
  <c r="E1879" i="13"/>
  <c r="E2076" i="13"/>
  <c r="E2161" i="13"/>
  <c r="E2248" i="13"/>
  <c r="F2442" i="13"/>
  <c r="E2399" i="13"/>
  <c r="E2420" i="13"/>
  <c r="F2616" i="13"/>
  <c r="F3005" i="13"/>
  <c r="E3199" i="13"/>
  <c r="E2292" i="13"/>
  <c r="E2768" i="13"/>
  <c r="E2854" i="13"/>
  <c r="E2962" i="13"/>
  <c r="F2962" i="13"/>
  <c r="F3156" i="13"/>
  <c r="E1664" i="13"/>
  <c r="E1446" i="13"/>
  <c r="G1424" i="13"/>
  <c r="E1294" i="13"/>
  <c r="E1272" i="13"/>
  <c r="G1229" i="13"/>
  <c r="E1141" i="13"/>
  <c r="E1118" i="13"/>
  <c r="E1034" i="13"/>
  <c r="G1034" i="13"/>
  <c r="E924" i="13"/>
  <c r="E879" i="13"/>
  <c r="G516" i="13"/>
  <c r="I516" i="13" s="1"/>
  <c r="G319" i="13"/>
  <c r="E255" i="13"/>
  <c r="E149" i="13"/>
  <c r="E2442" i="13"/>
  <c r="E2724" i="13"/>
  <c r="E2811" i="13"/>
  <c r="E3114" i="13"/>
  <c r="E1359" i="13"/>
  <c r="G1359" i="13"/>
  <c r="G1294" i="13"/>
  <c r="E946" i="13"/>
  <c r="E795" i="13"/>
  <c r="G775" i="13"/>
  <c r="E473" i="13"/>
  <c r="E341" i="13"/>
  <c r="E237" i="13"/>
  <c r="E106" i="13"/>
  <c r="E1988" i="13"/>
  <c r="E2313" i="13"/>
  <c r="E2376" i="13"/>
  <c r="E2485" i="13"/>
  <c r="E2659" i="13"/>
  <c r="E2789" i="13"/>
  <c r="F3461" i="13"/>
  <c r="E1641" i="13"/>
  <c r="E1555" i="13"/>
  <c r="E1380" i="13"/>
  <c r="E1098" i="13"/>
  <c r="E537" i="13"/>
  <c r="E1944" i="13"/>
  <c r="F2204" i="13"/>
  <c r="E3177" i="13"/>
  <c r="E667" i="13"/>
  <c r="G493" i="13"/>
  <c r="E277" i="13"/>
  <c r="E1858" i="13"/>
  <c r="E2204" i="13"/>
  <c r="F2573" i="13"/>
  <c r="E3071" i="13"/>
  <c r="E3005" i="13"/>
  <c r="E2939" i="13"/>
  <c r="F2896" i="13"/>
  <c r="E3156" i="13"/>
  <c r="F3177" i="13"/>
  <c r="E1207" i="13"/>
  <c r="E1184" i="13"/>
  <c r="E1729" i="13"/>
  <c r="E516" i="13"/>
  <c r="E493" i="13"/>
  <c r="E428" i="13"/>
  <c r="G1555" i="13"/>
  <c r="G1163" i="13"/>
  <c r="E579" i="13"/>
  <c r="F255" i="13"/>
  <c r="E2551" i="13"/>
  <c r="E2679" i="13"/>
  <c r="E2896" i="13"/>
  <c r="E557" i="13"/>
  <c r="E1055" i="13"/>
  <c r="E450" i="13"/>
  <c r="E171" i="13"/>
  <c r="E1750" i="13"/>
  <c r="F2161" i="13"/>
  <c r="E1684" i="13"/>
  <c r="E1403" i="13"/>
  <c r="G902" i="13"/>
  <c r="F1838" i="13"/>
  <c r="E2010" i="13"/>
  <c r="F3071" i="13"/>
  <c r="E3048" i="13"/>
  <c r="E2702" i="13"/>
  <c r="F2876" i="13"/>
  <c r="F2097" i="13"/>
  <c r="E1229" i="13"/>
  <c r="E968" i="13"/>
  <c r="E860" i="13"/>
  <c r="E838" i="13"/>
  <c r="E731" i="13"/>
  <c r="E709" i="13"/>
  <c r="E601" i="13"/>
  <c r="G384" i="13"/>
  <c r="I384" i="13" s="1"/>
  <c r="G255" i="13"/>
  <c r="G127" i="13"/>
  <c r="I127" i="13" s="1"/>
  <c r="E2033" i="13"/>
  <c r="E2595" i="13"/>
  <c r="E3028" i="13"/>
  <c r="F3093" i="13"/>
  <c r="E1489" i="13"/>
  <c r="E989" i="13"/>
  <c r="E1816" i="13"/>
  <c r="E2270" i="13"/>
  <c r="F2420" i="13"/>
  <c r="E622" i="13"/>
  <c r="E407" i="13"/>
  <c r="E1534" i="13"/>
  <c r="E902" i="13"/>
  <c r="F2789" i="13"/>
  <c r="E363" i="13"/>
  <c r="E2833" i="13"/>
  <c r="F3222" i="13"/>
  <c r="F2508" i="13"/>
  <c r="E687" i="13"/>
  <c r="E1598" i="13"/>
  <c r="E1316" i="13"/>
  <c r="E775" i="13"/>
  <c r="E1901" i="13"/>
  <c r="E2508" i="13"/>
  <c r="E752" i="13"/>
  <c r="E2139" i="13"/>
  <c r="E2918" i="13"/>
  <c r="E644" i="13"/>
  <c r="E319" i="13"/>
  <c r="E117" i="10"/>
  <c r="F1858" i="13"/>
  <c r="F3028" i="13"/>
  <c r="E2117" i="13"/>
  <c r="E1250" i="13"/>
  <c r="E3374" i="13"/>
  <c r="E4094" i="13"/>
  <c r="F4156" i="13"/>
  <c r="F2313" i="13"/>
  <c r="E4003" i="13"/>
  <c r="E2053" i="13"/>
  <c r="F2355" i="13"/>
  <c r="F2376" i="13"/>
  <c r="G579" i="13"/>
  <c r="I579" i="13" s="1"/>
  <c r="E84" i="13"/>
  <c r="F3308" i="13"/>
  <c r="E3287" i="13"/>
  <c r="F3873" i="13"/>
  <c r="E3808" i="13"/>
  <c r="E2355" i="13"/>
  <c r="G838" i="13"/>
  <c r="F3242" i="13"/>
  <c r="G644" i="13"/>
  <c r="I644" i="13" s="1"/>
  <c r="F3331" i="13"/>
  <c r="F1034" i="13"/>
  <c r="E1794" i="13"/>
  <c r="E4025" i="13"/>
  <c r="F2530" i="13"/>
  <c r="G1098" i="13"/>
  <c r="F3136" i="13"/>
  <c r="F3048" i="13"/>
  <c r="F2811" i="13"/>
  <c r="F775" i="13"/>
  <c r="F2679" i="13"/>
  <c r="E3136" i="13"/>
  <c r="F2833" i="13"/>
  <c r="F2117" i="13"/>
  <c r="F2983" i="13"/>
  <c r="F2939" i="13"/>
  <c r="F3265" i="13"/>
  <c r="F3352" i="13"/>
  <c r="F1294" i="13"/>
  <c r="F2485" i="13"/>
  <c r="E1838" i="13"/>
  <c r="F1944" i="13"/>
  <c r="F2659" i="13"/>
  <c r="F2702" i="13"/>
  <c r="F1879" i="13"/>
  <c r="F3287" i="13"/>
  <c r="F4086" i="13"/>
  <c r="F2053" i="13"/>
  <c r="F2464" i="13"/>
  <c r="F2399" i="13"/>
  <c r="G450" i="13"/>
  <c r="I450" i="13" s="1"/>
  <c r="G709" i="13"/>
  <c r="I709" i="13" s="1"/>
  <c r="E2227" i="13"/>
  <c r="F2724" i="13"/>
  <c r="E3548" i="13"/>
  <c r="F2745" i="13"/>
  <c r="E2616" i="13"/>
  <c r="F2551" i="13"/>
  <c r="F2033" i="13"/>
  <c r="E1773" i="13"/>
  <c r="F1901" i="13"/>
  <c r="F3199" i="13"/>
  <c r="G3116" i="13"/>
  <c r="E3242" i="13"/>
  <c r="E4078" i="13"/>
  <c r="E4104" i="13"/>
  <c r="F2768" i="13"/>
  <c r="F2139" i="13"/>
  <c r="E2097" i="13"/>
  <c r="H3116" i="13"/>
  <c r="E2876" i="13"/>
  <c r="S4075" i="6"/>
  <c r="T4075" i="6"/>
  <c r="R3993" i="6"/>
  <c r="S3993" i="6" s="1"/>
  <c r="X5387" i="6"/>
  <c r="X5160" i="6"/>
  <c r="X5137" i="6"/>
  <c r="X6634" i="6"/>
  <c r="X6903" i="6"/>
  <c r="X5340" i="6"/>
  <c r="R4061" i="6"/>
  <c r="W4101" i="6"/>
  <c r="W4113" i="6"/>
  <c r="X6543" i="6"/>
  <c r="X4934" i="6"/>
  <c r="X4797" i="6"/>
  <c r="X5228" i="6"/>
  <c r="R3962" i="6"/>
  <c r="S3962" i="6" s="1"/>
  <c r="R4008" i="6"/>
  <c r="S4008" i="6" s="1"/>
  <c r="T4008" i="6" s="1"/>
  <c r="X5249" i="6"/>
  <c r="X6770" i="6"/>
  <c r="X5183" i="6"/>
  <c r="X5205" i="6" s="1"/>
  <c r="R3982" i="6"/>
  <c r="S3982" i="6" s="1"/>
  <c r="X5543" i="6"/>
  <c r="X6926" i="6"/>
  <c r="W4055" i="6"/>
  <c r="T4107" i="6"/>
  <c r="R3894" i="6"/>
  <c r="W4106" i="6"/>
  <c r="R3972" i="6"/>
  <c r="S3972" i="6" s="1"/>
  <c r="T3972" i="6" s="1"/>
  <c r="X5046" i="6"/>
  <c r="X5022" i="6"/>
  <c r="X5001" i="6"/>
  <c r="X4888" i="6"/>
  <c r="X4866" i="6"/>
  <c r="X4843" i="6"/>
  <c r="X4819" i="6"/>
  <c r="X4751" i="6"/>
  <c r="X4705" i="6"/>
  <c r="W4127" i="6"/>
  <c r="W4120" i="6"/>
  <c r="R4099" i="6"/>
  <c r="S4099" i="6" s="1"/>
  <c r="W3965" i="6"/>
  <c r="R4054" i="6"/>
  <c r="S4054" i="6" s="1"/>
  <c r="W4063" i="6"/>
  <c r="X5294" i="6"/>
  <c r="X4977" i="6"/>
  <c r="T4122" i="6"/>
  <c r="T4042" i="6"/>
  <c r="X6043" i="6"/>
  <c r="W4122" i="6"/>
  <c r="W4082" i="6"/>
  <c r="X6343" i="6"/>
  <c r="T3902" i="6"/>
  <c r="R4014" i="6"/>
  <c r="S4014" i="6" s="1"/>
  <c r="X4956" i="6"/>
  <c r="W4086" i="6"/>
  <c r="R4110" i="6"/>
  <c r="S4110" i="6" s="1"/>
  <c r="T4055" i="6"/>
  <c r="W3886" i="6"/>
  <c r="W4069" i="6"/>
  <c r="W4065" i="6"/>
  <c r="R4123" i="6"/>
  <c r="S4123" i="6" s="1"/>
  <c r="W4079" i="6"/>
  <c r="S4120" i="6"/>
  <c r="T4120" i="6" s="1"/>
  <c r="T4012" i="6"/>
  <c r="R4137" i="6"/>
  <c r="S4137" i="6" s="1"/>
  <c r="R4009" i="6"/>
  <c r="S4009" i="6" s="1"/>
  <c r="R4017" i="6"/>
  <c r="S4017" i="6" s="1"/>
  <c r="T4017" i="6" s="1"/>
  <c r="R4081" i="6"/>
  <c r="S4081" i="6" s="1"/>
  <c r="T4081" i="6" s="1"/>
  <c r="X5500" i="6"/>
  <c r="X5521" i="6" s="1"/>
  <c r="R4023" i="6"/>
  <c r="S4023" i="6" s="1"/>
  <c r="R3996" i="6"/>
  <c r="S3996" i="6" s="1"/>
  <c r="W3872" i="6"/>
  <c r="R4047" i="6"/>
  <c r="S4047" i="6" s="1"/>
  <c r="T4047" i="6" s="1"/>
  <c r="R4111" i="6"/>
  <c r="S4111" i="6" s="1"/>
  <c r="T4111" i="6" s="1"/>
  <c r="W4130" i="6"/>
  <c r="R4033" i="6"/>
  <c r="S4033" i="6" s="1"/>
  <c r="T4033" i="6" s="1"/>
  <c r="W4133" i="6"/>
  <c r="W3923" i="6"/>
  <c r="X3923" i="6" s="1"/>
  <c r="W3947" i="6"/>
  <c r="R3855" i="6"/>
  <c r="S3855" i="6" s="1"/>
  <c r="W4029" i="6"/>
  <c r="R4038" i="6"/>
  <c r="R4060" i="6"/>
  <c r="S4060" i="6" s="1"/>
  <c r="W4057" i="6"/>
  <c r="W4016" i="6"/>
  <c r="T3912" i="6"/>
  <c r="R3908" i="6"/>
  <c r="S3908" i="6" s="1"/>
  <c r="W4100" i="6"/>
  <c r="T4026" i="6"/>
  <c r="X4683" i="6"/>
  <c r="R3988" i="6"/>
  <c r="S3988" i="6" s="1"/>
  <c r="T3988" i="6" s="1"/>
  <c r="W4002" i="6"/>
  <c r="R3970" i="6"/>
  <c r="S3970" i="6" s="1"/>
  <c r="R4053" i="6"/>
  <c r="S4053" i="6" s="1"/>
  <c r="T4053" i="6" s="1"/>
  <c r="W3978" i="6"/>
  <c r="R4085" i="6"/>
  <c r="S4085" i="6" s="1"/>
  <c r="T4085" i="6" s="1"/>
  <c r="W4132" i="6"/>
  <c r="W4051" i="6"/>
  <c r="W4036" i="6"/>
  <c r="W3949" i="6"/>
  <c r="R3843" i="6"/>
  <c r="S3843" i="6" s="1"/>
  <c r="X5477" i="6"/>
  <c r="X6429" i="6"/>
  <c r="G117" i="10"/>
  <c r="S3924" i="6"/>
  <c r="T3924" i="6" s="1"/>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S3976" i="6"/>
  <c r="T3976" i="6" s="1"/>
  <c r="W3973" i="6"/>
  <c r="R3905" i="6"/>
  <c r="R3866" i="6"/>
  <c r="S3866" i="6" s="1"/>
  <c r="T3959" i="6"/>
  <c r="R3889" i="6"/>
  <c r="S3889" i="6" s="1"/>
  <c r="W3867" i="6"/>
  <c r="W3930" i="6"/>
  <c r="T4044" i="6"/>
  <c r="T3872" i="6"/>
  <c r="W3912" i="6"/>
  <c r="T3868" i="6"/>
  <c r="T3864" i="6"/>
  <c r="R3845" i="6"/>
  <c r="R3859" i="6"/>
  <c r="T4013" i="6"/>
  <c r="T4058" i="6"/>
  <c r="T4112" i="6"/>
  <c r="X5816" i="6"/>
  <c r="X6406" i="6"/>
  <c r="X5590" i="6"/>
  <c r="T4117" i="6"/>
  <c r="T4037" i="6"/>
  <c r="S4061" i="6"/>
  <c r="T4061" i="6" s="1"/>
  <c r="X5861" i="6"/>
  <c r="X6520" i="6"/>
  <c r="X5704" i="6"/>
  <c r="X5793" i="6"/>
  <c r="X6655" i="6"/>
  <c r="X6247" i="6"/>
  <c r="W6985" i="6"/>
  <c r="X5680" i="6"/>
  <c r="X6748" i="6"/>
  <c r="X6451" i="6"/>
  <c r="X6498" i="6"/>
  <c r="X6859" i="6"/>
  <c r="X5726" i="6"/>
  <c r="X6971" i="6"/>
  <c r="S3926" i="6"/>
  <c r="T3926" i="6" s="1"/>
  <c r="S3943" i="6"/>
  <c r="T3943" i="6" s="1"/>
  <c r="S3867" i="6"/>
  <c r="T3867" i="6" s="1"/>
  <c r="R3904" i="6"/>
  <c r="F1967" i="13"/>
  <c r="T4019" i="6"/>
  <c r="T4016" i="6"/>
  <c r="S3979" i="6"/>
  <c r="T3979" i="6" s="1"/>
  <c r="S4062" i="6"/>
  <c r="T4062" i="6" s="1"/>
  <c r="T3862" i="6"/>
  <c r="F2227" i="13"/>
  <c r="S4056" i="6"/>
  <c r="T4056" i="6" s="1"/>
  <c r="T4001" i="6"/>
  <c r="F2076" i="13"/>
  <c r="R3869" i="6"/>
  <c r="T3939" i="6"/>
  <c r="T4104" i="6"/>
  <c r="T3969" i="6"/>
  <c r="W3926" i="6"/>
  <c r="S3894" i="6"/>
  <c r="T3894" i="6" s="1"/>
  <c r="S3956" i="6"/>
  <c r="T3956" i="6" s="1"/>
  <c r="W3921" i="6"/>
  <c r="T4098" i="6"/>
  <c r="R3927" i="6"/>
  <c r="R3920" i="6"/>
  <c r="S4057" i="6"/>
  <c r="T4057" i="6" s="1"/>
  <c r="R4108" i="6"/>
  <c r="W4108"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R3890" i="6"/>
  <c r="F1816" i="13"/>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R3844" i="6"/>
  <c r="T3921" i="6"/>
  <c r="S4106" i="6"/>
  <c r="T4106" i="6" s="1"/>
  <c r="T4083" i="6"/>
  <c r="T3953" i="6"/>
  <c r="T4054" i="6"/>
  <c r="T3958" i="6"/>
  <c r="T4049" i="6"/>
  <c r="T3970" i="6"/>
  <c r="W4056" i="6"/>
  <c r="S3949" i="6"/>
  <c r="T3949" i="6"/>
  <c r="E1967" i="13"/>
  <c r="W3938"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H3223" i="13" l="1"/>
  <c r="I3223" i="13" s="1"/>
  <c r="I3116" i="13"/>
  <c r="T3855" i="6"/>
  <c r="T4137" i="6"/>
  <c r="T4121" i="6"/>
  <c r="T3906" i="6"/>
  <c r="T3908" i="6"/>
  <c r="S4038" i="6"/>
  <c r="T4038" i="6"/>
  <c r="T3961" i="6"/>
  <c r="T3843" i="6"/>
  <c r="T4097" i="6"/>
  <c r="T3962" i="6"/>
  <c r="T4023" i="6"/>
  <c r="T3889" i="6"/>
  <c r="T3974" i="6"/>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2" authorId="0" shapeId="0" xr:uid="{00000000-0006-0000-0500-000001000000}">
      <text>
        <r>
          <rPr>
            <b/>
            <sz val="9"/>
            <color indexed="81"/>
            <rFont val="Tahoma"/>
            <family val="2"/>
          </rPr>
          <t xml:space="preserve"> May day Holiday
</t>
        </r>
      </text>
    </comment>
    <comment ref="B887" authorId="0" shapeId="0" xr:uid="{00000000-0006-0000-0500-000002000000}">
      <text>
        <r>
          <rPr>
            <sz val="9"/>
            <color indexed="81"/>
            <rFont val="Tahoma"/>
            <family val="2"/>
          </rPr>
          <t xml:space="preserve">
 London Spring Bank Holiday</t>
        </r>
      </text>
    </comment>
    <comment ref="I907" authorId="0" shapeId="0" xr:uid="{00000000-0006-0000-0500-000003000000}">
      <text>
        <r>
          <rPr>
            <b/>
            <sz val="9"/>
            <color indexed="81"/>
            <rFont val="돋움"/>
            <family val="3"/>
            <charset val="129"/>
          </rPr>
          <t>단오절</t>
        </r>
      </text>
    </comment>
    <comment ref="B957" authorId="0" shapeId="0" xr:uid="{00000000-0006-0000-0500-000004000000}">
      <text>
        <r>
          <rPr>
            <sz val="9"/>
            <color indexed="81"/>
            <rFont val="Tahoma"/>
            <family val="2"/>
          </rPr>
          <t xml:space="preserve">
Bank Holiday</t>
        </r>
      </text>
    </comment>
    <comment ref="I960"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6"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80"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1" authorId="1" shapeId="0" xr:uid="{00000000-0006-0000-0500-000008000000}">
      <text>
        <r>
          <rPr>
            <b/>
            <sz val="9"/>
            <color indexed="81"/>
            <rFont val="Tahoma"/>
            <family val="2"/>
          </rPr>
          <t>admin:</t>
        </r>
        <r>
          <rPr>
            <sz val="9"/>
            <color indexed="81"/>
            <rFont val="Tahoma"/>
            <family val="2"/>
          </rPr>
          <t xml:space="preserve">
Boxing holiday</t>
        </r>
      </text>
    </comment>
    <comment ref="I1069"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4"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50" authorId="1" shapeId="0" xr:uid="{00000000-0006-0000-0500-00000B000000}">
      <text>
        <r>
          <rPr>
            <b/>
            <sz val="9"/>
            <color indexed="81"/>
            <rFont val="Tahoma"/>
            <family val="2"/>
          </rPr>
          <t>admin:</t>
        </r>
        <r>
          <rPr>
            <sz val="9"/>
            <color indexed="81"/>
            <rFont val="Tahoma"/>
            <family val="2"/>
          </rPr>
          <t xml:space="preserve">
Spring Bank holiday</t>
        </r>
      </text>
    </comment>
    <comment ref="B1215"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8" authorId="0" shapeId="0" xr:uid="{00000000-0006-0000-0500-00000D000000}">
      <text>
        <r>
          <rPr>
            <sz val="9"/>
            <color indexed="81"/>
            <rFont val="Tahoma"/>
            <family val="2"/>
          </rPr>
          <t xml:space="preserve">
</t>
        </r>
        <r>
          <rPr>
            <sz val="9"/>
            <color indexed="81"/>
            <rFont val="돋움"/>
            <family val="3"/>
            <charset val="129"/>
          </rPr>
          <t>추석연휴</t>
        </r>
      </text>
    </comment>
    <comment ref="I1240"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3" authorId="0" shapeId="0" xr:uid="{00000000-0006-0000-0500-00000F000000}">
      <text>
        <r>
          <rPr>
            <sz val="9"/>
            <color indexed="81"/>
            <rFont val="돋움"/>
            <family val="3"/>
            <charset val="129"/>
          </rPr>
          <t>설 연휴</t>
        </r>
      </text>
    </comment>
    <comment ref="I1596"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1"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8"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9"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3" authorId="1" shapeId="0" xr:uid="{00000000-0006-0000-0500-000014000000}">
      <text>
        <r>
          <rPr>
            <b/>
            <sz val="9"/>
            <color indexed="81"/>
            <rFont val="Tahoma"/>
            <family val="2"/>
          </rPr>
          <t>admin:</t>
        </r>
        <r>
          <rPr>
            <sz val="9"/>
            <color indexed="81"/>
            <rFont val="Tahoma"/>
            <family val="2"/>
          </rPr>
          <t xml:space="preserve">
Early May Bank Holiday</t>
        </r>
      </text>
    </comment>
    <comment ref="B1668" authorId="1" shapeId="0" xr:uid="{00000000-0006-0000-0500-000015000000}">
      <text>
        <r>
          <rPr>
            <b/>
            <sz val="9"/>
            <color indexed="81"/>
            <rFont val="Tahoma"/>
            <family val="2"/>
          </rPr>
          <t>admin:</t>
        </r>
        <r>
          <rPr>
            <sz val="9"/>
            <color indexed="81"/>
            <rFont val="Tahoma"/>
            <family val="2"/>
          </rPr>
          <t xml:space="preserve">
Spring Bank Holiday</t>
        </r>
      </text>
    </comment>
    <comment ref="B1733" authorId="1" shapeId="0" xr:uid="{00000000-0006-0000-0500-000016000000}">
      <text>
        <r>
          <rPr>
            <b/>
            <sz val="9"/>
            <color indexed="81"/>
            <rFont val="Tahoma"/>
            <family val="2"/>
          </rPr>
          <t>admin:</t>
        </r>
        <r>
          <rPr>
            <sz val="9"/>
            <color indexed="81"/>
            <rFont val="Tahoma"/>
            <family val="2"/>
          </rPr>
          <t xml:space="preserve">
Bank Holiday</t>
        </r>
      </text>
    </comment>
    <comment ref="B1901"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2"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7"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2"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6"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9"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1"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70"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6" authorId="2" shapeId="0" xr:uid="{00000000-0006-0000-0500-00001F000000}">
      <text>
        <r>
          <rPr>
            <b/>
            <sz val="9"/>
            <color indexed="81"/>
            <rFont val="Tahoma"/>
            <family val="2"/>
          </rPr>
          <t>user:</t>
        </r>
        <r>
          <rPr>
            <sz val="9"/>
            <color indexed="81"/>
            <rFont val="Tahoma"/>
            <family val="2"/>
          </rPr>
          <t xml:space="preserve">
5/25: Spring Bank Holiday</t>
        </r>
      </text>
    </comment>
    <comment ref="B2256" authorId="2" shapeId="0" xr:uid="{00000000-0006-0000-0500-000020000000}">
      <text>
        <r>
          <rPr>
            <b/>
            <sz val="9"/>
            <color indexed="81"/>
            <rFont val="Tahoma"/>
            <family val="2"/>
          </rPr>
          <t>user:</t>
        </r>
        <r>
          <rPr>
            <sz val="9"/>
            <color indexed="81"/>
            <rFont val="Tahoma"/>
            <family val="2"/>
          </rPr>
          <t xml:space="preserve">
8/31: Summer Bank Holiday</t>
        </r>
      </text>
    </comment>
    <comment ref="I2279"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3"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9"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30" authorId="2" shapeId="0" xr:uid="{00000000-0006-0000-0500-000024000000}">
      <text>
        <r>
          <rPr>
            <b/>
            <sz val="9"/>
            <color indexed="81"/>
            <rFont val="Tahoma"/>
            <family val="2"/>
          </rPr>
          <t>user:</t>
        </r>
        <r>
          <rPr>
            <sz val="9"/>
            <color indexed="81"/>
            <rFont val="Tahoma"/>
            <family val="2"/>
          </rPr>
          <t xml:space="preserve">
Early May Bank Holiday</t>
        </r>
      </text>
    </comment>
    <comment ref="I2430"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50" authorId="2" shapeId="0" xr:uid="{00000000-0006-0000-0500-000026000000}">
      <text>
        <r>
          <rPr>
            <b/>
            <sz val="9"/>
            <color indexed="81"/>
            <rFont val="Tahoma"/>
            <family val="2"/>
          </rPr>
          <t>user:</t>
        </r>
        <r>
          <rPr>
            <sz val="9"/>
            <color indexed="81"/>
            <rFont val="Tahoma"/>
            <family val="2"/>
          </rPr>
          <t xml:space="preserve">
Spring Bank Holiday</t>
        </r>
      </text>
    </comment>
    <comment ref="I2460"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5" authorId="2" shapeId="0" xr:uid="{00000000-0006-0000-0500-000028000000}">
      <text>
        <r>
          <rPr>
            <b/>
            <sz val="9"/>
            <color indexed="81"/>
            <rFont val="Tahoma"/>
            <family val="2"/>
          </rPr>
          <t>user:
Summer Bank Holiday</t>
        </r>
      </text>
    </comment>
    <comment ref="I2539" authorId="2" shapeId="0" xr:uid="{00000000-0006-0000-0500-000029000000}">
      <text>
        <r>
          <rPr>
            <b/>
            <sz val="9"/>
            <color indexed="81"/>
            <rFont val="Tahoma"/>
            <family val="2"/>
          </rPr>
          <t>user:</t>
        </r>
        <r>
          <rPr>
            <sz val="9"/>
            <color indexed="81"/>
            <rFont val="Tahoma"/>
            <family val="2"/>
          </rPr>
          <t xml:space="preserve">
SMM : National Day holiday</t>
        </r>
      </text>
    </comment>
    <comment ref="I2540" authorId="2" shapeId="0" xr:uid="{00000000-0006-0000-0500-00002A000000}">
      <text>
        <r>
          <rPr>
            <b/>
            <sz val="9"/>
            <color indexed="81"/>
            <rFont val="Tahoma"/>
            <family val="2"/>
          </rPr>
          <t>user:</t>
        </r>
        <r>
          <rPr>
            <sz val="9"/>
            <color indexed="81"/>
            <rFont val="Tahoma"/>
            <family val="2"/>
          </rPr>
          <t xml:space="preserve">
SMM : National Day holiday</t>
        </r>
      </text>
    </comment>
    <comment ref="I2541" authorId="2" shapeId="0" xr:uid="{00000000-0006-0000-0500-00002B000000}">
      <text>
        <r>
          <rPr>
            <b/>
            <sz val="9"/>
            <color indexed="81"/>
            <rFont val="Tahoma"/>
            <family val="2"/>
          </rPr>
          <t>user:</t>
        </r>
        <r>
          <rPr>
            <sz val="9"/>
            <color indexed="81"/>
            <rFont val="Tahoma"/>
            <family val="2"/>
          </rPr>
          <t xml:space="preserve">
SMM : National Day holiday</t>
        </r>
      </text>
    </comment>
    <comment ref="I2542" authorId="2" shapeId="0" xr:uid="{00000000-0006-0000-0500-00002C000000}">
      <text>
        <r>
          <rPr>
            <b/>
            <sz val="9"/>
            <color indexed="81"/>
            <rFont val="Tahoma"/>
            <family val="2"/>
          </rPr>
          <t>user:</t>
        </r>
        <r>
          <rPr>
            <sz val="9"/>
            <color indexed="81"/>
            <rFont val="Tahoma"/>
            <family val="2"/>
          </rPr>
          <t xml:space="preserve">
SMM : National Day holiday</t>
        </r>
      </text>
    </comment>
    <comment ref="I2543" authorId="2" shapeId="0" xr:uid="{00000000-0006-0000-0500-00002D000000}">
      <text>
        <r>
          <rPr>
            <b/>
            <sz val="9"/>
            <color indexed="81"/>
            <rFont val="Tahoma"/>
            <family val="2"/>
          </rPr>
          <t>user:</t>
        </r>
        <r>
          <rPr>
            <sz val="9"/>
            <color indexed="81"/>
            <rFont val="Tahoma"/>
            <family val="2"/>
          </rPr>
          <t xml:space="preserve">
SMM : National Day holiday</t>
        </r>
      </text>
    </comment>
    <comment ref="B2600"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5"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5"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5"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9"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70"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1"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9"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90" authorId="2" shapeId="0" xr:uid="{00000000-0006-0000-0500-000039000000}">
      <text>
        <r>
          <rPr>
            <b/>
            <sz val="9"/>
            <color indexed="81"/>
            <rFont val="Tahoma"/>
            <family val="2"/>
          </rPr>
          <t>user:</t>
        </r>
        <r>
          <rPr>
            <sz val="9"/>
            <color indexed="81"/>
            <rFont val="Tahoma"/>
            <family val="2"/>
          </rPr>
          <t xml:space="preserve">
Early May Bank Holiday</t>
        </r>
      </text>
    </comment>
    <comment ref="I2690"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3" authorId="2" shapeId="0" xr:uid="{00000000-0006-0000-0500-00003B000000}">
      <text>
        <r>
          <rPr>
            <b/>
            <sz val="9"/>
            <color indexed="81"/>
            <rFont val="Tahoma"/>
            <family val="2"/>
          </rPr>
          <t>user:</t>
        </r>
        <r>
          <rPr>
            <sz val="9"/>
            <color indexed="81"/>
            <rFont val="Tahoma"/>
            <family val="2"/>
          </rPr>
          <t xml:space="preserve">
Spring Bank Holiday</t>
        </r>
      </text>
    </comment>
    <comment ref="B2775" authorId="2" shapeId="0" xr:uid="{00000000-0006-0000-0500-00003C000000}">
      <text>
        <r>
          <rPr>
            <b/>
            <sz val="9"/>
            <color indexed="81"/>
            <rFont val="Tahoma"/>
            <family val="2"/>
          </rPr>
          <t>user:</t>
        </r>
        <r>
          <rPr>
            <sz val="9"/>
            <color indexed="81"/>
            <rFont val="Tahoma"/>
            <family val="2"/>
          </rPr>
          <t xml:space="preserve">
Summer bank Holiday</t>
        </r>
      </text>
    </comment>
    <comment ref="I2800"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60"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5"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5"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80"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2"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4"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5"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50"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50"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5"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70"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8"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5"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9"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60"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3"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1"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8"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7"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10"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5"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5"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2"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90"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3"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6"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<sst xmlns="http://schemas.openxmlformats.org/spreadsheetml/2006/main" count="713" uniqueCount="215">
  <si>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</si>
  <si>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</si>
  <si>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</si>
  <si>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</si>
  <si>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</si>
  <si>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</si>
  <si>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</si>
  <si>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</si>
  <si>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</si>
  <si>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</si>
  <si>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</si>
  <si>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</si>
  <si>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</si>
  <si>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</si>
  <si>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</si>
  <si>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</si>
  <si>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</si>
  <si>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</si>
  <si>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</si>
  <si>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</si>
  <si>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</si>
  <si>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</si>
  <si>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</si>
  <si>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</si>
  <si>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</si>
  <si>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</si>
  <si>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</si>
  <si>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</si>
  <si>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</si>
  <si>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</si>
  <si>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</si>
  <si>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</si>
  <si>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</si>
  <si>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</si>
  <si>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</si>
  <si>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</si>
  <si>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</si>
  <si>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</si>
  <si>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</si>
  <si>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</si>
  <si>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</si>
  <si>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</si>
  <si>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</si>
  <si>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</si>
  <si>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</si>
  <si>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</si>
  <si>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</si>
  <si>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</si>
  <si>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</si>
  <si>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</si>
  <si>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</si>
  <si>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</si>
  <si>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</si>
  <si>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</si>
  <si>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</si>
  <si>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</si>
  <si>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</si>
  <si>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</si>
  <si>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</si>
  <si>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</si>
  <si>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</si>
  <si>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</si>
  <si>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</si>
  <si>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</si>
  <si>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</si>
  <si>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</si>
  <si>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</si>
  <si>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</si>
  <si>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</si>
  <si>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</si>
  <si>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</si>
  <si>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</si>
  <si>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</si>
  <si>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</si>
  <si>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</si>
  <si>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</si>
  <si>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</si>
  <si>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</si>
  <si>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</si>
  <si>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</si>
  <si>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</si>
  <si>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</si>
  <si>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</si>
  <si>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</si>
  <si>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</si>
  <si>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</si>
  <si>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</si>
  <si>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</si>
  <si>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</si>
  <si>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</si>
  <si>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</si>
  <si>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</si>
  <si>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</si>
  <si>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</si>
  <si>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</si>
  <si>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</si>
  <si>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</si>
  <si>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</si>
  <si>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</si>
  <si>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</si>
  <si>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</si>
  <si>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</si>
  <si>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</si>
  <si>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</si>
  <si>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</si>
  <si>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</si>
  <si>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</si>
  <si>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</si>
  <si>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</si>
  <si>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</si>
  <si>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</si>
  <si>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</si>
  <si>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</si>
  <si>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</si>
  <si>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</si>
  <si>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</si>
  <si>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</si>
  <si>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</si>
  <si>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</si>
  <si>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</si>
  <si>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</si>
  <si>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</si>
  <si>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</si>
  <si>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</si>
  <si>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</si>
  <si>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</si>
  <si>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</si>
  <si>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</si>
  <si>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</si>
  <si>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</si>
  <si>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</si>
  <si>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</si>
  <si>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</si>
  <si>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</si>
  <si>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</si>
  <si>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</si>
  <si>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</si>
  <si>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</si>
  <si>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</si>
  <si>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</si>
  <si>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</si>
  <si>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</si>
  <si>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</si>
  <si>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</si>
  <si>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</si>
  <si>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</si>
  <si>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</si>
  <si>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</si>
  <si>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</si>
  <si>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</si>
  <si>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</si>
  <si>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</si>
  <si>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</si>
  <si>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</si>
  <si>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</si>
  <si>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</si>
  <si>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</si>
  <si>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</si>
  <si>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</si>
  <si>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</si>
  <si>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</si>
  <si>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</si>
  <si>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</si>
  <si>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</si>
  <si>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</si>
  <si>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</si>
  <si>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</si>
  <si>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</si>
  <si>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</si>
  <si>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</si>
  <si>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</si>
  <si>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</si>
  <si>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</si>
  <si>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</si>
  <si>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</si>
  <si>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</si>
  <si>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</si>
  <si>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</si>
  <si>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</si>
  <si>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</si>
  <si>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</si>
  <si>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</si>
  <si>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</si>
  <si>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</si>
  <si>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</si>
  <si>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</si>
  <si>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</si>
  <si>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</si>
  <si>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</si>
  <si>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</si>
  <si>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</si>
  <si>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</si>
  <si>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</si>
  <si>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</si>
  <si>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</si>
  <si>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</si>
  <si>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</si>
  <si>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</si>
  <si>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</si>
  <si>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</si>
  <si>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</si>
  <si>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</si>
  <si>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</si>
  <si>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</si>
  <si>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</si>
  <si>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</si>
  <si>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</si>
  <si>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</si>
  <si>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</si>
  <si>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</si>
  <si>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</si>
  <si>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</si>
  <si>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</si>
  <si>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</si>
  <si>
    <t>주석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</si>
</sst>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50">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s>
  <cellStyleXfs count="8">
    <xf numFmtId="0" fontId="0" fillId="0" borderId="0"/>
    <xf numFmtId="0" fontId="1" fillId="6" borderId="27"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8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26" fontId="4" fillId="0" borderId="0" xfId="0" applyNumberFormat="1" applyFont="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179" fontId="19" fillId="12" borderId="1" xfId="3" applyNumberFormat="1" applyFont="1" applyFill="1" applyBorder="1" applyAlignment="1">
      <alignment vertical="center"/>
    </xf>
    <xf numFmtId="0" fontId="30" fillId="0" borderId="0" xfId="0" applyFont="1"/>
    <xf numFmtId="0" fontId="31" fillId="0" borderId="13" xfId="0" applyFont="1" applyBorder="1"/>
    <xf numFmtId="41" fontId="31" fillId="0" borderId="14" xfId="3" applyFont="1" applyFill="1" applyBorder="1" applyAlignment="1">
      <alignment vertical="center"/>
    </xf>
    <xf numFmtId="41" fontId="31" fillId="0" borderId="15" xfId="3" applyFont="1" applyFill="1" applyBorder="1" applyAlignment="1">
      <alignment vertical="center"/>
    </xf>
    <xf numFmtId="0" fontId="31" fillId="0" borderId="16" xfId="0" applyFont="1" applyBorder="1"/>
    <xf numFmtId="179" fontId="31" fillId="0" borderId="17" xfId="3" applyNumberFormat="1" applyFont="1" applyFill="1" applyBorder="1" applyAlignment="1">
      <alignment vertical="center"/>
    </xf>
    <xf numFmtId="179" fontId="31" fillId="0" borderId="18"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19" xfId="0" applyFont="1" applyBorder="1" applyAlignment="1">
      <alignment vertical="center"/>
    </xf>
    <xf numFmtId="0" fontId="4" fillId="0" borderId="20" xfId="0" applyFont="1" applyBorder="1" applyAlignment="1">
      <alignment vertical="center"/>
    </xf>
    <xf numFmtId="41" fontId="4" fillId="0" borderId="20" xfId="0" applyNumberFormat="1" applyFont="1" applyBorder="1" applyAlignment="1">
      <alignment vertical="center"/>
    </xf>
    <xf numFmtId="26" fontId="4" fillId="0" borderId="19" xfId="0" applyNumberFormat="1" applyFont="1" applyBorder="1" applyAlignment="1">
      <alignment vertical="center"/>
    </xf>
    <xf numFmtId="26" fontId="4" fillId="0" borderId="20" xfId="0" applyNumberFormat="1" applyFont="1" applyBorder="1" applyAlignment="1">
      <alignment vertical="center"/>
    </xf>
    <xf numFmtId="26" fontId="4" fillId="3" borderId="20" xfId="0" applyNumberFormat="1" applyFont="1" applyFill="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0" fontId="4" fillId="0" borderId="21" xfId="0" applyFont="1" applyBorder="1" applyAlignment="1">
      <alignment vertical="center"/>
    </xf>
    <xf numFmtId="26" fontId="4" fillId="4" borderId="20" xfId="0" applyNumberFormat="1" applyFont="1" applyFill="1" applyBorder="1" applyAlignment="1">
      <alignment vertical="center"/>
    </xf>
    <xf numFmtId="26" fontId="4" fillId="11" borderId="19" xfId="0" applyNumberFormat="1" applyFont="1" applyFill="1" applyBorder="1" applyAlignment="1">
      <alignment vertical="center"/>
    </xf>
    <xf numFmtId="26" fontId="4" fillId="8" borderId="20" xfId="0" applyNumberFormat="1" applyFont="1" applyFill="1" applyBorder="1" applyAlignment="1">
      <alignment vertical="center"/>
    </xf>
    <xf numFmtId="26" fontId="4" fillId="11" borderId="21" xfId="0" applyNumberFormat="1" applyFont="1" applyFill="1" applyBorder="1" applyAlignment="1">
      <alignment vertical="center"/>
    </xf>
    <xf numFmtId="26" fontId="16" fillId="8" borderId="19" xfId="0" applyNumberFormat="1" applyFont="1" applyFill="1" applyBorder="1" applyAlignment="1">
      <alignment vertical="center"/>
    </xf>
    <xf numFmtId="26" fontId="4" fillId="14" borderId="20" xfId="0" applyNumberFormat="1" applyFont="1" applyFill="1" applyBorder="1" applyAlignment="1">
      <alignment vertical="center"/>
    </xf>
    <xf numFmtId="26" fontId="16" fillId="14" borderId="20" xfId="0" applyNumberFormat="1" applyFont="1" applyFill="1" applyBorder="1" applyAlignment="1">
      <alignment vertical="center"/>
    </xf>
    <xf numFmtId="26" fontId="16" fillId="0" borderId="19"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0" fontId="0" fillId="0" borderId="21" xfId="0" applyBorder="1"/>
    <xf numFmtId="0" fontId="0" fillId="0" borderId="19"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19"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3" xfId="3" applyNumberFormat="1" applyFont="1" applyFill="1" applyBorder="1" applyAlignment="1">
      <alignment vertical="center"/>
    </xf>
    <xf numFmtId="176" fontId="8" fillId="18" borderId="0" xfId="0" applyNumberFormat="1" applyFont="1" applyFill="1" applyAlignment="1">
      <alignment vertical="center"/>
    </xf>
    <xf numFmtId="26" fontId="16" fillId="17" borderId="20" xfId="0" applyNumberFormat="1" applyFont="1" applyFill="1" applyBorder="1" applyAlignment="1">
      <alignment vertical="center"/>
    </xf>
    <xf numFmtId="190" fontId="4" fillId="0" borderId="24"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1"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19" xfId="3" applyFont="1" applyFill="1" applyBorder="1" applyAlignment="1">
      <alignment vertical="center"/>
    </xf>
    <xf numFmtId="181" fontId="6" fillId="0" borderId="24"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3"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4" xfId="3" applyFont="1" applyFill="1" applyBorder="1" applyAlignment="1">
      <alignment vertical="center"/>
    </xf>
    <xf numFmtId="26" fontId="6" fillId="0" borderId="19" xfId="0" applyNumberFormat="1" applyFont="1" applyBorder="1" applyAlignment="1">
      <alignment vertical="center"/>
    </xf>
    <xf numFmtId="181" fontId="21" fillId="0" borderId="24" xfId="3" applyNumberFormat="1" applyFont="1" applyFill="1" applyBorder="1" applyAlignment="1">
      <alignment vertical="center"/>
    </xf>
    <xf numFmtId="9" fontId="6" fillId="0" borderId="25" xfId="2" applyFont="1" applyFill="1" applyBorder="1" applyAlignment="1">
      <alignment vertical="center"/>
    </xf>
    <xf numFmtId="9" fontId="6" fillId="0" borderId="24" xfId="2" applyFont="1" applyFill="1" applyBorder="1" applyAlignment="1">
      <alignment vertical="center"/>
    </xf>
    <xf numFmtId="180" fontId="6" fillId="0" borderId="0" xfId="3" applyNumberFormat="1" applyFont="1" applyFill="1" applyBorder="1" applyAlignment="1">
      <alignment vertical="center"/>
    </xf>
    <xf numFmtId="181" fontId="4" fillId="0" borderId="24" xfId="3" applyNumberFormat="1" applyFont="1" applyFill="1" applyBorder="1" applyAlignment="1">
      <alignment vertical="center"/>
    </xf>
    <xf numFmtId="181" fontId="4" fillId="0" borderId="25"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5" xfId="2" applyFont="1" applyFill="1" applyBorder="1" applyAlignment="1">
      <alignment vertical="center"/>
    </xf>
    <xf numFmtId="41" fontId="6" fillId="0" borderId="25" xfId="3" applyFont="1" applyFill="1" applyBorder="1" applyAlignment="1">
      <alignment vertical="center"/>
    </xf>
    <xf numFmtId="41" fontId="4" fillId="0" borderId="24"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5"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19"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8"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8" xfId="1" applyNumberFormat="1" applyFont="1" applyFill="1" applyBorder="1" applyAlignment="1">
      <alignment vertical="center"/>
    </xf>
    <xf numFmtId="189" fontId="16" fillId="0" borderId="19" xfId="0" applyNumberFormat="1" applyFont="1" applyBorder="1" applyAlignment="1">
      <alignment vertical="center"/>
    </xf>
    <xf numFmtId="41" fontId="4" fillId="0" borderId="0" xfId="3" applyFont="1"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6" xfId="3" applyFont="1" applyFill="1" applyBorder="1" applyAlignment="1">
      <alignment horizontal="center" vertical="center"/>
    </xf>
    <xf numFmtId="0" fontId="29" fillId="0" borderId="0" xfId="0" applyFont="1" applyAlignment="1">
      <alignment vertical="center"/>
    </xf>
    <xf numFmtId="26" fontId="16" fillId="18" borderId="28" xfId="1" applyNumberFormat="1" applyFont="1" applyFill="1" applyBorder="1" applyAlignment="1">
      <alignment vertical="center"/>
    </xf>
    <xf numFmtId="0" fontId="29" fillId="0" borderId="24"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7" xfId="0" applyBorder="1"/>
    <xf numFmtId="0" fontId="38" fillId="0" borderId="17" xfId="0" applyFont="1" applyBorder="1"/>
    <xf numFmtId="195" fontId="37" fillId="0" borderId="18" xfId="0" applyNumberFormat="1" applyFont="1" applyBorder="1"/>
    <xf numFmtId="0" fontId="0" fillId="17" borderId="14" xfId="0" applyFill="1" applyBorder="1"/>
    <xf numFmtId="0" fontId="0" fillId="17" borderId="15"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0" xfId="0" applyFont="1" applyBorder="1" applyAlignment="1">
      <alignment horizontal="center" vertical="center"/>
    </xf>
    <xf numFmtId="193" fontId="28" fillId="0" borderId="32" xfId="0" applyNumberFormat="1" applyFont="1" applyBorder="1" applyAlignment="1">
      <alignment horizontal="center"/>
    </xf>
    <xf numFmtId="0" fontId="0" fillId="0" borderId="32" xfId="0" applyBorder="1"/>
    <xf numFmtId="196" fontId="21" fillId="0" borderId="0" xfId="3" applyNumberFormat="1" applyFont="1" applyFill="1" applyAlignment="1">
      <alignment horizontal="right"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2" xfId="0" applyNumberFormat="1" applyFont="1" applyBorder="1" applyAlignment="1">
      <alignment horizontal="center" vertical="center"/>
    </xf>
    <xf numFmtId="41" fontId="30" fillId="18" borderId="22" xfId="3" applyFont="1" applyFill="1" applyBorder="1" applyAlignment="1">
      <alignment horizontal="center" vertical="center"/>
    </xf>
    <xf numFmtId="26" fontId="30" fillId="18" borderId="22" xfId="0" applyNumberFormat="1" applyFont="1" applyFill="1" applyBorder="1" applyAlignment="1">
      <alignment horizontal="right" vertical="center"/>
    </xf>
    <xf numFmtId="194" fontId="28" fillId="0" borderId="22" xfId="0" applyNumberFormat="1" applyFont="1" applyBorder="1"/>
    <xf numFmtId="191" fontId="30" fillId="18" borderId="22" xfId="0" applyNumberFormat="1" applyFont="1" applyFill="1" applyBorder="1" applyAlignment="1">
      <alignment horizontal="right"/>
    </xf>
    <xf numFmtId="0" fontId="0" fillId="0" borderId="22"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4" xfId="0" applyFont="1" applyBorder="1"/>
    <xf numFmtId="0" fontId="39" fillId="0" borderId="0" xfId="0" applyFont="1"/>
    <xf numFmtId="181" fontId="4" fillId="0" borderId="23" xfId="3" applyNumberFormat="1" applyFont="1" applyFill="1" applyBorder="1" applyAlignment="1">
      <alignment vertical="center"/>
    </xf>
    <xf numFmtId="26" fontId="4" fillId="0" borderId="32" xfId="3" applyNumberFormat="1" applyFont="1" applyFill="1" applyBorder="1" applyAlignment="1">
      <alignment vertical="center"/>
    </xf>
    <xf numFmtId="26" fontId="4" fillId="0" borderId="12" xfId="3" applyNumberFormat="1" applyFont="1" applyFill="1" applyBorder="1" applyAlignment="1">
      <alignment vertical="center"/>
    </xf>
    <xf numFmtId="181" fontId="4" fillId="0" borderId="31" xfId="3" applyNumberFormat="1" applyFont="1" applyFill="1" applyBorder="1" applyAlignment="1">
      <alignment vertical="center"/>
    </xf>
    <xf numFmtId="181" fontId="4" fillId="0" borderId="32" xfId="3" applyNumberFormat="1" applyFont="1" applyFill="1" applyBorder="1" applyAlignment="1">
      <alignment vertical="center"/>
    </xf>
    <xf numFmtId="26" fontId="4" fillId="16" borderId="12" xfId="3" applyNumberFormat="1" applyFont="1" applyFill="1" applyBorder="1" applyAlignment="1">
      <alignment vertical="center"/>
    </xf>
    <xf numFmtId="26" fontId="16" fillId="16" borderId="12" xfId="3" applyNumberFormat="1" applyFont="1" applyFill="1" applyBorder="1" applyAlignment="1">
      <alignment vertical="center"/>
    </xf>
    <xf numFmtId="41" fontId="4" fillId="0" borderId="31" xfId="3" applyFont="1" applyFill="1" applyBorder="1" applyAlignment="1">
      <alignment vertical="center"/>
    </xf>
    <xf numFmtId="41" fontId="4" fillId="0" borderId="32" xfId="3" applyFont="1" applyFill="1" applyBorder="1" applyAlignment="1">
      <alignment vertical="center"/>
    </xf>
    <xf numFmtId="190" fontId="4" fillId="0" borderId="32" xfId="3" applyNumberFormat="1" applyFont="1" applyFill="1" applyBorder="1" applyAlignment="1">
      <alignment vertical="center"/>
    </xf>
    <xf numFmtId="181" fontId="16" fillId="16" borderId="12" xfId="3" applyNumberFormat="1" applyFont="1" applyFill="1" applyBorder="1" applyAlignment="1">
      <alignment vertical="center"/>
    </xf>
    <xf numFmtId="9" fontId="4" fillId="16" borderId="12"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11" xfId="0" applyNumberFormat="1" applyFont="1" applyBorder="1" applyAlignment="1">
      <alignment horizontal="center" vertical="center"/>
    </xf>
    <xf numFmtId="26" fontId="16" fillId="0" borderId="33" xfId="1" applyNumberFormat="1" applyFont="1" applyFill="1" applyBorder="1" applyAlignment="1">
      <alignment vertic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2"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2"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41" fontId="50" fillId="0" borderId="0" xfId="3"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6" xfId="3" applyFont="1" applyFill="1" applyBorder="1" applyAlignment="1">
      <alignment horizontal="right" vertical="center"/>
    </xf>
    <xf numFmtId="182" fontId="51" fillId="0" borderId="29" xfId="5" applyNumberFormat="1" applyFont="1" applyBorder="1" applyAlignment="1">
      <alignment horizontal="center" vertical="center"/>
    </xf>
    <xf numFmtId="182" fontId="51" fillId="0" borderId="11"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1" xfId="0" applyNumberFormat="1" applyFont="1" applyBorder="1" applyAlignment="1">
      <alignment horizontal="center" vertical="center"/>
    </xf>
    <xf numFmtId="41" fontId="4" fillId="0" borderId="0" xfId="3" applyFont="1" applyBorder="1" applyAlignment="1">
      <alignment vertical="center"/>
    </xf>
    <xf numFmtId="189" fontId="16" fillId="7" borderId="28"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2"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177" fontId="16" fillId="17" borderId="1" xfId="0" applyNumberFormat="1" applyFont="1" applyFill="1" applyBorder="1" applyAlignment="1">
      <alignment horizontal="center" vertical="center"/>
    </xf>
    <xf numFmtId="189" fontId="16" fillId="8" borderId="36" xfId="0" applyNumberFormat="1" applyFont="1" applyFill="1" applyBorder="1" applyAlignment="1">
      <alignment vertical="center"/>
    </xf>
    <xf numFmtId="186" fontId="16" fillId="0" borderId="0" xfId="3" applyNumberFormat="1" applyFont="1" applyFill="1" applyBorder="1" applyAlignment="1">
      <alignment horizontal="right" vertic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41" fontId="50" fillId="0" borderId="2" xfId="3" applyFont="1" applyFill="1" applyBorder="1" applyAlignment="1">
      <alignment horizontal="right" vertical="center"/>
    </xf>
    <xf numFmtId="41" fontId="50" fillId="18" borderId="26"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39"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2"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2" xfId="3" applyNumberFormat="1" applyFont="1" applyFill="1" applyBorder="1" applyAlignment="1">
      <alignment vertical="center"/>
    </xf>
    <xf numFmtId="189" fontId="16" fillId="7" borderId="40"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0" fontId="0" fillId="0" borderId="11" xfId="0" applyBorder="1"/>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16" fillId="0" borderId="2"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0" xfId="1" applyNumberFormat="1" applyFont="1" applyFill="1" applyBorder="1" applyAlignment="1">
      <alignment vertical="center"/>
    </xf>
    <xf numFmtId="189" fontId="16" fillId="0" borderId="36"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0" fillId="0" borderId="0" xfId="3" applyFont="1" applyFill="1" applyBorder="1" applyAlignment="1">
      <alignment horizontal="right" vertical="center"/>
    </xf>
    <xf numFmtId="0" fontId="50" fillId="0" borderId="0" xfId="5" applyFont="1" applyFill="1">
      <alignment vertical="center"/>
    </xf>
    <xf numFmtId="0" fontId="51" fillId="0" borderId="0" xfId="5" applyFont="1" applyFill="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1" fillId="0" borderId="41" xfId="3" applyFont="1" applyFill="1" applyBorder="1" applyAlignment="1">
      <alignment horizontal="right" vertical="center"/>
    </xf>
    <xf numFmtId="41" fontId="50" fillId="0" borderId="41" xfId="3" applyFont="1" applyFill="1" applyBorder="1" applyAlignment="1">
      <alignment horizontal="right" vertical="center"/>
    </xf>
    <xf numFmtId="179" fontId="50" fillId="0" borderId="41" xfId="3" applyNumberFormat="1" applyFont="1" applyFill="1" applyBorder="1" applyAlignment="1">
      <alignment vertical="center"/>
    </xf>
    <xf numFmtId="179" fontId="50" fillId="12" borderId="41" xfId="3" applyNumberFormat="1" applyFont="1" applyFill="1" applyBorder="1" applyAlignment="1">
      <alignment vertical="center"/>
    </xf>
    <xf numFmtId="182" fontId="50" fillId="0" borderId="41" xfId="5" applyNumberFormat="1" applyFont="1" applyBorder="1" applyAlignment="1">
      <alignment horizontal="center" vertical="center"/>
    </xf>
    <xf numFmtId="41" fontId="50" fillId="0" borderId="41" xfId="3" applyFont="1" applyFill="1" applyBorder="1" applyAlignment="1">
      <alignment horizontal="center" vertical="center"/>
    </xf>
    <xf numFmtId="179" fontId="50" fillId="0" borderId="41" xfId="3" applyNumberFormat="1" applyFont="1" applyFill="1" applyBorder="1" applyAlignment="1">
      <alignment horizontal="center" vertical="center"/>
    </xf>
    <xf numFmtId="182" fontId="51" fillId="0" borderId="41" xfId="5" applyNumberFormat="1" applyFont="1" applyBorder="1" applyAlignment="1">
      <alignment horizontal="center" vertical="center"/>
    </xf>
    <xf numFmtId="182" fontId="51" fillId="0" borderId="41" xfId="5" applyNumberFormat="1" applyFont="1" applyBorder="1" applyAlignment="1">
      <alignment horizontal="center" vertical="center" wrapText="1"/>
    </xf>
    <xf numFmtId="182" fontId="51" fillId="0" borderId="42" xfId="5" applyNumberFormat="1" applyFont="1" applyBorder="1" applyAlignment="1">
      <alignment horizontal="center" vertical="center"/>
    </xf>
    <xf numFmtId="41" fontId="51" fillId="0" borderId="42" xfId="3" applyFont="1" applyFill="1" applyBorder="1" applyAlignment="1">
      <alignment horizontal="right" vertical="center"/>
    </xf>
    <xf numFmtId="41" fontId="50" fillId="0" borderId="42" xfId="3" applyFont="1" applyFill="1" applyBorder="1" applyAlignment="1">
      <alignment horizontal="right" vertical="center"/>
    </xf>
    <xf numFmtId="179" fontId="50" fillId="12" borderId="42" xfId="3" applyNumberFormat="1" applyFont="1" applyFill="1" applyBorder="1" applyAlignment="1">
      <alignment vertical="center"/>
    </xf>
    <xf numFmtId="182" fontId="51" fillId="0" borderId="14" xfId="5" applyNumberFormat="1" applyFont="1" applyBorder="1" applyAlignment="1">
      <alignment horizontal="center" vertical="center"/>
    </xf>
    <xf numFmtId="41" fontId="51" fillId="0" borderId="14" xfId="3" applyFont="1" applyFill="1" applyBorder="1" applyAlignment="1">
      <alignment horizontal="right" vertical="center"/>
    </xf>
    <xf numFmtId="41" fontId="50" fillId="0" borderId="14" xfId="3" applyFont="1" applyFill="1" applyBorder="1" applyAlignment="1">
      <alignment horizontal="right" vertical="center"/>
    </xf>
    <xf numFmtId="179" fontId="50" fillId="0" borderId="14" xfId="3" applyNumberFormat="1" applyFont="1" applyFill="1" applyBorder="1" applyAlignment="1">
      <alignment vertical="center"/>
    </xf>
    <xf numFmtId="41" fontId="4" fillId="0" borderId="41" xfId="3" applyFont="1" applyFill="1" applyBorder="1" applyAlignment="1">
      <alignment horizontal="center" vertical="center"/>
    </xf>
    <xf numFmtId="26" fontId="4" fillId="0" borderId="41" xfId="0" applyNumberFormat="1" applyFont="1" applyBorder="1"/>
    <xf numFmtId="41" fontId="4" fillId="0" borderId="41" xfId="3" applyFont="1" applyBorder="1"/>
    <xf numFmtId="189" fontId="32" fillId="0" borderId="41" xfId="0" applyNumberFormat="1" applyFont="1" applyBorder="1" applyAlignment="1">
      <alignment horizontal="center"/>
    </xf>
    <xf numFmtId="189" fontId="4" fillId="0" borderId="41" xfId="0" applyNumberFormat="1" applyFont="1" applyBorder="1" applyAlignment="1">
      <alignment horizontal="center"/>
    </xf>
    <xf numFmtId="38" fontId="4" fillId="0" borderId="41" xfId="0" applyNumberFormat="1" applyFont="1" applyBorder="1" applyAlignment="1">
      <alignment vertical="center"/>
    </xf>
    <xf numFmtId="26" fontId="4" fillId="0" borderId="41" xfId="0" applyNumberFormat="1" applyFont="1" applyBorder="1" applyAlignment="1">
      <alignment vertical="center"/>
    </xf>
    <xf numFmtId="26" fontId="16" fillId="7" borderId="41" xfId="0" applyNumberFormat="1" applyFont="1" applyFill="1" applyBorder="1"/>
    <xf numFmtId="0" fontId="0" fillId="0" borderId="41" xfId="0" applyBorder="1"/>
    <xf numFmtId="41" fontId="4" fillId="0" borderId="41" xfId="3" applyFont="1" applyFill="1" applyBorder="1"/>
    <xf numFmtId="26" fontId="16" fillId="0" borderId="41" xfId="0" applyNumberFormat="1" applyFont="1" applyBorder="1"/>
    <xf numFmtId="189" fontId="16" fillId="0" borderId="41" xfId="0" applyNumberFormat="1" applyFont="1" applyBorder="1"/>
    <xf numFmtId="189" fontId="16" fillId="7" borderId="41" xfId="0" applyNumberFormat="1" applyFont="1" applyFill="1" applyBorder="1"/>
    <xf numFmtId="0" fontId="27" fillId="0" borderId="41" xfId="0" applyFont="1" applyBorder="1"/>
    <xf numFmtId="41" fontId="4" fillId="0" borderId="41" xfId="3" applyFont="1" applyBorder="1" applyAlignment="1">
      <alignment vertical="center"/>
    </xf>
    <xf numFmtId="189" fontId="4" fillId="0" borderId="41" xfId="0" applyNumberFormat="1" applyFont="1" applyBorder="1"/>
    <xf numFmtId="189" fontId="32" fillId="0" borderId="41" xfId="0" applyNumberFormat="1" applyFont="1" applyBorder="1" applyAlignment="1">
      <alignment horizontal="center" vertical="center"/>
    </xf>
    <xf numFmtId="189" fontId="4" fillId="0" borderId="41" xfId="0" applyNumberFormat="1" applyFont="1" applyBorder="1" applyAlignment="1">
      <alignment horizontal="center" vertical="center"/>
    </xf>
    <xf numFmtId="189" fontId="4" fillId="0" borderId="41" xfId="0" applyNumberFormat="1" applyFont="1" applyBorder="1" applyAlignment="1">
      <alignment vertical="center"/>
    </xf>
    <xf numFmtId="0" fontId="27" fillId="0" borderId="41" xfId="0" applyFont="1" applyBorder="1" applyAlignment="1">
      <alignment vertical="center"/>
    </xf>
    <xf numFmtId="189" fontId="16" fillId="7" borderId="41" xfId="0" applyNumberFormat="1" applyFont="1" applyFill="1" applyBorder="1" applyAlignment="1">
      <alignment vertical="center"/>
    </xf>
    <xf numFmtId="0" fontId="0" fillId="0" borderId="41" xfId="0" applyBorder="1" applyAlignment="1">
      <alignment vertical="center"/>
    </xf>
    <xf numFmtId="189" fontId="16" fillId="0" borderId="41" xfId="0" applyNumberFormat="1" applyFont="1" applyBorder="1" applyAlignment="1">
      <alignment vertical="center"/>
    </xf>
    <xf numFmtId="189" fontId="28" fillId="0" borderId="41" xfId="0" applyNumberFormat="1" applyFont="1" applyBorder="1" applyAlignment="1">
      <alignment horizontal="center"/>
    </xf>
    <xf numFmtId="41" fontId="4" fillId="0" borderId="41" xfId="3" applyFont="1" applyFill="1" applyBorder="1" applyAlignment="1">
      <alignment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89" fontId="16" fillId="12" borderId="41" xfId="0" applyNumberFormat="1" applyFont="1" applyFill="1" applyBorder="1" applyAlignment="1">
      <alignment vertical="center"/>
    </xf>
    <xf numFmtId="41" fontId="4" fillId="0" borderId="41" xfId="3" applyFont="1" applyBorder="1" applyAlignment="1"/>
    <xf numFmtId="189" fontId="16" fillId="0" borderId="41" xfId="1" applyNumberFormat="1" applyFont="1" applyFill="1" applyBorder="1" applyAlignment="1">
      <alignment vertical="center"/>
    </xf>
    <xf numFmtId="189" fontId="16" fillId="7" borderId="41" xfId="1" applyNumberFormat="1" applyFont="1" applyFill="1" applyBorder="1" applyAlignment="1">
      <alignment vertical="center"/>
    </xf>
    <xf numFmtId="189" fontId="64" fillId="0" borderId="41" xfId="1" applyNumberFormat="1" applyFont="1" applyFill="1" applyBorder="1" applyAlignment="1">
      <alignment vertical="center"/>
    </xf>
    <xf numFmtId="41" fontId="4" fillId="0" borderId="42" xfId="3" applyFont="1" applyBorder="1"/>
    <xf numFmtId="189" fontId="32" fillId="0" borderId="42" xfId="0" applyNumberFormat="1" applyFont="1" applyBorder="1" applyAlignment="1">
      <alignment horizontal="center"/>
    </xf>
    <xf numFmtId="189" fontId="28" fillId="0" borderId="42" xfId="0" applyNumberFormat="1" applyFont="1" applyBorder="1" applyAlignment="1">
      <alignment horizontal="center"/>
    </xf>
    <xf numFmtId="38" fontId="4" fillId="0" borderId="42" xfId="0" applyNumberFormat="1" applyFont="1" applyBorder="1" applyAlignment="1">
      <alignment vertical="center"/>
    </xf>
    <xf numFmtId="189" fontId="4" fillId="0" borderId="42" xfId="0" applyNumberFormat="1" applyFont="1" applyBorder="1" applyAlignment="1">
      <alignment horizontal="center"/>
    </xf>
    <xf numFmtId="189" fontId="16" fillId="7" borderId="42" xfId="1" applyNumberFormat="1" applyFont="1" applyFill="1" applyBorder="1" applyAlignment="1">
      <alignment vertical="center"/>
    </xf>
    <xf numFmtId="41" fontId="4" fillId="0" borderId="14" xfId="3" applyFont="1" applyBorder="1"/>
    <xf numFmtId="189" fontId="32" fillId="0" borderId="14" xfId="0" applyNumberFormat="1" applyFont="1" applyBorder="1" applyAlignment="1">
      <alignment horizontal="center"/>
    </xf>
    <xf numFmtId="189" fontId="28" fillId="0" borderId="14" xfId="0" applyNumberFormat="1" applyFont="1" applyBorder="1" applyAlignment="1">
      <alignment horizontal="center"/>
    </xf>
    <xf numFmtId="38" fontId="4" fillId="0" borderId="14" xfId="0" applyNumberFormat="1" applyFont="1" applyBorder="1" applyAlignment="1">
      <alignment vertical="center"/>
    </xf>
    <xf numFmtId="189" fontId="4" fillId="0" borderId="14" xfId="0" applyNumberFormat="1" applyFont="1" applyBorder="1" applyAlignment="1">
      <alignment horizontal="center"/>
    </xf>
    <xf numFmtId="0" fontId="0" fillId="0" borderId="14" xfId="0" applyBorder="1"/>
    <xf numFmtId="189" fontId="16" fillId="0" borderId="14" xfId="1" applyNumberFormat="1" applyFont="1" applyFill="1" applyBorder="1" applyAlignment="1">
      <alignment vertic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77" fontId="4" fillId="0" borderId="16" xfId="0" applyNumberFormat="1" applyFont="1" applyBorder="1" applyAlignment="1">
      <alignment horizontal="center" vertical="center"/>
    </xf>
    <xf numFmtId="41" fontId="4" fillId="0" borderId="17" xfId="3" applyFont="1" applyBorder="1"/>
    <xf numFmtId="189" fontId="32" fillId="0" borderId="17" xfId="0" applyNumberFormat="1" applyFont="1" applyBorder="1" applyAlignment="1">
      <alignment horizontal="center"/>
    </xf>
    <xf numFmtId="189" fontId="28" fillId="0" borderId="17" xfId="0" applyNumberFormat="1" applyFont="1" applyBorder="1" applyAlignment="1">
      <alignment horizontal="center"/>
    </xf>
    <xf numFmtId="38" fontId="4" fillId="0" borderId="17" xfId="0" applyNumberFormat="1" applyFont="1" applyBorder="1" applyAlignment="1">
      <alignment vertical="center"/>
    </xf>
    <xf numFmtId="189" fontId="4" fillId="0" borderId="17" xfId="0" applyNumberFormat="1" applyFont="1" applyBorder="1" applyAlignment="1">
      <alignment horizontal="center"/>
    </xf>
    <xf numFmtId="189" fontId="16" fillId="7" borderId="17" xfId="1" applyNumberFormat="1" applyFont="1" applyFill="1" applyBorder="1" applyAlignment="1">
      <alignment vertical="center"/>
    </xf>
    <xf numFmtId="41" fontId="4" fillId="0" borderId="14" xfId="3" applyFont="1" applyFill="1" applyBorder="1" applyAlignment="1">
      <alignment horizontal="center" vertical="center"/>
    </xf>
    <xf numFmtId="177" fontId="4" fillId="0" borderId="43" xfId="0" applyNumberFormat="1" applyFont="1" applyBorder="1" applyAlignment="1">
      <alignment horizontal="center" vertical="center"/>
    </xf>
    <xf numFmtId="0" fontId="0" fillId="0" borderId="44" xfId="0" applyBorder="1"/>
    <xf numFmtId="177" fontId="35" fillId="0" borderId="43" xfId="0" applyNumberFormat="1" applyFont="1" applyBorder="1" applyAlignment="1">
      <alignment horizontal="center" vertical="center"/>
    </xf>
    <xf numFmtId="0" fontId="4" fillId="0" borderId="46" xfId="0" applyFont="1" applyBorder="1"/>
    <xf numFmtId="26" fontId="4" fillId="0" borderId="46" xfId="0" applyNumberFormat="1" applyFont="1" applyBorder="1"/>
    <xf numFmtId="26" fontId="16" fillId="8" borderId="46" xfId="0" applyNumberFormat="1" applyFont="1" applyFill="1" applyBorder="1"/>
    <xf numFmtId="26" fontId="16" fillId="0" borderId="46" xfId="0" applyNumberFormat="1" applyFont="1" applyBorder="1"/>
    <xf numFmtId="0" fontId="0" fillId="0" borderId="46" xfId="0" applyBorder="1"/>
    <xf numFmtId="189" fontId="16" fillId="0" borderId="46" xfId="0" applyNumberFormat="1" applyFont="1" applyBorder="1"/>
    <xf numFmtId="189" fontId="16" fillId="8" borderId="46" xfId="0" applyNumberFormat="1" applyFont="1" applyFill="1" applyBorder="1"/>
    <xf numFmtId="0" fontId="27" fillId="0" borderId="46" xfId="0" applyFont="1" applyBorder="1"/>
    <xf numFmtId="0" fontId="27" fillId="0" borderId="46" xfId="0" applyFont="1" applyBorder="1" applyAlignment="1">
      <alignment vertical="center"/>
    </xf>
    <xf numFmtId="189" fontId="16" fillId="8" borderId="46" xfId="0" applyNumberFormat="1" applyFont="1" applyFill="1" applyBorder="1" applyAlignment="1">
      <alignment vertical="center"/>
    </xf>
    <xf numFmtId="0" fontId="0" fillId="0" borderId="46" xfId="0" applyBorder="1" applyAlignment="1">
      <alignment vertical="center"/>
    </xf>
    <xf numFmtId="189" fontId="16" fillId="0" borderId="46" xfId="0" applyNumberFormat="1" applyFont="1" applyBorder="1" applyAlignment="1">
      <alignment vertical="center"/>
    </xf>
    <xf numFmtId="189" fontId="28" fillId="0" borderId="46" xfId="0" applyNumberFormat="1" applyFont="1" applyBorder="1" applyAlignment="1">
      <alignment horizontal="center"/>
    </xf>
    <xf numFmtId="41" fontId="4" fillId="0" borderId="46" xfId="3" applyFont="1" applyFill="1" applyBorder="1" applyAlignment="1">
      <alignment vertical="center"/>
    </xf>
    <xf numFmtId="41" fontId="4" fillId="0" borderId="46" xfId="3" applyFont="1" applyBorder="1" applyAlignment="1"/>
    <xf numFmtId="189" fontId="16" fillId="0" borderId="46" xfId="0" applyNumberFormat="1" applyFont="1" applyFill="1" applyBorder="1" applyAlignment="1">
      <alignment vertical="center"/>
    </xf>
    <xf numFmtId="181" fontId="4" fillId="0" borderId="47" xfId="3" applyNumberFormat="1" applyFont="1" applyFill="1" applyBorder="1" applyAlignment="1">
      <alignment horizontal="center" vertical="center"/>
    </xf>
    <xf numFmtId="181" fontId="4" fillId="0" borderId="47" xfId="0" applyNumberFormat="1" applyFont="1" applyBorder="1" applyAlignment="1">
      <alignment horizontal="center"/>
    </xf>
    <xf numFmtId="0" fontId="0" fillId="0" borderId="47" xfId="0" applyBorder="1"/>
    <xf numFmtId="181" fontId="6" fillId="0" borderId="47" xfId="0" applyNumberFormat="1" applyFont="1" applyBorder="1" applyAlignment="1">
      <alignment horizontal="center" vertical="center"/>
    </xf>
    <xf numFmtId="181" fontId="4" fillId="0" borderId="47" xfId="3" applyNumberFormat="1" applyFont="1" applyBorder="1" applyAlignment="1">
      <alignment horizontal="center"/>
    </xf>
    <xf numFmtId="181" fontId="4" fillId="0" borderId="47" xfId="3" applyNumberFormat="1" applyFont="1" applyFill="1" applyBorder="1" applyAlignment="1">
      <alignment horizontal="center"/>
    </xf>
    <xf numFmtId="187" fontId="4" fillId="0" borderId="47" xfId="0" applyNumberFormat="1" applyFont="1" applyBorder="1" applyAlignment="1">
      <alignment horizontal="center" vertical="center"/>
    </xf>
    <xf numFmtId="187" fontId="4" fillId="0" borderId="47" xfId="0" applyNumberFormat="1" applyFont="1" applyBorder="1" applyAlignment="1">
      <alignment horizontal="center"/>
    </xf>
    <xf numFmtId="193" fontId="4" fillId="0" borderId="47" xfId="0" applyNumberFormat="1" applyFont="1" applyBorder="1" applyAlignment="1">
      <alignment horizont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0" fontId="0" fillId="0" borderId="47" xfId="0" applyBorder="1" applyAlignment="1">
      <alignment horizontal="center"/>
    </xf>
    <xf numFmtId="181" fontId="6" fillId="0" borderId="47" xfId="0" applyNumberFormat="1" applyFont="1" applyBorder="1" applyAlignment="1">
      <alignment horizontal="center"/>
    </xf>
    <xf numFmtId="41" fontId="4" fillId="0" borderId="47" xfId="3" applyFont="1" applyFill="1" applyBorder="1" applyAlignment="1">
      <alignment horizontal="center" vertical="center"/>
    </xf>
    <xf numFmtId="180" fontId="43" fillId="0" borderId="47" xfId="3" applyNumberFormat="1" applyFont="1" applyFill="1" applyBorder="1" applyAlignment="1">
      <alignment horizontal="center" vertical="center"/>
    </xf>
    <xf numFmtId="193" fontId="43" fillId="0" borderId="47" xfId="0" applyNumberFormat="1" applyFont="1" applyBorder="1" applyAlignment="1">
      <alignment horizontal="center" vertical="center"/>
    </xf>
    <xf numFmtId="193" fontId="44" fillId="0" borderId="47" xfId="0" applyNumberFormat="1" applyFont="1" applyBorder="1" applyAlignment="1">
      <alignment horizontal="center" vertical="center"/>
    </xf>
    <xf numFmtId="0" fontId="56" fillId="0" borderId="47" xfId="0" applyFont="1" applyBorder="1" applyAlignment="1">
      <alignment horizontal="center" vertical="center"/>
    </xf>
    <xf numFmtId="193" fontId="28" fillId="0" borderId="47" xfId="0" applyNumberFormat="1" applyFont="1" applyBorder="1" applyAlignment="1">
      <alignment horizontal="center"/>
    </xf>
    <xf numFmtId="194" fontId="28" fillId="0" borderId="47" xfId="0" applyNumberFormat="1" applyFont="1" applyBorder="1"/>
    <xf numFmtId="193" fontId="28" fillId="0" borderId="47" xfId="0" applyNumberFormat="1" applyFont="1" applyBorder="1" applyAlignment="1">
      <alignment horizontal="center" wrapText="1"/>
    </xf>
    <xf numFmtId="193" fontId="28" fillId="0" borderId="47" xfId="0" quotePrefix="1" applyNumberFormat="1" applyFont="1" applyBorder="1" applyAlignment="1">
      <alignment horizontal="center"/>
    </xf>
    <xf numFmtId="177" fontId="4" fillId="0" borderId="48" xfId="0" applyNumberFormat="1" applyFont="1" applyBorder="1" applyAlignment="1">
      <alignment horizontal="center" vertical="center"/>
    </xf>
    <xf numFmtId="189" fontId="16" fillId="8" borderId="49" xfId="0" applyNumberFormat="1" applyFont="1" applyFill="1" applyBorder="1" applyAlignment="1">
      <alignment vertical="center"/>
    </xf>
    <xf numFmtId="189" fontId="16" fillId="0" borderId="15" xfId="0" applyNumberFormat="1" applyFont="1" applyFill="1" applyBorder="1" applyAlignment="1">
      <alignment vertical="center"/>
    </xf>
    <xf numFmtId="189" fontId="16" fillId="0" borderId="44" xfId="0" applyNumberFormat="1" applyFont="1" applyFill="1" applyBorder="1" applyAlignment="1">
      <alignment vertical="center"/>
    </xf>
    <xf numFmtId="189" fontId="16" fillId="8" borderId="18" xfId="0" applyNumberFormat="1" applyFont="1" applyFill="1" applyBorder="1" applyAlignment="1">
      <alignment vertical="center"/>
    </xf>
    <xf numFmtId="0" fontId="0" fillId="0" borderId="15" xfId="0" applyBorder="1"/>
    <xf numFmtId="189" fontId="64" fillId="0" borderId="44"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41" xfId="0" applyNumberFormat="1" applyFont="1" applyBorder="1" applyAlignment="1">
      <alignment horizontal="center"/>
    </xf>
    <xf numFmtId="189" fontId="4" fillId="0" borderId="41" xfId="0" applyNumberFormat="1" applyFont="1" applyBorder="1" applyAlignment="1">
      <alignment horizontal="center"/>
    </xf>
    <xf numFmtId="189" fontId="16" fillId="8" borderId="44" xfId="0" applyNumberFormat="1" applyFont="1" applyFill="1" applyBorder="1" applyAlignment="1">
      <alignment vertical="center"/>
    </xf>
    <xf numFmtId="177" fontId="4" fillId="0" borderId="41" xfId="0" applyNumberFormat="1" applyFont="1" applyBorder="1" applyAlignment="1">
      <alignment horizontal="center" vertic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0" xfId="3" applyFont="1" applyFill="1" applyBorder="1" applyAlignment="1">
      <alignment horizontal="center" vertical="center"/>
    </xf>
    <xf numFmtId="194" fontId="28" fillId="0" borderId="37" xfId="0" applyNumberFormat="1" applyFont="1" applyFill="1" applyBorder="1" applyAlignment="1">
      <alignment horizontal="center"/>
    </xf>
    <xf numFmtId="194" fontId="28" fillId="0" borderId="38" xfId="0" applyNumberFormat="1" applyFont="1" applyFill="1" applyBorder="1" applyAlignment="1">
      <alignment horizontal="center"/>
    </xf>
    <xf numFmtId="194" fontId="28" fillId="0" borderId="31"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7" xfId="0" applyNumberFormat="1" applyFont="1" applyBorder="1" applyAlignment="1">
      <alignment horizontal="center"/>
    </xf>
    <xf numFmtId="194" fontId="28" fillId="0" borderId="38"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1" xfId="3" applyNumberFormat="1" applyFont="1" applyFill="1" applyBorder="1" applyAlignment="1">
      <alignment horizontal="center" vertical="center"/>
    </xf>
    <xf numFmtId="26" fontId="4" fillId="0" borderId="32"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2" xfId="3" applyNumberFormat="1" applyFont="1" applyFill="1" applyBorder="1" applyAlignment="1">
      <alignment horizontal="center" vertical="center"/>
    </xf>
    <xf numFmtId="26" fontId="55" fillId="0" borderId="31"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0" fontId="43" fillId="0" borderId="32"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1"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4" xfId="0" applyFont="1" applyBorder="1" applyAlignment="1">
      <alignment horizontal="center" vertical="center"/>
    </xf>
    <xf numFmtId="0" fontId="45" fillId="0" borderId="0" xfId="0" applyFont="1" applyAlignment="1">
      <alignment horizontal="center" vertical="center"/>
    </xf>
    <xf numFmtId="197" fontId="65" fillId="16" borderId="31" xfId="3" applyNumberFormat="1" applyFont="1" applyFill="1" applyBorder="1" applyAlignment="1">
      <alignment horizontal="center" vertical="center" wrapText="1"/>
    </xf>
    <xf numFmtId="197" fontId="65" fillId="16" borderId="12"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3"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19" xfId="0" applyFont="1" applyFill="1" applyBorder="1" applyAlignment="1">
      <alignment horizontal="center" vertical="center"/>
    </xf>
    <xf numFmtId="0" fontId="4" fillId="19" borderId="20"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1" xfId="3" applyNumberFormat="1" applyFont="1" applyFill="1" applyBorder="1" applyAlignment="1">
      <alignment horizontal="center" vertical="center"/>
    </xf>
    <xf numFmtId="26" fontId="4" fillId="16" borderId="12" xfId="3" applyNumberFormat="1" applyFont="1" applyFill="1" applyBorder="1" applyAlignment="1">
      <alignment horizontal="center" vertical="center"/>
    </xf>
    <xf numFmtId="181" fontId="4" fillId="16" borderId="34"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4"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5" xfId="0" applyFont="1" applyBorder="1" applyAlignment="1">
      <alignment horizontal="center" vertical="center"/>
    </xf>
    <xf numFmtId="0" fontId="39" fillId="0" borderId="2" xfId="0" applyFont="1" applyBorder="1" applyAlignment="1">
      <alignment horizontal="center" vertical="center"/>
    </xf>
    <xf numFmtId="0" fontId="39" fillId="0" borderId="24"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29" xfId="0"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41" fontId="54" fillId="0" borderId="0" xfId="3" applyFont="1" applyFill="1" applyBorder="1" applyAlignment="1">
      <alignment horizontal="center" vertical="center"/>
    </xf>
    <xf numFmtId="41" fontId="49" fillId="0" borderId="0" xfId="3" applyFont="1" applyFill="1" applyBorder="1" applyAlignment="1">
      <alignment horizontal="center" vertical="center"/>
    </xf>
    <xf numFmtId="193" fontId="28" fillId="0" borderId="47" xfId="0" applyNumberFormat="1" applyFont="1" applyBorder="1" applyAlignment="1">
      <alignment horizontal="center"/>
    </xf>
    <xf numFmtId="41" fontId="4" fillId="0" borderId="41" xfId="3" applyFont="1" applyBorder="1" applyAlignment="1">
      <alignment horizontal="center"/>
    </xf>
    <xf numFmtId="41" fontId="4" fillId="0" borderId="44" xfId="3" applyFont="1" applyBorder="1" applyAlignment="1">
      <alignment horizontal="center"/>
    </xf>
    <xf numFmtId="41" fontId="4" fillId="0" borderId="46" xfId="3" applyFont="1" applyBorder="1" applyAlignment="1">
      <alignment horizontal="center"/>
    </xf>
    <xf numFmtId="193" fontId="55" fillId="0" borderId="47" xfId="0" applyNumberFormat="1" applyFont="1" applyBorder="1" applyAlignment="1">
      <alignment horizontal="center" vertical="center"/>
    </xf>
    <xf numFmtId="41" fontId="4" fillId="0" borderId="41" xfId="3" applyFont="1" applyBorder="1" applyAlignment="1">
      <alignment horizontal="center" vertical="center"/>
    </xf>
    <xf numFmtId="38" fontId="4" fillId="0" borderId="41" xfId="0" applyNumberFormat="1" applyFont="1" applyBorder="1" applyAlignment="1">
      <alignment horizontal="center" vertical="center"/>
    </xf>
    <xf numFmtId="41" fontId="6" fillId="0" borderId="41" xfId="3" applyFont="1" applyBorder="1" applyAlignment="1">
      <alignment horizontal="center"/>
    </xf>
    <xf numFmtId="41" fontId="4" fillId="0" borderId="41" xfId="3" applyFont="1" applyFill="1" applyBorder="1" applyAlignment="1">
      <alignment horizontal="center" vertical="center"/>
    </xf>
    <xf numFmtId="41" fontId="4" fillId="0" borderId="46" xfId="3" applyFont="1" applyFill="1" applyBorder="1" applyAlignment="1">
      <alignment horizontal="center" vertical="center"/>
    </xf>
    <xf numFmtId="41" fontId="4" fillId="0" borderId="46" xfId="3" applyFont="1" applyBorder="1" applyAlignment="1">
      <alignment horizontal="center" vertical="center"/>
    </xf>
    <xf numFmtId="41" fontId="51" fillId="0" borderId="41" xfId="3" applyFont="1" applyFill="1" applyBorder="1" applyAlignment="1">
      <alignment horizontal="center" vertical="center"/>
    </xf>
    <xf numFmtId="0" fontId="0" fillId="0" borderId="41" xfId="0" applyBorder="1" applyAlignment="1">
      <alignment horizontal="center" vertical="center"/>
    </xf>
    <xf numFmtId="0" fontId="0" fillId="0" borderId="41" xfId="0" applyBorder="1" applyAlignment="1"/>
    <xf numFmtId="193" fontId="44" fillId="0" borderId="47" xfId="0" applyNumberFormat="1" applyFont="1" applyBorder="1" applyAlignment="1">
      <alignment horizontal="center" vertical="center"/>
    </xf>
    <xf numFmtId="194" fontId="44" fillId="0" borderId="47" xfId="0" applyNumberFormat="1" applyFont="1" applyBorder="1" applyAlignment="1">
      <alignment horizontal="center" vertical="center"/>
    </xf>
    <xf numFmtId="0" fontId="0" fillId="0" borderId="41" xfId="0" applyBorder="1" applyAlignment="1">
      <alignment horizont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89" fontId="32" fillId="0" borderId="14" xfId="0" applyNumberFormat="1" applyFont="1" applyBorder="1" applyAlignment="1">
      <alignment horizontal="center" vertical="center" wrapText="1"/>
    </xf>
    <xf numFmtId="189" fontId="32" fillId="0" borderId="41" xfId="0" applyNumberFormat="1" applyFont="1" applyBorder="1" applyAlignment="1">
      <alignment horizontal="center" vertical="center" wrapText="1"/>
    </xf>
    <xf numFmtId="189" fontId="4" fillId="0" borderId="14" xfId="0" applyNumberFormat="1" applyFont="1" applyBorder="1" applyAlignment="1">
      <alignment horizontal="center" vertical="center"/>
    </xf>
    <xf numFmtId="189" fontId="4" fillId="0" borderId="41" xfId="0" applyNumberFormat="1" applyFont="1" applyBorder="1" applyAlignment="1">
      <alignment horizontal="center" vertical="center"/>
    </xf>
    <xf numFmtId="0" fontId="4" fillId="0" borderId="14" xfId="0" applyFont="1" applyBorder="1" applyAlignment="1">
      <alignment horizontal="center" vertical="center"/>
    </xf>
    <xf numFmtId="0" fontId="4" fillId="0" borderId="41" xfId="0" applyFont="1" applyBorder="1" applyAlignment="1">
      <alignment horizontal="center" vertical="center"/>
    </xf>
    <xf numFmtId="42" fontId="4" fillId="0" borderId="47" xfId="0" applyNumberFormat="1" applyFont="1" applyBorder="1" applyAlignment="1">
      <alignment horizontal="center" vertical="center"/>
    </xf>
    <xf numFmtId="181" fontId="4" fillId="0" borderId="47" xfId="0" applyNumberFormat="1" applyFont="1" applyBorder="1" applyAlignment="1">
      <alignment horizontal="center" vertical="center"/>
    </xf>
    <xf numFmtId="26" fontId="4" fillId="0" borderId="14" xfId="0" applyNumberFormat="1" applyFont="1" applyBorder="1" applyAlignment="1">
      <alignment horizontal="center" vertical="center"/>
    </xf>
    <xf numFmtId="26" fontId="4" fillId="0" borderId="41" xfId="0" applyNumberFormat="1" applyFont="1" applyBorder="1" applyAlignment="1">
      <alignment horizontal="center" vertical="center"/>
    </xf>
    <xf numFmtId="26" fontId="4" fillId="0" borderId="45" xfId="0" applyNumberFormat="1" applyFont="1" applyBorder="1" applyAlignment="1">
      <alignment horizontal="center" vertical="center"/>
    </xf>
    <xf numFmtId="26" fontId="4" fillId="0" borderId="46" xfId="0" applyNumberFormat="1" applyFont="1" applyBorder="1" applyAlignment="1">
      <alignment horizontal="center" vertical="center"/>
    </xf>
    <xf numFmtId="26" fontId="4" fillId="0" borderId="47" xfId="3" applyNumberFormat="1" applyFont="1" applyFill="1" applyBorder="1" applyAlignment="1">
      <alignment horizontal="center" vertical="center"/>
    </xf>
    <xf numFmtId="41" fontId="6" fillId="0" borderId="41" xfId="3" applyFont="1" applyBorder="1" applyAlignment="1">
      <alignment horizontal="center" vertical="center"/>
    </xf>
    <xf numFmtId="193" fontId="28" fillId="0" borderId="47" xfId="0" applyNumberFormat="1" applyFont="1" applyBorder="1" applyAlignment="1">
      <alignment horizontal="center" vertical="center"/>
    </xf>
    <xf numFmtId="180" fontId="43" fillId="0" borderId="47" xfId="3" applyNumberFormat="1" applyFont="1" applyFill="1" applyBorder="1" applyAlignment="1">
      <alignment horizontal="center" vertical="center" wrapText="1"/>
    </xf>
    <xf numFmtId="193" fontId="6" fillId="0" borderId="47" xfId="0" applyNumberFormat="1" applyFont="1" applyBorder="1" applyAlignment="1">
      <alignment horizontal="center" vertical="center"/>
    </xf>
    <xf numFmtId="189" fontId="28" fillId="0" borderId="41" xfId="0" applyNumberFormat="1" applyFont="1" applyBorder="1" applyAlignment="1">
      <alignment horizontal="center"/>
    </xf>
    <xf numFmtId="193" fontId="4" fillId="0" borderId="47" xfId="0" applyNumberFormat="1" applyFont="1" applyBorder="1" applyAlignment="1">
      <alignment horizontal="center" vertical="center"/>
    </xf>
    <xf numFmtId="0" fontId="43" fillId="0" borderId="47" xfId="0" applyFont="1" applyBorder="1" applyAlignment="1">
      <alignment horizontal="center" vertical="center"/>
    </xf>
    <xf numFmtId="0" fontId="4" fillId="0" borderId="47" xfId="0" applyFont="1" applyBorder="1" applyAlignment="1">
      <alignment horizontal="center" vertical="center"/>
    </xf>
    <xf numFmtId="189" fontId="4" fillId="0" borderId="41" xfId="0" applyNumberFormat="1" applyFont="1" applyBorder="1" applyAlignment="1">
      <alignment horizontal="center"/>
    </xf>
    <xf numFmtId="0" fontId="29" fillId="0" borderId="47" xfId="0" applyFont="1" applyBorder="1" applyAlignment="1">
      <alignment horizontal="center" vertical="center"/>
    </xf>
    <xf numFmtId="193" fontId="28" fillId="0" borderId="47" xfId="0" quotePrefix="1" applyNumberFormat="1" applyFont="1" applyBorder="1" applyAlignment="1">
      <alignment horizontal="center"/>
    </xf>
    <xf numFmtId="194" fontId="28" fillId="0" borderId="47" xfId="0" applyNumberFormat="1" applyFont="1" applyBorder="1" applyAlignment="1">
      <alignment horizontal="center"/>
    </xf>
    <xf numFmtId="41" fontId="16" fillId="0" borderId="41" xfId="3" applyFont="1" applyFill="1" applyBorder="1" applyAlignment="1">
      <alignment horizontal="center" vertical="center"/>
    </xf>
    <xf numFmtId="180" fontId="4" fillId="0" borderId="47" xfId="3" applyNumberFormat="1" applyFont="1" applyFill="1" applyBorder="1" applyAlignment="1">
      <alignment horizontal="center" vertical="center"/>
    </xf>
    <xf numFmtId="178" fontId="68" fillId="0" borderId="22" xfId="4" applyNumberFormat="1" applyFont="1" applyFill="1" applyBorder="1" applyAlignment="1">
      <alignment horizontal="left" vertical="center"/>
    </xf>
    <xf numFmtId="178" fontId="4" fillId="0" borderId="22"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39" activePane="bottomLeft" state="frozen"/>
      <selection pane="bottomLeft" activeCell="W7060" sqref="W706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18" customWidth="1"/>
    <col min="10" max="10" width="9.09765625" style="118"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384" customWidth="1"/>
    <col min="22" max="22" width="8.59765625" style="36" bestFit="1" customWidth="1"/>
    <col min="23" max="23" width="10.296875" style="285" customWidth="1"/>
    <col min="24" max="24" width="9.09765625" style="443" bestFit="1" customWidth="1"/>
    <col min="25" max="252" width="8.8984375" style="7" customWidth="1"/>
    <col min="253" max="16384" width="8.8984375" style="7"/>
  </cols>
  <sheetData>
    <row r="1" spans="1:24" ht="15" customHeight="1">
      <c r="A1" s="1369" t="s">
        <v>0</v>
      </c>
      <c r="B1" s="1371"/>
      <c r="C1" s="1371"/>
      <c r="D1" s="1371"/>
      <c r="E1" s="1371"/>
      <c r="F1" s="1375" t="s">
        <v>1</v>
      </c>
      <c r="G1" s="1375"/>
      <c r="H1" s="1372" t="s">
        <v>2</v>
      </c>
      <c r="I1" s="1372"/>
      <c r="J1" s="328" t="s">
        <v>3</v>
      </c>
      <c r="K1" s="1386" t="s">
        <v>4</v>
      </c>
      <c r="L1" s="1380" t="s">
        <v>5</v>
      </c>
      <c r="M1" s="1382" t="s">
        <v>6</v>
      </c>
      <c r="N1" s="1384" t="s">
        <v>7</v>
      </c>
      <c r="O1" s="1376" t="s">
        <v>8</v>
      </c>
      <c r="P1" s="1394" t="s">
        <v>9</v>
      </c>
      <c r="Q1" s="1394"/>
      <c r="R1" s="1394"/>
      <c r="S1" s="1394"/>
      <c r="T1" s="1394"/>
      <c r="U1" s="1394"/>
      <c r="V1" s="1390" t="s">
        <v>7</v>
      </c>
      <c r="W1" s="1388" t="s">
        <v>10</v>
      </c>
      <c r="X1" s="1359" t="s">
        <v>11</v>
      </c>
    </row>
    <row r="2" spans="1:24" ht="13.5" customHeight="1" thickBot="1">
      <c r="A2" s="1370"/>
      <c r="B2" s="150" t="s">
        <v>12</v>
      </c>
      <c r="C2" s="108" t="s">
        <v>13</v>
      </c>
      <c r="D2" s="108" t="s">
        <v>14</v>
      </c>
      <c r="E2" s="108" t="s">
        <v>15</v>
      </c>
      <c r="F2" s="149" t="s">
        <v>16</v>
      </c>
      <c r="G2" s="149" t="s">
        <v>17</v>
      </c>
      <c r="H2" s="130" t="s">
        <v>18</v>
      </c>
      <c r="I2" s="131" t="s">
        <v>19</v>
      </c>
      <c r="J2" s="327" t="s">
        <v>20</v>
      </c>
      <c r="K2" s="1387"/>
      <c r="L2" s="1381"/>
      <c r="M2" s="1383"/>
      <c r="N2" s="1385"/>
      <c r="O2" s="1377"/>
      <c r="P2" s="174" t="s">
        <v>9</v>
      </c>
      <c r="Q2" s="151" t="s">
        <v>21</v>
      </c>
      <c r="R2" s="151"/>
      <c r="S2" s="151"/>
      <c r="T2" s="151"/>
      <c r="U2" s="152" t="s">
        <v>22</v>
      </c>
      <c r="V2" s="1391"/>
      <c r="W2" s="1389"/>
      <c r="X2" s="1360"/>
    </row>
    <row r="3" spans="1:24" ht="15" customHeight="1">
      <c r="A3" s="8">
        <v>35800</v>
      </c>
      <c r="B3" s="9">
        <v>0</v>
      </c>
      <c r="C3" s="10"/>
      <c r="D3" s="10"/>
      <c r="E3" s="10">
        <v>111300</v>
      </c>
      <c r="F3" s="9"/>
      <c r="G3" s="10"/>
      <c r="H3" s="10"/>
      <c r="I3" s="120"/>
      <c r="J3" s="120"/>
      <c r="K3" s="22">
        <v>565</v>
      </c>
      <c r="L3" s="6">
        <v>565.5</v>
      </c>
      <c r="M3" s="125"/>
      <c r="N3" s="7"/>
      <c r="O3" s="132"/>
      <c r="P3" s="175"/>
      <c r="V3" s="207"/>
    </row>
    <row r="4" spans="1:24" ht="15" customHeight="1">
      <c r="A4" s="8">
        <v>35801</v>
      </c>
      <c r="B4" s="9">
        <v>0</v>
      </c>
      <c r="C4" s="10"/>
      <c r="D4" s="10"/>
      <c r="E4" s="10">
        <v>111425</v>
      </c>
      <c r="F4" s="9"/>
      <c r="G4" s="10"/>
      <c r="H4" s="10"/>
      <c r="I4" s="120"/>
      <c r="J4" s="120"/>
      <c r="K4" s="22">
        <v>545</v>
      </c>
      <c r="L4" s="6">
        <v>555</v>
      </c>
      <c r="M4" s="125">
        <f>L4-K4</f>
        <v>10</v>
      </c>
      <c r="N4" s="7"/>
      <c r="O4" s="132"/>
      <c r="P4" s="175"/>
      <c r="V4" s="207"/>
    </row>
    <row r="5" spans="1:24" ht="15" customHeight="1">
      <c r="A5" s="8">
        <v>35802</v>
      </c>
      <c r="B5" s="9">
        <v>0</v>
      </c>
      <c r="C5" s="10"/>
      <c r="D5" s="10"/>
      <c r="E5" s="10">
        <v>111325</v>
      </c>
      <c r="F5" s="9"/>
      <c r="G5" s="10"/>
      <c r="H5" s="10"/>
      <c r="I5" s="120"/>
      <c r="J5" s="120"/>
      <c r="K5" s="22">
        <v>549</v>
      </c>
      <c r="L5" s="6">
        <v>555</v>
      </c>
      <c r="M5" s="125">
        <f t="shared" ref="M5:M68" si="0">+K5-K4</f>
        <v>4</v>
      </c>
      <c r="N5" s="7"/>
      <c r="O5" s="132"/>
      <c r="P5" s="175"/>
      <c r="V5" s="207"/>
    </row>
    <row r="6" spans="1:24" ht="15" customHeight="1">
      <c r="A6" s="8">
        <v>35803</v>
      </c>
      <c r="B6" s="9">
        <v>0</v>
      </c>
      <c r="C6" s="10"/>
      <c r="D6" s="10"/>
      <c r="E6" s="10">
        <v>111350</v>
      </c>
      <c r="F6" s="9"/>
      <c r="G6" s="10"/>
      <c r="H6" s="10"/>
      <c r="I6" s="120"/>
      <c r="J6" s="120"/>
      <c r="K6" s="22">
        <v>571</v>
      </c>
      <c r="L6" s="6">
        <v>573.5</v>
      </c>
      <c r="M6" s="125">
        <f t="shared" si="0"/>
        <v>22</v>
      </c>
      <c r="N6" s="7"/>
      <c r="O6" s="132"/>
      <c r="P6" s="175"/>
      <c r="V6" s="207"/>
    </row>
    <row r="7" spans="1:24" ht="15" customHeight="1">
      <c r="A7" s="8">
        <v>35804</v>
      </c>
      <c r="B7" s="9">
        <v>0</v>
      </c>
      <c r="C7" s="10"/>
      <c r="D7" s="10"/>
      <c r="E7" s="10">
        <v>111325</v>
      </c>
      <c r="F7" s="9"/>
      <c r="G7" s="10"/>
      <c r="H7" s="10"/>
      <c r="I7" s="120"/>
      <c r="J7" s="120"/>
      <c r="K7" s="22">
        <v>580</v>
      </c>
      <c r="L7" s="6">
        <v>582</v>
      </c>
      <c r="M7" s="125">
        <f t="shared" si="0"/>
        <v>9</v>
      </c>
      <c r="N7" s="7"/>
      <c r="O7" s="132"/>
      <c r="P7" s="175"/>
      <c r="V7" s="207"/>
    </row>
    <row r="8" spans="1:24" ht="15" customHeight="1">
      <c r="A8" s="8">
        <v>35807</v>
      </c>
      <c r="B8" s="9">
        <v>0</v>
      </c>
      <c r="C8" s="10"/>
      <c r="D8" s="10"/>
      <c r="E8" s="10">
        <v>111075</v>
      </c>
      <c r="F8" s="9"/>
      <c r="G8" s="10"/>
      <c r="H8" s="10"/>
      <c r="I8" s="120"/>
      <c r="J8" s="120"/>
      <c r="K8" s="22">
        <v>548</v>
      </c>
      <c r="L8" s="6">
        <v>554</v>
      </c>
      <c r="M8" s="125">
        <f t="shared" si="0"/>
        <v>-32</v>
      </c>
      <c r="N8" s="7"/>
      <c r="O8" s="132"/>
      <c r="P8" s="175"/>
      <c r="V8" s="207"/>
    </row>
    <row r="9" spans="1:24" ht="15" customHeight="1">
      <c r="A9" s="8">
        <v>35808</v>
      </c>
      <c r="B9" s="9">
        <v>0</v>
      </c>
      <c r="C9" s="10"/>
      <c r="D9" s="10"/>
      <c r="E9" s="10">
        <v>112025</v>
      </c>
      <c r="F9" s="9"/>
      <c r="G9" s="10"/>
      <c r="H9" s="10"/>
      <c r="I9" s="120"/>
      <c r="J9" s="120"/>
      <c r="K9" s="22">
        <v>543</v>
      </c>
      <c r="L9" s="6">
        <v>548</v>
      </c>
      <c r="M9" s="125">
        <f t="shared" si="0"/>
        <v>-5</v>
      </c>
      <c r="N9" s="7"/>
      <c r="O9" s="132"/>
      <c r="P9" s="175"/>
      <c r="V9" s="207"/>
    </row>
    <row r="10" spans="1:24" ht="15" customHeight="1">
      <c r="A10" s="8">
        <v>35809</v>
      </c>
      <c r="B10" s="9">
        <v>0</v>
      </c>
      <c r="C10" s="10"/>
      <c r="D10" s="10"/>
      <c r="E10" s="10">
        <v>111650</v>
      </c>
      <c r="F10" s="9"/>
      <c r="G10" s="10"/>
      <c r="H10" s="10"/>
      <c r="I10" s="120"/>
      <c r="J10" s="120"/>
      <c r="K10" s="22">
        <v>531</v>
      </c>
      <c r="L10" s="6">
        <v>536</v>
      </c>
      <c r="M10" s="125">
        <f t="shared" si="0"/>
        <v>-12</v>
      </c>
      <c r="N10" s="7"/>
      <c r="O10" s="132"/>
      <c r="P10" s="175"/>
      <c r="V10" s="207"/>
    </row>
    <row r="11" spans="1:24" ht="15" customHeight="1">
      <c r="A11" s="8">
        <v>35810</v>
      </c>
      <c r="B11" s="9">
        <v>0</v>
      </c>
      <c r="C11" s="10"/>
      <c r="D11" s="10"/>
      <c r="E11" s="10">
        <v>111375</v>
      </c>
      <c r="F11" s="9"/>
      <c r="G11" s="10"/>
      <c r="H11" s="10"/>
      <c r="I11" s="120"/>
      <c r="J11" s="120"/>
      <c r="K11" s="22">
        <v>498</v>
      </c>
      <c r="L11" s="6">
        <v>505</v>
      </c>
      <c r="M11" s="125">
        <f t="shared" si="0"/>
        <v>-33</v>
      </c>
      <c r="N11" s="7"/>
      <c r="O11" s="132"/>
      <c r="P11" s="175"/>
      <c r="V11" s="207"/>
    </row>
    <row r="12" spans="1:24" ht="15" customHeight="1">
      <c r="A12" s="8">
        <v>35811</v>
      </c>
      <c r="B12" s="9">
        <v>0</v>
      </c>
      <c r="C12" s="10"/>
      <c r="D12" s="10"/>
      <c r="E12" s="10">
        <v>111350</v>
      </c>
      <c r="F12" s="9"/>
      <c r="G12" s="10"/>
      <c r="H12" s="10"/>
      <c r="I12" s="120"/>
      <c r="J12" s="120"/>
      <c r="K12" s="22">
        <v>520</v>
      </c>
      <c r="L12" s="6">
        <v>524.5</v>
      </c>
      <c r="M12" s="125">
        <f t="shared" si="0"/>
        <v>22</v>
      </c>
      <c r="N12" s="7"/>
      <c r="O12" s="132"/>
      <c r="P12" s="175"/>
      <c r="V12" s="207"/>
    </row>
    <row r="13" spans="1:24" ht="15" customHeight="1">
      <c r="A13" s="8">
        <v>35814</v>
      </c>
      <c r="B13" s="9">
        <v>0</v>
      </c>
      <c r="C13" s="10"/>
      <c r="D13" s="10"/>
      <c r="E13" s="10">
        <v>110825</v>
      </c>
      <c r="F13" s="9"/>
      <c r="G13" s="10"/>
      <c r="H13" s="10"/>
      <c r="I13" s="120"/>
      <c r="J13" s="120"/>
      <c r="K13" s="22">
        <v>504</v>
      </c>
      <c r="L13" s="6">
        <v>514</v>
      </c>
      <c r="M13" s="125">
        <f t="shared" si="0"/>
        <v>-16</v>
      </c>
      <c r="N13" s="7"/>
      <c r="O13" s="132"/>
      <c r="P13" s="175"/>
      <c r="V13" s="207"/>
    </row>
    <row r="14" spans="1:24" ht="15" customHeight="1">
      <c r="A14" s="8">
        <v>35815</v>
      </c>
      <c r="B14" s="9">
        <v>0</v>
      </c>
      <c r="C14" s="10"/>
      <c r="D14" s="10"/>
      <c r="E14" s="10">
        <v>110750</v>
      </c>
      <c r="F14" s="9"/>
      <c r="G14" s="10"/>
      <c r="H14" s="10"/>
      <c r="I14" s="120"/>
      <c r="J14" s="120"/>
      <c r="K14" s="22">
        <v>510</v>
      </c>
      <c r="L14" s="6">
        <v>519</v>
      </c>
      <c r="M14" s="125">
        <f t="shared" si="0"/>
        <v>6</v>
      </c>
      <c r="N14" s="7"/>
      <c r="O14" s="132"/>
      <c r="P14" s="175"/>
      <c r="V14" s="207"/>
    </row>
    <row r="15" spans="1:24" ht="15" customHeight="1">
      <c r="A15" s="8">
        <v>35816</v>
      </c>
      <c r="B15" s="9">
        <v>0</v>
      </c>
      <c r="C15" s="10"/>
      <c r="D15" s="10"/>
      <c r="E15" s="10">
        <v>110725</v>
      </c>
      <c r="F15" s="9"/>
      <c r="G15" s="10"/>
      <c r="H15" s="10"/>
      <c r="I15" s="120"/>
      <c r="J15" s="120"/>
      <c r="K15" s="22">
        <v>534.5</v>
      </c>
      <c r="L15" s="6">
        <v>538</v>
      </c>
      <c r="M15" s="125">
        <f t="shared" si="0"/>
        <v>24.5</v>
      </c>
      <c r="N15" s="7"/>
      <c r="O15" s="132"/>
      <c r="P15" s="175"/>
      <c r="V15" s="207"/>
    </row>
    <row r="16" spans="1:24" ht="15" customHeight="1">
      <c r="A16" s="8">
        <v>35817</v>
      </c>
      <c r="B16" s="9">
        <v>0</v>
      </c>
      <c r="C16" s="10"/>
      <c r="D16" s="10"/>
      <c r="E16" s="10">
        <v>110550</v>
      </c>
      <c r="F16" s="9"/>
      <c r="G16" s="10"/>
      <c r="H16" s="10"/>
      <c r="I16" s="120"/>
      <c r="J16" s="120"/>
      <c r="K16" s="22">
        <v>520</v>
      </c>
      <c r="L16" s="6">
        <v>525</v>
      </c>
      <c r="M16" s="125">
        <f t="shared" si="0"/>
        <v>-14.5</v>
      </c>
      <c r="N16" s="7"/>
      <c r="O16" s="132"/>
      <c r="P16" s="175"/>
      <c r="V16" s="207"/>
    </row>
    <row r="17" spans="1:22" ht="15" customHeight="1">
      <c r="A17" s="8">
        <v>35818</v>
      </c>
      <c r="B17" s="9">
        <v>0</v>
      </c>
      <c r="C17" s="10"/>
      <c r="D17" s="10"/>
      <c r="E17" s="10">
        <v>110500</v>
      </c>
      <c r="F17" s="9"/>
      <c r="G17" s="10"/>
      <c r="H17" s="10"/>
      <c r="I17" s="120"/>
      <c r="J17" s="120"/>
      <c r="K17" s="22">
        <v>526</v>
      </c>
      <c r="L17" s="6">
        <v>531</v>
      </c>
      <c r="M17" s="125">
        <f t="shared" si="0"/>
        <v>6</v>
      </c>
      <c r="N17" s="7"/>
      <c r="O17" s="132"/>
      <c r="P17" s="175"/>
      <c r="V17" s="207"/>
    </row>
    <row r="18" spans="1:22" ht="15" customHeight="1">
      <c r="A18" s="8">
        <v>35821</v>
      </c>
      <c r="B18" s="9">
        <v>0</v>
      </c>
      <c r="C18" s="10"/>
      <c r="D18" s="10"/>
      <c r="E18" s="10">
        <v>109900</v>
      </c>
      <c r="F18" s="9"/>
      <c r="G18" s="10"/>
      <c r="H18" s="10"/>
      <c r="I18" s="120"/>
      <c r="J18" s="120"/>
      <c r="K18" s="22">
        <v>518</v>
      </c>
      <c r="L18" s="6">
        <v>524</v>
      </c>
      <c r="M18" s="125">
        <f t="shared" si="0"/>
        <v>-8</v>
      </c>
      <c r="N18" s="7"/>
      <c r="O18" s="132"/>
      <c r="P18" s="175"/>
      <c r="V18" s="207"/>
    </row>
    <row r="19" spans="1:22" ht="15" customHeight="1">
      <c r="A19" s="8">
        <v>35822</v>
      </c>
      <c r="B19" s="9">
        <v>0</v>
      </c>
      <c r="C19" s="10"/>
      <c r="D19" s="10"/>
      <c r="E19" s="10">
        <v>109150</v>
      </c>
      <c r="F19" s="9"/>
      <c r="G19" s="10"/>
      <c r="H19" s="10"/>
      <c r="I19" s="120"/>
      <c r="J19" s="120"/>
      <c r="K19" s="22">
        <v>517</v>
      </c>
      <c r="L19" s="6">
        <v>525</v>
      </c>
      <c r="M19" s="125">
        <f t="shared" si="0"/>
        <v>-1</v>
      </c>
      <c r="N19" s="7"/>
      <c r="O19" s="132"/>
      <c r="P19" s="175"/>
      <c r="V19" s="207"/>
    </row>
    <row r="20" spans="1:22" ht="15" customHeight="1">
      <c r="A20" s="8">
        <v>35823</v>
      </c>
      <c r="B20" s="9">
        <v>0</v>
      </c>
      <c r="C20" s="10"/>
      <c r="D20" s="10"/>
      <c r="E20" s="10">
        <v>109150</v>
      </c>
      <c r="F20" s="9"/>
      <c r="G20" s="10"/>
      <c r="H20" s="10"/>
      <c r="I20" s="120"/>
      <c r="J20" s="120"/>
      <c r="K20" s="22">
        <v>519</v>
      </c>
      <c r="L20" s="6">
        <v>526</v>
      </c>
      <c r="M20" s="125">
        <f t="shared" si="0"/>
        <v>2</v>
      </c>
      <c r="N20" s="7"/>
      <c r="O20" s="132"/>
      <c r="P20" s="175"/>
      <c r="V20" s="207"/>
    </row>
    <row r="21" spans="1:22" ht="15" customHeight="1">
      <c r="A21" s="8">
        <v>35824</v>
      </c>
      <c r="B21" s="9">
        <v>0</v>
      </c>
      <c r="C21" s="10"/>
      <c r="D21" s="10"/>
      <c r="E21" s="10">
        <v>108625</v>
      </c>
      <c r="F21" s="9"/>
      <c r="G21" s="10"/>
      <c r="H21" s="10"/>
      <c r="I21" s="120"/>
      <c r="J21" s="120"/>
      <c r="K21" s="22">
        <v>517.5</v>
      </c>
      <c r="L21" s="6">
        <v>527</v>
      </c>
      <c r="M21" s="125">
        <f t="shared" si="0"/>
        <v>-1.5</v>
      </c>
      <c r="N21" s="7"/>
      <c r="O21" s="132"/>
      <c r="P21" s="175"/>
      <c r="V21" s="207"/>
    </row>
    <row r="22" spans="1:22" ht="15" customHeight="1">
      <c r="A22" s="8">
        <v>35825</v>
      </c>
      <c r="B22" s="9">
        <v>0</v>
      </c>
      <c r="C22" s="10"/>
      <c r="D22" s="10"/>
      <c r="E22" s="10">
        <v>108625</v>
      </c>
      <c r="F22" s="9"/>
      <c r="G22" s="10"/>
      <c r="H22" s="10"/>
      <c r="I22" s="120"/>
      <c r="J22" s="120"/>
      <c r="K22" s="22">
        <v>515.5</v>
      </c>
      <c r="L22" s="6">
        <v>525</v>
      </c>
      <c r="M22" s="125">
        <f t="shared" si="0"/>
        <v>-2</v>
      </c>
      <c r="N22" s="7"/>
      <c r="O22" s="132"/>
      <c r="P22" s="175"/>
      <c r="V22" s="207"/>
    </row>
    <row r="23" spans="1:22" ht="15" customHeight="1">
      <c r="A23" s="8">
        <v>35828</v>
      </c>
      <c r="B23" s="9">
        <v>0</v>
      </c>
      <c r="C23" s="10"/>
      <c r="D23" s="10"/>
      <c r="E23" s="10">
        <v>108550</v>
      </c>
      <c r="F23" s="9"/>
      <c r="G23" s="10"/>
      <c r="H23" s="10"/>
      <c r="I23" s="120"/>
      <c r="J23" s="120"/>
      <c r="K23" s="22">
        <v>524.5</v>
      </c>
      <c r="L23" s="6">
        <v>537</v>
      </c>
      <c r="M23" s="125">
        <f t="shared" si="0"/>
        <v>9</v>
      </c>
      <c r="N23" s="7"/>
      <c r="O23" s="132"/>
      <c r="P23" s="175"/>
      <c r="V23" s="207"/>
    </row>
    <row r="24" spans="1:22" ht="15" customHeight="1">
      <c r="A24" s="8">
        <v>35829</v>
      </c>
      <c r="B24" s="9">
        <v>0</v>
      </c>
      <c r="C24" s="10"/>
      <c r="D24" s="10"/>
      <c r="E24" s="10">
        <v>108550</v>
      </c>
      <c r="F24" s="9"/>
      <c r="G24" s="10"/>
      <c r="H24" s="10"/>
      <c r="I24" s="120"/>
      <c r="J24" s="120"/>
      <c r="K24" s="22">
        <v>516.5</v>
      </c>
      <c r="L24" s="6">
        <v>528</v>
      </c>
      <c r="M24" s="125">
        <f t="shared" si="0"/>
        <v>-8</v>
      </c>
      <c r="N24" s="7"/>
      <c r="O24" s="132"/>
      <c r="P24" s="175"/>
      <c r="V24" s="207"/>
    </row>
    <row r="25" spans="1:22" ht="15" customHeight="1">
      <c r="A25" s="8">
        <v>35830</v>
      </c>
      <c r="B25" s="9">
        <v>0</v>
      </c>
      <c r="C25" s="10"/>
      <c r="D25" s="10"/>
      <c r="E25" s="10">
        <v>108500</v>
      </c>
      <c r="F25" s="9"/>
      <c r="G25" s="10"/>
      <c r="H25" s="10"/>
      <c r="I25" s="120"/>
      <c r="J25" s="120"/>
      <c r="K25" s="22">
        <v>520.5</v>
      </c>
      <c r="L25" s="6">
        <v>533</v>
      </c>
      <c r="M25" s="125">
        <f t="shared" si="0"/>
        <v>4</v>
      </c>
      <c r="N25" s="7"/>
      <c r="O25" s="132"/>
      <c r="P25" s="175"/>
      <c r="V25" s="207"/>
    </row>
    <row r="26" spans="1:22" ht="15" customHeight="1">
      <c r="A26" s="8">
        <v>35831</v>
      </c>
      <c r="B26" s="9">
        <v>0</v>
      </c>
      <c r="C26" s="10"/>
      <c r="D26" s="10"/>
      <c r="E26" s="10">
        <v>108500</v>
      </c>
      <c r="F26" s="9"/>
      <c r="G26" s="10"/>
      <c r="H26" s="10"/>
      <c r="I26" s="120"/>
      <c r="J26" s="120"/>
      <c r="K26" s="22">
        <v>530</v>
      </c>
      <c r="L26" s="6">
        <v>540.5</v>
      </c>
      <c r="M26" s="125">
        <f t="shared" si="0"/>
        <v>9.5</v>
      </c>
      <c r="N26" s="7"/>
      <c r="O26" s="132"/>
      <c r="P26" s="175"/>
      <c r="V26" s="207"/>
    </row>
    <row r="27" spans="1:22" ht="15" customHeight="1">
      <c r="A27" s="8">
        <v>35832</v>
      </c>
      <c r="B27" s="9">
        <v>0</v>
      </c>
      <c r="C27" s="10"/>
      <c r="D27" s="10"/>
      <c r="E27" s="10">
        <v>108400</v>
      </c>
      <c r="F27" s="9"/>
      <c r="G27" s="10"/>
      <c r="H27" s="10"/>
      <c r="I27" s="120"/>
      <c r="J27" s="120"/>
      <c r="K27" s="22">
        <v>530</v>
      </c>
      <c r="L27" s="6">
        <v>542</v>
      </c>
      <c r="M27" s="125">
        <f t="shared" si="0"/>
        <v>0</v>
      </c>
      <c r="N27" s="7"/>
      <c r="O27" s="132"/>
      <c r="P27" s="175"/>
      <c r="V27" s="207"/>
    </row>
    <row r="28" spans="1:22" ht="15" customHeight="1">
      <c r="A28" s="8">
        <v>35835</v>
      </c>
      <c r="B28" s="9">
        <v>0</v>
      </c>
      <c r="C28" s="10"/>
      <c r="D28" s="10"/>
      <c r="E28" s="10">
        <v>108250</v>
      </c>
      <c r="F28" s="9"/>
      <c r="G28" s="10"/>
      <c r="H28" s="10"/>
      <c r="I28" s="120"/>
      <c r="J28" s="120"/>
      <c r="K28" s="22">
        <v>521.5</v>
      </c>
      <c r="L28" s="6">
        <v>534</v>
      </c>
      <c r="M28" s="125">
        <f t="shared" si="0"/>
        <v>-8.5</v>
      </c>
      <c r="N28" s="7"/>
      <c r="O28" s="132"/>
      <c r="P28" s="175"/>
      <c r="V28" s="207"/>
    </row>
    <row r="29" spans="1:22" ht="15" customHeight="1">
      <c r="A29" s="8">
        <v>35836</v>
      </c>
      <c r="B29" s="9">
        <v>0</v>
      </c>
      <c r="C29" s="10"/>
      <c r="D29" s="10"/>
      <c r="E29" s="10">
        <v>108100</v>
      </c>
      <c r="F29" s="9"/>
      <c r="G29" s="10"/>
      <c r="H29" s="10"/>
      <c r="I29" s="120"/>
      <c r="J29" s="120"/>
      <c r="K29" s="22">
        <v>514</v>
      </c>
      <c r="L29" s="6">
        <v>526.5</v>
      </c>
      <c r="M29" s="125">
        <f t="shared" si="0"/>
        <v>-7.5</v>
      </c>
      <c r="N29" s="7"/>
      <c r="O29" s="132"/>
      <c r="P29" s="175"/>
      <c r="V29" s="207"/>
    </row>
    <row r="30" spans="1:22" ht="15" customHeight="1">
      <c r="A30" s="8">
        <v>35837</v>
      </c>
      <c r="B30" s="9">
        <v>0</v>
      </c>
      <c r="C30" s="10"/>
      <c r="D30" s="10"/>
      <c r="E30" s="10">
        <v>107950</v>
      </c>
      <c r="F30" s="9"/>
      <c r="G30" s="10"/>
      <c r="H30" s="10"/>
      <c r="I30" s="120"/>
      <c r="J30" s="120"/>
      <c r="K30" s="22">
        <v>512.5</v>
      </c>
      <c r="L30" s="6">
        <v>527</v>
      </c>
      <c r="M30" s="125">
        <f t="shared" si="0"/>
        <v>-1.5</v>
      </c>
      <c r="N30" s="7"/>
      <c r="O30" s="132"/>
      <c r="P30" s="175"/>
      <c r="V30" s="207"/>
    </row>
    <row r="31" spans="1:22" ht="15" customHeight="1">
      <c r="A31" s="8">
        <v>35838</v>
      </c>
      <c r="B31" s="9">
        <v>0</v>
      </c>
      <c r="C31" s="10"/>
      <c r="D31" s="10"/>
      <c r="E31" s="10">
        <v>107825</v>
      </c>
      <c r="F31" s="9"/>
      <c r="G31" s="10"/>
      <c r="H31" s="10"/>
      <c r="I31" s="120"/>
      <c r="J31" s="120"/>
      <c r="K31" s="22">
        <v>508</v>
      </c>
      <c r="L31" s="6">
        <v>521</v>
      </c>
      <c r="M31" s="125">
        <f t="shared" si="0"/>
        <v>-4.5</v>
      </c>
      <c r="N31" s="7"/>
      <c r="O31" s="132"/>
      <c r="P31" s="175"/>
      <c r="V31" s="207"/>
    </row>
    <row r="32" spans="1:22" ht="15" customHeight="1">
      <c r="A32" s="8">
        <v>35839</v>
      </c>
      <c r="B32" s="9">
        <v>0</v>
      </c>
      <c r="C32" s="10"/>
      <c r="D32" s="10"/>
      <c r="E32" s="10">
        <v>107925</v>
      </c>
      <c r="F32" s="9"/>
      <c r="G32" s="10"/>
      <c r="H32" s="10"/>
      <c r="I32" s="120"/>
      <c r="J32" s="120"/>
      <c r="K32" s="22">
        <v>507.5</v>
      </c>
      <c r="L32" s="6">
        <v>523</v>
      </c>
      <c r="M32" s="125">
        <f t="shared" si="0"/>
        <v>-0.5</v>
      </c>
      <c r="N32" s="7"/>
      <c r="O32" s="132"/>
      <c r="P32" s="175"/>
      <c r="V32" s="207"/>
    </row>
    <row r="33" spans="1:22" ht="15" customHeight="1">
      <c r="A33" s="8">
        <v>35842</v>
      </c>
      <c r="B33" s="9">
        <v>0</v>
      </c>
      <c r="C33" s="10"/>
      <c r="D33" s="10"/>
      <c r="E33" s="10">
        <v>107700</v>
      </c>
      <c r="F33" s="9"/>
      <c r="G33" s="10"/>
      <c r="H33" s="10"/>
      <c r="I33" s="120"/>
      <c r="J33" s="120"/>
      <c r="K33" s="22">
        <v>503</v>
      </c>
      <c r="L33" s="6">
        <v>518.5</v>
      </c>
      <c r="M33" s="125">
        <f t="shared" si="0"/>
        <v>-4.5</v>
      </c>
      <c r="N33" s="7"/>
      <c r="O33" s="132"/>
      <c r="P33" s="175"/>
      <c r="V33" s="207"/>
    </row>
    <row r="34" spans="1:22" ht="15" customHeight="1">
      <c r="A34" s="8">
        <v>35843</v>
      </c>
      <c r="B34" s="9">
        <v>0</v>
      </c>
      <c r="C34" s="10"/>
      <c r="D34" s="10"/>
      <c r="E34" s="10">
        <v>107575</v>
      </c>
      <c r="F34" s="9"/>
      <c r="G34" s="10"/>
      <c r="H34" s="10"/>
      <c r="I34" s="120"/>
      <c r="J34" s="120"/>
      <c r="K34" s="22">
        <v>503.5</v>
      </c>
      <c r="L34" s="6">
        <v>518</v>
      </c>
      <c r="M34" s="125">
        <f t="shared" si="0"/>
        <v>0.5</v>
      </c>
      <c r="N34" s="7"/>
      <c r="O34" s="132"/>
      <c r="P34" s="175"/>
      <c r="V34" s="207"/>
    </row>
    <row r="35" spans="1:22" ht="15" customHeight="1">
      <c r="A35" s="8">
        <v>35844</v>
      </c>
      <c r="B35" s="9">
        <v>0</v>
      </c>
      <c r="C35" s="10"/>
      <c r="D35" s="10"/>
      <c r="E35" s="10">
        <v>107925</v>
      </c>
      <c r="F35" s="9"/>
      <c r="G35" s="10"/>
      <c r="H35" s="10"/>
      <c r="I35" s="120"/>
      <c r="J35" s="120"/>
      <c r="K35" s="22">
        <v>506</v>
      </c>
      <c r="L35" s="6">
        <v>523</v>
      </c>
      <c r="M35" s="125">
        <f t="shared" si="0"/>
        <v>2.5</v>
      </c>
      <c r="N35" s="7"/>
      <c r="O35" s="132"/>
      <c r="P35" s="175"/>
      <c r="V35" s="207"/>
    </row>
    <row r="36" spans="1:22" ht="15" customHeight="1">
      <c r="A36" s="8">
        <v>35845</v>
      </c>
      <c r="B36" s="9">
        <v>0</v>
      </c>
      <c r="C36" s="10"/>
      <c r="D36" s="10"/>
      <c r="E36" s="10">
        <v>107900</v>
      </c>
      <c r="F36" s="9"/>
      <c r="G36" s="10"/>
      <c r="H36" s="10"/>
      <c r="I36" s="120"/>
      <c r="J36" s="120"/>
      <c r="K36" s="22">
        <v>508</v>
      </c>
      <c r="L36" s="6">
        <v>523</v>
      </c>
      <c r="M36" s="125">
        <f t="shared" si="0"/>
        <v>2</v>
      </c>
      <c r="N36" s="7"/>
      <c r="O36" s="132"/>
      <c r="P36" s="175"/>
      <c r="V36" s="207"/>
    </row>
    <row r="37" spans="1:22" ht="15" customHeight="1">
      <c r="A37" s="8">
        <v>35846</v>
      </c>
      <c r="B37" s="9">
        <v>0</v>
      </c>
      <c r="C37" s="10"/>
      <c r="D37" s="10"/>
      <c r="E37" s="10">
        <v>107825</v>
      </c>
      <c r="F37" s="9"/>
      <c r="G37" s="10"/>
      <c r="H37" s="10"/>
      <c r="I37" s="120"/>
      <c r="J37" s="120"/>
      <c r="K37" s="22">
        <v>505.5</v>
      </c>
      <c r="L37" s="6">
        <v>519.5</v>
      </c>
      <c r="M37" s="125">
        <f t="shared" si="0"/>
        <v>-2.5</v>
      </c>
      <c r="N37" s="7"/>
      <c r="O37" s="132"/>
      <c r="P37" s="175"/>
      <c r="V37" s="207"/>
    </row>
    <row r="38" spans="1:22" ht="15" customHeight="1">
      <c r="A38" s="8">
        <v>35849</v>
      </c>
      <c r="B38" s="9">
        <v>0</v>
      </c>
      <c r="C38" s="10"/>
      <c r="D38" s="10"/>
      <c r="E38" s="10">
        <v>107675</v>
      </c>
      <c r="F38" s="9"/>
      <c r="G38" s="10"/>
      <c r="H38" s="10"/>
      <c r="I38" s="120"/>
      <c r="J38" s="120"/>
      <c r="K38" s="22">
        <v>498.5</v>
      </c>
      <c r="L38" s="6">
        <v>514</v>
      </c>
      <c r="M38" s="125">
        <f t="shared" si="0"/>
        <v>-7</v>
      </c>
      <c r="N38" s="7"/>
      <c r="O38" s="132"/>
      <c r="P38" s="175"/>
      <c r="V38" s="207"/>
    </row>
    <row r="39" spans="1:22" ht="15" customHeight="1">
      <c r="A39" s="8">
        <v>35850</v>
      </c>
      <c r="B39" s="9">
        <v>0</v>
      </c>
      <c r="C39" s="10"/>
      <c r="D39" s="10"/>
      <c r="E39" s="10">
        <v>107550</v>
      </c>
      <c r="F39" s="9"/>
      <c r="G39" s="10"/>
      <c r="H39" s="10"/>
      <c r="I39" s="120"/>
      <c r="J39" s="120"/>
      <c r="K39" s="22">
        <v>504</v>
      </c>
      <c r="L39" s="6">
        <v>519</v>
      </c>
      <c r="M39" s="125">
        <f t="shared" si="0"/>
        <v>5.5</v>
      </c>
      <c r="N39" s="7"/>
      <c r="O39" s="132"/>
      <c r="P39" s="175"/>
      <c r="V39" s="207"/>
    </row>
    <row r="40" spans="1:22" ht="15" customHeight="1">
      <c r="A40" s="8">
        <v>35851</v>
      </c>
      <c r="B40" s="9">
        <v>0</v>
      </c>
      <c r="C40" s="10"/>
      <c r="D40" s="10"/>
      <c r="E40" s="10">
        <v>107325</v>
      </c>
      <c r="F40" s="9"/>
      <c r="G40" s="10"/>
      <c r="H40" s="10"/>
      <c r="I40" s="120"/>
      <c r="J40" s="120"/>
      <c r="K40" s="22">
        <v>530.5</v>
      </c>
      <c r="L40" s="6">
        <v>540</v>
      </c>
      <c r="M40" s="125">
        <f t="shared" si="0"/>
        <v>26.5</v>
      </c>
      <c r="N40" s="7"/>
      <c r="O40" s="132"/>
      <c r="P40" s="175"/>
      <c r="V40" s="207"/>
    </row>
    <row r="41" spans="1:22" ht="15" customHeight="1">
      <c r="A41" s="8">
        <v>35852</v>
      </c>
      <c r="B41" s="9">
        <v>0</v>
      </c>
      <c r="C41" s="10"/>
      <c r="D41" s="10"/>
      <c r="E41" s="10">
        <v>107000</v>
      </c>
      <c r="F41" s="9"/>
      <c r="G41" s="10"/>
      <c r="H41" s="10"/>
      <c r="I41" s="120"/>
      <c r="J41" s="120"/>
      <c r="K41" s="22">
        <v>536</v>
      </c>
      <c r="L41" s="6">
        <v>543</v>
      </c>
      <c r="M41" s="125">
        <f t="shared" si="0"/>
        <v>5.5</v>
      </c>
      <c r="N41" s="7"/>
      <c r="O41" s="132"/>
      <c r="P41" s="175"/>
      <c r="V41" s="207"/>
    </row>
    <row r="42" spans="1:22" ht="15" customHeight="1">
      <c r="A42" s="8">
        <v>35853</v>
      </c>
      <c r="B42" s="9">
        <v>0</v>
      </c>
      <c r="C42" s="10"/>
      <c r="D42" s="10"/>
      <c r="E42" s="10">
        <v>106575</v>
      </c>
      <c r="F42" s="9"/>
      <c r="G42" s="10"/>
      <c r="H42" s="10"/>
      <c r="I42" s="120"/>
      <c r="J42" s="120"/>
      <c r="K42" s="22">
        <v>547.5</v>
      </c>
      <c r="L42" s="6">
        <v>552.5</v>
      </c>
      <c r="M42" s="125">
        <f t="shared" si="0"/>
        <v>11.5</v>
      </c>
      <c r="N42" s="7"/>
      <c r="O42" s="132"/>
      <c r="P42" s="175"/>
      <c r="V42" s="207"/>
    </row>
    <row r="43" spans="1:22" ht="15" customHeight="1">
      <c r="A43" s="8">
        <v>35856</v>
      </c>
      <c r="B43" s="9">
        <v>0</v>
      </c>
      <c r="C43" s="10"/>
      <c r="D43" s="10"/>
      <c r="E43" s="10">
        <v>106400</v>
      </c>
      <c r="F43" s="9"/>
      <c r="G43" s="10"/>
      <c r="H43" s="10"/>
      <c r="I43" s="120"/>
      <c r="J43" s="120"/>
      <c r="K43" s="22">
        <v>539.5</v>
      </c>
      <c r="L43" s="6">
        <v>545.5</v>
      </c>
      <c r="M43" s="125">
        <f t="shared" si="0"/>
        <v>-8</v>
      </c>
      <c r="N43" s="7"/>
      <c r="O43" s="132"/>
      <c r="P43" s="175"/>
      <c r="V43" s="207"/>
    </row>
    <row r="44" spans="1:22" ht="15" customHeight="1">
      <c r="A44" s="8">
        <v>35857</v>
      </c>
      <c r="B44" s="9">
        <v>0</v>
      </c>
      <c r="C44" s="10"/>
      <c r="D44" s="10"/>
      <c r="E44" s="10">
        <v>106900</v>
      </c>
      <c r="F44" s="9"/>
      <c r="G44" s="10"/>
      <c r="H44" s="10"/>
      <c r="I44" s="120"/>
      <c r="J44" s="120"/>
      <c r="K44" s="22">
        <v>547.5</v>
      </c>
      <c r="L44" s="6">
        <v>554.5</v>
      </c>
      <c r="M44" s="125">
        <f t="shared" si="0"/>
        <v>8</v>
      </c>
      <c r="N44" s="7"/>
      <c r="O44" s="132"/>
      <c r="P44" s="175"/>
      <c r="V44" s="207"/>
    </row>
    <row r="45" spans="1:22" ht="15" customHeight="1">
      <c r="A45" s="8">
        <v>35858</v>
      </c>
      <c r="B45" s="9">
        <v>0</v>
      </c>
      <c r="C45" s="10"/>
      <c r="D45" s="10"/>
      <c r="E45" s="10">
        <v>106025</v>
      </c>
      <c r="F45" s="9"/>
      <c r="G45" s="10"/>
      <c r="H45" s="10"/>
      <c r="I45" s="120"/>
      <c r="J45" s="120"/>
      <c r="K45" s="22">
        <v>533</v>
      </c>
      <c r="L45" s="6">
        <v>539</v>
      </c>
      <c r="M45" s="125">
        <f t="shared" si="0"/>
        <v>-14.5</v>
      </c>
      <c r="N45" s="7"/>
      <c r="O45" s="132"/>
      <c r="P45" s="175"/>
      <c r="V45" s="207"/>
    </row>
    <row r="46" spans="1:22" ht="15" customHeight="1">
      <c r="A46" s="8">
        <v>35859</v>
      </c>
      <c r="B46" s="9">
        <v>0</v>
      </c>
      <c r="C46" s="10"/>
      <c r="D46" s="10"/>
      <c r="E46" s="10">
        <v>105925</v>
      </c>
      <c r="F46" s="9"/>
      <c r="G46" s="10"/>
      <c r="H46" s="10"/>
      <c r="I46" s="120"/>
      <c r="J46" s="120"/>
      <c r="K46" s="22">
        <v>570.5</v>
      </c>
      <c r="L46" s="6">
        <v>566</v>
      </c>
      <c r="M46" s="125">
        <f t="shared" si="0"/>
        <v>37.5</v>
      </c>
      <c r="N46" s="7"/>
      <c r="O46" s="132"/>
      <c r="P46" s="175"/>
      <c r="V46" s="207"/>
    </row>
    <row r="47" spans="1:22" ht="15" customHeight="1">
      <c r="A47" s="8">
        <v>35860</v>
      </c>
      <c r="B47" s="9">
        <v>0</v>
      </c>
      <c r="C47" s="10"/>
      <c r="D47" s="10"/>
      <c r="E47" s="10">
        <v>105150</v>
      </c>
      <c r="F47" s="9"/>
      <c r="G47" s="10"/>
      <c r="H47" s="10"/>
      <c r="I47" s="120"/>
      <c r="J47" s="120"/>
      <c r="K47" s="22">
        <v>551</v>
      </c>
      <c r="L47" s="6">
        <v>550</v>
      </c>
      <c r="M47" s="125">
        <f t="shared" si="0"/>
        <v>-19.5</v>
      </c>
      <c r="N47" s="7"/>
      <c r="O47" s="132"/>
      <c r="P47" s="175"/>
      <c r="V47" s="207"/>
    </row>
    <row r="48" spans="1:22" ht="15" customHeight="1">
      <c r="A48" s="8">
        <v>35863</v>
      </c>
      <c r="B48" s="9">
        <v>0</v>
      </c>
      <c r="C48" s="10"/>
      <c r="D48" s="10"/>
      <c r="E48" s="10">
        <v>104000</v>
      </c>
      <c r="F48" s="9"/>
      <c r="G48" s="10"/>
      <c r="H48" s="10"/>
      <c r="I48" s="120"/>
      <c r="J48" s="120"/>
      <c r="K48" s="22">
        <v>558.5</v>
      </c>
      <c r="L48" s="6">
        <v>558.5</v>
      </c>
      <c r="M48" s="125">
        <f t="shared" si="0"/>
        <v>7.5</v>
      </c>
      <c r="N48" s="7"/>
      <c r="O48" s="132"/>
      <c r="P48" s="175"/>
      <c r="V48" s="207"/>
    </row>
    <row r="49" spans="1:22" ht="15" customHeight="1">
      <c r="A49" s="8">
        <v>35864</v>
      </c>
      <c r="B49" s="9">
        <v>0</v>
      </c>
      <c r="C49" s="10"/>
      <c r="D49" s="10"/>
      <c r="E49" s="10">
        <v>103700</v>
      </c>
      <c r="F49" s="9"/>
      <c r="G49" s="10"/>
      <c r="H49" s="10"/>
      <c r="I49" s="120"/>
      <c r="J49" s="120"/>
      <c r="K49" s="22">
        <v>550.5</v>
      </c>
      <c r="L49" s="6">
        <v>553</v>
      </c>
      <c r="M49" s="125">
        <f t="shared" si="0"/>
        <v>-8</v>
      </c>
      <c r="N49" s="7"/>
      <c r="O49" s="132"/>
      <c r="P49" s="175"/>
      <c r="V49" s="207"/>
    </row>
    <row r="50" spans="1:22" ht="15" customHeight="1">
      <c r="A50" s="8">
        <v>35865</v>
      </c>
      <c r="B50" s="9">
        <v>0</v>
      </c>
      <c r="C50" s="10"/>
      <c r="D50" s="10"/>
      <c r="E50" s="10">
        <v>103450</v>
      </c>
      <c r="F50" s="9"/>
      <c r="G50" s="10"/>
      <c r="H50" s="10"/>
      <c r="I50" s="120"/>
      <c r="J50" s="120"/>
      <c r="K50" s="22">
        <v>549</v>
      </c>
      <c r="L50" s="6">
        <v>554</v>
      </c>
      <c r="M50" s="125">
        <f t="shared" si="0"/>
        <v>-1.5</v>
      </c>
      <c r="N50" s="7"/>
      <c r="O50" s="132"/>
      <c r="P50" s="175"/>
      <c r="V50" s="207"/>
    </row>
    <row r="51" spans="1:22" ht="15" customHeight="1">
      <c r="A51" s="8">
        <v>35866</v>
      </c>
      <c r="B51" s="9">
        <v>0</v>
      </c>
      <c r="C51" s="10"/>
      <c r="D51" s="10"/>
      <c r="E51" s="10">
        <v>103250</v>
      </c>
      <c r="F51" s="9"/>
      <c r="G51" s="10"/>
      <c r="H51" s="10"/>
      <c r="I51" s="120"/>
      <c r="J51" s="120"/>
      <c r="K51" s="22">
        <v>543</v>
      </c>
      <c r="L51" s="6">
        <v>548</v>
      </c>
      <c r="M51" s="125">
        <f t="shared" si="0"/>
        <v>-6</v>
      </c>
      <c r="N51" s="7"/>
      <c r="O51" s="132"/>
      <c r="P51" s="175"/>
      <c r="V51" s="207"/>
    </row>
    <row r="52" spans="1:22" ht="15" customHeight="1">
      <c r="A52" s="8">
        <v>35867</v>
      </c>
      <c r="B52" s="9">
        <v>0</v>
      </c>
      <c r="C52" s="10"/>
      <c r="D52" s="10"/>
      <c r="E52" s="10">
        <v>102925</v>
      </c>
      <c r="F52" s="9"/>
      <c r="G52" s="10"/>
      <c r="H52" s="10"/>
      <c r="I52" s="120"/>
      <c r="J52" s="120"/>
      <c r="K52" s="22">
        <v>566</v>
      </c>
      <c r="L52" s="6">
        <v>559</v>
      </c>
      <c r="M52" s="125">
        <f t="shared" si="0"/>
        <v>23</v>
      </c>
      <c r="N52" s="7"/>
      <c r="O52" s="132"/>
      <c r="P52" s="175"/>
      <c r="V52" s="207"/>
    </row>
    <row r="53" spans="1:22" ht="15" customHeight="1">
      <c r="A53" s="8">
        <v>35870</v>
      </c>
      <c r="B53" s="9">
        <v>0</v>
      </c>
      <c r="C53" s="10"/>
      <c r="D53" s="10"/>
      <c r="E53" s="10">
        <v>104175</v>
      </c>
      <c r="F53" s="9"/>
      <c r="G53" s="10"/>
      <c r="H53" s="10"/>
      <c r="I53" s="120"/>
      <c r="J53" s="120"/>
      <c r="K53" s="22">
        <v>556</v>
      </c>
      <c r="L53" s="6">
        <v>554</v>
      </c>
      <c r="M53" s="125">
        <f t="shared" si="0"/>
        <v>-10</v>
      </c>
      <c r="N53" s="7"/>
      <c r="O53" s="132"/>
      <c r="P53" s="175"/>
      <c r="V53" s="207"/>
    </row>
    <row r="54" spans="1:22" ht="15" customHeight="1">
      <c r="A54" s="8">
        <v>35871</v>
      </c>
      <c r="B54" s="9">
        <v>0</v>
      </c>
      <c r="C54" s="10"/>
      <c r="D54" s="10"/>
      <c r="E54" s="10">
        <v>103700</v>
      </c>
      <c r="F54" s="9"/>
      <c r="G54" s="10"/>
      <c r="H54" s="10"/>
      <c r="I54" s="120"/>
      <c r="J54" s="120"/>
      <c r="K54" s="22">
        <v>561</v>
      </c>
      <c r="L54" s="6">
        <v>559</v>
      </c>
      <c r="M54" s="125">
        <f t="shared" si="0"/>
        <v>5</v>
      </c>
      <c r="N54" s="7"/>
      <c r="O54" s="132"/>
      <c r="P54" s="175"/>
      <c r="V54" s="207"/>
    </row>
    <row r="55" spans="1:22" ht="15" customHeight="1">
      <c r="A55" s="8">
        <v>35872</v>
      </c>
      <c r="B55" s="9">
        <v>0</v>
      </c>
      <c r="C55" s="10"/>
      <c r="D55" s="10"/>
      <c r="E55" s="10">
        <v>102975</v>
      </c>
      <c r="F55" s="9"/>
      <c r="G55" s="10"/>
      <c r="H55" s="10"/>
      <c r="I55" s="120"/>
      <c r="J55" s="120"/>
      <c r="K55" s="22">
        <v>552</v>
      </c>
      <c r="L55" s="6">
        <v>554</v>
      </c>
      <c r="M55" s="125">
        <f t="shared" si="0"/>
        <v>-9</v>
      </c>
      <c r="N55" s="7"/>
      <c r="O55" s="132"/>
      <c r="P55" s="175"/>
      <c r="V55" s="207"/>
    </row>
    <row r="56" spans="1:22" ht="15" customHeight="1">
      <c r="A56" s="8">
        <v>35873</v>
      </c>
      <c r="B56" s="9">
        <v>0</v>
      </c>
      <c r="C56" s="10"/>
      <c r="D56" s="10"/>
      <c r="E56" s="10">
        <v>102275</v>
      </c>
      <c r="F56" s="9"/>
      <c r="G56" s="10"/>
      <c r="H56" s="10"/>
      <c r="I56" s="120"/>
      <c r="J56" s="120"/>
      <c r="K56" s="22">
        <v>566</v>
      </c>
      <c r="L56" s="6">
        <v>562</v>
      </c>
      <c r="M56" s="125">
        <f t="shared" si="0"/>
        <v>14</v>
      </c>
      <c r="N56" s="7"/>
      <c r="O56" s="132"/>
      <c r="P56" s="175"/>
      <c r="V56" s="207"/>
    </row>
    <row r="57" spans="1:22" ht="15" customHeight="1">
      <c r="A57" s="8">
        <v>35874</v>
      </c>
      <c r="B57" s="9">
        <v>0</v>
      </c>
      <c r="C57" s="10"/>
      <c r="D57" s="10"/>
      <c r="E57" s="10">
        <v>99700</v>
      </c>
      <c r="F57" s="9"/>
      <c r="G57" s="10"/>
      <c r="H57" s="10"/>
      <c r="I57" s="120"/>
      <c r="J57" s="120"/>
      <c r="K57" s="22">
        <v>558</v>
      </c>
      <c r="L57" s="6">
        <v>557</v>
      </c>
      <c r="M57" s="125">
        <f t="shared" si="0"/>
        <v>-8</v>
      </c>
      <c r="N57" s="7"/>
      <c r="O57" s="132"/>
      <c r="P57" s="175"/>
      <c r="V57" s="207"/>
    </row>
    <row r="58" spans="1:22" ht="15" customHeight="1">
      <c r="A58" s="8">
        <v>35877</v>
      </c>
      <c r="B58" s="9">
        <v>0</v>
      </c>
      <c r="C58" s="10"/>
      <c r="D58" s="10"/>
      <c r="E58" s="10">
        <v>98900</v>
      </c>
      <c r="F58" s="9"/>
      <c r="G58" s="10"/>
      <c r="H58" s="10"/>
      <c r="I58" s="120"/>
      <c r="J58" s="120"/>
      <c r="K58" s="22">
        <v>569.5</v>
      </c>
      <c r="L58" s="6">
        <v>569</v>
      </c>
      <c r="M58" s="125">
        <f t="shared" si="0"/>
        <v>11.5</v>
      </c>
      <c r="N58" s="7"/>
      <c r="O58" s="132"/>
      <c r="P58" s="175"/>
      <c r="V58" s="207"/>
    </row>
    <row r="59" spans="1:22" ht="15" customHeight="1">
      <c r="A59" s="8">
        <v>35878</v>
      </c>
      <c r="B59" s="9">
        <v>0</v>
      </c>
      <c r="C59" s="10"/>
      <c r="D59" s="10"/>
      <c r="E59" s="10">
        <v>98100</v>
      </c>
      <c r="F59" s="9"/>
      <c r="G59" s="10"/>
      <c r="H59" s="10"/>
      <c r="I59" s="120"/>
      <c r="J59" s="120"/>
      <c r="K59" s="22">
        <v>564</v>
      </c>
      <c r="L59" s="6">
        <v>563.5</v>
      </c>
      <c r="M59" s="125">
        <f t="shared" si="0"/>
        <v>-5.5</v>
      </c>
      <c r="N59" s="7"/>
      <c r="O59" s="132"/>
      <c r="P59" s="175"/>
      <c r="V59" s="207"/>
    </row>
    <row r="60" spans="1:22" ht="15" customHeight="1">
      <c r="A60" s="8">
        <v>35879</v>
      </c>
      <c r="B60" s="9">
        <v>0</v>
      </c>
      <c r="C60" s="10"/>
      <c r="D60" s="10"/>
      <c r="E60" s="10">
        <v>97500</v>
      </c>
      <c r="F60" s="9"/>
      <c r="G60" s="10"/>
      <c r="H60" s="10"/>
      <c r="I60" s="120"/>
      <c r="J60" s="120"/>
      <c r="K60" s="22">
        <v>568</v>
      </c>
      <c r="L60" s="6">
        <v>569</v>
      </c>
      <c r="M60" s="125">
        <f t="shared" si="0"/>
        <v>4</v>
      </c>
      <c r="N60" s="7"/>
      <c r="O60" s="132"/>
      <c r="P60" s="175"/>
      <c r="V60" s="207"/>
    </row>
    <row r="61" spans="1:22" ht="15" customHeight="1">
      <c r="A61" s="8">
        <v>35880</v>
      </c>
      <c r="B61" s="9">
        <v>0</v>
      </c>
      <c r="C61" s="10"/>
      <c r="D61" s="10"/>
      <c r="E61" s="10">
        <v>97125</v>
      </c>
      <c r="F61" s="9"/>
      <c r="G61" s="10"/>
      <c r="H61" s="10"/>
      <c r="I61" s="120"/>
      <c r="J61" s="120"/>
      <c r="K61" s="22">
        <v>575</v>
      </c>
      <c r="L61" s="6">
        <v>575</v>
      </c>
      <c r="M61" s="125">
        <f t="shared" si="0"/>
        <v>7</v>
      </c>
      <c r="N61" s="7"/>
      <c r="O61" s="132"/>
      <c r="P61" s="175"/>
      <c r="V61" s="207"/>
    </row>
    <row r="62" spans="1:22" ht="15" customHeight="1">
      <c r="A62" s="8">
        <v>35881</v>
      </c>
      <c r="B62" s="9">
        <v>0</v>
      </c>
      <c r="C62" s="10"/>
      <c r="D62" s="10"/>
      <c r="E62" s="10">
        <v>96425</v>
      </c>
      <c r="F62" s="9"/>
      <c r="G62" s="10"/>
      <c r="H62" s="10"/>
      <c r="I62" s="120"/>
      <c r="J62" s="120"/>
      <c r="K62" s="22">
        <v>584</v>
      </c>
      <c r="L62" s="6">
        <v>580.5</v>
      </c>
      <c r="M62" s="125">
        <f t="shared" si="0"/>
        <v>9</v>
      </c>
      <c r="N62" s="7"/>
      <c r="O62" s="132"/>
      <c r="P62" s="175"/>
      <c r="V62" s="207"/>
    </row>
    <row r="63" spans="1:22" ht="15" customHeight="1">
      <c r="A63" s="8">
        <v>35884</v>
      </c>
      <c r="B63" s="9">
        <v>0</v>
      </c>
      <c r="C63" s="10"/>
      <c r="D63" s="10"/>
      <c r="E63" s="10">
        <v>95625</v>
      </c>
      <c r="F63" s="9"/>
      <c r="G63" s="10"/>
      <c r="H63" s="10"/>
      <c r="I63" s="120"/>
      <c r="J63" s="120"/>
      <c r="K63" s="22">
        <v>577</v>
      </c>
      <c r="L63" s="6">
        <v>575.5</v>
      </c>
      <c r="M63" s="125">
        <f t="shared" si="0"/>
        <v>-7</v>
      </c>
      <c r="N63" s="7"/>
      <c r="O63" s="132"/>
      <c r="P63" s="175"/>
      <c r="V63" s="207"/>
    </row>
    <row r="64" spans="1:22" ht="15" customHeight="1">
      <c r="A64" s="8">
        <v>35885</v>
      </c>
      <c r="B64" s="9">
        <v>0</v>
      </c>
      <c r="C64" s="10"/>
      <c r="D64" s="10"/>
      <c r="E64" s="10">
        <v>95500</v>
      </c>
      <c r="F64" s="9"/>
      <c r="G64" s="10"/>
      <c r="H64" s="10"/>
      <c r="I64" s="120"/>
      <c r="J64" s="120"/>
      <c r="K64" s="22">
        <v>577</v>
      </c>
      <c r="L64" s="6">
        <v>577</v>
      </c>
      <c r="M64" s="125">
        <f t="shared" si="0"/>
        <v>0</v>
      </c>
      <c r="N64" s="7"/>
      <c r="O64" s="132"/>
      <c r="P64" s="175"/>
      <c r="V64" s="207"/>
    </row>
    <row r="65" spans="1:22" ht="15" customHeight="1">
      <c r="A65" s="8">
        <v>35886</v>
      </c>
      <c r="B65" s="9">
        <v>0</v>
      </c>
      <c r="C65" s="10"/>
      <c r="D65" s="10"/>
      <c r="E65" s="10">
        <v>93200</v>
      </c>
      <c r="F65" s="9"/>
      <c r="G65" s="10"/>
      <c r="H65" s="10"/>
      <c r="I65" s="120"/>
      <c r="J65" s="120"/>
      <c r="K65" s="22">
        <v>574.5</v>
      </c>
      <c r="L65" s="6">
        <v>575</v>
      </c>
      <c r="M65" s="125">
        <f t="shared" si="0"/>
        <v>-2.5</v>
      </c>
      <c r="N65" s="7"/>
      <c r="O65" s="132"/>
      <c r="P65" s="175"/>
      <c r="V65" s="207"/>
    </row>
    <row r="66" spans="1:22" ht="15" customHeight="1">
      <c r="A66" s="8">
        <v>35887</v>
      </c>
      <c r="B66" s="9">
        <v>0</v>
      </c>
      <c r="C66" s="10"/>
      <c r="D66" s="10"/>
      <c r="E66" s="10">
        <v>91875</v>
      </c>
      <c r="F66" s="9"/>
      <c r="G66" s="10"/>
      <c r="H66" s="10"/>
      <c r="I66" s="120"/>
      <c r="J66" s="120"/>
      <c r="K66" s="22">
        <v>574</v>
      </c>
      <c r="L66" s="6">
        <v>574</v>
      </c>
      <c r="M66" s="125">
        <f t="shared" si="0"/>
        <v>-0.5</v>
      </c>
      <c r="N66" s="7"/>
      <c r="O66" s="132"/>
      <c r="P66" s="175"/>
      <c r="V66" s="207"/>
    </row>
    <row r="67" spans="1:22" ht="15" customHeight="1">
      <c r="A67" s="8">
        <v>35888</v>
      </c>
      <c r="B67" s="9">
        <v>0</v>
      </c>
      <c r="C67" s="10"/>
      <c r="D67" s="10"/>
      <c r="E67" s="10">
        <v>90875</v>
      </c>
      <c r="F67" s="9"/>
      <c r="G67" s="10"/>
      <c r="H67" s="10"/>
      <c r="I67" s="120"/>
      <c r="J67" s="120"/>
      <c r="K67" s="22">
        <v>590</v>
      </c>
      <c r="L67" s="6">
        <v>585.5</v>
      </c>
      <c r="M67" s="125">
        <f t="shared" si="0"/>
        <v>16</v>
      </c>
      <c r="N67" s="7"/>
      <c r="O67" s="132"/>
      <c r="P67" s="175"/>
      <c r="V67" s="207"/>
    </row>
    <row r="68" spans="1:22" ht="15" customHeight="1">
      <c r="A68" s="8">
        <v>35891</v>
      </c>
      <c r="B68" s="9">
        <v>0</v>
      </c>
      <c r="C68" s="10"/>
      <c r="D68" s="10"/>
      <c r="E68" s="10">
        <v>90375</v>
      </c>
      <c r="F68" s="9"/>
      <c r="G68" s="10"/>
      <c r="H68" s="10"/>
      <c r="I68" s="120"/>
      <c r="J68" s="120"/>
      <c r="K68" s="22">
        <v>615</v>
      </c>
      <c r="L68" s="6">
        <v>599</v>
      </c>
      <c r="M68" s="125">
        <f t="shared" si="0"/>
        <v>25</v>
      </c>
      <c r="N68" s="7"/>
      <c r="O68" s="132"/>
      <c r="P68" s="175"/>
      <c r="V68" s="207"/>
    </row>
    <row r="69" spans="1:22" ht="15" customHeight="1">
      <c r="A69" s="8">
        <v>35892</v>
      </c>
      <c r="B69" s="9">
        <v>0</v>
      </c>
      <c r="C69" s="10"/>
      <c r="D69" s="10"/>
      <c r="E69" s="10">
        <v>89300</v>
      </c>
      <c r="F69" s="9"/>
      <c r="G69" s="10"/>
      <c r="H69" s="10"/>
      <c r="I69" s="120"/>
      <c r="J69" s="120"/>
      <c r="K69" s="22">
        <v>584</v>
      </c>
      <c r="L69" s="6">
        <v>587.5</v>
      </c>
      <c r="M69" s="125">
        <f t="shared" ref="M69:M132" si="1">+K69-K68</f>
        <v>-31</v>
      </c>
      <c r="N69" s="7"/>
      <c r="O69" s="132"/>
      <c r="P69" s="175"/>
      <c r="V69" s="207"/>
    </row>
    <row r="70" spans="1:22" ht="15" customHeight="1">
      <c r="A70" s="8">
        <v>35893</v>
      </c>
      <c r="B70" s="9">
        <v>0</v>
      </c>
      <c r="C70" s="10"/>
      <c r="D70" s="10"/>
      <c r="E70" s="10">
        <v>107250</v>
      </c>
      <c r="F70" s="9"/>
      <c r="G70" s="10"/>
      <c r="H70" s="10"/>
      <c r="I70" s="120"/>
      <c r="J70" s="120"/>
      <c r="K70" s="22">
        <v>581</v>
      </c>
      <c r="L70" s="6">
        <v>581</v>
      </c>
      <c r="M70" s="125">
        <f t="shared" si="1"/>
        <v>-3</v>
      </c>
      <c r="N70" s="7"/>
      <c r="O70" s="132"/>
      <c r="P70" s="175"/>
      <c r="V70" s="207"/>
    </row>
    <row r="71" spans="1:22" ht="15" customHeight="1">
      <c r="A71" s="8">
        <v>35894</v>
      </c>
      <c r="B71" s="9">
        <v>0</v>
      </c>
      <c r="C71" s="10"/>
      <c r="D71" s="10"/>
      <c r="E71" s="10">
        <v>107100</v>
      </c>
      <c r="F71" s="9"/>
      <c r="G71" s="10"/>
      <c r="H71" s="10"/>
      <c r="I71" s="120"/>
      <c r="J71" s="120"/>
      <c r="K71" s="22">
        <v>581</v>
      </c>
      <c r="L71" s="6">
        <v>582</v>
      </c>
      <c r="M71" s="125">
        <f t="shared" si="1"/>
        <v>0</v>
      </c>
      <c r="N71" s="7"/>
      <c r="O71" s="132"/>
      <c r="P71" s="175"/>
      <c r="V71" s="207"/>
    </row>
    <row r="72" spans="1:22" ht="15" customHeight="1">
      <c r="A72" s="8">
        <v>35899</v>
      </c>
      <c r="B72" s="9">
        <v>0</v>
      </c>
      <c r="C72" s="10"/>
      <c r="D72" s="10"/>
      <c r="E72" s="10">
        <v>106825</v>
      </c>
      <c r="F72" s="9"/>
      <c r="G72" s="10"/>
      <c r="H72" s="10"/>
      <c r="I72" s="120"/>
      <c r="J72" s="120"/>
      <c r="K72" s="22">
        <v>579.5</v>
      </c>
      <c r="L72" s="6">
        <v>585.5</v>
      </c>
      <c r="M72" s="125">
        <f t="shared" si="1"/>
        <v>-1.5</v>
      </c>
      <c r="N72" s="7"/>
      <c r="O72" s="132"/>
      <c r="P72" s="175"/>
      <c r="V72" s="207"/>
    </row>
    <row r="73" spans="1:22" ht="15" customHeight="1">
      <c r="A73" s="8">
        <v>35900</v>
      </c>
      <c r="B73" s="9">
        <v>0</v>
      </c>
      <c r="C73" s="10"/>
      <c r="D73" s="10"/>
      <c r="E73" s="10">
        <v>106625</v>
      </c>
      <c r="F73" s="9"/>
      <c r="G73" s="10"/>
      <c r="H73" s="10"/>
      <c r="I73" s="120"/>
      <c r="J73" s="120"/>
      <c r="K73" s="22">
        <v>574</v>
      </c>
      <c r="L73" s="6">
        <v>582.5</v>
      </c>
      <c r="M73" s="125">
        <f t="shared" si="1"/>
        <v>-5.5</v>
      </c>
      <c r="N73" s="7"/>
      <c r="O73" s="132"/>
      <c r="P73" s="175"/>
      <c r="V73" s="207"/>
    </row>
    <row r="74" spans="1:22" ht="15" customHeight="1">
      <c r="A74" s="8">
        <v>35901</v>
      </c>
      <c r="B74" s="9">
        <v>0</v>
      </c>
      <c r="C74" s="10"/>
      <c r="D74" s="10"/>
      <c r="E74" s="10">
        <v>107350</v>
      </c>
      <c r="F74" s="9"/>
      <c r="G74" s="10"/>
      <c r="H74" s="10"/>
      <c r="I74" s="120"/>
      <c r="J74" s="120"/>
      <c r="K74" s="22">
        <v>571</v>
      </c>
      <c r="L74" s="6">
        <v>577</v>
      </c>
      <c r="M74" s="125">
        <f t="shared" si="1"/>
        <v>-3</v>
      </c>
      <c r="N74" s="7"/>
      <c r="O74" s="132"/>
      <c r="P74" s="175"/>
      <c r="V74" s="207"/>
    </row>
    <row r="75" spans="1:22" ht="15" customHeight="1">
      <c r="A75" s="8">
        <v>35902</v>
      </c>
      <c r="B75" s="9">
        <v>0</v>
      </c>
      <c r="C75" s="10"/>
      <c r="D75" s="10"/>
      <c r="E75" s="10">
        <v>107125</v>
      </c>
      <c r="F75" s="9"/>
      <c r="G75" s="10"/>
      <c r="H75" s="10"/>
      <c r="I75" s="120"/>
      <c r="J75" s="120"/>
      <c r="K75" s="22">
        <v>572</v>
      </c>
      <c r="L75" s="6">
        <v>578</v>
      </c>
      <c r="M75" s="125">
        <f t="shared" si="1"/>
        <v>1</v>
      </c>
      <c r="N75" s="7"/>
      <c r="O75" s="132"/>
      <c r="P75" s="175"/>
      <c r="V75" s="207"/>
    </row>
    <row r="76" spans="1:22" ht="15" customHeight="1">
      <c r="A76" s="8">
        <v>35905</v>
      </c>
      <c r="B76" s="9">
        <v>0</v>
      </c>
      <c r="C76" s="10"/>
      <c r="D76" s="10"/>
      <c r="E76" s="10">
        <v>107450</v>
      </c>
      <c r="F76" s="9"/>
      <c r="G76" s="10"/>
      <c r="H76" s="10"/>
      <c r="I76" s="120"/>
      <c r="J76" s="120"/>
      <c r="K76" s="22">
        <v>566</v>
      </c>
      <c r="L76" s="6">
        <v>574</v>
      </c>
      <c r="M76" s="125">
        <f t="shared" si="1"/>
        <v>-6</v>
      </c>
      <c r="N76" s="7"/>
      <c r="O76" s="132"/>
      <c r="P76" s="175"/>
      <c r="V76" s="207"/>
    </row>
    <row r="77" spans="1:22" ht="15" customHeight="1">
      <c r="A77" s="8">
        <v>35906</v>
      </c>
      <c r="B77" s="9">
        <v>0</v>
      </c>
      <c r="C77" s="10"/>
      <c r="D77" s="10"/>
      <c r="E77" s="10">
        <v>107050</v>
      </c>
      <c r="F77" s="9"/>
      <c r="G77" s="10"/>
      <c r="H77" s="10"/>
      <c r="I77" s="120"/>
      <c r="J77" s="120"/>
      <c r="K77" s="22">
        <v>564</v>
      </c>
      <c r="L77" s="6">
        <v>573.5</v>
      </c>
      <c r="M77" s="125">
        <f t="shared" si="1"/>
        <v>-2</v>
      </c>
      <c r="N77" s="7"/>
      <c r="O77" s="132"/>
      <c r="P77" s="175"/>
      <c r="V77" s="207"/>
    </row>
    <row r="78" spans="1:22" ht="15" customHeight="1">
      <c r="A78" s="8">
        <v>35907</v>
      </c>
      <c r="B78" s="9">
        <v>0</v>
      </c>
      <c r="C78" s="10"/>
      <c r="D78" s="10"/>
      <c r="E78" s="10">
        <v>107600</v>
      </c>
      <c r="F78" s="9"/>
      <c r="G78" s="10"/>
      <c r="H78" s="10"/>
      <c r="I78" s="120"/>
      <c r="J78" s="120"/>
      <c r="K78" s="22">
        <v>572</v>
      </c>
      <c r="L78" s="6">
        <v>581</v>
      </c>
      <c r="M78" s="125">
        <f t="shared" si="1"/>
        <v>8</v>
      </c>
      <c r="N78" s="7"/>
      <c r="O78" s="132"/>
      <c r="P78" s="175"/>
      <c r="V78" s="207"/>
    </row>
    <row r="79" spans="1:22" ht="15" customHeight="1">
      <c r="A79" s="8">
        <v>35908</v>
      </c>
      <c r="B79" s="9">
        <v>0</v>
      </c>
      <c r="C79" s="10"/>
      <c r="D79" s="10"/>
      <c r="E79" s="10">
        <v>107925</v>
      </c>
      <c r="F79" s="9"/>
      <c r="G79" s="10"/>
      <c r="H79" s="10"/>
      <c r="I79" s="120"/>
      <c r="J79" s="120"/>
      <c r="K79" s="22">
        <v>569.5</v>
      </c>
      <c r="L79" s="6">
        <v>579</v>
      </c>
      <c r="M79" s="125">
        <f t="shared" si="1"/>
        <v>-2.5</v>
      </c>
      <c r="N79" s="7"/>
      <c r="O79" s="132"/>
      <c r="P79" s="175"/>
      <c r="V79" s="207"/>
    </row>
    <row r="80" spans="1:22" ht="15" customHeight="1">
      <c r="A80" s="8">
        <v>35909</v>
      </c>
      <c r="B80" s="9">
        <v>0</v>
      </c>
      <c r="C80" s="10"/>
      <c r="D80" s="10"/>
      <c r="E80" s="10">
        <v>107650</v>
      </c>
      <c r="F80" s="9"/>
      <c r="G80" s="10"/>
      <c r="H80" s="10"/>
      <c r="I80" s="120"/>
      <c r="J80" s="120"/>
      <c r="K80" s="22">
        <v>567</v>
      </c>
      <c r="L80" s="6">
        <v>578</v>
      </c>
      <c r="M80" s="125">
        <f t="shared" si="1"/>
        <v>-2.5</v>
      </c>
      <c r="N80" s="7"/>
      <c r="O80" s="132"/>
      <c r="P80" s="175"/>
      <c r="V80" s="207"/>
    </row>
    <row r="81" spans="1:22" ht="15" customHeight="1">
      <c r="A81" s="8">
        <v>35912</v>
      </c>
      <c r="B81" s="9">
        <v>0</v>
      </c>
      <c r="C81" s="10"/>
      <c r="D81" s="10"/>
      <c r="E81" s="10">
        <v>107475</v>
      </c>
      <c r="F81" s="9"/>
      <c r="G81" s="10"/>
      <c r="H81" s="10"/>
      <c r="I81" s="120"/>
      <c r="J81" s="120"/>
      <c r="K81" s="22">
        <v>561</v>
      </c>
      <c r="L81" s="6">
        <v>574</v>
      </c>
      <c r="M81" s="125">
        <f t="shared" si="1"/>
        <v>-6</v>
      </c>
      <c r="N81" s="7"/>
      <c r="O81" s="132"/>
      <c r="P81" s="175"/>
      <c r="V81" s="207"/>
    </row>
    <row r="82" spans="1:22" ht="15" customHeight="1">
      <c r="A82" s="8">
        <v>35913</v>
      </c>
      <c r="B82" s="9">
        <v>0</v>
      </c>
      <c r="C82" s="10"/>
      <c r="D82" s="10"/>
      <c r="E82" s="10">
        <v>107400</v>
      </c>
      <c r="F82" s="9"/>
      <c r="G82" s="10"/>
      <c r="H82" s="10"/>
      <c r="I82" s="120"/>
      <c r="J82" s="120"/>
      <c r="K82" s="22">
        <v>561</v>
      </c>
      <c r="L82" s="6">
        <v>575</v>
      </c>
      <c r="M82" s="125">
        <f t="shared" si="1"/>
        <v>0</v>
      </c>
      <c r="N82" s="7"/>
      <c r="O82" s="132"/>
      <c r="P82" s="175"/>
      <c r="V82" s="207"/>
    </row>
    <row r="83" spans="1:22" ht="15" customHeight="1">
      <c r="A83" s="8">
        <v>35914</v>
      </c>
      <c r="B83" s="9">
        <v>0</v>
      </c>
      <c r="C83" s="10"/>
      <c r="D83" s="10"/>
      <c r="E83" s="10">
        <v>107300</v>
      </c>
      <c r="F83" s="9"/>
      <c r="G83" s="10"/>
      <c r="H83" s="10"/>
      <c r="I83" s="120"/>
      <c r="J83" s="120"/>
      <c r="K83" s="22">
        <v>549.5</v>
      </c>
      <c r="L83" s="6">
        <v>563.5</v>
      </c>
      <c r="M83" s="125">
        <f t="shared" si="1"/>
        <v>-11.5</v>
      </c>
      <c r="N83" s="7"/>
      <c r="O83" s="132"/>
      <c r="P83" s="175"/>
      <c r="V83" s="207"/>
    </row>
    <row r="84" spans="1:22" ht="15" customHeight="1">
      <c r="A84" s="8">
        <v>35915</v>
      </c>
      <c r="B84" s="9">
        <v>0</v>
      </c>
      <c r="C84" s="10"/>
      <c r="D84" s="10"/>
      <c r="E84" s="10">
        <v>107100</v>
      </c>
      <c r="F84" s="9"/>
      <c r="G84" s="10"/>
      <c r="H84" s="10"/>
      <c r="I84" s="120"/>
      <c r="J84" s="120"/>
      <c r="K84" s="22">
        <v>547</v>
      </c>
      <c r="L84" s="6">
        <v>563</v>
      </c>
      <c r="M84" s="125">
        <f t="shared" si="1"/>
        <v>-2.5</v>
      </c>
      <c r="N84" s="7"/>
      <c r="O84" s="132"/>
      <c r="P84" s="175"/>
      <c r="V84" s="207"/>
    </row>
    <row r="85" spans="1:22" ht="15" customHeight="1">
      <c r="A85" s="8">
        <v>35916</v>
      </c>
      <c r="B85" s="9">
        <v>0</v>
      </c>
      <c r="C85" s="10"/>
      <c r="D85" s="10"/>
      <c r="E85" s="10">
        <v>107250</v>
      </c>
      <c r="F85" s="9"/>
      <c r="G85" s="10"/>
      <c r="H85" s="10"/>
      <c r="I85" s="120"/>
      <c r="J85" s="120"/>
      <c r="K85" s="22">
        <v>542</v>
      </c>
      <c r="L85" s="6">
        <v>555.5</v>
      </c>
      <c r="M85" s="125">
        <f t="shared" si="1"/>
        <v>-5</v>
      </c>
      <c r="N85" s="7"/>
      <c r="O85" s="132"/>
      <c r="P85" s="175"/>
      <c r="V85" s="207"/>
    </row>
    <row r="86" spans="1:22" ht="15" customHeight="1">
      <c r="A86" s="8">
        <v>35920</v>
      </c>
      <c r="B86" s="9">
        <v>0</v>
      </c>
      <c r="C86" s="10"/>
      <c r="D86" s="10"/>
      <c r="E86" s="10">
        <v>107250</v>
      </c>
      <c r="F86" s="9"/>
      <c r="G86" s="10"/>
      <c r="H86" s="10"/>
      <c r="I86" s="120"/>
      <c r="J86" s="120"/>
      <c r="K86" s="22">
        <v>549.5</v>
      </c>
      <c r="L86" s="6">
        <v>565</v>
      </c>
      <c r="M86" s="125">
        <f t="shared" si="1"/>
        <v>7.5</v>
      </c>
      <c r="N86" s="7"/>
      <c r="O86" s="132"/>
      <c r="P86" s="175"/>
      <c r="V86" s="207"/>
    </row>
    <row r="87" spans="1:22" ht="15" customHeight="1">
      <c r="A87" s="8">
        <v>35921</v>
      </c>
      <c r="B87" s="9">
        <v>0</v>
      </c>
      <c r="C87" s="10"/>
      <c r="D87" s="10"/>
      <c r="E87" s="10">
        <v>106500</v>
      </c>
      <c r="F87" s="9"/>
      <c r="G87" s="10"/>
      <c r="H87" s="10"/>
      <c r="I87" s="120"/>
      <c r="J87" s="120"/>
      <c r="K87" s="22">
        <v>548.5</v>
      </c>
      <c r="L87" s="6">
        <v>564</v>
      </c>
      <c r="M87" s="125">
        <f t="shared" si="1"/>
        <v>-1</v>
      </c>
      <c r="N87" s="7"/>
      <c r="O87" s="132"/>
      <c r="P87" s="175"/>
      <c r="V87" s="207"/>
    </row>
    <row r="88" spans="1:22" ht="15" customHeight="1">
      <c r="A88" s="8">
        <v>35922</v>
      </c>
      <c r="B88" s="9">
        <v>0</v>
      </c>
      <c r="C88" s="10"/>
      <c r="D88" s="10"/>
      <c r="E88" s="10">
        <v>106600</v>
      </c>
      <c r="F88" s="9"/>
      <c r="G88" s="10"/>
      <c r="H88" s="10"/>
      <c r="I88" s="120"/>
      <c r="J88" s="120"/>
      <c r="K88" s="22">
        <v>546.5</v>
      </c>
      <c r="L88" s="6">
        <v>561</v>
      </c>
      <c r="M88" s="125">
        <f t="shared" si="1"/>
        <v>-2</v>
      </c>
      <c r="N88" s="7"/>
      <c r="O88" s="132"/>
      <c r="P88" s="175"/>
      <c r="V88" s="207"/>
    </row>
    <row r="89" spans="1:22" ht="15" customHeight="1">
      <c r="A89" s="8">
        <v>35923</v>
      </c>
      <c r="B89" s="9">
        <v>0</v>
      </c>
      <c r="C89" s="10"/>
      <c r="D89" s="10"/>
      <c r="E89" s="10">
        <v>106600</v>
      </c>
      <c r="F89" s="9"/>
      <c r="G89" s="10"/>
      <c r="H89" s="10"/>
      <c r="I89" s="120"/>
      <c r="J89" s="120"/>
      <c r="K89" s="22">
        <v>541</v>
      </c>
      <c r="L89" s="6">
        <v>557</v>
      </c>
      <c r="M89" s="125">
        <f t="shared" si="1"/>
        <v>-5.5</v>
      </c>
      <c r="N89" s="7"/>
      <c r="O89" s="132"/>
      <c r="P89" s="175"/>
      <c r="V89" s="207"/>
    </row>
    <row r="90" spans="1:22" ht="15" customHeight="1">
      <c r="A90" s="8">
        <v>35926</v>
      </c>
      <c r="B90" s="9">
        <v>0</v>
      </c>
      <c r="C90" s="10"/>
      <c r="D90" s="10"/>
      <c r="E90" s="10">
        <v>106400</v>
      </c>
      <c r="F90" s="9"/>
      <c r="G90" s="10"/>
      <c r="H90" s="10"/>
      <c r="I90" s="120"/>
      <c r="J90" s="120"/>
      <c r="K90" s="22">
        <v>538</v>
      </c>
      <c r="L90" s="6">
        <v>553</v>
      </c>
      <c r="M90" s="125">
        <f t="shared" si="1"/>
        <v>-3</v>
      </c>
      <c r="N90" s="7"/>
      <c r="O90" s="132"/>
      <c r="P90" s="175"/>
      <c r="V90" s="207"/>
    </row>
    <row r="91" spans="1:22" ht="15" customHeight="1">
      <c r="A91" s="8">
        <v>35927</v>
      </c>
      <c r="B91" s="9">
        <v>0</v>
      </c>
      <c r="C91" s="10"/>
      <c r="D91" s="10"/>
      <c r="E91" s="10">
        <v>106350</v>
      </c>
      <c r="F91" s="9"/>
      <c r="G91" s="10"/>
      <c r="H91" s="10"/>
      <c r="I91" s="120"/>
      <c r="J91" s="120"/>
      <c r="K91" s="22">
        <v>531.5</v>
      </c>
      <c r="L91" s="6">
        <v>547</v>
      </c>
      <c r="M91" s="125">
        <f t="shared" si="1"/>
        <v>-6.5</v>
      </c>
      <c r="N91" s="7"/>
      <c r="O91" s="132"/>
      <c r="P91" s="175"/>
      <c r="V91" s="207"/>
    </row>
    <row r="92" spans="1:22" ht="15" customHeight="1">
      <c r="A92" s="8">
        <v>35928</v>
      </c>
      <c r="B92" s="9">
        <v>0</v>
      </c>
      <c r="C92" s="10"/>
      <c r="D92" s="10"/>
      <c r="E92" s="10">
        <v>106275</v>
      </c>
      <c r="F92" s="9"/>
      <c r="G92" s="10"/>
      <c r="H92" s="10"/>
      <c r="I92" s="120"/>
      <c r="J92" s="120"/>
      <c r="K92" s="22">
        <v>531.5</v>
      </c>
      <c r="L92" s="6">
        <v>547</v>
      </c>
      <c r="M92" s="125">
        <f t="shared" si="1"/>
        <v>0</v>
      </c>
      <c r="N92" s="7"/>
      <c r="O92" s="132"/>
      <c r="P92" s="175"/>
      <c r="V92" s="207"/>
    </row>
    <row r="93" spans="1:22" ht="15" customHeight="1">
      <c r="A93" s="8">
        <v>35929</v>
      </c>
      <c r="B93" s="9">
        <v>0</v>
      </c>
      <c r="C93" s="10"/>
      <c r="D93" s="10"/>
      <c r="E93" s="10">
        <v>107650</v>
      </c>
      <c r="F93" s="9"/>
      <c r="G93" s="10"/>
      <c r="H93" s="10"/>
      <c r="I93" s="120"/>
      <c r="J93" s="120"/>
      <c r="K93" s="22">
        <v>531</v>
      </c>
      <c r="L93" s="6">
        <v>546.5</v>
      </c>
      <c r="M93" s="125">
        <f t="shared" si="1"/>
        <v>-0.5</v>
      </c>
      <c r="N93" s="7"/>
      <c r="O93" s="132"/>
      <c r="P93" s="175"/>
      <c r="V93" s="207"/>
    </row>
    <row r="94" spans="1:22" ht="15" customHeight="1">
      <c r="A94" s="8">
        <v>35930</v>
      </c>
      <c r="B94" s="9">
        <v>0</v>
      </c>
      <c r="C94" s="10"/>
      <c r="D94" s="10"/>
      <c r="E94" s="10">
        <v>107475</v>
      </c>
      <c r="F94" s="9"/>
      <c r="G94" s="10"/>
      <c r="H94" s="10"/>
      <c r="I94" s="120"/>
      <c r="J94" s="120"/>
      <c r="K94" s="22">
        <v>533</v>
      </c>
      <c r="L94" s="6">
        <v>547.5</v>
      </c>
      <c r="M94" s="125">
        <f t="shared" si="1"/>
        <v>2</v>
      </c>
      <c r="N94" s="7"/>
      <c r="O94" s="132"/>
      <c r="P94" s="175"/>
      <c r="V94" s="207"/>
    </row>
    <row r="95" spans="1:22" ht="15" customHeight="1">
      <c r="A95" s="8">
        <v>35933</v>
      </c>
      <c r="B95" s="9">
        <v>0</v>
      </c>
      <c r="C95" s="10"/>
      <c r="D95" s="10"/>
      <c r="E95" s="10">
        <v>107375</v>
      </c>
      <c r="F95" s="9"/>
      <c r="G95" s="10"/>
      <c r="H95" s="10"/>
      <c r="I95" s="120"/>
      <c r="J95" s="120"/>
      <c r="K95" s="22">
        <v>530</v>
      </c>
      <c r="L95" s="6">
        <v>547</v>
      </c>
      <c r="M95" s="125">
        <f t="shared" si="1"/>
        <v>-3</v>
      </c>
      <c r="N95" s="7"/>
      <c r="O95" s="132"/>
      <c r="P95" s="175"/>
      <c r="V95" s="207"/>
    </row>
    <row r="96" spans="1:22" ht="15" customHeight="1">
      <c r="A96" s="8">
        <v>35934</v>
      </c>
      <c r="B96" s="9">
        <v>0</v>
      </c>
      <c r="C96" s="10"/>
      <c r="D96" s="10"/>
      <c r="E96" s="10">
        <v>107325</v>
      </c>
      <c r="F96" s="9"/>
      <c r="G96" s="10"/>
      <c r="H96" s="10"/>
      <c r="I96" s="120"/>
      <c r="J96" s="120"/>
      <c r="K96" s="22">
        <v>538</v>
      </c>
      <c r="L96" s="6">
        <v>553.5</v>
      </c>
      <c r="M96" s="125">
        <f t="shared" si="1"/>
        <v>8</v>
      </c>
      <c r="N96" s="7"/>
      <c r="O96" s="132"/>
      <c r="P96" s="175"/>
      <c r="V96" s="207"/>
    </row>
    <row r="97" spans="1:22" ht="15" customHeight="1">
      <c r="A97" s="8">
        <v>35935</v>
      </c>
      <c r="B97" s="9">
        <v>0</v>
      </c>
      <c r="C97" s="10"/>
      <c r="D97" s="10"/>
      <c r="E97" s="10">
        <v>107325</v>
      </c>
      <c r="F97" s="9"/>
      <c r="G97" s="10"/>
      <c r="H97" s="10"/>
      <c r="I97" s="120"/>
      <c r="J97" s="120"/>
      <c r="K97" s="22">
        <v>546.5</v>
      </c>
      <c r="L97" s="6">
        <v>560.5</v>
      </c>
      <c r="M97" s="125">
        <f t="shared" si="1"/>
        <v>8.5</v>
      </c>
      <c r="N97" s="7"/>
      <c r="O97" s="132"/>
      <c r="P97" s="175"/>
      <c r="V97" s="207"/>
    </row>
    <row r="98" spans="1:22" ht="15" customHeight="1">
      <c r="A98" s="8">
        <v>35936</v>
      </c>
      <c r="B98" s="9">
        <v>0</v>
      </c>
      <c r="C98" s="10"/>
      <c r="D98" s="10"/>
      <c r="E98" s="10">
        <v>107325</v>
      </c>
      <c r="F98" s="9"/>
      <c r="G98" s="10"/>
      <c r="H98" s="10"/>
      <c r="I98" s="120"/>
      <c r="J98" s="120"/>
      <c r="K98" s="22">
        <v>551.5</v>
      </c>
      <c r="L98" s="6">
        <v>565</v>
      </c>
      <c r="M98" s="125">
        <f t="shared" si="1"/>
        <v>5</v>
      </c>
      <c r="N98" s="7"/>
      <c r="O98" s="132"/>
      <c r="P98" s="175"/>
      <c r="V98" s="207"/>
    </row>
    <row r="99" spans="1:22" ht="15" customHeight="1">
      <c r="A99" s="8">
        <v>35937</v>
      </c>
      <c r="B99" s="9">
        <v>0</v>
      </c>
      <c r="C99" s="10"/>
      <c r="D99" s="10"/>
      <c r="E99" s="10">
        <v>106425</v>
      </c>
      <c r="F99" s="9"/>
      <c r="G99" s="10"/>
      <c r="H99" s="10"/>
      <c r="I99" s="120"/>
      <c r="J99" s="120"/>
      <c r="K99" s="22">
        <v>560</v>
      </c>
      <c r="L99" s="6">
        <v>570.5</v>
      </c>
      <c r="M99" s="125">
        <f t="shared" si="1"/>
        <v>8.5</v>
      </c>
      <c r="N99" s="7"/>
      <c r="O99" s="132"/>
      <c r="P99" s="175"/>
      <c r="V99" s="207"/>
    </row>
    <row r="100" spans="1:22" ht="15" customHeight="1">
      <c r="A100" s="8">
        <v>35941</v>
      </c>
      <c r="B100" s="9">
        <v>0</v>
      </c>
      <c r="C100" s="10"/>
      <c r="D100" s="10"/>
      <c r="E100" s="10">
        <v>107400</v>
      </c>
      <c r="F100" s="9"/>
      <c r="G100" s="10"/>
      <c r="H100" s="10"/>
      <c r="I100" s="120"/>
      <c r="J100" s="120"/>
      <c r="K100" s="22">
        <v>553.5</v>
      </c>
      <c r="L100" s="6">
        <v>565.5</v>
      </c>
      <c r="M100" s="125">
        <f t="shared" si="1"/>
        <v>-6.5</v>
      </c>
      <c r="N100" s="7"/>
      <c r="O100" s="132"/>
      <c r="P100" s="175"/>
      <c r="V100" s="207"/>
    </row>
    <row r="101" spans="1:22" ht="15" customHeight="1">
      <c r="A101" s="8">
        <v>35942</v>
      </c>
      <c r="B101" s="9">
        <v>0</v>
      </c>
      <c r="C101" s="10"/>
      <c r="D101" s="10"/>
      <c r="E101" s="10">
        <v>106750</v>
      </c>
      <c r="F101" s="9"/>
      <c r="G101" s="10"/>
      <c r="H101" s="10"/>
      <c r="I101" s="120"/>
      <c r="J101" s="120"/>
      <c r="K101" s="22">
        <v>549</v>
      </c>
      <c r="L101" s="6">
        <v>559</v>
      </c>
      <c r="M101" s="125">
        <f t="shared" si="1"/>
        <v>-4.5</v>
      </c>
      <c r="N101" s="7"/>
      <c r="O101" s="132"/>
      <c r="P101" s="175"/>
      <c r="V101" s="207"/>
    </row>
    <row r="102" spans="1:22" ht="15" customHeight="1">
      <c r="A102" s="8">
        <v>35943</v>
      </c>
      <c r="B102" s="9">
        <v>0</v>
      </c>
      <c r="C102" s="10"/>
      <c r="D102" s="10"/>
      <c r="E102" s="10">
        <v>106650</v>
      </c>
      <c r="F102" s="9"/>
      <c r="G102" s="10"/>
      <c r="H102" s="10"/>
      <c r="I102" s="120"/>
      <c r="J102" s="120"/>
      <c r="K102" s="22">
        <v>554</v>
      </c>
      <c r="L102" s="6">
        <v>567</v>
      </c>
      <c r="M102" s="125">
        <f t="shared" si="1"/>
        <v>5</v>
      </c>
      <c r="N102" s="7"/>
      <c r="O102" s="132"/>
      <c r="P102" s="175"/>
      <c r="V102" s="207"/>
    </row>
    <row r="103" spans="1:22" ht="15" customHeight="1">
      <c r="A103" s="8">
        <v>35944</v>
      </c>
      <c r="B103" s="9">
        <v>0</v>
      </c>
      <c r="C103" s="10"/>
      <c r="D103" s="10"/>
      <c r="E103" s="10">
        <v>106600</v>
      </c>
      <c r="F103" s="9"/>
      <c r="G103" s="10"/>
      <c r="H103" s="10"/>
      <c r="I103" s="120"/>
      <c r="J103" s="120"/>
      <c r="K103" s="22">
        <v>551</v>
      </c>
      <c r="L103" s="6">
        <v>562</v>
      </c>
      <c r="M103" s="125">
        <f t="shared" si="1"/>
        <v>-3</v>
      </c>
      <c r="N103" s="7"/>
      <c r="O103" s="132"/>
      <c r="P103" s="175"/>
      <c r="V103" s="207"/>
    </row>
    <row r="104" spans="1:22" ht="15" customHeight="1">
      <c r="A104" s="8">
        <v>35947</v>
      </c>
      <c r="B104" s="9">
        <v>0</v>
      </c>
      <c r="C104" s="10"/>
      <c r="D104" s="10"/>
      <c r="E104" s="10">
        <v>105800</v>
      </c>
      <c r="F104" s="9"/>
      <c r="G104" s="10"/>
      <c r="H104" s="10"/>
      <c r="I104" s="120"/>
      <c r="J104" s="120"/>
      <c r="K104" s="22">
        <v>547</v>
      </c>
      <c r="L104" s="6">
        <v>560.5</v>
      </c>
      <c r="M104" s="125">
        <f t="shared" si="1"/>
        <v>-4</v>
      </c>
      <c r="N104" s="7"/>
      <c r="O104" s="132"/>
      <c r="P104" s="175"/>
      <c r="V104" s="207"/>
    </row>
    <row r="105" spans="1:22" ht="15" customHeight="1">
      <c r="A105" s="8">
        <v>35948</v>
      </c>
      <c r="B105" s="9">
        <v>0</v>
      </c>
      <c r="C105" s="10"/>
      <c r="D105" s="10"/>
      <c r="E105" s="10">
        <v>106275</v>
      </c>
      <c r="F105" s="9"/>
      <c r="G105" s="10"/>
      <c r="H105" s="10"/>
      <c r="I105" s="120"/>
      <c r="J105" s="120"/>
      <c r="K105" s="22">
        <v>543</v>
      </c>
      <c r="L105" s="6">
        <v>556.5</v>
      </c>
      <c r="M105" s="125">
        <f t="shared" si="1"/>
        <v>-4</v>
      </c>
      <c r="N105" s="7"/>
      <c r="O105" s="132"/>
      <c r="P105" s="175"/>
      <c r="V105" s="207"/>
    </row>
    <row r="106" spans="1:22" ht="15" customHeight="1">
      <c r="A106" s="8">
        <v>35949</v>
      </c>
      <c r="B106" s="9">
        <v>0</v>
      </c>
      <c r="C106" s="10"/>
      <c r="D106" s="10"/>
      <c r="E106" s="10">
        <v>105300</v>
      </c>
      <c r="F106" s="9"/>
      <c r="G106" s="10"/>
      <c r="H106" s="10"/>
      <c r="I106" s="120"/>
      <c r="J106" s="120"/>
      <c r="K106" s="22">
        <v>538</v>
      </c>
      <c r="L106" s="6">
        <v>551.5</v>
      </c>
      <c r="M106" s="125">
        <f t="shared" si="1"/>
        <v>-5</v>
      </c>
      <c r="N106" s="7"/>
      <c r="O106" s="132"/>
      <c r="P106" s="175"/>
      <c r="V106" s="207"/>
    </row>
    <row r="107" spans="1:22" ht="15" customHeight="1">
      <c r="A107" s="8">
        <v>35950</v>
      </c>
      <c r="B107" s="9">
        <v>0</v>
      </c>
      <c r="C107" s="10"/>
      <c r="D107" s="10"/>
      <c r="E107" s="10">
        <v>105950</v>
      </c>
      <c r="F107" s="9"/>
      <c r="G107" s="10"/>
      <c r="H107" s="10"/>
      <c r="I107" s="120"/>
      <c r="J107" s="120"/>
      <c r="K107" s="22">
        <v>527.5</v>
      </c>
      <c r="L107" s="6">
        <v>538</v>
      </c>
      <c r="M107" s="125">
        <f t="shared" si="1"/>
        <v>-10.5</v>
      </c>
      <c r="N107" s="7"/>
      <c r="O107" s="132"/>
      <c r="P107" s="175"/>
      <c r="V107" s="207"/>
    </row>
    <row r="108" spans="1:22" ht="15" customHeight="1">
      <c r="A108" s="8">
        <v>35951</v>
      </c>
      <c r="B108" s="9">
        <v>0</v>
      </c>
      <c r="C108" s="10"/>
      <c r="D108" s="10"/>
      <c r="E108" s="10">
        <v>105950</v>
      </c>
      <c r="F108" s="9"/>
      <c r="G108" s="10"/>
      <c r="H108" s="10"/>
      <c r="I108" s="120"/>
      <c r="J108" s="120"/>
      <c r="K108" s="22">
        <v>534</v>
      </c>
      <c r="L108" s="6">
        <v>544.5</v>
      </c>
      <c r="M108" s="125">
        <f t="shared" si="1"/>
        <v>6.5</v>
      </c>
      <c r="N108" s="7"/>
      <c r="O108" s="132"/>
      <c r="P108" s="175"/>
      <c r="V108" s="207"/>
    </row>
    <row r="109" spans="1:22" ht="15" customHeight="1">
      <c r="A109" s="8">
        <v>35954</v>
      </c>
      <c r="B109" s="9">
        <v>0</v>
      </c>
      <c r="C109" s="10"/>
      <c r="D109" s="10"/>
      <c r="E109" s="10">
        <v>105950</v>
      </c>
      <c r="F109" s="9"/>
      <c r="G109" s="10"/>
      <c r="H109" s="10"/>
      <c r="I109" s="120"/>
      <c r="J109" s="120"/>
      <c r="K109" s="22">
        <v>527</v>
      </c>
      <c r="L109" s="6">
        <v>540.5</v>
      </c>
      <c r="M109" s="125">
        <f t="shared" si="1"/>
        <v>-7</v>
      </c>
      <c r="N109" s="7"/>
      <c r="O109" s="132"/>
      <c r="P109" s="175"/>
      <c r="V109" s="207"/>
    </row>
    <row r="110" spans="1:22" ht="15" customHeight="1">
      <c r="A110" s="8">
        <v>35955</v>
      </c>
      <c r="B110" s="9">
        <v>0</v>
      </c>
      <c r="C110" s="10"/>
      <c r="D110" s="10"/>
      <c r="E110" s="10">
        <v>105550</v>
      </c>
      <c r="F110" s="9"/>
      <c r="G110" s="10"/>
      <c r="H110" s="10"/>
      <c r="I110" s="120"/>
      <c r="J110" s="120"/>
      <c r="K110" s="22">
        <v>535</v>
      </c>
      <c r="L110" s="6">
        <v>547.5</v>
      </c>
      <c r="M110" s="125">
        <f t="shared" si="1"/>
        <v>8</v>
      </c>
      <c r="N110" s="7"/>
      <c r="O110" s="132"/>
      <c r="P110" s="175"/>
      <c r="V110" s="207"/>
    </row>
    <row r="111" spans="1:22" ht="15" customHeight="1">
      <c r="A111" s="8">
        <v>35956</v>
      </c>
      <c r="B111" s="9">
        <v>0</v>
      </c>
      <c r="C111" s="10"/>
      <c r="D111" s="10"/>
      <c r="E111" s="10">
        <v>105550</v>
      </c>
      <c r="F111" s="9"/>
      <c r="G111" s="10"/>
      <c r="H111" s="10"/>
      <c r="I111" s="120"/>
      <c r="J111" s="120"/>
      <c r="K111" s="22">
        <v>530</v>
      </c>
      <c r="L111" s="6">
        <v>544</v>
      </c>
      <c r="M111" s="125">
        <f t="shared" si="1"/>
        <v>-5</v>
      </c>
      <c r="N111" s="7"/>
      <c r="O111" s="132"/>
      <c r="P111" s="175"/>
      <c r="V111" s="207"/>
    </row>
    <row r="112" spans="1:22" ht="15" customHeight="1">
      <c r="A112" s="8">
        <v>35957</v>
      </c>
      <c r="B112" s="9">
        <v>0</v>
      </c>
      <c r="C112" s="10"/>
      <c r="D112" s="10"/>
      <c r="E112" s="10">
        <v>105525</v>
      </c>
      <c r="F112" s="9"/>
      <c r="G112" s="10"/>
      <c r="H112" s="10"/>
      <c r="I112" s="120"/>
      <c r="J112" s="120"/>
      <c r="K112" s="22">
        <v>530</v>
      </c>
      <c r="L112" s="6">
        <v>543</v>
      </c>
      <c r="M112" s="125">
        <f t="shared" si="1"/>
        <v>0</v>
      </c>
      <c r="N112" s="7"/>
      <c r="O112" s="132"/>
      <c r="P112" s="175"/>
      <c r="V112" s="207"/>
    </row>
    <row r="113" spans="1:22" ht="15" customHeight="1">
      <c r="A113" s="8">
        <v>35958</v>
      </c>
      <c r="B113" s="9">
        <v>0</v>
      </c>
      <c r="C113" s="10"/>
      <c r="D113" s="10"/>
      <c r="E113" s="10">
        <v>105825</v>
      </c>
      <c r="F113" s="9"/>
      <c r="G113" s="10"/>
      <c r="H113" s="10"/>
      <c r="I113" s="120"/>
      <c r="J113" s="120"/>
      <c r="K113" s="22">
        <v>527</v>
      </c>
      <c r="L113" s="6">
        <v>540.5</v>
      </c>
      <c r="M113" s="125">
        <f t="shared" si="1"/>
        <v>-3</v>
      </c>
      <c r="N113" s="7"/>
      <c r="O113" s="132"/>
      <c r="P113" s="175"/>
      <c r="V113" s="207"/>
    </row>
    <row r="114" spans="1:22" ht="15" customHeight="1">
      <c r="A114" s="8">
        <v>35961</v>
      </c>
      <c r="B114" s="9">
        <v>0</v>
      </c>
      <c r="C114" s="10"/>
      <c r="D114" s="10"/>
      <c r="E114" s="10">
        <v>105800</v>
      </c>
      <c r="F114" s="9"/>
      <c r="G114" s="10"/>
      <c r="H114" s="10"/>
      <c r="I114" s="120"/>
      <c r="J114" s="120"/>
      <c r="K114" s="22">
        <v>519</v>
      </c>
      <c r="L114" s="6">
        <v>534.5</v>
      </c>
      <c r="M114" s="125">
        <f t="shared" si="1"/>
        <v>-8</v>
      </c>
      <c r="N114" s="7"/>
      <c r="O114" s="132"/>
      <c r="P114" s="175"/>
      <c r="V114" s="207"/>
    </row>
    <row r="115" spans="1:22" ht="15" customHeight="1">
      <c r="A115" s="8">
        <v>35962</v>
      </c>
      <c r="B115" s="9">
        <v>0</v>
      </c>
      <c r="C115" s="10"/>
      <c r="D115" s="10"/>
      <c r="E115" s="10">
        <v>105750</v>
      </c>
      <c r="F115" s="9"/>
      <c r="G115" s="10"/>
      <c r="H115" s="10"/>
      <c r="I115" s="120"/>
      <c r="J115" s="120"/>
      <c r="K115" s="22">
        <v>516</v>
      </c>
      <c r="L115" s="6">
        <v>532</v>
      </c>
      <c r="M115" s="125">
        <f t="shared" si="1"/>
        <v>-3</v>
      </c>
      <c r="N115" s="7"/>
      <c r="O115" s="132"/>
      <c r="P115" s="175"/>
      <c r="V115" s="207"/>
    </row>
    <row r="116" spans="1:22" ht="15" customHeight="1">
      <c r="A116" s="8">
        <v>35963</v>
      </c>
      <c r="B116" s="9">
        <v>0</v>
      </c>
      <c r="C116" s="10"/>
      <c r="D116" s="10"/>
      <c r="E116" s="10">
        <v>105675</v>
      </c>
      <c r="F116" s="9"/>
      <c r="G116" s="10"/>
      <c r="H116" s="10"/>
      <c r="I116" s="120"/>
      <c r="J116" s="120"/>
      <c r="K116" s="22">
        <v>526.5</v>
      </c>
      <c r="L116" s="6">
        <v>542</v>
      </c>
      <c r="M116" s="125">
        <f t="shared" si="1"/>
        <v>10.5</v>
      </c>
      <c r="N116" s="7"/>
      <c r="O116" s="132"/>
      <c r="P116" s="175"/>
      <c r="V116" s="207"/>
    </row>
    <row r="117" spans="1:22" ht="15" customHeight="1">
      <c r="A117" s="8">
        <v>35964</v>
      </c>
      <c r="B117" s="9">
        <v>0</v>
      </c>
      <c r="C117" s="10"/>
      <c r="D117" s="10"/>
      <c r="E117" s="10">
        <v>105350</v>
      </c>
      <c r="F117" s="9"/>
      <c r="G117" s="10"/>
      <c r="H117" s="10"/>
      <c r="I117" s="120"/>
      <c r="J117" s="120"/>
      <c r="K117" s="22">
        <v>527</v>
      </c>
      <c r="L117" s="6">
        <v>542</v>
      </c>
      <c r="M117" s="125">
        <f t="shared" si="1"/>
        <v>0.5</v>
      </c>
      <c r="N117" s="7"/>
      <c r="O117" s="132"/>
      <c r="P117" s="175"/>
      <c r="V117" s="207"/>
    </row>
    <row r="118" spans="1:22" ht="15" customHeight="1">
      <c r="A118" s="8">
        <v>35965</v>
      </c>
      <c r="B118" s="9">
        <v>0</v>
      </c>
      <c r="C118" s="10"/>
      <c r="D118" s="10"/>
      <c r="E118" s="10">
        <v>106200</v>
      </c>
      <c r="F118" s="9"/>
      <c r="G118" s="10"/>
      <c r="H118" s="10"/>
      <c r="I118" s="120"/>
      <c r="J118" s="120"/>
      <c r="K118" s="22">
        <v>519</v>
      </c>
      <c r="L118" s="6">
        <v>534</v>
      </c>
      <c r="M118" s="125">
        <f t="shared" si="1"/>
        <v>-8</v>
      </c>
      <c r="N118" s="7"/>
      <c r="O118" s="132"/>
      <c r="P118" s="175"/>
      <c r="V118" s="207"/>
    </row>
    <row r="119" spans="1:22" ht="15" customHeight="1">
      <c r="A119" s="8">
        <v>35968</v>
      </c>
      <c r="B119" s="9">
        <v>0</v>
      </c>
      <c r="C119" s="10"/>
      <c r="D119" s="10"/>
      <c r="E119" s="10">
        <v>106175</v>
      </c>
      <c r="F119" s="9"/>
      <c r="G119" s="10"/>
      <c r="H119" s="10"/>
      <c r="I119" s="120"/>
      <c r="J119" s="120"/>
      <c r="K119" s="22">
        <v>521</v>
      </c>
      <c r="L119" s="6">
        <v>538</v>
      </c>
      <c r="M119" s="125">
        <f t="shared" si="1"/>
        <v>2</v>
      </c>
      <c r="N119" s="7"/>
      <c r="O119" s="132"/>
      <c r="P119" s="175"/>
      <c r="V119" s="207"/>
    </row>
    <row r="120" spans="1:22" ht="15" customHeight="1">
      <c r="A120" s="8">
        <v>35969</v>
      </c>
      <c r="B120" s="9">
        <v>0</v>
      </c>
      <c r="C120" s="10"/>
      <c r="D120" s="10"/>
      <c r="E120" s="10">
        <v>106050</v>
      </c>
      <c r="F120" s="9"/>
      <c r="G120" s="10"/>
      <c r="H120" s="10"/>
      <c r="I120" s="120"/>
      <c r="J120" s="120"/>
      <c r="K120" s="22">
        <v>523</v>
      </c>
      <c r="L120" s="6">
        <v>538</v>
      </c>
      <c r="M120" s="125">
        <f t="shared" si="1"/>
        <v>2</v>
      </c>
      <c r="N120" s="7"/>
      <c r="O120" s="132"/>
      <c r="P120" s="175"/>
      <c r="V120" s="207"/>
    </row>
    <row r="121" spans="1:22" ht="15" customHeight="1">
      <c r="A121" s="8">
        <v>35970</v>
      </c>
      <c r="B121" s="9">
        <v>0</v>
      </c>
      <c r="C121" s="10"/>
      <c r="D121" s="10"/>
      <c r="E121" s="10">
        <v>105950</v>
      </c>
      <c r="F121" s="9"/>
      <c r="G121" s="10"/>
      <c r="H121" s="10"/>
      <c r="I121" s="120"/>
      <c r="J121" s="120"/>
      <c r="K121" s="22">
        <v>522.5</v>
      </c>
      <c r="L121" s="6">
        <v>538</v>
      </c>
      <c r="M121" s="125">
        <f t="shared" si="1"/>
        <v>-0.5</v>
      </c>
      <c r="N121" s="7"/>
      <c r="O121" s="132"/>
      <c r="P121" s="175"/>
      <c r="V121" s="207"/>
    </row>
    <row r="122" spans="1:22" ht="15" customHeight="1">
      <c r="A122" s="8">
        <v>35971</v>
      </c>
      <c r="B122" s="9">
        <v>0</v>
      </c>
      <c r="C122" s="10"/>
      <c r="D122" s="10"/>
      <c r="E122" s="10">
        <v>106100</v>
      </c>
      <c r="F122" s="9"/>
      <c r="G122" s="10"/>
      <c r="H122" s="10"/>
      <c r="I122" s="120"/>
      <c r="J122" s="120"/>
      <c r="K122" s="22">
        <v>522.5</v>
      </c>
      <c r="L122" s="6">
        <v>539</v>
      </c>
      <c r="M122" s="125">
        <f t="shared" si="1"/>
        <v>0</v>
      </c>
      <c r="N122" s="7"/>
      <c r="O122" s="132"/>
      <c r="P122" s="175"/>
      <c r="V122" s="207"/>
    </row>
    <row r="123" spans="1:22" ht="15" customHeight="1">
      <c r="A123" s="8">
        <v>35972</v>
      </c>
      <c r="B123" s="9">
        <v>0</v>
      </c>
      <c r="C123" s="10"/>
      <c r="D123" s="10"/>
      <c r="E123" s="10">
        <v>105050</v>
      </c>
      <c r="F123" s="9"/>
      <c r="G123" s="10"/>
      <c r="H123" s="10"/>
      <c r="I123" s="120"/>
      <c r="J123" s="120"/>
      <c r="K123" s="22">
        <v>522</v>
      </c>
      <c r="L123" s="6">
        <v>538</v>
      </c>
      <c r="M123" s="125">
        <f t="shared" si="1"/>
        <v>-0.5</v>
      </c>
      <c r="N123" s="7"/>
      <c r="O123" s="132"/>
      <c r="P123" s="175"/>
      <c r="V123" s="207"/>
    </row>
    <row r="124" spans="1:22" ht="15" customHeight="1">
      <c r="A124" s="8">
        <v>35975</v>
      </c>
      <c r="B124" s="9">
        <v>0</v>
      </c>
      <c r="C124" s="10"/>
      <c r="D124" s="10"/>
      <c r="E124" s="10">
        <v>105050</v>
      </c>
      <c r="F124" s="9"/>
      <c r="G124" s="10"/>
      <c r="H124" s="10"/>
      <c r="I124" s="120"/>
      <c r="J124" s="120"/>
      <c r="K124" s="22">
        <v>521</v>
      </c>
      <c r="L124" s="6">
        <v>535</v>
      </c>
      <c r="M124" s="125">
        <f t="shared" si="1"/>
        <v>-1</v>
      </c>
      <c r="N124" s="7"/>
      <c r="O124" s="132"/>
      <c r="P124" s="175"/>
      <c r="V124" s="207"/>
    </row>
    <row r="125" spans="1:22" ht="15" customHeight="1">
      <c r="A125" s="8">
        <v>35976</v>
      </c>
      <c r="B125" s="9">
        <v>0</v>
      </c>
      <c r="C125" s="10"/>
      <c r="D125" s="10"/>
      <c r="E125" s="10">
        <v>104975</v>
      </c>
      <c r="F125" s="9"/>
      <c r="G125" s="10"/>
      <c r="H125" s="10"/>
      <c r="I125" s="120"/>
      <c r="J125" s="120"/>
      <c r="K125" s="22">
        <v>545</v>
      </c>
      <c r="L125" s="6">
        <v>546</v>
      </c>
      <c r="M125" s="125">
        <f t="shared" si="1"/>
        <v>24</v>
      </c>
      <c r="N125" s="7"/>
      <c r="O125" s="132"/>
      <c r="P125" s="175"/>
      <c r="V125" s="207"/>
    </row>
    <row r="126" spans="1:22" ht="15" customHeight="1">
      <c r="A126" s="8">
        <v>35977</v>
      </c>
      <c r="B126" s="9">
        <v>0</v>
      </c>
      <c r="C126" s="10"/>
      <c r="D126" s="10"/>
      <c r="E126" s="10">
        <v>104975</v>
      </c>
      <c r="F126" s="9"/>
      <c r="G126" s="10"/>
      <c r="H126" s="10"/>
      <c r="I126" s="120"/>
      <c r="J126" s="120"/>
      <c r="K126" s="22">
        <v>557.5</v>
      </c>
      <c r="L126" s="6">
        <v>556</v>
      </c>
      <c r="M126" s="125">
        <f t="shared" si="1"/>
        <v>12.5</v>
      </c>
      <c r="N126" s="7"/>
      <c r="O126" s="132"/>
      <c r="P126" s="175"/>
      <c r="V126" s="207"/>
    </row>
    <row r="127" spans="1:22" ht="15" customHeight="1">
      <c r="A127" s="8">
        <v>35978</v>
      </c>
      <c r="B127" s="9">
        <v>0</v>
      </c>
      <c r="C127" s="10"/>
      <c r="D127" s="10"/>
      <c r="E127" s="10">
        <v>104950</v>
      </c>
      <c r="F127" s="9"/>
      <c r="G127" s="10"/>
      <c r="H127" s="10"/>
      <c r="I127" s="120"/>
      <c r="J127" s="120"/>
      <c r="K127" s="22">
        <v>554</v>
      </c>
      <c r="L127" s="6">
        <v>545.5</v>
      </c>
      <c r="M127" s="125">
        <f t="shared" si="1"/>
        <v>-3.5</v>
      </c>
      <c r="N127" s="7"/>
      <c r="O127" s="132"/>
      <c r="P127" s="175"/>
      <c r="V127" s="207"/>
    </row>
    <row r="128" spans="1:22" ht="15" customHeight="1">
      <c r="A128" s="8">
        <v>35979</v>
      </c>
      <c r="B128" s="9">
        <v>0</v>
      </c>
      <c r="C128" s="10"/>
      <c r="D128" s="10"/>
      <c r="E128" s="10">
        <v>103925</v>
      </c>
      <c r="F128" s="9"/>
      <c r="G128" s="10"/>
      <c r="H128" s="10"/>
      <c r="I128" s="120"/>
      <c r="J128" s="120"/>
      <c r="K128" s="22">
        <v>572.5</v>
      </c>
      <c r="L128" s="6">
        <v>549</v>
      </c>
      <c r="M128" s="125">
        <f t="shared" si="1"/>
        <v>18.5</v>
      </c>
      <c r="N128" s="7"/>
      <c r="O128" s="132"/>
      <c r="P128" s="175"/>
      <c r="V128" s="207"/>
    </row>
    <row r="129" spans="1:22" ht="15" customHeight="1">
      <c r="A129" s="8">
        <v>35982</v>
      </c>
      <c r="B129" s="9">
        <v>0</v>
      </c>
      <c r="C129" s="10"/>
      <c r="D129" s="10"/>
      <c r="E129" s="10">
        <v>103925</v>
      </c>
      <c r="F129" s="9"/>
      <c r="G129" s="10"/>
      <c r="H129" s="10"/>
      <c r="I129" s="120"/>
      <c r="J129" s="120"/>
      <c r="K129" s="22">
        <v>563</v>
      </c>
      <c r="L129" s="6">
        <v>540.5</v>
      </c>
      <c r="M129" s="125">
        <f t="shared" si="1"/>
        <v>-9.5</v>
      </c>
      <c r="N129" s="7"/>
      <c r="O129" s="132"/>
      <c r="P129" s="175"/>
      <c r="V129" s="207"/>
    </row>
    <row r="130" spans="1:22" ht="15" customHeight="1">
      <c r="A130" s="8">
        <v>35983</v>
      </c>
      <c r="B130" s="9">
        <v>0</v>
      </c>
      <c r="C130" s="10"/>
      <c r="D130" s="10"/>
      <c r="E130" s="10">
        <v>103725</v>
      </c>
      <c r="F130" s="9"/>
      <c r="G130" s="10"/>
      <c r="H130" s="10"/>
      <c r="I130" s="120"/>
      <c r="J130" s="120"/>
      <c r="K130" s="22">
        <v>536</v>
      </c>
      <c r="L130" s="6">
        <v>527</v>
      </c>
      <c r="M130" s="125">
        <f t="shared" si="1"/>
        <v>-27</v>
      </c>
      <c r="N130" s="7"/>
      <c r="O130" s="132"/>
      <c r="P130" s="175"/>
      <c r="V130" s="207"/>
    </row>
    <row r="131" spans="1:22" ht="15" customHeight="1">
      <c r="A131" s="8">
        <v>35984</v>
      </c>
      <c r="B131" s="9">
        <v>0</v>
      </c>
      <c r="C131" s="10"/>
      <c r="D131" s="10"/>
      <c r="E131" s="10">
        <v>103725</v>
      </c>
      <c r="F131" s="9"/>
      <c r="G131" s="10"/>
      <c r="H131" s="10"/>
      <c r="I131" s="120"/>
      <c r="J131" s="120"/>
      <c r="K131" s="22">
        <v>528</v>
      </c>
      <c r="L131" s="6">
        <v>524</v>
      </c>
      <c r="M131" s="125">
        <f t="shared" si="1"/>
        <v>-8</v>
      </c>
      <c r="N131" s="7"/>
      <c r="O131" s="132"/>
      <c r="P131" s="175"/>
      <c r="V131" s="207"/>
    </row>
    <row r="132" spans="1:22" ht="15" customHeight="1">
      <c r="A132" s="8">
        <v>35985</v>
      </c>
      <c r="B132" s="9">
        <v>0</v>
      </c>
      <c r="C132" s="10"/>
      <c r="D132" s="10"/>
      <c r="E132" s="10">
        <v>103725</v>
      </c>
      <c r="F132" s="9"/>
      <c r="G132" s="10"/>
      <c r="H132" s="10"/>
      <c r="I132" s="120"/>
      <c r="J132" s="120"/>
      <c r="K132" s="22">
        <v>528</v>
      </c>
      <c r="L132" s="6">
        <v>529</v>
      </c>
      <c r="M132" s="125">
        <f t="shared" si="1"/>
        <v>0</v>
      </c>
      <c r="N132" s="7"/>
      <c r="O132" s="132"/>
      <c r="P132" s="175"/>
      <c r="V132" s="207"/>
    </row>
    <row r="133" spans="1:22" ht="15" customHeight="1">
      <c r="A133" s="8">
        <v>35986</v>
      </c>
      <c r="B133" s="9">
        <v>0</v>
      </c>
      <c r="C133" s="10"/>
      <c r="D133" s="10"/>
      <c r="E133" s="10">
        <v>104075</v>
      </c>
      <c r="F133" s="9"/>
      <c r="G133" s="10"/>
      <c r="H133" s="10"/>
      <c r="I133" s="120"/>
      <c r="J133" s="120"/>
      <c r="K133" s="22">
        <v>541</v>
      </c>
      <c r="L133" s="6">
        <v>532.5</v>
      </c>
      <c r="M133" s="125">
        <f t="shared" ref="M133:M196" si="2">+K133-K132</f>
        <v>13</v>
      </c>
      <c r="N133" s="7"/>
      <c r="O133" s="132"/>
      <c r="P133" s="175"/>
      <c r="V133" s="207"/>
    </row>
    <row r="134" spans="1:22" ht="15" customHeight="1">
      <c r="A134" s="8">
        <v>35989</v>
      </c>
      <c r="B134" s="9">
        <v>0</v>
      </c>
      <c r="C134" s="10"/>
      <c r="D134" s="10"/>
      <c r="E134" s="10">
        <v>104075</v>
      </c>
      <c r="F134" s="9"/>
      <c r="G134" s="10"/>
      <c r="H134" s="10"/>
      <c r="I134" s="120"/>
      <c r="J134" s="120"/>
      <c r="K134" s="22">
        <v>523</v>
      </c>
      <c r="L134" s="6">
        <v>518.5</v>
      </c>
      <c r="M134" s="125">
        <f t="shared" si="2"/>
        <v>-18</v>
      </c>
      <c r="N134" s="7"/>
      <c r="O134" s="132"/>
      <c r="P134" s="175"/>
      <c r="V134" s="207"/>
    </row>
    <row r="135" spans="1:22" ht="15" customHeight="1">
      <c r="A135" s="8">
        <v>35990</v>
      </c>
      <c r="B135" s="9">
        <v>0</v>
      </c>
      <c r="C135" s="10"/>
      <c r="D135" s="10"/>
      <c r="E135" s="10">
        <v>104050</v>
      </c>
      <c r="F135" s="9"/>
      <c r="G135" s="10"/>
      <c r="H135" s="10"/>
      <c r="I135" s="120"/>
      <c r="J135" s="120"/>
      <c r="K135" s="22">
        <v>542.5</v>
      </c>
      <c r="L135" s="6">
        <v>530</v>
      </c>
      <c r="M135" s="125">
        <f t="shared" si="2"/>
        <v>19.5</v>
      </c>
      <c r="N135" s="7"/>
      <c r="O135" s="132"/>
      <c r="P135" s="175"/>
      <c r="V135" s="207"/>
    </row>
    <row r="136" spans="1:22" ht="15" customHeight="1">
      <c r="A136" s="8">
        <v>35991</v>
      </c>
      <c r="B136" s="9">
        <v>0</v>
      </c>
      <c r="C136" s="10"/>
      <c r="D136" s="10"/>
      <c r="E136" s="10">
        <v>104025</v>
      </c>
      <c r="F136" s="9"/>
      <c r="G136" s="10"/>
      <c r="H136" s="10"/>
      <c r="I136" s="120"/>
      <c r="J136" s="120"/>
      <c r="K136" s="22">
        <v>544.5</v>
      </c>
      <c r="L136" s="6">
        <v>539</v>
      </c>
      <c r="M136" s="125">
        <f t="shared" si="2"/>
        <v>2</v>
      </c>
      <c r="N136" s="7"/>
      <c r="O136" s="132"/>
      <c r="P136" s="175"/>
      <c r="V136" s="207"/>
    </row>
    <row r="137" spans="1:22" ht="15" customHeight="1">
      <c r="A137" s="8">
        <v>35992</v>
      </c>
      <c r="B137" s="9">
        <v>0</v>
      </c>
      <c r="C137" s="10"/>
      <c r="D137" s="10"/>
      <c r="E137" s="10">
        <v>105600</v>
      </c>
      <c r="F137" s="9"/>
      <c r="G137" s="10"/>
      <c r="H137" s="10"/>
      <c r="I137" s="120"/>
      <c r="J137" s="120"/>
      <c r="K137" s="22">
        <v>550</v>
      </c>
      <c r="L137" s="6">
        <v>547</v>
      </c>
      <c r="M137" s="125">
        <f t="shared" si="2"/>
        <v>5.5</v>
      </c>
      <c r="N137" s="7"/>
      <c r="O137" s="132"/>
      <c r="P137" s="175"/>
      <c r="V137" s="207"/>
    </row>
    <row r="138" spans="1:22" ht="15" customHeight="1">
      <c r="A138" s="8">
        <v>35993</v>
      </c>
      <c r="B138" s="9">
        <v>0</v>
      </c>
      <c r="C138" s="10"/>
      <c r="D138" s="10"/>
      <c r="E138" s="10">
        <v>105950</v>
      </c>
      <c r="F138" s="9"/>
      <c r="G138" s="10"/>
      <c r="H138" s="10"/>
      <c r="I138" s="120"/>
      <c r="J138" s="120"/>
      <c r="K138" s="22">
        <v>542</v>
      </c>
      <c r="L138" s="6">
        <v>539</v>
      </c>
      <c r="M138" s="125">
        <f t="shared" si="2"/>
        <v>-8</v>
      </c>
      <c r="N138" s="7"/>
      <c r="O138" s="132"/>
      <c r="P138" s="175"/>
      <c r="V138" s="207"/>
    </row>
    <row r="139" spans="1:22" ht="15" customHeight="1">
      <c r="A139" s="8">
        <v>35996</v>
      </c>
      <c r="B139" s="9">
        <v>0</v>
      </c>
      <c r="C139" s="10"/>
      <c r="D139" s="10"/>
      <c r="E139" s="10">
        <v>106700</v>
      </c>
      <c r="F139" s="9"/>
      <c r="G139" s="10"/>
      <c r="H139" s="10"/>
      <c r="I139" s="120"/>
      <c r="J139" s="120"/>
      <c r="K139" s="22">
        <v>536</v>
      </c>
      <c r="L139" s="6">
        <v>537</v>
      </c>
      <c r="M139" s="125">
        <f t="shared" si="2"/>
        <v>-6</v>
      </c>
      <c r="N139" s="7"/>
      <c r="O139" s="132"/>
      <c r="P139" s="175"/>
      <c r="V139" s="207"/>
    </row>
    <row r="140" spans="1:22" ht="15" customHeight="1">
      <c r="A140" s="8">
        <v>35997</v>
      </c>
      <c r="B140" s="9">
        <v>0</v>
      </c>
      <c r="C140" s="10"/>
      <c r="D140" s="10"/>
      <c r="E140" s="10">
        <v>106050</v>
      </c>
      <c r="F140" s="9"/>
      <c r="G140" s="10"/>
      <c r="H140" s="10"/>
      <c r="I140" s="120"/>
      <c r="J140" s="120"/>
      <c r="K140" s="22">
        <v>534</v>
      </c>
      <c r="L140" s="6">
        <v>535</v>
      </c>
      <c r="M140" s="125">
        <f t="shared" si="2"/>
        <v>-2</v>
      </c>
      <c r="N140" s="7"/>
      <c r="O140" s="132"/>
      <c r="P140" s="175"/>
      <c r="V140" s="207"/>
    </row>
    <row r="141" spans="1:22" ht="15" customHeight="1">
      <c r="A141" s="8">
        <v>35998</v>
      </c>
      <c r="B141" s="9">
        <v>0</v>
      </c>
      <c r="C141" s="10"/>
      <c r="D141" s="10"/>
      <c r="E141" s="10">
        <v>106675</v>
      </c>
      <c r="F141" s="9"/>
      <c r="G141" s="10"/>
      <c r="H141" s="10"/>
      <c r="I141" s="120"/>
      <c r="J141" s="120"/>
      <c r="K141" s="22">
        <v>529</v>
      </c>
      <c r="L141" s="6">
        <v>532</v>
      </c>
      <c r="M141" s="125">
        <f t="shared" si="2"/>
        <v>-5</v>
      </c>
      <c r="N141" s="7"/>
      <c r="O141" s="132"/>
      <c r="P141" s="175"/>
      <c r="V141" s="207"/>
    </row>
    <row r="142" spans="1:22" ht="15" customHeight="1">
      <c r="A142" s="8">
        <v>35999</v>
      </c>
      <c r="B142" s="9">
        <v>0</v>
      </c>
      <c r="C142" s="10"/>
      <c r="D142" s="10"/>
      <c r="E142" s="10">
        <v>106550</v>
      </c>
      <c r="F142" s="9"/>
      <c r="G142" s="10"/>
      <c r="H142" s="10"/>
      <c r="I142" s="120"/>
      <c r="J142" s="120"/>
      <c r="K142" s="22">
        <v>543</v>
      </c>
      <c r="L142" s="6">
        <v>542</v>
      </c>
      <c r="M142" s="125">
        <f t="shared" si="2"/>
        <v>14</v>
      </c>
      <c r="N142" s="7"/>
      <c r="O142" s="132"/>
      <c r="P142" s="175"/>
      <c r="V142" s="207"/>
    </row>
    <row r="143" spans="1:22" ht="15" customHeight="1">
      <c r="A143" s="8">
        <v>36000</v>
      </c>
      <c r="B143" s="9">
        <v>0</v>
      </c>
      <c r="C143" s="10"/>
      <c r="D143" s="10"/>
      <c r="E143" s="10">
        <v>107000</v>
      </c>
      <c r="F143" s="9"/>
      <c r="G143" s="10"/>
      <c r="H143" s="10"/>
      <c r="I143" s="120"/>
      <c r="J143" s="120"/>
      <c r="K143" s="22">
        <v>572</v>
      </c>
      <c r="L143" s="6">
        <v>564</v>
      </c>
      <c r="M143" s="125">
        <f t="shared" si="2"/>
        <v>29</v>
      </c>
      <c r="N143" s="7"/>
      <c r="O143" s="132"/>
      <c r="P143" s="175"/>
      <c r="V143" s="207"/>
    </row>
    <row r="144" spans="1:22" ht="15" customHeight="1">
      <c r="A144" s="8">
        <v>36003</v>
      </c>
      <c r="B144" s="9">
        <v>0</v>
      </c>
      <c r="C144" s="10"/>
      <c r="D144" s="10"/>
      <c r="E144" s="10">
        <v>107375</v>
      </c>
      <c r="F144" s="9"/>
      <c r="G144" s="10"/>
      <c r="H144" s="10"/>
      <c r="I144" s="120"/>
      <c r="J144" s="120"/>
      <c r="K144" s="22">
        <v>565.5</v>
      </c>
      <c r="L144" s="6">
        <v>564</v>
      </c>
      <c r="M144" s="125">
        <f t="shared" si="2"/>
        <v>-6.5</v>
      </c>
      <c r="N144" s="7"/>
      <c r="O144" s="132"/>
      <c r="P144" s="175"/>
      <c r="V144" s="207"/>
    </row>
    <row r="145" spans="1:22" ht="15" customHeight="1">
      <c r="A145" s="8">
        <v>36004</v>
      </c>
      <c r="B145" s="9">
        <v>0</v>
      </c>
      <c r="C145" s="10"/>
      <c r="D145" s="10"/>
      <c r="E145" s="10">
        <v>107250</v>
      </c>
      <c r="F145" s="9"/>
      <c r="G145" s="10"/>
      <c r="H145" s="10"/>
      <c r="I145" s="120"/>
      <c r="J145" s="120"/>
      <c r="K145" s="22">
        <v>554</v>
      </c>
      <c r="L145" s="6">
        <v>558.5</v>
      </c>
      <c r="M145" s="125">
        <f t="shared" si="2"/>
        <v>-11.5</v>
      </c>
      <c r="N145" s="7"/>
      <c r="O145" s="132"/>
      <c r="P145" s="175"/>
      <c r="V145" s="207"/>
    </row>
    <row r="146" spans="1:22" ht="15" customHeight="1">
      <c r="A146" s="8">
        <v>36005</v>
      </c>
      <c r="B146" s="9">
        <v>0</v>
      </c>
      <c r="C146" s="10"/>
      <c r="D146" s="10"/>
      <c r="E146" s="10">
        <v>107750</v>
      </c>
      <c r="F146" s="9"/>
      <c r="G146" s="10"/>
      <c r="H146" s="10"/>
      <c r="I146" s="120"/>
      <c r="J146" s="120"/>
      <c r="K146" s="22">
        <v>550</v>
      </c>
      <c r="L146" s="6">
        <v>555</v>
      </c>
      <c r="M146" s="125">
        <f t="shared" si="2"/>
        <v>-4</v>
      </c>
      <c r="N146" s="7"/>
      <c r="O146" s="132"/>
      <c r="P146" s="175"/>
      <c r="V146" s="207"/>
    </row>
    <row r="147" spans="1:22" ht="15" customHeight="1">
      <c r="A147" s="8">
        <v>36006</v>
      </c>
      <c r="B147" s="9">
        <v>0</v>
      </c>
      <c r="C147" s="10"/>
      <c r="D147" s="10"/>
      <c r="E147" s="10">
        <v>107750</v>
      </c>
      <c r="F147" s="9"/>
      <c r="G147" s="10"/>
      <c r="H147" s="10"/>
      <c r="I147" s="120"/>
      <c r="J147" s="120"/>
      <c r="K147" s="22">
        <v>547</v>
      </c>
      <c r="L147" s="6">
        <v>553</v>
      </c>
      <c r="M147" s="125">
        <f t="shared" si="2"/>
        <v>-3</v>
      </c>
      <c r="N147" s="7"/>
      <c r="O147" s="132"/>
      <c r="P147" s="175"/>
      <c r="V147" s="207"/>
    </row>
    <row r="148" spans="1:22" ht="15" customHeight="1">
      <c r="A148" s="8">
        <v>36007</v>
      </c>
      <c r="B148" s="9">
        <v>0</v>
      </c>
      <c r="C148" s="10"/>
      <c r="D148" s="10"/>
      <c r="E148" s="10">
        <v>107825</v>
      </c>
      <c r="F148" s="9"/>
      <c r="G148" s="10"/>
      <c r="H148" s="10"/>
      <c r="I148" s="120"/>
      <c r="J148" s="120"/>
      <c r="K148" s="22">
        <v>550</v>
      </c>
      <c r="L148" s="6">
        <v>555.5</v>
      </c>
      <c r="M148" s="125">
        <f t="shared" si="2"/>
        <v>3</v>
      </c>
      <c r="N148" s="7"/>
      <c r="O148" s="132"/>
      <c r="P148" s="175"/>
      <c r="V148" s="207"/>
    </row>
    <row r="149" spans="1:22" ht="15" customHeight="1">
      <c r="A149" s="8">
        <v>36010</v>
      </c>
      <c r="B149" s="9">
        <v>0</v>
      </c>
      <c r="C149" s="10"/>
      <c r="D149" s="10"/>
      <c r="E149" s="10">
        <v>107800</v>
      </c>
      <c r="F149" s="9"/>
      <c r="G149" s="10"/>
      <c r="H149" s="10"/>
      <c r="I149" s="120"/>
      <c r="J149" s="120"/>
      <c r="K149" s="22">
        <v>544</v>
      </c>
      <c r="L149" s="6">
        <v>550</v>
      </c>
      <c r="M149" s="125">
        <f t="shared" si="2"/>
        <v>-6</v>
      </c>
      <c r="N149" s="7"/>
      <c r="O149" s="132"/>
      <c r="P149" s="175"/>
      <c r="V149" s="207"/>
    </row>
    <row r="150" spans="1:22" ht="15" customHeight="1">
      <c r="A150" s="8">
        <v>36011</v>
      </c>
      <c r="B150" s="9">
        <v>0</v>
      </c>
      <c r="C150" s="10"/>
      <c r="D150" s="10"/>
      <c r="E150" s="10">
        <v>107700</v>
      </c>
      <c r="F150" s="9"/>
      <c r="G150" s="10"/>
      <c r="H150" s="10"/>
      <c r="I150" s="120"/>
      <c r="J150" s="120"/>
      <c r="K150" s="22">
        <v>547</v>
      </c>
      <c r="L150" s="6">
        <v>553.5</v>
      </c>
      <c r="M150" s="125">
        <f t="shared" si="2"/>
        <v>3</v>
      </c>
      <c r="N150" s="7"/>
      <c r="O150" s="132"/>
      <c r="P150" s="175"/>
      <c r="V150" s="207"/>
    </row>
    <row r="151" spans="1:22" ht="15" customHeight="1">
      <c r="A151" s="8">
        <v>36012</v>
      </c>
      <c r="B151" s="9">
        <v>0</v>
      </c>
      <c r="C151" s="10"/>
      <c r="D151" s="10"/>
      <c r="E151" s="10">
        <v>107700</v>
      </c>
      <c r="F151" s="9"/>
      <c r="G151" s="10"/>
      <c r="H151" s="10"/>
      <c r="I151" s="120"/>
      <c r="J151" s="120"/>
      <c r="K151" s="22">
        <v>551.5</v>
      </c>
      <c r="L151" s="6">
        <v>557</v>
      </c>
      <c r="M151" s="125">
        <f t="shared" si="2"/>
        <v>4.5</v>
      </c>
      <c r="N151" s="7"/>
      <c r="O151" s="132"/>
      <c r="P151" s="175"/>
      <c r="V151" s="207"/>
    </row>
    <row r="152" spans="1:22" ht="15" customHeight="1">
      <c r="A152" s="8">
        <v>36013</v>
      </c>
      <c r="B152" s="9">
        <v>0</v>
      </c>
      <c r="C152" s="10"/>
      <c r="D152" s="10"/>
      <c r="E152" s="10">
        <v>113525</v>
      </c>
      <c r="F152" s="9"/>
      <c r="G152" s="10"/>
      <c r="H152" s="10"/>
      <c r="I152" s="120"/>
      <c r="J152" s="120"/>
      <c r="K152" s="22">
        <v>529.5</v>
      </c>
      <c r="L152" s="6">
        <v>535.5</v>
      </c>
      <c r="M152" s="125">
        <f t="shared" si="2"/>
        <v>-22</v>
      </c>
      <c r="N152" s="7"/>
      <c r="O152" s="132"/>
      <c r="P152" s="175"/>
      <c r="V152" s="207"/>
    </row>
    <row r="153" spans="1:22" ht="15" customHeight="1">
      <c r="A153" s="8">
        <v>36014</v>
      </c>
      <c r="B153" s="9">
        <v>0</v>
      </c>
      <c r="C153" s="10"/>
      <c r="D153" s="10"/>
      <c r="E153" s="10">
        <v>113500</v>
      </c>
      <c r="F153" s="9"/>
      <c r="G153" s="10"/>
      <c r="H153" s="10"/>
      <c r="I153" s="120"/>
      <c r="J153" s="120"/>
      <c r="K153" s="22">
        <v>540</v>
      </c>
      <c r="L153" s="6">
        <v>545</v>
      </c>
      <c r="M153" s="125">
        <f t="shared" si="2"/>
        <v>10.5</v>
      </c>
      <c r="N153" s="7"/>
      <c r="O153" s="132"/>
      <c r="P153" s="175"/>
      <c r="V153" s="207"/>
    </row>
    <row r="154" spans="1:22" ht="15" customHeight="1">
      <c r="A154" s="8">
        <v>36017</v>
      </c>
      <c r="B154" s="9">
        <v>0</v>
      </c>
      <c r="C154" s="10"/>
      <c r="D154" s="10"/>
      <c r="E154" s="10">
        <v>113325</v>
      </c>
      <c r="F154" s="9"/>
      <c r="G154" s="10"/>
      <c r="H154" s="10"/>
      <c r="I154" s="120"/>
      <c r="J154" s="120"/>
      <c r="K154" s="22">
        <v>548</v>
      </c>
      <c r="L154" s="6">
        <v>554</v>
      </c>
      <c r="M154" s="125">
        <f t="shared" si="2"/>
        <v>8</v>
      </c>
      <c r="N154" s="7"/>
      <c r="O154" s="132"/>
      <c r="P154" s="175"/>
      <c r="V154" s="207"/>
    </row>
    <row r="155" spans="1:22" ht="15" customHeight="1">
      <c r="A155" s="8">
        <v>36018</v>
      </c>
      <c r="B155" s="9">
        <v>0</v>
      </c>
      <c r="C155" s="10"/>
      <c r="D155" s="10"/>
      <c r="E155" s="10">
        <v>114100</v>
      </c>
      <c r="F155" s="9"/>
      <c r="G155" s="10"/>
      <c r="H155" s="10"/>
      <c r="I155" s="120"/>
      <c r="J155" s="120"/>
      <c r="K155" s="22">
        <v>538</v>
      </c>
      <c r="L155" s="6">
        <v>546</v>
      </c>
      <c r="M155" s="125">
        <f t="shared" si="2"/>
        <v>-10</v>
      </c>
      <c r="N155" s="7"/>
      <c r="O155" s="132"/>
      <c r="P155" s="175"/>
      <c r="V155" s="207"/>
    </row>
    <row r="156" spans="1:22" ht="15" customHeight="1">
      <c r="A156" s="8">
        <v>36019</v>
      </c>
      <c r="B156" s="9">
        <v>0</v>
      </c>
      <c r="C156" s="10"/>
      <c r="D156" s="10"/>
      <c r="E156" s="10">
        <v>113850</v>
      </c>
      <c r="F156" s="9"/>
      <c r="G156" s="10"/>
      <c r="H156" s="10"/>
      <c r="I156" s="120"/>
      <c r="J156" s="120"/>
      <c r="K156" s="22">
        <v>537.5</v>
      </c>
      <c r="L156" s="6">
        <v>548</v>
      </c>
      <c r="M156" s="125">
        <f t="shared" si="2"/>
        <v>-0.5</v>
      </c>
      <c r="N156" s="7"/>
      <c r="O156" s="132"/>
      <c r="P156" s="175"/>
      <c r="V156" s="207"/>
    </row>
    <row r="157" spans="1:22" ht="15" customHeight="1">
      <c r="A157" s="8">
        <v>36020</v>
      </c>
      <c r="B157" s="9">
        <v>0</v>
      </c>
      <c r="C157" s="10"/>
      <c r="D157" s="10"/>
      <c r="E157" s="10">
        <v>113825</v>
      </c>
      <c r="F157" s="9"/>
      <c r="G157" s="10"/>
      <c r="H157" s="10"/>
      <c r="I157" s="120"/>
      <c r="J157" s="120"/>
      <c r="K157" s="22">
        <v>536</v>
      </c>
      <c r="L157" s="6">
        <v>546.5</v>
      </c>
      <c r="M157" s="125">
        <f t="shared" si="2"/>
        <v>-1.5</v>
      </c>
      <c r="N157" s="7"/>
      <c r="O157" s="132"/>
      <c r="P157" s="175"/>
      <c r="V157" s="207"/>
    </row>
    <row r="158" spans="1:22" ht="15" customHeight="1">
      <c r="A158" s="8">
        <v>36021</v>
      </c>
      <c r="B158" s="9">
        <v>0</v>
      </c>
      <c r="C158" s="10"/>
      <c r="D158" s="10"/>
      <c r="E158" s="10">
        <v>112800</v>
      </c>
      <c r="F158" s="9"/>
      <c r="G158" s="10"/>
      <c r="H158" s="10"/>
      <c r="I158" s="120"/>
      <c r="J158" s="120"/>
      <c r="K158" s="22">
        <v>546</v>
      </c>
      <c r="L158" s="6">
        <v>553</v>
      </c>
      <c r="M158" s="125">
        <f t="shared" si="2"/>
        <v>10</v>
      </c>
      <c r="N158" s="7"/>
      <c r="O158" s="132"/>
      <c r="P158" s="175"/>
      <c r="V158" s="207"/>
    </row>
    <row r="159" spans="1:22" ht="15" customHeight="1">
      <c r="A159" s="8">
        <v>36024</v>
      </c>
      <c r="B159" s="9">
        <v>0</v>
      </c>
      <c r="C159" s="10"/>
      <c r="D159" s="10"/>
      <c r="E159" s="10">
        <v>112525</v>
      </c>
      <c r="F159" s="9"/>
      <c r="G159" s="10"/>
      <c r="H159" s="10"/>
      <c r="I159" s="120"/>
      <c r="J159" s="120"/>
      <c r="K159" s="22">
        <v>549</v>
      </c>
      <c r="L159" s="6">
        <v>553</v>
      </c>
      <c r="M159" s="125">
        <f t="shared" si="2"/>
        <v>3</v>
      </c>
      <c r="N159" s="7"/>
      <c r="O159" s="132"/>
      <c r="P159" s="175"/>
      <c r="V159" s="207"/>
    </row>
    <row r="160" spans="1:22" ht="15" customHeight="1">
      <c r="A160" s="8">
        <v>36025</v>
      </c>
      <c r="B160" s="9">
        <v>0</v>
      </c>
      <c r="C160" s="10"/>
      <c r="D160" s="10"/>
      <c r="E160" s="10">
        <v>117700</v>
      </c>
      <c r="F160" s="9"/>
      <c r="G160" s="10"/>
      <c r="H160" s="10"/>
      <c r="I160" s="120"/>
      <c r="J160" s="120"/>
      <c r="K160" s="22">
        <v>538</v>
      </c>
      <c r="L160" s="6">
        <v>545</v>
      </c>
      <c r="M160" s="125">
        <f t="shared" si="2"/>
        <v>-11</v>
      </c>
      <c r="N160" s="7"/>
      <c r="O160" s="132"/>
      <c r="P160" s="175"/>
      <c r="V160" s="207"/>
    </row>
    <row r="161" spans="1:22" ht="15" customHeight="1">
      <c r="A161" s="8">
        <v>36026</v>
      </c>
      <c r="B161" s="9">
        <v>0</v>
      </c>
      <c r="C161" s="10"/>
      <c r="D161" s="10"/>
      <c r="E161" s="10">
        <v>117700</v>
      </c>
      <c r="F161" s="9"/>
      <c r="G161" s="10"/>
      <c r="H161" s="10"/>
      <c r="I161" s="120"/>
      <c r="J161" s="120"/>
      <c r="K161" s="22">
        <v>531</v>
      </c>
      <c r="L161" s="6">
        <v>540</v>
      </c>
      <c r="M161" s="125">
        <f t="shared" si="2"/>
        <v>-7</v>
      </c>
      <c r="N161" s="7"/>
      <c r="O161" s="132"/>
      <c r="P161" s="175"/>
      <c r="V161" s="207"/>
    </row>
    <row r="162" spans="1:22" ht="15" customHeight="1">
      <c r="A162" s="8">
        <v>36027</v>
      </c>
      <c r="B162" s="9">
        <v>0</v>
      </c>
      <c r="C162" s="10"/>
      <c r="D162" s="10"/>
      <c r="E162" s="10">
        <v>117400</v>
      </c>
      <c r="F162" s="9"/>
      <c r="G162" s="10"/>
      <c r="H162" s="10"/>
      <c r="I162" s="120"/>
      <c r="J162" s="120"/>
      <c r="K162" s="22">
        <v>535</v>
      </c>
      <c r="L162" s="6">
        <v>545</v>
      </c>
      <c r="M162" s="125">
        <f t="shared" si="2"/>
        <v>4</v>
      </c>
      <c r="N162" s="7"/>
      <c r="O162" s="132"/>
      <c r="P162" s="175"/>
      <c r="V162" s="207"/>
    </row>
    <row r="163" spans="1:22" ht="15" customHeight="1">
      <c r="A163" s="8">
        <v>36028</v>
      </c>
      <c r="B163" s="9">
        <v>0</v>
      </c>
      <c r="C163" s="10"/>
      <c r="D163" s="10"/>
      <c r="E163" s="10">
        <v>117175</v>
      </c>
      <c r="F163" s="9"/>
      <c r="G163" s="10"/>
      <c r="H163" s="10"/>
      <c r="I163" s="120"/>
      <c r="J163" s="120"/>
      <c r="K163" s="22">
        <v>523</v>
      </c>
      <c r="L163" s="6">
        <v>534.5</v>
      </c>
      <c r="M163" s="125">
        <f t="shared" si="2"/>
        <v>-12</v>
      </c>
      <c r="N163" s="7"/>
      <c r="O163" s="132"/>
      <c r="P163" s="175"/>
      <c r="V163" s="207"/>
    </row>
    <row r="164" spans="1:22" ht="15" customHeight="1">
      <c r="A164" s="8">
        <v>36031</v>
      </c>
      <c r="B164" s="9">
        <v>0</v>
      </c>
      <c r="C164" s="10"/>
      <c r="D164" s="10"/>
      <c r="E164" s="10">
        <v>116625</v>
      </c>
      <c r="F164" s="9"/>
      <c r="G164" s="10"/>
      <c r="H164" s="10"/>
      <c r="I164" s="120"/>
      <c r="J164" s="120"/>
      <c r="K164" s="22">
        <v>528.5</v>
      </c>
      <c r="L164" s="6">
        <v>539</v>
      </c>
      <c r="M164" s="125">
        <f t="shared" si="2"/>
        <v>5.5</v>
      </c>
      <c r="N164" s="7"/>
      <c r="O164" s="132"/>
      <c r="P164" s="175"/>
      <c r="V164" s="207"/>
    </row>
    <row r="165" spans="1:22" ht="15" customHeight="1">
      <c r="A165" s="8">
        <v>36032</v>
      </c>
      <c r="B165" s="9">
        <v>0</v>
      </c>
      <c r="C165" s="10"/>
      <c r="D165" s="10"/>
      <c r="E165" s="10">
        <v>116550</v>
      </c>
      <c r="F165" s="9"/>
      <c r="G165" s="10"/>
      <c r="H165" s="10"/>
      <c r="I165" s="120"/>
      <c r="J165" s="120"/>
      <c r="K165" s="22">
        <v>528</v>
      </c>
      <c r="L165" s="6">
        <v>537.5</v>
      </c>
      <c r="M165" s="125">
        <f t="shared" si="2"/>
        <v>-0.5</v>
      </c>
      <c r="N165" s="7"/>
      <c r="O165" s="132"/>
      <c r="P165" s="175"/>
      <c r="V165" s="207"/>
    </row>
    <row r="166" spans="1:22" ht="15" customHeight="1">
      <c r="A166" s="8">
        <v>36033</v>
      </c>
      <c r="B166" s="9">
        <v>0</v>
      </c>
      <c r="C166" s="10"/>
      <c r="D166" s="10"/>
      <c r="E166" s="10">
        <v>116475</v>
      </c>
      <c r="F166" s="9"/>
      <c r="G166" s="10"/>
      <c r="H166" s="10"/>
      <c r="I166" s="120"/>
      <c r="J166" s="120"/>
      <c r="K166" s="22">
        <v>525</v>
      </c>
      <c r="L166" s="6">
        <v>536</v>
      </c>
      <c r="M166" s="125">
        <f t="shared" si="2"/>
        <v>-3</v>
      </c>
      <c r="N166" s="7"/>
      <c r="O166" s="132"/>
      <c r="P166" s="175"/>
      <c r="V166" s="207"/>
    </row>
    <row r="167" spans="1:22" ht="15" customHeight="1">
      <c r="A167" s="8">
        <v>36034</v>
      </c>
      <c r="B167" s="9">
        <v>0</v>
      </c>
      <c r="C167" s="10"/>
      <c r="D167" s="10"/>
      <c r="E167" s="10">
        <v>116450</v>
      </c>
      <c r="F167" s="9"/>
      <c r="G167" s="10"/>
      <c r="H167" s="10"/>
      <c r="I167" s="120"/>
      <c r="J167" s="120"/>
      <c r="K167" s="22">
        <v>527</v>
      </c>
      <c r="L167" s="6">
        <v>537.5</v>
      </c>
      <c r="M167" s="125">
        <f t="shared" si="2"/>
        <v>2</v>
      </c>
      <c r="N167" s="7"/>
      <c r="O167" s="132"/>
      <c r="P167" s="175"/>
      <c r="V167" s="207"/>
    </row>
    <row r="168" spans="1:22" ht="15" customHeight="1">
      <c r="A168" s="8">
        <v>36035</v>
      </c>
      <c r="B168" s="9">
        <v>0</v>
      </c>
      <c r="C168" s="10"/>
      <c r="D168" s="10"/>
      <c r="E168" s="10">
        <v>114550</v>
      </c>
      <c r="F168" s="9"/>
      <c r="G168" s="10"/>
      <c r="H168" s="10"/>
      <c r="I168" s="120"/>
      <c r="J168" s="120"/>
      <c r="K168" s="22">
        <v>532</v>
      </c>
      <c r="L168" s="6">
        <v>542.5</v>
      </c>
      <c r="M168" s="125">
        <f t="shared" si="2"/>
        <v>5</v>
      </c>
      <c r="N168" s="7"/>
      <c r="O168" s="132"/>
      <c r="P168" s="175"/>
      <c r="V168" s="207"/>
    </row>
    <row r="169" spans="1:22" ht="15" customHeight="1">
      <c r="A169" s="8">
        <v>36039</v>
      </c>
      <c r="B169" s="9">
        <v>0</v>
      </c>
      <c r="C169" s="10"/>
      <c r="D169" s="10"/>
      <c r="E169" s="10">
        <v>114525</v>
      </c>
      <c r="F169" s="9"/>
      <c r="G169" s="10"/>
      <c r="H169" s="10"/>
      <c r="I169" s="120"/>
      <c r="J169" s="120"/>
      <c r="K169" s="22">
        <v>530</v>
      </c>
      <c r="L169" s="6">
        <v>540.5</v>
      </c>
      <c r="M169" s="125">
        <f t="shared" si="2"/>
        <v>-2</v>
      </c>
      <c r="N169" s="7"/>
      <c r="O169" s="132"/>
      <c r="P169" s="175"/>
      <c r="V169" s="207"/>
    </row>
    <row r="170" spans="1:22" ht="15" customHeight="1">
      <c r="A170" s="8">
        <v>36040</v>
      </c>
      <c r="B170" s="9">
        <v>0</v>
      </c>
      <c r="C170" s="10"/>
      <c r="D170" s="10"/>
      <c r="E170" s="10">
        <v>113500</v>
      </c>
      <c r="F170" s="9"/>
      <c r="G170" s="10"/>
      <c r="H170" s="10"/>
      <c r="I170" s="120"/>
      <c r="J170" s="120"/>
      <c r="K170" s="22">
        <v>526</v>
      </c>
      <c r="L170" s="6">
        <v>537</v>
      </c>
      <c r="M170" s="125">
        <f t="shared" si="2"/>
        <v>-4</v>
      </c>
      <c r="N170" s="7"/>
      <c r="O170" s="132"/>
      <c r="P170" s="175"/>
      <c r="V170" s="207"/>
    </row>
    <row r="171" spans="1:22" ht="15" customHeight="1">
      <c r="A171" s="8">
        <v>36041</v>
      </c>
      <c r="B171" s="9">
        <v>0</v>
      </c>
      <c r="C171" s="10"/>
      <c r="D171" s="10"/>
      <c r="E171" s="10">
        <v>113500</v>
      </c>
      <c r="F171" s="9"/>
      <c r="G171" s="10"/>
      <c r="H171" s="10"/>
      <c r="I171" s="120"/>
      <c r="J171" s="120"/>
      <c r="K171" s="22">
        <v>528.5</v>
      </c>
      <c r="L171" s="6">
        <v>538</v>
      </c>
      <c r="M171" s="125">
        <f t="shared" si="2"/>
        <v>2.5</v>
      </c>
      <c r="N171" s="7"/>
      <c r="O171" s="132"/>
      <c r="P171" s="175"/>
      <c r="V171" s="207"/>
    </row>
    <row r="172" spans="1:22" ht="15" customHeight="1">
      <c r="A172" s="8">
        <v>36042</v>
      </c>
      <c r="B172" s="9">
        <v>0</v>
      </c>
      <c r="C172" s="10"/>
      <c r="D172" s="10"/>
      <c r="E172" s="10">
        <v>113500</v>
      </c>
      <c r="F172" s="9"/>
      <c r="G172" s="10"/>
      <c r="H172" s="10"/>
      <c r="I172" s="120"/>
      <c r="J172" s="120"/>
      <c r="K172" s="22">
        <v>531.5</v>
      </c>
      <c r="L172" s="6">
        <v>542</v>
      </c>
      <c r="M172" s="125">
        <f t="shared" si="2"/>
        <v>3</v>
      </c>
      <c r="N172" s="7"/>
      <c r="O172" s="132"/>
      <c r="P172" s="175"/>
      <c r="V172" s="207"/>
    </row>
    <row r="173" spans="1:22" ht="15" customHeight="1">
      <c r="A173" s="8">
        <v>36045</v>
      </c>
      <c r="B173" s="9">
        <v>0</v>
      </c>
      <c r="C173" s="10"/>
      <c r="D173" s="10"/>
      <c r="E173" s="10">
        <v>113425</v>
      </c>
      <c r="F173" s="9"/>
      <c r="G173" s="10"/>
      <c r="H173" s="10"/>
      <c r="I173" s="120"/>
      <c r="J173" s="120"/>
      <c r="K173" s="22">
        <v>529.5</v>
      </c>
      <c r="L173" s="6">
        <v>539.5</v>
      </c>
      <c r="M173" s="125">
        <f t="shared" si="2"/>
        <v>-2</v>
      </c>
      <c r="N173" s="7"/>
      <c r="O173" s="132"/>
      <c r="P173" s="175"/>
      <c r="V173" s="207"/>
    </row>
    <row r="174" spans="1:22" ht="15" customHeight="1">
      <c r="A174" s="8">
        <v>36046</v>
      </c>
      <c r="B174" s="9">
        <v>0</v>
      </c>
      <c r="C174" s="10"/>
      <c r="D174" s="10"/>
      <c r="E174" s="10">
        <v>113275</v>
      </c>
      <c r="F174" s="9"/>
      <c r="G174" s="10"/>
      <c r="H174" s="10"/>
      <c r="I174" s="120"/>
      <c r="J174" s="120"/>
      <c r="K174" s="22">
        <v>531.5</v>
      </c>
      <c r="L174" s="6">
        <v>541</v>
      </c>
      <c r="M174" s="125">
        <f t="shared" si="2"/>
        <v>2</v>
      </c>
      <c r="N174" s="7"/>
      <c r="O174" s="132"/>
      <c r="P174" s="175"/>
      <c r="V174" s="207"/>
    </row>
    <row r="175" spans="1:22" ht="15" customHeight="1">
      <c r="A175" s="8">
        <v>36047</v>
      </c>
      <c r="B175" s="9">
        <v>0</v>
      </c>
      <c r="C175" s="10"/>
      <c r="D175" s="10"/>
      <c r="E175" s="10">
        <v>113125</v>
      </c>
      <c r="F175" s="9"/>
      <c r="G175" s="10"/>
      <c r="H175" s="10"/>
      <c r="I175" s="120"/>
      <c r="J175" s="120"/>
      <c r="K175" s="22">
        <v>528.5</v>
      </c>
      <c r="L175" s="6">
        <v>539.5</v>
      </c>
      <c r="M175" s="125">
        <f t="shared" si="2"/>
        <v>-3</v>
      </c>
      <c r="N175" s="7"/>
      <c r="O175" s="132"/>
      <c r="P175" s="175"/>
      <c r="V175" s="207"/>
    </row>
    <row r="176" spans="1:22" ht="15" customHeight="1">
      <c r="A176" s="8">
        <v>36048</v>
      </c>
      <c r="B176" s="9">
        <v>0</v>
      </c>
      <c r="C176" s="10"/>
      <c r="D176" s="10"/>
      <c r="E176" s="10">
        <v>112875</v>
      </c>
      <c r="F176" s="9"/>
      <c r="G176" s="10"/>
      <c r="H176" s="10"/>
      <c r="I176" s="120"/>
      <c r="J176" s="120"/>
      <c r="K176" s="22">
        <v>527</v>
      </c>
      <c r="L176" s="6">
        <v>538.5</v>
      </c>
      <c r="M176" s="125">
        <f t="shared" si="2"/>
        <v>-1.5</v>
      </c>
      <c r="N176" s="7"/>
      <c r="O176" s="132"/>
      <c r="P176" s="175"/>
      <c r="V176" s="207"/>
    </row>
    <row r="177" spans="1:22" ht="15" customHeight="1">
      <c r="A177" s="8">
        <v>36049</v>
      </c>
      <c r="B177" s="9">
        <v>0</v>
      </c>
      <c r="C177" s="10"/>
      <c r="D177" s="10"/>
      <c r="E177" s="10">
        <v>112625</v>
      </c>
      <c r="F177" s="9"/>
      <c r="G177" s="10"/>
      <c r="H177" s="10"/>
      <c r="I177" s="120"/>
      <c r="J177" s="120"/>
      <c r="K177" s="22">
        <v>516</v>
      </c>
      <c r="L177" s="6">
        <v>526.5</v>
      </c>
      <c r="M177" s="125">
        <f t="shared" si="2"/>
        <v>-11</v>
      </c>
      <c r="N177" s="7"/>
      <c r="O177" s="132"/>
      <c r="P177" s="175"/>
      <c r="V177" s="207"/>
    </row>
    <row r="178" spans="1:22" ht="15" customHeight="1">
      <c r="A178" s="8">
        <v>36052</v>
      </c>
      <c r="B178" s="9">
        <v>0</v>
      </c>
      <c r="C178" s="10"/>
      <c r="D178" s="10"/>
      <c r="E178" s="10">
        <v>114575</v>
      </c>
      <c r="F178" s="9"/>
      <c r="G178" s="10"/>
      <c r="H178" s="10"/>
      <c r="I178" s="120"/>
      <c r="J178" s="120"/>
      <c r="K178" s="22">
        <v>513</v>
      </c>
      <c r="L178" s="6">
        <v>526</v>
      </c>
      <c r="M178" s="125">
        <f t="shared" si="2"/>
        <v>-3</v>
      </c>
      <c r="N178" s="7"/>
      <c r="O178" s="132"/>
      <c r="P178" s="175"/>
      <c r="V178" s="207"/>
    </row>
    <row r="179" spans="1:22" ht="15" customHeight="1">
      <c r="A179" s="8">
        <v>36053</v>
      </c>
      <c r="B179" s="9">
        <v>0</v>
      </c>
      <c r="C179" s="10"/>
      <c r="D179" s="10"/>
      <c r="E179" s="10">
        <v>115875</v>
      </c>
      <c r="F179" s="9"/>
      <c r="G179" s="10"/>
      <c r="H179" s="10"/>
      <c r="I179" s="120"/>
      <c r="J179" s="120"/>
      <c r="K179" s="22">
        <v>516.5</v>
      </c>
      <c r="L179" s="6">
        <v>530.5</v>
      </c>
      <c r="M179" s="125">
        <f t="shared" si="2"/>
        <v>3.5</v>
      </c>
      <c r="N179" s="7"/>
      <c r="O179" s="132"/>
      <c r="P179" s="175"/>
      <c r="V179" s="207"/>
    </row>
    <row r="180" spans="1:22" ht="15" customHeight="1">
      <c r="A180" s="8">
        <v>36054</v>
      </c>
      <c r="B180" s="9">
        <v>0</v>
      </c>
      <c r="C180" s="10"/>
      <c r="D180" s="10"/>
      <c r="E180" s="10">
        <v>115600</v>
      </c>
      <c r="F180" s="9"/>
      <c r="G180" s="10"/>
      <c r="H180" s="10"/>
      <c r="I180" s="120"/>
      <c r="J180" s="120"/>
      <c r="K180" s="22">
        <v>516.5</v>
      </c>
      <c r="L180" s="6">
        <v>530.5</v>
      </c>
      <c r="M180" s="125">
        <f t="shared" si="2"/>
        <v>0</v>
      </c>
      <c r="N180" s="7"/>
      <c r="O180" s="132"/>
      <c r="P180" s="175"/>
      <c r="V180" s="207"/>
    </row>
    <row r="181" spans="1:22" ht="15" customHeight="1">
      <c r="A181" s="8">
        <v>36055</v>
      </c>
      <c r="B181" s="9">
        <v>0</v>
      </c>
      <c r="C181" s="10"/>
      <c r="D181" s="10"/>
      <c r="E181" s="10">
        <v>115350</v>
      </c>
      <c r="F181" s="9"/>
      <c r="G181" s="10"/>
      <c r="H181" s="10"/>
      <c r="I181" s="120"/>
      <c r="J181" s="120"/>
      <c r="K181" s="22">
        <v>512.5</v>
      </c>
      <c r="L181" s="6">
        <v>526</v>
      </c>
      <c r="M181" s="125">
        <f t="shared" si="2"/>
        <v>-4</v>
      </c>
      <c r="N181" s="7"/>
      <c r="O181" s="132"/>
      <c r="P181" s="175"/>
      <c r="V181" s="207"/>
    </row>
    <row r="182" spans="1:22" ht="15" customHeight="1">
      <c r="A182" s="8">
        <v>36056</v>
      </c>
      <c r="B182" s="9">
        <v>0</v>
      </c>
      <c r="C182" s="10"/>
      <c r="D182" s="10"/>
      <c r="E182" s="10">
        <v>115275</v>
      </c>
      <c r="F182" s="9"/>
      <c r="G182" s="10"/>
      <c r="H182" s="10"/>
      <c r="I182" s="120"/>
      <c r="J182" s="120"/>
      <c r="K182" s="22">
        <v>508</v>
      </c>
      <c r="L182" s="6">
        <v>522</v>
      </c>
      <c r="M182" s="125">
        <f t="shared" si="2"/>
        <v>-4.5</v>
      </c>
      <c r="N182" s="7"/>
      <c r="O182" s="132"/>
      <c r="P182" s="175"/>
      <c r="V182" s="207"/>
    </row>
    <row r="183" spans="1:22" ht="15" customHeight="1">
      <c r="A183" s="8">
        <v>36059</v>
      </c>
      <c r="B183" s="9">
        <v>0</v>
      </c>
      <c r="C183" s="10"/>
      <c r="D183" s="10"/>
      <c r="E183" s="10">
        <v>115125</v>
      </c>
      <c r="F183" s="9"/>
      <c r="G183" s="10"/>
      <c r="H183" s="10"/>
      <c r="I183" s="120"/>
      <c r="J183" s="120"/>
      <c r="K183" s="22">
        <v>515</v>
      </c>
      <c r="L183" s="6">
        <v>529</v>
      </c>
      <c r="M183" s="125">
        <f t="shared" si="2"/>
        <v>7</v>
      </c>
      <c r="N183" s="7"/>
      <c r="O183" s="132"/>
      <c r="P183" s="175"/>
      <c r="V183" s="207"/>
    </row>
    <row r="184" spans="1:22" ht="15" customHeight="1">
      <c r="A184" s="8">
        <v>36060</v>
      </c>
      <c r="B184" s="9">
        <v>0</v>
      </c>
      <c r="C184" s="10"/>
      <c r="D184" s="10"/>
      <c r="E184" s="10">
        <v>115075</v>
      </c>
      <c r="F184" s="9"/>
      <c r="G184" s="10"/>
      <c r="H184" s="10"/>
      <c r="I184" s="120"/>
      <c r="J184" s="120"/>
      <c r="K184" s="22">
        <v>512</v>
      </c>
      <c r="L184" s="6">
        <v>526.5</v>
      </c>
      <c r="M184" s="125">
        <f t="shared" si="2"/>
        <v>-3</v>
      </c>
      <c r="N184" s="7"/>
      <c r="O184" s="132"/>
      <c r="P184" s="175"/>
      <c r="V184" s="207"/>
    </row>
    <row r="185" spans="1:22" ht="15" customHeight="1">
      <c r="A185" s="8">
        <v>36061</v>
      </c>
      <c r="B185" s="9">
        <v>0</v>
      </c>
      <c r="C185" s="10"/>
      <c r="D185" s="10"/>
      <c r="E185" s="10">
        <v>114925</v>
      </c>
      <c r="F185" s="9"/>
      <c r="G185" s="10"/>
      <c r="H185" s="10"/>
      <c r="I185" s="120"/>
      <c r="J185" s="120"/>
      <c r="K185" s="22">
        <v>514</v>
      </c>
      <c r="L185" s="6">
        <v>529</v>
      </c>
      <c r="M185" s="125">
        <f t="shared" si="2"/>
        <v>2</v>
      </c>
      <c r="N185" s="7"/>
      <c r="O185" s="132"/>
      <c r="P185" s="175"/>
      <c r="V185" s="207"/>
    </row>
    <row r="186" spans="1:22" ht="15" customHeight="1">
      <c r="A186" s="8">
        <v>36062</v>
      </c>
      <c r="B186" s="9">
        <v>0</v>
      </c>
      <c r="C186" s="10"/>
      <c r="D186" s="10"/>
      <c r="E186" s="10">
        <v>114550</v>
      </c>
      <c r="F186" s="9"/>
      <c r="G186" s="10"/>
      <c r="H186" s="10"/>
      <c r="I186" s="120"/>
      <c r="J186" s="120"/>
      <c r="K186" s="22">
        <v>515</v>
      </c>
      <c r="L186" s="6">
        <v>528.5</v>
      </c>
      <c r="M186" s="125">
        <f t="shared" si="2"/>
        <v>1</v>
      </c>
      <c r="N186" s="7"/>
      <c r="O186" s="132"/>
      <c r="P186" s="175"/>
      <c r="V186" s="207"/>
    </row>
    <row r="187" spans="1:22" ht="15" customHeight="1">
      <c r="A187" s="8">
        <v>36063</v>
      </c>
      <c r="B187" s="9">
        <v>0</v>
      </c>
      <c r="C187" s="10"/>
      <c r="D187" s="10"/>
      <c r="E187" s="10">
        <v>112750</v>
      </c>
      <c r="F187" s="9"/>
      <c r="G187" s="10"/>
      <c r="H187" s="10"/>
      <c r="I187" s="120"/>
      <c r="J187" s="120"/>
      <c r="K187" s="22">
        <v>514.5</v>
      </c>
      <c r="L187" s="6">
        <v>528</v>
      </c>
      <c r="M187" s="125">
        <f t="shared" si="2"/>
        <v>-0.5</v>
      </c>
      <c r="N187" s="7"/>
      <c r="O187" s="132"/>
      <c r="P187" s="175"/>
      <c r="V187" s="207"/>
    </row>
    <row r="188" spans="1:22" ht="15" customHeight="1">
      <c r="A188" s="8">
        <v>36066</v>
      </c>
      <c r="B188" s="9">
        <v>0</v>
      </c>
      <c r="C188" s="10"/>
      <c r="D188" s="10"/>
      <c r="E188" s="10">
        <v>112525</v>
      </c>
      <c r="F188" s="9"/>
      <c r="G188" s="10"/>
      <c r="H188" s="10"/>
      <c r="I188" s="120"/>
      <c r="J188" s="120"/>
      <c r="K188" s="22">
        <v>512</v>
      </c>
      <c r="L188" s="6">
        <v>526</v>
      </c>
      <c r="M188" s="125">
        <f t="shared" si="2"/>
        <v>-2.5</v>
      </c>
      <c r="N188" s="7"/>
      <c r="O188" s="132"/>
      <c r="P188" s="175"/>
      <c r="V188" s="207"/>
    </row>
    <row r="189" spans="1:22" ht="15" customHeight="1">
      <c r="A189" s="8">
        <v>36067</v>
      </c>
      <c r="B189" s="9">
        <v>0</v>
      </c>
      <c r="C189" s="10"/>
      <c r="D189" s="10"/>
      <c r="E189" s="10">
        <v>112100</v>
      </c>
      <c r="F189" s="9"/>
      <c r="G189" s="10"/>
      <c r="H189" s="10"/>
      <c r="I189" s="120"/>
      <c r="J189" s="120"/>
      <c r="K189" s="22">
        <v>525</v>
      </c>
      <c r="L189" s="6">
        <v>538</v>
      </c>
      <c r="M189" s="125">
        <f t="shared" si="2"/>
        <v>13</v>
      </c>
      <c r="N189" s="7"/>
      <c r="O189" s="132"/>
      <c r="P189" s="175"/>
      <c r="V189" s="207"/>
    </row>
    <row r="190" spans="1:22" ht="15" customHeight="1">
      <c r="A190" s="8">
        <v>36068</v>
      </c>
      <c r="B190" s="9">
        <v>0</v>
      </c>
      <c r="C190" s="10"/>
      <c r="D190" s="10"/>
      <c r="E190" s="10">
        <v>113175</v>
      </c>
      <c r="F190" s="9"/>
      <c r="G190" s="10"/>
      <c r="H190" s="10"/>
      <c r="I190" s="120"/>
      <c r="J190" s="120"/>
      <c r="K190" s="22">
        <v>521</v>
      </c>
      <c r="L190" s="6">
        <v>534</v>
      </c>
      <c r="M190" s="125">
        <f t="shared" si="2"/>
        <v>-4</v>
      </c>
      <c r="N190" s="7"/>
      <c r="O190" s="132"/>
      <c r="P190" s="175"/>
      <c r="V190" s="207"/>
    </row>
    <row r="191" spans="1:22" ht="15" customHeight="1">
      <c r="A191" s="8">
        <v>36069</v>
      </c>
      <c r="B191" s="9">
        <v>0</v>
      </c>
      <c r="C191" s="10"/>
      <c r="D191" s="10"/>
      <c r="E191" s="10">
        <v>112700</v>
      </c>
      <c r="F191" s="9"/>
      <c r="G191" s="10"/>
      <c r="H191" s="10"/>
      <c r="I191" s="120"/>
      <c r="J191" s="120"/>
      <c r="K191" s="22">
        <v>510.5</v>
      </c>
      <c r="L191" s="6">
        <v>523</v>
      </c>
      <c r="M191" s="125">
        <f t="shared" si="2"/>
        <v>-10.5</v>
      </c>
      <c r="N191" s="7"/>
      <c r="O191" s="132"/>
      <c r="P191" s="175"/>
      <c r="V191" s="207"/>
    </row>
    <row r="192" spans="1:22" ht="15" customHeight="1">
      <c r="A192" s="8">
        <v>36070</v>
      </c>
      <c r="B192" s="9">
        <v>0</v>
      </c>
      <c r="C192" s="10"/>
      <c r="D192" s="10"/>
      <c r="E192" s="10">
        <v>112500</v>
      </c>
      <c r="F192" s="9"/>
      <c r="G192" s="10"/>
      <c r="H192" s="10"/>
      <c r="I192" s="120"/>
      <c r="J192" s="120"/>
      <c r="K192" s="22">
        <v>508</v>
      </c>
      <c r="L192" s="6">
        <v>520</v>
      </c>
      <c r="M192" s="125">
        <f t="shared" si="2"/>
        <v>-2.5</v>
      </c>
      <c r="N192" s="7"/>
      <c r="O192" s="132"/>
      <c r="P192" s="175"/>
      <c r="V192" s="207"/>
    </row>
    <row r="193" spans="1:22" ht="15" customHeight="1">
      <c r="A193" s="8">
        <v>36073</v>
      </c>
      <c r="B193" s="9">
        <v>0</v>
      </c>
      <c r="C193" s="10"/>
      <c r="D193" s="10"/>
      <c r="E193" s="10">
        <v>113825</v>
      </c>
      <c r="F193" s="9"/>
      <c r="G193" s="10"/>
      <c r="H193" s="10"/>
      <c r="I193" s="120"/>
      <c r="J193" s="120"/>
      <c r="K193" s="22">
        <v>498</v>
      </c>
      <c r="L193" s="6">
        <v>511</v>
      </c>
      <c r="M193" s="125">
        <f t="shared" si="2"/>
        <v>-10</v>
      </c>
      <c r="N193" s="7"/>
      <c r="O193" s="132"/>
      <c r="P193" s="175"/>
      <c r="V193" s="207"/>
    </row>
    <row r="194" spans="1:22" ht="15" customHeight="1">
      <c r="A194" s="8">
        <v>36074</v>
      </c>
      <c r="B194" s="9">
        <v>0</v>
      </c>
      <c r="C194" s="10"/>
      <c r="D194" s="10"/>
      <c r="E194" s="10">
        <v>113225</v>
      </c>
      <c r="F194" s="9"/>
      <c r="G194" s="10"/>
      <c r="H194" s="10"/>
      <c r="I194" s="120"/>
      <c r="J194" s="120"/>
      <c r="K194" s="22">
        <v>506</v>
      </c>
      <c r="L194" s="6">
        <v>517.5</v>
      </c>
      <c r="M194" s="125">
        <f t="shared" si="2"/>
        <v>8</v>
      </c>
      <c r="N194" s="7"/>
      <c r="O194" s="132"/>
      <c r="P194" s="175"/>
      <c r="V194" s="207"/>
    </row>
    <row r="195" spans="1:22" ht="15" customHeight="1">
      <c r="A195" s="8">
        <v>36075</v>
      </c>
      <c r="B195" s="9">
        <v>0</v>
      </c>
      <c r="C195" s="10"/>
      <c r="D195" s="10"/>
      <c r="E195" s="10">
        <v>113075</v>
      </c>
      <c r="F195" s="9"/>
      <c r="G195" s="10"/>
      <c r="H195" s="10"/>
      <c r="I195" s="120"/>
      <c r="J195" s="120"/>
      <c r="K195" s="22">
        <v>510</v>
      </c>
      <c r="L195" s="6">
        <v>521.5</v>
      </c>
      <c r="M195" s="125">
        <f t="shared" si="2"/>
        <v>4</v>
      </c>
      <c r="N195" s="7"/>
      <c r="O195" s="132"/>
      <c r="P195" s="175"/>
      <c r="V195" s="207"/>
    </row>
    <row r="196" spans="1:22" ht="15" customHeight="1">
      <c r="A196" s="8">
        <v>36076</v>
      </c>
      <c r="B196" s="9">
        <v>0</v>
      </c>
      <c r="C196" s="10"/>
      <c r="D196" s="10"/>
      <c r="E196" s="10">
        <v>113175</v>
      </c>
      <c r="F196" s="9"/>
      <c r="G196" s="10"/>
      <c r="H196" s="10"/>
      <c r="I196" s="120"/>
      <c r="J196" s="120"/>
      <c r="K196" s="22">
        <v>513</v>
      </c>
      <c r="L196" s="6">
        <v>523</v>
      </c>
      <c r="M196" s="125">
        <f t="shared" si="2"/>
        <v>3</v>
      </c>
      <c r="N196" s="7"/>
      <c r="O196" s="132"/>
      <c r="P196" s="175"/>
      <c r="V196" s="207"/>
    </row>
    <row r="197" spans="1:22" ht="15" customHeight="1">
      <c r="A197" s="8">
        <v>36077</v>
      </c>
      <c r="B197" s="9">
        <v>0</v>
      </c>
      <c r="C197" s="10"/>
      <c r="D197" s="10"/>
      <c r="E197" s="10">
        <v>113050</v>
      </c>
      <c r="F197" s="9"/>
      <c r="G197" s="10"/>
      <c r="H197" s="10"/>
      <c r="I197" s="120"/>
      <c r="J197" s="120"/>
      <c r="K197" s="22">
        <v>501.5</v>
      </c>
      <c r="L197" s="6">
        <v>513.5</v>
      </c>
      <c r="M197" s="125">
        <f t="shared" ref="M197:M260" si="3">+K197-K196</f>
        <v>-11.5</v>
      </c>
      <c r="N197" s="7"/>
      <c r="O197" s="132"/>
      <c r="P197" s="175"/>
      <c r="V197" s="207"/>
    </row>
    <row r="198" spans="1:22" ht="15" customHeight="1">
      <c r="A198" s="8">
        <v>36080</v>
      </c>
      <c r="B198" s="9">
        <v>0</v>
      </c>
      <c r="C198" s="10"/>
      <c r="D198" s="10"/>
      <c r="E198" s="10">
        <v>112725</v>
      </c>
      <c r="F198" s="9"/>
      <c r="G198" s="10"/>
      <c r="H198" s="10"/>
      <c r="I198" s="120"/>
      <c r="J198" s="120"/>
      <c r="K198" s="22">
        <v>496.5</v>
      </c>
      <c r="L198" s="6">
        <v>509</v>
      </c>
      <c r="M198" s="125">
        <f t="shared" si="3"/>
        <v>-5</v>
      </c>
      <c r="N198" s="7"/>
      <c r="O198" s="132"/>
      <c r="P198" s="175"/>
      <c r="V198" s="207"/>
    </row>
    <row r="199" spans="1:22" ht="15" customHeight="1">
      <c r="A199" s="8">
        <v>36081</v>
      </c>
      <c r="B199" s="9">
        <v>0</v>
      </c>
      <c r="C199" s="10"/>
      <c r="D199" s="10"/>
      <c r="E199" s="10">
        <v>112425</v>
      </c>
      <c r="F199" s="9"/>
      <c r="G199" s="10"/>
      <c r="H199" s="10"/>
      <c r="I199" s="120"/>
      <c r="J199" s="120"/>
      <c r="K199" s="22">
        <v>488.5</v>
      </c>
      <c r="L199" s="6">
        <v>501</v>
      </c>
      <c r="M199" s="125">
        <f t="shared" si="3"/>
        <v>-8</v>
      </c>
      <c r="N199" s="7"/>
      <c r="O199" s="132"/>
      <c r="P199" s="175"/>
      <c r="V199" s="207"/>
    </row>
    <row r="200" spans="1:22" ht="15" customHeight="1">
      <c r="A200" s="8">
        <v>36082</v>
      </c>
      <c r="B200" s="9">
        <v>0</v>
      </c>
      <c r="C200" s="10"/>
      <c r="D200" s="10"/>
      <c r="E200" s="10">
        <v>112325</v>
      </c>
      <c r="F200" s="9"/>
      <c r="G200" s="10"/>
      <c r="H200" s="10"/>
      <c r="I200" s="120"/>
      <c r="J200" s="120"/>
      <c r="K200" s="22">
        <v>491.5</v>
      </c>
      <c r="L200" s="6">
        <v>505.5</v>
      </c>
      <c r="M200" s="125">
        <f t="shared" si="3"/>
        <v>3</v>
      </c>
      <c r="N200" s="7"/>
      <c r="O200" s="132"/>
      <c r="P200" s="175"/>
      <c r="V200" s="207"/>
    </row>
    <row r="201" spans="1:22" ht="15" customHeight="1">
      <c r="A201" s="8">
        <v>36083</v>
      </c>
      <c r="B201" s="9">
        <v>0</v>
      </c>
      <c r="C201" s="10"/>
      <c r="D201" s="10"/>
      <c r="E201" s="10">
        <v>111475</v>
      </c>
      <c r="F201" s="9"/>
      <c r="G201" s="10"/>
      <c r="H201" s="10"/>
      <c r="I201" s="120"/>
      <c r="J201" s="120"/>
      <c r="K201" s="22">
        <v>487.5</v>
      </c>
      <c r="L201" s="6">
        <v>502</v>
      </c>
      <c r="M201" s="125">
        <f t="shared" si="3"/>
        <v>-4</v>
      </c>
      <c r="N201" s="7"/>
      <c r="O201" s="132"/>
      <c r="P201" s="175"/>
      <c r="V201" s="207"/>
    </row>
    <row r="202" spans="1:22" ht="15" customHeight="1">
      <c r="A202" s="8">
        <v>36084</v>
      </c>
      <c r="B202" s="9">
        <v>0</v>
      </c>
      <c r="C202" s="10"/>
      <c r="D202" s="10"/>
      <c r="E202" s="10">
        <v>112050</v>
      </c>
      <c r="F202" s="9"/>
      <c r="G202" s="10"/>
      <c r="H202" s="10"/>
      <c r="I202" s="120"/>
      <c r="J202" s="120"/>
      <c r="K202" s="22">
        <v>485.5</v>
      </c>
      <c r="L202" s="6">
        <v>500</v>
      </c>
      <c r="M202" s="125">
        <f t="shared" si="3"/>
        <v>-2</v>
      </c>
      <c r="N202" s="7"/>
      <c r="O202" s="132"/>
      <c r="P202" s="175"/>
      <c r="V202" s="207"/>
    </row>
    <row r="203" spans="1:22" ht="15" customHeight="1">
      <c r="A203" s="8">
        <v>36087</v>
      </c>
      <c r="B203" s="9">
        <v>0</v>
      </c>
      <c r="C203" s="10"/>
      <c r="D203" s="10"/>
      <c r="E203" s="10">
        <v>111775</v>
      </c>
      <c r="F203" s="9"/>
      <c r="G203" s="10"/>
      <c r="H203" s="10"/>
      <c r="I203" s="120"/>
      <c r="J203" s="120"/>
      <c r="K203" s="22">
        <v>487.5</v>
      </c>
      <c r="L203" s="6">
        <v>499</v>
      </c>
      <c r="M203" s="125">
        <f t="shared" si="3"/>
        <v>2</v>
      </c>
      <c r="N203" s="7"/>
      <c r="O203" s="132"/>
      <c r="P203" s="175"/>
      <c r="V203" s="207"/>
    </row>
    <row r="204" spans="1:22" ht="15" customHeight="1">
      <c r="A204" s="8">
        <v>36088</v>
      </c>
      <c r="B204" s="9">
        <v>0</v>
      </c>
      <c r="C204" s="10"/>
      <c r="D204" s="10"/>
      <c r="E204" s="10">
        <v>111700</v>
      </c>
      <c r="F204" s="9"/>
      <c r="G204" s="10"/>
      <c r="H204" s="10"/>
      <c r="I204" s="120"/>
      <c r="J204" s="120"/>
      <c r="K204" s="22">
        <v>487</v>
      </c>
      <c r="L204" s="6">
        <v>499</v>
      </c>
      <c r="M204" s="125">
        <f t="shared" si="3"/>
        <v>-0.5</v>
      </c>
      <c r="N204" s="7"/>
      <c r="O204" s="132"/>
      <c r="P204" s="175"/>
      <c r="V204" s="207"/>
    </row>
    <row r="205" spans="1:22" ht="15" customHeight="1">
      <c r="A205" s="8">
        <v>36089</v>
      </c>
      <c r="B205" s="9">
        <v>0</v>
      </c>
      <c r="C205" s="10"/>
      <c r="D205" s="10"/>
      <c r="E205" s="10">
        <v>111250</v>
      </c>
      <c r="F205" s="9"/>
      <c r="G205" s="10"/>
      <c r="H205" s="10"/>
      <c r="I205" s="120"/>
      <c r="J205" s="120"/>
      <c r="K205" s="22">
        <v>488</v>
      </c>
      <c r="L205" s="6">
        <v>498.5</v>
      </c>
      <c r="M205" s="125">
        <f t="shared" si="3"/>
        <v>1</v>
      </c>
      <c r="N205" s="7"/>
      <c r="O205" s="132"/>
      <c r="P205" s="175"/>
      <c r="V205" s="207"/>
    </row>
    <row r="206" spans="1:22" ht="15" customHeight="1">
      <c r="A206" s="8">
        <v>36090</v>
      </c>
      <c r="B206" s="9">
        <v>0</v>
      </c>
      <c r="C206" s="10"/>
      <c r="D206" s="10"/>
      <c r="E206" s="10">
        <v>110300</v>
      </c>
      <c r="F206" s="9"/>
      <c r="G206" s="10"/>
      <c r="H206" s="10"/>
      <c r="I206" s="120"/>
      <c r="J206" s="120"/>
      <c r="K206" s="22">
        <v>483.5</v>
      </c>
      <c r="L206" s="6">
        <v>496</v>
      </c>
      <c r="M206" s="125">
        <f t="shared" si="3"/>
        <v>-4.5</v>
      </c>
      <c r="N206" s="7"/>
      <c r="O206" s="132"/>
      <c r="P206" s="175"/>
      <c r="V206" s="207"/>
    </row>
    <row r="207" spans="1:22" ht="15" customHeight="1">
      <c r="A207" s="8">
        <v>36091</v>
      </c>
      <c r="B207" s="9">
        <v>0</v>
      </c>
      <c r="C207" s="10"/>
      <c r="D207" s="10"/>
      <c r="E207" s="10">
        <v>110125</v>
      </c>
      <c r="F207" s="9"/>
      <c r="G207" s="10"/>
      <c r="H207" s="10"/>
      <c r="I207" s="120"/>
      <c r="J207" s="120"/>
      <c r="K207" s="22">
        <v>488.5</v>
      </c>
      <c r="L207" s="6">
        <v>501</v>
      </c>
      <c r="M207" s="125">
        <f t="shared" si="3"/>
        <v>5</v>
      </c>
      <c r="N207" s="7"/>
      <c r="O207" s="132"/>
      <c r="P207" s="175"/>
      <c r="V207" s="207"/>
    </row>
    <row r="208" spans="1:22" ht="15" customHeight="1">
      <c r="A208" s="8">
        <v>36094</v>
      </c>
      <c r="B208" s="9">
        <v>0</v>
      </c>
      <c r="C208" s="10"/>
      <c r="D208" s="10"/>
      <c r="E208" s="10">
        <v>109950</v>
      </c>
      <c r="F208" s="9"/>
      <c r="G208" s="10"/>
      <c r="H208" s="10"/>
      <c r="I208" s="120"/>
      <c r="J208" s="120"/>
      <c r="K208" s="22">
        <v>484.5</v>
      </c>
      <c r="L208" s="6">
        <v>496.5</v>
      </c>
      <c r="M208" s="125">
        <f t="shared" si="3"/>
        <v>-4</v>
      </c>
      <c r="N208" s="7"/>
      <c r="O208" s="132"/>
      <c r="P208" s="175"/>
      <c r="V208" s="207"/>
    </row>
    <row r="209" spans="1:22" ht="15" customHeight="1">
      <c r="A209" s="8">
        <v>36095</v>
      </c>
      <c r="B209" s="9">
        <v>0</v>
      </c>
      <c r="C209" s="10"/>
      <c r="D209" s="10"/>
      <c r="E209" s="10">
        <v>109875</v>
      </c>
      <c r="F209" s="9"/>
      <c r="G209" s="10"/>
      <c r="H209" s="10"/>
      <c r="I209" s="120"/>
      <c r="J209" s="120"/>
      <c r="K209" s="22">
        <v>486</v>
      </c>
      <c r="L209" s="6">
        <v>496.5</v>
      </c>
      <c r="M209" s="125">
        <f t="shared" si="3"/>
        <v>1.5</v>
      </c>
      <c r="N209" s="7"/>
      <c r="O209" s="132"/>
      <c r="P209" s="175"/>
      <c r="V209" s="207"/>
    </row>
    <row r="210" spans="1:22" ht="15" customHeight="1">
      <c r="A210" s="8">
        <v>36096</v>
      </c>
      <c r="B210" s="9">
        <v>0</v>
      </c>
      <c r="C210" s="10"/>
      <c r="D210" s="10"/>
      <c r="E210" s="10">
        <v>111325</v>
      </c>
      <c r="F210" s="9"/>
      <c r="G210" s="10"/>
      <c r="H210" s="10"/>
      <c r="I210" s="120"/>
      <c r="J210" s="120"/>
      <c r="K210" s="22">
        <v>478</v>
      </c>
      <c r="L210" s="6">
        <v>489</v>
      </c>
      <c r="M210" s="125">
        <f t="shared" si="3"/>
        <v>-8</v>
      </c>
      <c r="N210" s="7"/>
      <c r="O210" s="132"/>
      <c r="P210" s="175"/>
      <c r="V210" s="207"/>
    </row>
    <row r="211" spans="1:22" ht="15" customHeight="1">
      <c r="A211" s="8">
        <v>36097</v>
      </c>
      <c r="B211" s="9">
        <v>0</v>
      </c>
      <c r="C211" s="10"/>
      <c r="D211" s="10"/>
      <c r="E211" s="10">
        <v>110775</v>
      </c>
      <c r="F211" s="9"/>
      <c r="G211" s="10"/>
      <c r="H211" s="10"/>
      <c r="I211" s="120"/>
      <c r="J211" s="120"/>
      <c r="K211" s="22">
        <v>482.5</v>
      </c>
      <c r="L211" s="6">
        <v>493</v>
      </c>
      <c r="M211" s="125">
        <f t="shared" si="3"/>
        <v>4.5</v>
      </c>
      <c r="N211" s="7"/>
      <c r="O211" s="132"/>
      <c r="P211" s="175"/>
      <c r="V211" s="207"/>
    </row>
    <row r="212" spans="1:22" ht="15" customHeight="1">
      <c r="A212" s="8">
        <v>36098</v>
      </c>
      <c r="B212" s="9">
        <v>0</v>
      </c>
      <c r="C212" s="10"/>
      <c r="D212" s="10"/>
      <c r="E212" s="10">
        <v>110675</v>
      </c>
      <c r="F212" s="9"/>
      <c r="G212" s="10"/>
      <c r="H212" s="10"/>
      <c r="I212" s="120"/>
      <c r="J212" s="120"/>
      <c r="K212" s="22">
        <v>480</v>
      </c>
      <c r="L212" s="6">
        <v>489</v>
      </c>
      <c r="M212" s="125">
        <f t="shared" si="3"/>
        <v>-2.5</v>
      </c>
      <c r="N212" s="7"/>
      <c r="O212" s="132"/>
      <c r="P212" s="175"/>
      <c r="V212" s="207"/>
    </row>
    <row r="213" spans="1:22" ht="15" customHeight="1">
      <c r="A213" s="8">
        <v>36101</v>
      </c>
      <c r="B213" s="9">
        <v>0</v>
      </c>
      <c r="C213" s="10"/>
      <c r="D213" s="10"/>
      <c r="E213" s="10">
        <v>110550</v>
      </c>
      <c r="F213" s="9"/>
      <c r="G213" s="10"/>
      <c r="H213" s="10"/>
      <c r="I213" s="120"/>
      <c r="J213" s="120"/>
      <c r="K213" s="22">
        <v>483</v>
      </c>
      <c r="L213" s="6">
        <v>493</v>
      </c>
      <c r="M213" s="125">
        <f t="shared" si="3"/>
        <v>3</v>
      </c>
      <c r="N213" s="7"/>
      <c r="O213" s="132"/>
      <c r="P213" s="175"/>
      <c r="V213" s="207"/>
    </row>
    <row r="214" spans="1:22" ht="15" customHeight="1">
      <c r="A214" s="8">
        <v>36102</v>
      </c>
      <c r="B214" s="9">
        <v>0</v>
      </c>
      <c r="C214" s="10"/>
      <c r="D214" s="10"/>
      <c r="E214" s="10">
        <v>110350</v>
      </c>
      <c r="F214" s="9"/>
      <c r="G214" s="10"/>
      <c r="H214" s="10"/>
      <c r="I214" s="120"/>
      <c r="J214" s="120"/>
      <c r="K214" s="22">
        <v>477.5</v>
      </c>
      <c r="L214" s="6">
        <v>487.5</v>
      </c>
      <c r="M214" s="125">
        <f t="shared" si="3"/>
        <v>-5.5</v>
      </c>
      <c r="N214" s="7"/>
      <c r="O214" s="132"/>
      <c r="P214" s="175"/>
      <c r="V214" s="207"/>
    </row>
    <row r="215" spans="1:22" ht="15" customHeight="1">
      <c r="A215" s="8">
        <v>36103</v>
      </c>
      <c r="B215" s="9">
        <v>0</v>
      </c>
      <c r="C215" s="10"/>
      <c r="D215" s="10"/>
      <c r="E215" s="10">
        <v>110000</v>
      </c>
      <c r="F215" s="9"/>
      <c r="G215" s="10"/>
      <c r="H215" s="10"/>
      <c r="I215" s="120"/>
      <c r="J215" s="120"/>
      <c r="K215" s="22">
        <v>483</v>
      </c>
      <c r="L215" s="6">
        <v>493</v>
      </c>
      <c r="M215" s="125">
        <f t="shared" si="3"/>
        <v>5.5</v>
      </c>
      <c r="N215" s="7"/>
      <c r="O215" s="132"/>
      <c r="P215" s="175"/>
      <c r="V215" s="207"/>
    </row>
    <row r="216" spans="1:22" ht="15" customHeight="1">
      <c r="A216" s="8">
        <v>36104</v>
      </c>
      <c r="B216" s="9">
        <v>0</v>
      </c>
      <c r="C216" s="10"/>
      <c r="D216" s="10"/>
      <c r="E216" s="10">
        <v>109875</v>
      </c>
      <c r="F216" s="9"/>
      <c r="G216" s="10"/>
      <c r="H216" s="10"/>
      <c r="I216" s="120"/>
      <c r="J216" s="120"/>
      <c r="K216" s="22">
        <v>488.5</v>
      </c>
      <c r="L216" s="6">
        <v>498.5</v>
      </c>
      <c r="M216" s="125">
        <f t="shared" si="3"/>
        <v>5.5</v>
      </c>
      <c r="N216" s="7"/>
      <c r="O216" s="132"/>
      <c r="P216" s="175"/>
      <c r="V216" s="207"/>
    </row>
    <row r="217" spans="1:22" ht="15" customHeight="1">
      <c r="A217" s="8">
        <v>36105</v>
      </c>
      <c r="B217" s="9">
        <v>0</v>
      </c>
      <c r="C217" s="10"/>
      <c r="D217" s="10"/>
      <c r="E217" s="10">
        <v>110125</v>
      </c>
      <c r="F217" s="9"/>
      <c r="G217" s="10"/>
      <c r="H217" s="10"/>
      <c r="I217" s="120"/>
      <c r="J217" s="120"/>
      <c r="K217" s="22">
        <v>489</v>
      </c>
      <c r="L217" s="6">
        <v>499</v>
      </c>
      <c r="M217" s="125">
        <f t="shared" si="3"/>
        <v>0.5</v>
      </c>
      <c r="N217" s="7"/>
      <c r="O217" s="132"/>
      <c r="P217" s="175"/>
      <c r="V217" s="207"/>
    </row>
    <row r="218" spans="1:22" ht="15" customHeight="1">
      <c r="A218" s="8">
        <v>36108</v>
      </c>
      <c r="B218" s="9">
        <v>0</v>
      </c>
      <c r="C218" s="10"/>
      <c r="D218" s="10"/>
      <c r="E218" s="10">
        <v>110375</v>
      </c>
      <c r="F218" s="9"/>
      <c r="G218" s="10"/>
      <c r="H218" s="10"/>
      <c r="I218" s="120"/>
      <c r="J218" s="120"/>
      <c r="K218" s="22">
        <v>496</v>
      </c>
      <c r="L218" s="6">
        <v>505.5</v>
      </c>
      <c r="M218" s="125">
        <f t="shared" si="3"/>
        <v>7</v>
      </c>
      <c r="N218" s="7"/>
      <c r="O218" s="132"/>
      <c r="P218" s="175"/>
      <c r="V218" s="207"/>
    </row>
    <row r="219" spans="1:22" ht="15" customHeight="1">
      <c r="A219" s="8">
        <v>36109</v>
      </c>
      <c r="B219" s="9">
        <v>0</v>
      </c>
      <c r="C219" s="10"/>
      <c r="D219" s="10"/>
      <c r="E219" s="10">
        <v>110200</v>
      </c>
      <c r="F219" s="9"/>
      <c r="G219" s="10"/>
      <c r="H219" s="10"/>
      <c r="I219" s="120"/>
      <c r="J219" s="120"/>
      <c r="K219" s="22">
        <v>486.5</v>
      </c>
      <c r="L219" s="6">
        <v>497</v>
      </c>
      <c r="M219" s="125">
        <f t="shared" si="3"/>
        <v>-9.5</v>
      </c>
      <c r="N219" s="7"/>
      <c r="O219" s="132"/>
      <c r="P219" s="175"/>
      <c r="V219" s="207"/>
    </row>
    <row r="220" spans="1:22" ht="15" customHeight="1">
      <c r="A220" s="8">
        <v>36110</v>
      </c>
      <c r="B220" s="9">
        <v>0</v>
      </c>
      <c r="C220" s="10"/>
      <c r="D220" s="10"/>
      <c r="E220" s="10">
        <v>109225</v>
      </c>
      <c r="F220" s="9"/>
      <c r="G220" s="10"/>
      <c r="H220" s="10"/>
      <c r="I220" s="120"/>
      <c r="J220" s="120"/>
      <c r="K220" s="22">
        <v>484.5</v>
      </c>
      <c r="L220" s="6">
        <v>495</v>
      </c>
      <c r="M220" s="125">
        <f t="shared" si="3"/>
        <v>-2</v>
      </c>
      <c r="N220" s="7"/>
      <c r="O220" s="132"/>
      <c r="P220" s="175"/>
      <c r="V220" s="207"/>
    </row>
    <row r="221" spans="1:22" ht="15" customHeight="1">
      <c r="A221" s="8">
        <v>36111</v>
      </c>
      <c r="B221" s="9">
        <v>0</v>
      </c>
      <c r="C221" s="10"/>
      <c r="D221" s="10"/>
      <c r="E221" s="10">
        <v>109150</v>
      </c>
      <c r="F221" s="9"/>
      <c r="G221" s="10"/>
      <c r="H221" s="10"/>
      <c r="I221" s="120"/>
      <c r="J221" s="120"/>
      <c r="K221" s="22">
        <v>485</v>
      </c>
      <c r="L221" s="6">
        <v>496</v>
      </c>
      <c r="M221" s="125">
        <f t="shared" si="3"/>
        <v>0.5</v>
      </c>
      <c r="N221" s="7"/>
      <c r="O221" s="132"/>
      <c r="P221" s="175"/>
      <c r="V221" s="207"/>
    </row>
    <row r="222" spans="1:22" ht="15" customHeight="1">
      <c r="A222" s="8">
        <v>36112</v>
      </c>
      <c r="B222" s="9">
        <v>0</v>
      </c>
      <c r="C222" s="10"/>
      <c r="D222" s="10"/>
      <c r="E222" s="10">
        <v>109350</v>
      </c>
      <c r="F222" s="9"/>
      <c r="G222" s="10"/>
      <c r="H222" s="10"/>
      <c r="I222" s="120"/>
      <c r="J222" s="120"/>
      <c r="K222" s="22">
        <v>485</v>
      </c>
      <c r="L222" s="6">
        <v>495</v>
      </c>
      <c r="M222" s="125">
        <f t="shared" si="3"/>
        <v>0</v>
      </c>
      <c r="N222" s="7"/>
      <c r="O222" s="132"/>
      <c r="P222" s="175"/>
      <c r="V222" s="207"/>
    </row>
    <row r="223" spans="1:22" ht="15" customHeight="1">
      <c r="A223" s="8">
        <v>36115</v>
      </c>
      <c r="B223" s="9">
        <v>0</v>
      </c>
      <c r="C223" s="10"/>
      <c r="D223" s="10"/>
      <c r="E223" s="10">
        <v>109175</v>
      </c>
      <c r="F223" s="9"/>
      <c r="G223" s="10"/>
      <c r="H223" s="10"/>
      <c r="I223" s="120"/>
      <c r="J223" s="120"/>
      <c r="K223" s="22">
        <v>485</v>
      </c>
      <c r="L223" s="6">
        <v>495.5</v>
      </c>
      <c r="M223" s="125">
        <f t="shared" si="3"/>
        <v>0</v>
      </c>
      <c r="N223" s="7"/>
      <c r="O223" s="132"/>
      <c r="P223" s="175"/>
      <c r="V223" s="207"/>
    </row>
    <row r="224" spans="1:22" ht="15" customHeight="1">
      <c r="A224" s="8">
        <v>36116</v>
      </c>
      <c r="B224" s="9">
        <v>0</v>
      </c>
      <c r="C224" s="10"/>
      <c r="D224" s="10"/>
      <c r="E224" s="10">
        <v>108950</v>
      </c>
      <c r="F224" s="9"/>
      <c r="G224" s="10"/>
      <c r="H224" s="10"/>
      <c r="I224" s="120"/>
      <c r="J224" s="120"/>
      <c r="K224" s="22">
        <v>488</v>
      </c>
      <c r="L224" s="6">
        <v>498</v>
      </c>
      <c r="M224" s="125">
        <f t="shared" si="3"/>
        <v>3</v>
      </c>
      <c r="N224" s="7"/>
      <c r="O224" s="132"/>
      <c r="P224" s="175"/>
      <c r="V224" s="207"/>
    </row>
    <row r="225" spans="1:22" ht="15" customHeight="1">
      <c r="A225" s="8">
        <v>36117</v>
      </c>
      <c r="B225" s="9">
        <v>0</v>
      </c>
      <c r="C225" s="10"/>
      <c r="D225" s="10"/>
      <c r="E225" s="10">
        <v>108525</v>
      </c>
      <c r="F225" s="9"/>
      <c r="G225" s="10"/>
      <c r="H225" s="10"/>
      <c r="I225" s="120"/>
      <c r="J225" s="120"/>
      <c r="K225" s="22">
        <v>494</v>
      </c>
      <c r="L225" s="6">
        <v>498.5</v>
      </c>
      <c r="M225" s="125">
        <f t="shared" si="3"/>
        <v>6</v>
      </c>
      <c r="N225" s="7"/>
      <c r="O225" s="132"/>
      <c r="P225" s="175"/>
      <c r="V225" s="207"/>
    </row>
    <row r="226" spans="1:22" ht="15" customHeight="1">
      <c r="A226" s="8">
        <v>36118</v>
      </c>
      <c r="B226" s="9">
        <v>0</v>
      </c>
      <c r="C226" s="10"/>
      <c r="D226" s="10"/>
      <c r="E226" s="10">
        <v>108000</v>
      </c>
      <c r="F226" s="9"/>
      <c r="G226" s="10"/>
      <c r="H226" s="10"/>
      <c r="I226" s="120"/>
      <c r="J226" s="120"/>
      <c r="K226" s="22">
        <v>505</v>
      </c>
      <c r="L226" s="6">
        <v>505</v>
      </c>
      <c r="M226" s="125">
        <f t="shared" si="3"/>
        <v>11</v>
      </c>
      <c r="N226" s="7"/>
      <c r="O226" s="132"/>
      <c r="P226" s="175"/>
      <c r="V226" s="207"/>
    </row>
    <row r="227" spans="1:22" ht="15" customHeight="1">
      <c r="A227" s="8">
        <v>36119</v>
      </c>
      <c r="B227" s="9">
        <v>0</v>
      </c>
      <c r="C227" s="10"/>
      <c r="D227" s="10"/>
      <c r="E227" s="10">
        <v>107575</v>
      </c>
      <c r="F227" s="9"/>
      <c r="G227" s="10"/>
      <c r="H227" s="10"/>
      <c r="I227" s="120"/>
      <c r="J227" s="120"/>
      <c r="K227" s="22">
        <v>514</v>
      </c>
      <c r="L227" s="6">
        <v>507</v>
      </c>
      <c r="M227" s="125">
        <f t="shared" si="3"/>
        <v>9</v>
      </c>
      <c r="N227" s="7"/>
      <c r="O227" s="132"/>
      <c r="P227" s="175"/>
      <c r="V227" s="207"/>
    </row>
    <row r="228" spans="1:22" ht="15" customHeight="1">
      <c r="A228" s="8">
        <v>36122</v>
      </c>
      <c r="B228" s="9">
        <v>0</v>
      </c>
      <c r="C228" s="10"/>
      <c r="D228" s="10"/>
      <c r="E228" s="10">
        <v>106075</v>
      </c>
      <c r="F228" s="9"/>
      <c r="G228" s="10"/>
      <c r="H228" s="10"/>
      <c r="I228" s="120"/>
      <c r="J228" s="120"/>
      <c r="K228" s="22">
        <v>518.5</v>
      </c>
      <c r="L228" s="6">
        <v>507</v>
      </c>
      <c r="M228" s="125">
        <f t="shared" si="3"/>
        <v>4.5</v>
      </c>
      <c r="N228" s="7"/>
      <c r="O228" s="132"/>
      <c r="P228" s="175"/>
      <c r="V228" s="207"/>
    </row>
    <row r="229" spans="1:22" ht="15" customHeight="1">
      <c r="A229" s="8">
        <v>36123</v>
      </c>
      <c r="B229" s="9">
        <v>0</v>
      </c>
      <c r="C229" s="10"/>
      <c r="D229" s="10"/>
      <c r="E229" s="10">
        <v>105950</v>
      </c>
      <c r="F229" s="9"/>
      <c r="G229" s="10"/>
      <c r="H229" s="10"/>
      <c r="I229" s="120"/>
      <c r="J229" s="120"/>
      <c r="K229" s="22">
        <v>507</v>
      </c>
      <c r="L229" s="6">
        <v>499.5</v>
      </c>
      <c r="M229" s="125">
        <f t="shared" si="3"/>
        <v>-11.5</v>
      </c>
      <c r="N229" s="7"/>
      <c r="O229" s="132"/>
      <c r="P229" s="175"/>
      <c r="V229" s="207"/>
    </row>
    <row r="230" spans="1:22" ht="15" customHeight="1">
      <c r="A230" s="8">
        <v>36124</v>
      </c>
      <c r="B230" s="9">
        <v>0</v>
      </c>
      <c r="C230" s="10"/>
      <c r="D230" s="10"/>
      <c r="E230" s="10">
        <v>105800</v>
      </c>
      <c r="F230" s="9"/>
      <c r="G230" s="10"/>
      <c r="H230" s="10"/>
      <c r="I230" s="120"/>
      <c r="J230" s="120"/>
      <c r="K230" s="22">
        <v>503</v>
      </c>
      <c r="L230" s="6">
        <v>493</v>
      </c>
      <c r="M230" s="125">
        <f t="shared" si="3"/>
        <v>-4</v>
      </c>
      <c r="N230" s="7"/>
      <c r="O230" s="132"/>
      <c r="P230" s="175"/>
      <c r="V230" s="207"/>
    </row>
    <row r="231" spans="1:22" ht="15" customHeight="1">
      <c r="A231" s="8">
        <v>36125</v>
      </c>
      <c r="B231" s="9">
        <v>0</v>
      </c>
      <c r="C231" s="10"/>
      <c r="D231" s="10"/>
      <c r="E231" s="10">
        <v>105800</v>
      </c>
      <c r="F231" s="9"/>
      <c r="G231" s="10"/>
      <c r="H231" s="10"/>
      <c r="I231" s="120"/>
      <c r="J231" s="120"/>
      <c r="K231" s="22">
        <v>501.5</v>
      </c>
      <c r="L231" s="6">
        <v>494</v>
      </c>
      <c r="M231" s="125">
        <f t="shared" si="3"/>
        <v>-1.5</v>
      </c>
      <c r="N231" s="7"/>
      <c r="O231" s="132"/>
      <c r="P231" s="175"/>
      <c r="V231" s="207"/>
    </row>
    <row r="232" spans="1:22" ht="15" customHeight="1">
      <c r="A232" s="8">
        <v>36126</v>
      </c>
      <c r="B232" s="9">
        <v>0</v>
      </c>
      <c r="C232" s="10"/>
      <c r="D232" s="10"/>
      <c r="E232" s="10">
        <v>105650</v>
      </c>
      <c r="F232" s="9"/>
      <c r="G232" s="10"/>
      <c r="H232" s="10"/>
      <c r="I232" s="120"/>
      <c r="J232" s="120"/>
      <c r="K232" s="22">
        <v>501.5</v>
      </c>
      <c r="L232" s="6">
        <v>498</v>
      </c>
      <c r="M232" s="125">
        <f t="shared" si="3"/>
        <v>0</v>
      </c>
      <c r="N232" s="7"/>
      <c r="O232" s="132"/>
      <c r="P232" s="175"/>
      <c r="V232" s="207"/>
    </row>
    <row r="233" spans="1:22" ht="15" customHeight="1">
      <c r="A233" s="8">
        <v>36129</v>
      </c>
      <c r="B233" s="9">
        <v>0</v>
      </c>
      <c r="C233" s="10"/>
      <c r="D233" s="10"/>
      <c r="E233" s="10">
        <v>105525</v>
      </c>
      <c r="F233" s="9"/>
      <c r="G233" s="10"/>
      <c r="H233" s="10"/>
      <c r="I233" s="120"/>
      <c r="J233" s="120"/>
      <c r="K233" s="22">
        <v>502</v>
      </c>
      <c r="L233" s="6">
        <v>495.5</v>
      </c>
      <c r="M233" s="125">
        <f t="shared" si="3"/>
        <v>0.5</v>
      </c>
      <c r="N233" s="7"/>
      <c r="O233" s="132"/>
      <c r="P233" s="175"/>
      <c r="V233" s="207"/>
    </row>
    <row r="234" spans="1:22" ht="15" customHeight="1">
      <c r="A234" s="8">
        <v>36130</v>
      </c>
      <c r="B234" s="9">
        <v>0</v>
      </c>
      <c r="C234" s="10"/>
      <c r="D234" s="10"/>
      <c r="E234" s="10">
        <v>105375</v>
      </c>
      <c r="F234" s="9"/>
      <c r="G234" s="10"/>
      <c r="H234" s="10"/>
      <c r="I234" s="120"/>
      <c r="J234" s="120"/>
      <c r="K234" s="22">
        <v>497</v>
      </c>
      <c r="L234" s="6">
        <v>492</v>
      </c>
      <c r="M234" s="125">
        <f t="shared" si="3"/>
        <v>-5</v>
      </c>
      <c r="N234" s="7"/>
      <c r="O234" s="132"/>
      <c r="P234" s="175"/>
      <c r="V234" s="207"/>
    </row>
    <row r="235" spans="1:22" ht="15" customHeight="1">
      <c r="A235" s="8">
        <v>36131</v>
      </c>
      <c r="B235" s="9">
        <v>0</v>
      </c>
      <c r="C235" s="10"/>
      <c r="D235" s="10"/>
      <c r="E235" s="10">
        <v>105750</v>
      </c>
      <c r="F235" s="9"/>
      <c r="G235" s="10"/>
      <c r="H235" s="10"/>
      <c r="I235" s="120"/>
      <c r="J235" s="120"/>
      <c r="K235" s="22">
        <v>490</v>
      </c>
      <c r="L235" s="6">
        <v>485</v>
      </c>
      <c r="M235" s="125">
        <f t="shared" si="3"/>
        <v>-7</v>
      </c>
      <c r="N235" s="7"/>
      <c r="O235" s="132"/>
      <c r="P235" s="175"/>
      <c r="V235" s="207"/>
    </row>
    <row r="236" spans="1:22" ht="15" customHeight="1">
      <c r="A236" s="8">
        <v>36132</v>
      </c>
      <c r="B236" s="9">
        <v>0</v>
      </c>
      <c r="C236" s="10"/>
      <c r="D236" s="10"/>
      <c r="E236" s="10">
        <v>105750</v>
      </c>
      <c r="F236" s="9"/>
      <c r="G236" s="10"/>
      <c r="H236" s="10"/>
      <c r="I236" s="120"/>
      <c r="J236" s="120"/>
      <c r="K236" s="22">
        <v>488</v>
      </c>
      <c r="L236" s="6">
        <v>481</v>
      </c>
      <c r="M236" s="125">
        <f t="shared" si="3"/>
        <v>-2</v>
      </c>
      <c r="N236" s="7"/>
      <c r="O236" s="132"/>
      <c r="P236" s="175"/>
      <c r="V236" s="207"/>
    </row>
    <row r="237" spans="1:22" ht="15" customHeight="1">
      <c r="A237" s="8">
        <v>36133</v>
      </c>
      <c r="B237" s="9">
        <v>0</v>
      </c>
      <c r="C237" s="10"/>
      <c r="D237" s="10"/>
      <c r="E237" s="10">
        <v>105775</v>
      </c>
      <c r="F237" s="9"/>
      <c r="G237" s="10"/>
      <c r="H237" s="10"/>
      <c r="I237" s="120"/>
      <c r="J237" s="120"/>
      <c r="K237" s="22">
        <v>506</v>
      </c>
      <c r="L237" s="6">
        <v>487</v>
      </c>
      <c r="M237" s="125">
        <f t="shared" si="3"/>
        <v>18</v>
      </c>
      <c r="N237" s="7"/>
      <c r="O237" s="132"/>
      <c r="P237" s="175"/>
      <c r="V237" s="207"/>
    </row>
    <row r="238" spans="1:22" ht="15" customHeight="1">
      <c r="A238" s="8">
        <v>36136</v>
      </c>
      <c r="B238" s="9">
        <v>0</v>
      </c>
      <c r="C238" s="10"/>
      <c r="D238" s="10"/>
      <c r="E238" s="10">
        <v>105775</v>
      </c>
      <c r="F238" s="9"/>
      <c r="G238" s="10"/>
      <c r="H238" s="10"/>
      <c r="I238" s="120"/>
      <c r="J238" s="120"/>
      <c r="K238" s="22">
        <v>510</v>
      </c>
      <c r="L238" s="6">
        <v>487</v>
      </c>
      <c r="M238" s="125">
        <f t="shared" si="3"/>
        <v>4</v>
      </c>
      <c r="N238" s="7"/>
      <c r="O238" s="132"/>
      <c r="P238" s="175"/>
      <c r="V238" s="207"/>
    </row>
    <row r="239" spans="1:22" ht="15" customHeight="1">
      <c r="A239" s="8">
        <v>36137</v>
      </c>
      <c r="B239" s="9">
        <v>0</v>
      </c>
      <c r="C239" s="10"/>
      <c r="D239" s="10"/>
      <c r="E239" s="10">
        <v>107100</v>
      </c>
      <c r="F239" s="9"/>
      <c r="G239" s="10"/>
      <c r="H239" s="10"/>
      <c r="I239" s="120"/>
      <c r="J239" s="120"/>
      <c r="K239" s="22">
        <v>524</v>
      </c>
      <c r="L239" s="6">
        <v>494</v>
      </c>
      <c r="M239" s="125">
        <f t="shared" si="3"/>
        <v>14</v>
      </c>
      <c r="N239" s="7"/>
      <c r="O239" s="132"/>
      <c r="P239" s="175"/>
      <c r="V239" s="207"/>
    </row>
    <row r="240" spans="1:22" ht="15" customHeight="1">
      <c r="A240" s="8">
        <v>36138</v>
      </c>
      <c r="B240" s="9">
        <v>0</v>
      </c>
      <c r="C240" s="10"/>
      <c r="D240" s="10"/>
      <c r="E240" s="10">
        <v>108575</v>
      </c>
      <c r="F240" s="9"/>
      <c r="G240" s="10"/>
      <c r="H240" s="10"/>
      <c r="I240" s="120"/>
      <c r="J240" s="120"/>
      <c r="K240" s="22">
        <v>522</v>
      </c>
      <c r="L240" s="6">
        <v>494</v>
      </c>
      <c r="M240" s="125">
        <f t="shared" si="3"/>
        <v>-2</v>
      </c>
      <c r="N240" s="7"/>
      <c r="O240" s="132"/>
      <c r="P240" s="175"/>
      <c r="V240" s="207"/>
    </row>
    <row r="241" spans="1:22" ht="15" customHeight="1">
      <c r="A241" s="8">
        <v>36139</v>
      </c>
      <c r="B241" s="9">
        <v>0</v>
      </c>
      <c r="C241" s="10"/>
      <c r="D241" s="10"/>
      <c r="E241" s="10">
        <v>108400</v>
      </c>
      <c r="F241" s="9"/>
      <c r="G241" s="10"/>
      <c r="H241" s="10"/>
      <c r="I241" s="120"/>
      <c r="J241" s="120"/>
      <c r="K241" s="22">
        <v>517</v>
      </c>
      <c r="L241" s="6">
        <v>495</v>
      </c>
      <c r="M241" s="125">
        <f t="shared" si="3"/>
        <v>-5</v>
      </c>
      <c r="N241" s="7"/>
      <c r="O241" s="132"/>
      <c r="P241" s="175"/>
      <c r="V241" s="207"/>
    </row>
    <row r="242" spans="1:22" ht="15" customHeight="1">
      <c r="A242" s="8">
        <v>36140</v>
      </c>
      <c r="B242" s="9">
        <v>0</v>
      </c>
      <c r="C242" s="10"/>
      <c r="D242" s="10"/>
      <c r="E242" s="10">
        <v>108350</v>
      </c>
      <c r="F242" s="9"/>
      <c r="G242" s="10"/>
      <c r="H242" s="10"/>
      <c r="I242" s="120"/>
      <c r="J242" s="120"/>
      <c r="K242" s="22">
        <v>500.5</v>
      </c>
      <c r="L242" s="6">
        <v>485.5</v>
      </c>
      <c r="M242" s="125">
        <f t="shared" si="3"/>
        <v>-16.5</v>
      </c>
      <c r="N242" s="7"/>
      <c r="O242" s="132"/>
      <c r="P242" s="175"/>
      <c r="V242" s="207"/>
    </row>
    <row r="243" spans="1:22" ht="15" customHeight="1">
      <c r="A243" s="8">
        <v>36143</v>
      </c>
      <c r="B243" s="9">
        <v>0</v>
      </c>
      <c r="C243" s="10"/>
      <c r="D243" s="10"/>
      <c r="E243" s="10">
        <v>108975</v>
      </c>
      <c r="F243" s="9"/>
      <c r="G243" s="10"/>
      <c r="H243" s="10"/>
      <c r="I243" s="120"/>
      <c r="J243" s="120"/>
      <c r="K243" s="22">
        <v>496.5</v>
      </c>
      <c r="L243" s="6">
        <v>483.5</v>
      </c>
      <c r="M243" s="125">
        <f t="shared" si="3"/>
        <v>-4</v>
      </c>
      <c r="N243" s="7"/>
      <c r="O243" s="132"/>
      <c r="P243" s="175"/>
      <c r="V243" s="207"/>
    </row>
    <row r="244" spans="1:22" ht="15" customHeight="1">
      <c r="A244" s="8">
        <v>36144</v>
      </c>
      <c r="B244" s="9">
        <v>0</v>
      </c>
      <c r="C244" s="10"/>
      <c r="D244" s="10"/>
      <c r="E244" s="10">
        <v>109200</v>
      </c>
      <c r="F244" s="9"/>
      <c r="G244" s="10"/>
      <c r="H244" s="10"/>
      <c r="I244" s="120"/>
      <c r="J244" s="120"/>
      <c r="K244" s="22">
        <v>495</v>
      </c>
      <c r="L244" s="6">
        <v>481.5</v>
      </c>
      <c r="M244" s="125">
        <f t="shared" si="3"/>
        <v>-1.5</v>
      </c>
      <c r="N244" s="7"/>
      <c r="O244" s="132"/>
      <c r="P244" s="175"/>
      <c r="V244" s="207"/>
    </row>
    <row r="245" spans="1:22" ht="15" customHeight="1">
      <c r="A245" s="8">
        <v>36145</v>
      </c>
      <c r="B245" s="9">
        <v>0</v>
      </c>
      <c r="C245" s="10"/>
      <c r="D245" s="10"/>
      <c r="E245" s="10">
        <v>108950</v>
      </c>
      <c r="F245" s="9"/>
      <c r="G245" s="10"/>
      <c r="H245" s="10"/>
      <c r="I245" s="120"/>
      <c r="J245" s="120"/>
      <c r="K245" s="22">
        <v>501</v>
      </c>
      <c r="L245" s="6">
        <v>481</v>
      </c>
      <c r="M245" s="125">
        <f t="shared" si="3"/>
        <v>6</v>
      </c>
      <c r="N245" s="7"/>
      <c r="O245" s="132"/>
      <c r="P245" s="175"/>
      <c r="V245" s="207"/>
    </row>
    <row r="246" spans="1:22" ht="15" customHeight="1">
      <c r="A246" s="8">
        <v>36146</v>
      </c>
      <c r="B246" s="9">
        <v>0</v>
      </c>
      <c r="C246" s="10"/>
      <c r="D246" s="10"/>
      <c r="E246" s="10">
        <v>110150</v>
      </c>
      <c r="F246" s="9"/>
      <c r="G246" s="10"/>
      <c r="H246" s="10"/>
      <c r="I246" s="120"/>
      <c r="J246" s="120"/>
      <c r="K246" s="22">
        <v>500.5</v>
      </c>
      <c r="L246" s="6">
        <v>477</v>
      </c>
      <c r="M246" s="125">
        <f t="shared" si="3"/>
        <v>-0.5</v>
      </c>
      <c r="N246" s="7"/>
      <c r="O246" s="132"/>
      <c r="P246" s="175"/>
      <c r="V246" s="207"/>
    </row>
    <row r="247" spans="1:22" ht="15" customHeight="1">
      <c r="A247" s="8">
        <v>36147</v>
      </c>
      <c r="B247" s="9">
        <v>0</v>
      </c>
      <c r="C247" s="10"/>
      <c r="D247" s="10"/>
      <c r="E247" s="10">
        <v>110150</v>
      </c>
      <c r="F247" s="9"/>
      <c r="G247" s="10"/>
      <c r="H247" s="10"/>
      <c r="I247" s="120"/>
      <c r="J247" s="120"/>
      <c r="K247" s="22">
        <v>494</v>
      </c>
      <c r="L247" s="6">
        <v>474</v>
      </c>
      <c r="M247" s="125">
        <f t="shared" si="3"/>
        <v>-6.5</v>
      </c>
      <c r="N247" s="7"/>
      <c r="O247" s="132"/>
      <c r="P247" s="175"/>
      <c r="V247" s="207"/>
    </row>
    <row r="248" spans="1:22" ht="15" customHeight="1">
      <c r="A248" s="8">
        <v>36150</v>
      </c>
      <c r="B248" s="9">
        <v>0</v>
      </c>
      <c r="C248" s="10"/>
      <c r="D248" s="10"/>
      <c r="E248" s="10">
        <v>110125</v>
      </c>
      <c r="F248" s="9"/>
      <c r="G248" s="10"/>
      <c r="H248" s="10"/>
      <c r="I248" s="120"/>
      <c r="J248" s="120"/>
      <c r="K248" s="22">
        <v>486.5</v>
      </c>
      <c r="L248" s="6">
        <v>468</v>
      </c>
      <c r="M248" s="125">
        <f t="shared" si="3"/>
        <v>-7.5</v>
      </c>
      <c r="N248" s="7"/>
      <c r="O248" s="132"/>
      <c r="P248" s="175"/>
      <c r="V248" s="207"/>
    </row>
    <row r="249" spans="1:22" ht="15" customHeight="1">
      <c r="A249" s="8">
        <v>36151</v>
      </c>
      <c r="B249" s="9">
        <v>0</v>
      </c>
      <c r="C249" s="10"/>
      <c r="D249" s="10"/>
      <c r="E249" s="10">
        <v>109575</v>
      </c>
      <c r="F249" s="9"/>
      <c r="G249" s="10"/>
      <c r="H249" s="10"/>
      <c r="I249" s="120"/>
      <c r="J249" s="120"/>
      <c r="K249" s="22">
        <v>495</v>
      </c>
      <c r="L249" s="6">
        <v>474</v>
      </c>
      <c r="M249" s="125">
        <f t="shared" si="3"/>
        <v>8.5</v>
      </c>
      <c r="N249" s="7"/>
      <c r="O249" s="132"/>
      <c r="P249" s="175"/>
      <c r="V249" s="207"/>
    </row>
    <row r="250" spans="1:22" ht="15" customHeight="1">
      <c r="A250" s="8">
        <v>36152</v>
      </c>
      <c r="B250" s="9">
        <v>0</v>
      </c>
      <c r="C250" s="10"/>
      <c r="D250" s="10"/>
      <c r="E250" s="10">
        <v>109000</v>
      </c>
      <c r="F250" s="9"/>
      <c r="G250" s="10"/>
      <c r="H250" s="10"/>
      <c r="I250" s="120"/>
      <c r="J250" s="120"/>
      <c r="K250" s="22">
        <v>496.5</v>
      </c>
      <c r="L250" s="6">
        <v>471.5</v>
      </c>
      <c r="M250" s="125">
        <f t="shared" si="3"/>
        <v>1.5</v>
      </c>
      <c r="N250" s="7"/>
      <c r="O250" s="132"/>
      <c r="P250" s="175"/>
      <c r="V250" s="207"/>
    </row>
    <row r="251" spans="1:22" ht="15" customHeight="1">
      <c r="A251" s="8">
        <v>36153</v>
      </c>
      <c r="B251" s="9">
        <v>0</v>
      </c>
      <c r="C251" s="10"/>
      <c r="D251" s="10"/>
      <c r="E251" s="10">
        <v>108975</v>
      </c>
      <c r="F251" s="9"/>
      <c r="G251" s="10"/>
      <c r="H251" s="10"/>
      <c r="I251" s="120"/>
      <c r="J251" s="120"/>
      <c r="K251" s="22">
        <v>501</v>
      </c>
      <c r="L251" s="6">
        <v>470</v>
      </c>
      <c r="M251" s="125">
        <f t="shared" si="3"/>
        <v>4.5</v>
      </c>
      <c r="N251" s="7"/>
      <c r="O251" s="132"/>
      <c r="P251" s="175"/>
      <c r="V251" s="207"/>
    </row>
    <row r="252" spans="1:22" ht="15" customHeight="1">
      <c r="A252" s="8">
        <v>36158</v>
      </c>
      <c r="B252" s="9">
        <v>0</v>
      </c>
      <c r="C252" s="10"/>
      <c r="D252" s="10"/>
      <c r="E252" s="10">
        <v>108950</v>
      </c>
      <c r="F252" s="9"/>
      <c r="G252" s="10"/>
      <c r="H252" s="10"/>
      <c r="I252" s="120"/>
      <c r="J252" s="120"/>
      <c r="K252" s="22">
        <v>506</v>
      </c>
      <c r="L252" s="6">
        <v>473</v>
      </c>
      <c r="M252" s="125">
        <f t="shared" si="3"/>
        <v>5</v>
      </c>
      <c r="N252" s="7"/>
      <c r="O252" s="132"/>
      <c r="P252" s="175"/>
      <c r="V252" s="207"/>
    </row>
    <row r="253" spans="1:22" ht="15" customHeight="1">
      <c r="A253" s="8">
        <v>36159</v>
      </c>
      <c r="B253" s="9">
        <v>0</v>
      </c>
      <c r="C253" s="10"/>
      <c r="D253" s="10"/>
      <c r="E253" s="10">
        <v>108425</v>
      </c>
      <c r="F253" s="9"/>
      <c r="G253" s="10"/>
      <c r="H253" s="10"/>
      <c r="I253" s="120"/>
      <c r="J253" s="120"/>
      <c r="K253" s="22">
        <v>503</v>
      </c>
      <c r="L253" s="6">
        <v>473.5</v>
      </c>
      <c r="M253" s="125">
        <f t="shared" si="3"/>
        <v>-3</v>
      </c>
      <c r="N253" s="7"/>
      <c r="O253" s="132"/>
      <c r="P253" s="175"/>
      <c r="V253" s="207"/>
    </row>
    <row r="254" spans="1:22" ht="15" customHeight="1">
      <c r="A254" s="8">
        <v>36160</v>
      </c>
      <c r="B254" s="9">
        <v>0</v>
      </c>
      <c r="C254" s="10"/>
      <c r="D254" s="10"/>
      <c r="E254" s="10">
        <v>108350</v>
      </c>
      <c r="F254" s="9"/>
      <c r="G254" s="10"/>
      <c r="H254" s="10"/>
      <c r="I254" s="120"/>
      <c r="J254" s="120"/>
      <c r="K254" s="22">
        <v>497</v>
      </c>
      <c r="L254" s="6">
        <v>474</v>
      </c>
      <c r="M254" s="125">
        <f t="shared" si="3"/>
        <v>-6</v>
      </c>
      <c r="N254" s="7"/>
      <c r="O254" s="132"/>
      <c r="P254" s="175"/>
      <c r="V254" s="207"/>
    </row>
    <row r="255" spans="1:22" ht="15" customHeight="1">
      <c r="A255" s="8">
        <v>36164</v>
      </c>
      <c r="B255" s="9">
        <v>0</v>
      </c>
      <c r="C255" s="10"/>
      <c r="D255" s="10"/>
      <c r="E255" s="10">
        <v>108350</v>
      </c>
      <c r="F255" s="9"/>
      <c r="G255" s="10"/>
      <c r="H255" s="10"/>
      <c r="I255" s="120"/>
      <c r="J255" s="120"/>
      <c r="K255" s="22">
        <v>495</v>
      </c>
      <c r="L255" s="6">
        <v>472</v>
      </c>
      <c r="M255" s="125">
        <f t="shared" si="3"/>
        <v>-2</v>
      </c>
      <c r="N255" s="7"/>
      <c r="O255" s="132"/>
      <c r="P255" s="175"/>
      <c r="V255" s="207"/>
    </row>
    <row r="256" spans="1:22" ht="15" customHeight="1">
      <c r="A256" s="8">
        <v>36165</v>
      </c>
      <c r="B256" s="9">
        <v>0</v>
      </c>
      <c r="C256" s="10"/>
      <c r="D256" s="10"/>
      <c r="E256" s="10">
        <v>107575</v>
      </c>
      <c r="F256" s="9"/>
      <c r="G256" s="10"/>
      <c r="H256" s="10"/>
      <c r="I256" s="120"/>
      <c r="J256" s="120"/>
      <c r="K256" s="22">
        <v>481</v>
      </c>
      <c r="L256" s="6">
        <v>468</v>
      </c>
      <c r="M256" s="125">
        <f t="shared" si="3"/>
        <v>-14</v>
      </c>
      <c r="N256" s="7"/>
      <c r="O256" s="132"/>
      <c r="P256" s="175"/>
      <c r="V256" s="207"/>
    </row>
    <row r="257" spans="1:22" ht="15" customHeight="1">
      <c r="A257" s="8">
        <v>36166</v>
      </c>
      <c r="B257" s="9">
        <v>0</v>
      </c>
      <c r="C257" s="10"/>
      <c r="D257" s="10"/>
      <c r="E257" s="10">
        <v>109100</v>
      </c>
      <c r="F257" s="9"/>
      <c r="G257" s="10"/>
      <c r="H257" s="10"/>
      <c r="I257" s="120"/>
      <c r="J257" s="120"/>
      <c r="K257" s="22">
        <v>476</v>
      </c>
      <c r="L257" s="6">
        <v>463</v>
      </c>
      <c r="M257" s="125">
        <f t="shared" si="3"/>
        <v>-5</v>
      </c>
      <c r="N257" s="7"/>
      <c r="O257" s="132"/>
      <c r="P257" s="175"/>
      <c r="V257" s="207"/>
    </row>
    <row r="258" spans="1:22" ht="15" customHeight="1">
      <c r="A258" s="8">
        <v>36167</v>
      </c>
      <c r="B258" s="9">
        <v>0</v>
      </c>
      <c r="C258" s="10"/>
      <c r="D258" s="10"/>
      <c r="E258" s="10">
        <v>109075</v>
      </c>
      <c r="F258" s="9"/>
      <c r="G258" s="10"/>
      <c r="H258" s="10"/>
      <c r="I258" s="120"/>
      <c r="J258" s="120"/>
      <c r="K258" s="22">
        <v>492</v>
      </c>
      <c r="L258" s="6">
        <v>474</v>
      </c>
      <c r="M258" s="125">
        <f t="shared" si="3"/>
        <v>16</v>
      </c>
      <c r="N258" s="7"/>
      <c r="O258" s="132"/>
      <c r="P258" s="175"/>
      <c r="V258" s="207"/>
    </row>
    <row r="259" spans="1:22" ht="15" customHeight="1">
      <c r="A259" s="8">
        <v>36168</v>
      </c>
      <c r="B259" s="9">
        <v>0</v>
      </c>
      <c r="C259" s="10"/>
      <c r="D259" s="10"/>
      <c r="E259" s="10">
        <v>109075</v>
      </c>
      <c r="F259" s="9"/>
      <c r="G259" s="10"/>
      <c r="H259" s="10"/>
      <c r="I259" s="120"/>
      <c r="J259" s="120"/>
      <c r="K259" s="22">
        <v>502</v>
      </c>
      <c r="L259" s="6">
        <v>487</v>
      </c>
      <c r="M259" s="125">
        <f t="shared" si="3"/>
        <v>10</v>
      </c>
      <c r="N259" s="7"/>
      <c r="O259" s="132"/>
      <c r="P259" s="175"/>
      <c r="V259" s="207"/>
    </row>
    <row r="260" spans="1:22" ht="15" customHeight="1">
      <c r="A260" s="8">
        <v>36171</v>
      </c>
      <c r="B260" s="9">
        <v>0</v>
      </c>
      <c r="C260" s="10"/>
      <c r="D260" s="10"/>
      <c r="E260" s="10">
        <v>109075</v>
      </c>
      <c r="F260" s="9"/>
      <c r="G260" s="10"/>
      <c r="H260" s="10"/>
      <c r="I260" s="120"/>
      <c r="J260" s="120"/>
      <c r="K260" s="22">
        <v>514</v>
      </c>
      <c r="L260" s="6">
        <v>505.5</v>
      </c>
      <c r="M260" s="125">
        <f t="shared" si="3"/>
        <v>12</v>
      </c>
      <c r="N260" s="7"/>
      <c r="O260" s="132"/>
      <c r="P260" s="175"/>
      <c r="V260" s="207"/>
    </row>
    <row r="261" spans="1:22" ht="15" customHeight="1">
      <c r="A261" s="8">
        <v>36172</v>
      </c>
      <c r="B261" s="9">
        <v>0</v>
      </c>
      <c r="C261" s="10"/>
      <c r="D261" s="10"/>
      <c r="E261" s="10">
        <v>108900</v>
      </c>
      <c r="F261" s="9"/>
      <c r="G261" s="10"/>
      <c r="H261" s="10"/>
      <c r="I261" s="120"/>
      <c r="J261" s="120"/>
      <c r="K261" s="22">
        <v>504</v>
      </c>
      <c r="L261" s="6">
        <v>499.5</v>
      </c>
      <c r="M261" s="125">
        <f t="shared" ref="M261:M324" si="4">+K261-K260</f>
        <v>-10</v>
      </c>
      <c r="N261" s="7"/>
      <c r="O261" s="132"/>
      <c r="P261" s="175"/>
      <c r="V261" s="207"/>
    </row>
    <row r="262" spans="1:22" ht="15" customHeight="1">
      <c r="A262" s="8">
        <v>36173</v>
      </c>
      <c r="B262" s="9">
        <v>0</v>
      </c>
      <c r="C262" s="10"/>
      <c r="D262" s="10"/>
      <c r="E262" s="10">
        <v>107650</v>
      </c>
      <c r="F262" s="9"/>
      <c r="G262" s="10"/>
      <c r="H262" s="10"/>
      <c r="I262" s="120"/>
      <c r="J262" s="120"/>
      <c r="K262" s="22">
        <v>487.5</v>
      </c>
      <c r="L262" s="6">
        <v>490</v>
      </c>
      <c r="M262" s="125">
        <f t="shared" si="4"/>
        <v>-16.5</v>
      </c>
      <c r="N262" s="7"/>
      <c r="O262" s="132"/>
      <c r="P262" s="175"/>
      <c r="V262" s="207"/>
    </row>
    <row r="263" spans="1:22" ht="15" customHeight="1">
      <c r="A263" s="8">
        <v>36174</v>
      </c>
      <c r="B263" s="9">
        <v>0</v>
      </c>
      <c r="C263" s="10"/>
      <c r="D263" s="10"/>
      <c r="E263" s="10">
        <v>106975</v>
      </c>
      <c r="F263" s="9"/>
      <c r="G263" s="10"/>
      <c r="H263" s="10"/>
      <c r="I263" s="120"/>
      <c r="J263" s="120"/>
      <c r="K263" s="22">
        <v>499</v>
      </c>
      <c r="L263" s="6">
        <v>502</v>
      </c>
      <c r="M263" s="125">
        <f t="shared" si="4"/>
        <v>11.5</v>
      </c>
      <c r="N263" s="7"/>
      <c r="O263" s="132"/>
      <c r="P263" s="175"/>
      <c r="V263" s="207"/>
    </row>
    <row r="264" spans="1:22" ht="15" customHeight="1">
      <c r="A264" s="8">
        <v>36175</v>
      </c>
      <c r="B264" s="9">
        <v>0</v>
      </c>
      <c r="C264" s="10"/>
      <c r="D264" s="10"/>
      <c r="E264" s="10">
        <v>106625</v>
      </c>
      <c r="F264" s="9"/>
      <c r="G264" s="10"/>
      <c r="H264" s="10"/>
      <c r="I264" s="120"/>
      <c r="J264" s="120"/>
      <c r="K264" s="22">
        <v>491</v>
      </c>
      <c r="L264" s="6">
        <v>496</v>
      </c>
      <c r="M264" s="125">
        <f t="shared" si="4"/>
        <v>-8</v>
      </c>
      <c r="N264" s="7"/>
      <c r="O264" s="132"/>
      <c r="P264" s="175"/>
      <c r="V264" s="207"/>
    </row>
    <row r="265" spans="1:22" ht="15" customHeight="1">
      <c r="A265" s="8">
        <v>36178</v>
      </c>
      <c r="B265" s="9">
        <v>0</v>
      </c>
      <c r="C265" s="10"/>
      <c r="D265" s="10"/>
      <c r="E265" s="10">
        <v>106475</v>
      </c>
      <c r="F265" s="9"/>
      <c r="G265" s="10"/>
      <c r="H265" s="10"/>
      <c r="I265" s="120"/>
      <c r="J265" s="120"/>
      <c r="K265" s="22">
        <v>486.5</v>
      </c>
      <c r="L265" s="6">
        <v>492.5</v>
      </c>
      <c r="M265" s="125">
        <f t="shared" si="4"/>
        <v>-4.5</v>
      </c>
      <c r="N265" s="7"/>
      <c r="O265" s="132"/>
      <c r="P265" s="175"/>
      <c r="V265" s="207"/>
    </row>
    <row r="266" spans="1:22" ht="15" customHeight="1">
      <c r="A266" s="8">
        <v>36179</v>
      </c>
      <c r="B266" s="9">
        <v>0</v>
      </c>
      <c r="C266" s="10"/>
      <c r="D266" s="10"/>
      <c r="E266" s="10">
        <v>106400</v>
      </c>
      <c r="F266" s="9"/>
      <c r="G266" s="10"/>
      <c r="H266" s="10"/>
      <c r="I266" s="120"/>
      <c r="J266" s="120"/>
      <c r="K266" s="22">
        <v>485</v>
      </c>
      <c r="L266" s="6">
        <v>491.5</v>
      </c>
      <c r="M266" s="125">
        <f t="shared" si="4"/>
        <v>-1.5</v>
      </c>
      <c r="N266" s="7"/>
      <c r="O266" s="132"/>
      <c r="P266" s="175"/>
      <c r="V266" s="207"/>
    </row>
    <row r="267" spans="1:22" ht="15" customHeight="1">
      <c r="A267" s="8">
        <v>36180</v>
      </c>
      <c r="B267" s="9">
        <v>0</v>
      </c>
      <c r="C267" s="10"/>
      <c r="D267" s="10"/>
      <c r="E267" s="10">
        <v>106225</v>
      </c>
      <c r="F267" s="9"/>
      <c r="G267" s="10"/>
      <c r="H267" s="10"/>
      <c r="I267" s="120"/>
      <c r="J267" s="120"/>
      <c r="K267" s="22">
        <v>484.5</v>
      </c>
      <c r="L267" s="6">
        <v>490</v>
      </c>
      <c r="M267" s="125">
        <f t="shared" si="4"/>
        <v>-0.5</v>
      </c>
      <c r="N267" s="7"/>
      <c r="O267" s="132"/>
      <c r="P267" s="175"/>
      <c r="V267" s="207"/>
    </row>
    <row r="268" spans="1:22" ht="15" customHeight="1">
      <c r="A268" s="8">
        <v>36181</v>
      </c>
      <c r="B268" s="9">
        <v>0</v>
      </c>
      <c r="C268" s="10"/>
      <c r="D268" s="10"/>
      <c r="E268" s="10">
        <v>106125</v>
      </c>
      <c r="F268" s="9"/>
      <c r="G268" s="10"/>
      <c r="H268" s="10"/>
      <c r="I268" s="120"/>
      <c r="J268" s="120"/>
      <c r="K268" s="22">
        <v>499</v>
      </c>
      <c r="L268" s="6">
        <v>501</v>
      </c>
      <c r="M268" s="125">
        <f t="shared" si="4"/>
        <v>14.5</v>
      </c>
      <c r="N268" s="7"/>
      <c r="O268" s="132"/>
      <c r="P268" s="175"/>
      <c r="V268" s="207"/>
    </row>
    <row r="269" spans="1:22" ht="15" customHeight="1">
      <c r="A269" s="8">
        <v>36182</v>
      </c>
      <c r="B269" s="9">
        <v>0</v>
      </c>
      <c r="C269" s="10"/>
      <c r="D269" s="10"/>
      <c r="E269" s="10">
        <v>105950</v>
      </c>
      <c r="F269" s="9"/>
      <c r="G269" s="10"/>
      <c r="H269" s="10"/>
      <c r="I269" s="120"/>
      <c r="J269" s="120"/>
      <c r="K269" s="22">
        <v>494</v>
      </c>
      <c r="L269" s="6">
        <v>492.5</v>
      </c>
      <c r="M269" s="125">
        <f t="shared" si="4"/>
        <v>-5</v>
      </c>
      <c r="N269" s="7"/>
      <c r="O269" s="132"/>
      <c r="P269" s="175"/>
      <c r="V269" s="207"/>
    </row>
    <row r="270" spans="1:22" ht="15" customHeight="1">
      <c r="A270" s="8">
        <v>36185</v>
      </c>
      <c r="B270" s="9">
        <v>0</v>
      </c>
      <c r="C270" s="10"/>
      <c r="D270" s="10"/>
      <c r="E270" s="10">
        <v>105950</v>
      </c>
      <c r="F270" s="9"/>
      <c r="G270" s="10"/>
      <c r="H270" s="10"/>
      <c r="I270" s="120"/>
      <c r="J270" s="120"/>
      <c r="K270" s="22">
        <v>491.5</v>
      </c>
      <c r="L270" s="6">
        <v>492</v>
      </c>
      <c r="M270" s="125">
        <f t="shared" si="4"/>
        <v>-2.5</v>
      </c>
      <c r="N270" s="7"/>
      <c r="O270" s="132"/>
      <c r="P270" s="175"/>
      <c r="V270" s="207"/>
    </row>
    <row r="271" spans="1:22" ht="15" customHeight="1">
      <c r="A271" s="8">
        <v>36186</v>
      </c>
      <c r="B271" s="9">
        <v>0</v>
      </c>
      <c r="C271" s="10"/>
      <c r="D271" s="10"/>
      <c r="E271" s="10">
        <v>105900</v>
      </c>
      <c r="F271" s="9"/>
      <c r="G271" s="10"/>
      <c r="H271" s="10"/>
      <c r="I271" s="120"/>
      <c r="J271" s="120"/>
      <c r="K271" s="22">
        <v>494.5</v>
      </c>
      <c r="L271" s="6">
        <v>496.5</v>
      </c>
      <c r="M271" s="125">
        <f t="shared" si="4"/>
        <v>3</v>
      </c>
      <c r="N271" s="7"/>
      <c r="O271" s="132"/>
      <c r="P271" s="175"/>
      <c r="V271" s="207"/>
    </row>
    <row r="272" spans="1:22" ht="15" customHeight="1">
      <c r="A272" s="8">
        <v>36187</v>
      </c>
      <c r="B272" s="9">
        <v>0</v>
      </c>
      <c r="C272" s="10"/>
      <c r="D272" s="10"/>
      <c r="E272" s="10">
        <v>105975</v>
      </c>
      <c r="F272" s="9"/>
      <c r="G272" s="10"/>
      <c r="H272" s="10"/>
      <c r="I272" s="120"/>
      <c r="J272" s="120"/>
      <c r="K272" s="22">
        <v>488</v>
      </c>
      <c r="L272" s="6">
        <v>488</v>
      </c>
      <c r="M272" s="125">
        <f t="shared" si="4"/>
        <v>-6.5</v>
      </c>
      <c r="N272" s="7"/>
      <c r="O272" s="132"/>
      <c r="P272" s="175"/>
      <c r="V272" s="207"/>
    </row>
    <row r="273" spans="1:22" ht="15" customHeight="1">
      <c r="A273" s="8">
        <v>36188</v>
      </c>
      <c r="B273" s="9">
        <v>0</v>
      </c>
      <c r="C273" s="10"/>
      <c r="D273" s="10"/>
      <c r="E273" s="10">
        <v>105750</v>
      </c>
      <c r="F273" s="9"/>
      <c r="G273" s="10"/>
      <c r="H273" s="10"/>
      <c r="I273" s="120"/>
      <c r="J273" s="120"/>
      <c r="K273" s="22">
        <v>493</v>
      </c>
      <c r="L273" s="6">
        <v>491</v>
      </c>
      <c r="M273" s="125">
        <f t="shared" si="4"/>
        <v>5</v>
      </c>
      <c r="N273" s="7"/>
      <c r="O273" s="132"/>
      <c r="P273" s="175"/>
      <c r="V273" s="207"/>
    </row>
    <row r="274" spans="1:22" ht="15" customHeight="1">
      <c r="A274" s="8">
        <v>36189</v>
      </c>
      <c r="B274" s="9">
        <v>0</v>
      </c>
      <c r="C274" s="10"/>
      <c r="D274" s="10"/>
      <c r="E274" s="10">
        <v>105525</v>
      </c>
      <c r="F274" s="9"/>
      <c r="G274" s="10"/>
      <c r="H274" s="10"/>
      <c r="I274" s="120"/>
      <c r="J274" s="120"/>
      <c r="K274" s="22">
        <v>488.5</v>
      </c>
      <c r="L274" s="6">
        <v>488</v>
      </c>
      <c r="M274" s="125">
        <f t="shared" si="4"/>
        <v>-4.5</v>
      </c>
      <c r="N274" s="7"/>
      <c r="O274" s="132"/>
      <c r="P274" s="175"/>
      <c r="V274" s="207"/>
    </row>
    <row r="275" spans="1:22" ht="15" customHeight="1">
      <c r="A275" s="8">
        <v>36192</v>
      </c>
      <c r="B275" s="9">
        <v>0</v>
      </c>
      <c r="C275" s="10"/>
      <c r="D275" s="10"/>
      <c r="E275" s="10">
        <v>105325</v>
      </c>
      <c r="F275" s="9"/>
      <c r="G275" s="10"/>
      <c r="H275" s="10"/>
      <c r="I275" s="120"/>
      <c r="J275" s="120"/>
      <c r="K275" s="22">
        <v>485</v>
      </c>
      <c r="L275" s="6">
        <v>489.5</v>
      </c>
      <c r="M275" s="125">
        <f t="shared" si="4"/>
        <v>-3.5</v>
      </c>
      <c r="N275" s="7"/>
      <c r="O275" s="132"/>
      <c r="P275" s="175"/>
      <c r="V275" s="207"/>
    </row>
    <row r="276" spans="1:22" ht="15" customHeight="1">
      <c r="A276" s="8">
        <v>36193</v>
      </c>
      <c r="B276" s="9">
        <v>0</v>
      </c>
      <c r="C276" s="10"/>
      <c r="D276" s="10"/>
      <c r="E276" s="10">
        <v>105350</v>
      </c>
      <c r="F276" s="9"/>
      <c r="G276" s="10"/>
      <c r="H276" s="10"/>
      <c r="I276" s="120"/>
      <c r="J276" s="120"/>
      <c r="K276" s="22">
        <v>495.5</v>
      </c>
      <c r="L276" s="6">
        <v>499</v>
      </c>
      <c r="M276" s="125">
        <f t="shared" si="4"/>
        <v>10.5</v>
      </c>
      <c r="N276" s="7"/>
      <c r="O276" s="132"/>
      <c r="P276" s="175"/>
      <c r="V276" s="207"/>
    </row>
    <row r="277" spans="1:22" ht="15" customHeight="1">
      <c r="A277" s="8">
        <v>36194</v>
      </c>
      <c r="B277" s="9">
        <v>0</v>
      </c>
      <c r="C277" s="10"/>
      <c r="D277" s="10"/>
      <c r="E277" s="10">
        <v>105350</v>
      </c>
      <c r="F277" s="9"/>
      <c r="G277" s="10"/>
      <c r="H277" s="10"/>
      <c r="I277" s="120"/>
      <c r="J277" s="120"/>
      <c r="K277" s="22">
        <v>494</v>
      </c>
      <c r="L277" s="6">
        <v>497.5</v>
      </c>
      <c r="M277" s="125">
        <f t="shared" si="4"/>
        <v>-1.5</v>
      </c>
      <c r="N277" s="7"/>
      <c r="O277" s="132"/>
      <c r="P277" s="175"/>
      <c r="V277" s="207"/>
    </row>
    <row r="278" spans="1:22" ht="15" customHeight="1">
      <c r="A278" s="8">
        <v>36195</v>
      </c>
      <c r="B278" s="9">
        <v>0</v>
      </c>
      <c r="C278" s="10"/>
      <c r="D278" s="10"/>
      <c r="E278" s="10">
        <v>105050</v>
      </c>
      <c r="F278" s="9"/>
      <c r="G278" s="10"/>
      <c r="H278" s="10"/>
      <c r="I278" s="120"/>
      <c r="J278" s="120"/>
      <c r="K278" s="22">
        <v>499.5</v>
      </c>
      <c r="L278" s="6">
        <v>503</v>
      </c>
      <c r="M278" s="125">
        <f t="shared" si="4"/>
        <v>5.5</v>
      </c>
      <c r="N278" s="7"/>
      <c r="O278" s="132"/>
      <c r="P278" s="175"/>
      <c r="V278" s="207"/>
    </row>
    <row r="279" spans="1:22" ht="15" customHeight="1">
      <c r="A279" s="8">
        <v>36196</v>
      </c>
      <c r="B279" s="9">
        <v>0</v>
      </c>
      <c r="C279" s="10"/>
      <c r="D279" s="10"/>
      <c r="E279" s="10">
        <v>104750</v>
      </c>
      <c r="F279" s="9"/>
      <c r="G279" s="10"/>
      <c r="H279" s="10"/>
      <c r="I279" s="120"/>
      <c r="J279" s="120"/>
      <c r="K279" s="22">
        <v>512</v>
      </c>
      <c r="L279" s="6">
        <v>502.5</v>
      </c>
      <c r="M279" s="125">
        <f t="shared" si="4"/>
        <v>12.5</v>
      </c>
      <c r="N279" s="7"/>
      <c r="O279" s="132"/>
      <c r="P279" s="175"/>
      <c r="V279" s="207"/>
    </row>
    <row r="280" spans="1:22" ht="15" customHeight="1">
      <c r="A280" s="8">
        <v>36199</v>
      </c>
      <c r="B280" s="9">
        <v>0</v>
      </c>
      <c r="C280" s="10"/>
      <c r="D280" s="10"/>
      <c r="E280" s="10">
        <v>105025</v>
      </c>
      <c r="F280" s="9"/>
      <c r="G280" s="10"/>
      <c r="H280" s="10"/>
      <c r="I280" s="120"/>
      <c r="J280" s="120"/>
      <c r="K280" s="22">
        <v>514</v>
      </c>
      <c r="L280" s="6">
        <v>506</v>
      </c>
      <c r="M280" s="125">
        <f t="shared" si="4"/>
        <v>2</v>
      </c>
      <c r="N280" s="7"/>
      <c r="O280" s="132"/>
      <c r="P280" s="175"/>
      <c r="V280" s="207"/>
    </row>
    <row r="281" spans="1:22" ht="15" customHeight="1">
      <c r="A281" s="8">
        <v>36200</v>
      </c>
      <c r="B281" s="9">
        <v>0</v>
      </c>
      <c r="C281" s="10"/>
      <c r="D281" s="10"/>
      <c r="E281" s="10">
        <v>107000</v>
      </c>
      <c r="F281" s="9"/>
      <c r="G281" s="10"/>
      <c r="H281" s="10"/>
      <c r="I281" s="120"/>
      <c r="J281" s="120"/>
      <c r="K281" s="22">
        <v>515</v>
      </c>
      <c r="L281" s="6">
        <v>519</v>
      </c>
      <c r="M281" s="125">
        <f t="shared" si="4"/>
        <v>1</v>
      </c>
      <c r="N281" s="7"/>
      <c r="O281" s="132"/>
      <c r="P281" s="175"/>
      <c r="V281" s="207"/>
    </row>
    <row r="282" spans="1:22" ht="15" customHeight="1">
      <c r="A282" s="8">
        <v>36201</v>
      </c>
      <c r="B282" s="9">
        <v>0</v>
      </c>
      <c r="C282" s="10"/>
      <c r="D282" s="10"/>
      <c r="E282" s="10">
        <v>107725</v>
      </c>
      <c r="F282" s="9"/>
      <c r="G282" s="10"/>
      <c r="H282" s="10"/>
      <c r="I282" s="120"/>
      <c r="J282" s="120"/>
      <c r="K282" s="22">
        <v>508.5</v>
      </c>
      <c r="L282" s="6">
        <v>512</v>
      </c>
      <c r="M282" s="125">
        <f t="shared" si="4"/>
        <v>-6.5</v>
      </c>
      <c r="N282" s="7"/>
      <c r="O282" s="132"/>
      <c r="P282" s="175"/>
      <c r="V282" s="207"/>
    </row>
    <row r="283" spans="1:22" ht="15" customHeight="1">
      <c r="A283" s="8">
        <v>36202</v>
      </c>
      <c r="B283" s="9">
        <v>0</v>
      </c>
      <c r="C283" s="10"/>
      <c r="D283" s="10"/>
      <c r="E283" s="10">
        <v>107475</v>
      </c>
      <c r="F283" s="9"/>
      <c r="G283" s="10"/>
      <c r="H283" s="10"/>
      <c r="I283" s="120"/>
      <c r="J283" s="120"/>
      <c r="K283" s="22">
        <v>516</v>
      </c>
      <c r="L283" s="6">
        <v>518</v>
      </c>
      <c r="M283" s="125">
        <f t="shared" si="4"/>
        <v>7.5</v>
      </c>
      <c r="N283" s="7"/>
      <c r="O283" s="132"/>
      <c r="P283" s="175"/>
      <c r="V283" s="207"/>
    </row>
    <row r="284" spans="1:22" ht="15" customHeight="1">
      <c r="A284" s="8">
        <v>36203</v>
      </c>
      <c r="B284" s="9">
        <v>0</v>
      </c>
      <c r="C284" s="10"/>
      <c r="D284" s="10"/>
      <c r="E284" s="10">
        <v>107300</v>
      </c>
      <c r="F284" s="9"/>
      <c r="G284" s="10"/>
      <c r="H284" s="10"/>
      <c r="I284" s="120"/>
      <c r="J284" s="120"/>
      <c r="K284" s="22">
        <v>530</v>
      </c>
      <c r="L284" s="6">
        <v>527</v>
      </c>
      <c r="M284" s="125">
        <f t="shared" si="4"/>
        <v>14</v>
      </c>
      <c r="N284" s="7"/>
      <c r="O284" s="132"/>
      <c r="P284" s="175"/>
      <c r="V284" s="207"/>
    </row>
    <row r="285" spans="1:22" ht="15" customHeight="1">
      <c r="A285" s="8">
        <v>36206</v>
      </c>
      <c r="B285" s="9">
        <v>0</v>
      </c>
      <c r="C285" s="10"/>
      <c r="D285" s="10"/>
      <c r="E285" s="10">
        <v>107425</v>
      </c>
      <c r="F285" s="9"/>
      <c r="G285" s="10"/>
      <c r="H285" s="10"/>
      <c r="I285" s="120"/>
      <c r="J285" s="120"/>
      <c r="K285" s="22">
        <v>520</v>
      </c>
      <c r="L285" s="6">
        <v>520</v>
      </c>
      <c r="M285" s="125">
        <f t="shared" si="4"/>
        <v>-10</v>
      </c>
      <c r="N285" s="7"/>
      <c r="O285" s="132"/>
      <c r="P285" s="175"/>
      <c r="V285" s="207"/>
    </row>
    <row r="286" spans="1:22" ht="15" customHeight="1">
      <c r="A286" s="8">
        <v>36207</v>
      </c>
      <c r="B286" s="9">
        <v>0</v>
      </c>
      <c r="C286" s="10"/>
      <c r="D286" s="10"/>
      <c r="E286" s="10">
        <v>107425</v>
      </c>
      <c r="F286" s="9"/>
      <c r="G286" s="10"/>
      <c r="H286" s="10"/>
      <c r="I286" s="120"/>
      <c r="J286" s="120"/>
      <c r="K286" s="22">
        <v>516.5</v>
      </c>
      <c r="L286" s="6">
        <v>522</v>
      </c>
      <c r="M286" s="125">
        <f t="shared" si="4"/>
        <v>-3.5</v>
      </c>
      <c r="N286" s="7"/>
      <c r="O286" s="132"/>
      <c r="P286" s="175"/>
      <c r="V286" s="207"/>
    </row>
    <row r="287" spans="1:22" ht="15" customHeight="1">
      <c r="A287" s="8">
        <v>36208</v>
      </c>
      <c r="B287" s="9">
        <v>0</v>
      </c>
      <c r="C287" s="10"/>
      <c r="D287" s="10"/>
      <c r="E287" s="10">
        <v>107075</v>
      </c>
      <c r="F287" s="9"/>
      <c r="G287" s="10"/>
      <c r="H287" s="10"/>
      <c r="I287" s="120"/>
      <c r="J287" s="120"/>
      <c r="K287" s="22">
        <v>524</v>
      </c>
      <c r="L287" s="6">
        <v>527</v>
      </c>
      <c r="M287" s="125">
        <f t="shared" si="4"/>
        <v>7.5</v>
      </c>
      <c r="N287" s="7"/>
      <c r="O287" s="132"/>
      <c r="P287" s="175"/>
      <c r="V287" s="207"/>
    </row>
    <row r="288" spans="1:22" ht="15" customHeight="1">
      <c r="A288" s="8">
        <v>36209</v>
      </c>
      <c r="B288" s="9">
        <v>0</v>
      </c>
      <c r="C288" s="10"/>
      <c r="D288" s="10"/>
      <c r="E288" s="10">
        <v>107075</v>
      </c>
      <c r="F288" s="9"/>
      <c r="G288" s="10"/>
      <c r="H288" s="10"/>
      <c r="I288" s="120"/>
      <c r="J288" s="120"/>
      <c r="K288" s="22">
        <v>529</v>
      </c>
      <c r="L288" s="6">
        <v>534</v>
      </c>
      <c r="M288" s="125">
        <f t="shared" si="4"/>
        <v>5</v>
      </c>
      <c r="N288" s="7"/>
      <c r="O288" s="132"/>
      <c r="P288" s="175"/>
      <c r="V288" s="207"/>
    </row>
    <row r="289" spans="1:22" ht="15" customHeight="1">
      <c r="A289" s="8">
        <v>36210</v>
      </c>
      <c r="B289" s="9">
        <v>0</v>
      </c>
      <c r="C289" s="10"/>
      <c r="D289" s="10"/>
      <c r="E289" s="10">
        <v>107225</v>
      </c>
      <c r="F289" s="9"/>
      <c r="G289" s="10"/>
      <c r="H289" s="10"/>
      <c r="I289" s="120"/>
      <c r="J289" s="120"/>
      <c r="K289" s="22">
        <v>524</v>
      </c>
      <c r="L289" s="6">
        <v>526</v>
      </c>
      <c r="M289" s="125">
        <f t="shared" si="4"/>
        <v>-5</v>
      </c>
      <c r="N289" s="7"/>
      <c r="O289" s="132"/>
      <c r="P289" s="175"/>
      <c r="V289" s="207"/>
    </row>
    <row r="290" spans="1:22" ht="15" customHeight="1">
      <c r="A290" s="8">
        <v>36213</v>
      </c>
      <c r="B290" s="9">
        <v>0</v>
      </c>
      <c r="C290" s="10"/>
      <c r="D290" s="10"/>
      <c r="E290" s="10">
        <v>107050</v>
      </c>
      <c r="F290" s="9"/>
      <c r="G290" s="10"/>
      <c r="H290" s="10"/>
      <c r="I290" s="120"/>
      <c r="J290" s="120"/>
      <c r="K290" s="22">
        <v>519</v>
      </c>
      <c r="L290" s="6">
        <v>523</v>
      </c>
      <c r="M290" s="125">
        <f t="shared" si="4"/>
        <v>-5</v>
      </c>
      <c r="N290" s="7"/>
      <c r="O290" s="132"/>
      <c r="P290" s="175"/>
      <c r="V290" s="207"/>
    </row>
    <row r="291" spans="1:22" ht="15" customHeight="1">
      <c r="A291" s="8">
        <v>36214</v>
      </c>
      <c r="B291" s="9">
        <v>0</v>
      </c>
      <c r="C291" s="10"/>
      <c r="D291" s="10"/>
      <c r="E291" s="10">
        <v>107050</v>
      </c>
      <c r="F291" s="9"/>
      <c r="G291" s="10"/>
      <c r="H291" s="10"/>
      <c r="I291" s="120"/>
      <c r="J291" s="120"/>
      <c r="K291" s="22">
        <v>512</v>
      </c>
      <c r="L291" s="6">
        <v>517</v>
      </c>
      <c r="M291" s="125">
        <f t="shared" si="4"/>
        <v>-7</v>
      </c>
      <c r="N291" s="7"/>
      <c r="O291" s="132"/>
      <c r="P291" s="175"/>
      <c r="V291" s="207"/>
    </row>
    <row r="292" spans="1:22" ht="15" customHeight="1">
      <c r="A292" s="8">
        <v>36215</v>
      </c>
      <c r="B292" s="9">
        <v>0</v>
      </c>
      <c r="C292" s="10"/>
      <c r="D292" s="10"/>
      <c r="E292" s="10">
        <v>107075</v>
      </c>
      <c r="F292" s="9"/>
      <c r="G292" s="10"/>
      <c r="H292" s="10"/>
      <c r="I292" s="120"/>
      <c r="J292" s="120"/>
      <c r="K292" s="22">
        <v>516.5</v>
      </c>
      <c r="L292" s="6">
        <v>520.5</v>
      </c>
      <c r="M292" s="125">
        <f t="shared" si="4"/>
        <v>4.5</v>
      </c>
      <c r="N292" s="7"/>
      <c r="O292" s="132"/>
      <c r="P292" s="175"/>
      <c r="V292" s="207"/>
    </row>
    <row r="293" spans="1:22" ht="15" customHeight="1">
      <c r="A293" s="8">
        <v>36216</v>
      </c>
      <c r="B293" s="9">
        <v>0</v>
      </c>
      <c r="C293" s="10"/>
      <c r="D293" s="10"/>
      <c r="E293" s="10">
        <v>107300</v>
      </c>
      <c r="F293" s="9"/>
      <c r="G293" s="10"/>
      <c r="H293" s="10"/>
      <c r="I293" s="120"/>
      <c r="J293" s="120"/>
      <c r="K293" s="22">
        <v>516</v>
      </c>
      <c r="L293" s="6">
        <v>519</v>
      </c>
      <c r="M293" s="125">
        <f t="shared" si="4"/>
        <v>-0.5</v>
      </c>
      <c r="N293" s="7"/>
      <c r="O293" s="132"/>
      <c r="P293" s="175"/>
      <c r="V293" s="207"/>
    </row>
    <row r="294" spans="1:22" ht="15" customHeight="1">
      <c r="A294" s="8">
        <v>36217</v>
      </c>
      <c r="B294" s="9">
        <v>0</v>
      </c>
      <c r="C294" s="10"/>
      <c r="D294" s="10"/>
      <c r="E294" s="10">
        <v>107725</v>
      </c>
      <c r="F294" s="9"/>
      <c r="G294" s="10"/>
      <c r="H294" s="10"/>
      <c r="I294" s="120"/>
      <c r="J294" s="120"/>
      <c r="K294" s="22">
        <v>526.5</v>
      </c>
      <c r="L294" s="6">
        <v>525</v>
      </c>
      <c r="M294" s="125">
        <f t="shared" si="4"/>
        <v>10.5</v>
      </c>
      <c r="N294" s="7"/>
      <c r="O294" s="132"/>
      <c r="P294" s="175"/>
      <c r="V294" s="207"/>
    </row>
    <row r="295" spans="1:22" ht="15" customHeight="1">
      <c r="A295" s="8">
        <v>36220</v>
      </c>
      <c r="B295" s="9">
        <v>0</v>
      </c>
      <c r="C295" s="10"/>
      <c r="D295" s="10"/>
      <c r="E295" s="10">
        <v>107825</v>
      </c>
      <c r="F295" s="9"/>
      <c r="G295" s="10"/>
      <c r="H295" s="10"/>
      <c r="I295" s="120"/>
      <c r="J295" s="120"/>
      <c r="K295" s="22">
        <v>517</v>
      </c>
      <c r="L295" s="6">
        <v>514.5</v>
      </c>
      <c r="M295" s="125">
        <f t="shared" si="4"/>
        <v>-9.5</v>
      </c>
      <c r="N295" s="7"/>
      <c r="O295" s="132"/>
      <c r="P295" s="175"/>
      <c r="V295" s="207"/>
    </row>
    <row r="296" spans="1:22" ht="15" customHeight="1">
      <c r="A296" s="8">
        <v>36221</v>
      </c>
      <c r="B296" s="9">
        <v>0</v>
      </c>
      <c r="C296" s="10"/>
      <c r="D296" s="10"/>
      <c r="E296" s="10">
        <v>107725</v>
      </c>
      <c r="F296" s="9"/>
      <c r="G296" s="10"/>
      <c r="H296" s="10"/>
      <c r="I296" s="120"/>
      <c r="J296" s="120"/>
      <c r="K296" s="22">
        <v>513</v>
      </c>
      <c r="L296" s="6">
        <v>513.5</v>
      </c>
      <c r="M296" s="125">
        <f t="shared" si="4"/>
        <v>-4</v>
      </c>
      <c r="N296" s="7"/>
      <c r="O296" s="132"/>
      <c r="P296" s="175"/>
      <c r="V296" s="207"/>
    </row>
    <row r="297" spans="1:22" ht="15" customHeight="1">
      <c r="A297" s="8">
        <v>36222</v>
      </c>
      <c r="B297" s="9">
        <v>0</v>
      </c>
      <c r="C297" s="10"/>
      <c r="D297" s="10"/>
      <c r="E297" s="10">
        <v>107450</v>
      </c>
      <c r="F297" s="9"/>
      <c r="G297" s="10"/>
      <c r="H297" s="10"/>
      <c r="I297" s="120"/>
      <c r="J297" s="120"/>
      <c r="K297" s="22">
        <v>517</v>
      </c>
      <c r="L297" s="6">
        <v>519</v>
      </c>
      <c r="M297" s="125">
        <f t="shared" si="4"/>
        <v>4</v>
      </c>
      <c r="N297" s="7"/>
      <c r="O297" s="132"/>
      <c r="P297" s="175"/>
      <c r="V297" s="207"/>
    </row>
    <row r="298" spans="1:22" ht="15" customHeight="1">
      <c r="A298" s="8">
        <v>36223</v>
      </c>
      <c r="B298" s="9">
        <v>0</v>
      </c>
      <c r="C298" s="10"/>
      <c r="D298" s="10"/>
      <c r="E298" s="10">
        <v>107525</v>
      </c>
      <c r="F298" s="9"/>
      <c r="G298" s="10"/>
      <c r="H298" s="10"/>
      <c r="I298" s="120"/>
      <c r="J298" s="120"/>
      <c r="K298" s="22">
        <v>524</v>
      </c>
      <c r="L298" s="6">
        <v>523</v>
      </c>
      <c r="M298" s="125">
        <f t="shared" si="4"/>
        <v>7</v>
      </c>
      <c r="N298" s="7"/>
      <c r="O298" s="132"/>
      <c r="P298" s="175"/>
      <c r="V298" s="207"/>
    </row>
    <row r="299" spans="1:22" ht="15" customHeight="1">
      <c r="A299" s="8">
        <v>36224</v>
      </c>
      <c r="B299" s="9">
        <v>0</v>
      </c>
      <c r="C299" s="10"/>
      <c r="D299" s="10"/>
      <c r="E299" s="10">
        <v>107400</v>
      </c>
      <c r="F299" s="9"/>
      <c r="G299" s="10"/>
      <c r="H299" s="10"/>
      <c r="I299" s="120"/>
      <c r="J299" s="120"/>
      <c r="K299" s="22">
        <v>512</v>
      </c>
      <c r="L299" s="6">
        <v>514</v>
      </c>
      <c r="M299" s="125">
        <f t="shared" si="4"/>
        <v>-12</v>
      </c>
      <c r="N299" s="7"/>
      <c r="O299" s="132"/>
      <c r="P299" s="175"/>
      <c r="V299" s="207"/>
    </row>
    <row r="300" spans="1:22" ht="15" customHeight="1">
      <c r="A300" s="8">
        <v>36227</v>
      </c>
      <c r="B300" s="9">
        <v>0</v>
      </c>
      <c r="C300" s="10"/>
      <c r="D300" s="10"/>
      <c r="E300" s="10">
        <v>107125</v>
      </c>
      <c r="F300" s="9"/>
      <c r="G300" s="10"/>
      <c r="H300" s="10"/>
      <c r="I300" s="120"/>
      <c r="J300" s="120"/>
      <c r="K300" s="22">
        <v>505.5</v>
      </c>
      <c r="L300" s="6">
        <v>505.5</v>
      </c>
      <c r="M300" s="125">
        <f t="shared" si="4"/>
        <v>-6.5</v>
      </c>
      <c r="N300" s="7"/>
      <c r="O300" s="132"/>
      <c r="P300" s="175"/>
      <c r="V300" s="207"/>
    </row>
    <row r="301" spans="1:22" ht="15" customHeight="1">
      <c r="A301" s="8">
        <v>36228</v>
      </c>
      <c r="B301" s="9">
        <v>0</v>
      </c>
      <c r="C301" s="10"/>
      <c r="D301" s="10"/>
      <c r="E301" s="10">
        <v>105950</v>
      </c>
      <c r="F301" s="9"/>
      <c r="G301" s="10"/>
      <c r="H301" s="10"/>
      <c r="I301" s="120"/>
      <c r="J301" s="120"/>
      <c r="K301" s="22">
        <v>501</v>
      </c>
      <c r="L301" s="6">
        <v>504.5</v>
      </c>
      <c r="M301" s="125">
        <f t="shared" si="4"/>
        <v>-4.5</v>
      </c>
      <c r="N301" s="7"/>
      <c r="O301" s="132"/>
      <c r="P301" s="175"/>
      <c r="V301" s="207"/>
    </row>
    <row r="302" spans="1:22" ht="15" customHeight="1">
      <c r="A302" s="8">
        <v>36229</v>
      </c>
      <c r="B302" s="9">
        <v>0</v>
      </c>
      <c r="C302" s="10"/>
      <c r="D302" s="10"/>
      <c r="E302" s="10">
        <v>105900</v>
      </c>
      <c r="F302" s="9"/>
      <c r="G302" s="10"/>
      <c r="H302" s="10"/>
      <c r="I302" s="120"/>
      <c r="J302" s="120"/>
      <c r="K302" s="22">
        <v>497</v>
      </c>
      <c r="L302" s="6">
        <v>501</v>
      </c>
      <c r="M302" s="125">
        <f t="shared" si="4"/>
        <v>-4</v>
      </c>
      <c r="N302" s="7"/>
      <c r="O302" s="132"/>
      <c r="P302" s="175"/>
      <c r="V302" s="207"/>
    </row>
    <row r="303" spans="1:22" ht="15" customHeight="1">
      <c r="A303" s="8">
        <v>36230</v>
      </c>
      <c r="B303" s="9">
        <v>0</v>
      </c>
      <c r="C303" s="10"/>
      <c r="D303" s="10"/>
      <c r="E303" s="10">
        <v>105725</v>
      </c>
      <c r="F303" s="9"/>
      <c r="G303" s="10"/>
      <c r="H303" s="10"/>
      <c r="I303" s="120"/>
      <c r="J303" s="120"/>
      <c r="K303" s="22">
        <v>503</v>
      </c>
      <c r="L303" s="6">
        <v>506</v>
      </c>
      <c r="M303" s="125">
        <f t="shared" si="4"/>
        <v>6</v>
      </c>
      <c r="N303" s="7"/>
      <c r="O303" s="132"/>
      <c r="P303" s="175"/>
      <c r="V303" s="207"/>
    </row>
    <row r="304" spans="1:22" ht="15" customHeight="1">
      <c r="A304" s="8">
        <v>36231</v>
      </c>
      <c r="B304" s="9">
        <v>0</v>
      </c>
      <c r="C304" s="10"/>
      <c r="D304" s="10"/>
      <c r="E304" s="10">
        <v>105375</v>
      </c>
      <c r="F304" s="9"/>
      <c r="G304" s="10"/>
      <c r="H304" s="10"/>
      <c r="I304" s="120"/>
      <c r="J304" s="120"/>
      <c r="K304" s="22">
        <v>499</v>
      </c>
      <c r="L304" s="6">
        <v>502</v>
      </c>
      <c r="M304" s="125">
        <f t="shared" si="4"/>
        <v>-4</v>
      </c>
      <c r="N304" s="7"/>
      <c r="O304" s="132"/>
      <c r="P304" s="175"/>
      <c r="V304" s="207"/>
    </row>
    <row r="305" spans="1:22" ht="15" customHeight="1">
      <c r="A305" s="8">
        <v>36234</v>
      </c>
      <c r="B305" s="9">
        <v>0</v>
      </c>
      <c r="C305" s="10"/>
      <c r="D305" s="10"/>
      <c r="E305" s="10">
        <v>105350</v>
      </c>
      <c r="F305" s="9"/>
      <c r="G305" s="10"/>
      <c r="H305" s="10"/>
      <c r="I305" s="120"/>
      <c r="J305" s="120"/>
      <c r="K305" s="22">
        <v>496.5</v>
      </c>
      <c r="L305" s="6">
        <v>499</v>
      </c>
      <c r="M305" s="125">
        <f t="shared" si="4"/>
        <v>-2.5</v>
      </c>
      <c r="N305" s="7"/>
      <c r="O305" s="132"/>
      <c r="P305" s="175"/>
      <c r="V305" s="207"/>
    </row>
    <row r="306" spans="1:22" ht="15" customHeight="1">
      <c r="A306" s="8">
        <v>36235</v>
      </c>
      <c r="B306" s="9">
        <v>0</v>
      </c>
      <c r="C306" s="10"/>
      <c r="D306" s="10"/>
      <c r="E306" s="10">
        <v>105200</v>
      </c>
      <c r="F306" s="9"/>
      <c r="G306" s="10"/>
      <c r="H306" s="10"/>
      <c r="I306" s="120"/>
      <c r="J306" s="120"/>
      <c r="K306" s="22">
        <v>492</v>
      </c>
      <c r="L306" s="6">
        <v>493</v>
      </c>
      <c r="M306" s="125">
        <f t="shared" si="4"/>
        <v>-4.5</v>
      </c>
      <c r="N306" s="7"/>
      <c r="O306" s="132"/>
      <c r="P306" s="175"/>
      <c r="V306" s="207"/>
    </row>
    <row r="307" spans="1:22" ht="15" customHeight="1">
      <c r="A307" s="8">
        <v>36236</v>
      </c>
      <c r="B307" s="9">
        <v>0</v>
      </c>
      <c r="C307" s="10"/>
      <c r="D307" s="10"/>
      <c r="E307" s="10">
        <v>105025</v>
      </c>
      <c r="F307" s="9"/>
      <c r="G307" s="10"/>
      <c r="H307" s="10"/>
      <c r="I307" s="120"/>
      <c r="J307" s="120"/>
      <c r="K307" s="22">
        <v>492.5</v>
      </c>
      <c r="L307" s="6">
        <v>494.5</v>
      </c>
      <c r="M307" s="125">
        <f t="shared" si="4"/>
        <v>0.5</v>
      </c>
      <c r="N307" s="7"/>
      <c r="O307" s="132"/>
      <c r="P307" s="175"/>
      <c r="V307" s="207"/>
    </row>
    <row r="308" spans="1:22" ht="15" customHeight="1">
      <c r="A308" s="8">
        <v>36237</v>
      </c>
      <c r="B308" s="9">
        <v>0</v>
      </c>
      <c r="C308" s="10"/>
      <c r="D308" s="10"/>
      <c r="E308" s="10">
        <v>104850</v>
      </c>
      <c r="F308" s="9"/>
      <c r="G308" s="10"/>
      <c r="H308" s="10"/>
      <c r="I308" s="120"/>
      <c r="J308" s="120"/>
      <c r="K308" s="22">
        <v>500</v>
      </c>
      <c r="L308" s="6">
        <v>503</v>
      </c>
      <c r="M308" s="125">
        <f t="shared" si="4"/>
        <v>7.5</v>
      </c>
      <c r="N308" s="7"/>
      <c r="O308" s="132"/>
      <c r="P308" s="175"/>
      <c r="V308" s="207"/>
    </row>
    <row r="309" spans="1:22" ht="15" customHeight="1">
      <c r="A309" s="8">
        <v>36238</v>
      </c>
      <c r="B309" s="9">
        <v>0</v>
      </c>
      <c r="C309" s="10"/>
      <c r="D309" s="10"/>
      <c r="E309" s="10">
        <v>104550</v>
      </c>
      <c r="F309" s="9"/>
      <c r="G309" s="10"/>
      <c r="H309" s="10"/>
      <c r="I309" s="120"/>
      <c r="J309" s="120"/>
      <c r="K309" s="22">
        <v>508.5</v>
      </c>
      <c r="L309" s="6">
        <v>508</v>
      </c>
      <c r="M309" s="125">
        <f t="shared" si="4"/>
        <v>8.5</v>
      </c>
      <c r="N309" s="7"/>
      <c r="O309" s="132"/>
      <c r="P309" s="175"/>
      <c r="V309" s="207"/>
    </row>
    <row r="310" spans="1:22" ht="15" customHeight="1">
      <c r="A310" s="8">
        <v>36241</v>
      </c>
      <c r="B310" s="9">
        <v>0</v>
      </c>
      <c r="C310" s="10"/>
      <c r="D310" s="10"/>
      <c r="E310" s="10">
        <v>104425</v>
      </c>
      <c r="F310" s="9"/>
      <c r="G310" s="10"/>
      <c r="H310" s="10"/>
      <c r="I310" s="120"/>
      <c r="J310" s="120"/>
      <c r="K310" s="22">
        <v>504.5</v>
      </c>
      <c r="L310" s="6">
        <v>504.5</v>
      </c>
      <c r="M310" s="125">
        <f t="shared" si="4"/>
        <v>-4</v>
      </c>
      <c r="N310" s="7"/>
      <c r="O310" s="132"/>
      <c r="P310" s="175"/>
      <c r="V310" s="207"/>
    </row>
    <row r="311" spans="1:22" ht="15" customHeight="1">
      <c r="A311" s="8">
        <v>36242</v>
      </c>
      <c r="B311" s="9">
        <v>0</v>
      </c>
      <c r="C311" s="10"/>
      <c r="D311" s="10"/>
      <c r="E311" s="10">
        <v>103923</v>
      </c>
      <c r="F311" s="9"/>
      <c r="G311" s="10"/>
      <c r="H311" s="10"/>
      <c r="I311" s="120"/>
      <c r="J311" s="120"/>
      <c r="K311" s="22">
        <v>515.5</v>
      </c>
      <c r="L311" s="6">
        <v>516</v>
      </c>
      <c r="M311" s="125">
        <f t="shared" si="4"/>
        <v>11</v>
      </c>
      <c r="N311" s="7"/>
      <c r="O311" s="132"/>
      <c r="P311" s="175"/>
      <c r="V311" s="207"/>
    </row>
    <row r="312" spans="1:22" ht="15" customHeight="1">
      <c r="A312" s="8">
        <v>36243</v>
      </c>
      <c r="B312" s="9">
        <v>0</v>
      </c>
      <c r="C312" s="10"/>
      <c r="D312" s="10"/>
      <c r="E312" s="10">
        <v>103825</v>
      </c>
      <c r="F312" s="9"/>
      <c r="G312" s="10"/>
      <c r="H312" s="10"/>
      <c r="I312" s="120"/>
      <c r="J312" s="120"/>
      <c r="K312" s="22">
        <v>508.5</v>
      </c>
      <c r="L312" s="6">
        <v>510.5</v>
      </c>
      <c r="M312" s="125">
        <f t="shared" si="4"/>
        <v>-7</v>
      </c>
      <c r="N312" s="7"/>
      <c r="O312" s="132"/>
      <c r="P312" s="175"/>
      <c r="V312" s="207"/>
    </row>
    <row r="313" spans="1:22" ht="15" customHeight="1">
      <c r="A313" s="8">
        <v>36244</v>
      </c>
      <c r="B313" s="9">
        <v>0</v>
      </c>
      <c r="C313" s="10"/>
      <c r="D313" s="10"/>
      <c r="E313" s="10">
        <v>103725</v>
      </c>
      <c r="F313" s="9"/>
      <c r="G313" s="10"/>
      <c r="H313" s="10"/>
      <c r="I313" s="120"/>
      <c r="J313" s="120"/>
      <c r="K313" s="22">
        <v>518</v>
      </c>
      <c r="L313" s="6">
        <v>518.5</v>
      </c>
      <c r="M313" s="125">
        <f t="shared" si="4"/>
        <v>9.5</v>
      </c>
      <c r="N313" s="7"/>
      <c r="O313" s="132"/>
      <c r="P313" s="175"/>
      <c r="V313" s="207"/>
    </row>
    <row r="314" spans="1:22" ht="15" customHeight="1">
      <c r="A314" s="8">
        <v>36245</v>
      </c>
      <c r="B314" s="9">
        <v>0</v>
      </c>
      <c r="C314" s="10"/>
      <c r="D314" s="10"/>
      <c r="E314" s="10">
        <v>103650</v>
      </c>
      <c r="F314" s="9"/>
      <c r="G314" s="10"/>
      <c r="H314" s="10"/>
      <c r="I314" s="120"/>
      <c r="J314" s="120"/>
      <c r="K314" s="22">
        <v>522.5</v>
      </c>
      <c r="L314" s="6">
        <v>523</v>
      </c>
      <c r="M314" s="125">
        <f t="shared" si="4"/>
        <v>4.5</v>
      </c>
      <c r="N314" s="7"/>
      <c r="O314" s="132"/>
      <c r="P314" s="175"/>
      <c r="V314" s="207"/>
    </row>
    <row r="315" spans="1:22" ht="15" customHeight="1">
      <c r="A315" s="8">
        <v>36248</v>
      </c>
      <c r="B315" s="9">
        <v>0</v>
      </c>
      <c r="C315" s="10"/>
      <c r="D315" s="10"/>
      <c r="E315" s="10">
        <v>103550</v>
      </c>
      <c r="F315" s="9"/>
      <c r="G315" s="10"/>
      <c r="H315" s="10"/>
      <c r="I315" s="120"/>
      <c r="J315" s="120"/>
      <c r="K315" s="22">
        <v>517</v>
      </c>
      <c r="L315" s="6">
        <v>517.5</v>
      </c>
      <c r="M315" s="125">
        <f t="shared" si="4"/>
        <v>-5.5</v>
      </c>
      <c r="N315" s="7"/>
      <c r="O315" s="132"/>
      <c r="P315" s="175"/>
      <c r="V315" s="207"/>
    </row>
    <row r="316" spans="1:22" ht="15" customHeight="1">
      <c r="A316" s="8">
        <v>36249</v>
      </c>
      <c r="B316" s="9">
        <v>0</v>
      </c>
      <c r="C316" s="10"/>
      <c r="D316" s="10"/>
      <c r="E316" s="10">
        <v>103600</v>
      </c>
      <c r="F316" s="9"/>
      <c r="G316" s="10"/>
      <c r="H316" s="10"/>
      <c r="I316" s="120"/>
      <c r="J316" s="120"/>
      <c r="K316" s="22">
        <v>510</v>
      </c>
      <c r="L316" s="6">
        <v>512</v>
      </c>
      <c r="M316" s="125">
        <f t="shared" si="4"/>
        <v>-7</v>
      </c>
      <c r="N316" s="7"/>
      <c r="O316" s="132"/>
      <c r="P316" s="175"/>
      <c r="V316" s="207"/>
    </row>
    <row r="317" spans="1:22" ht="15" customHeight="1">
      <c r="A317" s="8">
        <v>36250</v>
      </c>
      <c r="B317" s="9">
        <v>0</v>
      </c>
      <c r="C317" s="10"/>
      <c r="D317" s="10"/>
      <c r="E317" s="10">
        <v>104775</v>
      </c>
      <c r="F317" s="9"/>
      <c r="G317" s="10"/>
      <c r="H317" s="10"/>
      <c r="I317" s="120"/>
      <c r="J317" s="120"/>
      <c r="K317" s="22">
        <v>506</v>
      </c>
      <c r="L317" s="6">
        <v>506.5</v>
      </c>
      <c r="M317" s="125">
        <f t="shared" si="4"/>
        <v>-4</v>
      </c>
      <c r="N317" s="7"/>
      <c r="O317" s="132"/>
      <c r="P317" s="175"/>
      <c r="V317" s="207"/>
    </row>
    <row r="318" spans="1:22" ht="15" customHeight="1">
      <c r="A318" s="8">
        <v>36251</v>
      </c>
      <c r="B318" s="9">
        <v>0</v>
      </c>
      <c r="C318" s="10"/>
      <c r="D318" s="10"/>
      <c r="E318" s="10">
        <v>102925</v>
      </c>
      <c r="F318" s="9"/>
      <c r="G318" s="10"/>
      <c r="H318" s="10"/>
      <c r="I318" s="120"/>
      <c r="J318" s="120"/>
      <c r="K318" s="22">
        <v>508</v>
      </c>
      <c r="L318" s="6">
        <v>508</v>
      </c>
      <c r="M318" s="125">
        <f t="shared" si="4"/>
        <v>2</v>
      </c>
      <c r="N318" s="7"/>
      <c r="O318" s="132"/>
      <c r="P318" s="175"/>
      <c r="V318" s="207"/>
    </row>
    <row r="319" spans="1:22" ht="15" customHeight="1">
      <c r="A319" s="8">
        <v>36256</v>
      </c>
      <c r="B319" s="9">
        <v>0</v>
      </c>
      <c r="C319" s="10"/>
      <c r="D319" s="10"/>
      <c r="E319" s="10">
        <v>102950</v>
      </c>
      <c r="F319" s="9"/>
      <c r="G319" s="10"/>
      <c r="H319" s="10"/>
      <c r="I319" s="120"/>
      <c r="J319" s="120"/>
      <c r="K319" s="22">
        <v>495</v>
      </c>
      <c r="L319" s="6">
        <v>497</v>
      </c>
      <c r="M319" s="125">
        <f t="shared" si="4"/>
        <v>-13</v>
      </c>
      <c r="N319" s="7"/>
      <c r="O319" s="132"/>
      <c r="P319" s="175"/>
      <c r="V319" s="207"/>
    </row>
    <row r="320" spans="1:22" ht="15" customHeight="1">
      <c r="A320" s="8">
        <v>36257</v>
      </c>
      <c r="B320" s="9">
        <v>0</v>
      </c>
      <c r="C320" s="10"/>
      <c r="D320" s="10"/>
      <c r="E320" s="10">
        <v>102350</v>
      </c>
      <c r="F320" s="9"/>
      <c r="G320" s="10"/>
      <c r="H320" s="10"/>
      <c r="I320" s="120"/>
      <c r="J320" s="120"/>
      <c r="K320" s="22">
        <v>491</v>
      </c>
      <c r="L320" s="6">
        <v>495</v>
      </c>
      <c r="M320" s="125">
        <f t="shared" si="4"/>
        <v>-4</v>
      </c>
      <c r="N320" s="7"/>
      <c r="O320" s="132"/>
      <c r="P320" s="175"/>
      <c r="V320" s="207"/>
    </row>
    <row r="321" spans="1:22" ht="15" customHeight="1">
      <c r="A321" s="8">
        <v>36258</v>
      </c>
      <c r="B321" s="9">
        <v>0</v>
      </c>
      <c r="C321" s="10"/>
      <c r="D321" s="10"/>
      <c r="E321" s="10">
        <v>102100</v>
      </c>
      <c r="F321" s="9"/>
      <c r="G321" s="10"/>
      <c r="H321" s="10"/>
      <c r="I321" s="120"/>
      <c r="J321" s="120"/>
      <c r="K321" s="22">
        <v>502</v>
      </c>
      <c r="L321" s="6">
        <v>503</v>
      </c>
      <c r="M321" s="125">
        <f t="shared" si="4"/>
        <v>11</v>
      </c>
      <c r="N321" s="7"/>
      <c r="O321" s="132"/>
      <c r="P321" s="175"/>
      <c r="V321" s="207"/>
    </row>
    <row r="322" spans="1:22" ht="15" customHeight="1">
      <c r="A322" s="8">
        <v>36259</v>
      </c>
      <c r="B322" s="9">
        <v>0</v>
      </c>
      <c r="C322" s="10"/>
      <c r="D322" s="10"/>
      <c r="E322" s="10">
        <v>102450</v>
      </c>
      <c r="F322" s="9"/>
      <c r="G322" s="10"/>
      <c r="H322" s="10"/>
      <c r="I322" s="120"/>
      <c r="J322" s="120"/>
      <c r="K322" s="22">
        <v>499</v>
      </c>
      <c r="L322" s="6">
        <v>501</v>
      </c>
      <c r="M322" s="125">
        <f t="shared" si="4"/>
        <v>-3</v>
      </c>
      <c r="N322" s="7"/>
      <c r="O322" s="132"/>
      <c r="P322" s="175"/>
      <c r="V322" s="207"/>
    </row>
    <row r="323" spans="1:22" ht="15" customHeight="1">
      <c r="A323" s="8">
        <v>36262</v>
      </c>
      <c r="B323" s="9">
        <v>0</v>
      </c>
      <c r="C323" s="10"/>
      <c r="D323" s="10"/>
      <c r="E323" s="10">
        <v>102400</v>
      </c>
      <c r="F323" s="9"/>
      <c r="G323" s="10"/>
      <c r="H323" s="10"/>
      <c r="I323" s="120"/>
      <c r="J323" s="120"/>
      <c r="K323" s="22">
        <v>501.5</v>
      </c>
      <c r="L323" s="6">
        <v>504</v>
      </c>
      <c r="M323" s="125">
        <f t="shared" si="4"/>
        <v>2.5</v>
      </c>
      <c r="N323" s="7"/>
      <c r="O323" s="132"/>
      <c r="P323" s="175"/>
      <c r="V323" s="207"/>
    </row>
    <row r="324" spans="1:22" ht="15" customHeight="1">
      <c r="A324" s="8">
        <v>36263</v>
      </c>
      <c r="B324" s="9">
        <v>0</v>
      </c>
      <c r="C324" s="10"/>
      <c r="D324" s="10"/>
      <c r="E324" s="10">
        <v>104125</v>
      </c>
      <c r="F324" s="9"/>
      <c r="G324" s="10"/>
      <c r="H324" s="10"/>
      <c r="I324" s="120"/>
      <c r="J324" s="120"/>
      <c r="K324" s="22">
        <v>504.5</v>
      </c>
      <c r="L324" s="6">
        <v>506.5</v>
      </c>
      <c r="M324" s="125">
        <f t="shared" si="4"/>
        <v>3</v>
      </c>
      <c r="N324" s="7"/>
      <c r="O324" s="132"/>
      <c r="P324" s="175"/>
      <c r="V324" s="207"/>
    </row>
    <row r="325" spans="1:22" ht="15" customHeight="1">
      <c r="A325" s="8">
        <v>36264</v>
      </c>
      <c r="B325" s="9">
        <v>0</v>
      </c>
      <c r="C325" s="10"/>
      <c r="D325" s="10"/>
      <c r="E325" s="10">
        <v>103750</v>
      </c>
      <c r="F325" s="9"/>
      <c r="G325" s="10"/>
      <c r="H325" s="10"/>
      <c r="I325" s="120"/>
      <c r="J325" s="120"/>
      <c r="K325" s="22">
        <v>518</v>
      </c>
      <c r="L325" s="6">
        <v>518.5</v>
      </c>
      <c r="M325" s="125">
        <f t="shared" ref="M325:M388" si="5">+K325-K324</f>
        <v>13.5</v>
      </c>
      <c r="N325" s="7"/>
      <c r="O325" s="132"/>
      <c r="P325" s="175"/>
      <c r="V325" s="207"/>
    </row>
    <row r="326" spans="1:22" ht="15" customHeight="1">
      <c r="A326" s="8">
        <v>36265</v>
      </c>
      <c r="B326" s="9">
        <v>0</v>
      </c>
      <c r="C326" s="10"/>
      <c r="D326" s="10"/>
      <c r="E326" s="10">
        <v>103275</v>
      </c>
      <c r="F326" s="9"/>
      <c r="G326" s="10"/>
      <c r="H326" s="10"/>
      <c r="I326" s="120"/>
      <c r="J326" s="120"/>
      <c r="K326" s="22">
        <v>527</v>
      </c>
      <c r="L326" s="6">
        <v>528.5</v>
      </c>
      <c r="M326" s="125">
        <f t="shared" si="5"/>
        <v>9</v>
      </c>
      <c r="N326" s="7"/>
      <c r="O326" s="132"/>
      <c r="P326" s="175"/>
      <c r="V326" s="207"/>
    </row>
    <row r="327" spans="1:22" ht="15" customHeight="1">
      <c r="A327" s="8">
        <v>36266</v>
      </c>
      <c r="B327" s="9">
        <v>0</v>
      </c>
      <c r="C327" s="10"/>
      <c r="D327" s="10"/>
      <c r="E327" s="10">
        <v>103525</v>
      </c>
      <c r="F327" s="9"/>
      <c r="G327" s="10"/>
      <c r="H327" s="10"/>
      <c r="I327" s="120"/>
      <c r="J327" s="120"/>
      <c r="K327" s="22">
        <v>533</v>
      </c>
      <c r="L327" s="6">
        <v>534.5</v>
      </c>
      <c r="M327" s="125">
        <f t="shared" si="5"/>
        <v>6</v>
      </c>
      <c r="N327" s="7"/>
      <c r="O327" s="132"/>
      <c r="P327" s="175"/>
      <c r="V327" s="207"/>
    </row>
    <row r="328" spans="1:22" ht="15" customHeight="1">
      <c r="A328" s="8">
        <v>36269</v>
      </c>
      <c r="B328" s="9">
        <v>0</v>
      </c>
      <c r="C328" s="10"/>
      <c r="D328" s="10"/>
      <c r="E328" s="10">
        <v>103400</v>
      </c>
      <c r="F328" s="9"/>
      <c r="G328" s="10"/>
      <c r="H328" s="10"/>
      <c r="I328" s="120"/>
      <c r="J328" s="120"/>
      <c r="K328" s="22">
        <v>528</v>
      </c>
      <c r="L328" s="6">
        <v>531</v>
      </c>
      <c r="M328" s="125">
        <f t="shared" si="5"/>
        <v>-5</v>
      </c>
      <c r="N328" s="7"/>
      <c r="O328" s="132"/>
      <c r="P328" s="175"/>
      <c r="V328" s="207"/>
    </row>
    <row r="329" spans="1:22" ht="15" customHeight="1">
      <c r="A329" s="8">
        <v>36270</v>
      </c>
      <c r="B329" s="9">
        <v>0</v>
      </c>
      <c r="C329" s="10"/>
      <c r="D329" s="10"/>
      <c r="E329" s="10">
        <v>103750</v>
      </c>
      <c r="F329" s="9"/>
      <c r="G329" s="10"/>
      <c r="H329" s="10"/>
      <c r="I329" s="120"/>
      <c r="J329" s="120"/>
      <c r="K329" s="22">
        <v>533</v>
      </c>
      <c r="L329" s="6">
        <v>535.5</v>
      </c>
      <c r="M329" s="125">
        <f t="shared" si="5"/>
        <v>5</v>
      </c>
      <c r="N329" s="7"/>
      <c r="O329" s="132"/>
      <c r="P329" s="175"/>
      <c r="V329" s="207"/>
    </row>
    <row r="330" spans="1:22" ht="15" customHeight="1">
      <c r="A330" s="8">
        <v>36271</v>
      </c>
      <c r="B330" s="9">
        <v>0</v>
      </c>
      <c r="C330" s="10"/>
      <c r="D330" s="10"/>
      <c r="E330" s="10">
        <v>105575</v>
      </c>
      <c r="F330" s="9"/>
      <c r="G330" s="10"/>
      <c r="H330" s="10"/>
      <c r="I330" s="120"/>
      <c r="J330" s="120"/>
      <c r="K330" s="22">
        <v>521</v>
      </c>
      <c r="L330" s="6">
        <v>529</v>
      </c>
      <c r="M330" s="125">
        <f t="shared" si="5"/>
        <v>-12</v>
      </c>
      <c r="N330" s="7"/>
      <c r="O330" s="132"/>
      <c r="P330" s="175"/>
      <c r="V330" s="207"/>
    </row>
    <row r="331" spans="1:22" ht="15" customHeight="1">
      <c r="A331" s="8">
        <v>36272</v>
      </c>
      <c r="B331" s="9">
        <v>0</v>
      </c>
      <c r="C331" s="10"/>
      <c r="D331" s="10"/>
      <c r="E331" s="10">
        <v>104850</v>
      </c>
      <c r="F331" s="9"/>
      <c r="G331" s="10"/>
      <c r="H331" s="10"/>
      <c r="I331" s="120"/>
      <c r="J331" s="120"/>
      <c r="K331" s="22">
        <v>528.5</v>
      </c>
      <c r="L331" s="6">
        <v>533</v>
      </c>
      <c r="M331" s="125">
        <f t="shared" si="5"/>
        <v>7.5</v>
      </c>
      <c r="N331" s="7"/>
      <c r="O331" s="132"/>
      <c r="P331" s="175"/>
      <c r="V331" s="207"/>
    </row>
    <row r="332" spans="1:22" ht="15" customHeight="1">
      <c r="A332" s="8">
        <v>36273</v>
      </c>
      <c r="B332" s="9">
        <v>0</v>
      </c>
      <c r="C332" s="10"/>
      <c r="D332" s="10"/>
      <c r="E332" s="10">
        <v>104725</v>
      </c>
      <c r="F332" s="9"/>
      <c r="G332" s="10"/>
      <c r="H332" s="10"/>
      <c r="I332" s="120"/>
      <c r="J332" s="120"/>
      <c r="K332" s="22">
        <v>530</v>
      </c>
      <c r="L332" s="6">
        <v>535.5</v>
      </c>
      <c r="M332" s="125">
        <f t="shared" si="5"/>
        <v>1.5</v>
      </c>
      <c r="N332" s="7"/>
      <c r="O332" s="132"/>
      <c r="P332" s="175"/>
      <c r="V332" s="207"/>
    </row>
    <row r="333" spans="1:22" ht="15" customHeight="1">
      <c r="A333" s="8">
        <v>36276</v>
      </c>
      <c r="B333" s="9">
        <v>0</v>
      </c>
      <c r="C333" s="10"/>
      <c r="D333" s="10"/>
      <c r="E333" s="10">
        <v>104525</v>
      </c>
      <c r="F333" s="9"/>
      <c r="G333" s="10"/>
      <c r="H333" s="10"/>
      <c r="I333" s="120"/>
      <c r="J333" s="120"/>
      <c r="K333" s="22">
        <v>528</v>
      </c>
      <c r="L333" s="6">
        <v>534</v>
      </c>
      <c r="M333" s="125">
        <f t="shared" si="5"/>
        <v>-2</v>
      </c>
      <c r="N333" s="7"/>
      <c r="O333" s="132"/>
      <c r="P333" s="175"/>
      <c r="V333" s="207"/>
    </row>
    <row r="334" spans="1:22" ht="15" customHeight="1">
      <c r="A334" s="8">
        <v>36277</v>
      </c>
      <c r="B334" s="9">
        <v>0</v>
      </c>
      <c r="C334" s="10"/>
      <c r="D334" s="10"/>
      <c r="E334" s="10">
        <v>104500</v>
      </c>
      <c r="F334" s="9"/>
      <c r="G334" s="10"/>
      <c r="H334" s="10"/>
      <c r="I334" s="120"/>
      <c r="J334" s="120"/>
      <c r="K334" s="22">
        <v>528.5</v>
      </c>
      <c r="L334" s="6">
        <v>535.5</v>
      </c>
      <c r="M334" s="125">
        <f t="shared" si="5"/>
        <v>0.5</v>
      </c>
      <c r="N334" s="7"/>
      <c r="O334" s="132"/>
      <c r="P334" s="175"/>
      <c r="V334" s="207"/>
    </row>
    <row r="335" spans="1:22" ht="15" customHeight="1">
      <c r="A335" s="8">
        <v>36278</v>
      </c>
      <c r="B335" s="9">
        <v>0</v>
      </c>
      <c r="C335" s="10"/>
      <c r="D335" s="10"/>
      <c r="E335" s="10">
        <v>105000</v>
      </c>
      <c r="F335" s="9"/>
      <c r="G335" s="10"/>
      <c r="H335" s="10"/>
      <c r="I335" s="120"/>
      <c r="J335" s="120"/>
      <c r="K335" s="22">
        <v>534</v>
      </c>
      <c r="L335" s="6">
        <v>540</v>
      </c>
      <c r="M335" s="125">
        <f t="shared" si="5"/>
        <v>5.5</v>
      </c>
      <c r="N335" s="7"/>
      <c r="O335" s="132"/>
      <c r="P335" s="175"/>
      <c r="V335" s="207"/>
    </row>
    <row r="336" spans="1:22" ht="15" customHeight="1">
      <c r="A336" s="8">
        <v>36279</v>
      </c>
      <c r="B336" s="9">
        <v>0</v>
      </c>
      <c r="C336" s="10"/>
      <c r="D336" s="10"/>
      <c r="E336" s="10">
        <v>105000</v>
      </c>
      <c r="F336" s="9"/>
      <c r="G336" s="10"/>
      <c r="H336" s="10"/>
      <c r="I336" s="120"/>
      <c r="J336" s="120"/>
      <c r="K336" s="22">
        <v>535.5</v>
      </c>
      <c r="L336" s="6">
        <v>542</v>
      </c>
      <c r="M336" s="125">
        <f t="shared" si="5"/>
        <v>1.5</v>
      </c>
      <c r="N336" s="7"/>
      <c r="O336" s="132"/>
      <c r="P336" s="175"/>
      <c r="V336" s="207"/>
    </row>
    <row r="337" spans="1:22" ht="15" customHeight="1">
      <c r="A337" s="8">
        <v>36280</v>
      </c>
      <c r="B337" s="9">
        <v>0</v>
      </c>
      <c r="C337" s="10"/>
      <c r="D337" s="10"/>
      <c r="E337" s="10">
        <v>104875</v>
      </c>
      <c r="F337" s="9"/>
      <c r="G337" s="10"/>
      <c r="H337" s="10"/>
      <c r="I337" s="120"/>
      <c r="J337" s="120"/>
      <c r="K337" s="22">
        <v>541</v>
      </c>
      <c r="L337" s="6">
        <v>547</v>
      </c>
      <c r="M337" s="125">
        <f t="shared" si="5"/>
        <v>5.5</v>
      </c>
      <c r="N337" s="7"/>
      <c r="O337" s="132"/>
      <c r="P337" s="175"/>
      <c r="V337" s="207"/>
    </row>
    <row r="338" spans="1:22" ht="15" customHeight="1">
      <c r="A338" s="8">
        <v>36284</v>
      </c>
      <c r="B338" s="9">
        <v>0</v>
      </c>
      <c r="C338" s="10"/>
      <c r="D338" s="10"/>
      <c r="E338" s="10">
        <v>104800</v>
      </c>
      <c r="F338" s="9"/>
      <c r="G338" s="10"/>
      <c r="H338" s="10"/>
      <c r="I338" s="120"/>
      <c r="J338" s="120"/>
      <c r="K338" s="22">
        <v>540</v>
      </c>
      <c r="L338" s="6">
        <v>547.5</v>
      </c>
      <c r="M338" s="125">
        <f t="shared" si="5"/>
        <v>-1</v>
      </c>
      <c r="N338" s="7"/>
      <c r="O338" s="132"/>
      <c r="P338" s="175"/>
      <c r="V338" s="207"/>
    </row>
    <row r="339" spans="1:22" ht="15" customHeight="1">
      <c r="A339" s="8">
        <v>36285</v>
      </c>
      <c r="B339" s="9">
        <v>0</v>
      </c>
      <c r="C339" s="10"/>
      <c r="D339" s="10"/>
      <c r="E339" s="10">
        <v>104800</v>
      </c>
      <c r="F339" s="9"/>
      <c r="G339" s="10"/>
      <c r="H339" s="10"/>
      <c r="I339" s="120"/>
      <c r="J339" s="120"/>
      <c r="K339" s="22">
        <v>536.5</v>
      </c>
      <c r="L339" s="6">
        <v>543.5</v>
      </c>
      <c r="M339" s="125">
        <f t="shared" si="5"/>
        <v>-3.5</v>
      </c>
      <c r="N339" s="7"/>
      <c r="O339" s="132"/>
      <c r="P339" s="175"/>
      <c r="V339" s="207"/>
    </row>
    <row r="340" spans="1:22" ht="15" customHeight="1">
      <c r="A340" s="8">
        <v>36286</v>
      </c>
      <c r="B340" s="9">
        <v>0</v>
      </c>
      <c r="C340" s="10"/>
      <c r="D340" s="10"/>
      <c r="E340" s="10">
        <v>105025</v>
      </c>
      <c r="F340" s="9"/>
      <c r="G340" s="10"/>
      <c r="H340" s="10"/>
      <c r="I340" s="120"/>
      <c r="J340" s="120"/>
      <c r="K340" s="22">
        <v>543</v>
      </c>
      <c r="L340" s="6">
        <v>548.5</v>
      </c>
      <c r="M340" s="125">
        <f t="shared" si="5"/>
        <v>6.5</v>
      </c>
      <c r="N340" s="7"/>
      <c r="O340" s="132"/>
      <c r="P340" s="175"/>
      <c r="V340" s="207"/>
    </row>
    <row r="341" spans="1:22" ht="15" customHeight="1">
      <c r="A341" s="8">
        <v>36287</v>
      </c>
      <c r="B341" s="9">
        <v>0</v>
      </c>
      <c r="C341" s="10"/>
      <c r="D341" s="10"/>
      <c r="E341" s="10">
        <v>105050</v>
      </c>
      <c r="F341" s="9"/>
      <c r="G341" s="10"/>
      <c r="H341" s="10"/>
      <c r="I341" s="120"/>
      <c r="J341" s="120"/>
      <c r="K341" s="22">
        <v>534</v>
      </c>
      <c r="L341" s="6">
        <v>542</v>
      </c>
      <c r="M341" s="125">
        <f t="shared" si="5"/>
        <v>-9</v>
      </c>
      <c r="N341" s="7"/>
      <c r="O341" s="132"/>
      <c r="P341" s="175"/>
      <c r="V341" s="207"/>
    </row>
    <row r="342" spans="1:22" ht="15" customHeight="1">
      <c r="A342" s="8">
        <v>36290</v>
      </c>
      <c r="B342" s="9">
        <v>0</v>
      </c>
      <c r="C342" s="10"/>
      <c r="D342" s="10"/>
      <c r="E342" s="10">
        <v>105150</v>
      </c>
      <c r="F342" s="9"/>
      <c r="G342" s="10"/>
      <c r="H342" s="10"/>
      <c r="I342" s="120"/>
      <c r="J342" s="120"/>
      <c r="K342" s="22">
        <v>534</v>
      </c>
      <c r="L342" s="6">
        <v>540</v>
      </c>
      <c r="M342" s="125">
        <f t="shared" si="5"/>
        <v>0</v>
      </c>
      <c r="N342" s="7"/>
      <c r="O342" s="132"/>
      <c r="P342" s="175"/>
      <c r="V342" s="207"/>
    </row>
    <row r="343" spans="1:22" ht="15" customHeight="1">
      <c r="A343" s="8">
        <v>36291</v>
      </c>
      <c r="B343" s="9">
        <v>0</v>
      </c>
      <c r="C343" s="10"/>
      <c r="D343" s="10"/>
      <c r="E343" s="10">
        <v>105650</v>
      </c>
      <c r="F343" s="9"/>
      <c r="G343" s="10"/>
      <c r="H343" s="10"/>
      <c r="I343" s="120"/>
      <c r="J343" s="120"/>
      <c r="K343" s="22">
        <v>529</v>
      </c>
      <c r="L343" s="6">
        <v>537.5</v>
      </c>
      <c r="M343" s="125">
        <f t="shared" si="5"/>
        <v>-5</v>
      </c>
      <c r="N343" s="7"/>
      <c r="O343" s="132"/>
      <c r="P343" s="175"/>
      <c r="V343" s="207"/>
    </row>
    <row r="344" spans="1:22" ht="15" customHeight="1">
      <c r="A344" s="8">
        <v>36292</v>
      </c>
      <c r="B344" s="9">
        <v>0</v>
      </c>
      <c r="C344" s="10"/>
      <c r="D344" s="10"/>
      <c r="E344" s="10">
        <v>107100</v>
      </c>
      <c r="F344" s="9"/>
      <c r="G344" s="10"/>
      <c r="H344" s="10"/>
      <c r="I344" s="120"/>
      <c r="J344" s="120"/>
      <c r="K344" s="22">
        <v>548</v>
      </c>
      <c r="L344" s="6">
        <v>553</v>
      </c>
      <c r="M344" s="125">
        <f t="shared" si="5"/>
        <v>19</v>
      </c>
      <c r="N344" s="7"/>
      <c r="O344" s="132"/>
      <c r="P344" s="175"/>
      <c r="V344" s="207"/>
    </row>
    <row r="345" spans="1:22" ht="15" customHeight="1">
      <c r="A345" s="8">
        <v>36293</v>
      </c>
      <c r="B345" s="9">
        <v>0</v>
      </c>
      <c r="C345" s="10"/>
      <c r="D345" s="10"/>
      <c r="E345" s="10">
        <v>109275</v>
      </c>
      <c r="F345" s="9"/>
      <c r="G345" s="10"/>
      <c r="H345" s="10"/>
      <c r="I345" s="120"/>
      <c r="J345" s="120"/>
      <c r="K345" s="22">
        <v>546</v>
      </c>
      <c r="L345" s="6">
        <v>550.5</v>
      </c>
      <c r="M345" s="125">
        <f t="shared" si="5"/>
        <v>-2</v>
      </c>
      <c r="N345" s="7"/>
      <c r="O345" s="132"/>
      <c r="P345" s="175"/>
      <c r="V345" s="207"/>
    </row>
    <row r="346" spans="1:22" ht="15" customHeight="1">
      <c r="A346" s="8">
        <v>36294</v>
      </c>
      <c r="B346" s="9">
        <v>0</v>
      </c>
      <c r="C346" s="10"/>
      <c r="D346" s="10"/>
      <c r="E346" s="10">
        <v>109375</v>
      </c>
      <c r="F346" s="9"/>
      <c r="G346" s="10"/>
      <c r="H346" s="10"/>
      <c r="I346" s="120"/>
      <c r="J346" s="120"/>
      <c r="K346" s="22">
        <v>553</v>
      </c>
      <c r="L346" s="6">
        <v>556</v>
      </c>
      <c r="M346" s="125">
        <f t="shared" si="5"/>
        <v>7</v>
      </c>
      <c r="N346" s="7"/>
      <c r="O346" s="132"/>
      <c r="P346" s="175"/>
      <c r="V346" s="207"/>
    </row>
    <row r="347" spans="1:22" ht="15" customHeight="1">
      <c r="A347" s="8">
        <v>36297</v>
      </c>
      <c r="B347" s="9">
        <v>0</v>
      </c>
      <c r="C347" s="10"/>
      <c r="D347" s="10"/>
      <c r="E347" s="10">
        <v>109325</v>
      </c>
      <c r="F347" s="9"/>
      <c r="G347" s="10"/>
      <c r="H347" s="10"/>
      <c r="I347" s="120"/>
      <c r="J347" s="120"/>
      <c r="K347" s="22">
        <v>554.5</v>
      </c>
      <c r="L347" s="6">
        <v>556</v>
      </c>
      <c r="M347" s="125">
        <f t="shared" si="5"/>
        <v>1.5</v>
      </c>
      <c r="N347" s="7"/>
      <c r="O347" s="132"/>
      <c r="P347" s="175"/>
      <c r="V347" s="207"/>
    </row>
    <row r="348" spans="1:22" ht="15" customHeight="1">
      <c r="A348" s="8">
        <v>36298</v>
      </c>
      <c r="B348" s="9">
        <v>0</v>
      </c>
      <c r="C348" s="10"/>
      <c r="D348" s="10"/>
      <c r="E348" s="10">
        <v>109300</v>
      </c>
      <c r="F348" s="9"/>
      <c r="G348" s="10"/>
      <c r="H348" s="10"/>
      <c r="I348" s="120"/>
      <c r="J348" s="120"/>
      <c r="K348" s="22">
        <v>552.5</v>
      </c>
      <c r="L348" s="6">
        <v>555</v>
      </c>
      <c r="M348" s="125">
        <f t="shared" si="5"/>
        <v>-2</v>
      </c>
      <c r="N348" s="7"/>
      <c r="O348" s="132"/>
      <c r="P348" s="175"/>
      <c r="V348" s="207"/>
    </row>
    <row r="349" spans="1:22" ht="15" customHeight="1">
      <c r="A349" s="8">
        <v>36299</v>
      </c>
      <c r="B349" s="9">
        <v>0</v>
      </c>
      <c r="C349" s="10"/>
      <c r="D349" s="10"/>
      <c r="E349" s="10">
        <v>109225</v>
      </c>
      <c r="F349" s="9"/>
      <c r="G349" s="10"/>
      <c r="H349" s="10"/>
      <c r="I349" s="120"/>
      <c r="J349" s="120"/>
      <c r="K349" s="22">
        <v>554</v>
      </c>
      <c r="L349" s="6">
        <v>556</v>
      </c>
      <c r="M349" s="125">
        <f t="shared" si="5"/>
        <v>1.5</v>
      </c>
      <c r="N349" s="7"/>
      <c r="O349" s="132"/>
      <c r="P349" s="175"/>
      <c r="V349" s="207"/>
    </row>
    <row r="350" spans="1:22" ht="15" customHeight="1">
      <c r="A350" s="8">
        <v>36300</v>
      </c>
      <c r="B350" s="9">
        <v>0</v>
      </c>
      <c r="C350" s="10"/>
      <c r="D350" s="10"/>
      <c r="E350" s="10">
        <v>110550</v>
      </c>
      <c r="F350" s="9"/>
      <c r="G350" s="10"/>
      <c r="H350" s="10"/>
      <c r="I350" s="120"/>
      <c r="J350" s="120"/>
      <c r="K350" s="22">
        <v>559.5</v>
      </c>
      <c r="L350" s="6">
        <v>557</v>
      </c>
      <c r="M350" s="125">
        <f t="shared" si="5"/>
        <v>5.5</v>
      </c>
      <c r="N350" s="7"/>
      <c r="O350" s="132"/>
      <c r="P350" s="175"/>
      <c r="V350" s="207"/>
    </row>
    <row r="351" spans="1:22" ht="15" customHeight="1">
      <c r="A351" s="8">
        <v>36301</v>
      </c>
      <c r="B351" s="9">
        <v>0</v>
      </c>
      <c r="C351" s="10"/>
      <c r="D351" s="10"/>
      <c r="E351" s="10">
        <v>112125</v>
      </c>
      <c r="F351" s="9"/>
      <c r="G351" s="10"/>
      <c r="H351" s="10"/>
      <c r="I351" s="120"/>
      <c r="J351" s="120"/>
      <c r="K351" s="22">
        <v>547</v>
      </c>
      <c r="L351" s="6">
        <v>547</v>
      </c>
      <c r="M351" s="125">
        <f t="shared" si="5"/>
        <v>-12.5</v>
      </c>
      <c r="N351" s="7"/>
      <c r="O351" s="132"/>
      <c r="P351" s="175"/>
      <c r="V351" s="207"/>
    </row>
    <row r="352" spans="1:22" ht="15" customHeight="1">
      <c r="A352" s="8">
        <v>36304</v>
      </c>
      <c r="B352" s="9">
        <v>0</v>
      </c>
      <c r="C352" s="10"/>
      <c r="D352" s="10"/>
      <c r="E352" s="10">
        <v>112725</v>
      </c>
      <c r="F352" s="9"/>
      <c r="G352" s="10"/>
      <c r="H352" s="10"/>
      <c r="I352" s="120"/>
      <c r="J352" s="120"/>
      <c r="K352" s="22">
        <v>531</v>
      </c>
      <c r="L352" s="6">
        <v>528</v>
      </c>
      <c r="M352" s="125">
        <f t="shared" si="5"/>
        <v>-16</v>
      </c>
      <c r="N352" s="7"/>
      <c r="O352" s="132"/>
      <c r="P352" s="175"/>
      <c r="V352" s="207"/>
    </row>
    <row r="353" spans="1:22" ht="15" customHeight="1">
      <c r="A353" s="8">
        <v>36305</v>
      </c>
      <c r="B353" s="9">
        <v>0</v>
      </c>
      <c r="C353" s="10"/>
      <c r="D353" s="10"/>
      <c r="E353" s="10">
        <v>112725</v>
      </c>
      <c r="F353" s="9"/>
      <c r="G353" s="10"/>
      <c r="H353" s="10"/>
      <c r="I353" s="120"/>
      <c r="J353" s="120"/>
      <c r="K353" s="22">
        <v>538</v>
      </c>
      <c r="L353" s="6">
        <v>535</v>
      </c>
      <c r="M353" s="125">
        <f t="shared" si="5"/>
        <v>7</v>
      </c>
      <c r="N353" s="7"/>
      <c r="O353" s="132"/>
      <c r="P353" s="175"/>
      <c r="V353" s="207"/>
    </row>
    <row r="354" spans="1:22" ht="15" customHeight="1">
      <c r="A354" s="8">
        <v>36306</v>
      </c>
      <c r="B354" s="9">
        <v>0</v>
      </c>
      <c r="C354" s="10"/>
      <c r="D354" s="10"/>
      <c r="E354" s="10">
        <v>114725</v>
      </c>
      <c r="F354" s="9"/>
      <c r="G354" s="10"/>
      <c r="H354" s="10"/>
      <c r="I354" s="120"/>
      <c r="J354" s="120"/>
      <c r="K354" s="22">
        <v>549</v>
      </c>
      <c r="L354" s="6">
        <v>543</v>
      </c>
      <c r="M354" s="125">
        <f t="shared" si="5"/>
        <v>11</v>
      </c>
      <c r="N354" s="7"/>
      <c r="O354" s="132"/>
      <c r="P354" s="175"/>
      <c r="V354" s="207"/>
    </row>
    <row r="355" spans="1:22" ht="15" customHeight="1">
      <c r="A355" s="8">
        <v>36307</v>
      </c>
      <c r="B355" s="9">
        <v>0</v>
      </c>
      <c r="C355" s="10"/>
      <c r="D355" s="10"/>
      <c r="E355" s="10">
        <v>115225</v>
      </c>
      <c r="F355" s="9"/>
      <c r="G355" s="10"/>
      <c r="H355" s="10"/>
      <c r="I355" s="120"/>
      <c r="J355" s="120"/>
      <c r="K355" s="22">
        <v>540</v>
      </c>
      <c r="L355" s="6">
        <v>534</v>
      </c>
      <c r="M355" s="125">
        <f t="shared" si="5"/>
        <v>-9</v>
      </c>
      <c r="N355" s="7"/>
      <c r="O355" s="132"/>
      <c r="P355" s="175"/>
      <c r="V355" s="207"/>
    </row>
    <row r="356" spans="1:22" ht="15" customHeight="1">
      <c r="A356" s="8">
        <v>36308</v>
      </c>
      <c r="B356" s="9">
        <v>0</v>
      </c>
      <c r="C356" s="10"/>
      <c r="D356" s="10"/>
      <c r="E356" s="10">
        <v>119275</v>
      </c>
      <c r="F356" s="9"/>
      <c r="G356" s="10"/>
      <c r="H356" s="10"/>
      <c r="I356" s="120"/>
      <c r="J356" s="120"/>
      <c r="K356" s="22">
        <v>500</v>
      </c>
      <c r="L356" s="6">
        <v>497</v>
      </c>
      <c r="M356" s="125">
        <f t="shared" si="5"/>
        <v>-40</v>
      </c>
      <c r="N356" s="7"/>
      <c r="O356" s="132"/>
      <c r="P356" s="175"/>
      <c r="V356" s="207"/>
    </row>
    <row r="357" spans="1:22" ht="15" customHeight="1">
      <c r="A357" s="8">
        <v>36312</v>
      </c>
      <c r="B357" s="9">
        <v>0</v>
      </c>
      <c r="C357" s="10"/>
      <c r="D357" s="10"/>
      <c r="E357" s="10">
        <v>119650</v>
      </c>
      <c r="F357" s="9"/>
      <c r="G357" s="10"/>
      <c r="H357" s="10"/>
      <c r="I357" s="120"/>
      <c r="J357" s="120"/>
      <c r="K357" s="22">
        <v>496</v>
      </c>
      <c r="L357" s="6">
        <v>495.5</v>
      </c>
      <c r="M357" s="125">
        <f t="shared" si="5"/>
        <v>-4</v>
      </c>
      <c r="N357" s="7"/>
      <c r="O357" s="132"/>
      <c r="P357" s="175"/>
      <c r="V357" s="207"/>
    </row>
    <row r="358" spans="1:22" ht="15" customHeight="1">
      <c r="A358" s="8">
        <v>36313</v>
      </c>
      <c r="B358" s="9">
        <v>0</v>
      </c>
      <c r="C358" s="10"/>
      <c r="D358" s="10"/>
      <c r="E358" s="10">
        <v>119950</v>
      </c>
      <c r="F358" s="9"/>
      <c r="G358" s="10"/>
      <c r="H358" s="10"/>
      <c r="I358" s="120"/>
      <c r="J358" s="120"/>
      <c r="K358" s="22">
        <v>499</v>
      </c>
      <c r="L358" s="6">
        <v>498.5</v>
      </c>
      <c r="M358" s="125">
        <f t="shared" si="5"/>
        <v>3</v>
      </c>
      <c r="N358" s="7"/>
      <c r="O358" s="132"/>
      <c r="P358" s="175"/>
      <c r="V358" s="207"/>
    </row>
    <row r="359" spans="1:22" ht="15" customHeight="1">
      <c r="A359" s="8">
        <v>36314</v>
      </c>
      <c r="B359" s="9">
        <v>0</v>
      </c>
      <c r="C359" s="10"/>
      <c r="D359" s="10"/>
      <c r="E359" s="10">
        <v>122650</v>
      </c>
      <c r="F359" s="9"/>
      <c r="G359" s="10"/>
      <c r="H359" s="10"/>
      <c r="I359" s="120"/>
      <c r="J359" s="120"/>
      <c r="K359" s="22">
        <v>492</v>
      </c>
      <c r="L359" s="6">
        <v>495</v>
      </c>
      <c r="M359" s="125">
        <f t="shared" si="5"/>
        <v>-7</v>
      </c>
      <c r="N359" s="7"/>
      <c r="O359" s="132"/>
      <c r="P359" s="175"/>
      <c r="V359" s="207"/>
    </row>
    <row r="360" spans="1:22" ht="15" customHeight="1">
      <c r="A360" s="8">
        <v>36315</v>
      </c>
      <c r="B360" s="9">
        <v>0</v>
      </c>
      <c r="C360" s="10"/>
      <c r="D360" s="10"/>
      <c r="E360" s="10">
        <v>123825</v>
      </c>
      <c r="F360" s="9"/>
      <c r="G360" s="10"/>
      <c r="H360" s="10"/>
      <c r="I360" s="120"/>
      <c r="J360" s="120"/>
      <c r="K360" s="22">
        <v>498</v>
      </c>
      <c r="L360" s="6">
        <v>503.5</v>
      </c>
      <c r="M360" s="125">
        <f t="shared" si="5"/>
        <v>6</v>
      </c>
      <c r="N360" s="7"/>
      <c r="O360" s="132"/>
      <c r="P360" s="175"/>
      <c r="V360" s="207"/>
    </row>
    <row r="361" spans="1:22" ht="15" customHeight="1">
      <c r="A361" s="8">
        <v>36318</v>
      </c>
      <c r="B361" s="9">
        <v>0</v>
      </c>
      <c r="C361" s="10"/>
      <c r="D361" s="10"/>
      <c r="E361" s="10">
        <v>124525</v>
      </c>
      <c r="F361" s="9"/>
      <c r="G361" s="10"/>
      <c r="H361" s="10"/>
      <c r="I361" s="120"/>
      <c r="J361" s="120"/>
      <c r="K361" s="22">
        <v>487</v>
      </c>
      <c r="L361" s="6">
        <v>494</v>
      </c>
      <c r="M361" s="125">
        <f t="shared" si="5"/>
        <v>-11</v>
      </c>
      <c r="N361" s="7"/>
      <c r="O361" s="132"/>
      <c r="P361" s="175"/>
      <c r="V361" s="207"/>
    </row>
    <row r="362" spans="1:22" ht="15" customHeight="1">
      <c r="A362" s="8">
        <v>36319</v>
      </c>
      <c r="B362" s="9">
        <v>0</v>
      </c>
      <c r="C362" s="10"/>
      <c r="D362" s="10"/>
      <c r="E362" s="10">
        <v>124500</v>
      </c>
      <c r="F362" s="9"/>
      <c r="G362" s="10"/>
      <c r="H362" s="10"/>
      <c r="I362" s="120"/>
      <c r="J362" s="120"/>
      <c r="K362" s="22">
        <v>500.5</v>
      </c>
      <c r="L362" s="6">
        <v>507</v>
      </c>
      <c r="M362" s="125">
        <f t="shared" si="5"/>
        <v>13.5</v>
      </c>
      <c r="N362" s="7"/>
      <c r="O362" s="132"/>
      <c r="P362" s="175"/>
      <c r="V362" s="207"/>
    </row>
    <row r="363" spans="1:22" ht="15" customHeight="1">
      <c r="A363" s="8">
        <v>36320</v>
      </c>
      <c r="B363" s="9">
        <v>0</v>
      </c>
      <c r="C363" s="10"/>
      <c r="D363" s="10"/>
      <c r="E363" s="10">
        <v>124925</v>
      </c>
      <c r="F363" s="9"/>
      <c r="G363" s="10"/>
      <c r="H363" s="10"/>
      <c r="I363" s="120"/>
      <c r="J363" s="120"/>
      <c r="K363" s="22">
        <v>494.5</v>
      </c>
      <c r="L363" s="6">
        <v>502</v>
      </c>
      <c r="M363" s="125">
        <f t="shared" si="5"/>
        <v>-6</v>
      </c>
      <c r="N363" s="7"/>
      <c r="O363" s="132"/>
      <c r="P363" s="175"/>
      <c r="V363" s="207"/>
    </row>
    <row r="364" spans="1:22" ht="15" customHeight="1">
      <c r="A364" s="8">
        <v>36321</v>
      </c>
      <c r="B364" s="9">
        <v>0</v>
      </c>
      <c r="C364" s="10"/>
      <c r="D364" s="10"/>
      <c r="E364" s="10">
        <v>125475</v>
      </c>
      <c r="F364" s="9"/>
      <c r="G364" s="10"/>
      <c r="H364" s="10"/>
      <c r="I364" s="120"/>
      <c r="J364" s="120"/>
      <c r="K364" s="22">
        <v>495</v>
      </c>
      <c r="L364" s="6">
        <v>502</v>
      </c>
      <c r="M364" s="125">
        <f t="shared" si="5"/>
        <v>0.5</v>
      </c>
      <c r="N364" s="7"/>
      <c r="O364" s="132"/>
      <c r="P364" s="175"/>
      <c r="V364" s="207"/>
    </row>
    <row r="365" spans="1:22" ht="15" customHeight="1">
      <c r="A365" s="8">
        <v>36322</v>
      </c>
      <c r="B365" s="9">
        <v>0</v>
      </c>
      <c r="C365" s="10"/>
      <c r="D365" s="10"/>
      <c r="E365" s="10">
        <v>125425</v>
      </c>
      <c r="F365" s="9"/>
      <c r="G365" s="10"/>
      <c r="H365" s="10"/>
      <c r="I365" s="120"/>
      <c r="J365" s="120"/>
      <c r="K365" s="22">
        <v>494.5</v>
      </c>
      <c r="L365" s="6">
        <v>503.5</v>
      </c>
      <c r="M365" s="125">
        <f t="shared" si="5"/>
        <v>-0.5</v>
      </c>
      <c r="N365" s="7"/>
      <c r="O365" s="132"/>
      <c r="P365" s="175"/>
      <c r="V365" s="207"/>
    </row>
    <row r="366" spans="1:22" ht="15" customHeight="1">
      <c r="A366" s="8">
        <v>36325</v>
      </c>
      <c r="B366" s="9">
        <v>0</v>
      </c>
      <c r="C366" s="10"/>
      <c r="D366" s="10"/>
      <c r="E366" s="10">
        <v>126050</v>
      </c>
      <c r="F366" s="9"/>
      <c r="G366" s="10"/>
      <c r="H366" s="10"/>
      <c r="I366" s="120"/>
      <c r="J366" s="120"/>
      <c r="K366" s="22">
        <v>496</v>
      </c>
      <c r="L366" s="6">
        <v>508</v>
      </c>
      <c r="M366" s="125">
        <f t="shared" si="5"/>
        <v>1.5</v>
      </c>
      <c r="N366" s="7"/>
      <c r="O366" s="132"/>
      <c r="P366" s="175"/>
      <c r="V366" s="207"/>
    </row>
    <row r="367" spans="1:22" ht="15" customHeight="1">
      <c r="A367" s="8">
        <v>36326</v>
      </c>
      <c r="B367" s="9">
        <v>0</v>
      </c>
      <c r="C367" s="10"/>
      <c r="D367" s="10"/>
      <c r="E367" s="10">
        <v>125950</v>
      </c>
      <c r="F367" s="9"/>
      <c r="G367" s="10"/>
      <c r="H367" s="10"/>
      <c r="I367" s="120"/>
      <c r="J367" s="120"/>
      <c r="K367" s="22">
        <v>497</v>
      </c>
      <c r="L367" s="6">
        <v>507</v>
      </c>
      <c r="M367" s="125">
        <f t="shared" si="5"/>
        <v>1</v>
      </c>
      <c r="N367" s="7"/>
      <c r="O367" s="132"/>
      <c r="P367" s="175"/>
      <c r="V367" s="207"/>
    </row>
    <row r="368" spans="1:22" ht="15" customHeight="1">
      <c r="A368" s="8">
        <v>36327</v>
      </c>
      <c r="B368" s="9">
        <v>0</v>
      </c>
      <c r="C368" s="10"/>
      <c r="D368" s="10"/>
      <c r="E368" s="10">
        <v>126750</v>
      </c>
      <c r="F368" s="9"/>
      <c r="G368" s="10"/>
      <c r="H368" s="10"/>
      <c r="I368" s="120"/>
      <c r="J368" s="120"/>
      <c r="K368" s="22">
        <v>489.5</v>
      </c>
      <c r="L368" s="6">
        <v>501</v>
      </c>
      <c r="M368" s="125">
        <f t="shared" si="5"/>
        <v>-7.5</v>
      </c>
      <c r="N368" s="7"/>
      <c r="O368" s="132"/>
      <c r="P368" s="175"/>
      <c r="V368" s="207"/>
    </row>
    <row r="369" spans="1:22" ht="15" customHeight="1">
      <c r="A369" s="8">
        <v>36328</v>
      </c>
      <c r="B369" s="9">
        <v>0</v>
      </c>
      <c r="C369" s="10"/>
      <c r="D369" s="10"/>
      <c r="E369" s="10">
        <v>129675</v>
      </c>
      <c r="F369" s="9"/>
      <c r="G369" s="10"/>
      <c r="H369" s="10"/>
      <c r="I369" s="120"/>
      <c r="J369" s="120"/>
      <c r="K369" s="22">
        <v>492</v>
      </c>
      <c r="L369" s="6">
        <v>504</v>
      </c>
      <c r="M369" s="125">
        <f t="shared" si="5"/>
        <v>2.5</v>
      </c>
      <c r="N369" s="7"/>
      <c r="O369" s="132"/>
      <c r="P369" s="175"/>
      <c r="V369" s="207"/>
    </row>
    <row r="370" spans="1:22" ht="15" customHeight="1">
      <c r="A370" s="8">
        <v>36329</v>
      </c>
      <c r="B370" s="9">
        <v>0</v>
      </c>
      <c r="C370" s="10"/>
      <c r="D370" s="10"/>
      <c r="E370" s="10">
        <v>132075</v>
      </c>
      <c r="F370" s="9"/>
      <c r="G370" s="10"/>
      <c r="H370" s="10"/>
      <c r="I370" s="120"/>
      <c r="J370" s="120"/>
      <c r="K370" s="22">
        <v>501</v>
      </c>
      <c r="L370" s="6">
        <v>512</v>
      </c>
      <c r="M370" s="125">
        <f t="shared" si="5"/>
        <v>9</v>
      </c>
      <c r="N370" s="7"/>
      <c r="O370" s="132"/>
      <c r="P370" s="175"/>
      <c r="V370" s="207"/>
    </row>
    <row r="371" spans="1:22" ht="15" customHeight="1">
      <c r="A371" s="8">
        <v>36332</v>
      </c>
      <c r="B371" s="9">
        <v>0</v>
      </c>
      <c r="C371" s="10"/>
      <c r="D371" s="10"/>
      <c r="E371" s="10">
        <v>131250</v>
      </c>
      <c r="F371" s="9"/>
      <c r="G371" s="10"/>
      <c r="H371" s="10"/>
      <c r="I371" s="120"/>
      <c r="J371" s="120"/>
      <c r="K371" s="22">
        <v>502</v>
      </c>
      <c r="L371" s="6">
        <v>513.5</v>
      </c>
      <c r="M371" s="125">
        <f t="shared" si="5"/>
        <v>1</v>
      </c>
      <c r="N371" s="7"/>
      <c r="O371" s="132"/>
      <c r="P371" s="175"/>
      <c r="V371" s="207"/>
    </row>
    <row r="372" spans="1:22" ht="15" customHeight="1">
      <c r="A372" s="8">
        <v>36333</v>
      </c>
      <c r="B372" s="9">
        <v>0</v>
      </c>
      <c r="C372" s="10"/>
      <c r="D372" s="10"/>
      <c r="E372" s="10">
        <v>130975</v>
      </c>
      <c r="F372" s="9"/>
      <c r="G372" s="10"/>
      <c r="H372" s="10"/>
      <c r="I372" s="120"/>
      <c r="J372" s="120"/>
      <c r="K372" s="22">
        <v>495.5</v>
      </c>
      <c r="L372" s="6">
        <v>508</v>
      </c>
      <c r="M372" s="125">
        <f t="shared" si="5"/>
        <v>-6.5</v>
      </c>
      <c r="N372" s="7"/>
      <c r="O372" s="132"/>
      <c r="P372" s="175"/>
      <c r="V372" s="207"/>
    </row>
    <row r="373" spans="1:22" ht="15" customHeight="1">
      <c r="A373" s="8">
        <v>36334</v>
      </c>
      <c r="B373" s="9">
        <v>0</v>
      </c>
      <c r="C373" s="10"/>
      <c r="D373" s="10"/>
      <c r="E373" s="10">
        <v>131300</v>
      </c>
      <c r="F373" s="9"/>
      <c r="G373" s="10"/>
      <c r="H373" s="10"/>
      <c r="I373" s="120"/>
      <c r="J373" s="120"/>
      <c r="K373" s="22">
        <v>503</v>
      </c>
      <c r="L373" s="6">
        <v>514.5</v>
      </c>
      <c r="M373" s="125">
        <f t="shared" si="5"/>
        <v>7.5</v>
      </c>
      <c r="N373" s="7"/>
      <c r="O373" s="132"/>
      <c r="P373" s="175"/>
      <c r="V373" s="207"/>
    </row>
    <row r="374" spans="1:22" ht="15" customHeight="1">
      <c r="A374" s="8">
        <v>36335</v>
      </c>
      <c r="B374" s="9">
        <v>0</v>
      </c>
      <c r="C374" s="10"/>
      <c r="D374" s="10"/>
      <c r="E374" s="10">
        <v>132000</v>
      </c>
      <c r="F374" s="9"/>
      <c r="G374" s="10"/>
      <c r="H374" s="10"/>
      <c r="I374" s="120"/>
      <c r="J374" s="120"/>
      <c r="K374" s="22">
        <v>504.5</v>
      </c>
      <c r="L374" s="6">
        <v>517</v>
      </c>
      <c r="M374" s="125">
        <f t="shared" si="5"/>
        <v>1.5</v>
      </c>
      <c r="N374" s="7"/>
      <c r="O374" s="132"/>
      <c r="P374" s="175"/>
      <c r="V374" s="207"/>
    </row>
    <row r="375" spans="1:22" ht="15" customHeight="1">
      <c r="A375" s="8">
        <v>36336</v>
      </c>
      <c r="B375" s="9">
        <v>0</v>
      </c>
      <c r="C375" s="10"/>
      <c r="D375" s="10"/>
      <c r="E375" s="10">
        <v>131925</v>
      </c>
      <c r="F375" s="9"/>
      <c r="G375" s="10"/>
      <c r="H375" s="10"/>
      <c r="I375" s="120"/>
      <c r="J375" s="120"/>
      <c r="K375" s="22">
        <v>498</v>
      </c>
      <c r="L375" s="6">
        <v>510</v>
      </c>
      <c r="M375" s="125">
        <f t="shared" si="5"/>
        <v>-6.5</v>
      </c>
      <c r="N375" s="7"/>
      <c r="O375" s="132"/>
      <c r="P375" s="175"/>
      <c r="V375" s="207"/>
    </row>
    <row r="376" spans="1:22" ht="15" customHeight="1">
      <c r="A376" s="8">
        <v>36339</v>
      </c>
      <c r="B376" s="9">
        <v>0</v>
      </c>
      <c r="C376" s="10"/>
      <c r="D376" s="10"/>
      <c r="E376" s="10">
        <v>132500</v>
      </c>
      <c r="F376" s="9"/>
      <c r="G376" s="10"/>
      <c r="H376" s="10"/>
      <c r="I376" s="120"/>
      <c r="J376" s="120"/>
      <c r="K376" s="22">
        <v>499</v>
      </c>
      <c r="L376" s="6">
        <v>511</v>
      </c>
      <c r="M376" s="125">
        <f t="shared" si="5"/>
        <v>1</v>
      </c>
      <c r="N376" s="7"/>
      <c r="O376" s="132"/>
      <c r="P376" s="175"/>
      <c r="V376" s="207"/>
    </row>
    <row r="377" spans="1:22" ht="15" customHeight="1">
      <c r="A377" s="8">
        <v>36340</v>
      </c>
      <c r="B377" s="9">
        <v>0</v>
      </c>
      <c r="C377" s="10"/>
      <c r="D377" s="10"/>
      <c r="E377" s="10">
        <v>132850</v>
      </c>
      <c r="F377" s="9"/>
      <c r="G377" s="10"/>
      <c r="H377" s="10"/>
      <c r="I377" s="120"/>
      <c r="J377" s="120"/>
      <c r="K377" s="22">
        <v>495</v>
      </c>
      <c r="L377" s="6">
        <v>508</v>
      </c>
      <c r="M377" s="125">
        <f t="shared" si="5"/>
        <v>-4</v>
      </c>
      <c r="N377" s="7"/>
      <c r="O377" s="132"/>
      <c r="P377" s="175"/>
      <c r="V377" s="207"/>
    </row>
    <row r="378" spans="1:22" ht="15" customHeight="1">
      <c r="A378" s="8">
        <v>36341</v>
      </c>
      <c r="B378" s="9">
        <v>0</v>
      </c>
      <c r="C378" s="10"/>
      <c r="D378" s="10"/>
      <c r="E378" s="10">
        <v>132825</v>
      </c>
      <c r="F378" s="9"/>
      <c r="G378" s="10"/>
      <c r="H378" s="10"/>
      <c r="I378" s="120"/>
      <c r="J378" s="120"/>
      <c r="K378" s="22">
        <v>485.5</v>
      </c>
      <c r="L378" s="6">
        <v>498.5</v>
      </c>
      <c r="M378" s="125">
        <f t="shared" si="5"/>
        <v>-9.5</v>
      </c>
      <c r="N378" s="7"/>
      <c r="O378" s="132"/>
      <c r="P378" s="175"/>
      <c r="V378" s="207"/>
    </row>
    <row r="379" spans="1:22" ht="15" customHeight="1">
      <c r="A379" s="8">
        <v>36342</v>
      </c>
      <c r="B379" s="9">
        <v>0</v>
      </c>
      <c r="C379" s="10"/>
      <c r="D379" s="10"/>
      <c r="E379" s="10">
        <v>133550</v>
      </c>
      <c r="F379" s="9"/>
      <c r="G379" s="10"/>
      <c r="H379" s="10"/>
      <c r="I379" s="120"/>
      <c r="J379" s="120"/>
      <c r="K379" s="22">
        <v>490</v>
      </c>
      <c r="L379" s="6">
        <v>500</v>
      </c>
      <c r="M379" s="125">
        <f t="shared" si="5"/>
        <v>4.5</v>
      </c>
      <c r="N379" s="7"/>
      <c r="O379" s="132"/>
      <c r="P379" s="175"/>
      <c r="V379" s="207"/>
    </row>
    <row r="380" spans="1:22" ht="15" customHeight="1">
      <c r="A380" s="8">
        <v>36343</v>
      </c>
      <c r="B380" s="9">
        <v>0</v>
      </c>
      <c r="C380" s="10"/>
      <c r="D380" s="10"/>
      <c r="E380" s="10">
        <v>133750</v>
      </c>
      <c r="F380" s="9"/>
      <c r="G380" s="10"/>
      <c r="H380" s="10"/>
      <c r="I380" s="120"/>
      <c r="J380" s="120"/>
      <c r="K380" s="22">
        <v>489</v>
      </c>
      <c r="L380" s="6">
        <v>498</v>
      </c>
      <c r="M380" s="125">
        <f t="shared" si="5"/>
        <v>-1</v>
      </c>
      <c r="N380" s="7"/>
      <c r="O380" s="132"/>
      <c r="P380" s="175"/>
      <c r="V380" s="207"/>
    </row>
    <row r="381" spans="1:22" ht="15" customHeight="1">
      <c r="A381" s="8">
        <v>36346</v>
      </c>
      <c r="B381" s="9">
        <v>0</v>
      </c>
      <c r="C381" s="10"/>
      <c r="D381" s="10"/>
      <c r="E381" s="10">
        <v>133700</v>
      </c>
      <c r="F381" s="9"/>
      <c r="G381" s="10"/>
      <c r="H381" s="10"/>
      <c r="I381" s="120"/>
      <c r="J381" s="120"/>
      <c r="K381" s="22">
        <v>485.5</v>
      </c>
      <c r="L381" s="6">
        <v>495.5</v>
      </c>
      <c r="M381" s="125">
        <f t="shared" si="5"/>
        <v>-3.5</v>
      </c>
      <c r="N381" s="7"/>
      <c r="O381" s="132"/>
      <c r="P381" s="175"/>
      <c r="V381" s="207"/>
    </row>
    <row r="382" spans="1:22" ht="15" customHeight="1">
      <c r="A382" s="8">
        <v>36347</v>
      </c>
      <c r="B382" s="9">
        <v>0</v>
      </c>
      <c r="C382" s="10"/>
      <c r="D382" s="10"/>
      <c r="E382" s="10">
        <v>133600</v>
      </c>
      <c r="F382" s="9"/>
      <c r="G382" s="10"/>
      <c r="H382" s="10"/>
      <c r="I382" s="120"/>
      <c r="J382" s="120"/>
      <c r="K382" s="22">
        <v>493.5</v>
      </c>
      <c r="L382" s="6">
        <v>502.5</v>
      </c>
      <c r="M382" s="125">
        <f t="shared" si="5"/>
        <v>8</v>
      </c>
      <c r="N382" s="7"/>
      <c r="O382" s="132"/>
      <c r="P382" s="175"/>
      <c r="V382" s="207"/>
    </row>
    <row r="383" spans="1:22" ht="15" customHeight="1">
      <c r="A383" s="8">
        <v>36348</v>
      </c>
      <c r="B383" s="9">
        <v>0</v>
      </c>
      <c r="C383" s="10"/>
      <c r="D383" s="10"/>
      <c r="E383" s="10">
        <v>133525</v>
      </c>
      <c r="F383" s="9"/>
      <c r="G383" s="10"/>
      <c r="H383" s="10"/>
      <c r="I383" s="120"/>
      <c r="J383" s="120"/>
      <c r="K383" s="22">
        <v>485</v>
      </c>
      <c r="L383" s="6">
        <v>495.5</v>
      </c>
      <c r="M383" s="125">
        <f t="shared" si="5"/>
        <v>-8.5</v>
      </c>
      <c r="N383" s="7"/>
      <c r="O383" s="132"/>
      <c r="P383" s="175"/>
      <c r="V383" s="207"/>
    </row>
    <row r="384" spans="1:22" ht="15" customHeight="1">
      <c r="A384" s="8">
        <v>36349</v>
      </c>
      <c r="B384" s="9">
        <v>0</v>
      </c>
      <c r="C384" s="10"/>
      <c r="D384" s="10"/>
      <c r="E384" s="10">
        <v>133475</v>
      </c>
      <c r="F384" s="9"/>
      <c r="G384" s="10"/>
      <c r="H384" s="10"/>
      <c r="I384" s="120"/>
      <c r="J384" s="120"/>
      <c r="K384" s="22">
        <v>508</v>
      </c>
      <c r="L384" s="6">
        <v>513</v>
      </c>
      <c r="M384" s="125">
        <f t="shared" si="5"/>
        <v>23</v>
      </c>
      <c r="N384" s="7"/>
      <c r="O384" s="132"/>
      <c r="P384" s="175"/>
      <c r="V384" s="207"/>
    </row>
    <row r="385" spans="1:22" ht="15" customHeight="1">
      <c r="A385" s="8">
        <v>36350</v>
      </c>
      <c r="B385" s="9">
        <v>0</v>
      </c>
      <c r="C385" s="10"/>
      <c r="D385" s="10"/>
      <c r="E385" s="10">
        <v>133200</v>
      </c>
      <c r="F385" s="9"/>
      <c r="G385" s="10"/>
      <c r="H385" s="10"/>
      <c r="I385" s="120"/>
      <c r="J385" s="120"/>
      <c r="K385" s="22">
        <v>497</v>
      </c>
      <c r="L385" s="6">
        <v>505</v>
      </c>
      <c r="M385" s="125">
        <f t="shared" si="5"/>
        <v>-11</v>
      </c>
      <c r="N385" s="7"/>
      <c r="O385" s="132"/>
      <c r="P385" s="175"/>
      <c r="V385" s="207"/>
    </row>
    <row r="386" spans="1:22" ht="15" customHeight="1">
      <c r="A386" s="8">
        <v>36353</v>
      </c>
      <c r="B386" s="9">
        <v>0</v>
      </c>
      <c r="C386" s="10"/>
      <c r="D386" s="10"/>
      <c r="E386" s="10">
        <v>132800</v>
      </c>
      <c r="F386" s="9"/>
      <c r="G386" s="10"/>
      <c r="H386" s="10"/>
      <c r="I386" s="120"/>
      <c r="J386" s="120"/>
      <c r="K386" s="22">
        <v>500</v>
      </c>
      <c r="L386" s="6">
        <v>509</v>
      </c>
      <c r="M386" s="125">
        <f t="shared" si="5"/>
        <v>3</v>
      </c>
      <c r="N386" s="7"/>
      <c r="O386" s="132"/>
      <c r="P386" s="175"/>
      <c r="V386" s="207"/>
    </row>
    <row r="387" spans="1:22" ht="15" customHeight="1">
      <c r="A387" s="8">
        <v>36354</v>
      </c>
      <c r="B387" s="9">
        <v>0</v>
      </c>
      <c r="C387" s="10"/>
      <c r="D387" s="10"/>
      <c r="E387" s="10">
        <v>132450</v>
      </c>
      <c r="F387" s="9"/>
      <c r="G387" s="10"/>
      <c r="H387" s="10"/>
      <c r="I387" s="120"/>
      <c r="J387" s="120"/>
      <c r="K387" s="22">
        <v>498.5</v>
      </c>
      <c r="L387" s="6">
        <v>507.5</v>
      </c>
      <c r="M387" s="125">
        <f t="shared" si="5"/>
        <v>-1.5</v>
      </c>
      <c r="N387" s="7"/>
      <c r="O387" s="132"/>
      <c r="P387" s="175"/>
      <c r="V387" s="207"/>
    </row>
    <row r="388" spans="1:22" ht="15" customHeight="1">
      <c r="A388" s="8">
        <v>36355</v>
      </c>
      <c r="B388" s="9">
        <v>0</v>
      </c>
      <c r="C388" s="10"/>
      <c r="D388" s="10"/>
      <c r="E388" s="10">
        <v>132375</v>
      </c>
      <c r="F388" s="9"/>
      <c r="G388" s="10"/>
      <c r="H388" s="10"/>
      <c r="I388" s="120"/>
      <c r="J388" s="120"/>
      <c r="K388" s="22">
        <v>511.5</v>
      </c>
      <c r="L388" s="6">
        <v>520.5</v>
      </c>
      <c r="M388" s="125">
        <f t="shared" si="5"/>
        <v>13</v>
      </c>
      <c r="N388" s="7"/>
      <c r="O388" s="132"/>
      <c r="P388" s="175"/>
      <c r="V388" s="207"/>
    </row>
    <row r="389" spans="1:22" ht="15" customHeight="1">
      <c r="A389" s="8">
        <v>36356</v>
      </c>
      <c r="B389" s="9">
        <v>0</v>
      </c>
      <c r="C389" s="10"/>
      <c r="D389" s="10"/>
      <c r="E389" s="10">
        <v>132300</v>
      </c>
      <c r="F389" s="9"/>
      <c r="G389" s="10"/>
      <c r="H389" s="10"/>
      <c r="I389" s="120"/>
      <c r="J389" s="120"/>
      <c r="K389" s="22">
        <v>518.5</v>
      </c>
      <c r="L389" s="6">
        <v>529</v>
      </c>
      <c r="M389" s="125">
        <f t="shared" ref="M389:M452" si="6">+K389-K388</f>
        <v>7</v>
      </c>
      <c r="N389" s="7"/>
      <c r="O389" s="132"/>
      <c r="P389" s="175"/>
      <c r="V389" s="207"/>
    </row>
    <row r="390" spans="1:22" ht="15" customHeight="1">
      <c r="A390" s="8">
        <v>36357</v>
      </c>
      <c r="B390" s="9">
        <v>0</v>
      </c>
      <c r="C390" s="10"/>
      <c r="D390" s="10"/>
      <c r="E390" s="10">
        <v>132300</v>
      </c>
      <c r="F390" s="9"/>
      <c r="G390" s="10"/>
      <c r="H390" s="10"/>
      <c r="I390" s="120"/>
      <c r="J390" s="120"/>
      <c r="K390" s="22">
        <v>505</v>
      </c>
      <c r="L390" s="6">
        <v>513.5</v>
      </c>
      <c r="M390" s="125">
        <f t="shared" si="6"/>
        <v>-13.5</v>
      </c>
      <c r="N390" s="7"/>
      <c r="O390" s="132"/>
      <c r="P390" s="175"/>
      <c r="V390" s="207"/>
    </row>
    <row r="391" spans="1:22" ht="15" customHeight="1">
      <c r="A391" s="8">
        <v>36360</v>
      </c>
      <c r="B391" s="9">
        <v>0</v>
      </c>
      <c r="C391" s="10"/>
      <c r="D391" s="10"/>
      <c r="E391" s="10">
        <v>132175</v>
      </c>
      <c r="F391" s="9"/>
      <c r="G391" s="10"/>
      <c r="H391" s="10"/>
      <c r="I391" s="120"/>
      <c r="J391" s="120"/>
      <c r="K391" s="22">
        <v>498</v>
      </c>
      <c r="L391" s="6">
        <v>508.5</v>
      </c>
      <c r="M391" s="125">
        <f t="shared" si="6"/>
        <v>-7</v>
      </c>
      <c r="N391" s="7"/>
      <c r="O391" s="132"/>
      <c r="P391" s="175"/>
      <c r="V391" s="207"/>
    </row>
    <row r="392" spans="1:22" ht="15" customHeight="1">
      <c r="A392" s="8">
        <v>36361</v>
      </c>
      <c r="B392" s="9">
        <v>0</v>
      </c>
      <c r="C392" s="10"/>
      <c r="D392" s="10"/>
      <c r="E392" s="10">
        <v>132175</v>
      </c>
      <c r="F392" s="9"/>
      <c r="G392" s="10"/>
      <c r="H392" s="10"/>
      <c r="I392" s="120"/>
      <c r="J392" s="120"/>
      <c r="K392" s="22">
        <v>501</v>
      </c>
      <c r="L392" s="6">
        <v>513.5</v>
      </c>
      <c r="M392" s="125">
        <f t="shared" si="6"/>
        <v>3</v>
      </c>
      <c r="N392" s="7"/>
      <c r="O392" s="132"/>
      <c r="P392" s="175"/>
      <c r="V392" s="207"/>
    </row>
    <row r="393" spans="1:22" ht="15" customHeight="1">
      <c r="A393" s="8">
        <v>36362</v>
      </c>
      <c r="B393" s="9">
        <v>0</v>
      </c>
      <c r="C393" s="10"/>
      <c r="D393" s="10"/>
      <c r="E393" s="10">
        <v>134525</v>
      </c>
      <c r="F393" s="9"/>
      <c r="G393" s="10"/>
      <c r="H393" s="10"/>
      <c r="I393" s="120"/>
      <c r="J393" s="120"/>
      <c r="K393" s="22">
        <v>496</v>
      </c>
      <c r="L393" s="6">
        <v>505</v>
      </c>
      <c r="M393" s="125">
        <f t="shared" si="6"/>
        <v>-5</v>
      </c>
      <c r="N393" s="7"/>
      <c r="O393" s="132"/>
      <c r="P393" s="175"/>
      <c r="V393" s="207"/>
    </row>
    <row r="394" spans="1:22" ht="15" customHeight="1">
      <c r="A394" s="8">
        <v>36363</v>
      </c>
      <c r="B394" s="9">
        <v>0</v>
      </c>
      <c r="C394" s="10"/>
      <c r="D394" s="10"/>
      <c r="E394" s="10">
        <v>137250</v>
      </c>
      <c r="F394" s="9"/>
      <c r="G394" s="10"/>
      <c r="H394" s="10"/>
      <c r="I394" s="120"/>
      <c r="J394" s="120"/>
      <c r="K394" s="22">
        <v>490.5</v>
      </c>
      <c r="L394" s="6">
        <v>502</v>
      </c>
      <c r="M394" s="125">
        <f t="shared" si="6"/>
        <v>-5.5</v>
      </c>
      <c r="N394" s="7"/>
      <c r="O394" s="132"/>
      <c r="P394" s="175"/>
      <c r="V394" s="207"/>
    </row>
    <row r="395" spans="1:22" ht="15" customHeight="1">
      <c r="A395" s="8">
        <v>36364</v>
      </c>
      <c r="B395" s="9">
        <v>0</v>
      </c>
      <c r="C395" s="10"/>
      <c r="D395" s="10"/>
      <c r="E395" s="10">
        <v>137050</v>
      </c>
      <c r="F395" s="9"/>
      <c r="G395" s="10"/>
      <c r="H395" s="10"/>
      <c r="I395" s="120"/>
      <c r="J395" s="120"/>
      <c r="K395" s="22">
        <v>491.5</v>
      </c>
      <c r="L395" s="6">
        <v>503.5</v>
      </c>
      <c r="M395" s="125">
        <f t="shared" si="6"/>
        <v>1</v>
      </c>
      <c r="N395" s="7"/>
      <c r="O395" s="132"/>
      <c r="P395" s="175"/>
      <c r="V395" s="207"/>
    </row>
    <row r="396" spans="1:22" ht="15" customHeight="1">
      <c r="A396" s="8">
        <v>36367</v>
      </c>
      <c r="B396" s="9">
        <v>0</v>
      </c>
      <c r="C396" s="10"/>
      <c r="D396" s="10"/>
      <c r="E396" s="10">
        <v>137000</v>
      </c>
      <c r="F396" s="9"/>
      <c r="G396" s="10"/>
      <c r="H396" s="10"/>
      <c r="I396" s="120"/>
      <c r="J396" s="120"/>
      <c r="K396" s="22">
        <v>489</v>
      </c>
      <c r="L396" s="6">
        <v>500</v>
      </c>
      <c r="M396" s="125">
        <f t="shared" si="6"/>
        <v>-2.5</v>
      </c>
      <c r="N396" s="7"/>
      <c r="O396" s="132"/>
      <c r="P396" s="175"/>
      <c r="V396" s="207"/>
    </row>
    <row r="397" spans="1:22" ht="15" customHeight="1">
      <c r="A397" s="8">
        <v>36368</v>
      </c>
      <c r="B397" s="9">
        <v>0</v>
      </c>
      <c r="C397" s="10"/>
      <c r="D397" s="10"/>
      <c r="E397" s="10">
        <v>137600</v>
      </c>
      <c r="F397" s="9"/>
      <c r="G397" s="10"/>
      <c r="H397" s="10"/>
      <c r="I397" s="120"/>
      <c r="J397" s="120"/>
      <c r="K397" s="22">
        <v>492.5</v>
      </c>
      <c r="L397" s="6">
        <v>503.5</v>
      </c>
      <c r="M397" s="125">
        <f t="shared" si="6"/>
        <v>3.5</v>
      </c>
      <c r="N397" s="7"/>
      <c r="O397" s="132"/>
      <c r="P397" s="175"/>
      <c r="V397" s="207"/>
    </row>
    <row r="398" spans="1:22" ht="15" customHeight="1">
      <c r="A398" s="8">
        <v>36369</v>
      </c>
      <c r="B398" s="9">
        <v>0</v>
      </c>
      <c r="C398" s="10"/>
      <c r="D398" s="10"/>
      <c r="E398" s="10">
        <v>137300</v>
      </c>
      <c r="F398" s="9"/>
      <c r="G398" s="10"/>
      <c r="H398" s="10"/>
      <c r="I398" s="120"/>
      <c r="J398" s="120"/>
      <c r="K398" s="22">
        <v>484</v>
      </c>
      <c r="L398" s="6">
        <v>497.5</v>
      </c>
      <c r="M398" s="125">
        <f t="shared" si="6"/>
        <v>-8.5</v>
      </c>
      <c r="N398" s="7"/>
      <c r="O398" s="132"/>
      <c r="P398" s="175"/>
      <c r="V398" s="207"/>
    </row>
    <row r="399" spans="1:22" ht="15" customHeight="1">
      <c r="A399" s="8">
        <v>36370</v>
      </c>
      <c r="B399" s="9">
        <v>0</v>
      </c>
      <c r="C399" s="10"/>
      <c r="D399" s="10"/>
      <c r="E399" s="10">
        <v>137075</v>
      </c>
      <c r="F399" s="9"/>
      <c r="G399" s="10"/>
      <c r="H399" s="10"/>
      <c r="I399" s="120"/>
      <c r="J399" s="120"/>
      <c r="K399" s="22">
        <v>492</v>
      </c>
      <c r="L399" s="6">
        <v>503</v>
      </c>
      <c r="M399" s="125">
        <f t="shared" si="6"/>
        <v>8</v>
      </c>
      <c r="N399" s="7"/>
      <c r="O399" s="132"/>
      <c r="P399" s="175"/>
      <c r="V399" s="207"/>
    </row>
    <row r="400" spans="1:22" ht="15" customHeight="1">
      <c r="A400" s="8">
        <v>36371</v>
      </c>
      <c r="B400" s="9">
        <v>0</v>
      </c>
      <c r="C400" s="10"/>
      <c r="D400" s="10"/>
      <c r="E400" s="10">
        <v>137675</v>
      </c>
      <c r="F400" s="9"/>
      <c r="G400" s="10"/>
      <c r="H400" s="10"/>
      <c r="I400" s="120"/>
      <c r="J400" s="120"/>
      <c r="K400" s="22">
        <v>491.5</v>
      </c>
      <c r="L400" s="6">
        <v>503.5</v>
      </c>
      <c r="M400" s="125">
        <f t="shared" si="6"/>
        <v>-0.5</v>
      </c>
      <c r="N400" s="7"/>
      <c r="O400" s="132"/>
      <c r="P400" s="175"/>
      <c r="V400" s="207"/>
    </row>
    <row r="401" spans="1:22" ht="15" customHeight="1">
      <c r="A401" s="8">
        <v>36374</v>
      </c>
      <c r="B401" s="9">
        <v>0</v>
      </c>
      <c r="C401" s="10"/>
      <c r="D401" s="10"/>
      <c r="E401" s="10">
        <v>138550</v>
      </c>
      <c r="F401" s="9"/>
      <c r="G401" s="10"/>
      <c r="H401" s="10"/>
      <c r="I401" s="120"/>
      <c r="J401" s="120"/>
      <c r="K401" s="22">
        <v>489</v>
      </c>
      <c r="L401" s="6">
        <v>502.5</v>
      </c>
      <c r="M401" s="125">
        <f t="shared" si="6"/>
        <v>-2.5</v>
      </c>
      <c r="N401" s="7"/>
      <c r="O401" s="132"/>
      <c r="P401" s="175"/>
      <c r="V401" s="207"/>
    </row>
    <row r="402" spans="1:22" ht="15" customHeight="1">
      <c r="A402" s="8">
        <v>36375</v>
      </c>
      <c r="B402" s="9">
        <v>0</v>
      </c>
      <c r="C402" s="10"/>
      <c r="D402" s="10"/>
      <c r="E402" s="10">
        <v>138450</v>
      </c>
      <c r="F402" s="9"/>
      <c r="G402" s="10"/>
      <c r="H402" s="10"/>
      <c r="I402" s="120"/>
      <c r="J402" s="120"/>
      <c r="K402" s="22">
        <v>487</v>
      </c>
      <c r="L402" s="6">
        <v>498.5</v>
      </c>
      <c r="M402" s="125">
        <f t="shared" si="6"/>
        <v>-2</v>
      </c>
      <c r="N402" s="7"/>
      <c r="O402" s="132"/>
      <c r="P402" s="175"/>
      <c r="V402" s="207"/>
    </row>
    <row r="403" spans="1:22" ht="15" customHeight="1">
      <c r="A403" s="8">
        <v>36376</v>
      </c>
      <c r="B403" s="9">
        <v>0</v>
      </c>
      <c r="C403" s="10"/>
      <c r="D403" s="10"/>
      <c r="E403" s="10">
        <v>138425</v>
      </c>
      <c r="F403" s="9"/>
      <c r="G403" s="10"/>
      <c r="H403" s="10"/>
      <c r="I403" s="120"/>
      <c r="J403" s="120"/>
      <c r="K403" s="22">
        <v>483.5</v>
      </c>
      <c r="L403" s="6">
        <v>496</v>
      </c>
      <c r="M403" s="125">
        <f t="shared" si="6"/>
        <v>-3.5</v>
      </c>
      <c r="N403" s="7"/>
      <c r="O403" s="132"/>
      <c r="P403" s="175"/>
      <c r="V403" s="207"/>
    </row>
    <row r="404" spans="1:22" ht="15" customHeight="1">
      <c r="A404" s="8">
        <v>36377</v>
      </c>
      <c r="B404" s="9">
        <v>0</v>
      </c>
      <c r="C404" s="10"/>
      <c r="D404" s="10"/>
      <c r="E404" s="10">
        <v>138400</v>
      </c>
      <c r="F404" s="9"/>
      <c r="G404" s="10"/>
      <c r="H404" s="10"/>
      <c r="I404" s="120"/>
      <c r="J404" s="120"/>
      <c r="K404" s="22">
        <v>490</v>
      </c>
      <c r="L404" s="6">
        <v>500.5</v>
      </c>
      <c r="M404" s="125">
        <f t="shared" si="6"/>
        <v>6.5</v>
      </c>
      <c r="N404" s="7"/>
      <c r="O404" s="132"/>
      <c r="P404" s="175"/>
      <c r="V404" s="207"/>
    </row>
    <row r="405" spans="1:22" ht="15" customHeight="1">
      <c r="A405" s="8">
        <v>36378</v>
      </c>
      <c r="B405" s="9">
        <v>0</v>
      </c>
      <c r="C405" s="10"/>
      <c r="D405" s="10"/>
      <c r="E405" s="10">
        <v>138400</v>
      </c>
      <c r="F405" s="9"/>
      <c r="G405" s="10"/>
      <c r="H405" s="10"/>
      <c r="I405" s="120"/>
      <c r="J405" s="120"/>
      <c r="K405" s="22">
        <v>489.5</v>
      </c>
      <c r="L405" s="6">
        <v>500.5</v>
      </c>
      <c r="M405" s="125">
        <f t="shared" si="6"/>
        <v>-0.5</v>
      </c>
      <c r="N405" s="7"/>
      <c r="O405" s="132"/>
      <c r="P405" s="175"/>
      <c r="V405" s="207"/>
    </row>
    <row r="406" spans="1:22" ht="15" customHeight="1">
      <c r="A406" s="8">
        <v>36381</v>
      </c>
      <c r="B406" s="9">
        <v>0</v>
      </c>
      <c r="C406" s="10"/>
      <c r="D406" s="10"/>
      <c r="E406" s="10">
        <v>138300</v>
      </c>
      <c r="F406" s="9"/>
      <c r="G406" s="10"/>
      <c r="H406" s="10"/>
      <c r="I406" s="120"/>
      <c r="J406" s="120"/>
      <c r="K406" s="22">
        <v>494</v>
      </c>
      <c r="L406" s="6">
        <v>501.5</v>
      </c>
      <c r="M406" s="125">
        <f t="shared" si="6"/>
        <v>4.5</v>
      </c>
      <c r="N406" s="7"/>
      <c r="O406" s="132"/>
      <c r="P406" s="175"/>
      <c r="V406" s="207"/>
    </row>
    <row r="407" spans="1:22" ht="15" customHeight="1">
      <c r="A407" s="8">
        <v>36382</v>
      </c>
      <c r="B407" s="9">
        <v>0</v>
      </c>
      <c r="C407" s="10"/>
      <c r="D407" s="10"/>
      <c r="E407" s="10">
        <v>138200</v>
      </c>
      <c r="F407" s="9"/>
      <c r="G407" s="10"/>
      <c r="H407" s="10"/>
      <c r="I407" s="120"/>
      <c r="J407" s="120"/>
      <c r="K407" s="22">
        <v>502</v>
      </c>
      <c r="L407" s="6">
        <v>508</v>
      </c>
      <c r="M407" s="125">
        <f t="shared" si="6"/>
        <v>8</v>
      </c>
      <c r="N407" s="7"/>
      <c r="O407" s="132"/>
      <c r="P407" s="175"/>
      <c r="V407" s="207"/>
    </row>
    <row r="408" spans="1:22" ht="15" customHeight="1">
      <c r="A408" s="8">
        <v>36383</v>
      </c>
      <c r="B408" s="9">
        <v>0</v>
      </c>
      <c r="C408" s="10"/>
      <c r="D408" s="10"/>
      <c r="E408" s="10">
        <v>138175</v>
      </c>
      <c r="F408" s="9"/>
      <c r="G408" s="10"/>
      <c r="H408" s="10"/>
      <c r="I408" s="120"/>
      <c r="J408" s="120"/>
      <c r="K408" s="22">
        <v>507</v>
      </c>
      <c r="L408" s="6">
        <v>509.5</v>
      </c>
      <c r="M408" s="125">
        <f t="shared" si="6"/>
        <v>5</v>
      </c>
      <c r="N408" s="7"/>
      <c r="O408" s="132"/>
      <c r="P408" s="175"/>
      <c r="V408" s="207"/>
    </row>
    <row r="409" spans="1:22" ht="15" customHeight="1">
      <c r="A409" s="8">
        <v>36384</v>
      </c>
      <c r="B409" s="9">
        <v>0</v>
      </c>
      <c r="C409" s="10"/>
      <c r="D409" s="10"/>
      <c r="E409" s="10">
        <v>138250</v>
      </c>
      <c r="F409" s="9"/>
      <c r="G409" s="10"/>
      <c r="H409" s="10"/>
      <c r="I409" s="120"/>
      <c r="J409" s="120"/>
      <c r="K409" s="22">
        <v>502.5</v>
      </c>
      <c r="L409" s="6">
        <v>507</v>
      </c>
      <c r="M409" s="125">
        <f t="shared" si="6"/>
        <v>-4.5</v>
      </c>
      <c r="N409" s="7"/>
      <c r="O409" s="132"/>
      <c r="P409" s="175"/>
      <c r="V409" s="207"/>
    </row>
    <row r="410" spans="1:22" ht="15" customHeight="1">
      <c r="A410" s="8">
        <v>36385</v>
      </c>
      <c r="B410" s="9">
        <v>0</v>
      </c>
      <c r="C410" s="10"/>
      <c r="D410" s="10"/>
      <c r="E410" s="10">
        <v>138450</v>
      </c>
      <c r="F410" s="9"/>
      <c r="G410" s="10"/>
      <c r="H410" s="10"/>
      <c r="I410" s="120"/>
      <c r="J410" s="120"/>
      <c r="K410" s="22">
        <v>498</v>
      </c>
      <c r="L410" s="6">
        <v>506.5</v>
      </c>
      <c r="M410" s="125">
        <f t="shared" si="6"/>
        <v>-4.5</v>
      </c>
      <c r="N410" s="7"/>
      <c r="O410" s="132"/>
      <c r="P410" s="175"/>
      <c r="V410" s="207"/>
    </row>
    <row r="411" spans="1:22" ht="15" customHeight="1">
      <c r="A411" s="8">
        <v>36388</v>
      </c>
      <c r="B411" s="9">
        <v>0</v>
      </c>
      <c r="C411" s="10"/>
      <c r="D411" s="10"/>
      <c r="E411" s="10">
        <v>137775</v>
      </c>
      <c r="F411" s="9"/>
      <c r="G411" s="10"/>
      <c r="H411" s="10"/>
      <c r="I411" s="120"/>
      <c r="J411" s="120"/>
      <c r="K411" s="22">
        <v>495.5</v>
      </c>
      <c r="L411" s="6">
        <v>505.5</v>
      </c>
      <c r="M411" s="125">
        <f t="shared" si="6"/>
        <v>-2.5</v>
      </c>
      <c r="N411" s="7"/>
      <c r="O411" s="132"/>
      <c r="P411" s="175"/>
      <c r="V411" s="207"/>
    </row>
    <row r="412" spans="1:22" ht="15" customHeight="1">
      <c r="A412" s="8">
        <v>36389</v>
      </c>
      <c r="B412" s="9">
        <v>0</v>
      </c>
      <c r="C412" s="10"/>
      <c r="D412" s="10"/>
      <c r="E412" s="10">
        <v>137425</v>
      </c>
      <c r="F412" s="9"/>
      <c r="G412" s="10"/>
      <c r="H412" s="10"/>
      <c r="I412" s="120"/>
      <c r="J412" s="120"/>
      <c r="K412" s="22">
        <v>505</v>
      </c>
      <c r="L412" s="6">
        <v>513.5</v>
      </c>
      <c r="M412" s="125">
        <f t="shared" si="6"/>
        <v>9.5</v>
      </c>
      <c r="N412" s="7"/>
      <c r="O412" s="132"/>
      <c r="P412" s="175"/>
      <c r="V412" s="207"/>
    </row>
    <row r="413" spans="1:22" ht="15" customHeight="1">
      <c r="A413" s="8">
        <v>36390</v>
      </c>
      <c r="B413" s="9">
        <v>0</v>
      </c>
      <c r="C413" s="10"/>
      <c r="D413" s="10"/>
      <c r="E413" s="10">
        <v>137350</v>
      </c>
      <c r="F413" s="9"/>
      <c r="G413" s="10"/>
      <c r="H413" s="10"/>
      <c r="I413" s="120"/>
      <c r="J413" s="120"/>
      <c r="K413" s="22">
        <v>508</v>
      </c>
      <c r="L413" s="6">
        <v>517</v>
      </c>
      <c r="M413" s="125">
        <f t="shared" si="6"/>
        <v>3</v>
      </c>
      <c r="N413" s="7"/>
      <c r="O413" s="132"/>
      <c r="P413" s="175"/>
      <c r="V413" s="207"/>
    </row>
    <row r="414" spans="1:22" ht="15" customHeight="1">
      <c r="A414" s="8">
        <v>36391</v>
      </c>
      <c r="B414" s="9">
        <v>0</v>
      </c>
      <c r="C414" s="10"/>
      <c r="D414" s="10"/>
      <c r="E414" s="10">
        <v>138250</v>
      </c>
      <c r="F414" s="9"/>
      <c r="G414" s="10"/>
      <c r="H414" s="10"/>
      <c r="I414" s="120"/>
      <c r="J414" s="120"/>
      <c r="K414" s="22">
        <v>506.5</v>
      </c>
      <c r="L414" s="6">
        <v>515</v>
      </c>
      <c r="M414" s="125">
        <f t="shared" si="6"/>
        <v>-1.5</v>
      </c>
      <c r="N414" s="7"/>
      <c r="O414" s="132"/>
      <c r="P414" s="175"/>
      <c r="V414" s="207"/>
    </row>
    <row r="415" spans="1:22" ht="15" customHeight="1">
      <c r="A415" s="8">
        <v>36392</v>
      </c>
      <c r="B415" s="9">
        <v>0</v>
      </c>
      <c r="C415" s="10"/>
      <c r="D415" s="10"/>
      <c r="E415" s="10">
        <v>138100</v>
      </c>
      <c r="F415" s="9"/>
      <c r="G415" s="10"/>
      <c r="H415" s="10"/>
      <c r="I415" s="120"/>
      <c r="J415" s="120"/>
      <c r="K415" s="22">
        <v>512</v>
      </c>
      <c r="L415" s="6">
        <v>515</v>
      </c>
      <c r="M415" s="125">
        <f t="shared" si="6"/>
        <v>5.5</v>
      </c>
      <c r="N415" s="7"/>
      <c r="O415" s="132"/>
      <c r="P415" s="175"/>
      <c r="V415" s="207"/>
    </row>
    <row r="416" spans="1:22" ht="15" customHeight="1">
      <c r="A416" s="8">
        <v>36395</v>
      </c>
      <c r="B416" s="9">
        <v>0</v>
      </c>
      <c r="C416" s="10"/>
      <c r="D416" s="10"/>
      <c r="E416" s="10">
        <v>137950</v>
      </c>
      <c r="F416" s="9"/>
      <c r="G416" s="10"/>
      <c r="H416" s="10"/>
      <c r="I416" s="120"/>
      <c r="J416" s="120"/>
      <c r="K416" s="22">
        <v>515</v>
      </c>
      <c r="L416" s="6">
        <v>515.5</v>
      </c>
      <c r="M416" s="125">
        <f t="shared" si="6"/>
        <v>3</v>
      </c>
      <c r="N416" s="7"/>
      <c r="O416" s="132"/>
      <c r="P416" s="175"/>
      <c r="V416" s="207"/>
    </row>
    <row r="417" spans="1:22" ht="15" customHeight="1">
      <c r="A417" s="8">
        <v>36396</v>
      </c>
      <c r="B417" s="9">
        <v>0</v>
      </c>
      <c r="C417" s="10"/>
      <c r="D417" s="10"/>
      <c r="E417" s="10">
        <v>137875</v>
      </c>
      <c r="F417" s="9"/>
      <c r="G417" s="10"/>
      <c r="H417" s="10"/>
      <c r="I417" s="120"/>
      <c r="J417" s="120"/>
      <c r="K417" s="22">
        <v>514.5</v>
      </c>
      <c r="L417" s="6">
        <v>517.5</v>
      </c>
      <c r="M417" s="125">
        <f t="shared" si="6"/>
        <v>-0.5</v>
      </c>
      <c r="N417" s="7"/>
      <c r="O417" s="132"/>
      <c r="P417" s="175"/>
      <c r="V417" s="207"/>
    </row>
    <row r="418" spans="1:22" ht="15" customHeight="1">
      <c r="A418" s="8">
        <v>36397</v>
      </c>
      <c r="B418" s="9">
        <v>0</v>
      </c>
      <c r="C418" s="10"/>
      <c r="D418" s="10"/>
      <c r="E418" s="10">
        <v>137700</v>
      </c>
      <c r="F418" s="9"/>
      <c r="G418" s="10"/>
      <c r="H418" s="10"/>
      <c r="I418" s="120"/>
      <c r="J418" s="120"/>
      <c r="K418" s="22">
        <v>514</v>
      </c>
      <c r="L418" s="6">
        <v>524.5</v>
      </c>
      <c r="M418" s="125">
        <f t="shared" si="6"/>
        <v>-0.5</v>
      </c>
      <c r="N418" s="7"/>
      <c r="O418" s="132"/>
      <c r="P418" s="175"/>
      <c r="V418" s="207"/>
    </row>
    <row r="419" spans="1:22" ht="15" customHeight="1">
      <c r="A419" s="8">
        <v>36398</v>
      </c>
      <c r="B419" s="9">
        <v>0</v>
      </c>
      <c r="C419" s="10"/>
      <c r="D419" s="10"/>
      <c r="E419" s="10">
        <v>137550</v>
      </c>
      <c r="F419" s="9"/>
      <c r="G419" s="10"/>
      <c r="H419" s="10"/>
      <c r="I419" s="120"/>
      <c r="J419" s="120"/>
      <c r="K419" s="22">
        <v>512</v>
      </c>
      <c r="L419" s="6">
        <v>520.5</v>
      </c>
      <c r="M419" s="125">
        <f t="shared" si="6"/>
        <v>-2</v>
      </c>
      <c r="N419" s="7"/>
      <c r="O419" s="132"/>
      <c r="P419" s="175"/>
      <c r="V419" s="207"/>
    </row>
    <row r="420" spans="1:22" ht="15" customHeight="1">
      <c r="A420" s="8">
        <v>36399</v>
      </c>
      <c r="B420" s="9">
        <v>0</v>
      </c>
      <c r="C420" s="10"/>
      <c r="D420" s="10"/>
      <c r="E420" s="10">
        <v>137325</v>
      </c>
      <c r="F420" s="9"/>
      <c r="G420" s="10"/>
      <c r="H420" s="10"/>
      <c r="I420" s="120"/>
      <c r="J420" s="120"/>
      <c r="K420" s="22">
        <v>520</v>
      </c>
      <c r="L420" s="6">
        <v>527.5</v>
      </c>
      <c r="M420" s="125">
        <f t="shared" si="6"/>
        <v>8</v>
      </c>
      <c r="N420" s="7"/>
      <c r="O420" s="132"/>
      <c r="P420" s="175"/>
      <c r="V420" s="207"/>
    </row>
    <row r="421" spans="1:22" ht="15" customHeight="1">
      <c r="A421" s="8">
        <v>36403</v>
      </c>
      <c r="B421" s="9">
        <v>0</v>
      </c>
      <c r="C421" s="10"/>
      <c r="D421" s="10"/>
      <c r="E421" s="10">
        <v>136700</v>
      </c>
      <c r="F421" s="9"/>
      <c r="G421" s="10"/>
      <c r="H421" s="10"/>
      <c r="I421" s="120"/>
      <c r="J421" s="120"/>
      <c r="K421" s="22">
        <v>519.5</v>
      </c>
      <c r="L421" s="6">
        <v>530</v>
      </c>
      <c r="M421" s="125">
        <f t="shared" si="6"/>
        <v>-0.5</v>
      </c>
      <c r="N421" s="7"/>
      <c r="O421" s="132"/>
      <c r="P421" s="175"/>
      <c r="V421" s="207"/>
    </row>
    <row r="422" spans="1:22" ht="15" customHeight="1">
      <c r="A422" s="8">
        <v>36404</v>
      </c>
      <c r="B422" s="9">
        <v>0</v>
      </c>
      <c r="C422" s="10"/>
      <c r="D422" s="10"/>
      <c r="E422" s="10">
        <v>136300</v>
      </c>
      <c r="F422" s="9"/>
      <c r="G422" s="10"/>
      <c r="H422" s="10"/>
      <c r="I422" s="120"/>
      <c r="J422" s="120"/>
      <c r="K422" s="22">
        <v>524.5</v>
      </c>
      <c r="L422" s="6">
        <v>538</v>
      </c>
      <c r="M422" s="125">
        <f t="shared" si="6"/>
        <v>5</v>
      </c>
      <c r="N422" s="7"/>
      <c r="O422" s="132"/>
      <c r="P422" s="175"/>
      <c r="V422" s="207"/>
    </row>
    <row r="423" spans="1:22" ht="15" customHeight="1">
      <c r="A423" s="8">
        <v>36405</v>
      </c>
      <c r="B423" s="9">
        <v>0</v>
      </c>
      <c r="C423" s="10"/>
      <c r="D423" s="10"/>
      <c r="E423" s="10">
        <v>135675</v>
      </c>
      <c r="F423" s="9"/>
      <c r="G423" s="10"/>
      <c r="H423" s="10"/>
      <c r="I423" s="120"/>
      <c r="J423" s="120"/>
      <c r="K423" s="22">
        <v>517</v>
      </c>
      <c r="L423" s="6">
        <v>528.5</v>
      </c>
      <c r="M423" s="125">
        <f t="shared" si="6"/>
        <v>-7.5</v>
      </c>
      <c r="N423" s="7"/>
      <c r="O423" s="132"/>
      <c r="P423" s="175"/>
      <c r="V423" s="207"/>
    </row>
    <row r="424" spans="1:22" ht="15" customHeight="1">
      <c r="A424" s="8">
        <v>36406</v>
      </c>
      <c r="B424" s="9">
        <v>0</v>
      </c>
      <c r="C424" s="10"/>
      <c r="D424" s="10"/>
      <c r="E424" s="10">
        <v>135650</v>
      </c>
      <c r="F424" s="9"/>
      <c r="G424" s="10"/>
      <c r="H424" s="10"/>
      <c r="I424" s="120"/>
      <c r="J424" s="120"/>
      <c r="K424" s="22">
        <v>523</v>
      </c>
      <c r="L424" s="6">
        <v>533</v>
      </c>
      <c r="M424" s="125">
        <f t="shared" si="6"/>
        <v>6</v>
      </c>
      <c r="N424" s="7"/>
      <c r="O424" s="132"/>
      <c r="P424" s="175"/>
      <c r="V424" s="207"/>
    </row>
    <row r="425" spans="1:22" ht="15" customHeight="1">
      <c r="A425" s="8">
        <v>36409</v>
      </c>
      <c r="B425" s="9">
        <v>0</v>
      </c>
      <c r="C425" s="10"/>
      <c r="D425" s="10"/>
      <c r="E425" s="10">
        <v>135625</v>
      </c>
      <c r="F425" s="9"/>
      <c r="G425" s="10"/>
      <c r="H425" s="10"/>
      <c r="I425" s="120"/>
      <c r="J425" s="120"/>
      <c r="K425" s="22">
        <v>519</v>
      </c>
      <c r="L425" s="6">
        <v>530</v>
      </c>
      <c r="M425" s="125">
        <f t="shared" si="6"/>
        <v>-4</v>
      </c>
      <c r="N425" s="7"/>
      <c r="O425" s="132"/>
      <c r="P425" s="175"/>
      <c r="V425" s="207"/>
    </row>
    <row r="426" spans="1:22" ht="15" customHeight="1">
      <c r="A426" s="8">
        <v>36410</v>
      </c>
      <c r="B426" s="9">
        <v>0</v>
      </c>
      <c r="C426" s="10"/>
      <c r="D426" s="10"/>
      <c r="E426" s="10">
        <v>135550</v>
      </c>
      <c r="F426" s="9"/>
      <c r="G426" s="10"/>
      <c r="H426" s="10"/>
      <c r="I426" s="120"/>
      <c r="J426" s="120"/>
      <c r="K426" s="22">
        <v>527</v>
      </c>
      <c r="L426" s="6">
        <v>538</v>
      </c>
      <c r="M426" s="125">
        <f t="shared" si="6"/>
        <v>8</v>
      </c>
      <c r="N426" s="7"/>
      <c r="O426" s="132"/>
      <c r="P426" s="175"/>
      <c r="V426" s="207"/>
    </row>
    <row r="427" spans="1:22" ht="15" customHeight="1">
      <c r="A427" s="8">
        <v>36411</v>
      </c>
      <c r="B427" s="9">
        <v>0</v>
      </c>
      <c r="C427" s="10"/>
      <c r="D427" s="10"/>
      <c r="E427" s="10">
        <v>135450</v>
      </c>
      <c r="F427" s="9"/>
      <c r="G427" s="10"/>
      <c r="H427" s="10"/>
      <c r="I427" s="120"/>
      <c r="J427" s="120"/>
      <c r="K427" s="22">
        <v>522</v>
      </c>
      <c r="L427" s="6">
        <v>532.5</v>
      </c>
      <c r="M427" s="125">
        <f t="shared" si="6"/>
        <v>-5</v>
      </c>
      <c r="N427" s="7"/>
      <c r="O427" s="132"/>
      <c r="P427" s="175"/>
      <c r="V427" s="207"/>
    </row>
    <row r="428" spans="1:22" ht="15" customHeight="1">
      <c r="A428" s="8">
        <v>36412</v>
      </c>
      <c r="B428" s="9">
        <v>0</v>
      </c>
      <c r="C428" s="10"/>
      <c r="D428" s="10"/>
      <c r="E428" s="10">
        <v>135175</v>
      </c>
      <c r="F428" s="9"/>
      <c r="G428" s="10"/>
      <c r="H428" s="10"/>
      <c r="I428" s="120"/>
      <c r="J428" s="120"/>
      <c r="K428" s="22">
        <v>523</v>
      </c>
      <c r="L428" s="6">
        <v>533</v>
      </c>
      <c r="M428" s="125">
        <f t="shared" si="6"/>
        <v>1</v>
      </c>
      <c r="N428" s="7"/>
      <c r="O428" s="132"/>
      <c r="P428" s="175"/>
      <c r="V428" s="207"/>
    </row>
    <row r="429" spans="1:22" ht="15" customHeight="1">
      <c r="A429" s="8">
        <v>36413</v>
      </c>
      <c r="B429" s="9">
        <v>0</v>
      </c>
      <c r="C429" s="10"/>
      <c r="D429" s="10"/>
      <c r="E429" s="10">
        <v>135050</v>
      </c>
      <c r="F429" s="9"/>
      <c r="G429" s="10"/>
      <c r="H429" s="10"/>
      <c r="I429" s="120"/>
      <c r="J429" s="120"/>
      <c r="K429" s="22">
        <v>518</v>
      </c>
      <c r="L429" s="6">
        <v>530</v>
      </c>
      <c r="M429" s="125">
        <f t="shared" si="6"/>
        <v>-5</v>
      </c>
      <c r="N429" s="7"/>
      <c r="O429" s="132"/>
      <c r="P429" s="175"/>
      <c r="V429" s="207"/>
    </row>
    <row r="430" spans="1:22" ht="15" customHeight="1">
      <c r="A430" s="8">
        <v>36416</v>
      </c>
      <c r="B430" s="9">
        <v>0</v>
      </c>
      <c r="C430" s="10"/>
      <c r="D430" s="10"/>
      <c r="E430" s="10">
        <v>134800</v>
      </c>
      <c r="F430" s="9"/>
      <c r="G430" s="10"/>
      <c r="H430" s="10"/>
      <c r="I430" s="120"/>
      <c r="J430" s="120"/>
      <c r="K430" s="22">
        <v>510</v>
      </c>
      <c r="L430" s="6">
        <v>524</v>
      </c>
      <c r="M430" s="125">
        <f t="shared" si="6"/>
        <v>-8</v>
      </c>
      <c r="N430" s="7"/>
      <c r="O430" s="132"/>
      <c r="P430" s="175"/>
      <c r="V430" s="207"/>
    </row>
    <row r="431" spans="1:22" ht="15" customHeight="1">
      <c r="A431" s="8">
        <v>36417</v>
      </c>
      <c r="B431" s="9">
        <v>0</v>
      </c>
      <c r="C431" s="10"/>
      <c r="D431" s="10"/>
      <c r="E431" s="10">
        <v>135850</v>
      </c>
      <c r="F431" s="9"/>
      <c r="G431" s="10"/>
      <c r="H431" s="10"/>
      <c r="I431" s="120"/>
      <c r="J431" s="120"/>
      <c r="K431" s="22">
        <v>497</v>
      </c>
      <c r="L431" s="6">
        <v>512</v>
      </c>
      <c r="M431" s="125">
        <f t="shared" si="6"/>
        <v>-13</v>
      </c>
      <c r="N431" s="7"/>
      <c r="O431" s="132"/>
      <c r="P431" s="175"/>
      <c r="V431" s="207"/>
    </row>
    <row r="432" spans="1:22" ht="15" customHeight="1">
      <c r="A432" s="8">
        <v>36418</v>
      </c>
      <c r="B432" s="9">
        <v>0</v>
      </c>
      <c r="C432" s="10"/>
      <c r="D432" s="10"/>
      <c r="E432" s="10">
        <v>137550</v>
      </c>
      <c r="F432" s="9"/>
      <c r="G432" s="10"/>
      <c r="H432" s="10"/>
      <c r="I432" s="120"/>
      <c r="J432" s="120"/>
      <c r="K432" s="22">
        <v>492</v>
      </c>
      <c r="L432" s="6">
        <v>508</v>
      </c>
      <c r="M432" s="125">
        <f t="shared" si="6"/>
        <v>-5</v>
      </c>
      <c r="N432" s="7"/>
      <c r="O432" s="132"/>
      <c r="P432" s="175"/>
      <c r="V432" s="207"/>
    </row>
    <row r="433" spans="1:22" ht="15" customHeight="1">
      <c r="A433" s="8">
        <v>36419</v>
      </c>
      <c r="B433" s="9">
        <v>0</v>
      </c>
      <c r="C433" s="10"/>
      <c r="D433" s="10"/>
      <c r="E433" s="10">
        <v>141750</v>
      </c>
      <c r="F433" s="9"/>
      <c r="G433" s="10"/>
      <c r="H433" s="10"/>
      <c r="I433" s="120"/>
      <c r="J433" s="120"/>
      <c r="K433" s="22">
        <v>502</v>
      </c>
      <c r="L433" s="6">
        <v>513</v>
      </c>
      <c r="M433" s="125">
        <f t="shared" si="6"/>
        <v>10</v>
      </c>
      <c r="N433" s="7"/>
      <c r="O433" s="132"/>
      <c r="P433" s="175"/>
      <c r="V433" s="207"/>
    </row>
    <row r="434" spans="1:22" ht="15" customHeight="1">
      <c r="A434" s="8">
        <v>36420</v>
      </c>
      <c r="B434" s="9">
        <v>0</v>
      </c>
      <c r="C434" s="10"/>
      <c r="D434" s="10"/>
      <c r="E434" s="10">
        <v>141325</v>
      </c>
      <c r="F434" s="9"/>
      <c r="G434" s="10"/>
      <c r="H434" s="10"/>
      <c r="I434" s="120"/>
      <c r="J434" s="120"/>
      <c r="K434" s="22">
        <v>500</v>
      </c>
      <c r="L434" s="6">
        <v>513</v>
      </c>
      <c r="M434" s="125">
        <f t="shared" si="6"/>
        <v>-2</v>
      </c>
      <c r="N434" s="7"/>
      <c r="O434" s="132"/>
      <c r="P434" s="175"/>
      <c r="V434" s="207"/>
    </row>
    <row r="435" spans="1:22" ht="15" customHeight="1">
      <c r="A435" s="8">
        <v>36423</v>
      </c>
      <c r="B435" s="9">
        <v>0</v>
      </c>
      <c r="C435" s="10"/>
      <c r="D435" s="10"/>
      <c r="E435" s="10">
        <v>143125</v>
      </c>
      <c r="F435" s="9"/>
      <c r="G435" s="10"/>
      <c r="H435" s="10"/>
      <c r="I435" s="120"/>
      <c r="J435" s="120"/>
      <c r="K435" s="22">
        <v>496</v>
      </c>
      <c r="L435" s="6">
        <v>509.5</v>
      </c>
      <c r="M435" s="125">
        <f t="shared" si="6"/>
        <v>-4</v>
      </c>
      <c r="N435" s="7"/>
      <c r="O435" s="132"/>
      <c r="P435" s="175"/>
      <c r="V435" s="207"/>
    </row>
    <row r="436" spans="1:22" ht="15" customHeight="1">
      <c r="A436" s="8">
        <v>36424</v>
      </c>
      <c r="B436" s="9">
        <v>0</v>
      </c>
      <c r="C436" s="10"/>
      <c r="D436" s="10"/>
      <c r="E436" s="10">
        <v>150650</v>
      </c>
      <c r="F436" s="9"/>
      <c r="G436" s="10"/>
      <c r="H436" s="10"/>
      <c r="I436" s="120"/>
      <c r="J436" s="120"/>
      <c r="K436" s="22">
        <v>496</v>
      </c>
      <c r="L436" s="6">
        <v>509</v>
      </c>
      <c r="M436" s="125">
        <f t="shared" si="6"/>
        <v>0</v>
      </c>
      <c r="N436" s="7"/>
      <c r="O436" s="132"/>
      <c r="P436" s="175"/>
      <c r="V436" s="207"/>
    </row>
    <row r="437" spans="1:22" ht="15" customHeight="1">
      <c r="A437" s="8">
        <v>36425</v>
      </c>
      <c r="B437" s="9">
        <v>0</v>
      </c>
      <c r="C437" s="10"/>
      <c r="D437" s="10"/>
      <c r="E437" s="10">
        <v>150450</v>
      </c>
      <c r="F437" s="9"/>
      <c r="G437" s="10"/>
      <c r="H437" s="10"/>
      <c r="I437" s="120"/>
      <c r="J437" s="120"/>
      <c r="K437" s="22">
        <v>498</v>
      </c>
      <c r="L437" s="6">
        <v>511</v>
      </c>
      <c r="M437" s="125">
        <f t="shared" si="6"/>
        <v>2</v>
      </c>
      <c r="N437" s="7"/>
      <c r="O437" s="132"/>
      <c r="P437" s="175"/>
      <c r="V437" s="207"/>
    </row>
    <row r="438" spans="1:22" ht="15" customHeight="1">
      <c r="A438" s="8">
        <v>36426</v>
      </c>
      <c r="B438" s="9">
        <v>0</v>
      </c>
      <c r="C438" s="10"/>
      <c r="D438" s="10"/>
      <c r="E438" s="10">
        <v>150900</v>
      </c>
      <c r="F438" s="9"/>
      <c r="G438" s="10"/>
      <c r="H438" s="10"/>
      <c r="I438" s="120"/>
      <c r="J438" s="120"/>
      <c r="K438" s="22">
        <v>500</v>
      </c>
      <c r="L438" s="6">
        <v>512.5</v>
      </c>
      <c r="M438" s="125">
        <f t="shared" si="6"/>
        <v>2</v>
      </c>
      <c r="N438" s="7"/>
      <c r="O438" s="132"/>
      <c r="P438" s="175"/>
      <c r="V438" s="207"/>
    </row>
    <row r="439" spans="1:22" ht="15" customHeight="1">
      <c r="A439" s="8">
        <v>36427</v>
      </c>
      <c r="B439" s="9">
        <v>0</v>
      </c>
      <c r="C439" s="10"/>
      <c r="D439" s="10"/>
      <c r="E439" s="10">
        <v>151975</v>
      </c>
      <c r="F439" s="9"/>
      <c r="G439" s="10"/>
      <c r="H439" s="10"/>
      <c r="I439" s="120"/>
      <c r="J439" s="120"/>
      <c r="K439" s="22">
        <v>496.5</v>
      </c>
      <c r="L439" s="6">
        <v>512</v>
      </c>
      <c r="M439" s="125">
        <f t="shared" si="6"/>
        <v>-3.5</v>
      </c>
      <c r="N439" s="7"/>
      <c r="O439" s="132"/>
      <c r="P439" s="175"/>
      <c r="V439" s="207"/>
    </row>
    <row r="440" spans="1:22" ht="15" customHeight="1">
      <c r="A440" s="8">
        <v>36430</v>
      </c>
      <c r="B440" s="9">
        <v>0</v>
      </c>
      <c r="C440" s="10"/>
      <c r="D440" s="10"/>
      <c r="E440" s="10">
        <v>153800</v>
      </c>
      <c r="F440" s="9"/>
      <c r="G440" s="10"/>
      <c r="H440" s="10"/>
      <c r="I440" s="120"/>
      <c r="J440" s="120"/>
      <c r="K440" s="22">
        <v>497</v>
      </c>
      <c r="L440" s="6">
        <v>510</v>
      </c>
      <c r="M440" s="125">
        <f t="shared" si="6"/>
        <v>0.5</v>
      </c>
      <c r="N440" s="7"/>
      <c r="O440" s="132"/>
      <c r="P440" s="175"/>
      <c r="V440" s="207"/>
    </row>
    <row r="441" spans="1:22" ht="15" customHeight="1">
      <c r="A441" s="8">
        <v>36431</v>
      </c>
      <c r="B441" s="9">
        <v>0</v>
      </c>
      <c r="C441" s="10"/>
      <c r="D441" s="10"/>
      <c r="E441" s="10">
        <v>153525</v>
      </c>
      <c r="F441" s="9"/>
      <c r="G441" s="10"/>
      <c r="H441" s="10"/>
      <c r="I441" s="120"/>
      <c r="J441" s="120"/>
      <c r="K441" s="22">
        <v>495</v>
      </c>
      <c r="L441" s="6">
        <v>510</v>
      </c>
      <c r="M441" s="125">
        <f t="shared" si="6"/>
        <v>-2</v>
      </c>
      <c r="N441" s="7"/>
      <c r="O441" s="132"/>
      <c r="P441" s="175"/>
      <c r="V441" s="207"/>
    </row>
    <row r="442" spans="1:22" ht="15" customHeight="1">
      <c r="A442" s="8">
        <v>36432</v>
      </c>
      <c r="B442" s="9">
        <v>0</v>
      </c>
      <c r="C442" s="10"/>
      <c r="D442" s="10"/>
      <c r="E442" s="10">
        <v>153450</v>
      </c>
      <c r="F442" s="9"/>
      <c r="G442" s="10"/>
      <c r="H442" s="10"/>
      <c r="I442" s="120"/>
      <c r="J442" s="120"/>
      <c r="K442" s="22">
        <v>506</v>
      </c>
      <c r="L442" s="6">
        <v>520</v>
      </c>
      <c r="M442" s="125">
        <f t="shared" si="6"/>
        <v>11</v>
      </c>
      <c r="N442" s="7"/>
      <c r="O442" s="132"/>
      <c r="P442" s="175"/>
      <c r="V442" s="207"/>
    </row>
    <row r="443" spans="1:22" ht="15" customHeight="1">
      <c r="A443" s="8">
        <v>36433</v>
      </c>
      <c r="B443" s="9">
        <v>0</v>
      </c>
      <c r="C443" s="10"/>
      <c r="D443" s="10"/>
      <c r="E443" s="10">
        <v>153350</v>
      </c>
      <c r="F443" s="9"/>
      <c r="G443" s="10"/>
      <c r="H443" s="10"/>
      <c r="I443" s="120"/>
      <c r="J443" s="120"/>
      <c r="K443" s="22">
        <v>502</v>
      </c>
      <c r="L443" s="6">
        <v>515.5</v>
      </c>
      <c r="M443" s="125">
        <f t="shared" si="6"/>
        <v>-4</v>
      </c>
      <c r="N443" s="7"/>
      <c r="O443" s="132"/>
      <c r="P443" s="175"/>
      <c r="V443" s="207"/>
    </row>
    <row r="444" spans="1:22" ht="15" customHeight="1">
      <c r="A444" s="8">
        <v>36434</v>
      </c>
      <c r="B444" s="9">
        <v>0</v>
      </c>
      <c r="C444" s="10"/>
      <c r="D444" s="10"/>
      <c r="E444" s="10">
        <v>153300</v>
      </c>
      <c r="F444" s="9"/>
      <c r="G444" s="10"/>
      <c r="H444" s="10"/>
      <c r="I444" s="120"/>
      <c r="J444" s="120"/>
      <c r="K444" s="22">
        <v>500.5</v>
      </c>
      <c r="L444" s="6">
        <v>513.5</v>
      </c>
      <c r="M444" s="125">
        <f t="shared" si="6"/>
        <v>-1.5</v>
      </c>
      <c r="N444" s="7"/>
      <c r="O444" s="132"/>
      <c r="P444" s="175"/>
      <c r="V444" s="207"/>
    </row>
    <row r="445" spans="1:22" ht="15" customHeight="1">
      <c r="A445" s="8">
        <v>36437</v>
      </c>
      <c r="B445" s="9">
        <v>0</v>
      </c>
      <c r="C445" s="10"/>
      <c r="D445" s="10"/>
      <c r="E445" s="10">
        <v>152800</v>
      </c>
      <c r="F445" s="9"/>
      <c r="G445" s="10"/>
      <c r="H445" s="10"/>
      <c r="I445" s="120"/>
      <c r="J445" s="120"/>
      <c r="K445" s="22">
        <v>497.5</v>
      </c>
      <c r="L445" s="6">
        <v>512</v>
      </c>
      <c r="M445" s="125">
        <f t="shared" si="6"/>
        <v>-3</v>
      </c>
      <c r="N445" s="7"/>
      <c r="O445" s="132"/>
      <c r="P445" s="175"/>
      <c r="V445" s="207"/>
    </row>
    <row r="446" spans="1:22" ht="15" customHeight="1">
      <c r="A446" s="8">
        <v>36438</v>
      </c>
      <c r="B446" s="9">
        <v>0</v>
      </c>
      <c r="C446" s="10"/>
      <c r="D446" s="10"/>
      <c r="E446" s="10">
        <v>152725</v>
      </c>
      <c r="F446" s="9"/>
      <c r="G446" s="10"/>
      <c r="H446" s="10"/>
      <c r="I446" s="120"/>
      <c r="J446" s="120"/>
      <c r="K446" s="22">
        <v>500</v>
      </c>
      <c r="L446" s="6">
        <v>514</v>
      </c>
      <c r="M446" s="125">
        <f t="shared" si="6"/>
        <v>2.5</v>
      </c>
      <c r="N446" s="7"/>
      <c r="O446" s="132"/>
      <c r="P446" s="175"/>
      <c r="V446" s="207"/>
    </row>
    <row r="447" spans="1:22" ht="15" customHeight="1">
      <c r="A447" s="8">
        <v>36439</v>
      </c>
      <c r="B447" s="9">
        <v>0</v>
      </c>
      <c r="C447" s="10"/>
      <c r="D447" s="10"/>
      <c r="E447" s="10">
        <v>155800</v>
      </c>
      <c r="F447" s="9"/>
      <c r="G447" s="10"/>
      <c r="H447" s="10"/>
      <c r="I447" s="120"/>
      <c r="J447" s="120"/>
      <c r="K447" s="22">
        <v>498.5</v>
      </c>
      <c r="L447" s="6">
        <v>511.5</v>
      </c>
      <c r="M447" s="125">
        <f t="shared" si="6"/>
        <v>-1.5</v>
      </c>
      <c r="N447" s="7"/>
      <c r="O447" s="132"/>
      <c r="P447" s="175"/>
      <c r="V447" s="207"/>
    </row>
    <row r="448" spans="1:22" ht="15" customHeight="1">
      <c r="A448" s="8">
        <v>36440</v>
      </c>
      <c r="B448" s="9">
        <v>0</v>
      </c>
      <c r="C448" s="10"/>
      <c r="D448" s="10"/>
      <c r="E448" s="10">
        <v>160450</v>
      </c>
      <c r="F448" s="9"/>
      <c r="G448" s="10"/>
      <c r="H448" s="10"/>
      <c r="I448" s="120"/>
      <c r="J448" s="120"/>
      <c r="K448" s="22">
        <v>498.5</v>
      </c>
      <c r="L448" s="6">
        <v>512</v>
      </c>
      <c r="M448" s="125">
        <f t="shared" si="6"/>
        <v>0</v>
      </c>
      <c r="N448" s="7"/>
      <c r="O448" s="132"/>
      <c r="P448" s="175"/>
      <c r="V448" s="207"/>
    </row>
    <row r="449" spans="1:22" ht="15" customHeight="1">
      <c r="A449" s="8">
        <v>36441</v>
      </c>
      <c r="B449" s="9">
        <v>0</v>
      </c>
      <c r="C449" s="10"/>
      <c r="D449" s="10"/>
      <c r="E449" s="10">
        <v>160375</v>
      </c>
      <c r="F449" s="9"/>
      <c r="G449" s="10"/>
      <c r="H449" s="10"/>
      <c r="I449" s="120"/>
      <c r="J449" s="120"/>
      <c r="K449" s="22">
        <v>498.5</v>
      </c>
      <c r="L449" s="6">
        <v>510</v>
      </c>
      <c r="M449" s="125">
        <f t="shared" si="6"/>
        <v>0</v>
      </c>
      <c r="N449" s="7"/>
      <c r="O449" s="132"/>
      <c r="P449" s="175"/>
      <c r="V449" s="207"/>
    </row>
    <row r="450" spans="1:22" ht="15" customHeight="1">
      <c r="A450" s="8">
        <v>36444</v>
      </c>
      <c r="B450" s="9">
        <v>0</v>
      </c>
      <c r="C450" s="10"/>
      <c r="D450" s="10"/>
      <c r="E450" s="10">
        <v>160275</v>
      </c>
      <c r="F450" s="9"/>
      <c r="G450" s="10"/>
      <c r="H450" s="10"/>
      <c r="I450" s="120"/>
      <c r="J450" s="120"/>
      <c r="K450" s="22">
        <v>494</v>
      </c>
      <c r="L450" s="6">
        <v>505.5</v>
      </c>
      <c r="M450" s="125">
        <f t="shared" si="6"/>
        <v>-4.5</v>
      </c>
      <c r="N450" s="7"/>
      <c r="O450" s="132"/>
      <c r="P450" s="175"/>
      <c r="V450" s="207"/>
    </row>
    <row r="451" spans="1:22" ht="15" customHeight="1">
      <c r="A451" s="8">
        <v>36445</v>
      </c>
      <c r="B451" s="9">
        <v>0</v>
      </c>
      <c r="C451" s="10"/>
      <c r="D451" s="10"/>
      <c r="E451" s="10">
        <v>160200</v>
      </c>
      <c r="F451" s="9"/>
      <c r="G451" s="10"/>
      <c r="H451" s="10"/>
      <c r="I451" s="120"/>
      <c r="J451" s="120"/>
      <c r="K451" s="22">
        <v>494</v>
      </c>
      <c r="L451" s="6">
        <v>505.5</v>
      </c>
      <c r="M451" s="125">
        <f t="shared" si="6"/>
        <v>0</v>
      </c>
      <c r="N451" s="7"/>
      <c r="O451" s="132"/>
      <c r="P451" s="175"/>
      <c r="V451" s="207"/>
    </row>
    <row r="452" spans="1:22" ht="15" customHeight="1">
      <c r="A452" s="8">
        <v>36446</v>
      </c>
      <c r="B452" s="9">
        <v>0</v>
      </c>
      <c r="C452" s="10"/>
      <c r="D452" s="10"/>
      <c r="E452" s="10">
        <v>160200</v>
      </c>
      <c r="F452" s="9"/>
      <c r="G452" s="10"/>
      <c r="H452" s="10"/>
      <c r="I452" s="120"/>
      <c r="J452" s="120"/>
      <c r="K452" s="22">
        <v>501</v>
      </c>
      <c r="L452" s="6">
        <v>510</v>
      </c>
      <c r="M452" s="125">
        <f t="shared" si="6"/>
        <v>7</v>
      </c>
      <c r="N452" s="7"/>
      <c r="O452" s="132"/>
      <c r="P452" s="175"/>
      <c r="V452" s="207"/>
    </row>
    <row r="453" spans="1:22" ht="15" customHeight="1">
      <c r="A453" s="8">
        <v>36447</v>
      </c>
      <c r="B453" s="9">
        <v>0</v>
      </c>
      <c r="C453" s="10"/>
      <c r="D453" s="10"/>
      <c r="E453" s="10">
        <v>160150</v>
      </c>
      <c r="F453" s="9"/>
      <c r="G453" s="10"/>
      <c r="H453" s="10"/>
      <c r="I453" s="120"/>
      <c r="J453" s="120"/>
      <c r="K453" s="22">
        <v>511</v>
      </c>
      <c r="L453" s="6">
        <v>516</v>
      </c>
      <c r="M453" s="125">
        <f t="shared" ref="M453:M463" si="7">+K453-K452</f>
        <v>10</v>
      </c>
      <c r="N453" s="7"/>
      <c r="O453" s="132"/>
      <c r="P453" s="175"/>
      <c r="V453" s="207"/>
    </row>
    <row r="454" spans="1:22" ht="15" customHeight="1">
      <c r="A454" s="8">
        <v>36448</v>
      </c>
      <c r="B454" s="9">
        <v>0</v>
      </c>
      <c r="C454" s="10"/>
      <c r="D454" s="10"/>
      <c r="E454" s="10">
        <v>160025</v>
      </c>
      <c r="F454" s="9"/>
      <c r="G454" s="10"/>
      <c r="H454" s="10"/>
      <c r="I454" s="120"/>
      <c r="J454" s="120"/>
      <c r="K454" s="22">
        <v>498.5</v>
      </c>
      <c r="L454" s="6">
        <v>508.5</v>
      </c>
      <c r="M454" s="125">
        <f t="shared" si="7"/>
        <v>-12.5</v>
      </c>
      <c r="N454" s="7"/>
      <c r="O454" s="132"/>
      <c r="P454" s="175"/>
      <c r="V454" s="207"/>
    </row>
    <row r="455" spans="1:22" ht="15" customHeight="1">
      <c r="A455" s="8">
        <v>36451</v>
      </c>
      <c r="B455" s="9">
        <v>0</v>
      </c>
      <c r="C455" s="10"/>
      <c r="D455" s="10"/>
      <c r="E455" s="10">
        <v>159825</v>
      </c>
      <c r="F455" s="9"/>
      <c r="G455" s="10"/>
      <c r="H455" s="10"/>
      <c r="I455" s="120"/>
      <c r="J455" s="120"/>
      <c r="K455" s="22">
        <v>490</v>
      </c>
      <c r="L455" s="6">
        <v>502</v>
      </c>
      <c r="M455" s="125">
        <f t="shared" si="7"/>
        <v>-8.5</v>
      </c>
      <c r="N455" s="7"/>
      <c r="O455" s="132"/>
      <c r="P455" s="175"/>
      <c r="V455" s="207"/>
    </row>
    <row r="456" spans="1:22" ht="15" customHeight="1">
      <c r="A456" s="8">
        <v>36452</v>
      </c>
      <c r="B456" s="9">
        <v>0</v>
      </c>
      <c r="C456" s="10"/>
      <c r="D456" s="10"/>
      <c r="E456" s="10">
        <v>159775</v>
      </c>
      <c r="F456" s="9"/>
      <c r="G456" s="10"/>
      <c r="H456" s="10"/>
      <c r="I456" s="120"/>
      <c r="J456" s="120"/>
      <c r="K456" s="22">
        <v>495.5</v>
      </c>
      <c r="L456" s="6">
        <v>507.5</v>
      </c>
      <c r="M456" s="125">
        <f t="shared" si="7"/>
        <v>5.5</v>
      </c>
      <c r="N456" s="7"/>
      <c r="O456" s="132"/>
      <c r="P456" s="175"/>
      <c r="V456" s="207"/>
    </row>
    <row r="457" spans="1:22" ht="15" customHeight="1">
      <c r="A457" s="8">
        <v>36453</v>
      </c>
      <c r="B457" s="9">
        <v>0</v>
      </c>
      <c r="C457" s="10"/>
      <c r="D457" s="10"/>
      <c r="E457" s="10">
        <v>161225</v>
      </c>
      <c r="F457" s="9"/>
      <c r="G457" s="10"/>
      <c r="H457" s="10"/>
      <c r="I457" s="120"/>
      <c r="J457" s="120"/>
      <c r="K457" s="22">
        <v>497</v>
      </c>
      <c r="L457" s="6">
        <v>508</v>
      </c>
      <c r="M457" s="125">
        <f t="shared" si="7"/>
        <v>1.5</v>
      </c>
      <c r="N457" s="7"/>
      <c r="O457" s="132"/>
      <c r="P457" s="175"/>
      <c r="V457" s="207"/>
    </row>
    <row r="458" spans="1:22" ht="15" customHeight="1">
      <c r="A458" s="8">
        <v>36454</v>
      </c>
      <c r="B458" s="9">
        <v>0</v>
      </c>
      <c r="C458" s="10"/>
      <c r="D458" s="10"/>
      <c r="E458" s="10">
        <v>161000</v>
      </c>
      <c r="F458" s="9"/>
      <c r="G458" s="10"/>
      <c r="H458" s="10"/>
      <c r="I458" s="120"/>
      <c r="J458" s="120"/>
      <c r="K458" s="22">
        <v>497</v>
      </c>
      <c r="L458" s="6">
        <v>508</v>
      </c>
      <c r="M458" s="125">
        <f t="shared" si="7"/>
        <v>0</v>
      </c>
      <c r="N458" s="7"/>
      <c r="O458" s="132"/>
      <c r="P458" s="175"/>
      <c r="V458" s="207"/>
    </row>
    <row r="459" spans="1:22" ht="15" customHeight="1">
      <c r="A459" s="8">
        <v>36455</v>
      </c>
      <c r="B459" s="9">
        <v>0</v>
      </c>
      <c r="C459" s="10"/>
      <c r="D459" s="10"/>
      <c r="E459" s="10">
        <v>170050</v>
      </c>
      <c r="F459" s="9"/>
      <c r="G459" s="10"/>
      <c r="H459" s="10"/>
      <c r="I459" s="120"/>
      <c r="J459" s="120"/>
      <c r="K459" s="22">
        <v>494.5</v>
      </c>
      <c r="L459" s="6">
        <v>506</v>
      </c>
      <c r="M459" s="125">
        <f t="shared" si="7"/>
        <v>-2.5</v>
      </c>
      <c r="N459" s="7"/>
      <c r="O459" s="132"/>
      <c r="P459" s="175"/>
      <c r="V459" s="207"/>
    </row>
    <row r="460" spans="1:22" ht="15" customHeight="1">
      <c r="A460" s="8">
        <v>36458</v>
      </c>
      <c r="B460" s="9">
        <v>0</v>
      </c>
      <c r="C460" s="10"/>
      <c r="D460" s="10"/>
      <c r="E460" s="10">
        <v>169975</v>
      </c>
      <c r="F460" s="9"/>
      <c r="G460" s="10"/>
      <c r="H460" s="10"/>
      <c r="I460" s="120"/>
      <c r="J460" s="120"/>
      <c r="K460" s="22">
        <v>498.5</v>
      </c>
      <c r="L460" s="6">
        <v>509</v>
      </c>
      <c r="M460" s="125">
        <f t="shared" si="7"/>
        <v>4</v>
      </c>
      <c r="N460" s="7"/>
      <c r="O460" s="132"/>
      <c r="P460" s="175"/>
      <c r="V460" s="207"/>
    </row>
    <row r="461" spans="1:22" ht="15" customHeight="1">
      <c r="A461" s="8">
        <v>36459</v>
      </c>
      <c r="B461" s="9">
        <v>0</v>
      </c>
      <c r="C461" s="10"/>
      <c r="D461" s="10"/>
      <c r="E461" s="10">
        <v>169725</v>
      </c>
      <c r="F461" s="9"/>
      <c r="G461" s="10"/>
      <c r="H461" s="10"/>
      <c r="I461" s="120"/>
      <c r="J461" s="120"/>
      <c r="K461" s="22">
        <v>495</v>
      </c>
      <c r="L461" s="6">
        <v>508</v>
      </c>
      <c r="M461" s="125">
        <f t="shared" si="7"/>
        <v>-3.5</v>
      </c>
      <c r="N461" s="7"/>
      <c r="O461" s="132"/>
      <c r="P461" s="175"/>
      <c r="V461" s="207"/>
    </row>
    <row r="462" spans="1:22" ht="15" customHeight="1">
      <c r="A462" s="8">
        <v>36460</v>
      </c>
      <c r="B462" s="9">
        <v>0</v>
      </c>
      <c r="C462" s="10"/>
      <c r="D462" s="10"/>
      <c r="E462" s="10">
        <v>169475</v>
      </c>
      <c r="F462" s="9"/>
      <c r="G462" s="10"/>
      <c r="H462" s="10"/>
      <c r="I462" s="120"/>
      <c r="J462" s="120"/>
      <c r="K462" s="22">
        <v>492</v>
      </c>
      <c r="L462" s="6">
        <v>506</v>
      </c>
      <c r="M462" s="125">
        <f t="shared" si="7"/>
        <v>-3</v>
      </c>
      <c r="N462" s="7"/>
      <c r="O462" s="132"/>
      <c r="P462" s="175"/>
      <c r="V462" s="207"/>
    </row>
    <row r="463" spans="1:22" ht="15" customHeight="1">
      <c r="A463" s="8">
        <v>36461</v>
      </c>
      <c r="B463" s="9">
        <v>0</v>
      </c>
      <c r="C463" s="10"/>
      <c r="D463" s="10"/>
      <c r="E463" s="10">
        <v>170850</v>
      </c>
      <c r="F463" s="9"/>
      <c r="G463" s="10"/>
      <c r="H463" s="10"/>
      <c r="I463" s="120"/>
      <c r="J463" s="120"/>
      <c r="K463" s="22">
        <v>493</v>
      </c>
      <c r="L463" s="6">
        <v>506</v>
      </c>
      <c r="M463" s="125">
        <f t="shared" si="7"/>
        <v>1</v>
      </c>
      <c r="N463" s="7"/>
      <c r="O463" s="132"/>
      <c r="P463" s="175"/>
      <c r="V463" s="207"/>
    </row>
    <row r="464" spans="1:22" ht="15" customHeight="1">
      <c r="A464" s="8">
        <v>36462</v>
      </c>
      <c r="B464" s="9">
        <v>0</v>
      </c>
      <c r="C464" s="10"/>
      <c r="D464" s="10"/>
      <c r="E464" s="10">
        <v>171225</v>
      </c>
      <c r="F464" s="9"/>
      <c r="G464" s="10"/>
      <c r="H464" s="10"/>
      <c r="I464" s="120"/>
      <c r="J464" s="120"/>
      <c r="K464" s="22">
        <v>494.5</v>
      </c>
      <c r="L464" s="6">
        <v>505.5</v>
      </c>
      <c r="M464" s="125">
        <f>L464-K464</f>
        <v>11</v>
      </c>
      <c r="N464" s="7"/>
      <c r="O464" s="132"/>
      <c r="P464" s="175"/>
      <c r="V464" s="207"/>
    </row>
    <row r="465" spans="1:22" ht="15" customHeight="1">
      <c r="A465" s="8">
        <v>36465</v>
      </c>
      <c r="B465" s="9">
        <v>0</v>
      </c>
      <c r="C465" s="10"/>
      <c r="D465" s="10"/>
      <c r="E465" s="10">
        <v>171150</v>
      </c>
      <c r="F465" s="9"/>
      <c r="G465" s="10"/>
      <c r="H465" s="10"/>
      <c r="I465" s="120"/>
      <c r="J465" s="120"/>
      <c r="K465" s="22">
        <v>491</v>
      </c>
      <c r="L465" s="6">
        <v>503.5</v>
      </c>
      <c r="M465" s="125">
        <f t="shared" ref="M465:M528" si="8">L465-K465</f>
        <v>12.5</v>
      </c>
      <c r="N465" s="7"/>
      <c r="O465" s="132"/>
      <c r="P465" s="175"/>
      <c r="V465" s="207"/>
    </row>
    <row r="466" spans="1:22" ht="15" customHeight="1">
      <c r="A466" s="8">
        <v>36466</v>
      </c>
      <c r="B466" s="9">
        <v>0</v>
      </c>
      <c r="C466" s="10"/>
      <c r="D466" s="10"/>
      <c r="E466" s="10">
        <v>171125</v>
      </c>
      <c r="F466" s="9"/>
      <c r="G466" s="10"/>
      <c r="H466" s="10"/>
      <c r="I466" s="120"/>
      <c r="J466" s="120"/>
      <c r="K466" s="22">
        <v>487.5</v>
      </c>
      <c r="L466" s="6">
        <v>498</v>
      </c>
      <c r="M466" s="125">
        <f t="shared" si="8"/>
        <v>10.5</v>
      </c>
      <c r="N466" s="7"/>
      <c r="O466" s="132"/>
      <c r="P466" s="175"/>
      <c r="V466" s="207"/>
    </row>
    <row r="467" spans="1:22" ht="15" customHeight="1">
      <c r="A467" s="8">
        <v>36467</v>
      </c>
      <c r="B467" s="9">
        <v>0</v>
      </c>
      <c r="C467" s="10"/>
      <c r="D467" s="10"/>
      <c r="E467" s="10">
        <v>171475</v>
      </c>
      <c r="F467" s="9"/>
      <c r="G467" s="10"/>
      <c r="H467" s="10"/>
      <c r="I467" s="120"/>
      <c r="J467" s="120"/>
      <c r="K467" s="22">
        <v>484.5</v>
      </c>
      <c r="L467" s="6">
        <v>495</v>
      </c>
      <c r="M467" s="125">
        <f t="shared" si="8"/>
        <v>10.5</v>
      </c>
      <c r="N467" s="7"/>
      <c r="O467" s="132"/>
      <c r="P467" s="175"/>
      <c r="V467" s="207"/>
    </row>
    <row r="468" spans="1:22" ht="15" customHeight="1">
      <c r="A468" s="8">
        <v>36468</v>
      </c>
      <c r="B468" s="9">
        <v>0</v>
      </c>
      <c r="C468" s="10"/>
      <c r="D468" s="10"/>
      <c r="E468" s="10">
        <v>171400</v>
      </c>
      <c r="F468" s="9"/>
      <c r="G468" s="10"/>
      <c r="H468" s="10"/>
      <c r="I468" s="120"/>
      <c r="J468" s="120"/>
      <c r="K468" s="22">
        <v>484.5</v>
      </c>
      <c r="L468" s="6">
        <v>495</v>
      </c>
      <c r="M468" s="125">
        <f t="shared" si="8"/>
        <v>10.5</v>
      </c>
      <c r="N468" s="7"/>
      <c r="O468" s="132"/>
      <c r="P468" s="175"/>
      <c r="V468" s="207"/>
    </row>
    <row r="469" spans="1:22" ht="15" customHeight="1">
      <c r="A469" s="8">
        <v>36469</v>
      </c>
      <c r="B469" s="9">
        <v>0</v>
      </c>
      <c r="C469" s="10"/>
      <c r="D469" s="10"/>
      <c r="E469" s="10">
        <v>171300</v>
      </c>
      <c r="F469" s="9"/>
      <c r="G469" s="10"/>
      <c r="H469" s="10"/>
      <c r="I469" s="120"/>
      <c r="J469" s="120"/>
      <c r="K469" s="22">
        <v>481.5</v>
      </c>
      <c r="L469" s="6">
        <v>491.5</v>
      </c>
      <c r="M469" s="125">
        <f t="shared" si="8"/>
        <v>10</v>
      </c>
      <c r="N469" s="7"/>
      <c r="O469" s="132"/>
      <c r="P469" s="175"/>
      <c r="V469" s="207"/>
    </row>
    <row r="470" spans="1:22" ht="15" customHeight="1">
      <c r="A470" s="8">
        <v>36472</v>
      </c>
      <c r="B470" s="9">
        <v>0</v>
      </c>
      <c r="C470" s="10"/>
      <c r="D470" s="10"/>
      <c r="E470" s="10">
        <v>171700</v>
      </c>
      <c r="F470" s="9"/>
      <c r="G470" s="10"/>
      <c r="H470" s="10"/>
      <c r="I470" s="120"/>
      <c r="J470" s="120"/>
      <c r="K470" s="22">
        <v>480</v>
      </c>
      <c r="L470" s="6">
        <v>489</v>
      </c>
      <c r="M470" s="125">
        <f t="shared" si="8"/>
        <v>9</v>
      </c>
      <c r="N470" s="7"/>
      <c r="O470" s="132"/>
      <c r="P470" s="175"/>
      <c r="V470" s="207"/>
    </row>
    <row r="471" spans="1:22" ht="15" customHeight="1">
      <c r="A471" s="8">
        <v>36473</v>
      </c>
      <c r="B471" s="9">
        <v>0</v>
      </c>
      <c r="C471" s="10"/>
      <c r="D471" s="10"/>
      <c r="E471" s="10">
        <v>174275</v>
      </c>
      <c r="F471" s="9"/>
      <c r="G471" s="10"/>
      <c r="H471" s="10"/>
      <c r="I471" s="120"/>
      <c r="J471" s="120"/>
      <c r="K471" s="22">
        <v>472.5</v>
      </c>
      <c r="L471" s="6">
        <v>482</v>
      </c>
      <c r="M471" s="125">
        <f t="shared" si="8"/>
        <v>9.5</v>
      </c>
      <c r="N471" s="7"/>
      <c r="O471" s="132"/>
      <c r="P471" s="175"/>
      <c r="V471" s="207"/>
    </row>
    <row r="472" spans="1:22" ht="15" customHeight="1">
      <c r="A472" s="8">
        <v>36474</v>
      </c>
      <c r="B472" s="9">
        <v>0</v>
      </c>
      <c r="C472" s="10"/>
      <c r="D472" s="10"/>
      <c r="E472" s="10">
        <v>172975</v>
      </c>
      <c r="F472" s="9"/>
      <c r="G472" s="10"/>
      <c r="H472" s="10"/>
      <c r="I472" s="120"/>
      <c r="J472" s="120"/>
      <c r="K472" s="22">
        <v>476</v>
      </c>
      <c r="L472" s="6">
        <v>486</v>
      </c>
      <c r="M472" s="125">
        <f t="shared" si="8"/>
        <v>10</v>
      </c>
      <c r="N472" s="7"/>
      <c r="O472" s="132"/>
      <c r="P472" s="175"/>
      <c r="V472" s="207"/>
    </row>
    <row r="473" spans="1:22" ht="15" customHeight="1">
      <c r="A473" s="8">
        <v>36475</v>
      </c>
      <c r="B473" s="9">
        <v>0</v>
      </c>
      <c r="C473" s="10"/>
      <c r="D473" s="10"/>
      <c r="E473" s="10">
        <v>172875</v>
      </c>
      <c r="F473" s="9"/>
      <c r="G473" s="10"/>
      <c r="H473" s="10"/>
      <c r="I473" s="120"/>
      <c r="J473" s="120"/>
      <c r="K473" s="22">
        <v>474.5</v>
      </c>
      <c r="L473" s="6">
        <v>485</v>
      </c>
      <c r="M473" s="125">
        <f t="shared" si="8"/>
        <v>10.5</v>
      </c>
      <c r="N473" s="7"/>
      <c r="O473" s="132"/>
      <c r="P473" s="175"/>
      <c r="V473" s="207"/>
    </row>
    <row r="474" spans="1:22" ht="15" customHeight="1">
      <c r="A474" s="8">
        <v>36476</v>
      </c>
      <c r="B474" s="9">
        <v>0</v>
      </c>
      <c r="C474" s="10"/>
      <c r="D474" s="10"/>
      <c r="E474" s="10">
        <v>172700</v>
      </c>
      <c r="F474" s="9"/>
      <c r="G474" s="10"/>
      <c r="H474" s="10"/>
      <c r="I474" s="120"/>
      <c r="J474" s="120"/>
      <c r="K474" s="22">
        <v>471.5</v>
      </c>
      <c r="L474" s="6">
        <v>483</v>
      </c>
      <c r="M474" s="125">
        <f t="shared" si="8"/>
        <v>11.5</v>
      </c>
      <c r="N474" s="7"/>
      <c r="O474" s="132"/>
      <c r="P474" s="175"/>
      <c r="V474" s="207"/>
    </row>
    <row r="475" spans="1:22" ht="15" customHeight="1">
      <c r="A475" s="8">
        <v>36479</v>
      </c>
      <c r="B475" s="9">
        <v>0</v>
      </c>
      <c r="C475" s="10"/>
      <c r="D475" s="10"/>
      <c r="E475" s="10">
        <v>171450</v>
      </c>
      <c r="F475" s="9"/>
      <c r="G475" s="10"/>
      <c r="H475" s="10"/>
      <c r="I475" s="120"/>
      <c r="J475" s="120"/>
      <c r="K475" s="22">
        <v>463</v>
      </c>
      <c r="L475" s="6">
        <v>477</v>
      </c>
      <c r="M475" s="125">
        <f t="shared" si="8"/>
        <v>14</v>
      </c>
      <c r="N475" s="7"/>
      <c r="O475" s="132"/>
      <c r="P475" s="175"/>
      <c r="V475" s="207"/>
    </row>
    <row r="476" spans="1:22" ht="15" customHeight="1">
      <c r="A476" s="8">
        <v>36480</v>
      </c>
      <c r="B476" s="9">
        <v>0</v>
      </c>
      <c r="C476" s="10"/>
      <c r="D476" s="10"/>
      <c r="E476" s="10">
        <v>171050</v>
      </c>
      <c r="F476" s="9"/>
      <c r="G476" s="10"/>
      <c r="H476" s="10"/>
      <c r="I476" s="120"/>
      <c r="J476" s="120"/>
      <c r="K476" s="22">
        <v>473</v>
      </c>
      <c r="L476" s="6">
        <v>483</v>
      </c>
      <c r="M476" s="125">
        <f t="shared" si="8"/>
        <v>10</v>
      </c>
      <c r="N476" s="7"/>
      <c r="O476" s="132"/>
      <c r="P476" s="175"/>
      <c r="V476" s="207"/>
    </row>
    <row r="477" spans="1:22" ht="15" customHeight="1">
      <c r="A477" s="8">
        <v>36481</v>
      </c>
      <c r="B477" s="9">
        <v>0</v>
      </c>
      <c r="C477" s="10"/>
      <c r="D477" s="10"/>
      <c r="E477" s="10">
        <v>171025</v>
      </c>
      <c r="F477" s="9"/>
      <c r="G477" s="10"/>
      <c r="H477" s="10"/>
      <c r="I477" s="120"/>
      <c r="J477" s="120"/>
      <c r="K477" s="22">
        <v>471.5</v>
      </c>
      <c r="L477" s="6">
        <v>483.5</v>
      </c>
      <c r="M477" s="125">
        <f t="shared" si="8"/>
        <v>12</v>
      </c>
      <c r="N477" s="7"/>
      <c r="O477" s="132"/>
      <c r="P477" s="175"/>
      <c r="V477" s="207"/>
    </row>
    <row r="478" spans="1:22" ht="15" customHeight="1">
      <c r="A478" s="8">
        <v>36482</v>
      </c>
      <c r="B478" s="9">
        <v>0</v>
      </c>
      <c r="C478" s="10"/>
      <c r="D478" s="10"/>
      <c r="E478" s="10">
        <v>172425</v>
      </c>
      <c r="F478" s="9"/>
      <c r="G478" s="10"/>
      <c r="H478" s="10"/>
      <c r="I478" s="120"/>
      <c r="J478" s="120"/>
      <c r="K478" s="22">
        <v>472.5</v>
      </c>
      <c r="L478" s="6">
        <v>484</v>
      </c>
      <c r="M478" s="125">
        <f t="shared" si="8"/>
        <v>11.5</v>
      </c>
      <c r="N478" s="7"/>
      <c r="O478" s="132"/>
      <c r="P478" s="175"/>
      <c r="V478" s="207"/>
    </row>
    <row r="479" spans="1:22" ht="15" customHeight="1">
      <c r="A479" s="8">
        <v>36483</v>
      </c>
      <c r="B479" s="9">
        <v>0</v>
      </c>
      <c r="C479" s="10"/>
      <c r="D479" s="10"/>
      <c r="E479" s="10">
        <v>172275</v>
      </c>
      <c r="F479" s="9"/>
      <c r="G479" s="10"/>
      <c r="H479" s="10"/>
      <c r="I479" s="120"/>
      <c r="J479" s="120"/>
      <c r="K479" s="22">
        <v>473</v>
      </c>
      <c r="L479" s="6">
        <v>481</v>
      </c>
      <c r="M479" s="125">
        <f t="shared" si="8"/>
        <v>8</v>
      </c>
      <c r="N479" s="7"/>
      <c r="O479" s="132"/>
      <c r="P479" s="175"/>
      <c r="V479" s="207"/>
    </row>
    <row r="480" spans="1:22" ht="15" customHeight="1">
      <c r="A480" s="8">
        <v>36486</v>
      </c>
      <c r="B480" s="9">
        <v>0</v>
      </c>
      <c r="C480" s="10"/>
      <c r="D480" s="10"/>
      <c r="E480" s="10">
        <v>172250</v>
      </c>
      <c r="F480" s="9"/>
      <c r="G480" s="10"/>
      <c r="H480" s="10"/>
      <c r="I480" s="120"/>
      <c r="J480" s="120"/>
      <c r="K480" s="22">
        <v>467</v>
      </c>
      <c r="L480" s="6">
        <v>480</v>
      </c>
      <c r="M480" s="125">
        <f t="shared" si="8"/>
        <v>13</v>
      </c>
      <c r="N480" s="7"/>
      <c r="O480" s="132"/>
      <c r="P480" s="175"/>
      <c r="V480" s="207"/>
    </row>
    <row r="481" spans="1:22" ht="15" customHeight="1">
      <c r="A481" s="8">
        <v>36487</v>
      </c>
      <c r="B481" s="9">
        <v>0</v>
      </c>
      <c r="C481" s="10"/>
      <c r="D481" s="10"/>
      <c r="E481" s="10">
        <v>174125</v>
      </c>
      <c r="F481" s="9"/>
      <c r="G481" s="10"/>
      <c r="H481" s="10"/>
      <c r="I481" s="120"/>
      <c r="J481" s="120"/>
      <c r="K481" s="22">
        <v>473.5</v>
      </c>
      <c r="L481" s="6">
        <v>484.5</v>
      </c>
      <c r="M481" s="125">
        <f t="shared" si="8"/>
        <v>11</v>
      </c>
      <c r="N481" s="7"/>
      <c r="O481" s="132"/>
      <c r="P481" s="175"/>
      <c r="V481" s="207"/>
    </row>
    <row r="482" spans="1:22" ht="15" customHeight="1">
      <c r="A482" s="8">
        <v>36488</v>
      </c>
      <c r="B482" s="9">
        <v>0</v>
      </c>
      <c r="C482" s="10"/>
      <c r="D482" s="10"/>
      <c r="E482" s="10">
        <v>174650</v>
      </c>
      <c r="F482" s="9"/>
      <c r="G482" s="10"/>
      <c r="H482" s="10"/>
      <c r="I482" s="120"/>
      <c r="J482" s="120"/>
      <c r="K482" s="22">
        <v>480.5</v>
      </c>
      <c r="L482" s="6">
        <v>491.5</v>
      </c>
      <c r="M482" s="125">
        <f t="shared" si="8"/>
        <v>11</v>
      </c>
      <c r="N482" s="7"/>
      <c r="O482" s="132"/>
      <c r="P482" s="175"/>
      <c r="V482" s="207"/>
    </row>
    <row r="483" spans="1:22" ht="15" customHeight="1">
      <c r="A483" s="8">
        <v>36489</v>
      </c>
      <c r="B483" s="9">
        <v>0</v>
      </c>
      <c r="C483" s="10"/>
      <c r="D483" s="10"/>
      <c r="E483" s="10">
        <v>174625</v>
      </c>
      <c r="F483" s="9"/>
      <c r="G483" s="10"/>
      <c r="H483" s="10"/>
      <c r="I483" s="120"/>
      <c r="J483" s="120"/>
      <c r="K483" s="22">
        <v>484.5</v>
      </c>
      <c r="L483" s="6">
        <v>495.5</v>
      </c>
      <c r="M483" s="125">
        <f t="shared" si="8"/>
        <v>11</v>
      </c>
      <c r="N483" s="7"/>
      <c r="O483" s="132"/>
      <c r="P483" s="175"/>
      <c r="V483" s="207"/>
    </row>
    <row r="484" spans="1:22" ht="15" customHeight="1">
      <c r="A484" s="8">
        <v>36490</v>
      </c>
      <c r="B484" s="9">
        <v>0</v>
      </c>
      <c r="C484" s="10"/>
      <c r="D484" s="10"/>
      <c r="E484" s="10">
        <v>174925</v>
      </c>
      <c r="F484" s="9"/>
      <c r="G484" s="10"/>
      <c r="H484" s="10"/>
      <c r="I484" s="120"/>
      <c r="J484" s="120"/>
      <c r="K484" s="22">
        <v>487</v>
      </c>
      <c r="L484" s="6">
        <v>496.5</v>
      </c>
      <c r="M484" s="125">
        <f t="shared" si="8"/>
        <v>9.5</v>
      </c>
      <c r="N484" s="7"/>
      <c r="O484" s="132"/>
      <c r="P484" s="175"/>
      <c r="V484" s="207"/>
    </row>
    <row r="485" spans="1:22" ht="15" customHeight="1">
      <c r="A485" s="8">
        <v>36493</v>
      </c>
      <c r="B485" s="9">
        <v>0</v>
      </c>
      <c r="C485" s="10"/>
      <c r="D485" s="10"/>
      <c r="E485" s="10">
        <v>174400</v>
      </c>
      <c r="F485" s="9"/>
      <c r="G485" s="10"/>
      <c r="H485" s="10"/>
      <c r="I485" s="120"/>
      <c r="J485" s="120"/>
      <c r="K485" s="22">
        <v>486</v>
      </c>
      <c r="L485" s="6">
        <v>499</v>
      </c>
      <c r="M485" s="125">
        <f t="shared" si="8"/>
        <v>13</v>
      </c>
      <c r="N485" s="7"/>
      <c r="O485" s="132"/>
      <c r="P485" s="175"/>
      <c r="V485" s="207"/>
    </row>
    <row r="486" spans="1:22" ht="15" customHeight="1">
      <c r="A486" s="8">
        <v>36494</v>
      </c>
      <c r="B486" s="9">
        <v>0</v>
      </c>
      <c r="C486" s="10"/>
      <c r="D486" s="10"/>
      <c r="E486" s="10">
        <v>175075</v>
      </c>
      <c r="F486" s="9"/>
      <c r="G486" s="10"/>
      <c r="H486" s="10"/>
      <c r="I486" s="120"/>
      <c r="J486" s="120"/>
      <c r="K486" s="22">
        <v>488</v>
      </c>
      <c r="L486" s="6">
        <v>496.5</v>
      </c>
      <c r="M486" s="125">
        <f t="shared" si="8"/>
        <v>8.5</v>
      </c>
      <c r="N486" s="7"/>
      <c r="O486" s="132"/>
      <c r="P486" s="175"/>
      <c r="V486" s="207"/>
    </row>
    <row r="487" spans="1:22" ht="15" customHeight="1">
      <c r="A487" s="8">
        <v>36495</v>
      </c>
      <c r="B487" s="9">
        <v>0</v>
      </c>
      <c r="C487" s="10"/>
      <c r="D487" s="10"/>
      <c r="E487" s="10">
        <v>174850</v>
      </c>
      <c r="F487" s="9"/>
      <c r="G487" s="10"/>
      <c r="H487" s="10"/>
      <c r="I487" s="120"/>
      <c r="J487" s="120"/>
      <c r="K487" s="22">
        <v>492</v>
      </c>
      <c r="L487" s="6">
        <v>501.5</v>
      </c>
      <c r="M487" s="125">
        <f t="shared" si="8"/>
        <v>9.5</v>
      </c>
      <c r="N487" s="7"/>
      <c r="O487" s="132"/>
      <c r="P487" s="175"/>
      <c r="V487" s="207"/>
    </row>
    <row r="488" spans="1:22" ht="15" customHeight="1">
      <c r="A488" s="8">
        <v>36496</v>
      </c>
      <c r="B488" s="9">
        <v>0</v>
      </c>
      <c r="C488" s="10"/>
      <c r="D488" s="10"/>
      <c r="E488" s="10">
        <v>174700</v>
      </c>
      <c r="F488" s="9"/>
      <c r="G488" s="10"/>
      <c r="H488" s="10"/>
      <c r="I488" s="120"/>
      <c r="J488" s="120"/>
      <c r="K488" s="22">
        <v>484.5</v>
      </c>
      <c r="L488" s="6">
        <v>494.5</v>
      </c>
      <c r="M488" s="125">
        <f t="shared" si="8"/>
        <v>10</v>
      </c>
      <c r="N488" s="7"/>
      <c r="O488" s="132"/>
      <c r="P488" s="175"/>
      <c r="V488" s="207"/>
    </row>
    <row r="489" spans="1:22" ht="15" customHeight="1">
      <c r="A489" s="8">
        <v>36497</v>
      </c>
      <c r="B489" s="9">
        <v>0</v>
      </c>
      <c r="C489" s="10"/>
      <c r="D489" s="10"/>
      <c r="E489" s="10">
        <v>174500</v>
      </c>
      <c r="F489" s="9"/>
      <c r="G489" s="10"/>
      <c r="H489" s="10"/>
      <c r="I489" s="120"/>
      <c r="J489" s="120"/>
      <c r="K489" s="22">
        <v>480.5</v>
      </c>
      <c r="L489" s="6">
        <v>492.5</v>
      </c>
      <c r="M489" s="125">
        <f t="shared" si="8"/>
        <v>12</v>
      </c>
      <c r="N489" s="7"/>
      <c r="O489" s="132"/>
      <c r="P489" s="175"/>
      <c r="V489" s="207"/>
    </row>
    <row r="490" spans="1:22" ht="15" customHeight="1">
      <c r="A490" s="8">
        <v>36500</v>
      </c>
      <c r="B490" s="9">
        <v>0</v>
      </c>
      <c r="C490" s="10"/>
      <c r="D490" s="10"/>
      <c r="E490" s="10">
        <v>174325</v>
      </c>
      <c r="F490" s="9"/>
      <c r="G490" s="10"/>
      <c r="H490" s="10"/>
      <c r="I490" s="120"/>
      <c r="J490" s="120"/>
      <c r="K490" s="22">
        <v>487.5</v>
      </c>
      <c r="L490" s="6">
        <v>500.5</v>
      </c>
      <c r="M490" s="125">
        <f t="shared" si="8"/>
        <v>13</v>
      </c>
      <c r="N490" s="7"/>
      <c r="O490" s="132"/>
      <c r="P490" s="175"/>
      <c r="V490" s="207"/>
    </row>
    <row r="491" spans="1:22" ht="15" customHeight="1">
      <c r="A491" s="8">
        <v>36501</v>
      </c>
      <c r="B491" s="9">
        <v>0</v>
      </c>
      <c r="C491" s="10"/>
      <c r="D491" s="10"/>
      <c r="E491" s="10">
        <v>174150</v>
      </c>
      <c r="F491" s="9"/>
      <c r="G491" s="10"/>
      <c r="H491" s="10"/>
      <c r="I491" s="120"/>
      <c r="J491" s="120"/>
      <c r="K491" s="22">
        <v>480</v>
      </c>
      <c r="L491" s="6">
        <v>495</v>
      </c>
      <c r="M491" s="125">
        <f t="shared" si="8"/>
        <v>15</v>
      </c>
      <c r="N491" s="7"/>
      <c r="O491" s="132"/>
      <c r="P491" s="175"/>
      <c r="V491" s="207"/>
    </row>
    <row r="492" spans="1:22" ht="15" customHeight="1">
      <c r="A492" s="8">
        <v>36502</v>
      </c>
      <c r="B492" s="9">
        <v>0</v>
      </c>
      <c r="C492" s="10"/>
      <c r="D492" s="10"/>
      <c r="E492" s="10">
        <v>177550</v>
      </c>
      <c r="F492" s="9"/>
      <c r="G492" s="10"/>
      <c r="H492" s="10"/>
      <c r="I492" s="120"/>
      <c r="J492" s="120"/>
      <c r="K492" s="22">
        <v>475.5</v>
      </c>
      <c r="L492" s="6">
        <v>492</v>
      </c>
      <c r="M492" s="125">
        <f t="shared" si="8"/>
        <v>16.5</v>
      </c>
      <c r="N492" s="7"/>
      <c r="O492" s="132"/>
      <c r="P492" s="175"/>
      <c r="V492" s="207"/>
    </row>
    <row r="493" spans="1:22" ht="15" customHeight="1">
      <c r="A493" s="8">
        <v>36503</v>
      </c>
      <c r="B493" s="9">
        <v>0</v>
      </c>
      <c r="C493" s="10"/>
      <c r="D493" s="10"/>
      <c r="E493" s="10">
        <v>177550</v>
      </c>
      <c r="F493" s="9"/>
      <c r="G493" s="10"/>
      <c r="H493" s="10"/>
      <c r="I493" s="120"/>
      <c r="J493" s="120"/>
      <c r="K493" s="22">
        <v>478</v>
      </c>
      <c r="L493" s="6">
        <v>491</v>
      </c>
      <c r="M493" s="125">
        <f t="shared" si="8"/>
        <v>13</v>
      </c>
      <c r="N493" s="7"/>
      <c r="O493" s="132"/>
      <c r="P493" s="175"/>
      <c r="V493" s="207"/>
    </row>
    <row r="494" spans="1:22" ht="15" customHeight="1">
      <c r="A494" s="8">
        <v>36504</v>
      </c>
      <c r="B494" s="9">
        <v>0</v>
      </c>
      <c r="C494" s="10"/>
      <c r="D494" s="10"/>
      <c r="E494" s="10">
        <v>177525</v>
      </c>
      <c r="F494" s="9"/>
      <c r="G494" s="10"/>
      <c r="H494" s="10"/>
      <c r="I494" s="120"/>
      <c r="J494" s="120"/>
      <c r="K494" s="22">
        <v>476</v>
      </c>
      <c r="L494" s="6">
        <v>491</v>
      </c>
      <c r="M494" s="125">
        <f t="shared" si="8"/>
        <v>15</v>
      </c>
      <c r="N494" s="7"/>
      <c r="O494" s="132"/>
      <c r="P494" s="175"/>
      <c r="V494" s="207"/>
    </row>
    <row r="495" spans="1:22" ht="15" customHeight="1">
      <c r="A495" s="8">
        <v>36507</v>
      </c>
      <c r="B495" s="9">
        <v>0</v>
      </c>
      <c r="C495" s="10"/>
      <c r="D495" s="10"/>
      <c r="E495" s="10">
        <v>177400</v>
      </c>
      <c r="F495" s="9"/>
      <c r="G495" s="10"/>
      <c r="H495" s="10"/>
      <c r="I495" s="120"/>
      <c r="J495" s="120"/>
      <c r="K495" s="22">
        <v>472</v>
      </c>
      <c r="L495" s="6">
        <v>488</v>
      </c>
      <c r="M495" s="125">
        <f t="shared" si="8"/>
        <v>16</v>
      </c>
      <c r="N495" s="7"/>
      <c r="O495" s="132"/>
      <c r="P495" s="175"/>
      <c r="V495" s="207"/>
    </row>
    <row r="496" spans="1:22" ht="15" customHeight="1">
      <c r="A496" s="8">
        <v>36508</v>
      </c>
      <c r="B496" s="9">
        <v>0</v>
      </c>
      <c r="C496" s="10"/>
      <c r="D496" s="10"/>
      <c r="E496" s="10">
        <v>177300</v>
      </c>
      <c r="F496" s="9"/>
      <c r="G496" s="10"/>
      <c r="H496" s="10"/>
      <c r="I496" s="120"/>
      <c r="J496" s="120"/>
      <c r="K496" s="22">
        <v>474.5</v>
      </c>
      <c r="L496" s="6">
        <v>491.5</v>
      </c>
      <c r="M496" s="125">
        <f t="shared" si="8"/>
        <v>17</v>
      </c>
      <c r="N496" s="7"/>
      <c r="O496" s="132"/>
      <c r="P496" s="175"/>
      <c r="V496" s="207"/>
    </row>
    <row r="497" spans="1:22" ht="15" customHeight="1">
      <c r="A497" s="8">
        <v>36509</v>
      </c>
      <c r="B497" s="9">
        <v>0</v>
      </c>
      <c r="C497" s="10"/>
      <c r="D497" s="10"/>
      <c r="E497" s="10">
        <v>177250</v>
      </c>
      <c r="F497" s="9"/>
      <c r="G497" s="10"/>
      <c r="H497" s="10"/>
      <c r="I497" s="120"/>
      <c r="J497" s="120"/>
      <c r="K497" s="22">
        <v>480</v>
      </c>
      <c r="L497" s="6">
        <v>494.5</v>
      </c>
      <c r="M497" s="125">
        <f t="shared" si="8"/>
        <v>14.5</v>
      </c>
      <c r="N497" s="7"/>
      <c r="O497" s="132"/>
      <c r="P497" s="175"/>
      <c r="V497" s="207"/>
    </row>
    <row r="498" spans="1:22" ht="15" customHeight="1">
      <c r="A498" s="8">
        <v>36510</v>
      </c>
      <c r="B498" s="9">
        <v>0</v>
      </c>
      <c r="C498" s="10"/>
      <c r="D498" s="10"/>
      <c r="E498" s="10">
        <v>177175</v>
      </c>
      <c r="F498" s="9"/>
      <c r="G498" s="10"/>
      <c r="H498" s="10"/>
      <c r="I498" s="120"/>
      <c r="J498" s="120"/>
      <c r="K498" s="22">
        <v>482</v>
      </c>
      <c r="L498" s="6">
        <v>497</v>
      </c>
      <c r="M498" s="125">
        <f t="shared" si="8"/>
        <v>15</v>
      </c>
      <c r="N498" s="7"/>
      <c r="O498" s="132"/>
      <c r="P498" s="175"/>
      <c r="V498" s="207"/>
    </row>
    <row r="499" spans="1:22" ht="15" customHeight="1">
      <c r="A499" s="8">
        <v>36511</v>
      </c>
      <c r="B499" s="9">
        <v>0</v>
      </c>
      <c r="C499" s="10"/>
      <c r="D499" s="10"/>
      <c r="E499" s="10">
        <v>178525</v>
      </c>
      <c r="F499" s="9"/>
      <c r="G499" s="10"/>
      <c r="H499" s="10"/>
      <c r="I499" s="120"/>
      <c r="J499" s="120"/>
      <c r="K499" s="22">
        <v>482</v>
      </c>
      <c r="L499" s="6">
        <v>498</v>
      </c>
      <c r="M499" s="125">
        <f t="shared" si="8"/>
        <v>16</v>
      </c>
      <c r="N499" s="7"/>
      <c r="O499" s="132"/>
      <c r="P499" s="175"/>
      <c r="V499" s="207"/>
    </row>
    <row r="500" spans="1:22" ht="15" customHeight="1">
      <c r="A500" s="8">
        <v>36514</v>
      </c>
      <c r="B500" s="9">
        <v>0</v>
      </c>
      <c r="C500" s="10"/>
      <c r="D500" s="10"/>
      <c r="E500" s="10">
        <v>178425</v>
      </c>
      <c r="F500" s="9"/>
      <c r="G500" s="10"/>
      <c r="H500" s="10"/>
      <c r="I500" s="120"/>
      <c r="J500" s="120"/>
      <c r="K500" s="22">
        <v>477</v>
      </c>
      <c r="L500" s="6">
        <v>494.5</v>
      </c>
      <c r="M500" s="125">
        <f t="shared" si="8"/>
        <v>17.5</v>
      </c>
      <c r="N500" s="7"/>
      <c r="O500" s="132"/>
      <c r="P500" s="175"/>
      <c r="V500" s="207"/>
    </row>
    <row r="501" spans="1:22" ht="15" customHeight="1">
      <c r="A501" s="8">
        <v>36515</v>
      </c>
      <c r="B501" s="9">
        <v>0</v>
      </c>
      <c r="C501" s="10"/>
      <c r="D501" s="10"/>
      <c r="E501" s="10">
        <v>178075</v>
      </c>
      <c r="F501" s="9"/>
      <c r="G501" s="10"/>
      <c r="H501" s="10"/>
      <c r="I501" s="120"/>
      <c r="J501" s="120"/>
      <c r="K501" s="22">
        <v>476</v>
      </c>
      <c r="L501" s="6">
        <v>493</v>
      </c>
      <c r="M501" s="125">
        <f t="shared" si="8"/>
        <v>17</v>
      </c>
      <c r="N501" s="7"/>
      <c r="O501" s="132"/>
      <c r="P501" s="175"/>
      <c r="V501" s="207"/>
    </row>
    <row r="502" spans="1:22" ht="15" customHeight="1">
      <c r="A502" s="8">
        <v>36516</v>
      </c>
      <c r="B502" s="9">
        <v>0</v>
      </c>
      <c r="C502" s="10"/>
      <c r="D502" s="10"/>
      <c r="E502" s="10">
        <v>177825</v>
      </c>
      <c r="F502" s="9"/>
      <c r="G502" s="10"/>
      <c r="H502" s="10"/>
      <c r="I502" s="120"/>
      <c r="J502" s="120"/>
      <c r="K502" s="22">
        <v>477.5</v>
      </c>
      <c r="L502" s="6">
        <v>496</v>
      </c>
      <c r="M502" s="125">
        <f t="shared" si="8"/>
        <v>18.5</v>
      </c>
      <c r="N502" s="7"/>
      <c r="O502" s="132"/>
      <c r="P502" s="175"/>
      <c r="V502" s="207"/>
    </row>
    <row r="503" spans="1:22" ht="15" customHeight="1">
      <c r="A503" s="8">
        <v>36517</v>
      </c>
      <c r="B503" s="9">
        <v>0</v>
      </c>
      <c r="C503" s="10"/>
      <c r="D503" s="10"/>
      <c r="E503" s="10">
        <v>177650</v>
      </c>
      <c r="F503" s="9"/>
      <c r="G503" s="10"/>
      <c r="H503" s="10"/>
      <c r="I503" s="120"/>
      <c r="J503" s="120"/>
      <c r="K503" s="22">
        <v>477</v>
      </c>
      <c r="L503" s="6">
        <v>495</v>
      </c>
      <c r="M503" s="125">
        <f>L503-K503</f>
        <v>18</v>
      </c>
      <c r="N503" s="7"/>
      <c r="O503" s="132"/>
      <c r="P503" s="175"/>
      <c r="V503" s="207"/>
    </row>
    <row r="504" spans="1:22" ht="15" customHeight="1">
      <c r="A504" s="8">
        <v>36518</v>
      </c>
      <c r="B504" s="9">
        <v>0</v>
      </c>
      <c r="C504" s="10"/>
      <c r="D504" s="10"/>
      <c r="E504" s="10">
        <v>177225</v>
      </c>
      <c r="F504" s="9"/>
      <c r="G504" s="10"/>
      <c r="H504" s="10"/>
      <c r="I504" s="120"/>
      <c r="J504" s="120"/>
      <c r="K504" s="22">
        <v>474</v>
      </c>
      <c r="L504" s="6">
        <v>493</v>
      </c>
      <c r="M504" s="125">
        <f t="shared" si="8"/>
        <v>19</v>
      </c>
      <c r="N504" s="7"/>
      <c r="O504" s="132"/>
      <c r="P504" s="175"/>
      <c r="V504" s="207"/>
    </row>
    <row r="505" spans="1:22" ht="15" customHeight="1">
      <c r="A505" s="8">
        <v>36523</v>
      </c>
      <c r="B505" s="9">
        <v>0</v>
      </c>
      <c r="C505" s="10"/>
      <c r="D505" s="10"/>
      <c r="E505" s="10">
        <v>177175</v>
      </c>
      <c r="F505" s="9"/>
      <c r="G505" s="10"/>
      <c r="H505" s="10"/>
      <c r="I505" s="120"/>
      <c r="J505" s="120"/>
      <c r="K505" s="22">
        <v>477</v>
      </c>
      <c r="L505" s="6">
        <v>495</v>
      </c>
      <c r="M505" s="125">
        <f t="shared" si="8"/>
        <v>18</v>
      </c>
      <c r="N505" s="7"/>
      <c r="O505" s="132"/>
      <c r="P505" s="175"/>
      <c r="V505" s="207"/>
    </row>
    <row r="506" spans="1:22" ht="15" customHeight="1">
      <c r="A506" s="8">
        <v>36524</v>
      </c>
      <c r="B506" s="9">
        <v>0</v>
      </c>
      <c r="C506" s="10"/>
      <c r="D506" s="10"/>
      <c r="E506" s="10">
        <v>176675</v>
      </c>
      <c r="F506" s="9"/>
      <c r="G506" s="10"/>
      <c r="H506" s="10"/>
      <c r="I506" s="120"/>
      <c r="J506" s="120"/>
      <c r="K506" s="22">
        <v>478</v>
      </c>
      <c r="L506" s="6">
        <v>495.5</v>
      </c>
      <c r="M506" s="125">
        <f t="shared" si="8"/>
        <v>17.5</v>
      </c>
      <c r="N506" s="7"/>
      <c r="O506" s="132"/>
      <c r="P506" s="175"/>
      <c r="V506" s="207"/>
    </row>
    <row r="507" spans="1:22" ht="15" customHeight="1">
      <c r="A507" s="8">
        <v>36529</v>
      </c>
      <c r="B507" s="9">
        <v>0</v>
      </c>
      <c r="C507" s="10"/>
      <c r="D507" s="10"/>
      <c r="E507" s="10">
        <v>176425</v>
      </c>
      <c r="F507" s="9"/>
      <c r="G507" s="10"/>
      <c r="H507" s="10"/>
      <c r="I507" s="120"/>
      <c r="J507" s="120"/>
      <c r="K507" s="22">
        <v>474.5</v>
      </c>
      <c r="L507" s="6">
        <v>492.5</v>
      </c>
      <c r="M507" s="125">
        <f t="shared" si="8"/>
        <v>18</v>
      </c>
      <c r="N507" s="7"/>
      <c r="O507" s="132"/>
      <c r="P507" s="175"/>
      <c r="V507" s="207"/>
    </row>
    <row r="508" spans="1:22" ht="15" customHeight="1">
      <c r="A508" s="8">
        <v>36530</v>
      </c>
      <c r="B508" s="9">
        <v>0</v>
      </c>
      <c r="C508" s="10"/>
      <c r="D508" s="10"/>
      <c r="E508" s="10">
        <v>175600</v>
      </c>
      <c r="F508" s="9"/>
      <c r="G508" s="10"/>
      <c r="H508" s="10"/>
      <c r="I508" s="120"/>
      <c r="J508" s="120"/>
      <c r="K508" s="22">
        <v>474</v>
      </c>
      <c r="L508" s="6">
        <v>493</v>
      </c>
      <c r="M508" s="125">
        <f t="shared" si="8"/>
        <v>19</v>
      </c>
      <c r="N508" s="7"/>
      <c r="O508" s="132"/>
      <c r="P508" s="175"/>
      <c r="V508" s="207"/>
    </row>
    <row r="509" spans="1:22" ht="15" customHeight="1">
      <c r="A509" s="8">
        <v>36531</v>
      </c>
      <c r="B509" s="9">
        <v>0</v>
      </c>
      <c r="C509" s="10"/>
      <c r="D509" s="10"/>
      <c r="E509" s="10">
        <v>175600</v>
      </c>
      <c r="F509" s="9"/>
      <c r="G509" s="10"/>
      <c r="H509" s="10"/>
      <c r="I509" s="120"/>
      <c r="J509" s="120"/>
      <c r="K509" s="22">
        <v>478</v>
      </c>
      <c r="L509" s="6">
        <v>492</v>
      </c>
      <c r="M509" s="125">
        <f t="shared" si="8"/>
        <v>14</v>
      </c>
      <c r="N509" s="7"/>
      <c r="O509" s="132"/>
      <c r="P509" s="175"/>
      <c r="V509" s="207"/>
    </row>
    <row r="510" spans="1:22" ht="15" customHeight="1">
      <c r="A510" s="8">
        <v>36532</v>
      </c>
      <c r="B510" s="9">
        <v>0</v>
      </c>
      <c r="C510" s="10"/>
      <c r="D510" s="10"/>
      <c r="E510" s="10">
        <v>175600</v>
      </c>
      <c r="F510" s="9"/>
      <c r="G510" s="10"/>
      <c r="H510" s="10"/>
      <c r="I510" s="120"/>
      <c r="J510" s="120"/>
      <c r="K510" s="22">
        <v>484</v>
      </c>
      <c r="L510" s="6">
        <v>499</v>
      </c>
      <c r="M510" s="125">
        <f t="shared" si="8"/>
        <v>15</v>
      </c>
      <c r="N510" s="7"/>
      <c r="O510" s="132"/>
      <c r="P510" s="175"/>
      <c r="V510" s="207"/>
    </row>
    <row r="511" spans="1:22" ht="15" customHeight="1">
      <c r="A511" s="8">
        <v>36535</v>
      </c>
      <c r="B511" s="9">
        <v>0</v>
      </c>
      <c r="C511" s="10"/>
      <c r="D511" s="10"/>
      <c r="E511" s="10">
        <v>175600</v>
      </c>
      <c r="F511" s="9"/>
      <c r="G511" s="10"/>
      <c r="H511" s="10"/>
      <c r="I511" s="120"/>
      <c r="J511" s="120"/>
      <c r="K511" s="22">
        <v>493</v>
      </c>
      <c r="L511" s="6">
        <v>507.5</v>
      </c>
      <c r="M511" s="125">
        <f t="shared" si="8"/>
        <v>14.5</v>
      </c>
      <c r="N511" s="7"/>
      <c r="O511" s="132"/>
      <c r="P511" s="175"/>
      <c r="V511" s="207"/>
    </row>
    <row r="512" spans="1:22" ht="15" customHeight="1">
      <c r="A512" s="8">
        <v>36536</v>
      </c>
      <c r="B512" s="9">
        <v>0</v>
      </c>
      <c r="C512" s="10"/>
      <c r="D512" s="10"/>
      <c r="E512" s="10">
        <v>178475</v>
      </c>
      <c r="F512" s="9"/>
      <c r="G512" s="10"/>
      <c r="H512" s="10"/>
      <c r="I512" s="120"/>
      <c r="J512" s="120"/>
      <c r="K512" s="22">
        <v>483.5</v>
      </c>
      <c r="L512" s="6">
        <v>498.5</v>
      </c>
      <c r="M512" s="125">
        <f t="shared" si="8"/>
        <v>15</v>
      </c>
      <c r="N512" s="7"/>
      <c r="O512" s="132"/>
      <c r="P512" s="175"/>
      <c r="V512" s="207"/>
    </row>
    <row r="513" spans="1:22" ht="15" customHeight="1">
      <c r="A513" s="8">
        <v>36537</v>
      </c>
      <c r="B513" s="9">
        <v>0</v>
      </c>
      <c r="C513" s="10"/>
      <c r="D513" s="10"/>
      <c r="E513" s="10">
        <v>179750</v>
      </c>
      <c r="F513" s="9"/>
      <c r="G513" s="10"/>
      <c r="H513" s="10"/>
      <c r="I513" s="120"/>
      <c r="J513" s="120"/>
      <c r="K513" s="22">
        <v>482</v>
      </c>
      <c r="L513" s="6">
        <v>496</v>
      </c>
      <c r="M513" s="125">
        <f t="shared" si="8"/>
        <v>14</v>
      </c>
      <c r="N513" s="7"/>
      <c r="O513" s="132"/>
      <c r="P513" s="175"/>
      <c r="V513" s="207"/>
    </row>
    <row r="514" spans="1:22" ht="15" customHeight="1">
      <c r="A514" s="8">
        <v>36538</v>
      </c>
      <c r="B514" s="9">
        <v>0</v>
      </c>
      <c r="C514" s="10"/>
      <c r="D514" s="10"/>
      <c r="E514" s="10">
        <v>186225</v>
      </c>
      <c r="F514" s="9"/>
      <c r="G514" s="10"/>
      <c r="H514" s="10"/>
      <c r="I514" s="120"/>
      <c r="J514" s="120"/>
      <c r="K514" s="22">
        <v>480</v>
      </c>
      <c r="L514" s="6">
        <v>496</v>
      </c>
      <c r="M514" s="125">
        <f t="shared" si="8"/>
        <v>16</v>
      </c>
      <c r="N514" s="7"/>
      <c r="O514" s="132"/>
      <c r="P514" s="175"/>
      <c r="V514" s="207"/>
    </row>
    <row r="515" spans="1:22" ht="15" customHeight="1">
      <c r="A515" s="8">
        <v>36539</v>
      </c>
      <c r="B515" s="9">
        <v>0</v>
      </c>
      <c r="C515" s="10"/>
      <c r="D515" s="10"/>
      <c r="E515" s="10">
        <v>187750</v>
      </c>
      <c r="F515" s="9"/>
      <c r="G515" s="10"/>
      <c r="H515" s="10"/>
      <c r="I515" s="120"/>
      <c r="J515" s="120"/>
      <c r="K515" s="22">
        <v>474</v>
      </c>
      <c r="L515" s="6">
        <v>490.5</v>
      </c>
      <c r="M515" s="125">
        <f t="shared" si="8"/>
        <v>16.5</v>
      </c>
      <c r="N515" s="7"/>
      <c r="O515" s="132"/>
      <c r="P515" s="175"/>
      <c r="V515" s="207"/>
    </row>
    <row r="516" spans="1:22" ht="15" customHeight="1">
      <c r="A516" s="8">
        <v>36542</v>
      </c>
      <c r="B516" s="9">
        <v>0</v>
      </c>
      <c r="C516" s="10"/>
      <c r="D516" s="10"/>
      <c r="E516" s="10">
        <v>187550</v>
      </c>
      <c r="F516" s="9"/>
      <c r="G516" s="10"/>
      <c r="H516" s="10"/>
      <c r="I516" s="120"/>
      <c r="J516" s="120"/>
      <c r="K516" s="22">
        <v>467</v>
      </c>
      <c r="L516" s="6">
        <v>484.5</v>
      </c>
      <c r="M516" s="125">
        <f t="shared" si="8"/>
        <v>17.5</v>
      </c>
      <c r="N516" s="7"/>
      <c r="O516" s="132"/>
      <c r="P516" s="175"/>
      <c r="V516" s="207"/>
    </row>
    <row r="517" spans="1:22" ht="15" customHeight="1">
      <c r="A517" s="8">
        <v>36543</v>
      </c>
      <c r="B517" s="9">
        <v>0</v>
      </c>
      <c r="C517" s="10"/>
      <c r="D517" s="10"/>
      <c r="E517" s="10">
        <v>186200</v>
      </c>
      <c r="F517" s="9"/>
      <c r="G517" s="10"/>
      <c r="H517" s="10"/>
      <c r="I517" s="120"/>
      <c r="J517" s="120"/>
      <c r="K517" s="22">
        <v>466</v>
      </c>
      <c r="L517" s="6">
        <v>482</v>
      </c>
      <c r="M517" s="125">
        <f t="shared" si="8"/>
        <v>16</v>
      </c>
      <c r="N517" s="7"/>
      <c r="O517" s="132"/>
      <c r="P517" s="175"/>
      <c r="V517" s="207"/>
    </row>
    <row r="518" spans="1:22" ht="15" customHeight="1">
      <c r="A518" s="8">
        <v>36544</v>
      </c>
      <c r="B518" s="9">
        <v>0</v>
      </c>
      <c r="C518" s="10"/>
      <c r="D518" s="10"/>
      <c r="E518" s="10">
        <v>185925</v>
      </c>
      <c r="F518" s="9"/>
      <c r="G518" s="10"/>
      <c r="H518" s="10"/>
      <c r="I518" s="120"/>
      <c r="J518" s="120"/>
      <c r="K518" s="22">
        <v>473</v>
      </c>
      <c r="L518" s="6">
        <v>488</v>
      </c>
      <c r="M518" s="125">
        <f t="shared" si="8"/>
        <v>15</v>
      </c>
      <c r="N518" s="7"/>
      <c r="O518" s="132"/>
      <c r="P518" s="175"/>
      <c r="V518" s="207"/>
    </row>
    <row r="519" spans="1:22" ht="15" customHeight="1">
      <c r="A519" s="8">
        <v>36545</v>
      </c>
      <c r="B519" s="9">
        <v>0</v>
      </c>
      <c r="C519" s="10"/>
      <c r="D519" s="10"/>
      <c r="E519" s="10">
        <v>185600</v>
      </c>
      <c r="F519" s="9"/>
      <c r="G519" s="10"/>
      <c r="H519" s="10"/>
      <c r="I519" s="120"/>
      <c r="J519" s="120"/>
      <c r="K519" s="22">
        <v>465</v>
      </c>
      <c r="L519" s="6">
        <v>483</v>
      </c>
      <c r="M519" s="125">
        <f t="shared" si="8"/>
        <v>18</v>
      </c>
      <c r="N519" s="7"/>
      <c r="O519" s="132"/>
      <c r="P519" s="175"/>
      <c r="V519" s="207"/>
    </row>
    <row r="520" spans="1:22" ht="15" customHeight="1">
      <c r="A520" s="8">
        <v>36546</v>
      </c>
      <c r="B520" s="9">
        <v>0</v>
      </c>
      <c r="C520" s="10"/>
      <c r="D520" s="10"/>
      <c r="E520" s="10">
        <v>186000</v>
      </c>
      <c r="F520" s="9"/>
      <c r="G520" s="10"/>
      <c r="H520" s="10"/>
      <c r="I520" s="120"/>
      <c r="J520" s="120"/>
      <c r="K520" s="22">
        <v>464</v>
      </c>
      <c r="L520" s="6">
        <v>480</v>
      </c>
      <c r="M520" s="125">
        <f t="shared" si="8"/>
        <v>16</v>
      </c>
      <c r="N520" s="7"/>
      <c r="O520" s="132"/>
      <c r="P520" s="175"/>
      <c r="V520" s="207"/>
    </row>
    <row r="521" spans="1:22" ht="15" customHeight="1">
      <c r="A521" s="8">
        <v>36549</v>
      </c>
      <c r="B521" s="9">
        <v>0</v>
      </c>
      <c r="C521" s="10"/>
      <c r="D521" s="10"/>
      <c r="E521" s="10">
        <v>185475</v>
      </c>
      <c r="F521" s="9"/>
      <c r="G521" s="10"/>
      <c r="H521" s="10"/>
      <c r="I521" s="120"/>
      <c r="J521" s="120"/>
      <c r="K521" s="22">
        <v>462</v>
      </c>
      <c r="L521" s="6">
        <v>478</v>
      </c>
      <c r="M521" s="125">
        <f t="shared" si="8"/>
        <v>16</v>
      </c>
      <c r="N521" s="7"/>
      <c r="O521" s="132"/>
      <c r="P521" s="175"/>
      <c r="V521" s="207"/>
    </row>
    <row r="522" spans="1:22" ht="15" customHeight="1">
      <c r="A522" s="8">
        <v>36550</v>
      </c>
      <c r="B522" s="9">
        <v>0</v>
      </c>
      <c r="C522" s="10"/>
      <c r="D522" s="10"/>
      <c r="E522" s="10">
        <v>187850</v>
      </c>
      <c r="F522" s="9"/>
      <c r="G522" s="10"/>
      <c r="H522" s="10"/>
      <c r="I522" s="120"/>
      <c r="J522" s="120"/>
      <c r="K522" s="22">
        <v>464.5</v>
      </c>
      <c r="L522" s="6">
        <v>480.5</v>
      </c>
      <c r="M522" s="125">
        <f t="shared" si="8"/>
        <v>16</v>
      </c>
      <c r="N522" s="7"/>
      <c r="O522" s="132"/>
      <c r="P522" s="175"/>
      <c r="V522" s="207"/>
    </row>
    <row r="523" spans="1:22" ht="15" customHeight="1">
      <c r="A523" s="8">
        <v>36551</v>
      </c>
      <c r="B523" s="9">
        <v>0</v>
      </c>
      <c r="C523" s="10"/>
      <c r="D523" s="10"/>
      <c r="E523" s="10">
        <v>187225</v>
      </c>
      <c r="F523" s="9"/>
      <c r="G523" s="10"/>
      <c r="H523" s="10"/>
      <c r="I523" s="120"/>
      <c r="J523" s="120"/>
      <c r="K523" s="22">
        <v>465</v>
      </c>
      <c r="L523" s="6">
        <v>482.5</v>
      </c>
      <c r="M523" s="125">
        <f t="shared" si="8"/>
        <v>17.5</v>
      </c>
      <c r="N523" s="7"/>
      <c r="O523" s="132"/>
      <c r="P523" s="175"/>
      <c r="V523" s="207"/>
    </row>
    <row r="524" spans="1:22" ht="15" customHeight="1">
      <c r="A524" s="8">
        <v>36552</v>
      </c>
      <c r="B524" s="9">
        <v>0</v>
      </c>
      <c r="C524" s="10"/>
      <c r="D524" s="10"/>
      <c r="E524" s="10">
        <v>187025</v>
      </c>
      <c r="F524" s="9"/>
      <c r="G524" s="10"/>
      <c r="H524" s="10"/>
      <c r="I524" s="120"/>
      <c r="J524" s="120"/>
      <c r="K524" s="22">
        <v>464</v>
      </c>
      <c r="L524" s="6">
        <v>480</v>
      </c>
      <c r="M524" s="125">
        <f t="shared" si="8"/>
        <v>16</v>
      </c>
      <c r="N524" s="7"/>
      <c r="O524" s="132"/>
      <c r="P524" s="175"/>
      <c r="V524" s="207"/>
    </row>
    <row r="525" spans="1:22" ht="15" customHeight="1">
      <c r="A525" s="8">
        <v>36553</v>
      </c>
      <c r="B525" s="9">
        <v>0</v>
      </c>
      <c r="C525" s="10"/>
      <c r="D525" s="10"/>
      <c r="E525" s="10">
        <v>186700</v>
      </c>
      <c r="F525" s="9"/>
      <c r="G525" s="10"/>
      <c r="H525" s="10"/>
      <c r="I525" s="120"/>
      <c r="J525" s="120"/>
      <c r="K525" s="22">
        <v>467</v>
      </c>
      <c r="L525" s="6">
        <v>482.5</v>
      </c>
      <c r="M525" s="125">
        <f t="shared" si="8"/>
        <v>15.5</v>
      </c>
      <c r="N525" s="7"/>
      <c r="O525" s="132"/>
      <c r="P525" s="175"/>
      <c r="V525" s="207"/>
    </row>
    <row r="526" spans="1:22" ht="15" customHeight="1">
      <c r="A526" s="8">
        <v>36556</v>
      </c>
      <c r="B526" s="9">
        <v>0</v>
      </c>
      <c r="C526" s="10"/>
      <c r="D526" s="10"/>
      <c r="E526" s="10">
        <v>187025</v>
      </c>
      <c r="F526" s="9"/>
      <c r="G526" s="10"/>
      <c r="H526" s="10"/>
      <c r="I526" s="120"/>
      <c r="J526" s="120"/>
      <c r="K526" s="22">
        <v>461</v>
      </c>
      <c r="L526" s="6">
        <v>477.5</v>
      </c>
      <c r="M526" s="125">
        <f t="shared" si="8"/>
        <v>16.5</v>
      </c>
      <c r="N526" s="7"/>
      <c r="O526" s="132"/>
      <c r="P526" s="175"/>
      <c r="V526" s="207"/>
    </row>
    <row r="527" spans="1:22" ht="15" customHeight="1">
      <c r="A527" s="8">
        <v>36557</v>
      </c>
      <c r="B527" s="9">
        <v>0</v>
      </c>
      <c r="C527" s="10"/>
      <c r="D527" s="10"/>
      <c r="E527" s="10">
        <v>185900</v>
      </c>
      <c r="F527" s="9"/>
      <c r="G527" s="10"/>
      <c r="H527" s="10"/>
      <c r="I527" s="120"/>
      <c r="J527" s="120"/>
      <c r="K527" s="22">
        <v>462.5</v>
      </c>
      <c r="L527" s="6">
        <v>480</v>
      </c>
      <c r="M527" s="125">
        <f t="shared" si="8"/>
        <v>17.5</v>
      </c>
      <c r="N527" s="7"/>
      <c r="O527" s="132"/>
      <c r="P527" s="175"/>
      <c r="V527" s="207"/>
    </row>
    <row r="528" spans="1:22" ht="15" customHeight="1">
      <c r="A528" s="8">
        <v>36558</v>
      </c>
      <c r="B528" s="9">
        <v>0</v>
      </c>
      <c r="C528" s="10"/>
      <c r="D528" s="10"/>
      <c r="E528" s="10">
        <v>185775</v>
      </c>
      <c r="F528" s="9"/>
      <c r="G528" s="10"/>
      <c r="H528" s="10"/>
      <c r="I528" s="120"/>
      <c r="J528" s="120"/>
      <c r="K528" s="22">
        <v>454</v>
      </c>
      <c r="L528" s="6">
        <v>473</v>
      </c>
      <c r="M528" s="125">
        <f t="shared" si="8"/>
        <v>19</v>
      </c>
      <c r="N528" s="7"/>
      <c r="O528" s="132"/>
      <c r="P528" s="175"/>
      <c r="V528" s="207"/>
    </row>
    <row r="529" spans="1:22" ht="15" customHeight="1">
      <c r="A529" s="8">
        <v>36559</v>
      </c>
      <c r="B529" s="9">
        <v>0</v>
      </c>
      <c r="C529" s="10"/>
      <c r="D529" s="10"/>
      <c r="E529" s="10">
        <v>189575</v>
      </c>
      <c r="F529" s="9"/>
      <c r="G529" s="10"/>
      <c r="H529" s="10"/>
      <c r="I529" s="120"/>
      <c r="J529" s="120"/>
      <c r="K529" s="22">
        <v>454</v>
      </c>
      <c r="L529" s="6">
        <v>472</v>
      </c>
      <c r="M529" s="125">
        <f t="shared" ref="M529:M592" si="9">L529-K529</f>
        <v>18</v>
      </c>
      <c r="N529" s="7"/>
      <c r="O529" s="132"/>
      <c r="P529" s="175"/>
      <c r="V529" s="207"/>
    </row>
    <row r="530" spans="1:22" ht="15" customHeight="1">
      <c r="A530" s="8">
        <v>36560</v>
      </c>
      <c r="B530" s="9">
        <v>0</v>
      </c>
      <c r="C530" s="10"/>
      <c r="D530" s="10"/>
      <c r="E530" s="10">
        <v>191825</v>
      </c>
      <c r="F530" s="9"/>
      <c r="G530" s="10"/>
      <c r="H530" s="10"/>
      <c r="I530" s="120"/>
      <c r="J530" s="120"/>
      <c r="K530" s="22">
        <v>451</v>
      </c>
      <c r="L530" s="6">
        <v>468.5</v>
      </c>
      <c r="M530" s="125">
        <f t="shared" si="9"/>
        <v>17.5</v>
      </c>
      <c r="N530" s="7"/>
      <c r="O530" s="132"/>
      <c r="P530" s="175"/>
      <c r="V530" s="207"/>
    </row>
    <row r="531" spans="1:22" ht="15" customHeight="1">
      <c r="A531" s="8">
        <v>36563</v>
      </c>
      <c r="B531" s="9">
        <v>0</v>
      </c>
      <c r="C531" s="10"/>
      <c r="D531" s="10"/>
      <c r="E531" s="10">
        <v>191675</v>
      </c>
      <c r="F531" s="9"/>
      <c r="G531" s="10"/>
      <c r="H531" s="10"/>
      <c r="I531" s="120"/>
      <c r="J531" s="120"/>
      <c r="K531" s="22">
        <v>452.5</v>
      </c>
      <c r="L531" s="6">
        <v>470.5</v>
      </c>
      <c r="M531" s="125">
        <f t="shared" si="9"/>
        <v>18</v>
      </c>
      <c r="N531" s="7"/>
      <c r="O531" s="132"/>
      <c r="P531" s="175"/>
      <c r="V531" s="207"/>
    </row>
    <row r="532" spans="1:22" ht="15" customHeight="1">
      <c r="A532" s="8">
        <v>36564</v>
      </c>
      <c r="B532" s="9">
        <v>0</v>
      </c>
      <c r="C532" s="10"/>
      <c r="D532" s="10"/>
      <c r="E532" s="10">
        <v>191500</v>
      </c>
      <c r="F532" s="9"/>
      <c r="G532" s="10"/>
      <c r="H532" s="10"/>
      <c r="I532" s="120"/>
      <c r="J532" s="120"/>
      <c r="K532" s="22">
        <v>453.5</v>
      </c>
      <c r="L532" s="6">
        <v>472.5</v>
      </c>
      <c r="M532" s="125">
        <f t="shared" si="9"/>
        <v>19</v>
      </c>
      <c r="N532" s="7"/>
      <c r="O532" s="132"/>
      <c r="P532" s="175"/>
      <c r="V532" s="207"/>
    </row>
    <row r="533" spans="1:22" ht="15" customHeight="1">
      <c r="A533" s="8">
        <v>36565</v>
      </c>
      <c r="B533" s="9">
        <v>0</v>
      </c>
      <c r="C533" s="10"/>
      <c r="D533" s="10"/>
      <c r="E533" s="10">
        <v>190950</v>
      </c>
      <c r="F533" s="9"/>
      <c r="G533" s="10"/>
      <c r="H533" s="10"/>
      <c r="I533" s="120"/>
      <c r="J533" s="120"/>
      <c r="K533" s="22">
        <v>452.5</v>
      </c>
      <c r="L533" s="6">
        <v>470.5</v>
      </c>
      <c r="M533" s="125">
        <f t="shared" si="9"/>
        <v>18</v>
      </c>
      <c r="N533" s="7"/>
      <c r="O533" s="132"/>
      <c r="P533" s="175"/>
      <c r="V533" s="207"/>
    </row>
    <row r="534" spans="1:22" ht="15" customHeight="1">
      <c r="A534" s="8">
        <v>36566</v>
      </c>
      <c r="B534" s="9">
        <v>0</v>
      </c>
      <c r="C534" s="10"/>
      <c r="D534" s="10"/>
      <c r="E534" s="10">
        <v>190800</v>
      </c>
      <c r="F534" s="9"/>
      <c r="G534" s="10"/>
      <c r="H534" s="10"/>
      <c r="I534" s="120"/>
      <c r="J534" s="120"/>
      <c r="K534" s="22">
        <v>458.5</v>
      </c>
      <c r="L534" s="6">
        <v>477</v>
      </c>
      <c r="M534" s="125">
        <f t="shared" si="9"/>
        <v>18.5</v>
      </c>
      <c r="N534" s="7"/>
      <c r="O534" s="132"/>
      <c r="P534" s="175"/>
      <c r="V534" s="207"/>
    </row>
    <row r="535" spans="1:22" ht="15" customHeight="1">
      <c r="A535" s="8">
        <v>36567</v>
      </c>
      <c r="B535" s="9">
        <v>0</v>
      </c>
      <c r="C535" s="10"/>
      <c r="D535" s="10"/>
      <c r="E535" s="10">
        <v>190650</v>
      </c>
      <c r="F535" s="9"/>
      <c r="G535" s="10"/>
      <c r="H535" s="10"/>
      <c r="I535" s="120"/>
      <c r="J535" s="120"/>
      <c r="K535" s="22">
        <v>455.5</v>
      </c>
      <c r="L535" s="6">
        <v>472</v>
      </c>
      <c r="M535" s="125">
        <f t="shared" si="9"/>
        <v>16.5</v>
      </c>
      <c r="N535" s="7"/>
      <c r="O535" s="132"/>
      <c r="P535" s="175"/>
      <c r="V535" s="207"/>
    </row>
    <row r="536" spans="1:22" ht="15" customHeight="1">
      <c r="A536" s="8">
        <v>36570</v>
      </c>
      <c r="B536" s="9">
        <v>0</v>
      </c>
      <c r="C536" s="10"/>
      <c r="D536" s="10"/>
      <c r="E536" s="10">
        <v>190175</v>
      </c>
      <c r="F536" s="9"/>
      <c r="G536" s="10"/>
      <c r="H536" s="10"/>
      <c r="I536" s="120"/>
      <c r="J536" s="120"/>
      <c r="K536" s="22">
        <v>457</v>
      </c>
      <c r="L536" s="6">
        <v>475.5</v>
      </c>
      <c r="M536" s="125">
        <f t="shared" si="9"/>
        <v>18.5</v>
      </c>
      <c r="N536" s="7"/>
      <c r="O536" s="132"/>
      <c r="P536" s="175"/>
      <c r="V536" s="207"/>
    </row>
    <row r="537" spans="1:22" ht="15" customHeight="1">
      <c r="A537" s="8">
        <v>36571</v>
      </c>
      <c r="B537" s="9">
        <v>0</v>
      </c>
      <c r="C537" s="10"/>
      <c r="D537" s="10"/>
      <c r="E537" s="10">
        <v>190025</v>
      </c>
      <c r="F537" s="9"/>
      <c r="G537" s="10"/>
      <c r="H537" s="10"/>
      <c r="I537" s="120"/>
      <c r="J537" s="120"/>
      <c r="K537" s="22">
        <v>447.5</v>
      </c>
      <c r="L537" s="6">
        <v>467</v>
      </c>
      <c r="M537" s="125">
        <f t="shared" si="9"/>
        <v>19.5</v>
      </c>
      <c r="N537" s="7"/>
      <c r="O537" s="132"/>
      <c r="P537" s="175"/>
      <c r="V537" s="207"/>
    </row>
    <row r="538" spans="1:22" ht="15" customHeight="1">
      <c r="A538" s="8">
        <v>36572</v>
      </c>
      <c r="B538" s="9">
        <v>0</v>
      </c>
      <c r="C538" s="10"/>
      <c r="D538" s="10"/>
      <c r="E538" s="10">
        <v>191375</v>
      </c>
      <c r="F538" s="9"/>
      <c r="G538" s="10"/>
      <c r="H538" s="10"/>
      <c r="I538" s="120"/>
      <c r="J538" s="120"/>
      <c r="K538" s="22">
        <v>447</v>
      </c>
      <c r="L538" s="6">
        <v>465</v>
      </c>
      <c r="M538" s="125">
        <f t="shared" si="9"/>
        <v>18</v>
      </c>
      <c r="N538" s="7"/>
      <c r="O538" s="132"/>
      <c r="P538" s="175"/>
      <c r="V538" s="207"/>
    </row>
    <row r="539" spans="1:22" ht="15" customHeight="1">
      <c r="A539" s="8">
        <v>36573</v>
      </c>
      <c r="B539" s="9">
        <v>0</v>
      </c>
      <c r="C539" s="10"/>
      <c r="D539" s="10"/>
      <c r="E539" s="10">
        <v>191275</v>
      </c>
      <c r="F539" s="9"/>
      <c r="G539" s="10"/>
      <c r="H539" s="10"/>
      <c r="I539" s="120"/>
      <c r="J539" s="120"/>
      <c r="K539" s="22">
        <v>453</v>
      </c>
      <c r="L539" s="6">
        <v>470</v>
      </c>
      <c r="M539" s="125">
        <f t="shared" si="9"/>
        <v>17</v>
      </c>
      <c r="N539" s="7"/>
      <c r="O539" s="132"/>
      <c r="P539" s="175"/>
      <c r="V539" s="207"/>
    </row>
    <row r="540" spans="1:22" ht="15" customHeight="1">
      <c r="A540" s="8">
        <v>36574</v>
      </c>
      <c r="B540" s="9">
        <v>0</v>
      </c>
      <c r="C540" s="10"/>
      <c r="D540" s="10"/>
      <c r="E540" s="10">
        <v>190975</v>
      </c>
      <c r="F540" s="9"/>
      <c r="G540" s="10"/>
      <c r="H540" s="10"/>
      <c r="I540" s="120"/>
      <c r="J540" s="120"/>
      <c r="K540" s="22">
        <v>451.5</v>
      </c>
      <c r="L540" s="6">
        <v>470</v>
      </c>
      <c r="M540" s="125">
        <f t="shared" si="9"/>
        <v>18.5</v>
      </c>
      <c r="N540" s="7"/>
      <c r="O540" s="132"/>
      <c r="P540" s="175"/>
      <c r="V540" s="207"/>
    </row>
    <row r="541" spans="1:22" ht="15" customHeight="1">
      <c r="A541" s="8">
        <v>36577</v>
      </c>
      <c r="B541" s="9">
        <v>0</v>
      </c>
      <c r="C541" s="10"/>
      <c r="D541" s="10"/>
      <c r="E541" s="10">
        <v>190600</v>
      </c>
      <c r="F541" s="9"/>
      <c r="G541" s="10"/>
      <c r="H541" s="10"/>
      <c r="I541" s="120"/>
      <c r="J541" s="120"/>
      <c r="K541" s="22">
        <v>448</v>
      </c>
      <c r="L541" s="6">
        <v>467.5</v>
      </c>
      <c r="M541" s="125">
        <f t="shared" si="9"/>
        <v>19.5</v>
      </c>
      <c r="N541" s="7"/>
      <c r="O541" s="132"/>
      <c r="P541" s="175"/>
      <c r="V541" s="207"/>
    </row>
    <row r="542" spans="1:22" ht="15" customHeight="1">
      <c r="A542" s="8">
        <v>36578</v>
      </c>
      <c r="B542" s="9">
        <v>0</v>
      </c>
      <c r="C542" s="10"/>
      <c r="D542" s="10"/>
      <c r="E542" s="10">
        <v>191650</v>
      </c>
      <c r="F542" s="9"/>
      <c r="G542" s="10"/>
      <c r="H542" s="10"/>
      <c r="I542" s="120"/>
      <c r="J542" s="120"/>
      <c r="K542" s="22">
        <v>447</v>
      </c>
      <c r="L542" s="6">
        <v>466.5</v>
      </c>
      <c r="M542" s="125">
        <f t="shared" si="9"/>
        <v>19.5</v>
      </c>
      <c r="N542" s="7"/>
      <c r="O542" s="132"/>
      <c r="P542" s="175"/>
      <c r="V542" s="207"/>
    </row>
    <row r="543" spans="1:22" ht="15" customHeight="1">
      <c r="A543" s="8">
        <v>36579</v>
      </c>
      <c r="B543" s="9">
        <v>0</v>
      </c>
      <c r="C543" s="10"/>
      <c r="D543" s="10"/>
      <c r="E543" s="10">
        <v>192050</v>
      </c>
      <c r="F543" s="9"/>
      <c r="G543" s="10"/>
      <c r="H543" s="10"/>
      <c r="I543" s="120"/>
      <c r="J543" s="120"/>
      <c r="K543" s="22">
        <v>449</v>
      </c>
      <c r="L543" s="6">
        <v>467</v>
      </c>
      <c r="M543" s="125">
        <f t="shared" si="9"/>
        <v>18</v>
      </c>
      <c r="N543" s="7"/>
      <c r="O543" s="132"/>
      <c r="P543" s="175"/>
      <c r="V543" s="207"/>
    </row>
    <row r="544" spans="1:22" ht="15" customHeight="1">
      <c r="A544" s="8">
        <v>36580</v>
      </c>
      <c r="B544" s="9">
        <v>0</v>
      </c>
      <c r="C544" s="10"/>
      <c r="D544" s="10"/>
      <c r="E544" s="10">
        <v>193025</v>
      </c>
      <c r="F544" s="9"/>
      <c r="G544" s="10"/>
      <c r="H544" s="10"/>
      <c r="I544" s="120"/>
      <c r="J544" s="120"/>
      <c r="K544" s="22">
        <v>456.5</v>
      </c>
      <c r="L544" s="6">
        <v>473</v>
      </c>
      <c r="M544" s="125">
        <f t="shared" si="9"/>
        <v>16.5</v>
      </c>
      <c r="N544" s="7"/>
      <c r="O544" s="132"/>
      <c r="P544" s="175"/>
      <c r="V544" s="207"/>
    </row>
    <row r="545" spans="1:22" ht="15" customHeight="1">
      <c r="A545" s="8">
        <v>36581</v>
      </c>
      <c r="B545" s="9">
        <v>0</v>
      </c>
      <c r="C545" s="10"/>
      <c r="D545" s="10"/>
      <c r="E545" s="10">
        <v>193000</v>
      </c>
      <c r="F545" s="9"/>
      <c r="G545" s="10"/>
      <c r="H545" s="10"/>
      <c r="I545" s="120"/>
      <c r="J545" s="120"/>
      <c r="K545" s="22">
        <v>453.5</v>
      </c>
      <c r="L545" s="6">
        <v>467</v>
      </c>
      <c r="M545" s="125">
        <f t="shared" si="9"/>
        <v>13.5</v>
      </c>
      <c r="N545" s="7"/>
      <c r="O545" s="132"/>
      <c r="P545" s="175"/>
      <c r="V545" s="207"/>
    </row>
    <row r="546" spans="1:22" ht="15" customHeight="1">
      <c r="A546" s="8">
        <v>36584</v>
      </c>
      <c r="B546" s="9">
        <v>0</v>
      </c>
      <c r="C546" s="10"/>
      <c r="D546" s="10"/>
      <c r="E546" s="10">
        <v>192775</v>
      </c>
      <c r="F546" s="9"/>
      <c r="G546" s="10"/>
      <c r="H546" s="10"/>
      <c r="I546" s="120"/>
      <c r="J546" s="120"/>
      <c r="K546" s="22">
        <v>449</v>
      </c>
      <c r="L546" s="6">
        <v>465.5</v>
      </c>
      <c r="M546" s="125">
        <f t="shared" si="9"/>
        <v>16.5</v>
      </c>
      <c r="N546" s="7"/>
      <c r="O546" s="132"/>
      <c r="P546" s="175"/>
      <c r="V546" s="207"/>
    </row>
    <row r="547" spans="1:22" ht="15" customHeight="1">
      <c r="A547" s="8">
        <v>36585</v>
      </c>
      <c r="B547" s="9">
        <v>0</v>
      </c>
      <c r="C547" s="10"/>
      <c r="D547" s="10"/>
      <c r="E547" s="10">
        <v>192275</v>
      </c>
      <c r="F547" s="9"/>
      <c r="G547" s="10"/>
      <c r="H547" s="10"/>
      <c r="I547" s="120"/>
      <c r="J547" s="120"/>
      <c r="K547" s="22">
        <v>447</v>
      </c>
      <c r="L547" s="6">
        <v>465</v>
      </c>
      <c r="M547" s="125">
        <f t="shared" si="9"/>
        <v>18</v>
      </c>
      <c r="N547" s="7"/>
      <c r="O547" s="132"/>
      <c r="P547" s="175"/>
      <c r="V547" s="207"/>
    </row>
    <row r="548" spans="1:22" ht="15" customHeight="1">
      <c r="A548" s="8">
        <v>36586</v>
      </c>
      <c r="B548" s="9">
        <v>0</v>
      </c>
      <c r="C548" s="10"/>
      <c r="D548" s="10"/>
      <c r="E548" s="10">
        <v>191925</v>
      </c>
      <c r="F548" s="9"/>
      <c r="G548" s="10"/>
      <c r="H548" s="10"/>
      <c r="I548" s="120"/>
      <c r="J548" s="120"/>
      <c r="K548" s="22">
        <v>456</v>
      </c>
      <c r="L548" s="6">
        <v>467</v>
      </c>
      <c r="M548" s="125">
        <f t="shared" si="9"/>
        <v>11</v>
      </c>
      <c r="N548" s="7"/>
      <c r="O548" s="132"/>
      <c r="P548" s="175"/>
      <c r="V548" s="207"/>
    </row>
    <row r="549" spans="1:22" ht="15" customHeight="1">
      <c r="A549" s="8">
        <v>36587</v>
      </c>
      <c r="B549" s="9">
        <v>0</v>
      </c>
      <c r="C549" s="10"/>
      <c r="D549" s="10"/>
      <c r="E549" s="10">
        <v>191975</v>
      </c>
      <c r="F549" s="9"/>
      <c r="G549" s="10"/>
      <c r="H549" s="10"/>
      <c r="I549" s="120"/>
      <c r="J549" s="120"/>
      <c r="K549" s="22">
        <v>452.5</v>
      </c>
      <c r="L549" s="6">
        <v>468</v>
      </c>
      <c r="M549" s="125">
        <f t="shared" si="9"/>
        <v>15.5</v>
      </c>
      <c r="N549" s="7"/>
      <c r="O549" s="132"/>
      <c r="P549" s="175"/>
      <c r="V549" s="207"/>
    </row>
    <row r="550" spans="1:22" ht="15" customHeight="1">
      <c r="A550" s="8">
        <v>36588</v>
      </c>
      <c r="B550" s="9">
        <v>0</v>
      </c>
      <c r="C550" s="10"/>
      <c r="D550" s="10"/>
      <c r="E550" s="10">
        <v>191975</v>
      </c>
      <c r="F550" s="9"/>
      <c r="G550" s="10"/>
      <c r="H550" s="10"/>
      <c r="I550" s="120"/>
      <c r="J550" s="120"/>
      <c r="K550" s="22">
        <v>447</v>
      </c>
      <c r="L550" s="6">
        <v>463.5</v>
      </c>
      <c r="M550" s="125">
        <f t="shared" si="9"/>
        <v>16.5</v>
      </c>
      <c r="N550" s="7"/>
      <c r="O550" s="132"/>
      <c r="P550" s="175"/>
      <c r="V550" s="207"/>
    </row>
    <row r="551" spans="1:22" ht="15" customHeight="1">
      <c r="A551" s="8">
        <v>36591</v>
      </c>
      <c r="B551" s="9">
        <v>0</v>
      </c>
      <c r="C551" s="10"/>
      <c r="D551" s="10"/>
      <c r="E551" s="10">
        <v>191675</v>
      </c>
      <c r="F551" s="9"/>
      <c r="G551" s="10"/>
      <c r="H551" s="10"/>
      <c r="I551" s="120"/>
      <c r="J551" s="120"/>
      <c r="K551" s="22">
        <v>444.5</v>
      </c>
      <c r="L551" s="6">
        <v>459</v>
      </c>
      <c r="M551" s="125">
        <f t="shared" si="9"/>
        <v>14.5</v>
      </c>
      <c r="N551" s="7"/>
      <c r="O551" s="132"/>
      <c r="P551" s="175"/>
      <c r="V551" s="207"/>
    </row>
    <row r="552" spans="1:22" ht="15" customHeight="1">
      <c r="A552" s="8">
        <v>36592</v>
      </c>
      <c r="B552" s="9">
        <v>0</v>
      </c>
      <c r="C552" s="10"/>
      <c r="D552" s="10"/>
      <c r="E552" s="10">
        <v>191550</v>
      </c>
      <c r="F552" s="9"/>
      <c r="G552" s="10"/>
      <c r="H552" s="10"/>
      <c r="I552" s="120"/>
      <c r="J552" s="120"/>
      <c r="K552" s="22">
        <v>450</v>
      </c>
      <c r="L552" s="6">
        <v>465</v>
      </c>
      <c r="M552" s="125">
        <f t="shared" si="9"/>
        <v>15</v>
      </c>
      <c r="N552" s="7"/>
      <c r="O552" s="132"/>
      <c r="P552" s="175"/>
      <c r="V552" s="207"/>
    </row>
    <row r="553" spans="1:22" ht="15" customHeight="1">
      <c r="A553" s="8">
        <v>36593</v>
      </c>
      <c r="B553" s="9">
        <v>0</v>
      </c>
      <c r="C553" s="10"/>
      <c r="D553" s="10"/>
      <c r="E553" s="10">
        <v>191525</v>
      </c>
      <c r="F553" s="9"/>
      <c r="G553" s="10"/>
      <c r="H553" s="10"/>
      <c r="I553" s="120"/>
      <c r="J553" s="120"/>
      <c r="K553" s="22">
        <v>442</v>
      </c>
      <c r="L553" s="6">
        <v>456</v>
      </c>
      <c r="M553" s="125">
        <f t="shared" si="9"/>
        <v>14</v>
      </c>
      <c r="N553" s="7"/>
      <c r="O553" s="132"/>
      <c r="P553" s="175"/>
      <c r="V553" s="207"/>
    </row>
    <row r="554" spans="1:22" ht="15" customHeight="1">
      <c r="A554" s="8">
        <v>36594</v>
      </c>
      <c r="B554" s="9">
        <v>0</v>
      </c>
      <c r="C554" s="10"/>
      <c r="D554" s="10"/>
      <c r="E554" s="10">
        <v>191025</v>
      </c>
      <c r="F554" s="9"/>
      <c r="G554" s="10"/>
      <c r="H554" s="10"/>
      <c r="I554" s="120"/>
      <c r="J554" s="120"/>
      <c r="K554" s="22">
        <v>443</v>
      </c>
      <c r="L554" s="6">
        <v>458</v>
      </c>
      <c r="M554" s="125">
        <f t="shared" si="9"/>
        <v>15</v>
      </c>
      <c r="N554" s="7"/>
      <c r="O554" s="132"/>
      <c r="P554" s="175"/>
      <c r="V554" s="207"/>
    </row>
    <row r="555" spans="1:22" ht="15" customHeight="1">
      <c r="A555" s="8">
        <v>36595</v>
      </c>
      <c r="B555" s="9">
        <v>0</v>
      </c>
      <c r="C555" s="10"/>
      <c r="D555" s="10"/>
      <c r="E555" s="10">
        <v>191250</v>
      </c>
      <c r="F555" s="9"/>
      <c r="G555" s="10"/>
      <c r="H555" s="10"/>
      <c r="I555" s="120"/>
      <c r="J555" s="120"/>
      <c r="K555" s="22">
        <v>445</v>
      </c>
      <c r="L555" s="6">
        <v>458</v>
      </c>
      <c r="M555" s="125">
        <f t="shared" si="9"/>
        <v>13</v>
      </c>
      <c r="N555" s="7"/>
      <c r="O555" s="132"/>
      <c r="P555" s="175"/>
      <c r="V555" s="207"/>
    </row>
    <row r="556" spans="1:22" ht="15" customHeight="1">
      <c r="A556" s="8">
        <v>36598</v>
      </c>
      <c r="B556" s="9">
        <v>0</v>
      </c>
      <c r="C556" s="10"/>
      <c r="D556" s="10"/>
      <c r="E556" s="10">
        <v>191225</v>
      </c>
      <c r="F556" s="9"/>
      <c r="G556" s="10"/>
      <c r="H556" s="10"/>
      <c r="I556" s="120"/>
      <c r="J556" s="120"/>
      <c r="K556" s="22">
        <v>439</v>
      </c>
      <c r="L556" s="6">
        <v>458</v>
      </c>
      <c r="M556" s="125">
        <f t="shared" si="9"/>
        <v>19</v>
      </c>
      <c r="N556" s="7"/>
      <c r="O556" s="132"/>
      <c r="P556" s="175"/>
      <c r="V556" s="207"/>
    </row>
    <row r="557" spans="1:22" ht="15" customHeight="1">
      <c r="A557" s="8">
        <v>36599</v>
      </c>
      <c r="B557" s="9">
        <v>0</v>
      </c>
      <c r="C557" s="10"/>
      <c r="D557" s="10"/>
      <c r="E557" s="10">
        <v>190950</v>
      </c>
      <c r="F557" s="9"/>
      <c r="G557" s="10"/>
      <c r="H557" s="10"/>
      <c r="I557" s="120"/>
      <c r="J557" s="120"/>
      <c r="K557" s="22">
        <v>440</v>
      </c>
      <c r="L557" s="6">
        <v>455</v>
      </c>
      <c r="M557" s="125">
        <f t="shared" si="9"/>
        <v>15</v>
      </c>
      <c r="N557" s="7"/>
      <c r="O557" s="132"/>
      <c r="P557" s="175"/>
      <c r="V557" s="207"/>
    </row>
    <row r="558" spans="1:22" ht="15" customHeight="1">
      <c r="A558" s="8">
        <v>36600</v>
      </c>
      <c r="B558" s="9">
        <v>0</v>
      </c>
      <c r="C558" s="10"/>
      <c r="D558" s="10"/>
      <c r="E558" s="10">
        <v>191975</v>
      </c>
      <c r="F558" s="9"/>
      <c r="G558" s="10"/>
      <c r="H558" s="10"/>
      <c r="I558" s="120"/>
      <c r="J558" s="120"/>
      <c r="K558" s="22">
        <v>439</v>
      </c>
      <c r="L558" s="6">
        <v>452.5</v>
      </c>
      <c r="M558" s="125">
        <f t="shared" si="9"/>
        <v>13.5</v>
      </c>
      <c r="N558" s="7"/>
      <c r="O558" s="132"/>
      <c r="P558" s="175"/>
      <c r="V558" s="207"/>
    </row>
    <row r="559" spans="1:22" ht="15" customHeight="1">
      <c r="A559" s="8">
        <v>36601</v>
      </c>
      <c r="B559" s="9">
        <v>0</v>
      </c>
      <c r="C559" s="10"/>
      <c r="D559" s="10"/>
      <c r="E559" s="10">
        <v>191975</v>
      </c>
      <c r="F559" s="9"/>
      <c r="G559" s="10"/>
      <c r="H559" s="10"/>
      <c r="I559" s="120"/>
      <c r="J559" s="120"/>
      <c r="K559" s="22">
        <v>441</v>
      </c>
      <c r="L559" s="6">
        <v>454</v>
      </c>
      <c r="M559" s="125">
        <f t="shared" si="9"/>
        <v>13</v>
      </c>
      <c r="N559" s="7"/>
      <c r="O559" s="132"/>
      <c r="P559" s="175"/>
      <c r="V559" s="207"/>
    </row>
    <row r="560" spans="1:22" ht="15" customHeight="1">
      <c r="A560" s="8">
        <v>36602</v>
      </c>
      <c r="B560" s="9">
        <v>0</v>
      </c>
      <c r="C560" s="10"/>
      <c r="D560" s="10"/>
      <c r="E560" s="10">
        <v>191975</v>
      </c>
      <c r="F560" s="9"/>
      <c r="G560" s="10"/>
      <c r="H560" s="10"/>
      <c r="I560" s="120"/>
      <c r="J560" s="120"/>
      <c r="K560" s="22">
        <v>439</v>
      </c>
      <c r="L560" s="6">
        <v>453.5</v>
      </c>
      <c r="M560" s="125">
        <f t="shared" si="9"/>
        <v>14.5</v>
      </c>
      <c r="N560" s="7"/>
      <c r="O560" s="132"/>
      <c r="P560" s="175"/>
      <c r="V560" s="207"/>
    </row>
    <row r="561" spans="1:22" ht="15" customHeight="1">
      <c r="A561" s="8">
        <v>36605</v>
      </c>
      <c r="B561" s="9">
        <v>0</v>
      </c>
      <c r="C561" s="10"/>
      <c r="D561" s="10"/>
      <c r="E561" s="10">
        <v>191950</v>
      </c>
      <c r="F561" s="9"/>
      <c r="G561" s="10"/>
      <c r="H561" s="10"/>
      <c r="I561" s="120"/>
      <c r="J561" s="120"/>
      <c r="K561" s="22">
        <v>445</v>
      </c>
      <c r="L561" s="6">
        <v>456.5</v>
      </c>
      <c r="M561" s="125">
        <f t="shared" si="9"/>
        <v>11.5</v>
      </c>
      <c r="N561" s="7"/>
      <c r="O561" s="132"/>
      <c r="P561" s="175"/>
      <c r="V561" s="207"/>
    </row>
    <row r="562" spans="1:22" ht="15" customHeight="1">
      <c r="A562" s="8">
        <v>36606</v>
      </c>
      <c r="B562" s="9">
        <v>0</v>
      </c>
      <c r="C562" s="10"/>
      <c r="D562" s="10"/>
      <c r="E562" s="10">
        <v>191725</v>
      </c>
      <c r="F562" s="9"/>
      <c r="G562" s="10"/>
      <c r="H562" s="10"/>
      <c r="I562" s="120"/>
      <c r="J562" s="120"/>
      <c r="K562" s="22">
        <v>442.5</v>
      </c>
      <c r="L562" s="6">
        <v>458</v>
      </c>
      <c r="M562" s="125">
        <f t="shared" si="9"/>
        <v>15.5</v>
      </c>
      <c r="N562" s="7"/>
      <c r="O562" s="132"/>
      <c r="P562" s="175"/>
      <c r="V562" s="207"/>
    </row>
    <row r="563" spans="1:22" ht="15" customHeight="1">
      <c r="A563" s="8">
        <v>36607</v>
      </c>
      <c r="B563" s="9">
        <v>0</v>
      </c>
      <c r="C563" s="10"/>
      <c r="D563" s="10"/>
      <c r="E563" s="10">
        <v>196750</v>
      </c>
      <c r="F563" s="9"/>
      <c r="G563" s="10"/>
      <c r="H563" s="10"/>
      <c r="I563" s="120"/>
      <c r="J563" s="120"/>
      <c r="K563" s="22">
        <v>438</v>
      </c>
      <c r="L563" s="6">
        <v>454</v>
      </c>
      <c r="M563" s="125">
        <f t="shared" si="9"/>
        <v>16</v>
      </c>
      <c r="N563" s="7"/>
      <c r="O563" s="132"/>
      <c r="P563" s="175"/>
      <c r="V563" s="207"/>
    </row>
    <row r="564" spans="1:22" ht="15" customHeight="1">
      <c r="A564" s="8">
        <v>36608</v>
      </c>
      <c r="B564" s="9">
        <v>0</v>
      </c>
      <c r="C564" s="10"/>
      <c r="D564" s="10"/>
      <c r="E564" s="10">
        <v>199225</v>
      </c>
      <c r="F564" s="9"/>
      <c r="G564" s="10"/>
      <c r="H564" s="10"/>
      <c r="I564" s="120"/>
      <c r="J564" s="120"/>
      <c r="K564" s="22">
        <v>438</v>
      </c>
      <c r="L564" s="6">
        <v>452.5</v>
      </c>
      <c r="M564" s="125">
        <f t="shared" si="9"/>
        <v>14.5</v>
      </c>
      <c r="N564" s="7"/>
      <c r="O564" s="132"/>
      <c r="P564" s="175"/>
      <c r="V564" s="207"/>
    </row>
    <row r="565" spans="1:22" ht="15" customHeight="1">
      <c r="A565" s="8">
        <v>36609</v>
      </c>
      <c r="B565" s="9">
        <v>0</v>
      </c>
      <c r="C565" s="10"/>
      <c r="D565" s="10"/>
      <c r="E565" s="10">
        <v>199025</v>
      </c>
      <c r="F565" s="9"/>
      <c r="G565" s="10"/>
      <c r="H565" s="10"/>
      <c r="I565" s="120"/>
      <c r="J565" s="120"/>
      <c r="K565" s="22">
        <v>437</v>
      </c>
      <c r="L565" s="6">
        <v>452.5</v>
      </c>
      <c r="M565" s="125">
        <f t="shared" si="9"/>
        <v>15.5</v>
      </c>
      <c r="N565" s="7"/>
      <c r="O565" s="132"/>
      <c r="P565" s="175"/>
      <c r="V565" s="207"/>
    </row>
    <row r="566" spans="1:22" ht="15" customHeight="1">
      <c r="A566" s="8">
        <v>36612</v>
      </c>
      <c r="B566" s="9">
        <v>0</v>
      </c>
      <c r="C566" s="10"/>
      <c r="D566" s="10"/>
      <c r="E566" s="10">
        <v>198400</v>
      </c>
      <c r="F566" s="9"/>
      <c r="G566" s="10"/>
      <c r="H566" s="10"/>
      <c r="I566" s="120"/>
      <c r="J566" s="120"/>
      <c r="K566" s="22">
        <v>436</v>
      </c>
      <c r="L566" s="6">
        <v>453</v>
      </c>
      <c r="M566" s="125">
        <f t="shared" si="9"/>
        <v>17</v>
      </c>
      <c r="N566" s="7"/>
      <c r="O566" s="132"/>
      <c r="P566" s="175"/>
      <c r="V566" s="207"/>
    </row>
    <row r="567" spans="1:22" ht="15" customHeight="1">
      <c r="A567" s="8">
        <v>36613</v>
      </c>
      <c r="B567" s="9">
        <v>0</v>
      </c>
      <c r="C567" s="10"/>
      <c r="D567" s="10"/>
      <c r="E567" s="10">
        <v>197825</v>
      </c>
      <c r="F567" s="9"/>
      <c r="G567" s="10"/>
      <c r="H567" s="10"/>
      <c r="I567" s="120"/>
      <c r="J567" s="120"/>
      <c r="K567" s="22">
        <v>433</v>
      </c>
      <c r="L567" s="6">
        <v>451.5</v>
      </c>
      <c r="M567" s="125">
        <f t="shared" si="9"/>
        <v>18.5</v>
      </c>
      <c r="N567" s="7"/>
      <c r="O567" s="132"/>
      <c r="P567" s="175"/>
      <c r="V567" s="207"/>
    </row>
    <row r="568" spans="1:22" ht="15" customHeight="1">
      <c r="A568" s="8">
        <v>36614</v>
      </c>
      <c r="B568" s="9">
        <v>0</v>
      </c>
      <c r="C568" s="10"/>
      <c r="D568" s="10"/>
      <c r="E568" s="10">
        <v>197900</v>
      </c>
      <c r="F568" s="9"/>
      <c r="G568" s="10"/>
      <c r="H568" s="10"/>
      <c r="I568" s="120"/>
      <c r="J568" s="120"/>
      <c r="K568" s="22">
        <v>433</v>
      </c>
      <c r="L568" s="6">
        <v>451</v>
      </c>
      <c r="M568" s="125">
        <f t="shared" si="9"/>
        <v>18</v>
      </c>
      <c r="N568" s="7"/>
      <c r="O568" s="132"/>
      <c r="P568" s="175"/>
      <c r="V568" s="207"/>
    </row>
    <row r="569" spans="1:22" ht="15" customHeight="1">
      <c r="A569" s="8">
        <v>36615</v>
      </c>
      <c r="B569" s="9">
        <v>0</v>
      </c>
      <c r="C569" s="10"/>
      <c r="D569" s="10"/>
      <c r="E569" s="10">
        <v>197675</v>
      </c>
      <c r="F569" s="9"/>
      <c r="G569" s="10"/>
      <c r="H569" s="10"/>
      <c r="I569" s="120"/>
      <c r="J569" s="120"/>
      <c r="K569" s="22">
        <v>434.5</v>
      </c>
      <c r="L569" s="6">
        <v>452</v>
      </c>
      <c r="M569" s="125">
        <f t="shared" si="9"/>
        <v>17.5</v>
      </c>
      <c r="N569" s="7"/>
      <c r="O569" s="132"/>
      <c r="P569" s="175"/>
      <c r="V569" s="207"/>
    </row>
    <row r="570" spans="1:22" ht="15" customHeight="1">
      <c r="A570" s="8">
        <v>36616</v>
      </c>
      <c r="B570" s="9">
        <v>0</v>
      </c>
      <c r="C570" s="10"/>
      <c r="D570" s="10"/>
      <c r="E570" s="10">
        <v>198450</v>
      </c>
      <c r="F570" s="9"/>
      <c r="G570" s="10"/>
      <c r="H570" s="10"/>
      <c r="I570" s="120"/>
      <c r="J570" s="120"/>
      <c r="K570" s="22">
        <v>435</v>
      </c>
      <c r="L570" s="6">
        <v>453</v>
      </c>
      <c r="M570" s="125">
        <f t="shared" si="9"/>
        <v>18</v>
      </c>
      <c r="N570" s="7"/>
      <c r="O570" s="132"/>
      <c r="P570" s="175"/>
      <c r="V570" s="207"/>
    </row>
    <row r="571" spans="1:22" ht="15" customHeight="1">
      <c r="A571" s="8">
        <v>36619</v>
      </c>
      <c r="B571" s="9">
        <v>0</v>
      </c>
      <c r="C571" s="10"/>
      <c r="D571" s="10"/>
      <c r="E571" s="10">
        <v>198400</v>
      </c>
      <c r="F571" s="9"/>
      <c r="G571" s="10"/>
      <c r="H571" s="10"/>
      <c r="I571" s="120"/>
      <c r="J571" s="120"/>
      <c r="K571" s="22">
        <v>431</v>
      </c>
      <c r="L571" s="6">
        <v>447</v>
      </c>
      <c r="M571" s="125">
        <f t="shared" si="9"/>
        <v>16</v>
      </c>
      <c r="N571" s="7"/>
      <c r="O571" s="132"/>
      <c r="P571" s="175"/>
      <c r="V571" s="207"/>
    </row>
    <row r="572" spans="1:22" ht="15" customHeight="1">
      <c r="A572" s="8">
        <v>36620</v>
      </c>
      <c r="B572" s="9">
        <v>0</v>
      </c>
      <c r="C572" s="10"/>
      <c r="D572" s="10"/>
      <c r="E572" s="10">
        <v>199300</v>
      </c>
      <c r="F572" s="9"/>
      <c r="G572" s="10"/>
      <c r="H572" s="10"/>
      <c r="I572" s="120"/>
      <c r="J572" s="120"/>
      <c r="K572" s="22">
        <v>431</v>
      </c>
      <c r="L572" s="6">
        <v>448</v>
      </c>
      <c r="M572" s="125">
        <f t="shared" si="9"/>
        <v>17</v>
      </c>
      <c r="N572" s="7"/>
      <c r="O572" s="132"/>
      <c r="P572" s="175"/>
      <c r="V572" s="207"/>
    </row>
    <row r="573" spans="1:22" ht="15" customHeight="1">
      <c r="A573" s="8">
        <v>36621</v>
      </c>
      <c r="B573" s="9">
        <v>0</v>
      </c>
      <c r="C573" s="10"/>
      <c r="D573" s="10"/>
      <c r="E573" s="10">
        <v>199050</v>
      </c>
      <c r="F573" s="9"/>
      <c r="G573" s="10"/>
      <c r="H573" s="10"/>
      <c r="I573" s="120"/>
      <c r="J573" s="120"/>
      <c r="K573" s="22">
        <v>428.5</v>
      </c>
      <c r="L573" s="6">
        <v>448</v>
      </c>
      <c r="M573" s="125">
        <f t="shared" si="9"/>
        <v>19.5</v>
      </c>
      <c r="N573" s="7"/>
      <c r="O573" s="132"/>
      <c r="P573" s="175"/>
      <c r="V573" s="207"/>
    </row>
    <row r="574" spans="1:22" ht="15" customHeight="1">
      <c r="A574" s="8">
        <v>36622</v>
      </c>
      <c r="B574" s="9">
        <v>0</v>
      </c>
      <c r="C574" s="10"/>
      <c r="D574" s="10"/>
      <c r="E574" s="10">
        <v>198900</v>
      </c>
      <c r="F574" s="9"/>
      <c r="G574" s="10"/>
      <c r="H574" s="10"/>
      <c r="I574" s="120"/>
      <c r="J574" s="120"/>
      <c r="K574" s="22">
        <v>425.5</v>
      </c>
      <c r="L574" s="6">
        <v>445</v>
      </c>
      <c r="M574" s="125">
        <f t="shared" si="9"/>
        <v>19.5</v>
      </c>
      <c r="N574" s="7"/>
      <c r="O574" s="132"/>
      <c r="P574" s="175"/>
      <c r="V574" s="207"/>
    </row>
    <row r="575" spans="1:22" ht="15" customHeight="1">
      <c r="A575" s="3">
        <v>36623</v>
      </c>
      <c r="B575" s="9">
        <v>0</v>
      </c>
      <c r="E575" s="5">
        <v>198825</v>
      </c>
      <c r="K575" s="22">
        <v>418.5</v>
      </c>
      <c r="L575" s="6">
        <v>437.5</v>
      </c>
      <c r="M575" s="125">
        <f t="shared" si="9"/>
        <v>19</v>
      </c>
      <c r="N575" s="7"/>
      <c r="O575" s="132"/>
      <c r="P575" s="175"/>
      <c r="V575" s="207"/>
    </row>
    <row r="576" spans="1:22" ht="15" customHeight="1">
      <c r="A576" s="3">
        <v>36626</v>
      </c>
      <c r="B576" s="9">
        <v>0</v>
      </c>
      <c r="E576" s="5">
        <v>200425</v>
      </c>
      <c r="K576" s="22">
        <v>422</v>
      </c>
      <c r="L576" s="6">
        <v>442.5</v>
      </c>
      <c r="M576" s="125">
        <f t="shared" si="9"/>
        <v>20.5</v>
      </c>
      <c r="N576" s="7"/>
      <c r="O576" s="132"/>
      <c r="P576" s="175"/>
      <c r="V576" s="207"/>
    </row>
    <row r="577" spans="1:22" ht="15" customHeight="1">
      <c r="A577" s="3">
        <v>36627</v>
      </c>
      <c r="B577" s="9">
        <v>0</v>
      </c>
      <c r="E577" s="5">
        <v>199850</v>
      </c>
      <c r="K577" s="22">
        <v>420.5</v>
      </c>
      <c r="L577" s="6">
        <v>443</v>
      </c>
      <c r="M577" s="125">
        <f t="shared" si="9"/>
        <v>22.5</v>
      </c>
      <c r="N577" s="7"/>
      <c r="O577" s="132"/>
      <c r="P577" s="175"/>
      <c r="V577" s="207"/>
    </row>
    <row r="578" spans="1:22" ht="15" customHeight="1">
      <c r="A578" s="3">
        <v>36628</v>
      </c>
      <c r="B578" s="9">
        <v>0</v>
      </c>
      <c r="E578" s="5">
        <v>202300</v>
      </c>
      <c r="K578" s="22">
        <v>422.5</v>
      </c>
      <c r="L578" s="6">
        <v>441.5</v>
      </c>
      <c r="M578" s="125">
        <f t="shared" si="9"/>
        <v>19</v>
      </c>
      <c r="N578" s="7"/>
      <c r="O578" s="132"/>
      <c r="P578" s="175"/>
      <c r="V578" s="207"/>
    </row>
    <row r="579" spans="1:22" ht="15" customHeight="1">
      <c r="A579" s="3">
        <v>36629</v>
      </c>
      <c r="B579" s="9">
        <v>0</v>
      </c>
      <c r="E579" s="5">
        <v>201900</v>
      </c>
      <c r="K579" s="22">
        <v>421</v>
      </c>
      <c r="L579" s="6">
        <v>440</v>
      </c>
      <c r="M579" s="125">
        <f t="shared" si="9"/>
        <v>19</v>
      </c>
      <c r="N579" s="7"/>
      <c r="O579" s="132"/>
      <c r="P579" s="175"/>
      <c r="V579" s="207"/>
    </row>
    <row r="580" spans="1:22" ht="15" customHeight="1">
      <c r="A580" s="3">
        <v>36630</v>
      </c>
      <c r="B580" s="9">
        <v>0</v>
      </c>
      <c r="E580" s="5">
        <v>201900</v>
      </c>
      <c r="K580" s="22">
        <v>420.5</v>
      </c>
      <c r="L580" s="6">
        <v>439</v>
      </c>
      <c r="M580" s="125">
        <f t="shared" si="9"/>
        <v>18.5</v>
      </c>
      <c r="N580" s="7"/>
      <c r="O580" s="132"/>
      <c r="P580" s="175"/>
      <c r="V580" s="207"/>
    </row>
    <row r="581" spans="1:22" ht="15" customHeight="1">
      <c r="A581" s="3">
        <v>36633</v>
      </c>
      <c r="B581" s="9">
        <v>0</v>
      </c>
      <c r="E581" s="5">
        <v>201875</v>
      </c>
      <c r="K581" s="22">
        <v>419</v>
      </c>
      <c r="L581" s="6">
        <v>437</v>
      </c>
      <c r="M581" s="125">
        <f t="shared" si="9"/>
        <v>18</v>
      </c>
      <c r="N581" s="7"/>
      <c r="O581" s="132"/>
      <c r="P581" s="175"/>
      <c r="V581" s="207"/>
    </row>
    <row r="582" spans="1:22" ht="15" customHeight="1">
      <c r="A582" s="3">
        <v>36634</v>
      </c>
      <c r="B582" s="9">
        <v>0</v>
      </c>
      <c r="E582" s="5">
        <v>201825</v>
      </c>
      <c r="K582" s="22">
        <v>421</v>
      </c>
      <c r="L582" s="6">
        <v>440</v>
      </c>
      <c r="M582" s="125">
        <f t="shared" si="9"/>
        <v>19</v>
      </c>
      <c r="N582" s="7"/>
      <c r="O582" s="132"/>
      <c r="P582" s="175"/>
      <c r="V582" s="207"/>
    </row>
    <row r="583" spans="1:22" ht="15" customHeight="1">
      <c r="A583" s="3">
        <v>36635</v>
      </c>
      <c r="B583" s="9">
        <v>0</v>
      </c>
      <c r="E583" s="5">
        <v>204225</v>
      </c>
      <c r="K583" s="22">
        <v>428</v>
      </c>
      <c r="L583" s="6">
        <v>443.5</v>
      </c>
      <c r="M583" s="125">
        <f t="shared" si="9"/>
        <v>15.5</v>
      </c>
      <c r="N583" s="7"/>
      <c r="O583" s="132"/>
      <c r="P583" s="175"/>
      <c r="V583" s="207"/>
    </row>
    <row r="584" spans="1:22" ht="15" customHeight="1">
      <c r="A584" s="3">
        <v>36636</v>
      </c>
      <c r="B584" s="9">
        <v>0</v>
      </c>
      <c r="E584" s="5">
        <v>204750</v>
      </c>
      <c r="K584" s="22">
        <v>429</v>
      </c>
      <c r="L584" s="6">
        <v>445.5</v>
      </c>
      <c r="M584" s="125">
        <f t="shared" si="9"/>
        <v>16.5</v>
      </c>
      <c r="N584" s="7"/>
      <c r="O584" s="132"/>
      <c r="P584" s="175"/>
      <c r="V584" s="207"/>
    </row>
    <row r="585" spans="1:22" ht="15" customHeight="1">
      <c r="A585" s="3">
        <v>36641</v>
      </c>
      <c r="B585" s="9">
        <v>0</v>
      </c>
      <c r="E585" s="5">
        <v>204725</v>
      </c>
      <c r="K585" s="22">
        <v>422.5</v>
      </c>
      <c r="L585" s="6">
        <v>442</v>
      </c>
      <c r="M585" s="125">
        <f t="shared" si="9"/>
        <v>19.5</v>
      </c>
      <c r="N585" s="7"/>
      <c r="O585" s="132"/>
      <c r="P585" s="175"/>
      <c r="V585" s="207"/>
    </row>
    <row r="586" spans="1:22" ht="15" customHeight="1">
      <c r="A586" s="3">
        <v>36642</v>
      </c>
      <c r="B586" s="9">
        <v>0</v>
      </c>
      <c r="E586" s="5">
        <v>205975</v>
      </c>
      <c r="K586" s="22">
        <v>415.5</v>
      </c>
      <c r="L586" s="6">
        <v>433</v>
      </c>
      <c r="M586" s="125">
        <f t="shared" si="9"/>
        <v>17.5</v>
      </c>
      <c r="N586" s="7"/>
      <c r="O586" s="132"/>
      <c r="P586" s="175"/>
      <c r="V586" s="207"/>
    </row>
    <row r="587" spans="1:22" ht="15" customHeight="1">
      <c r="A587" s="3">
        <v>36643</v>
      </c>
      <c r="B587" s="9">
        <v>0</v>
      </c>
      <c r="E587" s="5">
        <v>207125</v>
      </c>
      <c r="K587" s="22">
        <v>399</v>
      </c>
      <c r="L587" s="6">
        <v>419</v>
      </c>
      <c r="M587" s="125">
        <f t="shared" si="9"/>
        <v>20</v>
      </c>
      <c r="N587" s="7"/>
      <c r="O587" s="132"/>
      <c r="P587" s="175"/>
      <c r="V587" s="207"/>
    </row>
    <row r="588" spans="1:22" ht="15" customHeight="1">
      <c r="A588" s="3">
        <v>36644</v>
      </c>
      <c r="B588" s="9">
        <v>0</v>
      </c>
      <c r="E588" s="5">
        <v>207000</v>
      </c>
      <c r="K588" s="22">
        <v>405.5</v>
      </c>
      <c r="L588" s="6">
        <v>424</v>
      </c>
      <c r="M588" s="125">
        <f t="shared" si="9"/>
        <v>18.5</v>
      </c>
      <c r="N588" s="7"/>
      <c r="O588" s="132"/>
      <c r="P588" s="175"/>
      <c r="V588" s="207"/>
    </row>
    <row r="589" spans="1:22" ht="15" customHeight="1">
      <c r="A589" s="3">
        <v>36648</v>
      </c>
      <c r="B589" s="9">
        <v>0</v>
      </c>
      <c r="E589" s="5">
        <v>206975</v>
      </c>
      <c r="K589" s="22">
        <v>411</v>
      </c>
      <c r="L589" s="6">
        <v>427</v>
      </c>
      <c r="M589" s="125">
        <f t="shared" si="9"/>
        <v>16</v>
      </c>
      <c r="N589" s="7"/>
      <c r="O589" s="132"/>
      <c r="P589" s="175"/>
      <c r="V589" s="207"/>
    </row>
    <row r="590" spans="1:22" ht="15" customHeight="1">
      <c r="A590" s="3">
        <v>36649</v>
      </c>
      <c r="B590" s="9">
        <v>0</v>
      </c>
      <c r="E590" s="5">
        <v>206950</v>
      </c>
      <c r="K590" s="22">
        <v>406</v>
      </c>
      <c r="L590" s="6">
        <v>424.5</v>
      </c>
      <c r="M590" s="125">
        <f t="shared" si="9"/>
        <v>18.5</v>
      </c>
      <c r="N590" s="7"/>
      <c r="O590" s="132"/>
      <c r="P590" s="175"/>
      <c r="V590" s="207"/>
    </row>
    <row r="591" spans="1:22" ht="15" customHeight="1">
      <c r="A591" s="3">
        <v>36650</v>
      </c>
      <c r="B591" s="9">
        <v>0</v>
      </c>
      <c r="E591" s="5">
        <v>206875</v>
      </c>
      <c r="K591" s="22">
        <v>404.5</v>
      </c>
      <c r="L591" s="6">
        <v>423.5</v>
      </c>
      <c r="M591" s="125">
        <f t="shared" si="9"/>
        <v>19</v>
      </c>
      <c r="N591" s="7"/>
      <c r="O591" s="132"/>
      <c r="P591" s="175"/>
      <c r="V591" s="207"/>
    </row>
    <row r="592" spans="1:22" ht="15" customHeight="1">
      <c r="A592" s="3">
        <v>36651</v>
      </c>
      <c r="B592" s="9">
        <v>0</v>
      </c>
      <c r="E592" s="5">
        <v>206875</v>
      </c>
      <c r="K592" s="22">
        <v>413</v>
      </c>
      <c r="L592" s="6">
        <v>427.5</v>
      </c>
      <c r="M592" s="125">
        <f t="shared" si="9"/>
        <v>14.5</v>
      </c>
      <c r="N592" s="7"/>
      <c r="O592" s="132"/>
      <c r="P592" s="175"/>
      <c r="V592" s="207"/>
    </row>
    <row r="593" spans="1:22" ht="15" customHeight="1">
      <c r="A593" s="3">
        <v>36654</v>
      </c>
      <c r="B593" s="9">
        <v>0</v>
      </c>
      <c r="E593" s="5">
        <v>206750</v>
      </c>
      <c r="K593" s="22">
        <v>410.5</v>
      </c>
      <c r="L593" s="6">
        <v>431.5</v>
      </c>
      <c r="M593" s="125">
        <f t="shared" ref="M593:M656" si="10">L593-K593</f>
        <v>21</v>
      </c>
      <c r="N593" s="7"/>
      <c r="O593" s="132"/>
      <c r="P593" s="175"/>
      <c r="V593" s="207"/>
    </row>
    <row r="594" spans="1:22" ht="15" customHeight="1">
      <c r="A594" s="3">
        <v>36655</v>
      </c>
      <c r="B594" s="9">
        <v>0</v>
      </c>
      <c r="E594" s="5">
        <v>206450</v>
      </c>
      <c r="K594" s="22">
        <v>409</v>
      </c>
      <c r="L594" s="6">
        <v>428</v>
      </c>
      <c r="M594" s="125">
        <f t="shared" si="10"/>
        <v>19</v>
      </c>
      <c r="N594" s="7"/>
      <c r="O594" s="132"/>
      <c r="P594" s="175"/>
      <c r="V594" s="207"/>
    </row>
    <row r="595" spans="1:22" ht="15" customHeight="1">
      <c r="A595" s="3">
        <v>36656</v>
      </c>
      <c r="B595" s="9">
        <v>0</v>
      </c>
      <c r="E595" s="5">
        <v>206375</v>
      </c>
      <c r="K595" s="22">
        <v>412</v>
      </c>
      <c r="L595" s="6">
        <v>432</v>
      </c>
      <c r="M595" s="125">
        <f t="shared" si="10"/>
        <v>20</v>
      </c>
      <c r="N595" s="7"/>
      <c r="O595" s="132"/>
      <c r="P595" s="175"/>
      <c r="V595" s="207"/>
    </row>
    <row r="596" spans="1:22" ht="15" customHeight="1">
      <c r="A596" s="3">
        <v>36657</v>
      </c>
      <c r="B596" s="9">
        <v>0</v>
      </c>
      <c r="E596" s="5">
        <v>207025</v>
      </c>
      <c r="K596" s="22">
        <v>409</v>
      </c>
      <c r="L596" s="6">
        <v>428</v>
      </c>
      <c r="M596" s="125">
        <f t="shared" si="10"/>
        <v>19</v>
      </c>
      <c r="N596" s="7"/>
      <c r="O596" s="132"/>
      <c r="P596" s="175"/>
      <c r="V596" s="207"/>
    </row>
    <row r="597" spans="1:22" ht="15" customHeight="1">
      <c r="A597" s="3">
        <v>36658</v>
      </c>
      <c r="B597" s="9">
        <v>0</v>
      </c>
      <c r="E597" s="5">
        <v>207350</v>
      </c>
      <c r="K597" s="22">
        <v>418</v>
      </c>
      <c r="L597" s="6">
        <v>435</v>
      </c>
      <c r="M597" s="125">
        <f t="shared" si="10"/>
        <v>17</v>
      </c>
      <c r="N597" s="7"/>
      <c r="O597" s="132"/>
      <c r="P597" s="175"/>
      <c r="V597" s="207"/>
    </row>
    <row r="598" spans="1:22" ht="15" customHeight="1">
      <c r="A598" s="3">
        <v>36661</v>
      </c>
      <c r="B598" s="9">
        <v>0</v>
      </c>
      <c r="E598" s="5">
        <v>208650</v>
      </c>
      <c r="K598" s="22">
        <v>408</v>
      </c>
      <c r="L598" s="6">
        <v>429.5</v>
      </c>
      <c r="M598" s="125">
        <f t="shared" si="10"/>
        <v>21.5</v>
      </c>
      <c r="N598" s="7"/>
      <c r="O598" s="132"/>
      <c r="P598" s="175"/>
      <c r="V598" s="207"/>
    </row>
    <row r="599" spans="1:22" ht="15" customHeight="1">
      <c r="A599" s="3">
        <v>36662</v>
      </c>
      <c r="B599" s="9">
        <v>0</v>
      </c>
      <c r="E599" s="5">
        <v>208350</v>
      </c>
      <c r="K599" s="22">
        <v>403.5</v>
      </c>
      <c r="L599" s="6">
        <v>427</v>
      </c>
      <c r="M599" s="125">
        <f t="shared" si="10"/>
        <v>23.5</v>
      </c>
      <c r="N599" s="7"/>
      <c r="O599" s="132"/>
      <c r="P599" s="175"/>
      <c r="V599" s="207"/>
    </row>
    <row r="600" spans="1:22" ht="15" customHeight="1">
      <c r="A600" s="3">
        <v>36663</v>
      </c>
      <c r="B600" s="9">
        <v>0</v>
      </c>
      <c r="E600" s="5">
        <v>208150</v>
      </c>
      <c r="K600" s="22">
        <v>407</v>
      </c>
      <c r="L600" s="6">
        <v>425.5</v>
      </c>
      <c r="M600" s="125">
        <f t="shared" si="10"/>
        <v>18.5</v>
      </c>
      <c r="N600" s="7"/>
      <c r="O600" s="132"/>
      <c r="P600" s="175"/>
      <c r="V600" s="207"/>
    </row>
    <row r="601" spans="1:22" ht="15" customHeight="1">
      <c r="A601" s="3">
        <v>36664</v>
      </c>
      <c r="B601" s="9">
        <v>0</v>
      </c>
      <c r="E601" s="5">
        <v>207950</v>
      </c>
      <c r="K601" s="22">
        <v>403</v>
      </c>
      <c r="L601" s="6">
        <v>423</v>
      </c>
      <c r="M601" s="125">
        <f t="shared" si="10"/>
        <v>20</v>
      </c>
      <c r="N601" s="7"/>
      <c r="O601" s="132"/>
      <c r="P601" s="175"/>
      <c r="V601" s="207"/>
    </row>
    <row r="602" spans="1:22" ht="15" customHeight="1">
      <c r="A602" s="3">
        <v>36665</v>
      </c>
      <c r="B602" s="9">
        <v>0</v>
      </c>
      <c r="E602" s="5">
        <v>207825</v>
      </c>
      <c r="K602" s="22">
        <v>403</v>
      </c>
      <c r="L602" s="6">
        <v>422</v>
      </c>
      <c r="M602" s="125">
        <f t="shared" si="10"/>
        <v>19</v>
      </c>
      <c r="N602" s="7"/>
      <c r="O602" s="132"/>
      <c r="P602" s="175"/>
      <c r="V602" s="207"/>
    </row>
    <row r="603" spans="1:22" ht="15" customHeight="1">
      <c r="A603" s="3">
        <v>36668</v>
      </c>
      <c r="B603" s="9">
        <v>0</v>
      </c>
      <c r="E603" s="5">
        <v>207125</v>
      </c>
      <c r="K603" s="22">
        <v>408</v>
      </c>
      <c r="L603" s="6">
        <v>425</v>
      </c>
      <c r="M603" s="125">
        <f t="shared" si="10"/>
        <v>17</v>
      </c>
      <c r="N603" s="7"/>
      <c r="O603" s="132"/>
      <c r="P603" s="175"/>
      <c r="V603" s="207"/>
    </row>
    <row r="604" spans="1:22" ht="15" customHeight="1">
      <c r="A604" s="3">
        <v>36669</v>
      </c>
      <c r="B604" s="9">
        <v>0</v>
      </c>
      <c r="E604" s="5">
        <v>207050</v>
      </c>
      <c r="K604" s="22">
        <v>419</v>
      </c>
      <c r="L604" s="6">
        <v>435</v>
      </c>
      <c r="M604" s="125">
        <f t="shared" si="10"/>
        <v>16</v>
      </c>
      <c r="N604" s="7"/>
      <c r="O604" s="132"/>
      <c r="P604" s="175"/>
      <c r="V604" s="207"/>
    </row>
    <row r="605" spans="1:22" ht="15" customHeight="1">
      <c r="A605" s="3">
        <v>36670</v>
      </c>
      <c r="B605" s="9">
        <v>0</v>
      </c>
      <c r="E605" s="5">
        <v>204975</v>
      </c>
      <c r="K605" s="22">
        <v>412</v>
      </c>
      <c r="L605" s="6">
        <v>433</v>
      </c>
      <c r="M605" s="125">
        <f t="shared" si="10"/>
        <v>21</v>
      </c>
      <c r="N605" s="7"/>
      <c r="O605" s="132"/>
      <c r="P605" s="175"/>
      <c r="V605" s="207"/>
    </row>
    <row r="606" spans="1:22" ht="15" customHeight="1">
      <c r="A606" s="3">
        <v>36671</v>
      </c>
      <c r="B606" s="9">
        <v>0</v>
      </c>
      <c r="E606" s="5">
        <v>203975</v>
      </c>
      <c r="K606" s="22">
        <v>418.5</v>
      </c>
      <c r="L606" s="6">
        <v>436</v>
      </c>
      <c r="M606" s="125">
        <f t="shared" si="10"/>
        <v>17.5</v>
      </c>
      <c r="N606" s="7"/>
      <c r="O606" s="132"/>
      <c r="P606" s="175"/>
      <c r="V606" s="207"/>
    </row>
    <row r="607" spans="1:22" ht="15" customHeight="1">
      <c r="A607" s="3">
        <v>36672</v>
      </c>
      <c r="B607" s="9">
        <v>0</v>
      </c>
      <c r="E607" s="5">
        <v>203300</v>
      </c>
      <c r="K607" s="22">
        <v>432</v>
      </c>
      <c r="L607" s="6">
        <v>446</v>
      </c>
      <c r="M607" s="125">
        <f t="shared" si="10"/>
        <v>14</v>
      </c>
      <c r="N607" s="7"/>
      <c r="O607" s="132"/>
      <c r="P607" s="175"/>
      <c r="V607" s="207"/>
    </row>
    <row r="608" spans="1:22" ht="15" customHeight="1">
      <c r="A608" s="3">
        <v>36676</v>
      </c>
      <c r="B608" s="9">
        <v>0</v>
      </c>
      <c r="E608" s="5">
        <v>202425</v>
      </c>
      <c r="K608" s="22">
        <v>431</v>
      </c>
      <c r="L608" s="6">
        <v>445</v>
      </c>
      <c r="M608" s="125">
        <f t="shared" si="10"/>
        <v>14</v>
      </c>
      <c r="N608" s="7"/>
      <c r="O608" s="132"/>
      <c r="P608" s="175"/>
      <c r="V608" s="207"/>
    </row>
    <row r="609" spans="1:22" ht="15" customHeight="1">
      <c r="A609" s="3">
        <v>36677</v>
      </c>
      <c r="B609" s="9">
        <v>0</v>
      </c>
      <c r="E609" s="5">
        <v>200075</v>
      </c>
      <c r="K609" s="22">
        <v>416.5</v>
      </c>
      <c r="L609" s="6">
        <v>435</v>
      </c>
      <c r="M609" s="125">
        <f t="shared" si="10"/>
        <v>18.5</v>
      </c>
      <c r="N609" s="7"/>
      <c r="O609" s="132"/>
      <c r="P609" s="175"/>
      <c r="V609" s="207"/>
    </row>
    <row r="610" spans="1:22" ht="15" customHeight="1">
      <c r="A610" s="3">
        <v>36678</v>
      </c>
      <c r="B610" s="9">
        <v>0</v>
      </c>
      <c r="E610" s="5">
        <v>199875</v>
      </c>
      <c r="K610" s="22">
        <v>410.5</v>
      </c>
      <c r="L610" s="6">
        <v>426</v>
      </c>
      <c r="M610" s="125">
        <f t="shared" si="10"/>
        <v>15.5</v>
      </c>
      <c r="N610" s="7"/>
      <c r="O610" s="132"/>
      <c r="P610" s="175"/>
      <c r="V610" s="207"/>
    </row>
    <row r="611" spans="1:22" ht="15" customHeight="1">
      <c r="A611" s="3">
        <v>36679</v>
      </c>
      <c r="B611" s="9">
        <v>0</v>
      </c>
      <c r="E611" s="5">
        <v>198875</v>
      </c>
      <c r="K611" s="22">
        <v>423</v>
      </c>
      <c r="L611" s="6">
        <v>436</v>
      </c>
      <c r="M611" s="125">
        <f t="shared" si="10"/>
        <v>13</v>
      </c>
      <c r="N611" s="7"/>
      <c r="O611" s="132"/>
      <c r="P611" s="175"/>
      <c r="V611" s="207"/>
    </row>
    <row r="612" spans="1:22" ht="15" customHeight="1">
      <c r="A612" s="3">
        <v>36682</v>
      </c>
      <c r="B612" s="9">
        <v>0</v>
      </c>
      <c r="E612" s="5">
        <v>197550</v>
      </c>
      <c r="K612" s="22">
        <v>410</v>
      </c>
      <c r="L612" s="6">
        <v>428</v>
      </c>
      <c r="M612" s="125">
        <f t="shared" si="10"/>
        <v>18</v>
      </c>
      <c r="N612" s="7"/>
      <c r="O612" s="132"/>
      <c r="P612" s="175"/>
      <c r="V612" s="207"/>
    </row>
    <row r="613" spans="1:22" ht="15" customHeight="1">
      <c r="A613" s="3">
        <v>36683</v>
      </c>
      <c r="B613" s="9">
        <v>0</v>
      </c>
      <c r="E613" s="5">
        <v>195075</v>
      </c>
      <c r="K613" s="22">
        <v>421.5</v>
      </c>
      <c r="L613" s="6">
        <v>437</v>
      </c>
      <c r="M613" s="125">
        <f t="shared" si="10"/>
        <v>15.5</v>
      </c>
      <c r="N613" s="7"/>
      <c r="O613" s="132"/>
      <c r="P613" s="175"/>
      <c r="V613" s="207"/>
    </row>
    <row r="614" spans="1:22" ht="15" customHeight="1">
      <c r="A614" s="3">
        <v>36684</v>
      </c>
      <c r="B614" s="9">
        <v>0</v>
      </c>
      <c r="E614" s="5">
        <v>194275</v>
      </c>
      <c r="K614" s="22">
        <v>417.5</v>
      </c>
      <c r="L614" s="6">
        <v>435</v>
      </c>
      <c r="M614" s="125">
        <f t="shared" si="10"/>
        <v>17.5</v>
      </c>
      <c r="N614" s="7"/>
      <c r="O614" s="132"/>
      <c r="P614" s="175"/>
      <c r="V614" s="207"/>
    </row>
    <row r="615" spans="1:22" ht="15" customHeight="1">
      <c r="A615" s="3">
        <v>36685</v>
      </c>
      <c r="B615" s="9">
        <v>0</v>
      </c>
      <c r="E615" s="5">
        <v>193100</v>
      </c>
      <c r="K615" s="22">
        <v>417</v>
      </c>
      <c r="L615" s="6">
        <v>434</v>
      </c>
      <c r="M615" s="125">
        <f t="shared" si="10"/>
        <v>17</v>
      </c>
      <c r="N615" s="7"/>
      <c r="O615" s="132"/>
      <c r="P615" s="175"/>
      <c r="V615" s="207"/>
    </row>
    <row r="616" spans="1:22" ht="15" customHeight="1">
      <c r="A616" s="3">
        <v>36686</v>
      </c>
      <c r="B616" s="9">
        <v>0</v>
      </c>
      <c r="E616" s="5">
        <v>192100</v>
      </c>
      <c r="K616" s="22">
        <v>421</v>
      </c>
      <c r="L616" s="6">
        <v>439</v>
      </c>
      <c r="M616" s="125">
        <f t="shared" si="10"/>
        <v>18</v>
      </c>
      <c r="N616" s="7"/>
      <c r="O616" s="132"/>
      <c r="P616" s="175"/>
      <c r="V616" s="207"/>
    </row>
    <row r="617" spans="1:22" ht="15" customHeight="1">
      <c r="A617" s="3">
        <v>36689</v>
      </c>
      <c r="B617" s="9">
        <v>0</v>
      </c>
      <c r="E617" s="5">
        <v>191525</v>
      </c>
      <c r="K617" s="22">
        <v>422.5</v>
      </c>
      <c r="L617" s="6">
        <v>440</v>
      </c>
      <c r="M617" s="125">
        <f t="shared" si="10"/>
        <v>17.5</v>
      </c>
      <c r="N617" s="7"/>
      <c r="O617" s="132"/>
      <c r="P617" s="175"/>
      <c r="V617" s="207"/>
    </row>
    <row r="618" spans="1:22" ht="15" customHeight="1">
      <c r="A618" s="3">
        <v>36690</v>
      </c>
      <c r="B618" s="9">
        <v>0</v>
      </c>
      <c r="E618" s="5">
        <v>191450</v>
      </c>
      <c r="K618" s="22">
        <v>422</v>
      </c>
      <c r="L618" s="6">
        <v>440.5</v>
      </c>
      <c r="M618" s="125">
        <f t="shared" si="10"/>
        <v>18.5</v>
      </c>
      <c r="N618" s="7"/>
      <c r="O618" s="132"/>
      <c r="P618" s="175"/>
      <c r="V618" s="207"/>
    </row>
    <row r="619" spans="1:22" ht="15" customHeight="1">
      <c r="A619" s="3">
        <v>36691</v>
      </c>
      <c r="B619" s="9">
        <v>0</v>
      </c>
      <c r="E619" s="5">
        <v>188950</v>
      </c>
      <c r="K619" s="22">
        <v>422</v>
      </c>
      <c r="L619" s="6">
        <v>441</v>
      </c>
      <c r="M619" s="125">
        <f t="shared" si="10"/>
        <v>19</v>
      </c>
      <c r="N619" s="7"/>
      <c r="O619" s="132"/>
      <c r="P619" s="175"/>
      <c r="V619" s="207"/>
    </row>
    <row r="620" spans="1:22" ht="15" customHeight="1">
      <c r="A620" s="3">
        <v>36692</v>
      </c>
      <c r="B620" s="9">
        <v>0</v>
      </c>
      <c r="E620" s="5">
        <v>187575</v>
      </c>
      <c r="K620" s="22">
        <v>417</v>
      </c>
      <c r="L620" s="6">
        <v>434</v>
      </c>
      <c r="M620" s="125">
        <f t="shared" si="10"/>
        <v>17</v>
      </c>
      <c r="N620" s="7"/>
      <c r="O620" s="132"/>
      <c r="P620" s="175"/>
      <c r="V620" s="207"/>
    </row>
    <row r="621" spans="1:22" ht="15" customHeight="1">
      <c r="A621" s="3">
        <v>36693</v>
      </c>
      <c r="B621" s="9">
        <v>0</v>
      </c>
      <c r="E621" s="5">
        <v>185575</v>
      </c>
      <c r="K621" s="22">
        <v>422</v>
      </c>
      <c r="L621" s="6">
        <v>439</v>
      </c>
      <c r="M621" s="125">
        <f t="shared" si="10"/>
        <v>17</v>
      </c>
      <c r="N621" s="7"/>
      <c r="O621" s="132"/>
      <c r="P621" s="175"/>
      <c r="V621" s="207"/>
    </row>
    <row r="622" spans="1:22" ht="15" customHeight="1">
      <c r="A622" s="3">
        <v>36696</v>
      </c>
      <c r="B622" s="9">
        <v>0</v>
      </c>
      <c r="E622" s="5">
        <v>183800</v>
      </c>
      <c r="K622" s="22">
        <v>417.5</v>
      </c>
      <c r="L622" s="6">
        <v>436</v>
      </c>
      <c r="M622" s="125">
        <f t="shared" si="10"/>
        <v>18.5</v>
      </c>
      <c r="N622" s="7"/>
      <c r="O622" s="132"/>
      <c r="P622" s="175"/>
      <c r="V622" s="207"/>
    </row>
    <row r="623" spans="1:22" ht="15" customHeight="1">
      <c r="A623" s="3">
        <v>36697</v>
      </c>
      <c r="B623" s="9">
        <v>0</v>
      </c>
      <c r="E623" s="5">
        <v>180900</v>
      </c>
      <c r="K623" s="22">
        <v>419</v>
      </c>
      <c r="L623" s="6">
        <v>437</v>
      </c>
      <c r="M623" s="125">
        <f t="shared" si="10"/>
        <v>18</v>
      </c>
      <c r="N623" s="7"/>
      <c r="O623" s="132"/>
      <c r="P623" s="175"/>
      <c r="V623" s="207"/>
    </row>
    <row r="624" spans="1:22" ht="15" customHeight="1">
      <c r="A624" s="3">
        <v>36698</v>
      </c>
      <c r="B624" s="9">
        <v>0</v>
      </c>
      <c r="E624" s="5">
        <v>181525</v>
      </c>
      <c r="K624" s="22">
        <v>418.5</v>
      </c>
      <c r="L624" s="6">
        <v>436</v>
      </c>
      <c r="M624" s="125">
        <f t="shared" si="10"/>
        <v>17.5</v>
      </c>
      <c r="N624" s="7"/>
      <c r="O624" s="132"/>
      <c r="P624" s="175"/>
      <c r="V624" s="207"/>
    </row>
    <row r="625" spans="1:22" ht="15" customHeight="1">
      <c r="A625" s="3">
        <v>36699</v>
      </c>
      <c r="B625" s="9">
        <v>0</v>
      </c>
      <c r="E625" s="5">
        <v>180075</v>
      </c>
      <c r="K625" s="22">
        <v>417</v>
      </c>
      <c r="L625" s="6">
        <v>434</v>
      </c>
      <c r="M625" s="125">
        <f t="shared" si="10"/>
        <v>17</v>
      </c>
      <c r="N625" s="7"/>
      <c r="O625" s="132"/>
      <c r="P625" s="175"/>
      <c r="V625" s="207"/>
    </row>
    <row r="626" spans="1:22" ht="15" customHeight="1">
      <c r="A626" s="3">
        <v>36700</v>
      </c>
      <c r="B626" s="9">
        <v>0</v>
      </c>
      <c r="E626" s="5">
        <v>180050</v>
      </c>
      <c r="K626" s="22">
        <v>416</v>
      </c>
      <c r="L626" s="6">
        <v>433</v>
      </c>
      <c r="M626" s="125">
        <f t="shared" si="10"/>
        <v>17</v>
      </c>
      <c r="N626" s="7"/>
      <c r="O626" s="132"/>
      <c r="P626" s="175"/>
      <c r="V626" s="207"/>
    </row>
    <row r="627" spans="1:22" ht="15" customHeight="1">
      <c r="A627" s="3">
        <v>36703</v>
      </c>
      <c r="B627" s="9">
        <v>0</v>
      </c>
      <c r="E627" s="5">
        <v>179950</v>
      </c>
      <c r="K627" s="22">
        <v>418</v>
      </c>
      <c r="L627" s="6">
        <v>436</v>
      </c>
      <c r="M627" s="125">
        <f t="shared" si="10"/>
        <v>18</v>
      </c>
      <c r="N627" s="7"/>
      <c r="O627" s="132"/>
      <c r="P627" s="175"/>
      <c r="V627" s="207"/>
    </row>
    <row r="628" spans="1:22" ht="15" customHeight="1">
      <c r="A628" s="3">
        <v>36704</v>
      </c>
      <c r="B628" s="9">
        <v>0</v>
      </c>
      <c r="E628" s="5">
        <v>179800</v>
      </c>
      <c r="K628" s="22">
        <v>419.5</v>
      </c>
      <c r="L628" s="6">
        <v>436</v>
      </c>
      <c r="M628" s="125">
        <f t="shared" si="10"/>
        <v>16.5</v>
      </c>
      <c r="N628" s="7"/>
      <c r="O628" s="132"/>
      <c r="P628" s="175"/>
      <c r="V628" s="207"/>
    </row>
    <row r="629" spans="1:22" ht="15" customHeight="1">
      <c r="A629" s="3">
        <v>36705</v>
      </c>
      <c r="B629" s="9">
        <v>0</v>
      </c>
      <c r="E629" s="5">
        <v>178875</v>
      </c>
      <c r="K629" s="22">
        <v>419</v>
      </c>
      <c r="L629" s="6">
        <v>435.5</v>
      </c>
      <c r="M629" s="125">
        <f t="shared" si="10"/>
        <v>16.5</v>
      </c>
      <c r="N629" s="7"/>
      <c r="O629" s="132"/>
      <c r="P629" s="175"/>
      <c r="V629" s="207"/>
    </row>
    <row r="630" spans="1:22" ht="15" customHeight="1">
      <c r="A630" s="3">
        <v>36706</v>
      </c>
      <c r="B630" s="9">
        <v>0</v>
      </c>
      <c r="E630" s="5">
        <v>178875</v>
      </c>
      <c r="K630" s="22">
        <v>420</v>
      </c>
      <c r="L630" s="6">
        <v>437</v>
      </c>
      <c r="M630" s="125">
        <f t="shared" si="10"/>
        <v>17</v>
      </c>
      <c r="N630" s="7"/>
      <c r="O630" s="132"/>
      <c r="P630" s="175"/>
      <c r="V630" s="207"/>
    </row>
    <row r="631" spans="1:22" ht="15" customHeight="1">
      <c r="A631" s="3">
        <v>36707</v>
      </c>
      <c r="B631" s="9">
        <v>0</v>
      </c>
      <c r="E631" s="5">
        <v>178750</v>
      </c>
      <c r="K631" s="22">
        <v>440.5</v>
      </c>
      <c r="L631" s="6">
        <v>450</v>
      </c>
      <c r="M631" s="125">
        <f t="shared" si="10"/>
        <v>9.5</v>
      </c>
      <c r="N631" s="7"/>
      <c r="O631" s="132"/>
      <c r="P631" s="175"/>
      <c r="V631" s="207"/>
    </row>
    <row r="632" spans="1:22" ht="15" customHeight="1">
      <c r="A632" s="3">
        <v>36710</v>
      </c>
      <c r="B632" s="9">
        <v>0</v>
      </c>
      <c r="E632" s="5">
        <v>178750</v>
      </c>
      <c r="K632" s="22">
        <v>440</v>
      </c>
      <c r="L632" s="6">
        <v>454</v>
      </c>
      <c r="M632" s="125">
        <f t="shared" si="10"/>
        <v>14</v>
      </c>
      <c r="N632" s="7"/>
      <c r="O632" s="132"/>
      <c r="P632" s="175"/>
      <c r="V632" s="207"/>
    </row>
    <row r="633" spans="1:22" ht="15" customHeight="1">
      <c r="A633" s="3">
        <v>36711</v>
      </c>
      <c r="B633" s="9">
        <v>0</v>
      </c>
      <c r="E633" s="5">
        <v>178550</v>
      </c>
      <c r="K633" s="22">
        <v>436.5</v>
      </c>
      <c r="L633" s="6">
        <v>448.5</v>
      </c>
      <c r="M633" s="125">
        <f t="shared" si="10"/>
        <v>12</v>
      </c>
      <c r="N633" s="7"/>
      <c r="O633" s="132"/>
      <c r="P633" s="175"/>
      <c r="V633" s="207"/>
    </row>
    <row r="634" spans="1:22" ht="15" customHeight="1">
      <c r="A634" s="3">
        <v>36712</v>
      </c>
      <c r="B634" s="9">
        <v>0</v>
      </c>
      <c r="E634" s="5">
        <v>178225</v>
      </c>
      <c r="K634" s="22">
        <v>435</v>
      </c>
      <c r="L634" s="6">
        <v>447</v>
      </c>
      <c r="M634" s="125">
        <f t="shared" si="10"/>
        <v>12</v>
      </c>
      <c r="N634" s="7"/>
      <c r="O634" s="132"/>
      <c r="P634" s="175"/>
      <c r="V634" s="207"/>
    </row>
    <row r="635" spans="1:22" ht="15" customHeight="1">
      <c r="A635" s="3">
        <v>36713</v>
      </c>
      <c r="B635" s="9">
        <v>0</v>
      </c>
      <c r="E635" s="5">
        <v>178075</v>
      </c>
      <c r="K635" s="22">
        <v>434</v>
      </c>
      <c r="L635" s="6">
        <v>448.5</v>
      </c>
      <c r="M635" s="125">
        <f t="shared" si="10"/>
        <v>14.5</v>
      </c>
      <c r="N635" s="7"/>
      <c r="O635" s="132"/>
      <c r="P635" s="175"/>
      <c r="V635" s="207"/>
    </row>
    <row r="636" spans="1:22" ht="15" customHeight="1">
      <c r="A636" s="3">
        <v>36714</v>
      </c>
      <c r="B636" s="9">
        <v>0</v>
      </c>
      <c r="E636" s="5">
        <v>175575</v>
      </c>
      <c r="K636" s="22">
        <v>434</v>
      </c>
      <c r="L636" s="6">
        <v>446.5</v>
      </c>
      <c r="M636" s="125">
        <f t="shared" si="10"/>
        <v>12.5</v>
      </c>
      <c r="N636" s="7"/>
      <c r="O636" s="132"/>
      <c r="P636" s="175"/>
      <c r="V636" s="207"/>
    </row>
    <row r="637" spans="1:22" ht="15" customHeight="1">
      <c r="A637" s="3">
        <v>36717</v>
      </c>
      <c r="B637" s="9">
        <v>0</v>
      </c>
      <c r="E637" s="5">
        <v>174975</v>
      </c>
      <c r="K637" s="22">
        <v>445</v>
      </c>
      <c r="L637" s="6">
        <v>456</v>
      </c>
      <c r="M637" s="125">
        <f t="shared" si="10"/>
        <v>11</v>
      </c>
      <c r="N637" s="7"/>
      <c r="O637" s="132"/>
      <c r="P637" s="175"/>
      <c r="V637" s="207"/>
    </row>
    <row r="638" spans="1:22" ht="15" customHeight="1">
      <c r="A638" s="3">
        <v>36718</v>
      </c>
      <c r="B638" s="9">
        <v>0</v>
      </c>
      <c r="E638" s="5">
        <v>172675</v>
      </c>
      <c r="K638" s="22">
        <v>447</v>
      </c>
      <c r="L638" s="6">
        <v>458</v>
      </c>
      <c r="M638" s="125">
        <f t="shared" si="10"/>
        <v>11</v>
      </c>
      <c r="N638" s="7"/>
      <c r="O638" s="132"/>
      <c r="P638" s="175"/>
      <c r="V638" s="207"/>
    </row>
    <row r="639" spans="1:22" ht="15" customHeight="1">
      <c r="A639" s="3">
        <v>36719</v>
      </c>
      <c r="B639" s="9">
        <v>0</v>
      </c>
      <c r="E639" s="5">
        <v>171475</v>
      </c>
      <c r="K639" s="22">
        <v>446</v>
      </c>
      <c r="L639" s="6">
        <v>455.5</v>
      </c>
      <c r="M639" s="125">
        <f t="shared" si="10"/>
        <v>9.5</v>
      </c>
      <c r="N639" s="7"/>
      <c r="O639" s="132"/>
      <c r="P639" s="175"/>
      <c r="V639" s="207"/>
    </row>
    <row r="640" spans="1:22" ht="15" customHeight="1">
      <c r="A640" s="3">
        <v>36720</v>
      </c>
      <c r="B640" s="9">
        <v>0</v>
      </c>
      <c r="E640" s="5">
        <v>169950</v>
      </c>
      <c r="K640" s="22">
        <v>460</v>
      </c>
      <c r="L640" s="6">
        <v>464</v>
      </c>
      <c r="M640" s="125">
        <f t="shared" si="10"/>
        <v>4</v>
      </c>
      <c r="N640" s="7"/>
      <c r="O640" s="132"/>
      <c r="P640" s="175"/>
      <c r="V640" s="207"/>
    </row>
    <row r="641" spans="1:22" ht="15" customHeight="1">
      <c r="A641" s="3">
        <v>36721</v>
      </c>
      <c r="B641" s="9">
        <v>0</v>
      </c>
      <c r="E641" s="5">
        <v>168100</v>
      </c>
      <c r="K641" s="22">
        <v>453</v>
      </c>
      <c r="L641" s="6">
        <v>460.5</v>
      </c>
      <c r="M641" s="125">
        <f t="shared" si="10"/>
        <v>7.5</v>
      </c>
      <c r="N641" s="7"/>
      <c r="O641" s="132"/>
      <c r="P641" s="175"/>
      <c r="V641" s="207"/>
    </row>
    <row r="642" spans="1:22" ht="15" customHeight="1">
      <c r="A642" s="3">
        <v>36724</v>
      </c>
      <c r="B642" s="9">
        <v>0</v>
      </c>
      <c r="E642" s="5">
        <v>166625</v>
      </c>
      <c r="K642" s="22">
        <v>454.5</v>
      </c>
      <c r="L642" s="6">
        <v>464.5</v>
      </c>
      <c r="M642" s="125">
        <f t="shared" si="10"/>
        <v>10</v>
      </c>
      <c r="N642" s="7"/>
      <c r="O642" s="132"/>
      <c r="P642" s="175"/>
      <c r="V642" s="207"/>
    </row>
    <row r="643" spans="1:22" ht="15" customHeight="1">
      <c r="A643" s="3">
        <v>36725</v>
      </c>
      <c r="B643" s="9">
        <v>0</v>
      </c>
      <c r="E643" s="5">
        <v>161825</v>
      </c>
      <c r="K643" s="22">
        <v>450</v>
      </c>
      <c r="L643" s="6">
        <v>461</v>
      </c>
      <c r="M643" s="125">
        <f t="shared" si="10"/>
        <v>11</v>
      </c>
      <c r="N643" s="7"/>
      <c r="O643" s="132"/>
      <c r="P643" s="175"/>
      <c r="V643" s="207"/>
    </row>
    <row r="644" spans="1:22" ht="15" customHeight="1">
      <c r="A644" s="3">
        <v>36726</v>
      </c>
      <c r="B644" s="9">
        <v>0</v>
      </c>
      <c r="E644" s="5">
        <v>160600</v>
      </c>
      <c r="K644" s="22">
        <v>451.5</v>
      </c>
      <c r="L644" s="6">
        <v>462.5</v>
      </c>
      <c r="M644" s="125">
        <f t="shared" si="10"/>
        <v>11</v>
      </c>
      <c r="N644" s="7"/>
      <c r="O644" s="132"/>
      <c r="P644" s="175"/>
      <c r="V644" s="207"/>
    </row>
    <row r="645" spans="1:22" ht="15" customHeight="1">
      <c r="A645" s="3">
        <v>36727</v>
      </c>
      <c r="B645" s="9">
        <v>0</v>
      </c>
      <c r="E645" s="5">
        <v>159625</v>
      </c>
      <c r="K645" s="22">
        <v>447.5</v>
      </c>
      <c r="L645" s="6">
        <v>458.5</v>
      </c>
      <c r="M645" s="125">
        <f t="shared" si="10"/>
        <v>11</v>
      </c>
      <c r="N645" s="7"/>
      <c r="O645" s="132"/>
      <c r="P645" s="175"/>
      <c r="V645" s="207"/>
    </row>
    <row r="646" spans="1:22" ht="15" customHeight="1">
      <c r="A646" s="3">
        <v>36728</v>
      </c>
      <c r="B646" s="9">
        <v>0</v>
      </c>
      <c r="E646" s="5">
        <v>157100</v>
      </c>
      <c r="K646" s="22">
        <v>458</v>
      </c>
      <c r="L646" s="6">
        <v>467</v>
      </c>
      <c r="M646" s="125">
        <f t="shared" si="10"/>
        <v>9</v>
      </c>
      <c r="N646" s="7"/>
      <c r="O646" s="132"/>
      <c r="P646" s="175"/>
      <c r="V646" s="207"/>
    </row>
    <row r="647" spans="1:22" ht="15" customHeight="1">
      <c r="A647" s="3">
        <v>36731</v>
      </c>
      <c r="B647" s="9">
        <v>0</v>
      </c>
      <c r="E647" s="5">
        <v>156700</v>
      </c>
      <c r="K647" s="22">
        <v>460</v>
      </c>
      <c r="L647" s="6">
        <v>470</v>
      </c>
      <c r="M647" s="125">
        <f t="shared" si="10"/>
        <v>10</v>
      </c>
      <c r="N647" s="7"/>
      <c r="O647" s="132"/>
      <c r="P647" s="175"/>
      <c r="V647" s="207"/>
    </row>
    <row r="648" spans="1:22" ht="15" customHeight="1">
      <c r="A648" s="3">
        <v>36732</v>
      </c>
      <c r="B648" s="9">
        <v>0</v>
      </c>
      <c r="E648" s="5">
        <v>154275</v>
      </c>
      <c r="K648" s="22">
        <v>466.5</v>
      </c>
      <c r="L648" s="6">
        <v>477</v>
      </c>
      <c r="M648" s="125">
        <f t="shared" si="10"/>
        <v>10.5</v>
      </c>
      <c r="N648" s="7"/>
      <c r="O648" s="132"/>
      <c r="P648" s="175"/>
      <c r="V648" s="207"/>
    </row>
    <row r="649" spans="1:22" ht="15" customHeight="1">
      <c r="A649" s="3">
        <v>36733</v>
      </c>
      <c r="B649" s="9">
        <v>0</v>
      </c>
      <c r="E649" s="5">
        <v>152275</v>
      </c>
      <c r="K649" s="22">
        <v>469</v>
      </c>
      <c r="L649" s="6">
        <v>478.5</v>
      </c>
      <c r="M649" s="125">
        <f t="shared" si="10"/>
        <v>9.5</v>
      </c>
      <c r="N649" s="7"/>
      <c r="O649" s="132"/>
      <c r="P649" s="175"/>
      <c r="V649" s="207"/>
    </row>
    <row r="650" spans="1:22" ht="15" customHeight="1">
      <c r="A650" s="3">
        <v>36734</v>
      </c>
      <c r="B650" s="9">
        <v>0</v>
      </c>
      <c r="E650" s="5">
        <v>149225</v>
      </c>
      <c r="K650" s="22">
        <v>469</v>
      </c>
      <c r="L650" s="6">
        <v>479</v>
      </c>
      <c r="M650" s="125">
        <f t="shared" si="10"/>
        <v>10</v>
      </c>
      <c r="N650" s="7"/>
      <c r="O650" s="132"/>
      <c r="P650" s="175"/>
      <c r="V650" s="207"/>
    </row>
    <row r="651" spans="1:22" ht="15" customHeight="1">
      <c r="A651" s="3">
        <v>36735</v>
      </c>
      <c r="B651" s="9">
        <v>0</v>
      </c>
      <c r="E651" s="5">
        <v>147650</v>
      </c>
      <c r="K651" s="22">
        <v>472</v>
      </c>
      <c r="L651" s="6">
        <v>482</v>
      </c>
      <c r="M651" s="125">
        <f t="shared" si="10"/>
        <v>10</v>
      </c>
      <c r="N651" s="7"/>
      <c r="O651" s="132"/>
      <c r="P651" s="175"/>
      <c r="V651" s="207"/>
    </row>
    <row r="652" spans="1:22" ht="15" customHeight="1">
      <c r="A652" s="3">
        <v>36738</v>
      </c>
      <c r="B652" s="9">
        <v>0</v>
      </c>
      <c r="E652" s="5">
        <v>144600</v>
      </c>
      <c r="K652" s="22">
        <v>466</v>
      </c>
      <c r="L652" s="6">
        <v>476</v>
      </c>
      <c r="M652" s="125">
        <f t="shared" si="10"/>
        <v>10</v>
      </c>
      <c r="N652" s="7"/>
      <c r="O652" s="132"/>
      <c r="P652" s="175"/>
      <c r="V652" s="207"/>
    </row>
    <row r="653" spans="1:22" ht="15" customHeight="1">
      <c r="A653" s="3">
        <v>36739</v>
      </c>
      <c r="B653" s="9">
        <v>0</v>
      </c>
      <c r="E653" s="5">
        <v>143000</v>
      </c>
      <c r="K653" s="22">
        <v>472</v>
      </c>
      <c r="L653" s="6">
        <v>483</v>
      </c>
      <c r="M653" s="125">
        <f t="shared" si="10"/>
        <v>11</v>
      </c>
      <c r="N653" s="7"/>
      <c r="O653" s="132"/>
      <c r="P653" s="175"/>
      <c r="V653" s="207"/>
    </row>
    <row r="654" spans="1:22" ht="15" customHeight="1">
      <c r="A654" s="3">
        <v>36740</v>
      </c>
      <c r="B654" s="9">
        <v>0</v>
      </c>
      <c r="E654" s="5">
        <v>141250</v>
      </c>
      <c r="K654" s="22">
        <v>470</v>
      </c>
      <c r="L654" s="6">
        <v>480.5</v>
      </c>
      <c r="M654" s="125">
        <f t="shared" si="10"/>
        <v>10.5</v>
      </c>
      <c r="N654" s="7"/>
      <c r="O654" s="132"/>
      <c r="P654" s="175"/>
      <c r="V654" s="207"/>
    </row>
    <row r="655" spans="1:22" ht="15" customHeight="1">
      <c r="A655" s="3">
        <v>36741</v>
      </c>
      <c r="B655" s="9">
        <v>0</v>
      </c>
      <c r="E655" s="5">
        <v>139775</v>
      </c>
      <c r="K655" s="22">
        <v>466</v>
      </c>
      <c r="L655" s="6">
        <v>477</v>
      </c>
      <c r="M655" s="125">
        <f t="shared" si="10"/>
        <v>11</v>
      </c>
      <c r="N655" s="7"/>
      <c r="O655" s="132"/>
      <c r="P655" s="175"/>
      <c r="V655" s="207"/>
    </row>
    <row r="656" spans="1:22" ht="15" customHeight="1">
      <c r="A656" s="3">
        <v>36742</v>
      </c>
      <c r="B656" s="9">
        <v>0</v>
      </c>
      <c r="E656" s="5">
        <v>139275</v>
      </c>
      <c r="K656" s="22">
        <v>467.5</v>
      </c>
      <c r="L656" s="6">
        <v>480</v>
      </c>
      <c r="M656" s="125">
        <f t="shared" si="10"/>
        <v>12.5</v>
      </c>
      <c r="N656" s="7"/>
      <c r="O656" s="132"/>
      <c r="P656" s="175"/>
      <c r="V656" s="207"/>
    </row>
    <row r="657" spans="1:22" ht="15" customHeight="1">
      <c r="A657" s="3">
        <v>36745</v>
      </c>
      <c r="B657" s="9">
        <v>0</v>
      </c>
      <c r="E657" s="5">
        <v>139025</v>
      </c>
      <c r="K657" s="22">
        <v>470.5</v>
      </c>
      <c r="L657" s="6">
        <v>484</v>
      </c>
      <c r="M657" s="125">
        <f t="shared" ref="M657:M693" si="11">L657-K657</f>
        <v>13.5</v>
      </c>
      <c r="N657" s="7"/>
      <c r="O657" s="132"/>
      <c r="P657" s="175"/>
      <c r="V657" s="207"/>
    </row>
    <row r="658" spans="1:22" ht="15" customHeight="1">
      <c r="A658" s="3">
        <v>36746</v>
      </c>
      <c r="B658" s="9">
        <v>0</v>
      </c>
      <c r="E658" s="5">
        <v>138775</v>
      </c>
      <c r="K658" s="22">
        <v>474</v>
      </c>
      <c r="L658" s="6">
        <v>486.5</v>
      </c>
      <c r="M658" s="125">
        <f t="shared" si="11"/>
        <v>12.5</v>
      </c>
      <c r="N658" s="7"/>
      <c r="O658" s="132"/>
      <c r="P658" s="175"/>
      <c r="V658" s="207"/>
    </row>
    <row r="659" spans="1:22" ht="15" customHeight="1">
      <c r="A659" s="3">
        <v>36747</v>
      </c>
      <c r="B659" s="9">
        <v>0</v>
      </c>
      <c r="E659" s="5">
        <v>137500</v>
      </c>
      <c r="K659" s="22">
        <v>478</v>
      </c>
      <c r="L659" s="6">
        <v>488</v>
      </c>
      <c r="M659" s="125">
        <f t="shared" si="11"/>
        <v>10</v>
      </c>
      <c r="N659" s="7"/>
      <c r="O659" s="132"/>
      <c r="P659" s="175"/>
      <c r="V659" s="207"/>
    </row>
    <row r="660" spans="1:22" ht="15" customHeight="1">
      <c r="A660" s="3">
        <v>36748</v>
      </c>
      <c r="B660" s="9">
        <v>0</v>
      </c>
      <c r="E660" s="5">
        <v>136600</v>
      </c>
      <c r="K660" s="22">
        <v>476</v>
      </c>
      <c r="L660" s="6">
        <v>487.5</v>
      </c>
      <c r="M660" s="125">
        <f t="shared" si="11"/>
        <v>11.5</v>
      </c>
      <c r="N660" s="7"/>
      <c r="O660" s="132"/>
      <c r="P660" s="175"/>
      <c r="V660" s="207"/>
    </row>
    <row r="661" spans="1:22" ht="15" customHeight="1">
      <c r="A661" s="3">
        <v>36749</v>
      </c>
      <c r="B661" s="9">
        <v>0</v>
      </c>
      <c r="E661" s="5">
        <v>135700</v>
      </c>
      <c r="K661" s="22">
        <v>476.5</v>
      </c>
      <c r="L661" s="6">
        <v>489</v>
      </c>
      <c r="M661" s="125">
        <f t="shared" si="11"/>
        <v>12.5</v>
      </c>
      <c r="N661" s="7"/>
      <c r="O661" s="132"/>
      <c r="P661" s="175"/>
      <c r="V661" s="207"/>
    </row>
    <row r="662" spans="1:22" ht="15" customHeight="1">
      <c r="A662" s="3">
        <v>36752</v>
      </c>
      <c r="B662" s="9">
        <v>0</v>
      </c>
      <c r="E662" s="5">
        <v>134400</v>
      </c>
      <c r="K662" s="22">
        <v>480</v>
      </c>
      <c r="L662" s="6">
        <v>492</v>
      </c>
      <c r="M662" s="125">
        <f t="shared" si="11"/>
        <v>12</v>
      </c>
      <c r="N662" s="7"/>
      <c r="O662" s="132"/>
      <c r="P662" s="175"/>
      <c r="V662" s="207"/>
    </row>
    <row r="663" spans="1:22" ht="15" customHeight="1">
      <c r="A663" s="3">
        <v>36753</v>
      </c>
      <c r="B663" s="9">
        <v>0</v>
      </c>
      <c r="E663" s="5">
        <v>132725</v>
      </c>
      <c r="K663" s="22">
        <v>479.5</v>
      </c>
      <c r="L663" s="6">
        <v>492</v>
      </c>
      <c r="M663" s="125">
        <f t="shared" si="11"/>
        <v>12.5</v>
      </c>
      <c r="N663" s="7"/>
      <c r="O663" s="132"/>
      <c r="P663" s="175"/>
      <c r="V663" s="207"/>
    </row>
    <row r="664" spans="1:22" ht="15" customHeight="1">
      <c r="A664" s="3">
        <v>36754</v>
      </c>
      <c r="B664" s="9">
        <v>0</v>
      </c>
      <c r="E664" s="5">
        <v>131825</v>
      </c>
      <c r="K664" s="22">
        <v>474.5</v>
      </c>
      <c r="L664" s="6">
        <v>487</v>
      </c>
      <c r="M664" s="125">
        <f t="shared" si="11"/>
        <v>12.5</v>
      </c>
      <c r="N664" s="7"/>
      <c r="O664" s="132"/>
      <c r="P664" s="175"/>
      <c r="V664" s="207"/>
    </row>
    <row r="665" spans="1:22" ht="15" customHeight="1">
      <c r="A665" s="3">
        <v>36755</v>
      </c>
      <c r="B665" s="9">
        <v>0</v>
      </c>
      <c r="E665" s="5">
        <v>130900</v>
      </c>
      <c r="K665" s="22">
        <v>469</v>
      </c>
      <c r="L665" s="6">
        <v>482</v>
      </c>
      <c r="M665" s="125">
        <f t="shared" si="11"/>
        <v>13</v>
      </c>
      <c r="N665" s="7"/>
      <c r="O665" s="132"/>
      <c r="P665" s="175"/>
      <c r="V665" s="207"/>
    </row>
    <row r="666" spans="1:22" ht="15" customHeight="1">
      <c r="A666" s="3">
        <v>36756</v>
      </c>
      <c r="B666" s="9">
        <v>0</v>
      </c>
      <c r="E666" s="5">
        <v>130675</v>
      </c>
      <c r="K666" s="22">
        <v>471</v>
      </c>
      <c r="L666" s="6">
        <v>486</v>
      </c>
      <c r="M666" s="125">
        <f t="shared" si="11"/>
        <v>15</v>
      </c>
      <c r="N666" s="7"/>
      <c r="O666" s="132"/>
      <c r="P666" s="175"/>
      <c r="V666" s="207"/>
    </row>
    <row r="667" spans="1:22" ht="15" customHeight="1">
      <c r="A667" s="3">
        <v>36759</v>
      </c>
      <c r="B667" s="9">
        <v>0</v>
      </c>
      <c r="E667" s="5">
        <v>130025</v>
      </c>
      <c r="K667" s="22">
        <v>474</v>
      </c>
      <c r="L667" s="6">
        <v>489</v>
      </c>
      <c r="M667" s="125">
        <f t="shared" si="11"/>
        <v>15</v>
      </c>
      <c r="N667" s="7"/>
      <c r="O667" s="132"/>
      <c r="P667" s="175"/>
      <c r="V667" s="207"/>
    </row>
    <row r="668" spans="1:22" ht="15" customHeight="1">
      <c r="A668" s="3">
        <v>36760</v>
      </c>
      <c r="B668" s="9">
        <v>0</v>
      </c>
      <c r="E668" s="5">
        <v>129375</v>
      </c>
      <c r="K668" s="22">
        <v>474</v>
      </c>
      <c r="L668" s="6">
        <v>488</v>
      </c>
      <c r="M668" s="125">
        <f t="shared" si="11"/>
        <v>14</v>
      </c>
      <c r="N668" s="7"/>
      <c r="O668" s="132"/>
      <c r="P668" s="175"/>
      <c r="V668" s="207"/>
    </row>
    <row r="669" spans="1:22" ht="15" customHeight="1">
      <c r="A669" s="3">
        <v>36761</v>
      </c>
      <c r="B669" s="9">
        <v>0</v>
      </c>
      <c r="E669" s="5">
        <v>128325</v>
      </c>
      <c r="K669" s="22">
        <v>478</v>
      </c>
      <c r="L669" s="6">
        <v>491</v>
      </c>
      <c r="M669" s="125">
        <f t="shared" si="11"/>
        <v>13</v>
      </c>
      <c r="N669" s="7"/>
      <c r="O669" s="132"/>
      <c r="P669" s="175"/>
      <c r="V669" s="207"/>
    </row>
    <row r="670" spans="1:22" ht="15" customHeight="1">
      <c r="A670" s="3">
        <v>36762</v>
      </c>
      <c r="B670" s="9">
        <v>0</v>
      </c>
      <c r="E670" s="5">
        <v>128075</v>
      </c>
      <c r="K670" s="22">
        <v>473.5</v>
      </c>
      <c r="L670" s="6">
        <v>487</v>
      </c>
      <c r="M670" s="125">
        <f t="shared" si="11"/>
        <v>13.5</v>
      </c>
      <c r="N670" s="7"/>
      <c r="O670" s="132"/>
      <c r="P670" s="175"/>
      <c r="V670" s="207"/>
    </row>
    <row r="671" spans="1:22" ht="15" customHeight="1">
      <c r="A671" s="3">
        <v>36763</v>
      </c>
      <c r="B671" s="9">
        <v>0</v>
      </c>
      <c r="E671" s="5">
        <v>127500</v>
      </c>
      <c r="K671" s="22">
        <v>472</v>
      </c>
      <c r="L671" s="6">
        <v>486</v>
      </c>
      <c r="M671" s="125">
        <f t="shared" si="11"/>
        <v>14</v>
      </c>
      <c r="N671" s="7"/>
      <c r="O671" s="132"/>
      <c r="P671" s="175"/>
      <c r="V671" s="207"/>
    </row>
    <row r="672" spans="1:22" ht="15" customHeight="1">
      <c r="A672" s="3">
        <v>36767</v>
      </c>
      <c r="B672" s="9">
        <v>0</v>
      </c>
      <c r="E672" s="5">
        <v>126675</v>
      </c>
      <c r="K672" s="22">
        <v>472</v>
      </c>
      <c r="L672" s="6">
        <v>487</v>
      </c>
      <c r="M672" s="125">
        <f t="shared" si="11"/>
        <v>15</v>
      </c>
      <c r="N672" s="7"/>
      <c r="O672" s="132"/>
      <c r="P672" s="175"/>
      <c r="V672" s="207"/>
    </row>
    <row r="673" spans="1:22" ht="15" customHeight="1">
      <c r="A673" s="3">
        <v>36768</v>
      </c>
      <c r="B673" s="9">
        <v>0</v>
      </c>
      <c r="E673" s="5">
        <v>123500</v>
      </c>
      <c r="K673" s="22">
        <v>473</v>
      </c>
      <c r="L673" s="6">
        <v>486</v>
      </c>
      <c r="M673" s="125">
        <f t="shared" si="11"/>
        <v>13</v>
      </c>
      <c r="N673" s="7"/>
      <c r="O673" s="132"/>
      <c r="P673" s="175"/>
      <c r="V673" s="207"/>
    </row>
    <row r="674" spans="1:22" ht="15" customHeight="1">
      <c r="A674" s="3">
        <v>36769</v>
      </c>
      <c r="B674" s="9">
        <v>0</v>
      </c>
      <c r="E674" s="5">
        <v>122200</v>
      </c>
      <c r="K674" s="22">
        <v>467</v>
      </c>
      <c r="L674" s="6">
        <v>479.5</v>
      </c>
      <c r="M674" s="125">
        <f t="shared" si="11"/>
        <v>12.5</v>
      </c>
      <c r="N674" s="7"/>
      <c r="O674" s="132"/>
      <c r="P674" s="175"/>
      <c r="V674" s="207"/>
    </row>
    <row r="675" spans="1:22" ht="15" customHeight="1">
      <c r="A675" s="3">
        <v>36770</v>
      </c>
      <c r="B675" s="9">
        <v>0</v>
      </c>
      <c r="E675" s="5">
        <v>121250</v>
      </c>
      <c r="K675" s="22">
        <v>467.5</v>
      </c>
      <c r="L675" s="6">
        <v>480.5</v>
      </c>
      <c r="M675" s="125">
        <f t="shared" si="11"/>
        <v>13</v>
      </c>
      <c r="N675" s="7"/>
      <c r="O675" s="132"/>
      <c r="P675" s="175"/>
      <c r="V675" s="207"/>
    </row>
    <row r="676" spans="1:22" ht="15" customHeight="1">
      <c r="A676" s="3">
        <v>36773</v>
      </c>
      <c r="B676" s="9">
        <v>0</v>
      </c>
      <c r="E676" s="5">
        <v>119575</v>
      </c>
      <c r="K676" s="22">
        <v>467</v>
      </c>
      <c r="L676" s="6">
        <v>480</v>
      </c>
      <c r="M676" s="125">
        <f t="shared" si="11"/>
        <v>13</v>
      </c>
      <c r="N676" s="7"/>
      <c r="O676" s="132"/>
      <c r="P676" s="175"/>
      <c r="V676" s="207"/>
    </row>
    <row r="677" spans="1:22" ht="15" customHeight="1">
      <c r="A677" s="3">
        <v>36774</v>
      </c>
      <c r="B677" s="9">
        <v>0</v>
      </c>
      <c r="E677" s="5">
        <v>118125</v>
      </c>
      <c r="K677" s="22">
        <v>466</v>
      </c>
      <c r="L677" s="6">
        <v>479</v>
      </c>
      <c r="M677" s="125">
        <f t="shared" si="11"/>
        <v>13</v>
      </c>
      <c r="N677" s="7"/>
      <c r="O677" s="132"/>
      <c r="P677" s="175"/>
      <c r="V677" s="207"/>
    </row>
    <row r="678" spans="1:22" ht="15" customHeight="1">
      <c r="A678" s="3">
        <v>36775</v>
      </c>
      <c r="B678" s="9">
        <v>0</v>
      </c>
      <c r="E678" s="5">
        <v>117650</v>
      </c>
      <c r="K678" s="22">
        <v>469</v>
      </c>
      <c r="L678" s="6">
        <v>482</v>
      </c>
      <c r="M678" s="125">
        <f t="shared" si="11"/>
        <v>13</v>
      </c>
      <c r="N678" s="7"/>
      <c r="O678" s="132"/>
      <c r="P678" s="175"/>
      <c r="V678" s="207"/>
    </row>
    <row r="679" spans="1:22" ht="15" customHeight="1">
      <c r="A679" s="3">
        <v>36776</v>
      </c>
      <c r="B679" s="9">
        <v>0</v>
      </c>
      <c r="E679" s="5">
        <v>117025</v>
      </c>
      <c r="K679" s="22">
        <v>473</v>
      </c>
      <c r="L679" s="6">
        <v>485</v>
      </c>
      <c r="M679" s="125">
        <f t="shared" si="11"/>
        <v>12</v>
      </c>
      <c r="N679" s="7"/>
      <c r="O679" s="132"/>
      <c r="P679" s="175"/>
      <c r="V679" s="207"/>
    </row>
    <row r="680" spans="1:22" ht="15" customHeight="1">
      <c r="A680" s="3">
        <v>36777</v>
      </c>
      <c r="B680" s="9">
        <v>0</v>
      </c>
      <c r="E680" s="5">
        <v>117125</v>
      </c>
      <c r="K680" s="22">
        <v>471</v>
      </c>
      <c r="L680" s="6">
        <v>483</v>
      </c>
      <c r="M680" s="125">
        <f t="shared" si="11"/>
        <v>12</v>
      </c>
      <c r="N680" s="7"/>
      <c r="O680" s="132"/>
      <c r="P680" s="175"/>
      <c r="V680" s="207"/>
    </row>
    <row r="681" spans="1:22" ht="15" customHeight="1">
      <c r="A681" s="3">
        <v>36780</v>
      </c>
      <c r="B681" s="9">
        <v>0</v>
      </c>
      <c r="E681" s="5">
        <v>116950</v>
      </c>
      <c r="K681" s="22">
        <v>466</v>
      </c>
      <c r="L681" s="6">
        <v>478.5</v>
      </c>
      <c r="M681" s="125">
        <f t="shared" si="11"/>
        <v>12.5</v>
      </c>
      <c r="N681" s="7"/>
      <c r="O681" s="132"/>
      <c r="P681" s="175"/>
      <c r="V681" s="207"/>
    </row>
    <row r="682" spans="1:22" ht="15" customHeight="1">
      <c r="A682" s="3">
        <v>36781</v>
      </c>
      <c r="B682" s="9">
        <v>0</v>
      </c>
      <c r="E682" s="5">
        <v>115950</v>
      </c>
      <c r="K682" s="22">
        <v>463.5</v>
      </c>
      <c r="L682" s="6">
        <v>475.5</v>
      </c>
      <c r="M682" s="125">
        <f t="shared" si="11"/>
        <v>12</v>
      </c>
      <c r="N682" s="7"/>
      <c r="O682" s="132"/>
      <c r="P682" s="175"/>
      <c r="V682" s="207"/>
    </row>
    <row r="683" spans="1:22" ht="15" customHeight="1">
      <c r="A683" s="3">
        <v>36782</v>
      </c>
      <c r="B683" s="9">
        <v>0</v>
      </c>
      <c r="E683" s="5">
        <v>115375</v>
      </c>
      <c r="K683" s="22">
        <v>479.5</v>
      </c>
      <c r="L683" s="6">
        <v>490</v>
      </c>
      <c r="M683" s="125">
        <f t="shared" si="11"/>
        <v>10.5</v>
      </c>
      <c r="N683" s="7"/>
      <c r="O683" s="132"/>
      <c r="P683" s="175"/>
      <c r="V683" s="207"/>
    </row>
    <row r="684" spans="1:22" ht="15" customHeight="1">
      <c r="A684" s="3">
        <v>36783</v>
      </c>
      <c r="B684" s="9">
        <v>0</v>
      </c>
      <c r="E684" s="5">
        <v>114875</v>
      </c>
      <c r="K684" s="22">
        <v>485</v>
      </c>
      <c r="L684" s="6">
        <v>492</v>
      </c>
      <c r="M684" s="125">
        <f t="shared" si="11"/>
        <v>7</v>
      </c>
      <c r="N684" s="7"/>
      <c r="O684" s="132"/>
      <c r="P684" s="175"/>
      <c r="V684" s="207"/>
    </row>
    <row r="685" spans="1:22" ht="15" customHeight="1">
      <c r="A685" s="3">
        <v>36784</v>
      </c>
      <c r="B685" s="9">
        <v>0</v>
      </c>
      <c r="E685" s="5">
        <v>114175</v>
      </c>
      <c r="K685" s="22">
        <v>491</v>
      </c>
      <c r="L685" s="6">
        <v>495</v>
      </c>
      <c r="M685" s="125">
        <f t="shared" si="11"/>
        <v>4</v>
      </c>
      <c r="N685" s="7"/>
      <c r="O685" s="132"/>
      <c r="P685" s="175"/>
      <c r="V685" s="207"/>
    </row>
    <row r="686" spans="1:22" ht="15" customHeight="1">
      <c r="A686" s="3">
        <v>36787</v>
      </c>
      <c r="B686" s="9">
        <v>0</v>
      </c>
      <c r="E686" s="5">
        <v>113575</v>
      </c>
      <c r="K686" s="22">
        <v>486</v>
      </c>
      <c r="L686" s="6">
        <v>495</v>
      </c>
      <c r="M686" s="125">
        <f t="shared" si="11"/>
        <v>9</v>
      </c>
      <c r="N686" s="7"/>
      <c r="O686" s="132"/>
      <c r="P686" s="175"/>
      <c r="V686" s="207"/>
    </row>
    <row r="687" spans="1:22" ht="15" customHeight="1">
      <c r="A687" s="3">
        <v>36788</v>
      </c>
      <c r="B687" s="9">
        <v>0</v>
      </c>
      <c r="E687" s="5">
        <v>112525</v>
      </c>
      <c r="K687" s="22">
        <v>482</v>
      </c>
      <c r="L687" s="6">
        <v>490</v>
      </c>
      <c r="M687" s="125">
        <f t="shared" si="11"/>
        <v>8</v>
      </c>
      <c r="N687" s="7"/>
      <c r="O687" s="132"/>
      <c r="P687" s="175"/>
      <c r="V687" s="207"/>
    </row>
    <row r="688" spans="1:22" ht="15" customHeight="1">
      <c r="A688" s="3">
        <v>36789</v>
      </c>
      <c r="B688" s="9">
        <v>0</v>
      </c>
      <c r="E688" s="5">
        <v>111450</v>
      </c>
      <c r="K688" s="22">
        <v>492</v>
      </c>
      <c r="L688" s="6">
        <v>493</v>
      </c>
      <c r="M688" s="125">
        <f t="shared" si="11"/>
        <v>1</v>
      </c>
      <c r="N688" s="7"/>
      <c r="O688" s="132"/>
      <c r="P688" s="175"/>
      <c r="V688" s="207"/>
    </row>
    <row r="689" spans="1:22" ht="15" customHeight="1">
      <c r="A689" s="3">
        <v>36790</v>
      </c>
      <c r="B689" s="9">
        <v>0</v>
      </c>
      <c r="E689" s="5">
        <v>110000</v>
      </c>
      <c r="K689" s="22">
        <v>503</v>
      </c>
      <c r="L689" s="6">
        <v>503</v>
      </c>
      <c r="M689" s="125">
        <f t="shared" si="11"/>
        <v>0</v>
      </c>
      <c r="N689" s="7"/>
      <c r="O689" s="132"/>
      <c r="P689" s="175"/>
      <c r="V689" s="207"/>
    </row>
    <row r="690" spans="1:22" ht="15" customHeight="1">
      <c r="A690" s="3">
        <v>36791</v>
      </c>
      <c r="B690" s="9">
        <v>0</v>
      </c>
      <c r="E690" s="5">
        <v>108400</v>
      </c>
      <c r="K690" s="22">
        <v>509.5</v>
      </c>
      <c r="L690" s="6">
        <v>508.5</v>
      </c>
      <c r="M690" s="125">
        <f t="shared" si="11"/>
        <v>-1</v>
      </c>
      <c r="N690" s="7"/>
      <c r="O690" s="132"/>
      <c r="P690" s="175"/>
      <c r="V690" s="207"/>
    </row>
    <row r="691" spans="1:22" ht="15" customHeight="1">
      <c r="A691" s="3">
        <v>36794</v>
      </c>
      <c r="B691" s="9">
        <v>0</v>
      </c>
      <c r="E691" s="5">
        <v>108075</v>
      </c>
      <c r="K691" s="22">
        <v>514.5</v>
      </c>
      <c r="L691" s="6">
        <v>512</v>
      </c>
      <c r="M691" s="125">
        <f t="shared" si="11"/>
        <v>-2.5</v>
      </c>
      <c r="N691" s="7"/>
      <c r="O691" s="132"/>
      <c r="P691" s="175"/>
      <c r="V691" s="207"/>
    </row>
    <row r="692" spans="1:22" ht="15" customHeight="1">
      <c r="A692" s="3">
        <v>36795</v>
      </c>
      <c r="B692" s="9">
        <v>0</v>
      </c>
      <c r="E692" s="5">
        <v>105925</v>
      </c>
      <c r="K692" s="22">
        <v>518.5</v>
      </c>
      <c r="L692" s="6">
        <v>515</v>
      </c>
      <c r="M692" s="125">
        <f t="shared" si="11"/>
        <v>-3.5</v>
      </c>
      <c r="N692" s="7"/>
      <c r="O692" s="132"/>
      <c r="P692" s="175"/>
      <c r="V692" s="207"/>
    </row>
    <row r="693" spans="1:22" ht="15" customHeight="1">
      <c r="A693" s="3">
        <v>36796</v>
      </c>
      <c r="B693" s="9">
        <v>0</v>
      </c>
      <c r="E693" s="5">
        <v>105350</v>
      </c>
      <c r="K693" s="22">
        <v>511</v>
      </c>
      <c r="L693" s="6">
        <v>510</v>
      </c>
      <c r="M693" s="125">
        <f t="shared" si="11"/>
        <v>-1</v>
      </c>
      <c r="N693" s="7"/>
      <c r="O693" s="132"/>
      <c r="P693" s="175"/>
      <c r="V693" s="207"/>
    </row>
    <row r="694" spans="1:22" ht="15" customHeight="1">
      <c r="A694" s="3">
        <v>36797</v>
      </c>
      <c r="B694" s="9">
        <v>0</v>
      </c>
      <c r="E694" s="5">
        <v>104325</v>
      </c>
      <c r="K694" s="22">
        <v>508.5</v>
      </c>
      <c r="L694" s="6">
        <v>507.5</v>
      </c>
      <c r="M694" s="125">
        <f>L694-K694</f>
        <v>-1</v>
      </c>
      <c r="N694" s="7"/>
      <c r="O694" s="132"/>
      <c r="P694" s="175"/>
      <c r="V694" s="207"/>
    </row>
    <row r="695" spans="1:22" ht="15" customHeight="1">
      <c r="A695" s="3">
        <v>36798</v>
      </c>
      <c r="B695" s="9">
        <v>0</v>
      </c>
      <c r="E695" s="5">
        <v>102800</v>
      </c>
      <c r="K695" s="22">
        <v>504.5</v>
      </c>
      <c r="L695" s="6">
        <v>504</v>
      </c>
      <c r="M695" s="125">
        <f t="shared" ref="M695:M758" si="12">L695-K695</f>
        <v>-0.5</v>
      </c>
      <c r="N695" s="7"/>
      <c r="O695" s="132"/>
      <c r="P695" s="175"/>
      <c r="V695" s="207"/>
    </row>
    <row r="696" spans="1:22" ht="15" customHeight="1">
      <c r="A696" s="3">
        <v>36801</v>
      </c>
      <c r="B696" s="9">
        <v>0</v>
      </c>
      <c r="E696" s="5">
        <v>101375</v>
      </c>
      <c r="K696" s="22">
        <v>503.5</v>
      </c>
      <c r="L696" s="6">
        <v>504</v>
      </c>
      <c r="M696" s="125">
        <f t="shared" si="12"/>
        <v>0.5</v>
      </c>
      <c r="N696" s="7"/>
      <c r="O696" s="132"/>
      <c r="P696" s="175"/>
      <c r="V696" s="207"/>
    </row>
    <row r="697" spans="1:22" ht="15" customHeight="1">
      <c r="A697" s="3">
        <v>36802</v>
      </c>
      <c r="B697" s="9">
        <v>0</v>
      </c>
      <c r="E697" s="5">
        <v>100700</v>
      </c>
      <c r="K697" s="22">
        <v>507</v>
      </c>
      <c r="L697" s="6">
        <v>506</v>
      </c>
      <c r="M697" s="125">
        <f t="shared" si="12"/>
        <v>-1</v>
      </c>
      <c r="N697" s="7"/>
      <c r="O697" s="132"/>
      <c r="P697" s="175"/>
      <c r="V697" s="207"/>
    </row>
    <row r="698" spans="1:22" ht="15" customHeight="1">
      <c r="A698" s="3">
        <v>36803</v>
      </c>
      <c r="B698" s="9">
        <v>0</v>
      </c>
      <c r="E698" s="5">
        <v>99750</v>
      </c>
      <c r="K698" s="22">
        <v>506</v>
      </c>
      <c r="L698" s="6">
        <v>508</v>
      </c>
      <c r="M698" s="125">
        <f t="shared" si="12"/>
        <v>2</v>
      </c>
      <c r="N698" s="7"/>
      <c r="O698" s="132"/>
      <c r="P698" s="175"/>
      <c r="V698" s="207"/>
    </row>
    <row r="699" spans="1:22" ht="15" customHeight="1">
      <c r="A699" s="3">
        <v>36804</v>
      </c>
      <c r="B699" s="9">
        <v>0</v>
      </c>
      <c r="E699" s="5">
        <v>111300</v>
      </c>
      <c r="K699" s="22">
        <v>493</v>
      </c>
      <c r="L699" s="6">
        <v>495</v>
      </c>
      <c r="M699" s="125">
        <f t="shared" si="12"/>
        <v>2</v>
      </c>
      <c r="N699" s="7"/>
      <c r="O699" s="132"/>
      <c r="P699" s="175"/>
      <c r="V699" s="207"/>
    </row>
    <row r="700" spans="1:22" ht="15" customHeight="1">
      <c r="A700" s="3">
        <v>36805</v>
      </c>
      <c r="B700" s="9">
        <v>0</v>
      </c>
      <c r="E700" s="5">
        <v>143600</v>
      </c>
      <c r="K700" s="22">
        <v>477</v>
      </c>
      <c r="L700" s="6">
        <v>481</v>
      </c>
      <c r="M700" s="125">
        <f t="shared" si="12"/>
        <v>4</v>
      </c>
      <c r="N700" s="7"/>
      <c r="O700" s="132"/>
      <c r="P700" s="175"/>
      <c r="V700" s="207"/>
    </row>
    <row r="701" spans="1:22" ht="15" customHeight="1">
      <c r="A701" s="3">
        <v>36808</v>
      </c>
      <c r="B701" s="9">
        <v>0</v>
      </c>
      <c r="E701" s="5">
        <v>146275</v>
      </c>
      <c r="K701" s="22">
        <v>470.5</v>
      </c>
      <c r="L701" s="6">
        <v>480.5</v>
      </c>
      <c r="M701" s="125">
        <f t="shared" si="12"/>
        <v>10</v>
      </c>
      <c r="N701" s="7"/>
      <c r="O701" s="132"/>
      <c r="P701" s="175"/>
      <c r="V701" s="207"/>
    </row>
    <row r="702" spans="1:22" ht="15" customHeight="1">
      <c r="A702" s="3">
        <v>36809</v>
      </c>
      <c r="B702" s="9">
        <v>0</v>
      </c>
      <c r="E702" s="5">
        <v>149750</v>
      </c>
      <c r="K702" s="22">
        <v>489</v>
      </c>
      <c r="L702" s="6">
        <v>490.5</v>
      </c>
      <c r="M702" s="125">
        <f t="shared" si="12"/>
        <v>1.5</v>
      </c>
      <c r="N702" s="7"/>
      <c r="O702" s="132"/>
      <c r="P702" s="175"/>
      <c r="V702" s="207"/>
    </row>
    <row r="703" spans="1:22" ht="15" customHeight="1">
      <c r="A703" s="3">
        <v>36810</v>
      </c>
      <c r="B703" s="9">
        <v>0</v>
      </c>
      <c r="E703" s="5">
        <v>153400</v>
      </c>
      <c r="K703" s="22">
        <v>486</v>
      </c>
      <c r="L703" s="6">
        <v>493</v>
      </c>
      <c r="M703" s="125">
        <f t="shared" si="12"/>
        <v>7</v>
      </c>
      <c r="N703" s="7"/>
      <c r="O703" s="132"/>
      <c r="P703" s="175"/>
      <c r="V703" s="207"/>
    </row>
    <row r="704" spans="1:22" ht="15" customHeight="1">
      <c r="A704" s="3">
        <v>36811</v>
      </c>
      <c r="B704" s="9">
        <v>0</v>
      </c>
      <c r="E704" s="5">
        <v>157000</v>
      </c>
      <c r="K704" s="22">
        <v>492</v>
      </c>
      <c r="L704" s="6">
        <v>497.5</v>
      </c>
      <c r="M704" s="125">
        <f t="shared" si="12"/>
        <v>5.5</v>
      </c>
      <c r="N704" s="7"/>
      <c r="O704" s="132"/>
      <c r="P704" s="175"/>
      <c r="V704" s="207"/>
    </row>
    <row r="705" spans="1:22" ht="15" customHeight="1">
      <c r="A705" s="3">
        <v>36812</v>
      </c>
      <c r="B705" s="9">
        <v>0</v>
      </c>
      <c r="E705" s="5">
        <v>156525</v>
      </c>
      <c r="K705" s="22">
        <v>492</v>
      </c>
      <c r="L705" s="6">
        <v>495</v>
      </c>
      <c r="M705" s="125">
        <f t="shared" si="12"/>
        <v>3</v>
      </c>
      <c r="N705" s="7"/>
      <c r="O705" s="132"/>
      <c r="P705" s="175"/>
      <c r="V705" s="207"/>
    </row>
    <row r="706" spans="1:22" ht="15" customHeight="1">
      <c r="A706" s="3">
        <v>36815</v>
      </c>
      <c r="B706" s="9">
        <v>0</v>
      </c>
      <c r="E706" s="5">
        <v>156450</v>
      </c>
      <c r="K706" s="22">
        <v>492</v>
      </c>
      <c r="L706" s="6">
        <v>497</v>
      </c>
      <c r="M706" s="125">
        <f t="shared" si="12"/>
        <v>5</v>
      </c>
      <c r="N706" s="7"/>
      <c r="O706" s="132"/>
      <c r="P706" s="175"/>
      <c r="V706" s="207"/>
    </row>
    <row r="707" spans="1:22" ht="15" customHeight="1">
      <c r="A707" s="3">
        <v>36816</v>
      </c>
      <c r="B707" s="9">
        <v>0</v>
      </c>
      <c r="E707" s="5">
        <v>155775</v>
      </c>
      <c r="K707" s="22">
        <v>483.5</v>
      </c>
      <c r="L707" s="6">
        <v>492</v>
      </c>
      <c r="M707" s="125">
        <f t="shared" si="12"/>
        <v>8.5</v>
      </c>
      <c r="N707" s="7"/>
      <c r="O707" s="132"/>
      <c r="P707" s="175"/>
      <c r="V707" s="207"/>
    </row>
    <row r="708" spans="1:22" ht="15" customHeight="1">
      <c r="A708" s="3">
        <v>36817</v>
      </c>
      <c r="B708" s="9">
        <v>0</v>
      </c>
      <c r="E708" s="5">
        <v>154225</v>
      </c>
      <c r="K708" s="22">
        <v>476.5</v>
      </c>
      <c r="L708" s="6">
        <v>487</v>
      </c>
      <c r="M708" s="125">
        <f t="shared" si="12"/>
        <v>10.5</v>
      </c>
      <c r="N708" s="7"/>
      <c r="O708" s="132"/>
      <c r="P708" s="175"/>
      <c r="V708" s="207"/>
    </row>
    <row r="709" spans="1:22" ht="15" customHeight="1">
      <c r="A709" s="3">
        <v>36818</v>
      </c>
      <c r="B709" s="9">
        <v>0</v>
      </c>
      <c r="E709" s="5">
        <v>146475</v>
      </c>
      <c r="K709" s="22">
        <v>473</v>
      </c>
      <c r="L709" s="6">
        <v>485</v>
      </c>
      <c r="M709" s="125">
        <f t="shared" si="12"/>
        <v>12</v>
      </c>
      <c r="N709" s="7"/>
      <c r="O709" s="132"/>
      <c r="P709" s="175"/>
      <c r="V709" s="207"/>
    </row>
    <row r="710" spans="1:22" ht="15" customHeight="1">
      <c r="A710" s="3">
        <v>36819</v>
      </c>
      <c r="B710" s="9">
        <v>0</v>
      </c>
      <c r="E710" s="5">
        <v>144925</v>
      </c>
      <c r="K710" s="22">
        <v>475</v>
      </c>
      <c r="L710" s="6">
        <v>483.5</v>
      </c>
      <c r="M710" s="125">
        <f t="shared" si="12"/>
        <v>8.5</v>
      </c>
      <c r="N710" s="7"/>
      <c r="O710" s="132"/>
      <c r="P710" s="175"/>
      <c r="V710" s="207"/>
    </row>
    <row r="711" spans="1:22" ht="15" customHeight="1">
      <c r="A711" s="3">
        <v>36822</v>
      </c>
      <c r="B711" s="9">
        <v>0</v>
      </c>
      <c r="E711" s="5">
        <v>145200</v>
      </c>
      <c r="K711" s="22">
        <v>478</v>
      </c>
      <c r="L711" s="6">
        <v>488.5</v>
      </c>
      <c r="M711" s="125">
        <f t="shared" si="12"/>
        <v>10.5</v>
      </c>
      <c r="N711" s="7"/>
      <c r="O711" s="132"/>
      <c r="P711" s="175"/>
      <c r="V711" s="207"/>
    </row>
    <row r="712" spans="1:22" ht="15" customHeight="1">
      <c r="A712" s="3">
        <v>36823</v>
      </c>
      <c r="B712" s="9">
        <v>0</v>
      </c>
      <c r="E712" s="5">
        <v>144775</v>
      </c>
      <c r="K712" s="22">
        <v>485.5</v>
      </c>
      <c r="L712" s="6">
        <v>494</v>
      </c>
      <c r="M712" s="125">
        <f t="shared" si="12"/>
        <v>8.5</v>
      </c>
      <c r="N712" s="7"/>
      <c r="O712" s="132"/>
      <c r="P712" s="175"/>
      <c r="V712" s="207"/>
    </row>
    <row r="713" spans="1:22" ht="15" customHeight="1">
      <c r="A713" s="3">
        <v>36824</v>
      </c>
      <c r="B713" s="9">
        <v>0</v>
      </c>
      <c r="E713" s="5">
        <v>144000</v>
      </c>
      <c r="K713" s="22">
        <v>481</v>
      </c>
      <c r="L713" s="6">
        <v>492</v>
      </c>
      <c r="M713" s="125">
        <f t="shared" si="12"/>
        <v>11</v>
      </c>
      <c r="N713" s="7"/>
      <c r="O713" s="132"/>
      <c r="P713" s="175"/>
      <c r="V713" s="207"/>
    </row>
    <row r="714" spans="1:22" ht="15" customHeight="1">
      <c r="A714" s="3">
        <v>36825</v>
      </c>
      <c r="B714" s="9">
        <v>0</v>
      </c>
      <c r="E714" s="5">
        <v>143275</v>
      </c>
      <c r="K714" s="22">
        <v>472</v>
      </c>
      <c r="L714" s="6">
        <v>484</v>
      </c>
      <c r="M714" s="125">
        <f t="shared" si="12"/>
        <v>12</v>
      </c>
      <c r="N714" s="7"/>
      <c r="O714" s="132"/>
      <c r="P714" s="175"/>
      <c r="V714" s="207"/>
    </row>
    <row r="715" spans="1:22" ht="15" customHeight="1">
      <c r="A715" s="3">
        <v>36826</v>
      </c>
      <c r="B715" s="9">
        <v>0</v>
      </c>
      <c r="E715" s="5">
        <v>141425</v>
      </c>
      <c r="K715" s="22">
        <v>476.5</v>
      </c>
      <c r="L715" s="6">
        <v>488.5</v>
      </c>
      <c r="M715" s="125">
        <f t="shared" si="12"/>
        <v>12</v>
      </c>
      <c r="N715" s="7"/>
      <c r="O715" s="132"/>
      <c r="P715" s="175"/>
      <c r="V715" s="207"/>
    </row>
    <row r="716" spans="1:22" ht="15" customHeight="1">
      <c r="A716" s="3">
        <v>36829</v>
      </c>
      <c r="B716" s="9">
        <v>0</v>
      </c>
      <c r="E716" s="5">
        <v>142075</v>
      </c>
      <c r="K716" s="22">
        <v>482</v>
      </c>
      <c r="L716" s="6">
        <v>494</v>
      </c>
      <c r="M716" s="125">
        <f t="shared" si="12"/>
        <v>12</v>
      </c>
      <c r="N716" s="7"/>
      <c r="O716" s="132"/>
      <c r="P716" s="175"/>
      <c r="V716" s="207"/>
    </row>
    <row r="717" spans="1:22" ht="15" customHeight="1">
      <c r="A717" s="3">
        <v>36830</v>
      </c>
      <c r="B717" s="9">
        <v>0</v>
      </c>
      <c r="E717" s="5">
        <v>141375</v>
      </c>
      <c r="K717" s="22">
        <v>504</v>
      </c>
      <c r="L717" s="6">
        <v>510</v>
      </c>
      <c r="M717" s="125">
        <f t="shared" si="12"/>
        <v>6</v>
      </c>
      <c r="N717" s="7"/>
      <c r="O717" s="132"/>
      <c r="P717" s="175"/>
      <c r="V717" s="207"/>
    </row>
    <row r="718" spans="1:22" ht="15" customHeight="1">
      <c r="A718" s="3">
        <v>36831</v>
      </c>
      <c r="B718" s="9">
        <v>0</v>
      </c>
      <c r="E718" s="5">
        <v>140850</v>
      </c>
      <c r="K718" s="22">
        <v>496</v>
      </c>
      <c r="L718" s="6">
        <v>503</v>
      </c>
      <c r="M718" s="125">
        <f t="shared" si="12"/>
        <v>7</v>
      </c>
      <c r="N718" s="7"/>
      <c r="O718" s="132"/>
      <c r="P718" s="175"/>
      <c r="V718" s="207"/>
    </row>
    <row r="719" spans="1:22" ht="15" customHeight="1">
      <c r="A719" s="3">
        <v>36832</v>
      </c>
      <c r="B719" s="9">
        <v>0</v>
      </c>
      <c r="E719" s="5">
        <v>140650</v>
      </c>
      <c r="K719" s="22">
        <v>471</v>
      </c>
      <c r="L719" s="6">
        <v>483</v>
      </c>
      <c r="M719" s="125">
        <f t="shared" si="12"/>
        <v>12</v>
      </c>
      <c r="N719" s="7"/>
      <c r="O719" s="132"/>
      <c r="P719" s="175"/>
      <c r="V719" s="207"/>
    </row>
    <row r="720" spans="1:22" ht="15" customHeight="1">
      <c r="A720" s="3">
        <v>36833</v>
      </c>
      <c r="B720" s="9">
        <v>0</v>
      </c>
      <c r="E720" s="5">
        <v>141350</v>
      </c>
      <c r="K720" s="22">
        <v>476</v>
      </c>
      <c r="L720" s="6">
        <v>486</v>
      </c>
      <c r="M720" s="125">
        <f t="shared" si="12"/>
        <v>10</v>
      </c>
      <c r="N720" s="7"/>
      <c r="O720" s="132"/>
      <c r="P720" s="175"/>
      <c r="V720" s="207"/>
    </row>
    <row r="721" spans="1:22" ht="15" customHeight="1">
      <c r="A721" s="3">
        <v>36836</v>
      </c>
      <c r="B721" s="9">
        <v>0</v>
      </c>
      <c r="E721" s="5">
        <v>141325</v>
      </c>
      <c r="K721" s="22">
        <v>483</v>
      </c>
      <c r="L721" s="6">
        <v>492</v>
      </c>
      <c r="M721" s="125">
        <f t="shared" si="12"/>
        <v>9</v>
      </c>
      <c r="N721" s="7"/>
      <c r="O721" s="132"/>
      <c r="P721" s="175"/>
      <c r="V721" s="207"/>
    </row>
    <row r="722" spans="1:22" ht="15" customHeight="1">
      <c r="A722" s="3">
        <v>36837</v>
      </c>
      <c r="B722" s="9">
        <v>0</v>
      </c>
      <c r="E722" s="5">
        <v>139450</v>
      </c>
      <c r="K722" s="22">
        <v>476</v>
      </c>
      <c r="L722" s="6">
        <v>486</v>
      </c>
      <c r="M722" s="125">
        <f t="shared" si="12"/>
        <v>10</v>
      </c>
      <c r="N722" s="7"/>
      <c r="O722" s="132"/>
      <c r="P722" s="175"/>
      <c r="V722" s="207"/>
    </row>
    <row r="723" spans="1:22" ht="15" customHeight="1">
      <c r="A723" s="3">
        <v>36838</v>
      </c>
      <c r="B723" s="9">
        <v>0</v>
      </c>
      <c r="E723" s="5">
        <v>139075</v>
      </c>
      <c r="K723" s="22">
        <v>480.5</v>
      </c>
      <c r="L723" s="6">
        <v>490</v>
      </c>
      <c r="M723" s="125">
        <f t="shared" si="12"/>
        <v>9.5</v>
      </c>
      <c r="N723" s="7"/>
      <c r="O723" s="132"/>
      <c r="P723" s="175"/>
      <c r="V723" s="207"/>
    </row>
    <row r="724" spans="1:22" ht="15" customHeight="1">
      <c r="A724" s="3">
        <v>36839</v>
      </c>
      <c r="B724" s="9">
        <v>0</v>
      </c>
      <c r="E724" s="5">
        <v>138850</v>
      </c>
      <c r="K724" s="22">
        <v>481</v>
      </c>
      <c r="L724" s="6">
        <v>492</v>
      </c>
      <c r="M724" s="125">
        <f t="shared" si="12"/>
        <v>11</v>
      </c>
      <c r="N724" s="7"/>
      <c r="O724" s="132"/>
      <c r="P724" s="175"/>
      <c r="V724" s="207"/>
    </row>
    <row r="725" spans="1:22" ht="15" customHeight="1">
      <c r="A725" s="3">
        <v>36840</v>
      </c>
      <c r="B725" s="9">
        <v>0</v>
      </c>
      <c r="E725" s="5">
        <v>138700</v>
      </c>
      <c r="K725" s="22">
        <v>478</v>
      </c>
      <c r="L725" s="6">
        <v>489</v>
      </c>
      <c r="M725" s="125">
        <f t="shared" si="12"/>
        <v>11</v>
      </c>
      <c r="N725" s="7"/>
      <c r="O725" s="132"/>
      <c r="P725" s="175"/>
      <c r="V725" s="207"/>
    </row>
    <row r="726" spans="1:22" ht="15" customHeight="1">
      <c r="A726" s="3">
        <v>36843</v>
      </c>
      <c r="B726" s="9">
        <v>0</v>
      </c>
      <c r="E726" s="5">
        <v>138500</v>
      </c>
      <c r="K726" s="22">
        <v>461</v>
      </c>
      <c r="L726" s="6">
        <v>475</v>
      </c>
      <c r="M726" s="125">
        <f t="shared" si="12"/>
        <v>14</v>
      </c>
      <c r="N726" s="7"/>
      <c r="O726" s="132"/>
      <c r="P726" s="175"/>
      <c r="V726" s="207"/>
    </row>
    <row r="727" spans="1:22" ht="15" customHeight="1">
      <c r="A727" s="3">
        <v>36844</v>
      </c>
      <c r="B727" s="9">
        <v>0</v>
      </c>
      <c r="E727" s="5">
        <v>137650</v>
      </c>
      <c r="K727" s="22">
        <v>459.5</v>
      </c>
      <c r="L727" s="6">
        <v>474</v>
      </c>
      <c r="M727" s="125">
        <f t="shared" si="12"/>
        <v>14.5</v>
      </c>
      <c r="N727" s="7"/>
      <c r="O727" s="132"/>
      <c r="P727" s="175"/>
      <c r="V727" s="207"/>
    </row>
    <row r="728" spans="1:22" ht="15" customHeight="1">
      <c r="A728" s="3">
        <v>36845</v>
      </c>
      <c r="B728" s="9">
        <v>0</v>
      </c>
      <c r="E728" s="5">
        <v>137300</v>
      </c>
      <c r="K728" s="22">
        <v>466</v>
      </c>
      <c r="L728" s="6">
        <v>477</v>
      </c>
      <c r="M728" s="125">
        <f t="shared" si="12"/>
        <v>11</v>
      </c>
      <c r="N728" s="7"/>
      <c r="O728" s="132"/>
      <c r="P728" s="175"/>
      <c r="V728" s="207"/>
    </row>
    <row r="729" spans="1:22" ht="15" customHeight="1">
      <c r="A729" s="3">
        <v>36846</v>
      </c>
      <c r="B729" s="9">
        <v>0</v>
      </c>
      <c r="E729" s="5">
        <v>137200</v>
      </c>
      <c r="K729" s="22">
        <v>468</v>
      </c>
      <c r="L729" s="6">
        <v>481</v>
      </c>
      <c r="M729" s="125">
        <f t="shared" si="12"/>
        <v>13</v>
      </c>
      <c r="N729" s="7"/>
      <c r="O729" s="132"/>
      <c r="P729" s="175"/>
      <c r="V729" s="207"/>
    </row>
    <row r="730" spans="1:22" ht="15" customHeight="1">
      <c r="A730" s="3">
        <v>36847</v>
      </c>
      <c r="B730" s="9">
        <v>0</v>
      </c>
      <c r="E730" s="5">
        <v>136650</v>
      </c>
      <c r="K730" s="22">
        <v>461.5</v>
      </c>
      <c r="L730" s="6">
        <v>476</v>
      </c>
      <c r="M730" s="125">
        <f t="shared" si="12"/>
        <v>14.5</v>
      </c>
      <c r="N730" s="7"/>
      <c r="O730" s="132"/>
      <c r="P730" s="175"/>
      <c r="V730" s="207"/>
    </row>
    <row r="731" spans="1:22" ht="15" customHeight="1">
      <c r="A731" s="3">
        <v>36850</v>
      </c>
      <c r="B731" s="9">
        <v>0</v>
      </c>
      <c r="E731" s="5">
        <v>136475</v>
      </c>
      <c r="K731" s="22">
        <v>455</v>
      </c>
      <c r="L731" s="6">
        <v>472</v>
      </c>
      <c r="M731" s="125">
        <f t="shared" si="12"/>
        <v>17</v>
      </c>
      <c r="N731" s="7"/>
      <c r="O731" s="132"/>
      <c r="P731" s="175"/>
      <c r="V731" s="207"/>
    </row>
    <row r="732" spans="1:22" ht="15" customHeight="1">
      <c r="A732" s="3">
        <v>36851</v>
      </c>
      <c r="B732" s="9">
        <v>0</v>
      </c>
      <c r="E732" s="5">
        <v>135850</v>
      </c>
      <c r="K732" s="22">
        <v>449.5</v>
      </c>
      <c r="L732" s="6">
        <v>466</v>
      </c>
      <c r="M732" s="125">
        <f t="shared" si="12"/>
        <v>16.5</v>
      </c>
      <c r="N732" s="7"/>
      <c r="O732" s="132"/>
      <c r="P732" s="175"/>
      <c r="V732" s="207"/>
    </row>
    <row r="733" spans="1:22" ht="15" customHeight="1">
      <c r="A733" s="3">
        <v>36852</v>
      </c>
      <c r="B733" s="9">
        <v>0</v>
      </c>
      <c r="E733" s="5">
        <v>134725</v>
      </c>
      <c r="K733" s="22">
        <v>455</v>
      </c>
      <c r="L733" s="6">
        <v>472</v>
      </c>
      <c r="M733" s="125">
        <f t="shared" si="12"/>
        <v>17</v>
      </c>
      <c r="N733" s="7"/>
      <c r="O733" s="132"/>
      <c r="P733" s="175"/>
      <c r="V733" s="207"/>
    </row>
    <row r="734" spans="1:22" ht="15" customHeight="1">
      <c r="A734" s="3">
        <v>36853</v>
      </c>
      <c r="B734" s="9">
        <v>0</v>
      </c>
      <c r="E734" s="5">
        <v>134700</v>
      </c>
      <c r="K734" s="22">
        <v>455.5</v>
      </c>
      <c r="L734" s="6">
        <v>471</v>
      </c>
      <c r="M734" s="125">
        <f t="shared" si="12"/>
        <v>15.5</v>
      </c>
      <c r="N734" s="7"/>
      <c r="O734" s="132"/>
      <c r="P734" s="175"/>
      <c r="V734" s="207"/>
    </row>
    <row r="735" spans="1:22" ht="15" customHeight="1">
      <c r="A735" s="3">
        <v>36854</v>
      </c>
      <c r="B735" s="9">
        <v>0</v>
      </c>
      <c r="E735" s="5">
        <v>134600</v>
      </c>
      <c r="K735" s="22">
        <v>461.5</v>
      </c>
      <c r="L735" s="6">
        <v>478</v>
      </c>
      <c r="M735" s="125">
        <f t="shared" si="12"/>
        <v>16.5</v>
      </c>
      <c r="N735" s="7"/>
      <c r="O735" s="132"/>
      <c r="P735" s="175"/>
      <c r="V735" s="207"/>
    </row>
    <row r="736" spans="1:22" ht="15" customHeight="1">
      <c r="A736" s="3">
        <v>36857</v>
      </c>
      <c r="B736" s="9">
        <v>0</v>
      </c>
      <c r="E736" s="5">
        <v>135875</v>
      </c>
      <c r="K736" s="22">
        <v>466</v>
      </c>
      <c r="L736" s="6">
        <v>481</v>
      </c>
      <c r="M736" s="125">
        <f t="shared" si="12"/>
        <v>15</v>
      </c>
      <c r="N736" s="7"/>
      <c r="O736" s="132"/>
      <c r="P736" s="175"/>
      <c r="V736" s="207"/>
    </row>
    <row r="737" spans="1:22" ht="15" customHeight="1">
      <c r="A737" s="3">
        <v>36858</v>
      </c>
      <c r="B737" s="9">
        <v>0</v>
      </c>
      <c r="E737" s="5">
        <v>135675</v>
      </c>
      <c r="K737" s="22">
        <v>467.5</v>
      </c>
      <c r="L737" s="6">
        <v>483</v>
      </c>
      <c r="M737" s="125">
        <f t="shared" si="12"/>
        <v>15.5</v>
      </c>
      <c r="N737" s="7"/>
      <c r="O737" s="132"/>
      <c r="P737" s="175"/>
      <c r="V737" s="207"/>
    </row>
    <row r="738" spans="1:22" ht="15" customHeight="1">
      <c r="A738" s="3">
        <v>36859</v>
      </c>
      <c r="B738" s="9">
        <v>0</v>
      </c>
      <c r="E738" s="5">
        <v>136400</v>
      </c>
      <c r="K738" s="22">
        <v>463</v>
      </c>
      <c r="L738" s="6">
        <v>478</v>
      </c>
      <c r="M738" s="125">
        <f t="shared" si="12"/>
        <v>15</v>
      </c>
      <c r="N738" s="7"/>
      <c r="O738" s="132"/>
      <c r="P738" s="175"/>
      <c r="V738" s="207"/>
    </row>
    <row r="739" spans="1:22" ht="15" customHeight="1">
      <c r="A739" s="3">
        <v>36860</v>
      </c>
      <c r="B739" s="9">
        <v>0</v>
      </c>
      <c r="E739" s="5">
        <v>136225</v>
      </c>
      <c r="K739" s="22">
        <v>466</v>
      </c>
      <c r="L739" s="6">
        <v>483</v>
      </c>
      <c r="M739" s="125">
        <f t="shared" si="12"/>
        <v>17</v>
      </c>
      <c r="N739" s="7"/>
      <c r="O739" s="132"/>
      <c r="P739" s="175"/>
      <c r="V739" s="207"/>
    </row>
    <row r="740" spans="1:22" ht="15" customHeight="1">
      <c r="A740" s="3">
        <v>36861</v>
      </c>
      <c r="B740" s="9">
        <v>0</v>
      </c>
      <c r="E740" s="5">
        <v>135950</v>
      </c>
      <c r="K740" s="22">
        <v>466.5</v>
      </c>
      <c r="L740" s="6">
        <v>483.5</v>
      </c>
      <c r="M740" s="125">
        <f t="shared" si="12"/>
        <v>17</v>
      </c>
      <c r="N740" s="7"/>
      <c r="O740" s="132"/>
      <c r="P740" s="175"/>
      <c r="V740" s="207"/>
    </row>
    <row r="741" spans="1:22" ht="15" customHeight="1">
      <c r="A741" s="3">
        <v>36864</v>
      </c>
      <c r="B741" s="9">
        <v>0</v>
      </c>
      <c r="E741" s="5">
        <v>133550</v>
      </c>
      <c r="K741" s="22">
        <v>463.5</v>
      </c>
      <c r="L741" s="6">
        <v>476.5</v>
      </c>
      <c r="M741" s="125">
        <f t="shared" si="12"/>
        <v>13</v>
      </c>
      <c r="N741" s="7"/>
      <c r="O741" s="132"/>
      <c r="P741" s="175"/>
      <c r="V741" s="207"/>
    </row>
    <row r="742" spans="1:22" ht="15" customHeight="1">
      <c r="A742" s="3">
        <v>36865</v>
      </c>
      <c r="B742" s="9">
        <v>0</v>
      </c>
      <c r="E742" s="5">
        <v>133125</v>
      </c>
      <c r="K742" s="22">
        <v>457.5</v>
      </c>
      <c r="L742" s="6">
        <v>473</v>
      </c>
      <c r="M742" s="125">
        <f t="shared" si="12"/>
        <v>15.5</v>
      </c>
      <c r="N742" s="7"/>
      <c r="O742" s="132"/>
      <c r="P742" s="175"/>
      <c r="V742" s="207"/>
    </row>
    <row r="743" spans="1:22" ht="15" customHeight="1">
      <c r="A743" s="3">
        <v>36866</v>
      </c>
      <c r="B743" s="9">
        <v>0</v>
      </c>
      <c r="E743" s="5">
        <v>132500</v>
      </c>
      <c r="K743" s="22">
        <v>463</v>
      </c>
      <c r="L743" s="6">
        <v>478</v>
      </c>
      <c r="M743" s="125">
        <f t="shared" si="12"/>
        <v>15</v>
      </c>
      <c r="N743" s="7"/>
      <c r="O743" s="132"/>
      <c r="P743" s="175"/>
      <c r="V743" s="207"/>
    </row>
    <row r="744" spans="1:22" ht="15" customHeight="1">
      <c r="A744" s="3">
        <v>36867</v>
      </c>
      <c r="B744" s="9">
        <v>0</v>
      </c>
      <c r="E744" s="5">
        <v>132275</v>
      </c>
      <c r="K744" s="22">
        <v>467</v>
      </c>
      <c r="L744" s="6">
        <v>479</v>
      </c>
      <c r="M744" s="125">
        <f t="shared" si="12"/>
        <v>12</v>
      </c>
      <c r="N744" s="7"/>
      <c r="O744" s="132"/>
      <c r="P744" s="175"/>
      <c r="V744" s="207"/>
    </row>
    <row r="745" spans="1:22" ht="15" customHeight="1">
      <c r="A745" s="3">
        <v>36868</v>
      </c>
      <c r="B745" s="9">
        <v>0</v>
      </c>
      <c r="E745" s="5">
        <v>132300</v>
      </c>
      <c r="K745" s="22">
        <v>467</v>
      </c>
      <c r="L745" s="6">
        <v>481</v>
      </c>
      <c r="M745" s="125">
        <f t="shared" si="12"/>
        <v>14</v>
      </c>
      <c r="N745" s="7"/>
      <c r="O745" s="132"/>
      <c r="P745" s="175"/>
      <c r="V745" s="207"/>
    </row>
    <row r="746" spans="1:22" ht="15" customHeight="1">
      <c r="A746" s="3">
        <v>36871</v>
      </c>
      <c r="B746" s="9">
        <v>0</v>
      </c>
      <c r="E746" s="5">
        <v>132250</v>
      </c>
      <c r="K746" s="22">
        <v>463.5</v>
      </c>
      <c r="L746" s="6">
        <v>479</v>
      </c>
      <c r="M746" s="125">
        <f t="shared" si="12"/>
        <v>15.5</v>
      </c>
      <c r="N746" s="7"/>
      <c r="O746" s="132"/>
      <c r="P746" s="175"/>
      <c r="V746" s="207"/>
    </row>
    <row r="747" spans="1:22" ht="15" customHeight="1">
      <c r="A747" s="3">
        <v>36872</v>
      </c>
      <c r="B747" s="9">
        <v>0</v>
      </c>
      <c r="E747" s="5">
        <v>131925</v>
      </c>
      <c r="K747" s="22">
        <v>453.5</v>
      </c>
      <c r="L747" s="6">
        <v>469</v>
      </c>
      <c r="M747" s="125">
        <f t="shared" si="12"/>
        <v>15.5</v>
      </c>
      <c r="N747" s="7"/>
      <c r="O747" s="132"/>
      <c r="P747" s="175"/>
      <c r="V747" s="207"/>
    </row>
    <row r="748" spans="1:22" ht="15" customHeight="1">
      <c r="A748" s="3">
        <v>36873</v>
      </c>
      <c r="B748" s="9">
        <v>0</v>
      </c>
      <c r="E748" s="5">
        <v>131675</v>
      </c>
      <c r="K748" s="22">
        <v>446</v>
      </c>
      <c r="L748" s="6">
        <v>463</v>
      </c>
      <c r="M748" s="125">
        <f t="shared" si="12"/>
        <v>17</v>
      </c>
      <c r="N748" s="7"/>
      <c r="O748" s="132"/>
      <c r="P748" s="175"/>
      <c r="V748" s="207"/>
    </row>
    <row r="749" spans="1:22" ht="15" customHeight="1">
      <c r="A749" s="3">
        <v>36874</v>
      </c>
      <c r="B749" s="9">
        <v>0</v>
      </c>
      <c r="E749" s="5">
        <v>131175</v>
      </c>
      <c r="K749" s="22">
        <v>455.5</v>
      </c>
      <c r="L749" s="6">
        <v>471</v>
      </c>
      <c r="M749" s="125">
        <f t="shared" si="12"/>
        <v>15.5</v>
      </c>
      <c r="N749" s="7"/>
      <c r="O749" s="132"/>
      <c r="P749" s="175"/>
      <c r="V749" s="207"/>
    </row>
    <row r="750" spans="1:22" ht="15" customHeight="1">
      <c r="A750" s="3">
        <v>36875</v>
      </c>
      <c r="B750" s="9">
        <v>0</v>
      </c>
      <c r="E750" s="5">
        <v>131675</v>
      </c>
      <c r="K750" s="22">
        <v>454</v>
      </c>
      <c r="L750" s="6">
        <v>473</v>
      </c>
      <c r="M750" s="125">
        <f t="shared" si="12"/>
        <v>19</v>
      </c>
      <c r="N750" s="7"/>
      <c r="O750" s="132"/>
      <c r="P750" s="175"/>
      <c r="V750" s="207"/>
    </row>
    <row r="751" spans="1:22" ht="15" customHeight="1">
      <c r="A751" s="3">
        <v>36878</v>
      </c>
      <c r="B751" s="9">
        <v>0</v>
      </c>
      <c r="E751" s="5">
        <v>131525</v>
      </c>
      <c r="K751" s="22">
        <v>448</v>
      </c>
      <c r="L751" s="6">
        <v>464.5</v>
      </c>
      <c r="M751" s="125">
        <f t="shared" si="12"/>
        <v>16.5</v>
      </c>
      <c r="N751" s="7"/>
      <c r="O751" s="132"/>
      <c r="P751" s="175"/>
      <c r="V751" s="207"/>
    </row>
    <row r="752" spans="1:22" ht="15" customHeight="1">
      <c r="A752" s="3">
        <v>36879</v>
      </c>
      <c r="B752" s="9">
        <v>0</v>
      </c>
      <c r="E752" s="5">
        <v>131375</v>
      </c>
      <c r="K752" s="22">
        <v>452.5</v>
      </c>
      <c r="L752" s="6">
        <v>468</v>
      </c>
      <c r="M752" s="125">
        <f t="shared" si="12"/>
        <v>15.5</v>
      </c>
      <c r="N752" s="7"/>
      <c r="O752" s="132"/>
      <c r="P752" s="175"/>
      <c r="V752" s="207"/>
    </row>
    <row r="753" spans="1:22" ht="15" customHeight="1">
      <c r="A753" s="3">
        <v>36880</v>
      </c>
      <c r="B753" s="9">
        <v>0</v>
      </c>
      <c r="E753" s="5">
        <v>131325</v>
      </c>
      <c r="K753" s="22">
        <v>454</v>
      </c>
      <c r="L753" s="6">
        <v>470</v>
      </c>
      <c r="M753" s="125">
        <f t="shared" si="12"/>
        <v>16</v>
      </c>
      <c r="N753" s="7"/>
      <c r="O753" s="132"/>
      <c r="P753" s="175"/>
      <c r="V753" s="207"/>
    </row>
    <row r="754" spans="1:22" ht="15" customHeight="1">
      <c r="A754" s="3">
        <v>36881</v>
      </c>
      <c r="B754" s="9">
        <v>0</v>
      </c>
      <c r="E754" s="5">
        <v>130775</v>
      </c>
      <c r="K754" s="22">
        <v>466</v>
      </c>
      <c r="L754" s="6">
        <v>476.5</v>
      </c>
      <c r="M754" s="125">
        <f t="shared" si="12"/>
        <v>10.5</v>
      </c>
      <c r="N754" s="7"/>
      <c r="O754" s="132"/>
      <c r="P754" s="175"/>
      <c r="V754" s="207"/>
    </row>
    <row r="755" spans="1:22" ht="15" customHeight="1">
      <c r="A755" s="3">
        <v>36882</v>
      </c>
      <c r="B755" s="9">
        <v>0</v>
      </c>
      <c r="E755" s="5">
        <v>130725</v>
      </c>
      <c r="K755" s="22">
        <v>478</v>
      </c>
      <c r="L755" s="6">
        <v>493</v>
      </c>
      <c r="M755" s="125">
        <f t="shared" si="12"/>
        <v>15</v>
      </c>
      <c r="N755" s="7"/>
      <c r="O755" s="132"/>
      <c r="P755" s="175"/>
      <c r="V755" s="207"/>
    </row>
    <row r="756" spans="1:22" ht="15" customHeight="1">
      <c r="A756" s="3">
        <v>36887</v>
      </c>
      <c r="B756" s="9">
        <v>0</v>
      </c>
      <c r="E756" s="5">
        <v>130400</v>
      </c>
      <c r="K756" s="22">
        <v>480.5</v>
      </c>
      <c r="L756" s="6">
        <v>493</v>
      </c>
      <c r="M756" s="125">
        <f t="shared" si="12"/>
        <v>12.5</v>
      </c>
      <c r="N756" s="7"/>
      <c r="O756" s="132"/>
      <c r="P756" s="175"/>
      <c r="V756" s="207"/>
    </row>
    <row r="757" spans="1:22" ht="15" customHeight="1">
      <c r="A757" s="3">
        <v>36888</v>
      </c>
      <c r="B757" s="9">
        <v>0</v>
      </c>
      <c r="E757" s="5">
        <v>129900</v>
      </c>
      <c r="K757" s="22">
        <v>477.5</v>
      </c>
      <c r="L757" s="6">
        <v>490</v>
      </c>
      <c r="M757" s="125">
        <f t="shared" si="12"/>
        <v>12.5</v>
      </c>
      <c r="N757" s="7"/>
      <c r="O757" s="132"/>
      <c r="P757" s="175"/>
      <c r="V757" s="207"/>
    </row>
    <row r="758" spans="1:22" ht="15" customHeight="1">
      <c r="A758" s="3">
        <v>36889</v>
      </c>
      <c r="B758" s="9">
        <v>0</v>
      </c>
      <c r="E758" s="5">
        <v>130125</v>
      </c>
      <c r="K758" s="22">
        <v>471</v>
      </c>
      <c r="L758" s="6">
        <v>484</v>
      </c>
      <c r="M758" s="125">
        <f t="shared" si="12"/>
        <v>13</v>
      </c>
      <c r="N758" s="7"/>
      <c r="O758" s="132"/>
      <c r="P758" s="175"/>
      <c r="V758" s="207"/>
    </row>
    <row r="759" spans="1:22" ht="15" customHeight="1">
      <c r="A759" s="3">
        <v>36893</v>
      </c>
      <c r="B759" s="9">
        <v>76375</v>
      </c>
      <c r="C759" s="5">
        <v>7875</v>
      </c>
      <c r="D759" s="5" t="e">
        <f>E759-(#REF!+C759)</f>
        <v>#REF!</v>
      </c>
      <c r="E759" s="5">
        <v>130650</v>
      </c>
      <c r="K759" s="22">
        <v>467</v>
      </c>
      <c r="L759" s="6">
        <v>482</v>
      </c>
      <c r="M759" s="125">
        <f t="shared" ref="M759:M822" si="13">L759-K759</f>
        <v>15</v>
      </c>
      <c r="N759" s="7"/>
      <c r="O759" s="132"/>
      <c r="P759" s="175"/>
      <c r="V759" s="207"/>
    </row>
    <row r="760" spans="1:22" ht="15" customHeight="1">
      <c r="A760" s="3">
        <v>36894</v>
      </c>
      <c r="B760" s="9">
        <v>76875</v>
      </c>
      <c r="C760" s="5">
        <v>7875</v>
      </c>
      <c r="D760" s="5" t="e">
        <f>E760-(#REF!+C760)</f>
        <v>#REF!</v>
      </c>
      <c r="E760" s="5">
        <v>131150</v>
      </c>
      <c r="K760" s="22">
        <v>472</v>
      </c>
      <c r="L760" s="6">
        <v>485</v>
      </c>
      <c r="M760" s="125">
        <f t="shared" si="13"/>
        <v>13</v>
      </c>
      <c r="N760" s="7"/>
      <c r="O760" s="132"/>
      <c r="P760" s="175"/>
      <c r="V760" s="207"/>
    </row>
    <row r="761" spans="1:22" ht="15" customHeight="1">
      <c r="A761" s="3">
        <v>36895</v>
      </c>
      <c r="B761" s="9">
        <v>76850</v>
      </c>
      <c r="C761" s="5">
        <v>7875</v>
      </c>
      <c r="D761" s="5" t="e">
        <f>E761-(#REF!+C761)</f>
        <v>#REF!</v>
      </c>
      <c r="E761" s="5">
        <v>131075</v>
      </c>
      <c r="K761" s="22">
        <v>481.5</v>
      </c>
      <c r="L761" s="6">
        <v>495</v>
      </c>
      <c r="M761" s="125">
        <f t="shared" si="13"/>
        <v>13.5</v>
      </c>
      <c r="N761" s="7"/>
      <c r="O761" s="132"/>
      <c r="P761" s="175"/>
      <c r="V761" s="207"/>
    </row>
    <row r="762" spans="1:22" ht="15" customHeight="1">
      <c r="A762" s="3">
        <v>36896</v>
      </c>
      <c r="B762" s="9">
        <v>76850</v>
      </c>
      <c r="C762" s="5">
        <v>7875</v>
      </c>
      <c r="D762" s="5" t="e">
        <f>E762-(#REF!+C762)</f>
        <v>#REF!</v>
      </c>
      <c r="E762" s="5">
        <v>130875</v>
      </c>
      <c r="K762" s="22">
        <v>471</v>
      </c>
      <c r="L762" s="6">
        <v>485</v>
      </c>
      <c r="M762" s="125">
        <f t="shared" si="13"/>
        <v>14</v>
      </c>
      <c r="N762" s="7"/>
      <c r="O762" s="132"/>
      <c r="P762" s="175"/>
      <c r="V762" s="207"/>
    </row>
    <row r="763" spans="1:22" ht="15" customHeight="1">
      <c r="A763" s="3">
        <v>36899</v>
      </c>
      <c r="B763" s="9">
        <v>76850</v>
      </c>
      <c r="C763" s="5">
        <v>7875</v>
      </c>
      <c r="D763" s="5" t="e">
        <f>E763-(#REF!+C763)</f>
        <v>#REF!</v>
      </c>
      <c r="E763" s="5">
        <v>130800</v>
      </c>
      <c r="K763" s="22">
        <v>467</v>
      </c>
      <c r="L763" s="6">
        <v>482</v>
      </c>
      <c r="M763" s="125">
        <f t="shared" si="13"/>
        <v>15</v>
      </c>
      <c r="N763" s="7"/>
      <c r="O763" s="132"/>
      <c r="P763" s="175"/>
      <c r="V763" s="207"/>
    </row>
    <row r="764" spans="1:22" ht="15" customHeight="1">
      <c r="A764" s="3">
        <v>36900</v>
      </c>
      <c r="B764" s="9">
        <v>76625</v>
      </c>
      <c r="C764" s="5">
        <v>7875</v>
      </c>
      <c r="D764" s="5" t="e">
        <f>E764-(#REF!+C764)</f>
        <v>#REF!</v>
      </c>
      <c r="E764" s="5">
        <v>130450</v>
      </c>
      <c r="K764" s="22">
        <v>477.5</v>
      </c>
      <c r="L764" s="6">
        <v>492</v>
      </c>
      <c r="M764" s="125">
        <f t="shared" si="13"/>
        <v>14.5</v>
      </c>
      <c r="N764" s="7"/>
      <c r="O764" s="132"/>
      <c r="P764" s="175"/>
      <c r="V764" s="207"/>
    </row>
    <row r="765" spans="1:22" ht="15" customHeight="1">
      <c r="A765" s="3">
        <v>36901</v>
      </c>
      <c r="B765" s="9">
        <v>76575</v>
      </c>
      <c r="C765" s="5">
        <v>7875</v>
      </c>
      <c r="D765" s="5" t="e">
        <f>E765-(#REF!+C765)</f>
        <v>#REF!</v>
      </c>
      <c r="E765" s="5">
        <v>130175</v>
      </c>
      <c r="K765" s="22">
        <v>473</v>
      </c>
      <c r="L765" s="6">
        <v>486</v>
      </c>
      <c r="M765" s="125">
        <f t="shared" si="13"/>
        <v>13</v>
      </c>
      <c r="N765" s="7"/>
      <c r="O765" s="132"/>
      <c r="P765" s="175"/>
      <c r="V765" s="207"/>
    </row>
    <row r="766" spans="1:22" ht="15" customHeight="1">
      <c r="A766" s="3">
        <v>36902</v>
      </c>
      <c r="B766" s="9">
        <v>76425</v>
      </c>
      <c r="C766" s="5">
        <v>7875</v>
      </c>
      <c r="D766" s="5" t="e">
        <f>E766-(#REF!+C766)</f>
        <v>#REF!</v>
      </c>
      <c r="E766" s="5">
        <v>129875</v>
      </c>
      <c r="K766" s="22">
        <v>466</v>
      </c>
      <c r="L766" s="6">
        <v>481</v>
      </c>
      <c r="M766" s="125">
        <f t="shared" si="13"/>
        <v>15</v>
      </c>
      <c r="N766" s="7"/>
      <c r="O766" s="132"/>
      <c r="P766" s="175"/>
      <c r="V766" s="207"/>
    </row>
    <row r="767" spans="1:22" ht="15" customHeight="1">
      <c r="A767" s="3">
        <v>36903</v>
      </c>
      <c r="B767" s="9">
        <v>76150</v>
      </c>
      <c r="C767" s="5">
        <v>7875</v>
      </c>
      <c r="D767" s="5" t="e">
        <f>E767-(#REF!+C767)</f>
        <v>#REF!</v>
      </c>
      <c r="E767" s="5">
        <v>129475</v>
      </c>
      <c r="K767" s="22">
        <v>467.5</v>
      </c>
      <c r="L767" s="6">
        <v>479</v>
      </c>
      <c r="M767" s="125">
        <f t="shared" si="13"/>
        <v>11.5</v>
      </c>
      <c r="N767" s="7"/>
      <c r="O767" s="132"/>
      <c r="P767" s="175"/>
      <c r="V767" s="207"/>
    </row>
    <row r="768" spans="1:22" ht="15" customHeight="1">
      <c r="A768" s="3">
        <v>36906</v>
      </c>
      <c r="B768" s="9">
        <v>76050</v>
      </c>
      <c r="C768" s="5">
        <v>7875</v>
      </c>
      <c r="D768" s="5" t="e">
        <f>E768-(#REF!+C768)</f>
        <v>#REF!</v>
      </c>
      <c r="E768" s="5">
        <v>129300</v>
      </c>
      <c r="K768" s="22">
        <v>466.5</v>
      </c>
      <c r="L768" s="6">
        <v>480.5</v>
      </c>
      <c r="M768" s="125">
        <f t="shared" si="13"/>
        <v>14</v>
      </c>
      <c r="N768" s="7"/>
      <c r="O768" s="132"/>
      <c r="P768" s="175"/>
      <c r="V768" s="207"/>
    </row>
    <row r="769" spans="1:22" ht="15" customHeight="1">
      <c r="A769" s="3">
        <v>36907</v>
      </c>
      <c r="B769" s="9">
        <v>76075</v>
      </c>
      <c r="C769" s="5">
        <v>7875</v>
      </c>
      <c r="D769" s="5" t="e">
        <f>E769-(#REF!+C769)</f>
        <v>#REF!</v>
      </c>
      <c r="E769" s="5">
        <v>129250</v>
      </c>
      <c r="K769" s="22">
        <v>453</v>
      </c>
      <c r="L769" s="6">
        <v>469</v>
      </c>
      <c r="M769" s="125">
        <f t="shared" si="13"/>
        <v>16</v>
      </c>
      <c r="N769" s="7"/>
      <c r="O769" s="132"/>
      <c r="P769" s="175"/>
      <c r="V769" s="207"/>
    </row>
    <row r="770" spans="1:22" ht="15" customHeight="1">
      <c r="A770" s="3">
        <v>36908</v>
      </c>
      <c r="B770" s="9">
        <v>75675</v>
      </c>
      <c r="C770" s="5">
        <v>7875</v>
      </c>
      <c r="D770" s="5" t="e">
        <f>E770-(#REF!+C770)</f>
        <v>#REF!</v>
      </c>
      <c r="E770" s="5">
        <v>128750</v>
      </c>
      <c r="K770" s="22">
        <v>453.5</v>
      </c>
      <c r="L770" s="6">
        <v>468</v>
      </c>
      <c r="M770" s="125">
        <f t="shared" si="13"/>
        <v>14.5</v>
      </c>
      <c r="N770" s="7"/>
      <c r="O770" s="132"/>
      <c r="P770" s="175"/>
      <c r="V770" s="207"/>
    </row>
    <row r="771" spans="1:22" ht="15" customHeight="1">
      <c r="A771" s="3">
        <v>36909</v>
      </c>
      <c r="B771" s="9">
        <v>75550</v>
      </c>
      <c r="C771" s="5">
        <v>7875</v>
      </c>
      <c r="D771" s="5" t="e">
        <f>E771-(#REF!+C771)</f>
        <v>#REF!</v>
      </c>
      <c r="E771" s="5">
        <v>128550</v>
      </c>
      <c r="K771" s="22">
        <v>466</v>
      </c>
      <c r="L771" s="6">
        <v>478</v>
      </c>
      <c r="M771" s="125">
        <f t="shared" si="13"/>
        <v>12</v>
      </c>
      <c r="N771" s="7"/>
      <c r="O771" s="132"/>
      <c r="P771" s="175"/>
      <c r="V771" s="207"/>
    </row>
    <row r="772" spans="1:22" ht="15" customHeight="1">
      <c r="A772" s="3">
        <v>36910</v>
      </c>
      <c r="B772" s="9">
        <v>75550</v>
      </c>
      <c r="C772" s="5">
        <v>7875</v>
      </c>
      <c r="D772" s="5" t="e">
        <f>E772-(#REF!+C772)</f>
        <v>#REF!</v>
      </c>
      <c r="E772" s="5">
        <v>128500</v>
      </c>
      <c r="K772" s="22">
        <v>476</v>
      </c>
      <c r="L772" s="6">
        <v>483.5</v>
      </c>
      <c r="M772" s="125">
        <f t="shared" si="13"/>
        <v>7.5</v>
      </c>
      <c r="N772" s="7"/>
      <c r="O772" s="132"/>
      <c r="P772" s="175"/>
      <c r="V772" s="207"/>
    </row>
    <row r="773" spans="1:22" ht="15" customHeight="1">
      <c r="A773" s="3">
        <v>36913</v>
      </c>
      <c r="B773" s="9">
        <v>75125</v>
      </c>
      <c r="C773" s="5">
        <v>7875</v>
      </c>
      <c r="D773" s="5" t="e">
        <f>E773-(#REF!+C773)</f>
        <v>#REF!</v>
      </c>
      <c r="E773" s="5">
        <v>127975</v>
      </c>
      <c r="K773" s="22">
        <v>484</v>
      </c>
      <c r="L773" s="6">
        <v>494</v>
      </c>
      <c r="M773" s="125">
        <f t="shared" si="13"/>
        <v>10</v>
      </c>
      <c r="N773" s="7"/>
      <c r="O773" s="132"/>
      <c r="P773" s="175"/>
      <c r="V773" s="207"/>
    </row>
    <row r="774" spans="1:22" ht="15" customHeight="1">
      <c r="A774" s="3">
        <v>36914</v>
      </c>
      <c r="B774" s="9">
        <v>75300</v>
      </c>
      <c r="C774" s="5">
        <v>7875</v>
      </c>
      <c r="D774" s="5" t="e">
        <f>E774-(#REF!+C774)</f>
        <v>#REF!</v>
      </c>
      <c r="E774" s="5">
        <v>128100</v>
      </c>
      <c r="K774" s="22">
        <v>494</v>
      </c>
      <c r="L774" s="6">
        <v>499</v>
      </c>
      <c r="M774" s="125">
        <f t="shared" si="13"/>
        <v>5</v>
      </c>
      <c r="N774" s="7"/>
      <c r="O774" s="132"/>
      <c r="P774" s="175"/>
      <c r="V774" s="207"/>
    </row>
    <row r="775" spans="1:22" ht="15" customHeight="1">
      <c r="A775" s="3">
        <v>36915</v>
      </c>
      <c r="B775" s="9">
        <v>75300</v>
      </c>
      <c r="C775" s="5">
        <v>7875</v>
      </c>
      <c r="D775" s="5" t="e">
        <f>E775-(#REF!+C775)</f>
        <v>#REF!</v>
      </c>
      <c r="E775" s="5">
        <v>128075</v>
      </c>
      <c r="K775" s="22">
        <v>490.5</v>
      </c>
      <c r="L775" s="6">
        <v>495.5</v>
      </c>
      <c r="M775" s="125">
        <f t="shared" si="13"/>
        <v>5</v>
      </c>
      <c r="N775" s="7"/>
      <c r="O775" s="132"/>
      <c r="P775" s="175"/>
      <c r="V775" s="207"/>
    </row>
    <row r="776" spans="1:22" ht="15" customHeight="1">
      <c r="A776" s="3">
        <v>36916</v>
      </c>
      <c r="B776" s="9">
        <v>75300</v>
      </c>
      <c r="C776" s="5">
        <v>7875</v>
      </c>
      <c r="D776" s="5" t="e">
        <f>E776-(#REF!+C776)</f>
        <v>#REF!</v>
      </c>
      <c r="E776" s="5">
        <v>128050</v>
      </c>
      <c r="K776" s="22">
        <v>489</v>
      </c>
      <c r="L776" s="6">
        <v>495</v>
      </c>
      <c r="M776" s="125">
        <f t="shared" si="13"/>
        <v>6</v>
      </c>
      <c r="N776" s="7"/>
      <c r="O776" s="132"/>
      <c r="P776" s="175"/>
      <c r="V776" s="207"/>
    </row>
    <row r="777" spans="1:22" ht="15" customHeight="1">
      <c r="A777" s="3">
        <v>36917</v>
      </c>
      <c r="B777" s="9">
        <v>75300</v>
      </c>
      <c r="C777" s="5">
        <v>7875</v>
      </c>
      <c r="D777" s="5" t="e">
        <f>E777-(#REF!+C777)</f>
        <v>#REF!</v>
      </c>
      <c r="E777" s="5">
        <v>127850</v>
      </c>
      <c r="K777" s="22">
        <v>500</v>
      </c>
      <c r="L777" s="6">
        <v>504</v>
      </c>
      <c r="M777" s="125">
        <f t="shared" si="13"/>
        <v>4</v>
      </c>
      <c r="N777" s="7"/>
      <c r="O777" s="132"/>
      <c r="P777" s="175"/>
      <c r="V777" s="207"/>
    </row>
    <row r="778" spans="1:22" ht="15" customHeight="1">
      <c r="A778" s="3">
        <v>36920</v>
      </c>
      <c r="B778" s="9">
        <v>75275</v>
      </c>
      <c r="C778" s="5">
        <v>7875</v>
      </c>
      <c r="D778" s="5" t="e">
        <f>E778-(#REF!+C778)</f>
        <v>#REF!</v>
      </c>
      <c r="E778" s="5">
        <v>127650</v>
      </c>
      <c r="K778" s="22">
        <v>495</v>
      </c>
      <c r="L778" s="6">
        <v>503</v>
      </c>
      <c r="M778" s="125">
        <f t="shared" si="13"/>
        <v>8</v>
      </c>
      <c r="N778" s="7"/>
      <c r="O778" s="132"/>
      <c r="P778" s="175"/>
      <c r="V778" s="207"/>
    </row>
    <row r="779" spans="1:22" ht="15" customHeight="1">
      <c r="A779" s="3">
        <v>36921</v>
      </c>
      <c r="B779" s="9">
        <v>75675</v>
      </c>
      <c r="C779" s="5">
        <v>7875</v>
      </c>
      <c r="D779" s="5" t="e">
        <f>E779-(#REF!+C779)</f>
        <v>#REF!</v>
      </c>
      <c r="E779" s="5">
        <v>127700</v>
      </c>
      <c r="K779" s="22">
        <v>506</v>
      </c>
      <c r="L779" s="6">
        <v>511</v>
      </c>
      <c r="M779" s="125">
        <f t="shared" si="13"/>
        <v>5</v>
      </c>
      <c r="N779" s="7"/>
      <c r="O779" s="132"/>
      <c r="P779" s="175"/>
      <c r="V779" s="207"/>
    </row>
    <row r="780" spans="1:22" ht="15" customHeight="1">
      <c r="A780" s="3">
        <v>36922</v>
      </c>
      <c r="B780" s="9">
        <v>75675</v>
      </c>
      <c r="C780" s="5">
        <v>7875</v>
      </c>
      <c r="D780" s="5" t="e">
        <f>E780-(#REF!+C780)</f>
        <v>#REF!</v>
      </c>
      <c r="E780" s="5">
        <v>127200</v>
      </c>
      <c r="K780" s="22">
        <v>501</v>
      </c>
      <c r="L780" s="6">
        <v>507</v>
      </c>
      <c r="M780" s="125">
        <f t="shared" si="13"/>
        <v>6</v>
      </c>
      <c r="N780" s="7"/>
      <c r="O780" s="132"/>
      <c r="P780" s="175"/>
      <c r="V780" s="207"/>
    </row>
    <row r="781" spans="1:22" ht="15" customHeight="1">
      <c r="A781" s="3">
        <v>36923</v>
      </c>
      <c r="B781" s="9">
        <v>75575</v>
      </c>
      <c r="C781" s="5">
        <v>7875</v>
      </c>
      <c r="D781" s="5" t="e">
        <f>E781-(#REF!+C781)</f>
        <v>#REF!</v>
      </c>
      <c r="E781" s="5">
        <v>126975</v>
      </c>
      <c r="K781" s="22">
        <v>512.5</v>
      </c>
      <c r="L781" s="6">
        <v>508</v>
      </c>
      <c r="M781" s="125">
        <f t="shared" si="13"/>
        <v>-4.5</v>
      </c>
      <c r="N781" s="7"/>
      <c r="O781" s="132"/>
      <c r="P781" s="175"/>
      <c r="V781" s="207"/>
    </row>
    <row r="782" spans="1:22" ht="15" customHeight="1">
      <c r="A782" s="3">
        <v>36924</v>
      </c>
      <c r="B782" s="9">
        <v>75575</v>
      </c>
      <c r="C782" s="5">
        <v>7875</v>
      </c>
      <c r="D782" s="5" t="e">
        <f>E782-(#REF!+C782)</f>
        <v>#REF!</v>
      </c>
      <c r="E782" s="5">
        <v>132725</v>
      </c>
      <c r="K782" s="22">
        <v>496.5</v>
      </c>
      <c r="L782" s="6">
        <v>496</v>
      </c>
      <c r="M782" s="125">
        <f t="shared" si="13"/>
        <v>-0.5</v>
      </c>
      <c r="N782" s="7"/>
      <c r="O782" s="132"/>
      <c r="P782" s="175"/>
      <c r="V782" s="207"/>
    </row>
    <row r="783" spans="1:22" ht="15" customHeight="1">
      <c r="A783" s="3">
        <v>36927</v>
      </c>
      <c r="B783" s="9">
        <v>75425</v>
      </c>
      <c r="C783" s="5">
        <v>7875</v>
      </c>
      <c r="D783" s="5" t="e">
        <f>E783-(#REF!+C783)</f>
        <v>#REF!</v>
      </c>
      <c r="E783" s="5">
        <v>132550</v>
      </c>
      <c r="K783" s="22">
        <v>488.5</v>
      </c>
      <c r="L783" s="6">
        <v>492</v>
      </c>
      <c r="M783" s="125">
        <f t="shared" si="13"/>
        <v>3.5</v>
      </c>
      <c r="N783" s="7"/>
      <c r="O783" s="132"/>
      <c r="P783" s="175"/>
      <c r="V783" s="207"/>
    </row>
    <row r="784" spans="1:22" ht="15" customHeight="1">
      <c r="A784" s="3">
        <v>36928</v>
      </c>
      <c r="B784" s="9">
        <v>76300</v>
      </c>
      <c r="C784" s="5">
        <v>9525</v>
      </c>
      <c r="D784" s="5" t="e">
        <f>E784-(#REF!+C784)</f>
        <v>#REF!</v>
      </c>
      <c r="E784" s="5">
        <v>137000</v>
      </c>
      <c r="K784" s="22">
        <v>483</v>
      </c>
      <c r="L784" s="6">
        <v>489</v>
      </c>
      <c r="M784" s="125">
        <f t="shared" si="13"/>
        <v>6</v>
      </c>
      <c r="N784" s="7"/>
      <c r="O784" s="132"/>
      <c r="P784" s="175"/>
      <c r="V784" s="207"/>
    </row>
    <row r="785" spans="1:22" ht="15" customHeight="1">
      <c r="A785" s="3">
        <v>36929</v>
      </c>
      <c r="B785" s="9">
        <v>76200</v>
      </c>
      <c r="C785" s="5">
        <v>12250</v>
      </c>
      <c r="D785" s="5" t="e">
        <f>E785-(#REF!+C785)</f>
        <v>#REF!</v>
      </c>
      <c r="E785" s="5">
        <v>141075</v>
      </c>
      <c r="K785" s="22">
        <v>497</v>
      </c>
      <c r="L785" s="6">
        <v>499</v>
      </c>
      <c r="M785" s="125">
        <f t="shared" si="13"/>
        <v>2</v>
      </c>
      <c r="N785" s="7"/>
      <c r="O785" s="132"/>
      <c r="P785" s="175"/>
      <c r="V785" s="207"/>
    </row>
    <row r="786" spans="1:22" ht="15" customHeight="1">
      <c r="A786" s="3">
        <v>36930</v>
      </c>
      <c r="B786" s="9">
        <v>74800</v>
      </c>
      <c r="C786" s="5">
        <v>13775</v>
      </c>
      <c r="D786" s="5" t="e">
        <f>E786-(#REF!+C786)</f>
        <v>#REF!</v>
      </c>
      <c r="E786" s="5">
        <v>142475</v>
      </c>
      <c r="K786" s="22">
        <v>510</v>
      </c>
      <c r="L786" s="6">
        <v>507</v>
      </c>
      <c r="M786" s="125">
        <f t="shared" si="13"/>
        <v>-3</v>
      </c>
      <c r="N786" s="7"/>
      <c r="O786" s="132"/>
      <c r="P786" s="175"/>
      <c r="V786" s="207"/>
    </row>
    <row r="787" spans="1:22" ht="15" customHeight="1">
      <c r="A787" s="3">
        <v>36931</v>
      </c>
      <c r="B787" s="9">
        <v>74750</v>
      </c>
      <c r="C787" s="5">
        <v>14725</v>
      </c>
      <c r="D787" s="5" t="e">
        <f>E787-(#REF!+C787)</f>
        <v>#REF!</v>
      </c>
      <c r="E787" s="5">
        <v>143250</v>
      </c>
      <c r="K787" s="22">
        <v>507</v>
      </c>
      <c r="L787" s="6">
        <v>505</v>
      </c>
      <c r="M787" s="125">
        <f t="shared" si="13"/>
        <v>-2</v>
      </c>
      <c r="N787" s="7"/>
      <c r="O787" s="132"/>
      <c r="P787" s="175"/>
      <c r="V787" s="207"/>
    </row>
    <row r="788" spans="1:22" ht="15" customHeight="1">
      <c r="A788" s="3">
        <v>36934</v>
      </c>
      <c r="B788" s="9">
        <v>74525</v>
      </c>
      <c r="C788" s="5">
        <v>14725</v>
      </c>
      <c r="D788" s="5" t="e">
        <f>E788-(#REF!+C788)</f>
        <v>#REF!</v>
      </c>
      <c r="E788" s="5">
        <v>142975</v>
      </c>
      <c r="K788" s="22">
        <v>499.5</v>
      </c>
      <c r="L788" s="6">
        <v>500</v>
      </c>
      <c r="M788" s="125">
        <f t="shared" si="13"/>
        <v>0.5</v>
      </c>
      <c r="N788" s="7"/>
      <c r="O788" s="132"/>
      <c r="P788" s="175"/>
      <c r="V788" s="207"/>
    </row>
    <row r="789" spans="1:22" ht="15" customHeight="1">
      <c r="A789" s="3">
        <v>36935</v>
      </c>
      <c r="B789" s="9">
        <v>74375</v>
      </c>
      <c r="C789" s="5">
        <v>14725</v>
      </c>
      <c r="D789" s="5" t="e">
        <f>E789-(#REF!+C789)</f>
        <v>#REF!</v>
      </c>
      <c r="E789" s="5">
        <v>142575</v>
      </c>
      <c r="K789" s="22">
        <v>510</v>
      </c>
      <c r="L789" s="6">
        <v>505.5</v>
      </c>
      <c r="M789" s="125">
        <f t="shared" si="13"/>
        <v>-4.5</v>
      </c>
      <c r="N789" s="7"/>
      <c r="O789" s="132"/>
      <c r="P789" s="175"/>
      <c r="V789" s="207"/>
    </row>
    <row r="790" spans="1:22" ht="15" customHeight="1">
      <c r="A790" s="3">
        <v>36936</v>
      </c>
      <c r="B790" s="9">
        <v>74375</v>
      </c>
      <c r="C790" s="5">
        <v>14725</v>
      </c>
      <c r="D790" s="5" t="e">
        <f>E790-(#REF!+C790)</f>
        <v>#REF!</v>
      </c>
      <c r="E790" s="5">
        <v>142150</v>
      </c>
      <c r="K790" s="22">
        <v>502</v>
      </c>
      <c r="L790" s="6">
        <v>502</v>
      </c>
      <c r="M790" s="125">
        <f t="shared" si="13"/>
        <v>0</v>
      </c>
      <c r="N790" s="7"/>
      <c r="O790" s="132"/>
      <c r="P790" s="175"/>
      <c r="V790" s="207"/>
    </row>
    <row r="791" spans="1:22" ht="15" customHeight="1">
      <c r="A791" s="3">
        <v>36937</v>
      </c>
      <c r="B791" s="9">
        <v>74375</v>
      </c>
      <c r="C791" s="5">
        <v>15725</v>
      </c>
      <c r="D791" s="5" t="e">
        <f>E791-(#REF!+C791)</f>
        <v>#REF!</v>
      </c>
      <c r="E791" s="5">
        <v>142750</v>
      </c>
      <c r="K791" s="22">
        <v>510.5</v>
      </c>
      <c r="L791" s="6">
        <v>508</v>
      </c>
      <c r="M791" s="125">
        <f t="shared" si="13"/>
        <v>-2.5</v>
      </c>
      <c r="N791" s="7"/>
      <c r="O791" s="132"/>
      <c r="P791" s="175"/>
      <c r="V791" s="207"/>
    </row>
    <row r="792" spans="1:22" ht="15" customHeight="1">
      <c r="A792" s="3">
        <v>36938</v>
      </c>
      <c r="B792" s="9">
        <v>74400</v>
      </c>
      <c r="C792" s="5">
        <v>15725</v>
      </c>
      <c r="D792" s="5" t="e">
        <f>E792-(#REF!+C792)</f>
        <v>#REF!</v>
      </c>
      <c r="E792" s="5">
        <v>142350</v>
      </c>
      <c r="K792" s="22">
        <v>506.5</v>
      </c>
      <c r="L792" s="6">
        <v>505</v>
      </c>
      <c r="M792" s="125">
        <f t="shared" si="13"/>
        <v>-1.5</v>
      </c>
      <c r="N792" s="7"/>
      <c r="O792" s="132"/>
      <c r="P792" s="175"/>
      <c r="V792" s="207"/>
    </row>
    <row r="793" spans="1:22" ht="15" customHeight="1">
      <c r="A793" s="3">
        <v>36941</v>
      </c>
      <c r="B793" s="9">
        <v>74375</v>
      </c>
      <c r="C793" s="5">
        <v>15725</v>
      </c>
      <c r="D793" s="5" t="e">
        <f>E793-(#REF!+C793)</f>
        <v>#REF!</v>
      </c>
      <c r="E793" s="5">
        <v>142225</v>
      </c>
      <c r="K793" s="22">
        <v>505</v>
      </c>
      <c r="L793" s="6">
        <v>503</v>
      </c>
      <c r="M793" s="125">
        <f t="shared" si="13"/>
        <v>-2</v>
      </c>
      <c r="N793" s="7"/>
      <c r="O793" s="132"/>
      <c r="P793" s="175"/>
      <c r="V793" s="207"/>
    </row>
    <row r="794" spans="1:22" ht="15" customHeight="1">
      <c r="A794" s="3">
        <v>36942</v>
      </c>
      <c r="B794" s="9">
        <v>73475</v>
      </c>
      <c r="C794" s="5">
        <v>15725</v>
      </c>
      <c r="D794" s="5" t="e">
        <f>E794-(#REF!+C794)</f>
        <v>#REF!</v>
      </c>
      <c r="E794" s="5">
        <v>141100</v>
      </c>
      <c r="K794" s="22">
        <v>505.5</v>
      </c>
      <c r="L794" s="6">
        <v>502</v>
      </c>
      <c r="M794" s="125">
        <f t="shared" si="13"/>
        <v>-3.5</v>
      </c>
      <c r="N794" s="7"/>
      <c r="O794" s="132"/>
      <c r="P794" s="175"/>
      <c r="V794" s="207"/>
    </row>
    <row r="795" spans="1:22" ht="15" customHeight="1">
      <c r="A795" s="3">
        <v>36943</v>
      </c>
      <c r="B795" s="9">
        <v>73475</v>
      </c>
      <c r="C795" s="5">
        <v>15625</v>
      </c>
      <c r="D795" s="5" t="e">
        <f>E795-(#REF!+C795)</f>
        <v>#REF!</v>
      </c>
      <c r="E795" s="5">
        <v>140500</v>
      </c>
      <c r="K795" s="22">
        <v>502</v>
      </c>
      <c r="L795" s="6">
        <v>497</v>
      </c>
      <c r="M795" s="125">
        <f t="shared" si="13"/>
        <v>-5</v>
      </c>
      <c r="N795" s="7"/>
      <c r="O795" s="132"/>
      <c r="P795" s="175"/>
      <c r="V795" s="207"/>
    </row>
    <row r="796" spans="1:22" ht="15" customHeight="1">
      <c r="A796" s="3">
        <v>36944</v>
      </c>
      <c r="B796" s="9">
        <v>74875</v>
      </c>
      <c r="C796" s="5">
        <v>15625</v>
      </c>
      <c r="D796" s="5" t="e">
        <f>E796-(#REF!+C796)</f>
        <v>#REF!</v>
      </c>
      <c r="E796" s="5">
        <v>141575</v>
      </c>
      <c r="K796" s="22">
        <v>493</v>
      </c>
      <c r="L796" s="6">
        <v>489</v>
      </c>
      <c r="M796" s="125">
        <f t="shared" si="13"/>
        <v>-4</v>
      </c>
      <c r="N796" s="7"/>
      <c r="O796" s="132"/>
      <c r="P796" s="175"/>
      <c r="V796" s="207"/>
    </row>
    <row r="797" spans="1:22" ht="15" customHeight="1">
      <c r="A797" s="3">
        <v>36945</v>
      </c>
      <c r="B797" s="9">
        <v>74775</v>
      </c>
      <c r="C797" s="5">
        <v>15625</v>
      </c>
      <c r="D797" s="5" t="e">
        <f>E797-(#REF!+C797)</f>
        <v>#REF!</v>
      </c>
      <c r="E797" s="5">
        <v>141125</v>
      </c>
      <c r="K797" s="22">
        <v>493.5</v>
      </c>
      <c r="L797" s="6">
        <v>494</v>
      </c>
      <c r="M797" s="125">
        <f t="shared" si="13"/>
        <v>0.5</v>
      </c>
      <c r="N797" s="7"/>
      <c r="O797" s="132"/>
      <c r="P797" s="175"/>
      <c r="V797" s="207"/>
    </row>
    <row r="798" spans="1:22" ht="15" customHeight="1">
      <c r="A798" s="3">
        <v>36948</v>
      </c>
      <c r="B798" s="9">
        <v>74575</v>
      </c>
      <c r="C798" s="5">
        <v>15625</v>
      </c>
      <c r="D798" s="5" t="e">
        <f>E798-(#REF!+C798)</f>
        <v>#REF!</v>
      </c>
      <c r="E798" s="5">
        <v>140500</v>
      </c>
      <c r="K798" s="22">
        <v>498.5</v>
      </c>
      <c r="L798" s="6">
        <v>497</v>
      </c>
      <c r="M798" s="125">
        <f t="shared" si="13"/>
        <v>-1.5</v>
      </c>
      <c r="N798" s="7"/>
      <c r="O798" s="132"/>
      <c r="P798" s="175"/>
      <c r="V798" s="207"/>
    </row>
    <row r="799" spans="1:22" ht="15" customHeight="1">
      <c r="A799" s="3">
        <v>36949</v>
      </c>
      <c r="B799" s="9">
        <v>73900</v>
      </c>
      <c r="C799" s="5">
        <v>15775</v>
      </c>
      <c r="D799" s="5" t="e">
        <f>E799-(#REF!+C799)</f>
        <v>#REF!</v>
      </c>
      <c r="E799" s="5">
        <v>139650</v>
      </c>
      <c r="K799" s="22">
        <v>503</v>
      </c>
      <c r="L799" s="6">
        <v>502</v>
      </c>
      <c r="M799" s="125">
        <f t="shared" si="13"/>
        <v>-1</v>
      </c>
      <c r="N799" s="7"/>
      <c r="O799" s="132"/>
      <c r="P799" s="175"/>
      <c r="V799" s="207"/>
    </row>
    <row r="800" spans="1:22" ht="15" customHeight="1">
      <c r="A800" s="3">
        <v>36950</v>
      </c>
      <c r="B800" s="9">
        <v>73700</v>
      </c>
      <c r="C800" s="5">
        <v>19150</v>
      </c>
      <c r="D800" s="5" t="e">
        <f>E800-(#REF!+C800)</f>
        <v>#REF!</v>
      </c>
      <c r="E800" s="5">
        <v>142625</v>
      </c>
      <c r="K800" s="22">
        <v>512.5</v>
      </c>
      <c r="L800" s="6">
        <v>512</v>
      </c>
      <c r="M800" s="125">
        <f t="shared" si="13"/>
        <v>-0.5</v>
      </c>
      <c r="N800" s="7"/>
      <c r="O800" s="132"/>
      <c r="P800" s="175"/>
      <c r="V800" s="207"/>
    </row>
    <row r="801" spans="1:22" ht="15" customHeight="1">
      <c r="A801" s="3">
        <v>36951</v>
      </c>
      <c r="B801" s="9">
        <v>73600</v>
      </c>
      <c r="C801" s="5">
        <v>20975</v>
      </c>
      <c r="D801" s="5" t="e">
        <f>E801-(#REF!+C801)</f>
        <v>#REF!</v>
      </c>
      <c r="E801" s="5">
        <v>143950</v>
      </c>
      <c r="K801" s="22">
        <v>512</v>
      </c>
      <c r="L801" s="6">
        <v>511</v>
      </c>
      <c r="M801" s="125">
        <f t="shared" si="13"/>
        <v>-1</v>
      </c>
      <c r="N801" s="7"/>
      <c r="O801" s="132"/>
      <c r="P801" s="175"/>
      <c r="V801" s="207"/>
    </row>
    <row r="802" spans="1:22" ht="15" customHeight="1">
      <c r="A802" s="3">
        <v>36952</v>
      </c>
      <c r="B802" s="9">
        <v>73350</v>
      </c>
      <c r="C802" s="5">
        <v>21125</v>
      </c>
      <c r="D802" s="5" t="e">
        <f>E802-(#REF!+C802)</f>
        <v>#REF!</v>
      </c>
      <c r="E802" s="5">
        <v>143700</v>
      </c>
      <c r="K802" s="22">
        <v>509</v>
      </c>
      <c r="L802" s="6">
        <v>507</v>
      </c>
      <c r="M802" s="125">
        <f t="shared" si="13"/>
        <v>-2</v>
      </c>
      <c r="N802" s="7"/>
      <c r="O802" s="132"/>
      <c r="P802" s="175"/>
      <c r="V802" s="207"/>
    </row>
    <row r="803" spans="1:22" ht="15" customHeight="1">
      <c r="A803" s="3">
        <v>36955</v>
      </c>
      <c r="B803" s="9">
        <v>73075</v>
      </c>
      <c r="C803" s="5">
        <v>21125</v>
      </c>
      <c r="D803" s="5" t="e">
        <f>E803-(#REF!+C803)</f>
        <v>#REF!</v>
      </c>
      <c r="E803" s="5">
        <v>143275</v>
      </c>
      <c r="K803" s="22">
        <v>509</v>
      </c>
      <c r="L803" s="6">
        <v>509</v>
      </c>
      <c r="M803" s="125">
        <f t="shared" si="13"/>
        <v>0</v>
      </c>
      <c r="N803" s="7"/>
      <c r="O803" s="132"/>
      <c r="P803" s="175"/>
      <c r="V803" s="207"/>
    </row>
    <row r="804" spans="1:22" ht="15" customHeight="1">
      <c r="A804" s="3">
        <v>36956</v>
      </c>
      <c r="B804" s="9">
        <v>72725</v>
      </c>
      <c r="C804" s="5">
        <v>21075</v>
      </c>
      <c r="D804" s="5" t="e">
        <f>E804-(#REF!+C804)</f>
        <v>#REF!</v>
      </c>
      <c r="E804" s="5">
        <v>142550</v>
      </c>
      <c r="K804" s="22">
        <v>512</v>
      </c>
      <c r="L804" s="6">
        <v>510</v>
      </c>
      <c r="M804" s="125">
        <f t="shared" si="13"/>
        <v>-2</v>
      </c>
      <c r="N804" s="7"/>
      <c r="O804" s="132"/>
      <c r="P804" s="175"/>
      <c r="V804" s="207"/>
    </row>
    <row r="805" spans="1:22" ht="15" customHeight="1">
      <c r="A805" s="3">
        <v>36957</v>
      </c>
      <c r="B805" s="9">
        <v>72725</v>
      </c>
      <c r="C805" s="5">
        <v>21400</v>
      </c>
      <c r="D805" s="5" t="e">
        <f>E805-(#REF!+C805)</f>
        <v>#REF!</v>
      </c>
      <c r="E805" s="5">
        <v>142775</v>
      </c>
      <c r="K805" s="22">
        <v>509.5</v>
      </c>
      <c r="L805" s="6">
        <v>509.5</v>
      </c>
      <c r="M805" s="125">
        <f t="shared" si="13"/>
        <v>0</v>
      </c>
      <c r="N805" s="7"/>
      <c r="O805" s="132"/>
      <c r="P805" s="175"/>
      <c r="V805" s="207"/>
    </row>
    <row r="806" spans="1:22" ht="15" customHeight="1">
      <c r="A806" s="3">
        <v>36958</v>
      </c>
      <c r="B806" s="9">
        <v>72650</v>
      </c>
      <c r="C806" s="5">
        <v>22100</v>
      </c>
      <c r="D806" s="5" t="e">
        <f>E806-(#REF!+C806)</f>
        <v>#REF!</v>
      </c>
      <c r="E806" s="5">
        <v>143300</v>
      </c>
      <c r="K806" s="22">
        <v>516.5</v>
      </c>
      <c r="L806" s="6">
        <v>518.5</v>
      </c>
      <c r="M806" s="125">
        <f t="shared" si="13"/>
        <v>2</v>
      </c>
      <c r="N806" s="7"/>
      <c r="O806" s="132"/>
      <c r="P806" s="175"/>
      <c r="V806" s="207"/>
    </row>
    <row r="807" spans="1:22" ht="15" customHeight="1">
      <c r="A807" s="3">
        <v>36959</v>
      </c>
      <c r="B807" s="9">
        <v>72350</v>
      </c>
      <c r="C807" s="5">
        <v>22025</v>
      </c>
      <c r="D807" s="5" t="e">
        <f>E807-(#REF!+C807)</f>
        <v>#REF!</v>
      </c>
      <c r="E807" s="5">
        <v>142725</v>
      </c>
      <c r="K807" s="22">
        <v>517</v>
      </c>
      <c r="L807" s="6">
        <v>516</v>
      </c>
      <c r="M807" s="125">
        <f t="shared" si="13"/>
        <v>-1</v>
      </c>
      <c r="N807" s="7"/>
      <c r="O807" s="132"/>
      <c r="P807" s="175"/>
      <c r="V807" s="207"/>
    </row>
    <row r="808" spans="1:22" ht="15" customHeight="1">
      <c r="A808" s="3">
        <v>36962</v>
      </c>
      <c r="B808" s="9">
        <v>72050</v>
      </c>
      <c r="C808" s="5">
        <v>21925</v>
      </c>
      <c r="D808" s="5" t="e">
        <f>E808-(#REF!+C808)</f>
        <v>#REF!</v>
      </c>
      <c r="E808" s="5">
        <v>142075</v>
      </c>
      <c r="K808" s="22">
        <v>522.5</v>
      </c>
      <c r="L808" s="6">
        <v>521</v>
      </c>
      <c r="M808" s="125">
        <f t="shared" si="13"/>
        <v>-1.5</v>
      </c>
      <c r="N808" s="7"/>
      <c r="O808" s="132"/>
      <c r="P808" s="175"/>
      <c r="V808" s="207"/>
    </row>
    <row r="809" spans="1:22" ht="15" customHeight="1">
      <c r="A809" s="3">
        <v>36963</v>
      </c>
      <c r="B809" s="9">
        <v>72100</v>
      </c>
      <c r="C809" s="5">
        <v>21800</v>
      </c>
      <c r="D809" s="5" t="e">
        <f>E809-(#REF!+C809)</f>
        <v>#REF!</v>
      </c>
      <c r="E809" s="5">
        <v>141700</v>
      </c>
      <c r="K809" s="22">
        <v>506.5</v>
      </c>
      <c r="L809" s="6">
        <v>508.5</v>
      </c>
      <c r="M809" s="125">
        <f t="shared" si="13"/>
        <v>2</v>
      </c>
      <c r="N809" s="7"/>
      <c r="O809" s="132"/>
      <c r="P809" s="175"/>
      <c r="V809" s="207"/>
    </row>
    <row r="810" spans="1:22" ht="15" customHeight="1">
      <c r="A810" s="3">
        <v>36964</v>
      </c>
      <c r="B810" s="9">
        <v>73450</v>
      </c>
      <c r="C810" s="5">
        <v>21700</v>
      </c>
      <c r="D810" s="5" t="e">
        <f>E810-(#REF!+C810)</f>
        <v>#REF!</v>
      </c>
      <c r="E810" s="5">
        <v>142675</v>
      </c>
      <c r="K810" s="22">
        <v>497.5</v>
      </c>
      <c r="L810" s="6">
        <v>504.5</v>
      </c>
      <c r="M810" s="125">
        <f t="shared" si="13"/>
        <v>7</v>
      </c>
      <c r="N810" s="7"/>
      <c r="O810" s="132"/>
      <c r="P810" s="175"/>
      <c r="V810" s="207"/>
    </row>
    <row r="811" spans="1:22" ht="15" customHeight="1">
      <c r="A811" s="3">
        <v>36965</v>
      </c>
      <c r="B811" s="9">
        <v>73425</v>
      </c>
      <c r="C811" s="5">
        <v>21650</v>
      </c>
      <c r="D811" s="5" t="e">
        <f>E811-(#REF!+C811)</f>
        <v>#REF!</v>
      </c>
      <c r="E811" s="5">
        <v>142300</v>
      </c>
      <c r="K811" s="22">
        <v>493</v>
      </c>
      <c r="L811" s="6">
        <v>500</v>
      </c>
      <c r="M811" s="125">
        <f t="shared" si="13"/>
        <v>7</v>
      </c>
      <c r="N811" s="7"/>
      <c r="O811" s="132"/>
      <c r="P811" s="175"/>
      <c r="V811" s="207"/>
    </row>
    <row r="812" spans="1:22" ht="15" customHeight="1">
      <c r="A812" s="3">
        <v>36966</v>
      </c>
      <c r="B812" s="9">
        <v>73425</v>
      </c>
      <c r="C812" s="5">
        <v>21650</v>
      </c>
      <c r="D812" s="5" t="e">
        <f>E812-(#REF!+C812)</f>
        <v>#REF!</v>
      </c>
      <c r="E812" s="5">
        <v>141925</v>
      </c>
      <c r="K812" s="22">
        <v>502</v>
      </c>
      <c r="L812" s="6">
        <v>508</v>
      </c>
      <c r="M812" s="125">
        <f t="shared" si="13"/>
        <v>6</v>
      </c>
      <c r="N812" s="7"/>
      <c r="O812" s="132"/>
      <c r="P812" s="175"/>
      <c r="V812" s="207"/>
    </row>
    <row r="813" spans="1:22" ht="15" customHeight="1">
      <c r="A813" s="3">
        <v>36969</v>
      </c>
      <c r="B813" s="9">
        <v>74250</v>
      </c>
      <c r="C813" s="5">
        <v>21425</v>
      </c>
      <c r="D813" s="5" t="e">
        <f>E813-(#REF!+C813)</f>
        <v>#REF!</v>
      </c>
      <c r="E813" s="5">
        <v>142075</v>
      </c>
      <c r="K813" s="22">
        <v>501</v>
      </c>
      <c r="L813" s="6">
        <v>508.5</v>
      </c>
      <c r="M813" s="125">
        <f t="shared" si="13"/>
        <v>7.5</v>
      </c>
      <c r="N813" s="7"/>
      <c r="O813" s="132"/>
      <c r="P813" s="175"/>
      <c r="V813" s="207"/>
    </row>
    <row r="814" spans="1:22" ht="15" customHeight="1">
      <c r="A814" s="3">
        <v>36970</v>
      </c>
      <c r="B814" s="9">
        <v>74200</v>
      </c>
      <c r="C814" s="5">
        <v>21275</v>
      </c>
      <c r="D814" s="5" t="e">
        <f>E814-(#REF!+C814)</f>
        <v>#REF!</v>
      </c>
      <c r="E814" s="5">
        <v>141525</v>
      </c>
      <c r="K814" s="22">
        <v>499.5</v>
      </c>
      <c r="L814" s="6">
        <v>508</v>
      </c>
      <c r="M814" s="125">
        <f t="shared" si="13"/>
        <v>8.5</v>
      </c>
      <c r="N814" s="7"/>
      <c r="O814" s="132"/>
      <c r="P814" s="175"/>
      <c r="V814" s="207"/>
    </row>
    <row r="815" spans="1:22" ht="15" customHeight="1">
      <c r="A815" s="3">
        <v>36971</v>
      </c>
      <c r="B815" s="9">
        <v>75050</v>
      </c>
      <c r="C815" s="5">
        <v>21050</v>
      </c>
      <c r="D815" s="5" t="e">
        <f>E815-(#REF!+C815)</f>
        <v>#REF!</v>
      </c>
      <c r="E815" s="5">
        <v>141675</v>
      </c>
      <c r="K815" s="22">
        <v>485</v>
      </c>
      <c r="L815" s="6">
        <v>494</v>
      </c>
      <c r="M815" s="125">
        <f t="shared" si="13"/>
        <v>9</v>
      </c>
      <c r="N815" s="7"/>
      <c r="O815" s="132"/>
      <c r="P815" s="175"/>
      <c r="V815" s="207"/>
    </row>
    <row r="816" spans="1:22" ht="15" customHeight="1">
      <c r="A816" s="3">
        <v>36972</v>
      </c>
      <c r="B816" s="9">
        <v>76000</v>
      </c>
      <c r="C816" s="5">
        <v>20775</v>
      </c>
      <c r="D816" s="5" t="e">
        <f>E816-(#REF!+C816)</f>
        <v>#REF!</v>
      </c>
      <c r="E816" s="5">
        <v>141850</v>
      </c>
      <c r="K816" s="22">
        <v>481.5</v>
      </c>
      <c r="L816" s="6">
        <v>491</v>
      </c>
      <c r="M816" s="125">
        <f t="shared" si="13"/>
        <v>9.5</v>
      </c>
      <c r="N816" s="7"/>
      <c r="O816" s="132"/>
      <c r="P816" s="175"/>
      <c r="V816" s="207"/>
    </row>
    <row r="817" spans="1:22" ht="15" customHeight="1">
      <c r="A817" s="3">
        <v>36973</v>
      </c>
      <c r="B817" s="9">
        <v>75825</v>
      </c>
      <c r="C817" s="5">
        <v>20550</v>
      </c>
      <c r="D817" s="5" t="e">
        <f>E817-(#REF!+C817)</f>
        <v>#REF!</v>
      </c>
      <c r="E817" s="5">
        <v>141175</v>
      </c>
      <c r="K817" s="22">
        <v>490</v>
      </c>
      <c r="L817" s="6">
        <v>499</v>
      </c>
      <c r="M817" s="125">
        <f t="shared" si="13"/>
        <v>9</v>
      </c>
      <c r="N817" s="7"/>
      <c r="O817" s="132"/>
      <c r="P817" s="175"/>
      <c r="V817" s="207"/>
    </row>
    <row r="818" spans="1:22" ht="15" customHeight="1">
      <c r="A818" s="3">
        <v>36976</v>
      </c>
      <c r="B818" s="9">
        <v>75750</v>
      </c>
      <c r="C818" s="5">
        <v>20125</v>
      </c>
      <c r="D818" s="5" t="e">
        <f>E818-(#REF!+C818)</f>
        <v>#REF!</v>
      </c>
      <c r="E818" s="5">
        <v>140450</v>
      </c>
      <c r="K818" s="22">
        <v>492</v>
      </c>
      <c r="L818" s="6">
        <v>503</v>
      </c>
      <c r="M818" s="125">
        <f t="shared" si="13"/>
        <v>11</v>
      </c>
      <c r="N818" s="7"/>
      <c r="O818" s="132"/>
      <c r="P818" s="175"/>
      <c r="V818" s="207"/>
    </row>
    <row r="819" spans="1:22" ht="15" customHeight="1">
      <c r="A819" s="3">
        <v>36977</v>
      </c>
      <c r="B819" s="9">
        <v>75100</v>
      </c>
      <c r="C819" s="5">
        <v>19900</v>
      </c>
      <c r="D819" s="5" t="e">
        <f>E819-(#REF!+C819)</f>
        <v>#REF!</v>
      </c>
      <c r="E819" s="5">
        <v>139225</v>
      </c>
      <c r="K819" s="22">
        <v>481.5</v>
      </c>
      <c r="L819" s="6">
        <v>496</v>
      </c>
      <c r="M819" s="125">
        <f t="shared" si="13"/>
        <v>14.5</v>
      </c>
      <c r="N819" s="7"/>
      <c r="O819" s="132"/>
      <c r="P819" s="175"/>
      <c r="V819" s="207"/>
    </row>
    <row r="820" spans="1:22" ht="15" customHeight="1">
      <c r="A820" s="3">
        <v>36978</v>
      </c>
      <c r="B820" s="9">
        <v>74925</v>
      </c>
      <c r="C820" s="5">
        <v>19850</v>
      </c>
      <c r="D820" s="5" t="e">
        <f>E820-(#REF!+C820)</f>
        <v>#REF!</v>
      </c>
      <c r="E820" s="5">
        <v>138925</v>
      </c>
      <c r="K820" s="22">
        <v>476</v>
      </c>
      <c r="L820" s="6">
        <v>491</v>
      </c>
      <c r="M820" s="125">
        <f t="shared" si="13"/>
        <v>15</v>
      </c>
      <c r="N820" s="7"/>
      <c r="O820" s="132"/>
      <c r="P820" s="175"/>
      <c r="V820" s="207"/>
    </row>
    <row r="821" spans="1:22" ht="15" customHeight="1">
      <c r="A821" s="3">
        <v>36979</v>
      </c>
      <c r="B821" s="9">
        <v>74950</v>
      </c>
      <c r="C821" s="5">
        <v>19775</v>
      </c>
      <c r="D821" s="5" t="e">
        <f>E821-(#REF!+C821)</f>
        <v>#REF!</v>
      </c>
      <c r="E821" s="5">
        <v>138725</v>
      </c>
      <c r="K821" s="22">
        <v>473.5</v>
      </c>
      <c r="L821" s="6">
        <v>488.5</v>
      </c>
      <c r="M821" s="125">
        <f t="shared" si="13"/>
        <v>15</v>
      </c>
      <c r="N821" s="7"/>
      <c r="O821" s="132"/>
      <c r="P821" s="175"/>
      <c r="V821" s="207"/>
    </row>
    <row r="822" spans="1:22" ht="15" customHeight="1">
      <c r="A822" s="3">
        <v>36980</v>
      </c>
      <c r="B822" s="9">
        <v>76450</v>
      </c>
      <c r="C822" s="5">
        <v>19700</v>
      </c>
      <c r="D822" s="5" t="e">
        <f>E822-(#REF!+C822)</f>
        <v>#REF!</v>
      </c>
      <c r="E822" s="5">
        <v>139975</v>
      </c>
      <c r="K822" s="22">
        <v>478</v>
      </c>
      <c r="L822" s="6">
        <v>492.5</v>
      </c>
      <c r="M822" s="125">
        <f t="shared" si="13"/>
        <v>14.5</v>
      </c>
      <c r="N822" s="7"/>
      <c r="O822" s="132"/>
      <c r="P822" s="175"/>
      <c r="V822" s="207"/>
    </row>
    <row r="823" spans="1:22" ht="15" customHeight="1">
      <c r="A823" s="3">
        <v>36983</v>
      </c>
      <c r="B823" s="9">
        <v>77175</v>
      </c>
      <c r="C823" s="5">
        <v>19700</v>
      </c>
      <c r="D823" s="5" t="e">
        <f>E823-(#REF!+C823)</f>
        <v>#REF!</v>
      </c>
      <c r="E823" s="5">
        <v>140550</v>
      </c>
      <c r="K823" s="22">
        <v>470</v>
      </c>
      <c r="L823" s="6">
        <v>487</v>
      </c>
      <c r="M823" s="125">
        <f t="shared" ref="M823:M886" si="14">L823-K823</f>
        <v>17</v>
      </c>
      <c r="N823" s="7"/>
      <c r="O823" s="132"/>
      <c r="P823" s="175"/>
      <c r="V823" s="207"/>
    </row>
    <row r="824" spans="1:22" ht="15" customHeight="1">
      <c r="A824" s="3">
        <v>36984</v>
      </c>
      <c r="B824" s="9">
        <v>76850</v>
      </c>
      <c r="C824" s="5">
        <v>19300</v>
      </c>
      <c r="D824" s="5" t="e">
        <f>E824-(#REF!+C824)</f>
        <v>#REF!</v>
      </c>
      <c r="E824" s="5">
        <v>139450</v>
      </c>
      <c r="K824" s="22">
        <v>476</v>
      </c>
      <c r="L824" s="6">
        <v>489</v>
      </c>
      <c r="M824" s="125">
        <f t="shared" si="14"/>
        <v>13</v>
      </c>
      <c r="N824" s="7"/>
      <c r="O824" s="132"/>
      <c r="P824" s="175"/>
      <c r="V824" s="207"/>
    </row>
    <row r="825" spans="1:22" ht="15" customHeight="1">
      <c r="A825" s="3">
        <v>36985</v>
      </c>
      <c r="B825" s="9">
        <v>76800</v>
      </c>
      <c r="C825" s="5">
        <v>19100</v>
      </c>
      <c r="D825" s="5" t="e">
        <f>E825-(#REF!+C825)</f>
        <v>#REF!</v>
      </c>
      <c r="E825" s="5">
        <v>139050</v>
      </c>
      <c r="K825" s="22">
        <v>482</v>
      </c>
      <c r="L825" s="6">
        <v>492</v>
      </c>
      <c r="M825" s="125">
        <f t="shared" si="14"/>
        <v>10</v>
      </c>
      <c r="N825" s="7"/>
      <c r="O825" s="132"/>
      <c r="P825" s="175"/>
      <c r="V825" s="207"/>
    </row>
    <row r="826" spans="1:22" ht="15" customHeight="1">
      <c r="A826" s="3">
        <v>36986</v>
      </c>
      <c r="B826" s="9">
        <v>76600</v>
      </c>
      <c r="C826" s="5">
        <v>18925</v>
      </c>
      <c r="D826" s="5" t="e">
        <f>E826-(#REF!+C826)</f>
        <v>#REF!</v>
      </c>
      <c r="E826" s="5">
        <v>138500</v>
      </c>
      <c r="K826" s="22">
        <v>479</v>
      </c>
      <c r="L826" s="6">
        <v>489</v>
      </c>
      <c r="M826" s="125">
        <f t="shared" si="14"/>
        <v>10</v>
      </c>
      <c r="N826" s="7"/>
      <c r="O826" s="132"/>
      <c r="P826" s="175"/>
      <c r="V826" s="207"/>
    </row>
    <row r="827" spans="1:22" ht="15" customHeight="1">
      <c r="A827" s="3">
        <v>36987</v>
      </c>
      <c r="B827" s="9">
        <v>76350</v>
      </c>
      <c r="C827" s="5">
        <v>18825</v>
      </c>
      <c r="D827" s="5" t="e">
        <f>E827-(#REF!+C827)</f>
        <v>#REF!</v>
      </c>
      <c r="E827" s="5">
        <v>137750</v>
      </c>
      <c r="K827" s="22">
        <v>487</v>
      </c>
      <c r="L827" s="6">
        <v>495</v>
      </c>
      <c r="M827" s="125">
        <f t="shared" si="14"/>
        <v>8</v>
      </c>
      <c r="N827" s="7"/>
      <c r="O827" s="132"/>
      <c r="P827" s="175"/>
      <c r="V827" s="207"/>
    </row>
    <row r="828" spans="1:22" ht="15" customHeight="1">
      <c r="A828" s="3">
        <v>36990</v>
      </c>
      <c r="B828" s="9">
        <v>76225</v>
      </c>
      <c r="C828" s="5">
        <v>18725</v>
      </c>
      <c r="D828" s="5" t="e">
        <f>E828-(#REF!+C828)</f>
        <v>#REF!</v>
      </c>
      <c r="E828" s="5">
        <v>137075</v>
      </c>
      <c r="K828" s="22">
        <v>476</v>
      </c>
      <c r="L828" s="6">
        <v>486</v>
      </c>
      <c r="M828" s="125">
        <f t="shared" si="14"/>
        <v>10</v>
      </c>
      <c r="N828" s="7"/>
      <c r="O828" s="132"/>
      <c r="P828" s="175"/>
      <c r="V828" s="207"/>
    </row>
    <row r="829" spans="1:22" ht="15" customHeight="1">
      <c r="A829" s="3">
        <v>36991</v>
      </c>
      <c r="B829" s="9">
        <v>75875</v>
      </c>
      <c r="C829" s="5">
        <v>18625</v>
      </c>
      <c r="D829" s="5" t="e">
        <f>E829-(#REF!+C829)</f>
        <v>#REF!</v>
      </c>
      <c r="E829" s="5">
        <v>136200</v>
      </c>
      <c r="K829" s="22">
        <v>486</v>
      </c>
      <c r="L829" s="6">
        <v>496</v>
      </c>
      <c r="M829" s="125">
        <f t="shared" si="14"/>
        <v>10</v>
      </c>
      <c r="N829" s="7"/>
      <c r="O829" s="132"/>
      <c r="P829" s="175"/>
      <c r="V829" s="207"/>
    </row>
    <row r="830" spans="1:22" ht="15" customHeight="1">
      <c r="A830" s="3">
        <v>36992</v>
      </c>
      <c r="B830" s="9">
        <v>75775</v>
      </c>
      <c r="C830" s="5">
        <v>19150</v>
      </c>
      <c r="D830" s="5" t="e">
        <f>E830-(#REF!+C830)</f>
        <v>#REF!</v>
      </c>
      <c r="E830" s="5">
        <v>136175</v>
      </c>
      <c r="K830" s="22">
        <v>489</v>
      </c>
      <c r="L830" s="6">
        <v>495</v>
      </c>
      <c r="M830" s="125">
        <f t="shared" si="14"/>
        <v>6</v>
      </c>
      <c r="N830" s="7"/>
      <c r="O830" s="132"/>
      <c r="P830" s="175"/>
      <c r="V830" s="207"/>
    </row>
    <row r="831" spans="1:22" ht="15" customHeight="1">
      <c r="A831" s="3">
        <v>36993</v>
      </c>
      <c r="B831" s="9">
        <v>75425</v>
      </c>
      <c r="C831" s="5">
        <v>19900</v>
      </c>
      <c r="D831" s="5" t="e">
        <f>E831-(#REF!+C831)</f>
        <v>#REF!</v>
      </c>
      <c r="E831" s="5">
        <v>136450</v>
      </c>
      <c r="K831" s="22">
        <v>480</v>
      </c>
      <c r="L831" s="6">
        <v>494.5</v>
      </c>
      <c r="M831" s="125">
        <f t="shared" si="14"/>
        <v>14.5</v>
      </c>
      <c r="N831" s="7"/>
      <c r="O831" s="132"/>
      <c r="P831" s="175"/>
      <c r="V831" s="207"/>
    </row>
    <row r="832" spans="1:22" ht="15" customHeight="1">
      <c r="A832" s="3">
        <v>36998</v>
      </c>
      <c r="B832" s="9">
        <v>75350</v>
      </c>
      <c r="C832" s="5">
        <v>20425</v>
      </c>
      <c r="D832" s="5" t="e">
        <f>E832-(#REF!+C832)</f>
        <v>#REF!</v>
      </c>
      <c r="E832" s="5">
        <v>136850</v>
      </c>
      <c r="K832" s="22">
        <v>479</v>
      </c>
      <c r="L832" s="6">
        <v>491</v>
      </c>
      <c r="M832" s="125">
        <f t="shared" si="14"/>
        <v>12</v>
      </c>
      <c r="N832" s="7"/>
      <c r="O832" s="132"/>
      <c r="P832" s="175"/>
      <c r="V832" s="207"/>
    </row>
    <row r="833" spans="1:22" ht="15" customHeight="1">
      <c r="A833" s="3">
        <v>36999</v>
      </c>
      <c r="B833" s="9">
        <v>74825</v>
      </c>
      <c r="C833" s="5">
        <v>20900</v>
      </c>
      <c r="D833" s="5" t="e">
        <f>E833-(#REF!+C833)</f>
        <v>#REF!</v>
      </c>
      <c r="E833" s="5">
        <v>136800</v>
      </c>
      <c r="K833" s="22">
        <v>479</v>
      </c>
      <c r="L833" s="6">
        <v>490</v>
      </c>
      <c r="M833" s="125">
        <f t="shared" si="14"/>
        <v>11</v>
      </c>
      <c r="N833" s="7"/>
      <c r="O833" s="132"/>
      <c r="P833" s="175"/>
      <c r="V833" s="207"/>
    </row>
    <row r="834" spans="1:22" ht="15" customHeight="1">
      <c r="A834" s="3">
        <v>37000</v>
      </c>
      <c r="B834" s="9">
        <v>74725</v>
      </c>
      <c r="C834" s="5">
        <v>21600</v>
      </c>
      <c r="D834" s="5" t="e">
        <f>E834-(#REF!+C834)</f>
        <v>#REF!</v>
      </c>
      <c r="E834" s="5">
        <v>137300</v>
      </c>
      <c r="K834" s="22">
        <v>478</v>
      </c>
      <c r="L834" s="6">
        <v>490</v>
      </c>
      <c r="M834" s="125">
        <f t="shared" si="14"/>
        <v>12</v>
      </c>
      <c r="N834" s="7"/>
      <c r="O834" s="132"/>
      <c r="P834" s="175"/>
      <c r="V834" s="207"/>
    </row>
    <row r="835" spans="1:22" ht="15" customHeight="1">
      <c r="A835" s="3">
        <v>37001</v>
      </c>
      <c r="B835" s="9">
        <v>74575</v>
      </c>
      <c r="C835" s="5">
        <v>22100</v>
      </c>
      <c r="D835" s="5" t="e">
        <f>E835-(#REF!+C835)</f>
        <v>#REF!</v>
      </c>
      <c r="E835" s="5">
        <v>137650</v>
      </c>
      <c r="K835" s="22">
        <v>477</v>
      </c>
      <c r="L835" s="6">
        <v>490</v>
      </c>
      <c r="M835" s="125">
        <f t="shared" si="14"/>
        <v>13</v>
      </c>
      <c r="N835" s="7"/>
      <c r="O835" s="132"/>
      <c r="P835" s="175"/>
      <c r="V835" s="207"/>
    </row>
    <row r="836" spans="1:22" ht="15" customHeight="1">
      <c r="A836" s="3">
        <v>37004</v>
      </c>
      <c r="B836" s="9">
        <v>74500</v>
      </c>
      <c r="C836" s="5">
        <v>22000</v>
      </c>
      <c r="D836" s="5" t="e">
        <f>E836-(#REF!+C836)</f>
        <v>#REF!</v>
      </c>
      <c r="E836" s="5">
        <v>137475</v>
      </c>
      <c r="K836" s="22">
        <v>472.5</v>
      </c>
      <c r="L836" s="6">
        <v>487</v>
      </c>
      <c r="M836" s="125">
        <f t="shared" si="14"/>
        <v>14.5</v>
      </c>
      <c r="N836" s="7"/>
      <c r="O836" s="132"/>
      <c r="P836" s="175"/>
      <c r="V836" s="207"/>
    </row>
    <row r="837" spans="1:22" ht="15" customHeight="1">
      <c r="A837" s="3">
        <v>37005</v>
      </c>
      <c r="B837" s="9">
        <v>75950</v>
      </c>
      <c r="C837" s="5">
        <v>21925</v>
      </c>
      <c r="D837" s="5" t="e">
        <f>E837-(#REF!+C837)</f>
        <v>#REF!</v>
      </c>
      <c r="E837" s="5">
        <v>138800</v>
      </c>
      <c r="K837" s="22">
        <v>473</v>
      </c>
      <c r="L837" s="6">
        <v>486</v>
      </c>
      <c r="M837" s="125">
        <f t="shared" si="14"/>
        <v>13</v>
      </c>
      <c r="N837" s="7"/>
      <c r="O837" s="132"/>
      <c r="P837" s="175"/>
      <c r="V837" s="207"/>
    </row>
    <row r="838" spans="1:22" ht="15" customHeight="1">
      <c r="A838" s="3">
        <v>37006</v>
      </c>
      <c r="B838" s="9">
        <v>75725</v>
      </c>
      <c r="C838" s="5">
        <v>21725</v>
      </c>
      <c r="D838" s="5" t="e">
        <f>E838-(#REF!+C838)</f>
        <v>#REF!</v>
      </c>
      <c r="E838" s="5">
        <v>138275</v>
      </c>
      <c r="K838" s="22">
        <v>473</v>
      </c>
      <c r="L838" s="6">
        <v>487</v>
      </c>
      <c r="M838" s="125">
        <f t="shared" si="14"/>
        <v>14</v>
      </c>
      <c r="N838" s="7"/>
      <c r="O838" s="132"/>
      <c r="P838" s="175"/>
      <c r="V838" s="207"/>
    </row>
    <row r="839" spans="1:22" ht="15" customHeight="1">
      <c r="A839" s="3">
        <v>37007</v>
      </c>
      <c r="B839" s="9">
        <v>75175</v>
      </c>
      <c r="C839" s="5">
        <v>21500</v>
      </c>
      <c r="D839" s="5" t="e">
        <f>E839-(#REF!+C839)</f>
        <v>#REF!</v>
      </c>
      <c r="E839" s="5">
        <v>137500</v>
      </c>
      <c r="K839" s="22">
        <v>475</v>
      </c>
      <c r="L839" s="6">
        <v>489</v>
      </c>
      <c r="M839" s="125">
        <f t="shared" si="14"/>
        <v>14</v>
      </c>
      <c r="N839" s="7"/>
      <c r="O839" s="132"/>
      <c r="P839" s="175"/>
      <c r="V839" s="207"/>
    </row>
    <row r="840" spans="1:22" ht="15" customHeight="1">
      <c r="A840" s="3">
        <v>37008</v>
      </c>
      <c r="B840" s="9">
        <v>76175</v>
      </c>
      <c r="C840" s="5">
        <v>21350</v>
      </c>
      <c r="D840" s="5" t="e">
        <f>E840-(#REF!+C840)</f>
        <v>#REF!</v>
      </c>
      <c r="E840" s="5">
        <v>138350</v>
      </c>
      <c r="K840" s="22">
        <v>472</v>
      </c>
      <c r="L840" s="6">
        <v>485.5</v>
      </c>
      <c r="M840" s="125">
        <f t="shared" si="14"/>
        <v>13.5</v>
      </c>
      <c r="N840" s="7"/>
      <c r="O840" s="132"/>
      <c r="P840" s="175"/>
      <c r="V840" s="207"/>
    </row>
    <row r="841" spans="1:22" ht="15" customHeight="1">
      <c r="A841" s="3">
        <v>37011</v>
      </c>
      <c r="B841" s="9">
        <v>75825</v>
      </c>
      <c r="C841" s="5">
        <v>21250</v>
      </c>
      <c r="D841" s="5" t="e">
        <f>E841-(#REF!+C841)</f>
        <v>#REF!</v>
      </c>
      <c r="E841" s="5">
        <v>137900</v>
      </c>
      <c r="K841" s="22">
        <v>469</v>
      </c>
      <c r="L841" s="6">
        <v>484</v>
      </c>
      <c r="M841" s="125">
        <f t="shared" si="14"/>
        <v>15</v>
      </c>
      <c r="N841" s="7"/>
      <c r="O841" s="132"/>
      <c r="P841" s="175"/>
      <c r="V841" s="207"/>
    </row>
    <row r="842" spans="1:22" ht="15" customHeight="1">
      <c r="A842" s="3">
        <v>37012</v>
      </c>
      <c r="B842" s="9">
        <v>75725</v>
      </c>
      <c r="C842" s="5">
        <v>21150</v>
      </c>
      <c r="D842" s="5" t="e">
        <f>E842-(#REF!+C842)</f>
        <v>#REF!</v>
      </c>
      <c r="E842" s="5">
        <v>137700</v>
      </c>
      <c r="K842" s="22">
        <v>462.5</v>
      </c>
      <c r="L842" s="6">
        <v>477</v>
      </c>
      <c r="M842" s="125">
        <f t="shared" si="14"/>
        <v>14.5</v>
      </c>
      <c r="N842" s="7"/>
      <c r="O842" s="132"/>
      <c r="P842" s="175"/>
      <c r="V842" s="207"/>
    </row>
    <row r="843" spans="1:22" ht="15" customHeight="1">
      <c r="A843" s="3">
        <v>37013</v>
      </c>
      <c r="B843" s="9">
        <v>75725</v>
      </c>
      <c r="C843" s="5">
        <v>21000</v>
      </c>
      <c r="D843" s="5" t="e">
        <f>E843-(#REF!+C843)</f>
        <v>#REF!</v>
      </c>
      <c r="E843" s="5">
        <v>137550</v>
      </c>
      <c r="K843" s="22">
        <v>461</v>
      </c>
      <c r="L843" s="6">
        <v>477</v>
      </c>
      <c r="M843" s="125">
        <f t="shared" si="14"/>
        <v>16</v>
      </c>
      <c r="N843" s="7"/>
      <c r="O843" s="132"/>
      <c r="P843" s="175"/>
      <c r="V843" s="207"/>
    </row>
    <row r="844" spans="1:22" ht="15" customHeight="1">
      <c r="A844" s="3">
        <v>37014</v>
      </c>
      <c r="B844" s="9">
        <v>78350</v>
      </c>
      <c r="C844" s="5">
        <v>20825</v>
      </c>
      <c r="D844" s="5" t="e">
        <f>E844-(#REF!+C844)</f>
        <v>#REF!</v>
      </c>
      <c r="E844" s="5">
        <v>139900</v>
      </c>
      <c r="K844" s="22">
        <v>461.5</v>
      </c>
      <c r="L844" s="6">
        <v>477</v>
      </c>
      <c r="M844" s="125">
        <f t="shared" si="14"/>
        <v>15.5</v>
      </c>
      <c r="N844" s="7"/>
      <c r="O844" s="132"/>
      <c r="P844" s="175"/>
      <c r="V844" s="207"/>
    </row>
    <row r="845" spans="1:22" ht="15" customHeight="1">
      <c r="A845" s="3">
        <v>37015</v>
      </c>
      <c r="B845" s="9">
        <v>78900</v>
      </c>
      <c r="C845" s="5">
        <v>20675</v>
      </c>
      <c r="D845" s="5" t="e">
        <f>E845-(#REF!+C845)</f>
        <v>#REF!</v>
      </c>
      <c r="E845" s="5">
        <v>140150</v>
      </c>
      <c r="K845" s="22">
        <v>460</v>
      </c>
      <c r="L845" s="6">
        <v>477</v>
      </c>
      <c r="M845" s="125">
        <f t="shared" si="14"/>
        <v>17</v>
      </c>
      <c r="N845" s="7"/>
      <c r="O845" s="132"/>
      <c r="P845" s="175"/>
      <c r="V845" s="207"/>
    </row>
    <row r="846" spans="1:22" ht="15" customHeight="1">
      <c r="A846" s="3">
        <v>37019</v>
      </c>
      <c r="B846" s="9">
        <v>77975</v>
      </c>
      <c r="C846" s="5">
        <v>20500</v>
      </c>
      <c r="D846" s="5" t="e">
        <f>E846-(#REF!+C846)</f>
        <v>#REF!</v>
      </c>
      <c r="E846" s="5">
        <v>138950</v>
      </c>
      <c r="K846" s="22">
        <v>461</v>
      </c>
      <c r="L846" s="6">
        <v>476.5</v>
      </c>
      <c r="M846" s="125">
        <f t="shared" si="14"/>
        <v>15.5</v>
      </c>
      <c r="N846" s="7"/>
      <c r="O846" s="132"/>
      <c r="P846" s="175"/>
      <c r="V846" s="207"/>
    </row>
    <row r="847" spans="1:22" ht="15" customHeight="1">
      <c r="A847" s="3">
        <v>37020</v>
      </c>
      <c r="B847" s="9">
        <v>78300</v>
      </c>
      <c r="C847" s="5">
        <v>20275</v>
      </c>
      <c r="D847" s="5" t="e">
        <f>E847-(#REF!+C847)</f>
        <v>#REF!</v>
      </c>
      <c r="E847" s="5">
        <v>138725</v>
      </c>
      <c r="K847" s="22">
        <v>458</v>
      </c>
      <c r="L847" s="6">
        <v>474</v>
      </c>
      <c r="M847" s="125">
        <f t="shared" si="14"/>
        <v>16</v>
      </c>
      <c r="N847" s="7"/>
      <c r="O847" s="132"/>
      <c r="P847" s="175"/>
      <c r="V847" s="207"/>
    </row>
    <row r="848" spans="1:22" ht="15" customHeight="1">
      <c r="A848" s="3">
        <v>37021</v>
      </c>
      <c r="B848" s="9">
        <v>78050</v>
      </c>
      <c r="C848" s="5">
        <v>20200</v>
      </c>
      <c r="D848" s="5" t="e">
        <f>E848-(#REF!+C848)</f>
        <v>#REF!</v>
      </c>
      <c r="E848" s="5">
        <v>138150</v>
      </c>
      <c r="K848" s="22">
        <v>467.5</v>
      </c>
      <c r="L848" s="6">
        <v>482</v>
      </c>
      <c r="M848" s="125">
        <f t="shared" si="14"/>
        <v>14.5</v>
      </c>
      <c r="N848" s="7"/>
      <c r="O848" s="132"/>
      <c r="P848" s="175"/>
      <c r="V848" s="207"/>
    </row>
    <row r="849" spans="1:22" ht="15" customHeight="1">
      <c r="A849" s="3">
        <v>37022</v>
      </c>
      <c r="B849" s="9">
        <v>78875</v>
      </c>
      <c r="C849" s="5">
        <v>20025</v>
      </c>
      <c r="D849" s="5" t="e">
        <f>E849-(#REF!+C849)</f>
        <v>#REF!</v>
      </c>
      <c r="E849" s="5">
        <v>138550</v>
      </c>
      <c r="K849" s="22">
        <v>462.5</v>
      </c>
      <c r="L849" s="6">
        <v>477</v>
      </c>
      <c r="M849" s="125">
        <f t="shared" si="14"/>
        <v>14.5</v>
      </c>
      <c r="N849" s="7"/>
      <c r="O849" s="132"/>
      <c r="P849" s="175"/>
      <c r="V849" s="207"/>
    </row>
    <row r="850" spans="1:22" ht="15" customHeight="1">
      <c r="A850" s="3">
        <v>37025</v>
      </c>
      <c r="B850" s="9">
        <v>78825</v>
      </c>
      <c r="C850" s="5">
        <v>19875</v>
      </c>
      <c r="D850" s="5" t="e">
        <f>E850-(#REF!+C850)</f>
        <v>#REF!</v>
      </c>
      <c r="E850" s="5">
        <v>138100</v>
      </c>
      <c r="K850" s="22">
        <v>463</v>
      </c>
      <c r="L850" s="6">
        <v>476</v>
      </c>
      <c r="M850" s="125">
        <f t="shared" si="14"/>
        <v>13</v>
      </c>
      <c r="N850" s="7"/>
      <c r="O850" s="132"/>
      <c r="P850" s="175"/>
      <c r="V850" s="207"/>
    </row>
    <row r="851" spans="1:22" ht="15" customHeight="1">
      <c r="A851" s="3">
        <v>37026</v>
      </c>
      <c r="B851" s="9">
        <v>78475</v>
      </c>
      <c r="C851" s="5">
        <v>19725</v>
      </c>
      <c r="D851" s="5" t="e">
        <f>E851-(#REF!+C851)</f>
        <v>#REF!</v>
      </c>
      <c r="E851" s="5">
        <v>137550</v>
      </c>
      <c r="K851" s="22">
        <v>461</v>
      </c>
      <c r="L851" s="6">
        <v>474</v>
      </c>
      <c r="M851" s="125">
        <f t="shared" si="14"/>
        <v>13</v>
      </c>
      <c r="N851" s="7"/>
      <c r="O851" s="132"/>
      <c r="P851" s="175"/>
      <c r="V851" s="207"/>
    </row>
    <row r="852" spans="1:22" ht="15" customHeight="1">
      <c r="A852" s="3">
        <v>37027</v>
      </c>
      <c r="B852" s="9">
        <v>78750</v>
      </c>
      <c r="C852" s="5">
        <v>19575</v>
      </c>
      <c r="D852" s="5" t="e">
        <f>E852-(#REF!+C852)</f>
        <v>#REF!</v>
      </c>
      <c r="E852" s="5">
        <v>137575</v>
      </c>
      <c r="K852" s="22">
        <v>463</v>
      </c>
      <c r="L852" s="6">
        <v>474</v>
      </c>
      <c r="M852" s="125">
        <f t="shared" si="14"/>
        <v>11</v>
      </c>
      <c r="N852" s="7"/>
      <c r="O852" s="132"/>
      <c r="P852" s="175"/>
      <c r="V852" s="207"/>
    </row>
    <row r="853" spans="1:22" ht="15" customHeight="1">
      <c r="A853" s="3">
        <v>37028</v>
      </c>
      <c r="B853" s="9">
        <v>78400</v>
      </c>
      <c r="C853" s="5">
        <v>19475</v>
      </c>
      <c r="D853" s="5" t="e">
        <f>E853-(#REF!+C853)</f>
        <v>#REF!</v>
      </c>
      <c r="E853" s="5">
        <v>136825</v>
      </c>
      <c r="K853" s="22">
        <v>464</v>
      </c>
      <c r="L853" s="6">
        <v>475</v>
      </c>
      <c r="M853" s="125">
        <f t="shared" si="14"/>
        <v>11</v>
      </c>
      <c r="N853" s="7"/>
      <c r="O853" s="132"/>
      <c r="P853" s="175"/>
      <c r="V853" s="207"/>
    </row>
    <row r="854" spans="1:22" ht="15" customHeight="1">
      <c r="A854" s="3">
        <v>37029</v>
      </c>
      <c r="B854" s="9">
        <v>78375</v>
      </c>
      <c r="C854" s="5">
        <v>19300</v>
      </c>
      <c r="D854" s="5" t="e">
        <f>E854-(#REF!+C854)</f>
        <v>#REF!</v>
      </c>
      <c r="E854" s="5">
        <v>136350</v>
      </c>
      <c r="K854" s="22">
        <v>481</v>
      </c>
      <c r="L854" s="6">
        <v>487.5</v>
      </c>
      <c r="M854" s="125">
        <f t="shared" si="14"/>
        <v>6.5</v>
      </c>
      <c r="N854" s="7"/>
      <c r="O854" s="132"/>
      <c r="P854" s="175"/>
      <c r="V854" s="207"/>
    </row>
    <row r="855" spans="1:22" ht="15" customHeight="1">
      <c r="A855" s="3">
        <v>37032</v>
      </c>
      <c r="B855" s="9">
        <v>79325</v>
      </c>
      <c r="C855" s="5">
        <v>19300</v>
      </c>
      <c r="D855" s="5" t="e">
        <f>E855-(#REF!+C855)</f>
        <v>#REF!</v>
      </c>
      <c r="E855" s="5">
        <v>136800</v>
      </c>
      <c r="K855" s="22">
        <v>485</v>
      </c>
      <c r="L855" s="6">
        <v>490</v>
      </c>
      <c r="M855" s="125">
        <f t="shared" si="14"/>
        <v>5</v>
      </c>
      <c r="N855" s="7"/>
      <c r="O855" s="132"/>
      <c r="P855" s="175"/>
      <c r="V855" s="207"/>
    </row>
    <row r="856" spans="1:22" ht="15" customHeight="1">
      <c r="A856" s="3">
        <v>37033</v>
      </c>
      <c r="B856" s="9">
        <v>79100</v>
      </c>
      <c r="C856" s="5">
        <v>19325</v>
      </c>
      <c r="D856" s="5" t="e">
        <f>E856-(#REF!+C856)</f>
        <v>#REF!</v>
      </c>
      <c r="E856" s="5">
        <v>136225</v>
      </c>
      <c r="K856" s="22">
        <v>480</v>
      </c>
      <c r="L856" s="6">
        <v>486.5</v>
      </c>
      <c r="M856" s="125">
        <f t="shared" si="14"/>
        <v>6.5</v>
      </c>
      <c r="N856" s="7"/>
      <c r="O856" s="132"/>
      <c r="P856" s="175"/>
      <c r="V856" s="207"/>
    </row>
    <row r="857" spans="1:22" ht="15" customHeight="1">
      <c r="A857" s="3">
        <v>37034</v>
      </c>
      <c r="B857" s="9">
        <v>79075</v>
      </c>
      <c r="C857" s="5">
        <v>19075</v>
      </c>
      <c r="D857" s="5" t="e">
        <f>E857-(#REF!+C857)</f>
        <v>#REF!</v>
      </c>
      <c r="E857" s="5">
        <v>135800</v>
      </c>
      <c r="K857" s="22">
        <v>473</v>
      </c>
      <c r="L857" s="6">
        <v>482</v>
      </c>
      <c r="M857" s="125">
        <f t="shared" si="14"/>
        <v>9</v>
      </c>
      <c r="N857" s="7"/>
      <c r="O857" s="132"/>
      <c r="P857" s="175"/>
      <c r="V857" s="207"/>
    </row>
    <row r="858" spans="1:22" ht="15" customHeight="1">
      <c r="A858" s="3">
        <v>37035</v>
      </c>
      <c r="B858" s="9">
        <v>78875</v>
      </c>
      <c r="C858" s="5">
        <v>18925</v>
      </c>
      <c r="D858" s="5" t="e">
        <f>E858-(#REF!+C858)</f>
        <v>#REF!</v>
      </c>
      <c r="E858" s="5">
        <v>135325</v>
      </c>
      <c r="K858" s="22">
        <v>475</v>
      </c>
      <c r="L858" s="6">
        <v>484</v>
      </c>
      <c r="M858" s="125">
        <f t="shared" si="14"/>
        <v>9</v>
      </c>
      <c r="N858" s="7"/>
      <c r="O858" s="132"/>
      <c r="P858" s="175"/>
      <c r="V858" s="207"/>
    </row>
    <row r="859" spans="1:22" ht="15" customHeight="1">
      <c r="A859" s="3">
        <v>37036</v>
      </c>
      <c r="B859" s="9">
        <v>79125</v>
      </c>
      <c r="C859" s="5">
        <v>18800</v>
      </c>
      <c r="D859" s="5" t="e">
        <f>E859-(#REF!+C859)</f>
        <v>#REF!</v>
      </c>
      <c r="E859" s="5">
        <v>135350</v>
      </c>
      <c r="K859" s="22">
        <v>469.5</v>
      </c>
      <c r="L859" s="6">
        <v>479</v>
      </c>
      <c r="M859" s="125">
        <f t="shared" si="14"/>
        <v>9.5</v>
      </c>
      <c r="N859" s="7"/>
      <c r="O859" s="132"/>
      <c r="P859" s="175"/>
      <c r="V859" s="207"/>
    </row>
    <row r="860" spans="1:22" ht="15" customHeight="1">
      <c r="A860" s="3">
        <v>37040</v>
      </c>
      <c r="B860" s="9">
        <v>78450</v>
      </c>
      <c r="C860" s="5">
        <v>18650</v>
      </c>
      <c r="D860" s="5" t="e">
        <f>E860-(#REF!+C860)</f>
        <v>#REF!</v>
      </c>
      <c r="E860" s="5">
        <v>134525</v>
      </c>
      <c r="K860" s="22">
        <v>465.5</v>
      </c>
      <c r="L860" s="6">
        <v>477</v>
      </c>
      <c r="M860" s="125">
        <f t="shared" si="14"/>
        <v>11.5</v>
      </c>
      <c r="N860" s="7"/>
      <c r="O860" s="132"/>
      <c r="P860" s="175"/>
      <c r="V860" s="207"/>
    </row>
    <row r="861" spans="1:22" ht="15" customHeight="1">
      <c r="A861" s="3">
        <v>37041</v>
      </c>
      <c r="B861" s="9">
        <v>77475</v>
      </c>
      <c r="C861" s="5">
        <v>18500</v>
      </c>
      <c r="D861" s="5" t="e">
        <f>E861-(#REF!+C861)</f>
        <v>#REF!</v>
      </c>
      <c r="E861" s="5">
        <v>133200</v>
      </c>
      <c r="K861" s="22">
        <v>465.5</v>
      </c>
      <c r="L861" s="6">
        <v>477</v>
      </c>
      <c r="M861" s="125">
        <f t="shared" si="14"/>
        <v>11.5</v>
      </c>
      <c r="N861" s="7"/>
      <c r="O861" s="132"/>
      <c r="P861" s="175"/>
      <c r="V861" s="207"/>
    </row>
    <row r="862" spans="1:22" ht="15" customHeight="1">
      <c r="A862" s="3">
        <v>37042</v>
      </c>
      <c r="B862" s="9">
        <v>77150</v>
      </c>
      <c r="C862" s="5">
        <v>18325</v>
      </c>
      <c r="D862" s="5" t="e">
        <f>E862-(#REF!+C862)</f>
        <v>#REF!</v>
      </c>
      <c r="E862" s="5">
        <v>132575</v>
      </c>
      <c r="K862" s="22">
        <v>461</v>
      </c>
      <c r="L862" s="6">
        <v>474</v>
      </c>
      <c r="M862" s="125">
        <f t="shared" si="14"/>
        <v>13</v>
      </c>
      <c r="N862" s="7"/>
      <c r="O862" s="132"/>
      <c r="P862" s="175"/>
      <c r="V862" s="207"/>
    </row>
    <row r="863" spans="1:22" ht="15" customHeight="1">
      <c r="A863" s="3">
        <v>37043</v>
      </c>
      <c r="B863" s="9">
        <v>77175</v>
      </c>
      <c r="C863" s="5">
        <v>18250</v>
      </c>
      <c r="D863" s="5" t="e">
        <f>E863-(#REF!+C863)</f>
        <v>#REF!</v>
      </c>
      <c r="E863" s="5">
        <v>132425</v>
      </c>
      <c r="K863" s="22">
        <v>452</v>
      </c>
      <c r="L863" s="6">
        <v>465.5</v>
      </c>
      <c r="M863" s="125">
        <f t="shared" si="14"/>
        <v>13.5</v>
      </c>
      <c r="N863" s="7"/>
      <c r="O863" s="132"/>
      <c r="P863" s="175"/>
      <c r="V863" s="207"/>
    </row>
    <row r="864" spans="1:22" ht="15" customHeight="1">
      <c r="A864" s="3">
        <v>37046</v>
      </c>
      <c r="B864" s="9">
        <v>76750</v>
      </c>
      <c r="C864" s="5">
        <v>18250</v>
      </c>
      <c r="D864" s="5" t="e">
        <f>E864-(#REF!+C864)</f>
        <v>#REF!</v>
      </c>
      <c r="E864" s="5">
        <v>131800</v>
      </c>
      <c r="K864" s="22">
        <v>451</v>
      </c>
      <c r="L864" s="6">
        <v>464</v>
      </c>
      <c r="M864" s="125">
        <f t="shared" si="14"/>
        <v>13</v>
      </c>
      <c r="N864" s="7"/>
      <c r="O864" s="132"/>
      <c r="P864" s="175"/>
      <c r="V864" s="207"/>
    </row>
    <row r="865" spans="1:22" ht="15" customHeight="1">
      <c r="A865" s="3">
        <v>37047</v>
      </c>
      <c r="B865" s="9">
        <v>76300</v>
      </c>
      <c r="C865" s="5">
        <v>18150</v>
      </c>
      <c r="D865" s="5" t="e">
        <f>E865-(#REF!+C865)</f>
        <v>#REF!</v>
      </c>
      <c r="E865" s="5">
        <v>131100</v>
      </c>
      <c r="K865" s="22">
        <v>450</v>
      </c>
      <c r="L865" s="6">
        <v>463</v>
      </c>
      <c r="M865" s="125">
        <f t="shared" si="14"/>
        <v>13</v>
      </c>
      <c r="N865" s="7"/>
      <c r="O865" s="132"/>
      <c r="P865" s="175"/>
      <c r="V865" s="207"/>
    </row>
    <row r="866" spans="1:22" ht="15" customHeight="1">
      <c r="A866" s="3">
        <v>37048</v>
      </c>
      <c r="B866" s="9">
        <v>75925</v>
      </c>
      <c r="C866" s="5">
        <v>18100</v>
      </c>
      <c r="D866" s="5" t="e">
        <f>E866-(#REF!+C866)</f>
        <v>#REF!</v>
      </c>
      <c r="E866" s="5">
        <v>130625</v>
      </c>
      <c r="K866" s="22">
        <v>452</v>
      </c>
      <c r="L866" s="6">
        <v>464.5</v>
      </c>
      <c r="M866" s="125">
        <f t="shared" si="14"/>
        <v>12.5</v>
      </c>
      <c r="N866" s="7"/>
      <c r="O866" s="132"/>
      <c r="P866" s="175"/>
      <c r="V866" s="207"/>
    </row>
    <row r="867" spans="1:22" ht="15" customHeight="1">
      <c r="A867" s="3">
        <v>37049</v>
      </c>
      <c r="B867" s="9">
        <v>75775</v>
      </c>
      <c r="C867" s="5">
        <v>18025</v>
      </c>
      <c r="D867" s="5" t="e">
        <f>E867-(#REF!+C867)</f>
        <v>#REF!</v>
      </c>
      <c r="E867" s="5">
        <v>130125</v>
      </c>
      <c r="K867" s="22">
        <v>454</v>
      </c>
      <c r="L867" s="6">
        <v>464</v>
      </c>
      <c r="M867" s="125">
        <f t="shared" si="14"/>
        <v>10</v>
      </c>
      <c r="N867" s="7"/>
      <c r="O867" s="132"/>
      <c r="P867" s="175"/>
      <c r="V867" s="207"/>
    </row>
    <row r="868" spans="1:22" ht="15" customHeight="1">
      <c r="A868" s="3">
        <v>37050</v>
      </c>
      <c r="B868" s="9">
        <v>75700</v>
      </c>
      <c r="C868" s="5">
        <v>17850</v>
      </c>
      <c r="D868" s="5" t="e">
        <f>E868-(#REF!+C868)</f>
        <v>#REF!</v>
      </c>
      <c r="E868" s="5">
        <v>129700</v>
      </c>
      <c r="K868" s="22">
        <v>439.5</v>
      </c>
      <c r="L868" s="6">
        <v>451</v>
      </c>
      <c r="M868" s="125">
        <f t="shared" si="14"/>
        <v>11.5</v>
      </c>
      <c r="N868" s="7"/>
      <c r="O868" s="132"/>
      <c r="P868" s="175"/>
      <c r="V868" s="207"/>
    </row>
    <row r="869" spans="1:22" ht="15" customHeight="1">
      <c r="A869" s="3">
        <v>37053</v>
      </c>
      <c r="B869" s="9">
        <v>76125</v>
      </c>
      <c r="C869" s="5">
        <v>17850</v>
      </c>
      <c r="D869" s="5" t="e">
        <f>E869-(#REF!+C869)</f>
        <v>#REF!</v>
      </c>
      <c r="E869" s="5">
        <v>129950</v>
      </c>
      <c r="K869" s="22">
        <v>447</v>
      </c>
      <c r="L869" s="6">
        <v>458</v>
      </c>
      <c r="M869" s="125">
        <f t="shared" si="14"/>
        <v>11</v>
      </c>
      <c r="N869" s="7"/>
      <c r="O869" s="132"/>
      <c r="P869" s="175"/>
      <c r="V869" s="207"/>
    </row>
    <row r="870" spans="1:22" ht="15" customHeight="1">
      <c r="A870" s="3">
        <v>37054</v>
      </c>
      <c r="B870" s="9">
        <v>73675</v>
      </c>
      <c r="C870" s="5">
        <v>17625</v>
      </c>
      <c r="D870" s="5" t="e">
        <f>E870-(#REF!+C870)</f>
        <v>#REF!</v>
      </c>
      <c r="E870" s="5">
        <v>127100</v>
      </c>
      <c r="K870" s="22">
        <v>440</v>
      </c>
      <c r="L870" s="6">
        <v>451</v>
      </c>
      <c r="M870" s="125">
        <f t="shared" si="14"/>
        <v>11</v>
      </c>
      <c r="N870" s="7"/>
      <c r="O870" s="132"/>
      <c r="P870" s="175"/>
      <c r="V870" s="207"/>
    </row>
    <row r="871" spans="1:22" ht="15" customHeight="1">
      <c r="A871" s="3">
        <v>37055</v>
      </c>
      <c r="B871" s="9">
        <v>72200</v>
      </c>
      <c r="C871" s="5">
        <v>17625</v>
      </c>
      <c r="D871" s="5" t="e">
        <f>E871-(#REF!+C871)</f>
        <v>#REF!</v>
      </c>
      <c r="E871" s="5">
        <v>125425</v>
      </c>
      <c r="K871" s="22">
        <v>445</v>
      </c>
      <c r="L871" s="6">
        <v>455.5</v>
      </c>
      <c r="M871" s="125">
        <f t="shared" si="14"/>
        <v>10.5</v>
      </c>
      <c r="N871" s="7"/>
      <c r="O871" s="132"/>
      <c r="P871" s="175"/>
      <c r="V871" s="207"/>
    </row>
    <row r="872" spans="1:22" ht="15" customHeight="1">
      <c r="A872" s="3">
        <v>37056</v>
      </c>
      <c r="B872" s="9">
        <v>72000</v>
      </c>
      <c r="C872" s="5">
        <v>17500</v>
      </c>
      <c r="D872" s="5" t="e">
        <f>E872-(#REF!+C872)</f>
        <v>#REF!</v>
      </c>
      <c r="E872" s="5">
        <v>124875</v>
      </c>
      <c r="K872" s="22">
        <v>444</v>
      </c>
      <c r="L872" s="6">
        <v>452.5</v>
      </c>
      <c r="M872" s="125">
        <f t="shared" si="14"/>
        <v>8.5</v>
      </c>
      <c r="N872" s="7"/>
      <c r="O872" s="132"/>
      <c r="P872" s="175"/>
      <c r="V872" s="207"/>
    </row>
    <row r="873" spans="1:22" ht="15" customHeight="1">
      <c r="A873" s="3">
        <v>37057</v>
      </c>
      <c r="B873" s="9">
        <v>72175</v>
      </c>
      <c r="C873" s="5">
        <v>17250</v>
      </c>
      <c r="D873" s="5" t="e">
        <f>E873-(#REF!+C873)</f>
        <v>#REF!</v>
      </c>
      <c r="E873" s="5">
        <v>124575</v>
      </c>
      <c r="K873" s="22">
        <v>445</v>
      </c>
      <c r="L873" s="6">
        <v>454</v>
      </c>
      <c r="M873" s="125">
        <f t="shared" si="14"/>
        <v>9</v>
      </c>
      <c r="N873" s="7"/>
      <c r="O873" s="132"/>
      <c r="P873" s="175"/>
      <c r="V873" s="207"/>
    </row>
    <row r="874" spans="1:22" ht="15" customHeight="1">
      <c r="A874" s="3">
        <v>37060</v>
      </c>
      <c r="B874" s="9">
        <v>72425</v>
      </c>
      <c r="C874" s="5">
        <v>17050</v>
      </c>
      <c r="D874" s="5" t="e">
        <f>E874-(#REF!+C874)</f>
        <v>#REF!</v>
      </c>
      <c r="E874" s="5">
        <v>124350</v>
      </c>
      <c r="K874" s="22">
        <v>440</v>
      </c>
      <c r="L874" s="6">
        <v>452</v>
      </c>
      <c r="M874" s="125">
        <f t="shared" si="14"/>
        <v>12</v>
      </c>
      <c r="N874" s="7"/>
      <c r="O874" s="132"/>
      <c r="P874" s="175"/>
      <c r="V874" s="207"/>
    </row>
    <row r="875" spans="1:22" ht="15" customHeight="1">
      <c r="A875" s="3">
        <v>37061</v>
      </c>
      <c r="B875" s="9">
        <v>71750</v>
      </c>
      <c r="C875" s="5">
        <v>16925</v>
      </c>
      <c r="D875" s="5" t="e">
        <f>E875-(#REF!+C875)</f>
        <v>#REF!</v>
      </c>
      <c r="E875" s="5">
        <v>122600</v>
      </c>
      <c r="K875" s="22">
        <v>438.5</v>
      </c>
      <c r="L875" s="6">
        <v>453</v>
      </c>
      <c r="M875" s="125">
        <f t="shared" si="14"/>
        <v>14.5</v>
      </c>
      <c r="N875" s="7"/>
      <c r="O875" s="132"/>
      <c r="P875" s="175"/>
      <c r="V875" s="207"/>
    </row>
    <row r="876" spans="1:22" ht="15" customHeight="1">
      <c r="A876" s="3">
        <v>37062</v>
      </c>
      <c r="B876" s="9">
        <v>71550</v>
      </c>
      <c r="C876" s="5">
        <v>16750</v>
      </c>
      <c r="D876" s="5" t="e">
        <f>E876-(#REF!+C876)</f>
        <v>#REF!</v>
      </c>
      <c r="E876" s="5">
        <v>121300</v>
      </c>
      <c r="K876" s="22">
        <v>435</v>
      </c>
      <c r="L876" s="6">
        <v>447.5</v>
      </c>
      <c r="M876" s="125">
        <f t="shared" si="14"/>
        <v>12.5</v>
      </c>
      <c r="N876" s="7"/>
      <c r="O876" s="132"/>
      <c r="P876" s="175"/>
      <c r="V876" s="207"/>
    </row>
    <row r="877" spans="1:22" ht="15" customHeight="1">
      <c r="A877" s="3">
        <v>37063</v>
      </c>
      <c r="B877" s="9">
        <v>64775</v>
      </c>
      <c r="C877" s="5">
        <v>16600</v>
      </c>
      <c r="D877" s="5" t="e">
        <f>E877-(#REF!+C877)</f>
        <v>#REF!</v>
      </c>
      <c r="E877" s="5">
        <v>113475</v>
      </c>
      <c r="K877" s="22">
        <v>435</v>
      </c>
      <c r="L877" s="6">
        <v>448.5</v>
      </c>
      <c r="M877" s="125">
        <f t="shared" si="14"/>
        <v>13.5</v>
      </c>
      <c r="N877" s="7"/>
      <c r="O877" s="132"/>
      <c r="P877" s="175"/>
      <c r="V877" s="207"/>
    </row>
    <row r="878" spans="1:22" ht="15" customHeight="1">
      <c r="A878" s="3">
        <v>37064</v>
      </c>
      <c r="B878" s="9">
        <v>64550</v>
      </c>
      <c r="C878" s="5">
        <v>16500</v>
      </c>
      <c r="D878" s="5" t="e">
        <f>E878-(#REF!+C878)</f>
        <v>#REF!</v>
      </c>
      <c r="E878" s="5">
        <v>112250</v>
      </c>
      <c r="K878" s="22">
        <v>440</v>
      </c>
      <c r="L878" s="6">
        <v>452</v>
      </c>
      <c r="M878" s="125">
        <f t="shared" si="14"/>
        <v>12</v>
      </c>
      <c r="N878" s="7"/>
      <c r="O878" s="132"/>
      <c r="P878" s="175"/>
      <c r="V878" s="207"/>
    </row>
    <row r="879" spans="1:22" ht="15" customHeight="1">
      <c r="A879" s="3">
        <v>37067</v>
      </c>
      <c r="B879" s="9">
        <v>64425</v>
      </c>
      <c r="C879" s="5">
        <v>16500</v>
      </c>
      <c r="D879" s="5" t="e">
        <f>E879-(#REF!+C879)</f>
        <v>#REF!</v>
      </c>
      <c r="E879" s="5">
        <v>111750</v>
      </c>
      <c r="K879" s="22">
        <v>439</v>
      </c>
      <c r="L879" s="6">
        <v>451.5</v>
      </c>
      <c r="M879" s="125">
        <f t="shared" si="14"/>
        <v>12.5</v>
      </c>
      <c r="N879" s="7"/>
      <c r="O879" s="132"/>
      <c r="P879" s="175"/>
      <c r="V879" s="207"/>
    </row>
    <row r="880" spans="1:22" ht="15" customHeight="1">
      <c r="A880" s="3">
        <v>37068</v>
      </c>
      <c r="B880" s="9">
        <v>63400</v>
      </c>
      <c r="C880" s="5">
        <v>16325</v>
      </c>
      <c r="D880" s="5" t="e">
        <f>E880-(#REF!+C880)</f>
        <v>#REF!</v>
      </c>
      <c r="E880" s="5">
        <v>110475</v>
      </c>
      <c r="K880" s="22">
        <v>441.5</v>
      </c>
      <c r="L880" s="6">
        <v>455</v>
      </c>
      <c r="M880" s="125">
        <f t="shared" si="14"/>
        <v>13.5</v>
      </c>
      <c r="N880" s="7"/>
      <c r="O880" s="132"/>
      <c r="P880" s="175"/>
      <c r="V880" s="207"/>
    </row>
    <row r="881" spans="1:22" ht="15" customHeight="1">
      <c r="A881" s="3">
        <v>37069</v>
      </c>
      <c r="B881" s="9">
        <v>63300</v>
      </c>
      <c r="C881" s="5">
        <v>16225</v>
      </c>
      <c r="D881" s="5" t="e">
        <f>E881-(#REF!+C881)</f>
        <v>#REF!</v>
      </c>
      <c r="E881" s="5">
        <v>110125</v>
      </c>
      <c r="K881" s="22">
        <v>448</v>
      </c>
      <c r="L881" s="6">
        <v>461</v>
      </c>
      <c r="M881" s="125">
        <f t="shared" si="14"/>
        <v>13</v>
      </c>
      <c r="N881" s="7"/>
      <c r="O881" s="132"/>
      <c r="P881" s="175"/>
      <c r="V881" s="207"/>
    </row>
    <row r="882" spans="1:22" ht="15" customHeight="1">
      <c r="A882" s="3">
        <v>37070</v>
      </c>
      <c r="B882" s="9">
        <v>61925</v>
      </c>
      <c r="C882" s="5">
        <v>16150</v>
      </c>
      <c r="D882" s="5" t="e">
        <f>E882-(#REF!+C882)</f>
        <v>#REF!</v>
      </c>
      <c r="E882" s="5">
        <v>108475</v>
      </c>
      <c r="K882" s="22">
        <v>447</v>
      </c>
      <c r="L882" s="6">
        <v>460.5</v>
      </c>
      <c r="M882" s="125">
        <f t="shared" si="14"/>
        <v>13.5</v>
      </c>
      <c r="N882" s="7"/>
      <c r="O882" s="132"/>
      <c r="P882" s="175"/>
      <c r="V882" s="207"/>
    </row>
    <row r="883" spans="1:22" ht="15" customHeight="1">
      <c r="A883" s="3">
        <v>37071</v>
      </c>
      <c r="B883" s="9">
        <v>61675</v>
      </c>
      <c r="C883" s="5">
        <v>16125</v>
      </c>
      <c r="D883" s="5" t="e">
        <f>E883-(#REF!+C883)</f>
        <v>#REF!</v>
      </c>
      <c r="E883" s="5">
        <v>108075</v>
      </c>
      <c r="K883" s="22">
        <v>443.5</v>
      </c>
      <c r="L883" s="6">
        <v>455</v>
      </c>
      <c r="M883" s="125">
        <f t="shared" si="14"/>
        <v>11.5</v>
      </c>
      <c r="N883" s="7"/>
      <c r="O883" s="132"/>
      <c r="P883" s="175"/>
      <c r="V883" s="207"/>
    </row>
    <row r="884" spans="1:22" ht="15" customHeight="1">
      <c r="A884" s="3">
        <v>37074</v>
      </c>
      <c r="B884" s="9">
        <v>61175</v>
      </c>
      <c r="C884" s="5">
        <v>15975</v>
      </c>
      <c r="D884" s="5" t="e">
        <f>E884-(#REF!+C884)</f>
        <v>#REF!</v>
      </c>
      <c r="E884" s="5">
        <v>107250</v>
      </c>
      <c r="K884" s="22">
        <v>437.5</v>
      </c>
      <c r="L884" s="6">
        <v>450.5</v>
      </c>
      <c r="M884" s="125">
        <f t="shared" si="14"/>
        <v>13</v>
      </c>
      <c r="N884" s="7"/>
      <c r="O884" s="132"/>
      <c r="P884" s="175"/>
      <c r="V884" s="207"/>
    </row>
    <row r="885" spans="1:22" ht="15" customHeight="1">
      <c r="A885" s="3">
        <v>37075</v>
      </c>
      <c r="B885" s="9">
        <v>60125</v>
      </c>
      <c r="C885" s="5">
        <v>15975</v>
      </c>
      <c r="D885" s="5" t="e">
        <f>E885-(#REF!+C885)</f>
        <v>#REF!</v>
      </c>
      <c r="E885" s="5">
        <v>106050</v>
      </c>
      <c r="K885" s="22">
        <v>430.5</v>
      </c>
      <c r="L885" s="6">
        <v>444</v>
      </c>
      <c r="M885" s="125">
        <f t="shared" si="14"/>
        <v>13.5</v>
      </c>
      <c r="N885" s="7"/>
      <c r="O885" s="132"/>
      <c r="P885" s="175"/>
      <c r="V885" s="207"/>
    </row>
    <row r="886" spans="1:22" ht="15" customHeight="1">
      <c r="A886" s="3">
        <v>37076</v>
      </c>
      <c r="B886" s="9">
        <v>60125</v>
      </c>
      <c r="C886" s="5">
        <v>15975</v>
      </c>
      <c r="D886" s="5" t="e">
        <f>E886-(#REF!+C886)</f>
        <v>#REF!</v>
      </c>
      <c r="E886" s="5">
        <v>105725</v>
      </c>
      <c r="K886" s="22">
        <v>433</v>
      </c>
      <c r="L886" s="6">
        <v>445.5</v>
      </c>
      <c r="M886" s="125">
        <f t="shared" si="14"/>
        <v>12.5</v>
      </c>
      <c r="N886" s="7"/>
      <c r="O886" s="132"/>
      <c r="P886" s="175"/>
      <c r="V886" s="207"/>
    </row>
    <row r="887" spans="1:22" ht="15" customHeight="1">
      <c r="A887" s="3">
        <v>37077</v>
      </c>
      <c r="B887" s="9">
        <v>60100</v>
      </c>
      <c r="C887" s="5">
        <v>15825</v>
      </c>
      <c r="D887" s="5" t="e">
        <f>E887-(#REF!+C887)</f>
        <v>#REF!</v>
      </c>
      <c r="E887" s="5">
        <v>105075</v>
      </c>
      <c r="K887" s="22">
        <v>438</v>
      </c>
      <c r="L887" s="6">
        <v>450</v>
      </c>
      <c r="M887" s="125">
        <f t="shared" ref="M887:M950" si="15">L887-K887</f>
        <v>12</v>
      </c>
      <c r="N887" s="7"/>
      <c r="O887" s="132"/>
      <c r="P887" s="175"/>
      <c r="V887" s="207"/>
    </row>
    <row r="888" spans="1:22" ht="15" customHeight="1">
      <c r="A888" s="3">
        <v>37078</v>
      </c>
      <c r="B888" s="9">
        <v>59650</v>
      </c>
      <c r="C888" s="5">
        <v>15775</v>
      </c>
      <c r="D888" s="5" t="e">
        <f>E888-(#REF!+C888)</f>
        <v>#REF!</v>
      </c>
      <c r="E888" s="5">
        <v>104650</v>
      </c>
      <c r="K888" s="22">
        <v>447.5</v>
      </c>
      <c r="L888" s="6">
        <v>460</v>
      </c>
      <c r="M888" s="125">
        <f t="shared" si="15"/>
        <v>12.5</v>
      </c>
      <c r="N888" s="7"/>
      <c r="O888" s="132"/>
      <c r="P888" s="175"/>
      <c r="V888" s="207"/>
    </row>
    <row r="889" spans="1:22" ht="15" customHeight="1">
      <c r="A889" s="3">
        <v>37081</v>
      </c>
      <c r="B889" s="9">
        <v>59375</v>
      </c>
      <c r="C889" s="5">
        <v>15775</v>
      </c>
      <c r="D889" s="5" t="e">
        <f>E889-(#REF!+C889)</f>
        <v>#REF!</v>
      </c>
      <c r="E889" s="5">
        <v>103850</v>
      </c>
      <c r="K889" s="22">
        <v>454</v>
      </c>
      <c r="L889" s="6">
        <v>465</v>
      </c>
      <c r="M889" s="125">
        <f t="shared" si="15"/>
        <v>11</v>
      </c>
      <c r="N889" s="7"/>
      <c r="O889" s="132"/>
      <c r="P889" s="175"/>
      <c r="V889" s="207"/>
    </row>
    <row r="890" spans="1:22" ht="15" customHeight="1">
      <c r="A890" s="3">
        <v>37082</v>
      </c>
      <c r="B890" s="9">
        <v>58750</v>
      </c>
      <c r="C890" s="5">
        <v>15625</v>
      </c>
      <c r="D890" s="5" t="e">
        <f>E890-(#REF!+C890)</f>
        <v>#REF!</v>
      </c>
      <c r="E890" s="5">
        <v>104950</v>
      </c>
      <c r="K890" s="22">
        <v>450.5</v>
      </c>
      <c r="L890" s="6">
        <v>461</v>
      </c>
      <c r="M890" s="125">
        <f t="shared" si="15"/>
        <v>10.5</v>
      </c>
      <c r="N890" s="7"/>
      <c r="O890" s="132"/>
      <c r="P890" s="175"/>
      <c r="V890" s="207"/>
    </row>
    <row r="891" spans="1:22" ht="15" customHeight="1">
      <c r="A891" s="3">
        <v>37083</v>
      </c>
      <c r="B891" s="9">
        <v>57850</v>
      </c>
      <c r="C891" s="5">
        <v>15625</v>
      </c>
      <c r="D891" s="5" t="e">
        <f>E891-(#REF!+C891)</f>
        <v>#REF!</v>
      </c>
      <c r="E891" s="5">
        <v>107200</v>
      </c>
      <c r="K891" s="22">
        <v>451.5</v>
      </c>
      <c r="L891" s="6">
        <v>463</v>
      </c>
      <c r="M891" s="125">
        <f t="shared" si="15"/>
        <v>11.5</v>
      </c>
      <c r="N891" s="7"/>
      <c r="O891" s="132"/>
      <c r="P891" s="175"/>
      <c r="V891" s="207"/>
    </row>
    <row r="892" spans="1:22" ht="15" customHeight="1">
      <c r="A892" s="3">
        <v>37084</v>
      </c>
      <c r="B892" s="9">
        <v>57400</v>
      </c>
      <c r="C892" s="5">
        <v>15575</v>
      </c>
      <c r="D892" s="5" t="e">
        <f>E892-(#REF!+C892)</f>
        <v>#REF!</v>
      </c>
      <c r="E892" s="5">
        <v>107000</v>
      </c>
      <c r="K892" s="22">
        <v>452</v>
      </c>
      <c r="L892" s="6">
        <v>463</v>
      </c>
      <c r="M892" s="125">
        <f t="shared" si="15"/>
        <v>11</v>
      </c>
      <c r="N892" s="7"/>
      <c r="O892" s="132"/>
      <c r="P892" s="175"/>
      <c r="V892" s="207"/>
    </row>
    <row r="893" spans="1:22" ht="15" customHeight="1">
      <c r="A893" s="3">
        <v>37085</v>
      </c>
      <c r="B893" s="9">
        <v>56950</v>
      </c>
      <c r="C893" s="5">
        <v>15525</v>
      </c>
      <c r="D893" s="5" t="e">
        <f>E893-(#REF!+C893)</f>
        <v>#REF!</v>
      </c>
      <c r="E893" s="5">
        <v>106500</v>
      </c>
      <c r="K893" s="22">
        <v>452</v>
      </c>
      <c r="L893" s="6">
        <v>462.5</v>
      </c>
      <c r="M893" s="125">
        <f t="shared" si="15"/>
        <v>10.5</v>
      </c>
      <c r="N893" s="7"/>
      <c r="O893" s="132"/>
      <c r="P893" s="175"/>
      <c r="V893" s="207"/>
    </row>
    <row r="894" spans="1:22" ht="15" customHeight="1">
      <c r="A894" s="3">
        <v>37088</v>
      </c>
      <c r="B894" s="9">
        <v>56950</v>
      </c>
      <c r="C894" s="5">
        <v>15525</v>
      </c>
      <c r="D894" s="5" t="e">
        <f>E894-(#REF!+C894)</f>
        <v>#REF!</v>
      </c>
      <c r="E894" s="5">
        <v>106500</v>
      </c>
      <c r="K894" s="22">
        <v>447</v>
      </c>
      <c r="L894" s="6">
        <v>460</v>
      </c>
      <c r="M894" s="125">
        <f t="shared" si="15"/>
        <v>13</v>
      </c>
      <c r="N894" s="7"/>
      <c r="O894" s="132"/>
      <c r="P894" s="175"/>
      <c r="V894" s="207"/>
    </row>
    <row r="895" spans="1:22" ht="15" customHeight="1">
      <c r="A895" s="3">
        <v>37089</v>
      </c>
      <c r="B895" s="9">
        <v>56350</v>
      </c>
      <c r="C895" s="5">
        <v>15125</v>
      </c>
      <c r="D895" s="5" t="e">
        <f>E895-(#REF!+C895)</f>
        <v>#REF!</v>
      </c>
      <c r="E895" s="5">
        <v>105400</v>
      </c>
      <c r="K895" s="22">
        <v>453</v>
      </c>
      <c r="L895" s="6">
        <v>464</v>
      </c>
      <c r="M895" s="125">
        <f t="shared" si="15"/>
        <v>11</v>
      </c>
      <c r="N895" s="7"/>
      <c r="O895" s="132"/>
      <c r="P895" s="175"/>
      <c r="V895" s="207"/>
    </row>
    <row r="896" spans="1:22" ht="15" customHeight="1">
      <c r="A896" s="3">
        <v>37090</v>
      </c>
      <c r="B896" s="9">
        <v>56175</v>
      </c>
      <c r="C896" s="5">
        <v>14975</v>
      </c>
      <c r="D896" s="5" t="e">
        <f>E896-(#REF!+C896)</f>
        <v>#REF!</v>
      </c>
      <c r="E896" s="5">
        <v>104800</v>
      </c>
      <c r="K896" s="22">
        <v>462</v>
      </c>
      <c r="L896" s="6">
        <v>473</v>
      </c>
      <c r="M896" s="125">
        <f t="shared" si="15"/>
        <v>11</v>
      </c>
      <c r="N896" s="7"/>
      <c r="O896" s="132"/>
      <c r="P896" s="175"/>
      <c r="V896" s="207"/>
    </row>
    <row r="897" spans="1:22" ht="15" customHeight="1">
      <c r="A897" s="3">
        <v>37091</v>
      </c>
      <c r="B897" s="9">
        <v>56250</v>
      </c>
      <c r="C897" s="5">
        <v>14900</v>
      </c>
      <c r="D897" s="5" t="e">
        <f>E897-(#REF!+C897)</f>
        <v>#REF!</v>
      </c>
      <c r="E897" s="5">
        <v>104475</v>
      </c>
      <c r="K897" s="22">
        <v>453</v>
      </c>
      <c r="L897" s="6">
        <v>465.5</v>
      </c>
      <c r="M897" s="125">
        <f t="shared" si="15"/>
        <v>12.5</v>
      </c>
      <c r="N897" s="7"/>
      <c r="O897" s="132"/>
      <c r="P897" s="175"/>
      <c r="V897" s="207"/>
    </row>
    <row r="898" spans="1:22" ht="15" customHeight="1">
      <c r="A898" s="3">
        <v>37092</v>
      </c>
      <c r="B898" s="9">
        <v>55825</v>
      </c>
      <c r="C898" s="5">
        <v>14750</v>
      </c>
      <c r="D898" s="5" t="e">
        <f>E898-(#REF!+C898)</f>
        <v>#REF!</v>
      </c>
      <c r="E898" s="5">
        <v>103600</v>
      </c>
      <c r="K898" s="22">
        <v>473</v>
      </c>
      <c r="L898" s="6">
        <v>479</v>
      </c>
      <c r="M898" s="125">
        <f t="shared" si="15"/>
        <v>6</v>
      </c>
      <c r="N898" s="7"/>
      <c r="O898" s="132"/>
      <c r="P898" s="175"/>
      <c r="V898" s="207"/>
    </row>
    <row r="899" spans="1:22" ht="15" customHeight="1">
      <c r="A899" s="3">
        <v>37095</v>
      </c>
      <c r="B899" s="9">
        <v>57375</v>
      </c>
      <c r="C899" s="5">
        <v>14700</v>
      </c>
      <c r="D899" s="5" t="e">
        <f>E899-(#REF!+C899)</f>
        <v>#REF!</v>
      </c>
      <c r="E899" s="5">
        <v>104800</v>
      </c>
      <c r="K899" s="22">
        <v>480</v>
      </c>
      <c r="L899" s="6">
        <v>485.5</v>
      </c>
      <c r="M899" s="125">
        <f t="shared" si="15"/>
        <v>5.5</v>
      </c>
      <c r="N899" s="7"/>
      <c r="O899" s="132"/>
      <c r="P899" s="175"/>
      <c r="V899" s="207"/>
    </row>
    <row r="900" spans="1:22" ht="15" customHeight="1">
      <c r="A900" s="3">
        <v>37096</v>
      </c>
      <c r="B900" s="9">
        <v>56925</v>
      </c>
      <c r="C900" s="5">
        <v>14525</v>
      </c>
      <c r="D900" s="5" t="e">
        <f>E900-(#REF!+C900)</f>
        <v>#REF!</v>
      </c>
      <c r="E900" s="5">
        <v>104175</v>
      </c>
      <c r="K900" s="22">
        <v>481</v>
      </c>
      <c r="L900" s="6">
        <v>486</v>
      </c>
      <c r="M900" s="125">
        <f t="shared" si="15"/>
        <v>5</v>
      </c>
      <c r="N900" s="7"/>
      <c r="O900" s="132"/>
      <c r="P900" s="175"/>
      <c r="V900" s="207"/>
    </row>
    <row r="901" spans="1:22" ht="15" customHeight="1">
      <c r="A901" s="3">
        <v>37097</v>
      </c>
      <c r="B901" s="9">
        <v>56700</v>
      </c>
      <c r="C901" s="5">
        <v>14375</v>
      </c>
      <c r="D901" s="5" t="e">
        <f>E901-(#REF!+C901)</f>
        <v>#REF!</v>
      </c>
      <c r="E901" s="5">
        <v>103800</v>
      </c>
      <c r="K901" s="22">
        <v>478</v>
      </c>
      <c r="L901" s="6">
        <v>482</v>
      </c>
      <c r="M901" s="125">
        <f t="shared" si="15"/>
        <v>4</v>
      </c>
      <c r="N901" s="7"/>
      <c r="O901" s="132"/>
      <c r="P901" s="175"/>
      <c r="V901" s="207"/>
    </row>
    <row r="902" spans="1:22" ht="15" customHeight="1">
      <c r="A902" s="3">
        <v>37098</v>
      </c>
      <c r="B902" s="9">
        <v>55575</v>
      </c>
      <c r="C902" s="5">
        <v>14350</v>
      </c>
      <c r="D902" s="5" t="e">
        <f>E902-(#REF!+C902)</f>
        <v>#REF!</v>
      </c>
      <c r="E902" s="5">
        <v>102650</v>
      </c>
      <c r="K902" s="22">
        <v>492</v>
      </c>
      <c r="L902" s="6">
        <v>495</v>
      </c>
      <c r="M902" s="125">
        <f t="shared" si="15"/>
        <v>3</v>
      </c>
      <c r="N902" s="7"/>
      <c r="O902" s="132"/>
      <c r="P902" s="175"/>
      <c r="V902" s="207"/>
    </row>
    <row r="903" spans="1:22" ht="15" customHeight="1">
      <c r="A903" s="3">
        <v>37099</v>
      </c>
      <c r="B903" s="9">
        <v>55575</v>
      </c>
      <c r="C903" s="5">
        <v>14325</v>
      </c>
      <c r="D903" s="5" t="e">
        <f>E903-(#REF!+C903)</f>
        <v>#REF!</v>
      </c>
      <c r="E903" s="5">
        <v>102625</v>
      </c>
      <c r="K903" s="22">
        <v>504</v>
      </c>
      <c r="L903" s="6">
        <v>503.5</v>
      </c>
      <c r="M903" s="125">
        <f t="shared" si="15"/>
        <v>-0.5</v>
      </c>
      <c r="N903" s="7"/>
      <c r="O903" s="132"/>
      <c r="P903" s="175"/>
      <c r="V903" s="207"/>
    </row>
    <row r="904" spans="1:22" ht="15" customHeight="1">
      <c r="A904" s="3">
        <v>37102</v>
      </c>
      <c r="B904" s="9">
        <v>56475</v>
      </c>
      <c r="C904" s="5">
        <v>14325</v>
      </c>
      <c r="D904" s="5" t="e">
        <f>E904-(#REF!+C904)</f>
        <v>#REF!</v>
      </c>
      <c r="E904" s="5">
        <v>103525</v>
      </c>
      <c r="K904" s="22">
        <v>498</v>
      </c>
      <c r="L904" s="6">
        <v>498.5</v>
      </c>
      <c r="M904" s="125">
        <f t="shared" si="15"/>
        <v>0.5</v>
      </c>
      <c r="N904" s="7"/>
      <c r="O904" s="132"/>
      <c r="P904" s="175"/>
      <c r="V904" s="207"/>
    </row>
    <row r="905" spans="1:22" ht="15" customHeight="1">
      <c r="A905" s="3">
        <v>37103</v>
      </c>
      <c r="B905" s="9">
        <v>56350</v>
      </c>
      <c r="C905" s="5">
        <v>14325</v>
      </c>
      <c r="D905" s="5" t="e">
        <f>E905-(#REF!+C905)</f>
        <v>#REF!</v>
      </c>
      <c r="E905" s="5">
        <v>103400</v>
      </c>
      <c r="K905" s="22">
        <v>486.5</v>
      </c>
      <c r="L905" s="6">
        <v>492</v>
      </c>
      <c r="M905" s="125">
        <f t="shared" si="15"/>
        <v>5.5</v>
      </c>
      <c r="N905" s="7"/>
      <c r="O905" s="132"/>
      <c r="P905" s="175"/>
      <c r="V905" s="207"/>
    </row>
    <row r="906" spans="1:22" ht="15" customHeight="1">
      <c r="A906" s="3">
        <v>37104</v>
      </c>
      <c r="B906" s="9">
        <v>56350</v>
      </c>
      <c r="C906" s="5">
        <v>14325</v>
      </c>
      <c r="D906" s="5" t="e">
        <f>E906-(#REF!+C906)</f>
        <v>#REF!</v>
      </c>
      <c r="E906" s="5">
        <v>103375</v>
      </c>
      <c r="K906" s="22">
        <v>486.5</v>
      </c>
      <c r="L906" s="6">
        <v>493</v>
      </c>
      <c r="M906" s="125">
        <f t="shared" si="15"/>
        <v>6.5</v>
      </c>
      <c r="N906" s="7"/>
      <c r="O906" s="132"/>
      <c r="P906" s="175"/>
      <c r="V906" s="207"/>
    </row>
    <row r="907" spans="1:22" ht="15" customHeight="1">
      <c r="A907" s="3">
        <v>37105</v>
      </c>
      <c r="B907" s="9">
        <v>56350</v>
      </c>
      <c r="C907" s="5">
        <v>14325</v>
      </c>
      <c r="D907" s="5" t="e">
        <f>E907-(#REF!+C907)</f>
        <v>#REF!</v>
      </c>
      <c r="E907" s="5">
        <v>103375</v>
      </c>
      <c r="K907" s="22">
        <v>500.5</v>
      </c>
      <c r="L907" s="6">
        <v>503</v>
      </c>
      <c r="M907" s="125">
        <f t="shared" si="15"/>
        <v>2.5</v>
      </c>
      <c r="N907" s="7"/>
      <c r="O907" s="132"/>
      <c r="P907" s="175"/>
      <c r="V907" s="207"/>
    </row>
    <row r="908" spans="1:22" ht="15" customHeight="1">
      <c r="A908" s="3">
        <v>37106</v>
      </c>
      <c r="B908" s="9">
        <v>56350</v>
      </c>
      <c r="C908" s="5">
        <v>14325</v>
      </c>
      <c r="D908" s="5" t="e">
        <f>E908-(#REF!+C908)</f>
        <v>#REF!</v>
      </c>
      <c r="E908" s="5">
        <v>103350</v>
      </c>
      <c r="K908" s="22">
        <v>491</v>
      </c>
      <c r="L908" s="6">
        <v>493</v>
      </c>
      <c r="M908" s="125">
        <f t="shared" si="15"/>
        <v>2</v>
      </c>
      <c r="N908" s="7"/>
      <c r="O908" s="132"/>
      <c r="P908" s="175"/>
      <c r="V908" s="207"/>
    </row>
    <row r="909" spans="1:22" ht="15" customHeight="1">
      <c r="A909" s="3">
        <v>37109</v>
      </c>
      <c r="B909" s="9">
        <v>56125</v>
      </c>
      <c r="C909" s="5">
        <v>14325</v>
      </c>
      <c r="D909" s="5" t="e">
        <f>E909-(#REF!+C909)</f>
        <v>#REF!</v>
      </c>
      <c r="E909" s="5">
        <v>103125</v>
      </c>
      <c r="K909" s="22">
        <v>480.5</v>
      </c>
      <c r="L909" s="6">
        <v>488</v>
      </c>
      <c r="M909" s="125">
        <f t="shared" si="15"/>
        <v>7.5</v>
      </c>
      <c r="N909" s="7"/>
      <c r="O909" s="132"/>
      <c r="P909" s="175"/>
      <c r="V909" s="207"/>
    </row>
    <row r="910" spans="1:22" ht="15" customHeight="1">
      <c r="A910" s="3">
        <v>37110</v>
      </c>
      <c r="B910" s="9">
        <v>55925</v>
      </c>
      <c r="C910" s="5">
        <v>14325</v>
      </c>
      <c r="D910" s="5" t="e">
        <f>E910-(#REF!+C910)</f>
        <v>#REF!</v>
      </c>
      <c r="E910" s="5">
        <v>102925</v>
      </c>
      <c r="K910" s="22">
        <v>477.5</v>
      </c>
      <c r="L910" s="6">
        <v>486</v>
      </c>
      <c r="M910" s="125">
        <f t="shared" si="15"/>
        <v>8.5</v>
      </c>
      <c r="N910" s="7"/>
      <c r="O910" s="132"/>
      <c r="P910" s="175"/>
      <c r="V910" s="207"/>
    </row>
    <row r="911" spans="1:22" ht="15" customHeight="1">
      <c r="A911" s="3">
        <v>37111</v>
      </c>
      <c r="B911" s="9">
        <v>55650</v>
      </c>
      <c r="C911" s="5">
        <v>14275</v>
      </c>
      <c r="D911" s="5" t="e">
        <f>E911-(#REF!+C911)</f>
        <v>#REF!</v>
      </c>
      <c r="E911" s="5">
        <v>102600</v>
      </c>
      <c r="K911" s="22">
        <v>484</v>
      </c>
      <c r="L911" s="6">
        <v>488</v>
      </c>
      <c r="M911" s="125">
        <f t="shared" si="15"/>
        <v>4</v>
      </c>
      <c r="N911" s="7"/>
      <c r="O911" s="132"/>
      <c r="P911" s="175"/>
      <c r="V911" s="207"/>
    </row>
    <row r="912" spans="1:22" ht="15" customHeight="1">
      <c r="A912" s="3">
        <v>37112</v>
      </c>
      <c r="B912" s="9">
        <v>55250</v>
      </c>
      <c r="C912" s="5">
        <v>14275</v>
      </c>
      <c r="D912" s="5" t="e">
        <f>E912-(#REF!+C912)</f>
        <v>#REF!</v>
      </c>
      <c r="E912" s="5">
        <v>102200</v>
      </c>
      <c r="K912" s="22">
        <v>488</v>
      </c>
      <c r="L912" s="6">
        <v>492</v>
      </c>
      <c r="M912" s="125">
        <f t="shared" si="15"/>
        <v>4</v>
      </c>
      <c r="N912" s="7"/>
      <c r="O912" s="132"/>
      <c r="P912" s="175"/>
      <c r="V912" s="207"/>
    </row>
    <row r="913" spans="1:22" ht="15" customHeight="1">
      <c r="A913" s="3">
        <v>37113</v>
      </c>
      <c r="B913" s="9">
        <v>55250</v>
      </c>
      <c r="C913" s="5">
        <v>14200</v>
      </c>
      <c r="D913" s="5" t="e">
        <f>E913-(#REF!+C913)</f>
        <v>#REF!</v>
      </c>
      <c r="E913" s="5">
        <v>102125</v>
      </c>
      <c r="K913" s="22">
        <v>494</v>
      </c>
      <c r="L913" s="6">
        <v>500</v>
      </c>
      <c r="M913" s="125">
        <f t="shared" si="15"/>
        <v>6</v>
      </c>
      <c r="N913" s="7"/>
      <c r="O913" s="132"/>
      <c r="P913" s="175"/>
      <c r="V913" s="207"/>
    </row>
    <row r="914" spans="1:22" ht="15" customHeight="1">
      <c r="A914" s="3">
        <v>37116</v>
      </c>
      <c r="B914" s="9">
        <v>54975</v>
      </c>
      <c r="C914" s="5">
        <v>14100</v>
      </c>
      <c r="D914" s="5" t="e">
        <f>E914-(#REF!+C914)</f>
        <v>#REF!</v>
      </c>
      <c r="E914" s="5">
        <v>101850</v>
      </c>
      <c r="K914" s="22">
        <v>488</v>
      </c>
      <c r="L914" s="6">
        <v>494</v>
      </c>
      <c r="M914" s="125">
        <f t="shared" si="15"/>
        <v>6</v>
      </c>
      <c r="N914" s="7"/>
      <c r="O914" s="132"/>
      <c r="P914" s="175"/>
      <c r="V914" s="207"/>
    </row>
    <row r="915" spans="1:22" ht="15" customHeight="1">
      <c r="A915" s="3">
        <v>37117</v>
      </c>
      <c r="B915" s="9">
        <v>54775</v>
      </c>
      <c r="C915" s="5">
        <v>14100</v>
      </c>
      <c r="D915" s="5" t="e">
        <f>E915-(#REF!+C915)</f>
        <v>#REF!</v>
      </c>
      <c r="E915" s="5">
        <v>101650</v>
      </c>
      <c r="K915" s="22">
        <v>484</v>
      </c>
      <c r="L915" s="6">
        <v>493</v>
      </c>
      <c r="M915" s="125">
        <f t="shared" si="15"/>
        <v>9</v>
      </c>
      <c r="N915" s="7"/>
      <c r="O915" s="132"/>
      <c r="P915" s="175"/>
      <c r="V915" s="207"/>
    </row>
    <row r="916" spans="1:22" ht="15" customHeight="1">
      <c r="A916" s="3">
        <v>37118</v>
      </c>
      <c r="B916" s="9">
        <v>54600</v>
      </c>
      <c r="C916" s="5">
        <v>14100</v>
      </c>
      <c r="D916" s="5" t="e">
        <f>E916-(#REF!+C916)</f>
        <v>#REF!</v>
      </c>
      <c r="E916" s="5">
        <v>101475</v>
      </c>
      <c r="K916" s="22">
        <v>491.5</v>
      </c>
      <c r="L916" s="6">
        <v>497</v>
      </c>
      <c r="M916" s="125">
        <f t="shared" si="15"/>
        <v>5.5</v>
      </c>
      <c r="N916" s="7"/>
      <c r="O916" s="132"/>
      <c r="P916" s="175"/>
      <c r="V916" s="207"/>
    </row>
    <row r="917" spans="1:22" ht="15" customHeight="1">
      <c r="A917" s="3">
        <v>37119</v>
      </c>
      <c r="B917" s="9">
        <v>60075</v>
      </c>
      <c r="C917" s="5">
        <v>14100</v>
      </c>
      <c r="D917" s="5" t="e">
        <f>E917-(#REF!+C917)</f>
        <v>#REF!</v>
      </c>
      <c r="E917" s="5">
        <v>106950</v>
      </c>
      <c r="K917" s="22">
        <v>487</v>
      </c>
      <c r="L917" s="6">
        <v>494</v>
      </c>
      <c r="M917" s="125">
        <f t="shared" si="15"/>
        <v>7</v>
      </c>
      <c r="N917" s="7"/>
      <c r="O917" s="132"/>
      <c r="P917" s="175"/>
      <c r="V917" s="207"/>
    </row>
    <row r="918" spans="1:22" ht="15" customHeight="1">
      <c r="A918" s="3">
        <v>37120</v>
      </c>
      <c r="B918" s="9">
        <v>59575</v>
      </c>
      <c r="C918" s="5">
        <v>14100</v>
      </c>
      <c r="D918" s="5" t="e">
        <f>E918-(#REF!+C918)</f>
        <v>#REF!</v>
      </c>
      <c r="E918" s="5">
        <v>106450</v>
      </c>
      <c r="K918" s="22">
        <v>492</v>
      </c>
      <c r="L918" s="6">
        <v>499</v>
      </c>
      <c r="M918" s="125">
        <f t="shared" si="15"/>
        <v>7</v>
      </c>
      <c r="N918" s="7"/>
      <c r="O918" s="132"/>
      <c r="P918" s="175"/>
      <c r="V918" s="207"/>
    </row>
    <row r="919" spans="1:22" ht="15" customHeight="1">
      <c r="A919" s="3">
        <v>37123</v>
      </c>
      <c r="B919" s="9">
        <v>59300</v>
      </c>
      <c r="C919" s="5">
        <v>14100</v>
      </c>
      <c r="D919" s="5" t="e">
        <f>E919-(#REF!+C919)</f>
        <v>#REF!</v>
      </c>
      <c r="E919" s="5">
        <v>106100</v>
      </c>
      <c r="K919" s="22">
        <v>494</v>
      </c>
      <c r="L919" s="6">
        <v>501</v>
      </c>
      <c r="M919" s="125">
        <f t="shared" si="15"/>
        <v>7</v>
      </c>
      <c r="N919" s="7"/>
      <c r="O919" s="132"/>
      <c r="P919" s="175"/>
      <c r="V919" s="207"/>
    </row>
    <row r="920" spans="1:22" ht="15" customHeight="1">
      <c r="A920" s="3">
        <v>37124</v>
      </c>
      <c r="B920" s="9">
        <v>58200</v>
      </c>
      <c r="C920" s="5">
        <v>14100</v>
      </c>
      <c r="D920" s="5" t="e">
        <f>E920-(#REF!+C920)</f>
        <v>#REF!</v>
      </c>
      <c r="E920" s="5">
        <v>104925</v>
      </c>
      <c r="K920" s="22">
        <v>482.5</v>
      </c>
      <c r="L920" s="6">
        <v>491.5</v>
      </c>
      <c r="M920" s="125">
        <f t="shared" si="15"/>
        <v>9</v>
      </c>
      <c r="N920" s="7"/>
      <c r="O920" s="132"/>
      <c r="P920" s="175"/>
      <c r="V920" s="207"/>
    </row>
    <row r="921" spans="1:22" ht="15" customHeight="1">
      <c r="A921" s="3">
        <v>37125</v>
      </c>
      <c r="B921" s="9">
        <v>57975</v>
      </c>
      <c r="C921" s="5">
        <v>14100</v>
      </c>
      <c r="D921" s="5" t="e">
        <f>E921-(#REF!+C921)</f>
        <v>#REF!</v>
      </c>
      <c r="E921" s="5">
        <v>104650</v>
      </c>
      <c r="K921" s="22">
        <v>473</v>
      </c>
      <c r="L921" s="6">
        <v>485</v>
      </c>
      <c r="M921" s="125">
        <f t="shared" si="15"/>
        <v>12</v>
      </c>
      <c r="N921" s="7"/>
      <c r="O921" s="132"/>
      <c r="P921" s="175"/>
      <c r="V921" s="207"/>
    </row>
    <row r="922" spans="1:22" ht="15" customHeight="1">
      <c r="A922" s="3">
        <v>37126</v>
      </c>
      <c r="B922" s="9">
        <v>57750</v>
      </c>
      <c r="C922" s="5">
        <v>14100</v>
      </c>
      <c r="D922" s="5" t="e">
        <f>E922-(#REF!+C922)</f>
        <v>#REF!</v>
      </c>
      <c r="E922" s="5">
        <v>104425</v>
      </c>
      <c r="K922" s="22">
        <v>468.5</v>
      </c>
      <c r="L922" s="6">
        <v>480</v>
      </c>
      <c r="M922" s="125">
        <f t="shared" si="15"/>
        <v>11.5</v>
      </c>
      <c r="N922" s="7"/>
      <c r="O922" s="132"/>
      <c r="P922" s="175"/>
      <c r="V922" s="207"/>
    </row>
    <row r="923" spans="1:22" ht="15" customHeight="1">
      <c r="A923" s="3">
        <v>37127</v>
      </c>
      <c r="B923" s="9">
        <v>58225</v>
      </c>
      <c r="C923" s="5">
        <v>14100</v>
      </c>
      <c r="D923" s="5" t="e">
        <f>E923-(#REF!+C923)</f>
        <v>#REF!</v>
      </c>
      <c r="E923" s="5">
        <v>104875</v>
      </c>
      <c r="K923" s="22">
        <v>471</v>
      </c>
      <c r="L923" s="6">
        <v>486</v>
      </c>
      <c r="M923" s="125">
        <f t="shared" si="15"/>
        <v>15</v>
      </c>
      <c r="N923" s="7"/>
      <c r="O923" s="132"/>
      <c r="P923" s="175"/>
      <c r="V923" s="207"/>
    </row>
    <row r="924" spans="1:22" ht="15" customHeight="1">
      <c r="A924" s="3">
        <v>37131</v>
      </c>
      <c r="B924" s="9">
        <v>57650</v>
      </c>
      <c r="C924" s="5">
        <v>14100</v>
      </c>
      <c r="D924" s="5" t="e">
        <f>E924-(#REF!+C924)</f>
        <v>#REF!</v>
      </c>
      <c r="E924" s="5">
        <v>104300</v>
      </c>
      <c r="K924" s="22">
        <v>481</v>
      </c>
      <c r="L924" s="6">
        <v>492</v>
      </c>
      <c r="M924" s="125">
        <f t="shared" si="15"/>
        <v>11</v>
      </c>
      <c r="N924" s="7"/>
      <c r="O924" s="132"/>
      <c r="P924" s="175"/>
      <c r="V924" s="207"/>
    </row>
    <row r="925" spans="1:22" ht="15" customHeight="1">
      <c r="A925" s="3">
        <v>37132</v>
      </c>
      <c r="B925" s="9">
        <v>56275</v>
      </c>
      <c r="C925" s="5">
        <v>14100</v>
      </c>
      <c r="D925" s="5" t="e">
        <f>E925-(#REF!+C925)</f>
        <v>#REF!</v>
      </c>
      <c r="E925" s="5">
        <v>102925</v>
      </c>
      <c r="K925" s="22">
        <v>466.5</v>
      </c>
      <c r="L925" s="6">
        <v>480.5</v>
      </c>
      <c r="M925" s="125">
        <f t="shared" si="15"/>
        <v>14</v>
      </c>
      <c r="N925" s="7"/>
      <c r="O925" s="132"/>
      <c r="P925" s="175"/>
      <c r="V925" s="207"/>
    </row>
    <row r="926" spans="1:22" ht="15" customHeight="1">
      <c r="A926" s="3">
        <v>37133</v>
      </c>
      <c r="B926" s="9">
        <v>56100</v>
      </c>
      <c r="C926" s="5">
        <v>14100</v>
      </c>
      <c r="D926" s="5" t="e">
        <f>E926-(#REF!+C926)</f>
        <v>#REF!</v>
      </c>
      <c r="E926" s="5">
        <v>102750</v>
      </c>
      <c r="K926" s="22">
        <v>474</v>
      </c>
      <c r="L926" s="6">
        <v>486.5</v>
      </c>
      <c r="M926" s="125">
        <f t="shared" si="15"/>
        <v>12.5</v>
      </c>
      <c r="N926" s="7"/>
      <c r="O926" s="132"/>
      <c r="P926" s="175"/>
      <c r="V926" s="207"/>
    </row>
    <row r="927" spans="1:22" ht="15" customHeight="1">
      <c r="A927" s="3">
        <v>37134</v>
      </c>
      <c r="B927" s="9">
        <v>55825</v>
      </c>
      <c r="C927" s="5">
        <v>14100</v>
      </c>
      <c r="D927" s="5" t="e">
        <f>E927-(#REF!+C927)</f>
        <v>#REF!</v>
      </c>
      <c r="E927" s="5">
        <v>102475</v>
      </c>
      <c r="K927" s="22">
        <v>470</v>
      </c>
      <c r="L927" s="6">
        <v>483</v>
      </c>
      <c r="M927" s="125">
        <f t="shared" si="15"/>
        <v>13</v>
      </c>
      <c r="N927" s="7"/>
      <c r="O927" s="132"/>
      <c r="P927" s="175"/>
      <c r="V927" s="207"/>
    </row>
    <row r="928" spans="1:22" ht="15" customHeight="1">
      <c r="A928" s="3">
        <v>37137</v>
      </c>
      <c r="B928" s="9">
        <v>55625</v>
      </c>
      <c r="C928" s="5">
        <v>14100</v>
      </c>
      <c r="D928" s="5" t="e">
        <f>E928-(#REF!+C928)</f>
        <v>#REF!</v>
      </c>
      <c r="E928" s="5">
        <v>102275</v>
      </c>
      <c r="K928" s="22">
        <v>463</v>
      </c>
      <c r="L928" s="6">
        <v>476</v>
      </c>
      <c r="M928" s="125">
        <f t="shared" si="15"/>
        <v>13</v>
      </c>
      <c r="N928" s="7"/>
      <c r="O928" s="132"/>
      <c r="P928" s="175"/>
      <c r="V928" s="207"/>
    </row>
    <row r="929" spans="1:22" ht="15" customHeight="1">
      <c r="A929" s="3">
        <v>37138</v>
      </c>
      <c r="B929" s="9">
        <v>54825</v>
      </c>
      <c r="C929" s="5">
        <v>14100</v>
      </c>
      <c r="D929" s="5" t="e">
        <f>E929-(#REF!+C929)</f>
        <v>#REF!</v>
      </c>
      <c r="E929" s="5">
        <v>101475</v>
      </c>
      <c r="K929" s="22">
        <v>469</v>
      </c>
      <c r="L929" s="6">
        <v>479</v>
      </c>
      <c r="M929" s="125">
        <f t="shared" si="15"/>
        <v>10</v>
      </c>
      <c r="N929" s="7"/>
      <c r="O929" s="132"/>
      <c r="P929" s="175"/>
      <c r="V929" s="207"/>
    </row>
    <row r="930" spans="1:22" ht="15" customHeight="1">
      <c r="A930" s="3">
        <v>37139</v>
      </c>
      <c r="B930" s="9">
        <v>54925</v>
      </c>
      <c r="C930" s="5">
        <v>14100</v>
      </c>
      <c r="D930" s="5" t="e">
        <f>E930-(#REF!+C930)</f>
        <v>#REF!</v>
      </c>
      <c r="E930" s="5">
        <v>101575</v>
      </c>
      <c r="K930" s="22">
        <v>468</v>
      </c>
      <c r="L930" s="6">
        <v>481</v>
      </c>
      <c r="M930" s="125">
        <f t="shared" si="15"/>
        <v>13</v>
      </c>
      <c r="N930" s="7"/>
      <c r="O930" s="132"/>
      <c r="P930" s="175"/>
      <c r="V930" s="207"/>
    </row>
    <row r="931" spans="1:22" ht="15" customHeight="1">
      <c r="A931" s="3">
        <v>37140</v>
      </c>
      <c r="B931" s="9">
        <v>54850</v>
      </c>
      <c r="C931" s="5">
        <v>14100</v>
      </c>
      <c r="D931" s="5" t="e">
        <f>E931-(#REF!+C931)</f>
        <v>#REF!</v>
      </c>
      <c r="E931" s="5">
        <v>101450</v>
      </c>
      <c r="K931" s="22">
        <v>473</v>
      </c>
      <c r="L931" s="6">
        <v>480.5</v>
      </c>
      <c r="M931" s="125">
        <f t="shared" si="15"/>
        <v>7.5</v>
      </c>
      <c r="N931" s="7"/>
      <c r="O931" s="132"/>
      <c r="P931" s="175"/>
      <c r="V931" s="207"/>
    </row>
    <row r="932" spans="1:22" ht="15" customHeight="1">
      <c r="A932" s="3">
        <v>37141</v>
      </c>
      <c r="B932" s="9">
        <v>58100</v>
      </c>
      <c r="C932" s="5">
        <v>14100</v>
      </c>
      <c r="D932" s="5" t="e">
        <f>E932-(#REF!+C932)</f>
        <v>#REF!</v>
      </c>
      <c r="E932" s="5">
        <v>104525</v>
      </c>
      <c r="K932" s="22">
        <v>472</v>
      </c>
      <c r="L932" s="6">
        <v>480</v>
      </c>
      <c r="M932" s="125">
        <f t="shared" si="15"/>
        <v>8</v>
      </c>
      <c r="N932" s="7"/>
      <c r="O932" s="132"/>
      <c r="P932" s="175"/>
      <c r="V932" s="207"/>
    </row>
    <row r="933" spans="1:22" ht="15" customHeight="1">
      <c r="A933" s="3">
        <v>37144</v>
      </c>
      <c r="B933" s="9">
        <v>57175</v>
      </c>
      <c r="C933" s="5">
        <v>14100</v>
      </c>
      <c r="D933" s="5" t="e">
        <f>E933-(#REF!+C933)</f>
        <v>#REF!</v>
      </c>
      <c r="E933" s="5">
        <v>103425</v>
      </c>
      <c r="K933" s="22">
        <v>469</v>
      </c>
      <c r="L933" s="6">
        <v>478</v>
      </c>
      <c r="M933" s="125">
        <f t="shared" si="15"/>
        <v>9</v>
      </c>
      <c r="N933" s="7"/>
      <c r="O933" s="132"/>
      <c r="P933" s="175"/>
      <c r="V933" s="207"/>
    </row>
    <row r="934" spans="1:22" ht="15" customHeight="1">
      <c r="A934" s="3">
        <v>37145</v>
      </c>
      <c r="B934" s="9">
        <v>56950</v>
      </c>
      <c r="C934" s="5">
        <v>14100</v>
      </c>
      <c r="D934" s="5" t="e">
        <f>E934-(#REF!+C934)</f>
        <v>#REF!</v>
      </c>
      <c r="E934" s="5">
        <v>103175</v>
      </c>
      <c r="K934" s="22">
        <v>470</v>
      </c>
      <c r="L934" s="6">
        <v>479.5</v>
      </c>
      <c r="M934" s="125">
        <f t="shared" si="15"/>
        <v>9.5</v>
      </c>
      <c r="N934" s="7"/>
      <c r="O934" s="132"/>
      <c r="P934" s="175"/>
      <c r="V934" s="207"/>
    </row>
    <row r="935" spans="1:22" ht="15" customHeight="1">
      <c r="A935" s="3">
        <v>37146</v>
      </c>
      <c r="B935" s="9">
        <v>58100</v>
      </c>
      <c r="C935" s="5">
        <v>14100</v>
      </c>
      <c r="D935" s="5" t="e">
        <f>E935-(#REF!+C935)</f>
        <v>#REF!</v>
      </c>
      <c r="E935" s="5">
        <v>104325</v>
      </c>
      <c r="K935" s="22">
        <v>477</v>
      </c>
      <c r="L935" s="6">
        <v>487</v>
      </c>
      <c r="M935" s="125">
        <f t="shared" si="15"/>
        <v>10</v>
      </c>
      <c r="N935" s="7"/>
      <c r="O935" s="132"/>
      <c r="P935" s="175"/>
      <c r="V935" s="207"/>
    </row>
    <row r="936" spans="1:22" ht="15" customHeight="1">
      <c r="A936" s="3">
        <v>37147</v>
      </c>
      <c r="B936" s="9">
        <v>58100</v>
      </c>
      <c r="C936" s="5">
        <v>14100</v>
      </c>
      <c r="D936" s="5" t="e">
        <f>E936-(#REF!+C936)</f>
        <v>#REF!</v>
      </c>
      <c r="E936" s="5">
        <v>104275</v>
      </c>
      <c r="K936" s="22">
        <v>470</v>
      </c>
      <c r="L936" s="6">
        <v>478.5</v>
      </c>
      <c r="M936" s="125">
        <f t="shared" si="15"/>
        <v>8.5</v>
      </c>
      <c r="N936" s="7"/>
      <c r="O936" s="132"/>
      <c r="P936" s="175"/>
      <c r="V936" s="207"/>
    </row>
    <row r="937" spans="1:22" ht="15" customHeight="1">
      <c r="A937" s="3">
        <v>37148</v>
      </c>
      <c r="B937" s="9">
        <v>57900</v>
      </c>
      <c r="C937" s="5">
        <v>14100</v>
      </c>
      <c r="D937" s="5" t="e">
        <f>E937-(#REF!+C937)</f>
        <v>#REF!</v>
      </c>
      <c r="E937" s="5">
        <v>104000</v>
      </c>
      <c r="K937" s="22">
        <v>474.5</v>
      </c>
      <c r="L937" s="6">
        <v>484</v>
      </c>
      <c r="M937" s="125">
        <f t="shared" si="15"/>
        <v>9.5</v>
      </c>
      <c r="N937" s="7"/>
      <c r="O937" s="132"/>
      <c r="P937" s="175"/>
      <c r="V937" s="207"/>
    </row>
    <row r="938" spans="1:22" ht="15" customHeight="1">
      <c r="A938" s="3">
        <v>37151</v>
      </c>
      <c r="B938" s="9">
        <v>57825</v>
      </c>
      <c r="C938" s="5">
        <v>14100</v>
      </c>
      <c r="D938" s="5" t="e">
        <f>E938-(#REF!+C938)</f>
        <v>#REF!</v>
      </c>
      <c r="E938" s="5">
        <v>103400</v>
      </c>
      <c r="K938" s="22">
        <v>473</v>
      </c>
      <c r="L938" s="6">
        <v>484</v>
      </c>
      <c r="M938" s="125">
        <f t="shared" si="15"/>
        <v>11</v>
      </c>
      <c r="N938" s="7"/>
      <c r="O938" s="132"/>
      <c r="P938" s="175"/>
      <c r="V938" s="207"/>
    </row>
    <row r="939" spans="1:22" ht="15" customHeight="1">
      <c r="A939" s="3">
        <v>37152</v>
      </c>
      <c r="B939" s="9">
        <v>59000</v>
      </c>
      <c r="C939" s="5">
        <v>14100</v>
      </c>
      <c r="D939" s="5" t="e">
        <f>E939-(#REF!+C939)</f>
        <v>#REF!</v>
      </c>
      <c r="E939" s="5">
        <v>104400</v>
      </c>
      <c r="K939" s="22">
        <v>475</v>
      </c>
      <c r="L939" s="6">
        <v>484.5</v>
      </c>
      <c r="M939" s="125">
        <f t="shared" si="15"/>
        <v>9.5</v>
      </c>
      <c r="N939" s="7"/>
      <c r="O939" s="132"/>
      <c r="P939" s="175"/>
      <c r="V939" s="207"/>
    </row>
    <row r="940" spans="1:22" ht="15" customHeight="1">
      <c r="A940" s="3">
        <v>37153</v>
      </c>
      <c r="B940" s="9">
        <v>59475</v>
      </c>
      <c r="C940" s="5">
        <v>14100</v>
      </c>
      <c r="D940" s="5" t="e">
        <f>E940-(#REF!+C940)</f>
        <v>#REF!</v>
      </c>
      <c r="E940" s="5">
        <v>104775</v>
      </c>
      <c r="K940" s="22">
        <v>467</v>
      </c>
      <c r="L940" s="6">
        <v>480</v>
      </c>
      <c r="M940" s="125">
        <f t="shared" si="15"/>
        <v>13</v>
      </c>
      <c r="N940" s="7"/>
      <c r="O940" s="132"/>
      <c r="P940" s="175"/>
      <c r="V940" s="207"/>
    </row>
    <row r="941" spans="1:22" ht="15" customHeight="1">
      <c r="A941" s="3">
        <v>37154</v>
      </c>
      <c r="B941" s="9">
        <v>59200</v>
      </c>
      <c r="C941" s="5">
        <v>14100</v>
      </c>
      <c r="D941" s="5" t="e">
        <f>E941-(#REF!+C941)</f>
        <v>#REF!</v>
      </c>
      <c r="E941" s="5">
        <v>104375</v>
      </c>
      <c r="K941" s="22">
        <v>464</v>
      </c>
      <c r="L941" s="6">
        <v>474</v>
      </c>
      <c r="M941" s="125">
        <f t="shared" si="15"/>
        <v>10</v>
      </c>
      <c r="N941" s="7"/>
      <c r="O941" s="132"/>
      <c r="P941" s="175"/>
      <c r="V941" s="207"/>
    </row>
    <row r="942" spans="1:22" ht="15" customHeight="1">
      <c r="A942" s="3">
        <v>37155</v>
      </c>
      <c r="B942" s="9">
        <v>59000</v>
      </c>
      <c r="C942" s="5">
        <v>14100</v>
      </c>
      <c r="D942" s="5" t="e">
        <f>E942-(#REF!+C942)</f>
        <v>#REF!</v>
      </c>
      <c r="E942" s="5">
        <v>104150</v>
      </c>
      <c r="K942" s="22">
        <v>454.5</v>
      </c>
      <c r="L942" s="6">
        <v>466.5</v>
      </c>
      <c r="M942" s="125">
        <f t="shared" si="15"/>
        <v>12</v>
      </c>
      <c r="N942" s="7"/>
      <c r="O942" s="132"/>
      <c r="P942" s="175"/>
      <c r="V942" s="207"/>
    </row>
    <row r="943" spans="1:22" ht="15" customHeight="1">
      <c r="A943" s="3">
        <v>37158</v>
      </c>
      <c r="B943" s="9">
        <v>58925</v>
      </c>
      <c r="C943" s="5">
        <v>14100</v>
      </c>
      <c r="D943" s="5" t="e">
        <f>E943-(#REF!+C943)</f>
        <v>#REF!</v>
      </c>
      <c r="E943" s="5">
        <v>104050</v>
      </c>
      <c r="K943" s="22">
        <v>450</v>
      </c>
      <c r="L943" s="6">
        <v>462.5</v>
      </c>
      <c r="M943" s="125">
        <f t="shared" si="15"/>
        <v>12.5</v>
      </c>
      <c r="N943" s="7"/>
      <c r="O943" s="132"/>
      <c r="P943" s="175"/>
      <c r="V943" s="207"/>
    </row>
    <row r="944" spans="1:22" ht="15" customHeight="1">
      <c r="A944" s="3">
        <v>37159</v>
      </c>
      <c r="B944" s="9">
        <v>58200</v>
      </c>
      <c r="C944" s="5">
        <v>14100</v>
      </c>
      <c r="D944" s="5" t="e">
        <f>E944-(#REF!+C944)</f>
        <v>#REF!</v>
      </c>
      <c r="E944" s="5">
        <v>103300</v>
      </c>
      <c r="K944" s="22">
        <v>450.5</v>
      </c>
      <c r="L944" s="6">
        <v>463</v>
      </c>
      <c r="M944" s="125">
        <f t="shared" si="15"/>
        <v>12.5</v>
      </c>
      <c r="N944" s="7"/>
      <c r="O944" s="132"/>
      <c r="P944" s="175"/>
      <c r="V944" s="207"/>
    </row>
    <row r="945" spans="1:22" ht="15" customHeight="1">
      <c r="A945" s="3">
        <v>37160</v>
      </c>
      <c r="B945" s="9">
        <v>57900</v>
      </c>
      <c r="C945" s="5">
        <v>14100</v>
      </c>
      <c r="D945" s="5" t="e">
        <f>E945-(#REF!+C945)</f>
        <v>#REF!</v>
      </c>
      <c r="E945" s="5">
        <v>103000</v>
      </c>
      <c r="K945" s="22">
        <v>452</v>
      </c>
      <c r="L945" s="6">
        <v>465</v>
      </c>
      <c r="M945" s="125">
        <f t="shared" si="15"/>
        <v>13</v>
      </c>
      <c r="N945" s="7"/>
      <c r="O945" s="132"/>
      <c r="P945" s="175"/>
      <c r="V945" s="207"/>
    </row>
    <row r="946" spans="1:22" ht="15" customHeight="1">
      <c r="A946" s="3">
        <v>37161</v>
      </c>
      <c r="B946" s="9">
        <v>58300</v>
      </c>
      <c r="C946" s="5">
        <v>14100</v>
      </c>
      <c r="D946" s="5" t="e">
        <f>E946-(#REF!+C946)</f>
        <v>#REF!</v>
      </c>
      <c r="E946" s="5">
        <v>103400</v>
      </c>
      <c r="K946" s="22">
        <v>453</v>
      </c>
      <c r="L946" s="6">
        <v>464</v>
      </c>
      <c r="M946" s="125">
        <f t="shared" si="15"/>
        <v>11</v>
      </c>
      <c r="N946" s="7"/>
      <c r="O946" s="132"/>
      <c r="P946" s="175"/>
      <c r="V946" s="207"/>
    </row>
    <row r="947" spans="1:22" ht="15" customHeight="1">
      <c r="A947" s="3">
        <v>37162</v>
      </c>
      <c r="B947" s="9">
        <v>58075</v>
      </c>
      <c r="C947" s="5">
        <v>14100</v>
      </c>
      <c r="D947" s="5" t="e">
        <f>E947-(#REF!+C947)</f>
        <v>#REF!</v>
      </c>
      <c r="E947" s="5">
        <v>103175</v>
      </c>
      <c r="K947" s="22">
        <v>451.5</v>
      </c>
      <c r="L947" s="6">
        <v>462</v>
      </c>
      <c r="M947" s="125">
        <f t="shared" si="15"/>
        <v>10.5</v>
      </c>
      <c r="N947" s="7"/>
      <c r="O947" s="132"/>
      <c r="P947" s="175"/>
      <c r="V947" s="207"/>
    </row>
    <row r="948" spans="1:22" ht="15" customHeight="1">
      <c r="A948" s="3">
        <v>37165</v>
      </c>
      <c r="B948" s="9">
        <v>58750</v>
      </c>
      <c r="C948" s="5">
        <v>14100</v>
      </c>
      <c r="D948" s="5" t="e">
        <f>E948-(#REF!+C948)</f>
        <v>#REF!</v>
      </c>
      <c r="E948" s="5">
        <v>103850</v>
      </c>
      <c r="K948" s="22">
        <v>448.5</v>
      </c>
      <c r="L948" s="6">
        <v>462</v>
      </c>
      <c r="M948" s="125">
        <f t="shared" si="15"/>
        <v>13.5</v>
      </c>
      <c r="N948" s="7"/>
      <c r="O948" s="132"/>
      <c r="P948" s="175"/>
      <c r="V948" s="207"/>
    </row>
    <row r="949" spans="1:22" ht="15" customHeight="1">
      <c r="A949" s="3">
        <v>37166</v>
      </c>
      <c r="B949" s="9">
        <v>58125</v>
      </c>
      <c r="C949" s="5">
        <v>14100</v>
      </c>
      <c r="D949" s="5" t="e">
        <f>E949-(#REF!+C949)</f>
        <v>#REF!</v>
      </c>
      <c r="E949" s="5">
        <v>103225</v>
      </c>
      <c r="K949" s="22">
        <v>447</v>
      </c>
      <c r="L949" s="6">
        <v>458</v>
      </c>
      <c r="M949" s="125">
        <f t="shared" si="15"/>
        <v>11</v>
      </c>
      <c r="N949" s="7"/>
      <c r="O949" s="132"/>
      <c r="P949" s="175"/>
      <c r="V949" s="207"/>
    </row>
    <row r="950" spans="1:22" ht="15" customHeight="1">
      <c r="A950" s="3">
        <v>37167</v>
      </c>
      <c r="B950" s="9">
        <v>57775</v>
      </c>
      <c r="C950" s="5">
        <v>14100</v>
      </c>
      <c r="D950" s="5" t="e">
        <f>E950-(#REF!+C950)</f>
        <v>#REF!</v>
      </c>
      <c r="E950" s="5">
        <v>102825</v>
      </c>
      <c r="K950" s="22">
        <v>440</v>
      </c>
      <c r="L950" s="6">
        <v>452</v>
      </c>
      <c r="M950" s="125">
        <f t="shared" si="15"/>
        <v>12</v>
      </c>
      <c r="N950" s="7"/>
      <c r="O950" s="132"/>
      <c r="P950" s="175"/>
      <c r="V950" s="207"/>
    </row>
    <row r="951" spans="1:22" ht="15" customHeight="1">
      <c r="A951" s="3">
        <v>37168</v>
      </c>
      <c r="B951" s="9">
        <v>56550</v>
      </c>
      <c r="C951" s="5">
        <v>14100</v>
      </c>
      <c r="D951" s="5" t="e">
        <f>E951-(#REF!+C951)</f>
        <v>#REF!</v>
      </c>
      <c r="E951" s="5">
        <v>101600</v>
      </c>
      <c r="K951" s="22">
        <v>447</v>
      </c>
      <c r="L951" s="6">
        <v>457</v>
      </c>
      <c r="M951" s="125">
        <f t="shared" ref="M951:M1014" si="16">L951-K951</f>
        <v>10</v>
      </c>
      <c r="N951" s="7"/>
      <c r="O951" s="132"/>
      <c r="P951" s="175"/>
      <c r="V951" s="207"/>
    </row>
    <row r="952" spans="1:22" ht="15" customHeight="1">
      <c r="A952" s="3">
        <v>37169</v>
      </c>
      <c r="B952" s="9">
        <v>55925</v>
      </c>
      <c r="C952" s="5">
        <v>14100</v>
      </c>
      <c r="D952" s="5" t="e">
        <f>E952-(#REF!+C952)</f>
        <v>#REF!</v>
      </c>
      <c r="E952" s="5">
        <v>100975</v>
      </c>
      <c r="K952" s="22">
        <v>459</v>
      </c>
      <c r="L952" s="6">
        <v>470</v>
      </c>
      <c r="M952" s="125">
        <f t="shared" si="16"/>
        <v>11</v>
      </c>
      <c r="N952" s="7"/>
      <c r="O952" s="132"/>
      <c r="P952" s="175"/>
      <c r="V952" s="207"/>
    </row>
    <row r="953" spans="1:22" ht="15" customHeight="1">
      <c r="A953" s="3">
        <v>37172</v>
      </c>
      <c r="B953" s="9">
        <v>57150</v>
      </c>
      <c r="C953" s="5">
        <v>14100</v>
      </c>
      <c r="D953" s="5" t="e">
        <f>E953-(#REF!+C953)</f>
        <v>#REF!</v>
      </c>
      <c r="E953" s="5">
        <v>102200</v>
      </c>
      <c r="K953" s="22">
        <v>476.5</v>
      </c>
      <c r="L953" s="6">
        <v>486</v>
      </c>
      <c r="M953" s="125">
        <f t="shared" si="16"/>
        <v>9.5</v>
      </c>
      <c r="N953" s="7"/>
      <c r="O953" s="132"/>
      <c r="P953" s="175"/>
      <c r="V953" s="207"/>
    </row>
    <row r="954" spans="1:22" ht="15" customHeight="1">
      <c r="A954" s="3">
        <v>37173</v>
      </c>
      <c r="B954" s="9">
        <v>55625</v>
      </c>
      <c r="C954" s="5">
        <v>14100</v>
      </c>
      <c r="D954" s="5" t="e">
        <f>E954-(#REF!+C954)</f>
        <v>#REF!</v>
      </c>
      <c r="E954" s="5">
        <v>100675</v>
      </c>
      <c r="K954" s="22">
        <v>471.5</v>
      </c>
      <c r="L954" s="6">
        <v>484</v>
      </c>
      <c r="M954" s="125">
        <f t="shared" si="16"/>
        <v>12.5</v>
      </c>
      <c r="N954" s="7"/>
      <c r="O954" s="132"/>
      <c r="P954" s="175"/>
      <c r="V954" s="207"/>
    </row>
    <row r="955" spans="1:22" ht="15" customHeight="1">
      <c r="A955" s="3">
        <v>37174</v>
      </c>
      <c r="B955" s="9">
        <v>56100</v>
      </c>
      <c r="C955" s="5">
        <v>14100</v>
      </c>
      <c r="D955" s="5" t="e">
        <f>E955-(#REF!+C955)</f>
        <v>#REF!</v>
      </c>
      <c r="E955" s="5">
        <v>101150</v>
      </c>
      <c r="K955" s="22">
        <v>469</v>
      </c>
      <c r="L955" s="6">
        <v>482</v>
      </c>
      <c r="M955" s="125">
        <f t="shared" si="16"/>
        <v>13</v>
      </c>
      <c r="N955" s="7"/>
      <c r="O955" s="132"/>
      <c r="P955" s="175"/>
      <c r="V955" s="207"/>
    </row>
    <row r="956" spans="1:22" ht="15" customHeight="1">
      <c r="A956" s="3">
        <v>37175</v>
      </c>
      <c r="B956" s="9">
        <v>55575</v>
      </c>
      <c r="C956" s="5">
        <v>14100</v>
      </c>
      <c r="D956" s="5" t="e">
        <f>E956-(#REF!+C956)</f>
        <v>#REF!</v>
      </c>
      <c r="E956" s="5">
        <v>100525</v>
      </c>
      <c r="K956" s="22">
        <v>471</v>
      </c>
      <c r="L956" s="6">
        <v>481.5</v>
      </c>
      <c r="M956" s="125">
        <f t="shared" si="16"/>
        <v>10.5</v>
      </c>
      <c r="N956" s="7"/>
      <c r="O956" s="132"/>
      <c r="P956" s="175"/>
      <c r="V956" s="207"/>
    </row>
    <row r="957" spans="1:22" ht="15" customHeight="1">
      <c r="A957" s="3">
        <v>37176</v>
      </c>
      <c r="B957" s="9">
        <v>56050</v>
      </c>
      <c r="C957" s="5">
        <v>14100</v>
      </c>
      <c r="D957" s="5" t="e">
        <f>E957-(#REF!+C957)</f>
        <v>#REF!</v>
      </c>
      <c r="E957" s="5">
        <v>100900</v>
      </c>
      <c r="K957" s="22">
        <v>477</v>
      </c>
      <c r="L957" s="6">
        <v>487</v>
      </c>
      <c r="M957" s="125">
        <f t="shared" si="16"/>
        <v>10</v>
      </c>
      <c r="N957" s="7"/>
      <c r="O957" s="132"/>
      <c r="P957" s="175"/>
      <c r="V957" s="207"/>
    </row>
    <row r="958" spans="1:22" ht="15" customHeight="1">
      <c r="A958" s="3">
        <v>37179</v>
      </c>
      <c r="B958" s="9">
        <v>55475</v>
      </c>
      <c r="C958" s="5">
        <v>14100</v>
      </c>
      <c r="D958" s="5" t="e">
        <f>E958-(#REF!+C958)</f>
        <v>#REF!</v>
      </c>
      <c r="E958" s="5">
        <v>100175</v>
      </c>
      <c r="K958" s="22">
        <v>472</v>
      </c>
      <c r="L958" s="6">
        <v>485</v>
      </c>
      <c r="M958" s="125">
        <f t="shared" si="16"/>
        <v>13</v>
      </c>
      <c r="N958" s="7"/>
      <c r="O958" s="132"/>
      <c r="P958" s="175"/>
      <c r="V958" s="207"/>
    </row>
    <row r="959" spans="1:22" ht="15" customHeight="1">
      <c r="A959" s="3">
        <v>37180</v>
      </c>
      <c r="B959" s="9">
        <v>54600</v>
      </c>
      <c r="C959" s="5">
        <v>14100</v>
      </c>
      <c r="D959" s="5" t="e">
        <f>E959-(#REF!+C959)</f>
        <v>#REF!</v>
      </c>
      <c r="E959" s="5">
        <v>99150</v>
      </c>
      <c r="K959" s="22">
        <v>466</v>
      </c>
      <c r="L959" s="6">
        <v>478</v>
      </c>
      <c r="M959" s="125">
        <f t="shared" si="16"/>
        <v>12</v>
      </c>
      <c r="N959" s="7"/>
      <c r="O959" s="132"/>
      <c r="P959" s="175"/>
      <c r="V959" s="207"/>
    </row>
    <row r="960" spans="1:22" ht="15" customHeight="1">
      <c r="A960" s="3">
        <v>37181</v>
      </c>
      <c r="B960" s="9">
        <v>55300</v>
      </c>
      <c r="C960" s="5">
        <v>14100</v>
      </c>
      <c r="D960" s="5" t="e">
        <f>E960-(#REF!+C960)</f>
        <v>#REF!</v>
      </c>
      <c r="E960" s="5">
        <v>99750</v>
      </c>
      <c r="K960" s="22">
        <v>482</v>
      </c>
      <c r="L960" s="6">
        <v>494</v>
      </c>
      <c r="M960" s="125">
        <f t="shared" si="16"/>
        <v>12</v>
      </c>
      <c r="N960" s="7"/>
      <c r="O960" s="132"/>
      <c r="P960" s="175"/>
      <c r="V960" s="207"/>
    </row>
    <row r="961" spans="1:22" ht="15" customHeight="1">
      <c r="A961" s="3">
        <v>37182</v>
      </c>
      <c r="B961" s="9">
        <v>56300</v>
      </c>
      <c r="C961" s="5">
        <v>16375</v>
      </c>
      <c r="D961" s="5" t="e">
        <f>E961-(#REF!+C961)</f>
        <v>#REF!</v>
      </c>
      <c r="E961" s="5">
        <v>103025</v>
      </c>
      <c r="K961" s="22">
        <v>475.5</v>
      </c>
      <c r="L961" s="6">
        <v>486.5</v>
      </c>
      <c r="M961" s="125">
        <f t="shared" si="16"/>
        <v>11</v>
      </c>
      <c r="N961" s="7"/>
      <c r="O961" s="132"/>
      <c r="P961" s="175"/>
      <c r="V961" s="207"/>
    </row>
    <row r="962" spans="1:22" ht="15" customHeight="1">
      <c r="A962" s="3">
        <v>37183</v>
      </c>
      <c r="B962" s="9">
        <v>56050</v>
      </c>
      <c r="C962" s="5">
        <v>16375</v>
      </c>
      <c r="D962" s="5" t="e">
        <f>E962-(#REF!+C962)</f>
        <v>#REF!</v>
      </c>
      <c r="E962" s="5">
        <v>102575</v>
      </c>
      <c r="K962" s="22">
        <v>466</v>
      </c>
      <c r="L962" s="6">
        <v>477</v>
      </c>
      <c r="M962" s="125">
        <f t="shared" si="16"/>
        <v>11</v>
      </c>
      <c r="N962" s="7"/>
      <c r="O962" s="132"/>
      <c r="P962" s="175"/>
      <c r="V962" s="207"/>
    </row>
    <row r="963" spans="1:22" ht="15" customHeight="1">
      <c r="A963" s="3">
        <v>37186</v>
      </c>
      <c r="B963" s="9">
        <v>55950</v>
      </c>
      <c r="C963" s="5">
        <v>16375</v>
      </c>
      <c r="D963" s="5" t="e">
        <f>E963-(#REF!+C963)</f>
        <v>#REF!</v>
      </c>
      <c r="E963" s="5">
        <v>102325</v>
      </c>
      <c r="K963" s="22">
        <v>457</v>
      </c>
      <c r="L963" s="6">
        <v>467</v>
      </c>
      <c r="M963" s="125">
        <f t="shared" si="16"/>
        <v>10</v>
      </c>
      <c r="N963" s="7"/>
      <c r="O963" s="132"/>
      <c r="P963" s="175"/>
      <c r="V963" s="207"/>
    </row>
    <row r="964" spans="1:22" ht="15" customHeight="1">
      <c r="A964" s="3">
        <v>37187</v>
      </c>
      <c r="B964" s="9">
        <v>55025</v>
      </c>
      <c r="C964" s="5">
        <v>16375</v>
      </c>
      <c r="D964" s="5" t="e">
        <f>E964-(#REF!+C964)</f>
        <v>#REF!</v>
      </c>
      <c r="E964" s="5">
        <v>101200</v>
      </c>
      <c r="K964" s="22">
        <v>478</v>
      </c>
      <c r="L964" s="6">
        <v>486</v>
      </c>
      <c r="M964" s="125">
        <f t="shared" si="16"/>
        <v>8</v>
      </c>
      <c r="N964" s="7"/>
      <c r="O964" s="132"/>
      <c r="P964" s="175"/>
      <c r="V964" s="207"/>
    </row>
    <row r="965" spans="1:22" ht="15" customHeight="1">
      <c r="A965" s="3">
        <v>37188</v>
      </c>
      <c r="B965" s="9">
        <v>55275</v>
      </c>
      <c r="C965" s="5">
        <v>16375</v>
      </c>
      <c r="D965" s="5" t="e">
        <f>E965-(#REF!+C965)</f>
        <v>#REF!</v>
      </c>
      <c r="E965" s="5">
        <v>101400</v>
      </c>
      <c r="K965" s="22">
        <v>482</v>
      </c>
      <c r="L965" s="6">
        <v>488</v>
      </c>
      <c r="M965" s="125">
        <f t="shared" si="16"/>
        <v>6</v>
      </c>
      <c r="N965" s="7"/>
      <c r="O965" s="132"/>
      <c r="P965" s="175"/>
      <c r="V965" s="207"/>
    </row>
    <row r="966" spans="1:22" ht="15" customHeight="1">
      <c r="A966" s="3">
        <v>37189</v>
      </c>
      <c r="B966" s="9">
        <v>57175</v>
      </c>
      <c r="C966" s="5">
        <v>16375</v>
      </c>
      <c r="D966" s="5" t="e">
        <f>E966-(#REF!+C966)</f>
        <v>#REF!</v>
      </c>
      <c r="E966" s="5">
        <v>103225</v>
      </c>
      <c r="K966" s="22">
        <v>477</v>
      </c>
      <c r="L966" s="6">
        <v>482</v>
      </c>
      <c r="M966" s="125">
        <f t="shared" si="16"/>
        <v>5</v>
      </c>
      <c r="N966" s="7"/>
      <c r="O966" s="132"/>
      <c r="P966" s="175"/>
      <c r="V966" s="207"/>
    </row>
    <row r="967" spans="1:22" ht="15" customHeight="1">
      <c r="A967" s="3">
        <v>37190</v>
      </c>
      <c r="B967" s="9">
        <v>57300</v>
      </c>
      <c r="C967" s="5">
        <v>16375</v>
      </c>
      <c r="D967" s="5" t="e">
        <f>E967-(#REF!+C967)</f>
        <v>#REF!</v>
      </c>
      <c r="E967" s="5">
        <v>103325</v>
      </c>
      <c r="K967" s="22">
        <v>481</v>
      </c>
      <c r="L967" s="6">
        <v>485</v>
      </c>
      <c r="M967" s="125">
        <f t="shared" si="16"/>
        <v>4</v>
      </c>
      <c r="N967" s="7"/>
      <c r="O967" s="132"/>
      <c r="P967" s="175"/>
      <c r="V967" s="207"/>
    </row>
    <row r="968" spans="1:22" ht="15" customHeight="1">
      <c r="A968" s="3">
        <v>37193</v>
      </c>
      <c r="B968" s="9">
        <v>59050</v>
      </c>
      <c r="C968" s="5">
        <v>16375</v>
      </c>
      <c r="D968" s="5" t="e">
        <f>E968-(#REF!+C968)</f>
        <v>#REF!</v>
      </c>
      <c r="E968" s="5">
        <v>104925</v>
      </c>
      <c r="K968" s="22">
        <v>477.5</v>
      </c>
      <c r="L968" s="6">
        <v>483</v>
      </c>
      <c r="M968" s="125">
        <f t="shared" si="16"/>
        <v>5.5</v>
      </c>
      <c r="N968" s="7"/>
      <c r="O968" s="132"/>
      <c r="P968" s="175"/>
      <c r="V968" s="207"/>
    </row>
    <row r="969" spans="1:22" ht="15" customHeight="1">
      <c r="A969" s="3">
        <v>37194</v>
      </c>
      <c r="B969" s="9">
        <v>58650</v>
      </c>
      <c r="C969" s="5">
        <v>16375</v>
      </c>
      <c r="D969" s="5" t="e">
        <f>E969-(#REF!+C969)</f>
        <v>#REF!</v>
      </c>
      <c r="E969" s="5">
        <v>104375</v>
      </c>
      <c r="K969" s="22">
        <v>472</v>
      </c>
      <c r="L969" s="6">
        <v>479</v>
      </c>
      <c r="M969" s="125">
        <f t="shared" si="16"/>
        <v>7</v>
      </c>
      <c r="N969" s="7"/>
      <c r="O969" s="132"/>
      <c r="P969" s="175"/>
      <c r="V969" s="207"/>
    </row>
    <row r="970" spans="1:22" ht="15" customHeight="1">
      <c r="A970" s="3">
        <v>37195</v>
      </c>
      <c r="B970" s="9">
        <v>58650</v>
      </c>
      <c r="C970" s="5">
        <v>16375</v>
      </c>
      <c r="D970" s="5" t="e">
        <f>E970-(#REF!+C970)</f>
        <v>#REF!</v>
      </c>
      <c r="E970" s="5">
        <v>103475</v>
      </c>
      <c r="K970" s="22">
        <v>474</v>
      </c>
      <c r="L970" s="6">
        <v>479</v>
      </c>
      <c r="M970" s="125">
        <f t="shared" si="16"/>
        <v>5</v>
      </c>
      <c r="N970" s="7"/>
      <c r="O970" s="132"/>
      <c r="P970" s="175"/>
      <c r="V970" s="207"/>
    </row>
    <row r="971" spans="1:22" ht="15" customHeight="1">
      <c r="A971" s="3">
        <v>37196</v>
      </c>
      <c r="B971" s="9">
        <v>58675</v>
      </c>
      <c r="C971" s="5">
        <v>16375</v>
      </c>
      <c r="D971" s="5" t="e">
        <f>E971-(#REF!+C971)</f>
        <v>#REF!</v>
      </c>
      <c r="E971" s="5">
        <v>104150</v>
      </c>
      <c r="K971" s="22">
        <v>479.5</v>
      </c>
      <c r="L971" s="6">
        <v>484</v>
      </c>
      <c r="M971" s="125">
        <f t="shared" si="16"/>
        <v>4.5</v>
      </c>
      <c r="N971" s="7"/>
      <c r="O971" s="132"/>
      <c r="P971" s="175"/>
      <c r="V971" s="207"/>
    </row>
    <row r="972" spans="1:22" ht="15" customHeight="1">
      <c r="A972" s="3">
        <v>37197</v>
      </c>
      <c r="B972" s="9">
        <v>58075</v>
      </c>
      <c r="C972" s="5">
        <v>16375</v>
      </c>
      <c r="D972" s="5" t="e">
        <f>E972-(#REF!+C972)</f>
        <v>#REF!</v>
      </c>
      <c r="E972" s="5">
        <v>103200</v>
      </c>
      <c r="K972" s="22">
        <v>479</v>
      </c>
      <c r="L972" s="6">
        <v>483</v>
      </c>
      <c r="M972" s="125">
        <f t="shared" si="16"/>
        <v>4</v>
      </c>
      <c r="N972" s="7"/>
      <c r="O972" s="132"/>
      <c r="P972" s="175"/>
      <c r="V972" s="207"/>
    </row>
    <row r="973" spans="1:22" ht="15" customHeight="1">
      <c r="A973" s="3">
        <v>37200</v>
      </c>
      <c r="B973" s="9">
        <v>58075</v>
      </c>
      <c r="C973" s="5">
        <v>16375</v>
      </c>
      <c r="D973" s="5" t="e">
        <f>E973-(#REF!+C973)</f>
        <v>#REF!</v>
      </c>
      <c r="E973" s="5">
        <v>103500</v>
      </c>
      <c r="K973" s="22">
        <v>466</v>
      </c>
      <c r="L973" s="6">
        <v>471</v>
      </c>
      <c r="M973" s="125">
        <f t="shared" si="16"/>
        <v>5</v>
      </c>
      <c r="N973" s="7"/>
      <c r="O973" s="132"/>
      <c r="P973" s="175"/>
      <c r="V973" s="207"/>
    </row>
    <row r="974" spans="1:22" ht="15" customHeight="1">
      <c r="A974" s="3">
        <v>37201</v>
      </c>
      <c r="B974" s="9">
        <v>57200</v>
      </c>
      <c r="C974" s="5">
        <v>16375</v>
      </c>
      <c r="D974" s="5" t="e">
        <f>E974-(#REF!+C974)</f>
        <v>#REF!</v>
      </c>
      <c r="E974" s="5">
        <v>102625</v>
      </c>
      <c r="K974" s="22">
        <v>463</v>
      </c>
      <c r="L974" s="6">
        <v>469</v>
      </c>
      <c r="M974" s="125">
        <f t="shared" si="16"/>
        <v>6</v>
      </c>
      <c r="N974" s="7"/>
      <c r="O974" s="132"/>
      <c r="P974" s="175"/>
      <c r="V974" s="207"/>
    </row>
    <row r="975" spans="1:22" ht="15" customHeight="1">
      <c r="A975" s="3">
        <v>37202</v>
      </c>
      <c r="B975" s="9">
        <v>56875</v>
      </c>
      <c r="C975" s="5">
        <v>16375</v>
      </c>
      <c r="D975" s="5" t="e">
        <f>E975-(#REF!+C975)</f>
        <v>#REF!</v>
      </c>
      <c r="E975" s="5">
        <v>102275</v>
      </c>
      <c r="K975" s="22">
        <v>458</v>
      </c>
      <c r="L975" s="6">
        <v>468</v>
      </c>
      <c r="M975" s="125">
        <f t="shared" si="16"/>
        <v>10</v>
      </c>
      <c r="N975" s="7"/>
      <c r="O975" s="132"/>
      <c r="P975" s="175"/>
      <c r="V975" s="207"/>
    </row>
    <row r="976" spans="1:22" ht="15" customHeight="1">
      <c r="A976" s="3">
        <v>37203</v>
      </c>
      <c r="B976" s="9">
        <v>56750</v>
      </c>
      <c r="C976" s="5">
        <v>16375</v>
      </c>
      <c r="D976" s="5" t="e">
        <f>E976-(#REF!+C976)</f>
        <v>#REF!</v>
      </c>
      <c r="E976" s="5">
        <v>102100</v>
      </c>
      <c r="K976" s="22">
        <v>469</v>
      </c>
      <c r="L976" s="6">
        <v>472.5</v>
      </c>
      <c r="M976" s="125">
        <f t="shared" si="16"/>
        <v>3.5</v>
      </c>
      <c r="N976" s="7"/>
      <c r="O976" s="132"/>
      <c r="P976" s="175"/>
      <c r="V976" s="207"/>
    </row>
    <row r="977" spans="1:22" ht="15" customHeight="1">
      <c r="A977" s="3">
        <v>37204</v>
      </c>
      <c r="B977" s="9">
        <v>57175</v>
      </c>
      <c r="C977" s="5">
        <v>16375</v>
      </c>
      <c r="D977" s="5" t="e">
        <f>E977-(#REF!+C977)</f>
        <v>#REF!</v>
      </c>
      <c r="E977" s="5">
        <v>102525</v>
      </c>
      <c r="K977" s="22">
        <v>488</v>
      </c>
      <c r="L977" s="6">
        <v>486</v>
      </c>
      <c r="M977" s="125">
        <f t="shared" si="16"/>
        <v>-2</v>
      </c>
      <c r="N977" s="7"/>
      <c r="O977" s="132"/>
      <c r="P977" s="175"/>
      <c r="V977" s="207"/>
    </row>
    <row r="978" spans="1:22" ht="15" customHeight="1">
      <c r="A978" s="3">
        <v>37207</v>
      </c>
      <c r="B978" s="9">
        <v>57175</v>
      </c>
      <c r="C978" s="5">
        <v>16375</v>
      </c>
      <c r="D978" s="5" t="e">
        <f>E978-(#REF!+C978)</f>
        <v>#REF!</v>
      </c>
      <c r="E978" s="5">
        <v>102525</v>
      </c>
      <c r="K978" s="22">
        <v>496</v>
      </c>
      <c r="L978" s="6">
        <v>491</v>
      </c>
      <c r="M978" s="125">
        <f t="shared" si="16"/>
        <v>-5</v>
      </c>
      <c r="N978" s="7"/>
      <c r="O978" s="132"/>
      <c r="P978" s="175"/>
      <c r="V978" s="207"/>
    </row>
    <row r="979" spans="1:22" ht="15" customHeight="1">
      <c r="A979" s="3">
        <v>37208</v>
      </c>
      <c r="B979" s="9">
        <v>57500</v>
      </c>
      <c r="C979" s="5">
        <v>16375</v>
      </c>
      <c r="D979" s="5" t="e">
        <f>E979-(#REF!+C979)</f>
        <v>#REF!</v>
      </c>
      <c r="E979" s="1">
        <v>102800</v>
      </c>
      <c r="F979" s="403"/>
      <c r="G979" s="1"/>
      <c r="H979" s="1"/>
      <c r="I979" s="121"/>
      <c r="J979" s="121"/>
      <c r="K979" s="22">
        <v>493</v>
      </c>
      <c r="L979" s="6">
        <v>490</v>
      </c>
      <c r="M979" s="125">
        <f t="shared" si="16"/>
        <v>-3</v>
      </c>
      <c r="N979" s="7"/>
      <c r="O979" s="132"/>
      <c r="P979" s="175"/>
      <c r="V979" s="207"/>
    </row>
    <row r="980" spans="1:22" ht="15" customHeight="1">
      <c r="A980" s="3">
        <v>37209</v>
      </c>
      <c r="B980" s="9">
        <v>60050</v>
      </c>
      <c r="C980" s="5">
        <v>16375</v>
      </c>
      <c r="D980" s="5" t="e">
        <f>E980-(#REF!+C980)</f>
        <v>#REF!</v>
      </c>
      <c r="E980" s="1">
        <v>105350</v>
      </c>
      <c r="F980" s="403"/>
      <c r="G980" s="1"/>
      <c r="H980" s="1"/>
      <c r="I980" s="121"/>
      <c r="J980" s="121"/>
      <c r="K980" s="22">
        <v>487</v>
      </c>
      <c r="L980" s="6">
        <v>490</v>
      </c>
      <c r="M980" s="125">
        <f t="shared" si="16"/>
        <v>3</v>
      </c>
      <c r="N980" s="7"/>
      <c r="O980" s="132"/>
      <c r="P980" s="175"/>
      <c r="V980" s="207"/>
    </row>
    <row r="981" spans="1:22" ht="15" customHeight="1">
      <c r="A981" s="3">
        <v>37210</v>
      </c>
      <c r="B981" s="9">
        <v>59900</v>
      </c>
      <c r="C981" s="5">
        <v>16375</v>
      </c>
      <c r="D981" s="5" t="e">
        <f>E981-(#REF!+C981)</f>
        <v>#REF!</v>
      </c>
      <c r="E981" s="1">
        <v>105200</v>
      </c>
      <c r="F981" s="403"/>
      <c r="G981" s="1"/>
      <c r="H981" s="1"/>
      <c r="I981" s="121"/>
      <c r="J981" s="121"/>
      <c r="K981" s="22">
        <v>490</v>
      </c>
      <c r="L981" s="6">
        <v>489</v>
      </c>
      <c r="M981" s="125">
        <f t="shared" si="16"/>
        <v>-1</v>
      </c>
      <c r="N981" s="7"/>
      <c r="O981" s="132"/>
      <c r="P981" s="175"/>
      <c r="V981" s="207"/>
    </row>
    <row r="982" spans="1:22" ht="15" customHeight="1">
      <c r="A982" s="3">
        <v>37211</v>
      </c>
      <c r="B982" s="9">
        <v>60150</v>
      </c>
      <c r="C982" s="5">
        <v>16375</v>
      </c>
      <c r="D982" s="5" t="e">
        <f>E982-(#REF!+C982)</f>
        <v>#REF!</v>
      </c>
      <c r="E982" s="1">
        <v>105450</v>
      </c>
      <c r="F982" s="403"/>
      <c r="G982" s="1"/>
      <c r="H982" s="1"/>
      <c r="I982" s="121"/>
      <c r="J982" s="121"/>
      <c r="K982" s="22">
        <v>493</v>
      </c>
      <c r="L982" s="6">
        <v>492</v>
      </c>
      <c r="M982" s="125">
        <f t="shared" si="16"/>
        <v>-1</v>
      </c>
      <c r="N982" s="7"/>
      <c r="O982" s="132"/>
      <c r="P982" s="175"/>
      <c r="V982" s="207"/>
    </row>
    <row r="983" spans="1:22" ht="15" customHeight="1">
      <c r="A983" s="3">
        <v>37214</v>
      </c>
      <c r="B983" s="9">
        <v>61400</v>
      </c>
      <c r="C983" s="5">
        <v>16375</v>
      </c>
      <c r="D983" s="5" t="e">
        <f>E983-(#REF!+C983)</f>
        <v>#REF!</v>
      </c>
      <c r="E983" s="5">
        <v>106700</v>
      </c>
      <c r="K983" s="22">
        <v>492</v>
      </c>
      <c r="L983" s="6">
        <v>491</v>
      </c>
      <c r="M983" s="125">
        <f t="shared" si="16"/>
        <v>-1</v>
      </c>
      <c r="N983" s="7"/>
      <c r="O983" s="132"/>
      <c r="P983" s="175"/>
      <c r="V983" s="207"/>
    </row>
    <row r="984" spans="1:22" ht="15" customHeight="1">
      <c r="A984" s="3">
        <v>37215</v>
      </c>
      <c r="B984" s="9">
        <v>61150</v>
      </c>
      <c r="C984" s="5">
        <v>16375</v>
      </c>
      <c r="D984" s="5" t="e">
        <f>E984-(#REF!+C984)</f>
        <v>#REF!</v>
      </c>
      <c r="E984" s="1">
        <v>106200</v>
      </c>
      <c r="F984" s="403"/>
      <c r="G984" s="1"/>
      <c r="H984" s="1"/>
      <c r="I984" s="121"/>
      <c r="J984" s="121"/>
      <c r="K984" s="22">
        <v>492</v>
      </c>
      <c r="L984" s="6">
        <v>487</v>
      </c>
      <c r="M984" s="125">
        <f t="shared" si="16"/>
        <v>-5</v>
      </c>
      <c r="N984" s="7"/>
      <c r="O984" s="132"/>
      <c r="P984" s="175"/>
      <c r="V984" s="207"/>
    </row>
    <row r="985" spans="1:22" ht="15" customHeight="1">
      <c r="A985" s="3">
        <v>37216</v>
      </c>
      <c r="B985" s="9">
        <v>62000</v>
      </c>
      <c r="C985" s="5">
        <v>18050</v>
      </c>
      <c r="D985" s="5" t="e">
        <f>E985-(#REF!+C985)</f>
        <v>#REF!</v>
      </c>
      <c r="E985" s="1">
        <v>108500</v>
      </c>
      <c r="F985" s="403"/>
      <c r="G985" s="1"/>
      <c r="H985" s="1"/>
      <c r="I985" s="121"/>
      <c r="J985" s="121"/>
      <c r="K985" s="22">
        <v>491.5</v>
      </c>
      <c r="L985" s="6">
        <v>489.5</v>
      </c>
      <c r="M985" s="125">
        <f t="shared" si="16"/>
        <v>-2</v>
      </c>
      <c r="N985" s="7"/>
      <c r="O985" s="132"/>
      <c r="P985" s="175"/>
      <c r="V985" s="207"/>
    </row>
    <row r="986" spans="1:22" ht="15" customHeight="1">
      <c r="A986" s="3">
        <v>37217</v>
      </c>
      <c r="B986" s="9">
        <v>61900</v>
      </c>
      <c r="C986" s="5">
        <v>18050</v>
      </c>
      <c r="D986" s="5" t="e">
        <f>E986-(#REF!+C986)</f>
        <v>#REF!</v>
      </c>
      <c r="E986" s="1">
        <v>108275</v>
      </c>
      <c r="F986" s="403"/>
      <c r="G986" s="1"/>
      <c r="H986" s="1"/>
      <c r="I986" s="121"/>
      <c r="J986" s="121"/>
      <c r="K986" s="22">
        <v>485.5</v>
      </c>
      <c r="L986" s="6">
        <v>486</v>
      </c>
      <c r="M986" s="125">
        <f t="shared" si="16"/>
        <v>0.5</v>
      </c>
      <c r="N986" s="7"/>
      <c r="O986" s="132"/>
      <c r="P986" s="175"/>
      <c r="V986" s="207"/>
    </row>
    <row r="987" spans="1:22" ht="15" customHeight="1">
      <c r="A987" s="3">
        <v>37218</v>
      </c>
      <c r="B987" s="9">
        <v>61825</v>
      </c>
      <c r="C987" s="5">
        <v>18050</v>
      </c>
      <c r="D987" s="5" t="e">
        <f>E987-(#REF!+C987)</f>
        <v>#REF!</v>
      </c>
      <c r="E987" s="1">
        <v>107600</v>
      </c>
      <c r="F987" s="403"/>
      <c r="G987" s="1"/>
      <c r="H987" s="1"/>
      <c r="I987" s="121"/>
      <c r="J987" s="121"/>
      <c r="K987" s="22">
        <v>491.5</v>
      </c>
      <c r="L987" s="6">
        <v>487</v>
      </c>
      <c r="M987" s="125">
        <f t="shared" si="16"/>
        <v>-4.5</v>
      </c>
      <c r="N987" s="7"/>
      <c r="O987" s="132"/>
      <c r="P987" s="175"/>
      <c r="V987" s="207"/>
    </row>
    <row r="988" spans="1:22" ht="15" customHeight="1">
      <c r="A988" s="3">
        <v>37221</v>
      </c>
      <c r="B988" s="9">
        <v>60325</v>
      </c>
      <c r="C988" s="5">
        <v>18050</v>
      </c>
      <c r="D988" s="5" t="e">
        <f>E988-(#REF!+C988)</f>
        <v>#REF!</v>
      </c>
      <c r="E988" s="1">
        <v>105850</v>
      </c>
      <c r="F988" s="403"/>
      <c r="G988" s="1"/>
      <c r="H988" s="1"/>
      <c r="I988" s="121"/>
      <c r="J988" s="121"/>
      <c r="K988" s="22">
        <v>506.5</v>
      </c>
      <c r="L988" s="6">
        <v>498</v>
      </c>
      <c r="M988" s="125">
        <f t="shared" si="16"/>
        <v>-8.5</v>
      </c>
      <c r="N988" s="7"/>
      <c r="O988" s="132"/>
      <c r="P988" s="175"/>
      <c r="V988" s="207"/>
    </row>
    <row r="989" spans="1:22" ht="15" customHeight="1">
      <c r="A989" s="3">
        <v>37222</v>
      </c>
      <c r="B989" s="9">
        <v>61875</v>
      </c>
      <c r="C989" s="5">
        <v>18050</v>
      </c>
      <c r="D989" s="5" t="e">
        <f>E989-(#REF!+C989)</f>
        <v>#REF!</v>
      </c>
      <c r="E989" s="1">
        <v>107350</v>
      </c>
      <c r="F989" s="403"/>
      <c r="G989" s="1"/>
      <c r="H989" s="1"/>
      <c r="I989" s="121"/>
      <c r="J989" s="121"/>
      <c r="K989" s="22">
        <v>501</v>
      </c>
      <c r="L989" s="6">
        <v>496</v>
      </c>
      <c r="M989" s="125">
        <f t="shared" si="16"/>
        <v>-5</v>
      </c>
      <c r="N989" s="7"/>
      <c r="O989" s="132"/>
      <c r="P989" s="175"/>
      <c r="V989" s="207"/>
    </row>
    <row r="990" spans="1:22" ht="15" customHeight="1">
      <c r="A990" s="3">
        <v>37223</v>
      </c>
      <c r="B990" s="9">
        <v>62350</v>
      </c>
      <c r="C990" s="5">
        <v>18050</v>
      </c>
      <c r="D990" s="5" t="e">
        <f>E990-(#REF!+C990)</f>
        <v>#REF!</v>
      </c>
      <c r="E990" s="1">
        <v>107825</v>
      </c>
      <c r="F990" s="403"/>
      <c r="G990" s="1"/>
      <c r="H990" s="1"/>
      <c r="I990" s="121"/>
      <c r="J990" s="121"/>
      <c r="K990" s="22">
        <v>490</v>
      </c>
      <c r="L990" s="6">
        <v>486.5</v>
      </c>
      <c r="M990" s="125">
        <f t="shared" si="16"/>
        <v>-3.5</v>
      </c>
      <c r="N990" s="7"/>
      <c r="O990" s="132"/>
      <c r="P990" s="175"/>
      <c r="V990" s="207"/>
    </row>
    <row r="991" spans="1:22" ht="15" customHeight="1">
      <c r="A991" s="3">
        <v>37224</v>
      </c>
      <c r="B991" s="9">
        <v>62175</v>
      </c>
      <c r="C991" s="5">
        <v>18050</v>
      </c>
      <c r="D991" s="5" t="e">
        <f>E991-(#REF!+C991)</f>
        <v>#REF!</v>
      </c>
      <c r="E991" s="1">
        <v>107650</v>
      </c>
      <c r="F991" s="403"/>
      <c r="G991" s="1"/>
      <c r="H991" s="1"/>
      <c r="I991" s="121"/>
      <c r="J991" s="121"/>
      <c r="K991" s="22">
        <v>497</v>
      </c>
      <c r="L991" s="6">
        <v>492</v>
      </c>
      <c r="M991" s="125">
        <f t="shared" si="16"/>
        <v>-5</v>
      </c>
      <c r="N991" s="7"/>
      <c r="O991" s="132"/>
      <c r="P991" s="175"/>
      <c r="V991" s="207"/>
    </row>
    <row r="992" spans="1:22" ht="15" customHeight="1">
      <c r="A992" s="3">
        <v>37225</v>
      </c>
      <c r="B992" s="9">
        <v>62475</v>
      </c>
      <c r="C992" s="5">
        <v>18050</v>
      </c>
      <c r="D992" s="5" t="e">
        <f>E992-(#REF!+C992)</f>
        <v>#REF!</v>
      </c>
      <c r="E992" s="1">
        <v>107900</v>
      </c>
      <c r="F992" s="403"/>
      <c r="G992" s="1"/>
      <c r="H992" s="1"/>
      <c r="I992" s="121"/>
      <c r="J992" s="121"/>
      <c r="K992" s="22">
        <v>494</v>
      </c>
      <c r="L992" s="6">
        <v>484</v>
      </c>
      <c r="M992" s="125">
        <f t="shared" si="16"/>
        <v>-10</v>
      </c>
      <c r="N992" s="7"/>
      <c r="O992" s="132"/>
      <c r="P992" s="175"/>
      <c r="V992" s="207"/>
    </row>
    <row r="993" spans="1:22" ht="15" customHeight="1">
      <c r="A993" s="3">
        <v>37228</v>
      </c>
      <c r="B993" s="9">
        <v>60900</v>
      </c>
      <c r="C993" s="5">
        <v>18050</v>
      </c>
      <c r="D993" s="5" t="e">
        <f>E993-(#REF!+C993)</f>
        <v>#REF!</v>
      </c>
      <c r="E993" s="1">
        <v>106325</v>
      </c>
      <c r="F993" s="403"/>
      <c r="G993" s="1"/>
      <c r="H993" s="1"/>
      <c r="I993" s="121"/>
      <c r="J993" s="121"/>
      <c r="K993" s="22">
        <v>485</v>
      </c>
      <c r="L993" s="6">
        <v>480</v>
      </c>
      <c r="M993" s="125">
        <f t="shared" si="16"/>
        <v>-5</v>
      </c>
      <c r="N993" s="7"/>
      <c r="O993" s="132"/>
      <c r="P993" s="175"/>
      <c r="V993" s="207"/>
    </row>
    <row r="994" spans="1:22" ht="15" customHeight="1">
      <c r="A994" s="3">
        <v>37229</v>
      </c>
      <c r="B994" s="9">
        <v>60900</v>
      </c>
      <c r="C994" s="5">
        <v>18050</v>
      </c>
      <c r="D994" s="5" t="e">
        <f>E994-(#REF!+C994)</f>
        <v>#REF!</v>
      </c>
      <c r="E994" s="1">
        <v>106050</v>
      </c>
      <c r="F994" s="403"/>
      <c r="G994" s="1"/>
      <c r="H994" s="1"/>
      <c r="I994" s="121"/>
      <c r="J994" s="121"/>
      <c r="K994" s="22">
        <v>484</v>
      </c>
      <c r="L994" s="6">
        <v>477</v>
      </c>
      <c r="M994" s="125">
        <f t="shared" si="16"/>
        <v>-7</v>
      </c>
      <c r="N994" s="7"/>
      <c r="O994" s="132"/>
      <c r="P994" s="175"/>
      <c r="V994" s="207"/>
    </row>
    <row r="995" spans="1:22" ht="15" customHeight="1">
      <c r="A995" s="3">
        <v>37230</v>
      </c>
      <c r="B995" s="9">
        <v>61000</v>
      </c>
      <c r="C995" s="5">
        <v>18050</v>
      </c>
      <c r="D995" s="5" t="e">
        <f>E995-(#REF!+C995)</f>
        <v>#REF!</v>
      </c>
      <c r="E995" s="1">
        <v>106150</v>
      </c>
      <c r="F995" s="403"/>
      <c r="G995" s="1"/>
      <c r="H995" s="1"/>
      <c r="I995" s="121"/>
      <c r="J995" s="121"/>
      <c r="K995" s="22">
        <v>475</v>
      </c>
      <c r="L995" s="6">
        <v>473.5</v>
      </c>
      <c r="M995" s="125">
        <f t="shared" si="16"/>
        <v>-1.5</v>
      </c>
      <c r="N995" s="7"/>
      <c r="O995" s="132"/>
      <c r="P995" s="175"/>
      <c r="V995" s="207"/>
    </row>
    <row r="996" spans="1:22" ht="15" customHeight="1">
      <c r="A996" s="3">
        <v>37231</v>
      </c>
      <c r="B996" s="9">
        <v>60850</v>
      </c>
      <c r="C996" s="5">
        <v>18050</v>
      </c>
      <c r="D996" s="5" t="e">
        <f>E996-(#REF!+C996)</f>
        <v>#REF!</v>
      </c>
      <c r="E996" s="1">
        <v>104925</v>
      </c>
      <c r="F996" s="403"/>
      <c r="G996" s="1"/>
      <c r="H996" s="1"/>
      <c r="I996" s="121"/>
      <c r="J996" s="121"/>
      <c r="K996" s="22">
        <v>486</v>
      </c>
      <c r="L996" s="6">
        <v>482</v>
      </c>
      <c r="M996" s="125">
        <f t="shared" si="16"/>
        <v>-4</v>
      </c>
      <c r="N996" s="7"/>
      <c r="O996" s="132"/>
      <c r="P996" s="175"/>
      <c r="V996" s="207"/>
    </row>
    <row r="997" spans="1:22" ht="15" customHeight="1">
      <c r="A997" s="3">
        <v>37232</v>
      </c>
      <c r="B997" s="9">
        <v>60750</v>
      </c>
      <c r="C997" s="5">
        <v>18050</v>
      </c>
      <c r="D997" s="5" t="e">
        <f>E997-(#REF!+C997)</f>
        <v>#REF!</v>
      </c>
      <c r="E997" s="1">
        <v>104425</v>
      </c>
      <c r="F997" s="403"/>
      <c r="G997" s="1"/>
      <c r="H997" s="1"/>
      <c r="I997" s="121"/>
      <c r="J997" s="121"/>
      <c r="K997" s="22">
        <v>479</v>
      </c>
      <c r="L997" s="6">
        <v>473</v>
      </c>
      <c r="M997" s="125">
        <f t="shared" si="16"/>
        <v>-6</v>
      </c>
      <c r="N997" s="7"/>
      <c r="O997" s="132"/>
      <c r="P997" s="175"/>
      <c r="V997" s="207"/>
    </row>
    <row r="998" spans="1:22" ht="15" customHeight="1">
      <c r="A998" s="3">
        <v>37235</v>
      </c>
      <c r="B998" s="9">
        <v>60350</v>
      </c>
      <c r="C998" s="5">
        <v>18725</v>
      </c>
      <c r="D998" s="5" t="e">
        <f>E998-(#REF!+C998)</f>
        <v>#REF!</v>
      </c>
      <c r="E998" s="1">
        <v>104175</v>
      </c>
      <c r="F998" s="403"/>
      <c r="G998" s="1"/>
      <c r="H998" s="1"/>
      <c r="I998" s="121"/>
      <c r="J998" s="121"/>
      <c r="K998" s="22">
        <v>473</v>
      </c>
      <c r="L998" s="6">
        <v>470</v>
      </c>
      <c r="M998" s="125">
        <f t="shared" si="16"/>
        <v>-3</v>
      </c>
      <c r="N998" s="7"/>
      <c r="O998" s="132"/>
      <c r="P998" s="175"/>
      <c r="V998" s="207"/>
    </row>
    <row r="999" spans="1:22" ht="15" customHeight="1">
      <c r="A999" s="3">
        <v>37236</v>
      </c>
      <c r="B999" s="9">
        <v>52225</v>
      </c>
      <c r="C999" s="5">
        <v>19000</v>
      </c>
      <c r="D999" s="5" t="e">
        <f>E999-(#REF!+C999)</f>
        <v>#REF!</v>
      </c>
      <c r="E999" s="1">
        <v>96200</v>
      </c>
      <c r="F999" s="403"/>
      <c r="G999" s="1"/>
      <c r="H999" s="1"/>
      <c r="I999" s="121"/>
      <c r="J999" s="121"/>
      <c r="K999" s="22">
        <v>482</v>
      </c>
      <c r="L999" s="6">
        <v>478</v>
      </c>
      <c r="M999" s="125">
        <f t="shared" si="16"/>
        <v>-4</v>
      </c>
      <c r="N999" s="7"/>
      <c r="O999" s="132"/>
      <c r="P999" s="175"/>
      <c r="V999" s="207"/>
    </row>
    <row r="1000" spans="1:22" ht="15" customHeight="1">
      <c r="A1000" s="3">
        <v>37237</v>
      </c>
      <c r="B1000" s="9">
        <v>51175</v>
      </c>
      <c r="C1000" s="5">
        <v>19000</v>
      </c>
      <c r="D1000" s="5" t="e">
        <f>E1000-(#REF!+C1000)</f>
        <v>#REF!</v>
      </c>
      <c r="E1000" s="1">
        <v>95075</v>
      </c>
      <c r="F1000" s="403"/>
      <c r="G1000" s="1"/>
      <c r="H1000" s="1"/>
      <c r="I1000" s="121"/>
      <c r="J1000" s="121"/>
      <c r="K1000" s="22">
        <v>473</v>
      </c>
      <c r="L1000" s="6">
        <v>477</v>
      </c>
      <c r="M1000" s="125">
        <f t="shared" si="16"/>
        <v>4</v>
      </c>
      <c r="N1000" s="7"/>
      <c r="O1000" s="132"/>
      <c r="P1000" s="175"/>
      <c r="V1000" s="207"/>
    </row>
    <row r="1001" spans="1:22" ht="15" customHeight="1">
      <c r="A1001" s="3">
        <v>37238</v>
      </c>
      <c r="B1001" s="9">
        <v>49625</v>
      </c>
      <c r="C1001" s="5">
        <v>19125</v>
      </c>
      <c r="D1001" s="5" t="e">
        <f>E1001-(#REF!+C1001)</f>
        <v>#REF!</v>
      </c>
      <c r="E1001" s="1">
        <v>93575</v>
      </c>
      <c r="F1001" s="403"/>
      <c r="G1001" s="1"/>
      <c r="H1001" s="1"/>
      <c r="I1001" s="121"/>
      <c r="J1001" s="121"/>
      <c r="K1001" s="22">
        <v>469.5</v>
      </c>
      <c r="L1001" s="6">
        <v>472</v>
      </c>
      <c r="M1001" s="125">
        <f t="shared" si="16"/>
        <v>2.5</v>
      </c>
      <c r="N1001" s="7"/>
      <c r="O1001" s="132"/>
      <c r="P1001" s="175"/>
      <c r="V1001" s="207"/>
    </row>
    <row r="1002" spans="1:22" ht="15" customHeight="1">
      <c r="A1002" s="3">
        <v>37239</v>
      </c>
      <c r="B1002" s="9">
        <v>47000</v>
      </c>
      <c r="C1002" s="5">
        <v>19125</v>
      </c>
      <c r="D1002" s="5" t="e">
        <f>E1002-(#REF!+C1002)</f>
        <v>#REF!</v>
      </c>
      <c r="E1002" s="1">
        <v>90825</v>
      </c>
      <c r="F1002" s="403"/>
      <c r="G1002" s="1"/>
      <c r="H1002" s="1"/>
      <c r="I1002" s="121"/>
      <c r="J1002" s="121"/>
      <c r="K1002" s="22">
        <v>472</v>
      </c>
      <c r="L1002" s="6">
        <v>471</v>
      </c>
      <c r="M1002" s="125">
        <f t="shared" si="16"/>
        <v>-1</v>
      </c>
      <c r="N1002" s="7"/>
      <c r="O1002" s="132"/>
      <c r="P1002" s="175"/>
      <c r="V1002" s="207"/>
    </row>
    <row r="1003" spans="1:22" ht="15" customHeight="1">
      <c r="A1003" s="3">
        <v>37242</v>
      </c>
      <c r="B1003" s="9">
        <v>45450</v>
      </c>
      <c r="C1003" s="5">
        <v>19125</v>
      </c>
      <c r="D1003" s="5" t="e">
        <f>E1003-(#REF!+C1003)</f>
        <v>#REF!</v>
      </c>
      <c r="E1003" s="1">
        <v>89150</v>
      </c>
      <c r="F1003" s="403"/>
      <c r="G1003" s="1"/>
      <c r="H1003" s="1"/>
      <c r="I1003" s="121"/>
      <c r="J1003" s="121"/>
      <c r="K1003" s="22">
        <v>474</v>
      </c>
      <c r="L1003" s="6">
        <v>472.5</v>
      </c>
      <c r="M1003" s="125">
        <f t="shared" si="16"/>
        <v>-1.5</v>
      </c>
      <c r="N1003" s="7"/>
      <c r="O1003" s="132"/>
      <c r="P1003" s="175"/>
      <c r="V1003" s="207"/>
    </row>
    <row r="1004" spans="1:22" ht="15" customHeight="1">
      <c r="A1004" s="3">
        <v>37243</v>
      </c>
      <c r="B1004" s="9">
        <v>43325</v>
      </c>
      <c r="C1004" s="5">
        <v>19250</v>
      </c>
      <c r="D1004" s="5" t="e">
        <f>E1004-(#REF!+C1004)</f>
        <v>#REF!</v>
      </c>
      <c r="E1004" s="1">
        <v>87000</v>
      </c>
      <c r="F1004" s="403"/>
      <c r="G1004" s="1"/>
      <c r="H1004" s="1"/>
      <c r="I1004" s="121"/>
      <c r="J1004" s="121"/>
      <c r="K1004" s="22">
        <v>473</v>
      </c>
      <c r="L1004" s="6">
        <v>474.5</v>
      </c>
      <c r="M1004" s="125">
        <f t="shared" si="16"/>
        <v>1.5</v>
      </c>
      <c r="N1004" s="7"/>
      <c r="O1004" s="132"/>
      <c r="P1004" s="175"/>
      <c r="V1004" s="207"/>
    </row>
    <row r="1005" spans="1:22" ht="15" customHeight="1">
      <c r="A1005" s="3">
        <v>37244</v>
      </c>
      <c r="B1005" s="9">
        <v>46500</v>
      </c>
      <c r="C1005" s="5">
        <v>19250</v>
      </c>
      <c r="D1005" s="5" t="e">
        <f>E1005-(#REF!+C1005)</f>
        <v>#REF!</v>
      </c>
      <c r="E1005" s="1">
        <v>90025</v>
      </c>
      <c r="F1005" s="403"/>
      <c r="G1005" s="1"/>
      <c r="H1005" s="1"/>
      <c r="I1005" s="121"/>
      <c r="J1005" s="121"/>
      <c r="K1005" s="22">
        <v>489</v>
      </c>
      <c r="L1005" s="6">
        <v>490</v>
      </c>
      <c r="M1005" s="125">
        <f t="shared" si="16"/>
        <v>1</v>
      </c>
      <c r="N1005" s="7"/>
      <c r="O1005" s="132"/>
      <c r="P1005" s="175"/>
      <c r="V1005" s="207"/>
    </row>
    <row r="1006" spans="1:22" ht="15" customHeight="1">
      <c r="A1006" s="3">
        <v>37245</v>
      </c>
      <c r="B1006" s="9">
        <v>46350</v>
      </c>
      <c r="C1006" s="5">
        <v>19250</v>
      </c>
      <c r="D1006" s="5" t="e">
        <f>E1006-(#REF!+C1006)</f>
        <v>#REF!</v>
      </c>
      <c r="E1006" s="1">
        <v>90625</v>
      </c>
      <c r="F1006" s="403"/>
      <c r="G1006" s="1"/>
      <c r="H1006" s="1"/>
      <c r="I1006" s="121"/>
      <c r="J1006" s="121"/>
      <c r="K1006" s="22">
        <v>490</v>
      </c>
      <c r="L1006" s="6">
        <v>490</v>
      </c>
      <c r="M1006" s="125">
        <f t="shared" si="16"/>
        <v>0</v>
      </c>
      <c r="N1006" s="7"/>
      <c r="O1006" s="132"/>
      <c r="P1006" s="175"/>
      <c r="V1006" s="207"/>
    </row>
    <row r="1007" spans="1:22" ht="15" customHeight="1">
      <c r="A1007" s="3">
        <v>37246</v>
      </c>
      <c r="B1007" s="9">
        <v>47900</v>
      </c>
      <c r="C1007" s="5">
        <v>19250</v>
      </c>
      <c r="D1007" s="5" t="e">
        <f>E1007-(#REF!+C1007)</f>
        <v>#REF!</v>
      </c>
      <c r="E1007" s="1">
        <v>92675</v>
      </c>
      <c r="F1007" s="403"/>
      <c r="G1007" s="1"/>
      <c r="H1007" s="1"/>
      <c r="I1007" s="121"/>
      <c r="J1007" s="121"/>
      <c r="K1007" s="22">
        <v>500</v>
      </c>
      <c r="L1007" s="6">
        <v>497</v>
      </c>
      <c r="M1007" s="125">
        <f t="shared" si="16"/>
        <v>-3</v>
      </c>
      <c r="N1007" s="7"/>
      <c r="O1007" s="132"/>
      <c r="P1007" s="175"/>
      <c r="V1007" s="207"/>
    </row>
    <row r="1008" spans="1:22" ht="15" customHeight="1">
      <c r="A1008" s="3">
        <v>37252</v>
      </c>
      <c r="B1008" s="9">
        <v>51275</v>
      </c>
      <c r="C1008" s="5">
        <v>19875</v>
      </c>
      <c r="D1008" s="5" t="e">
        <f>E1008-(#REF!+C1008)</f>
        <v>#REF!</v>
      </c>
      <c r="E1008" s="1">
        <v>96600</v>
      </c>
      <c r="F1008" s="403"/>
      <c r="G1008" s="1"/>
      <c r="H1008" s="1"/>
      <c r="I1008" s="121"/>
      <c r="J1008" s="121"/>
      <c r="K1008" s="22">
        <v>507</v>
      </c>
      <c r="L1008" s="6">
        <v>500</v>
      </c>
      <c r="M1008" s="125">
        <f t="shared" si="16"/>
        <v>-7</v>
      </c>
      <c r="N1008" s="7"/>
      <c r="O1008" s="132"/>
      <c r="P1008" s="175"/>
      <c r="V1008" s="207"/>
    </row>
    <row r="1009" spans="1:22" ht="15" customHeight="1">
      <c r="A1009" s="3">
        <v>37253</v>
      </c>
      <c r="B1009" s="9">
        <v>50650</v>
      </c>
      <c r="C1009" s="5">
        <v>21000</v>
      </c>
      <c r="D1009" s="5" t="e">
        <f>E1009-(#REF!+C1009)</f>
        <v>#REF!</v>
      </c>
      <c r="E1009" s="1">
        <v>97050</v>
      </c>
      <c r="F1009" s="403"/>
      <c r="G1009" s="1"/>
      <c r="H1009" s="1"/>
      <c r="I1009" s="121"/>
      <c r="J1009" s="121"/>
      <c r="K1009" s="22">
        <v>504</v>
      </c>
      <c r="L1009" s="6">
        <v>498</v>
      </c>
      <c r="M1009" s="125">
        <f t="shared" si="16"/>
        <v>-6</v>
      </c>
      <c r="N1009" s="7"/>
      <c r="O1009" s="132"/>
      <c r="P1009" s="175"/>
      <c r="V1009" s="207"/>
    </row>
    <row r="1010" spans="1:22" ht="15" customHeight="1">
      <c r="A1010" s="3">
        <v>37258</v>
      </c>
      <c r="B1010" s="9">
        <v>50650</v>
      </c>
      <c r="C1010" s="5">
        <v>21650</v>
      </c>
      <c r="D1010" s="5" t="e">
        <f>E1010-(#REF!+C1010)</f>
        <v>#REF!</v>
      </c>
      <c r="E1010" s="1">
        <v>97700</v>
      </c>
      <c r="F1010" s="403"/>
      <c r="G1010" s="1"/>
      <c r="H1010" s="1"/>
      <c r="I1010" s="121"/>
      <c r="J1010" s="121"/>
      <c r="K1010" s="22">
        <v>517.5</v>
      </c>
      <c r="L1010" s="6">
        <v>509</v>
      </c>
      <c r="M1010" s="125">
        <f t="shared" si="16"/>
        <v>-8.5</v>
      </c>
      <c r="N1010" s="7"/>
      <c r="O1010" s="132"/>
      <c r="P1010" s="175"/>
      <c r="V1010" s="207"/>
    </row>
    <row r="1011" spans="1:22" ht="15" customHeight="1">
      <c r="A1011" s="3">
        <v>37259</v>
      </c>
      <c r="B1011" s="9">
        <v>49950</v>
      </c>
      <c r="C1011" s="5">
        <v>21650</v>
      </c>
      <c r="D1011" s="5" t="e">
        <f>E1011-(#REF!+C1011)</f>
        <v>#REF!</v>
      </c>
      <c r="E1011" s="1">
        <v>97000</v>
      </c>
      <c r="F1011" s="403"/>
      <c r="G1011" s="1"/>
      <c r="H1011" s="1"/>
      <c r="I1011" s="121"/>
      <c r="J1011" s="121"/>
      <c r="K1011" s="22">
        <v>523</v>
      </c>
      <c r="L1011" s="6">
        <v>518</v>
      </c>
      <c r="M1011" s="125">
        <f t="shared" si="16"/>
        <v>-5</v>
      </c>
      <c r="N1011" s="7"/>
      <c r="O1011" s="132"/>
      <c r="P1011" s="175"/>
      <c r="V1011" s="207"/>
    </row>
    <row r="1012" spans="1:22" ht="15" customHeight="1">
      <c r="A1012" s="3">
        <v>37260</v>
      </c>
      <c r="B1012" s="9">
        <v>50100</v>
      </c>
      <c r="C1012" s="5">
        <v>23000</v>
      </c>
      <c r="D1012" s="5" t="e">
        <f>E1012-(#REF!+C1012)</f>
        <v>#REF!</v>
      </c>
      <c r="E1012" s="1">
        <v>99150</v>
      </c>
      <c r="F1012" s="403"/>
      <c r="G1012" s="1"/>
      <c r="H1012" s="1"/>
      <c r="I1012" s="121"/>
      <c r="J1012" s="121"/>
      <c r="K1012" s="22">
        <v>517</v>
      </c>
      <c r="L1012" s="6">
        <v>515.5</v>
      </c>
      <c r="M1012" s="125">
        <f t="shared" si="16"/>
        <v>-1.5</v>
      </c>
      <c r="N1012" s="7"/>
      <c r="O1012" s="132"/>
      <c r="P1012" s="175"/>
      <c r="V1012" s="207"/>
    </row>
    <row r="1013" spans="1:22" ht="15" customHeight="1">
      <c r="A1013" s="3">
        <v>37263</v>
      </c>
      <c r="B1013" s="9">
        <v>49950</v>
      </c>
      <c r="C1013" s="5">
        <v>23375</v>
      </c>
      <c r="D1013" s="5" t="e">
        <f>E1013-(#REF!+C1013)</f>
        <v>#REF!</v>
      </c>
      <c r="E1013" s="1">
        <v>99350</v>
      </c>
      <c r="F1013" s="403"/>
      <c r="G1013" s="1"/>
      <c r="H1013" s="1"/>
      <c r="I1013" s="121"/>
      <c r="J1013" s="121"/>
      <c r="K1013" s="22">
        <v>516</v>
      </c>
      <c r="L1013" s="6">
        <v>515</v>
      </c>
      <c r="M1013" s="125">
        <f t="shared" si="16"/>
        <v>-1</v>
      </c>
      <c r="N1013" s="7"/>
      <c r="O1013" s="132"/>
      <c r="P1013" s="175"/>
      <c r="V1013" s="207"/>
    </row>
    <row r="1014" spans="1:22" ht="15" customHeight="1">
      <c r="A1014" s="3">
        <v>37264</v>
      </c>
      <c r="B1014" s="9">
        <v>50050</v>
      </c>
      <c r="C1014" s="5">
        <v>23675</v>
      </c>
      <c r="D1014" s="5" t="e">
        <f>E1014-(#REF!+C1014)</f>
        <v>#REF!</v>
      </c>
      <c r="E1014" s="1">
        <v>99700</v>
      </c>
      <c r="F1014" s="403"/>
      <c r="G1014" s="1"/>
      <c r="H1014" s="1"/>
      <c r="I1014" s="121"/>
      <c r="J1014" s="121"/>
      <c r="K1014" s="22" ph="1">
        <v>530</v>
      </c>
      <c r="L1014" s="6" ph="1">
        <v>529</v>
      </c>
      <c r="M1014" s="125">
        <f t="shared" si="16"/>
        <v>-1</v>
      </c>
      <c r="N1014" s="7"/>
      <c r="O1014" s="132"/>
      <c r="P1014" s="175"/>
      <c r="V1014" s="207"/>
    </row>
    <row r="1015" spans="1:22" ht="15" customHeight="1">
      <c r="A1015" s="3">
        <v>37265</v>
      </c>
      <c r="B1015" s="9">
        <v>49700</v>
      </c>
      <c r="C1015" s="5">
        <v>23750</v>
      </c>
      <c r="D1015" s="5" t="e">
        <f>E1015-(#REF!+C1015)</f>
        <v>#REF!</v>
      </c>
      <c r="E1015" s="1">
        <v>99425</v>
      </c>
      <c r="F1015" s="403"/>
      <c r="G1015" s="1"/>
      <c r="H1015" s="1"/>
      <c r="I1015" s="121"/>
      <c r="J1015" s="121"/>
      <c r="K1015" s="22" ph="1">
        <v>528</v>
      </c>
      <c r="L1015" s="6" ph="1">
        <v>525</v>
      </c>
      <c r="M1015" s="125">
        <f t="shared" ref="M1015:M1078" si="17">L1015-K1015</f>
        <v>-3</v>
      </c>
      <c r="N1015" s="7"/>
      <c r="O1015" s="132"/>
      <c r="P1015" s="175"/>
      <c r="V1015" s="207"/>
    </row>
    <row r="1016" spans="1:22" ht="15" customHeight="1">
      <c r="A1016" s="3">
        <v>37266</v>
      </c>
      <c r="B1016" s="9">
        <v>49700</v>
      </c>
      <c r="C1016" s="5">
        <v>23825</v>
      </c>
      <c r="D1016" s="5" t="e">
        <f>E1016-(#REF!+C1016)</f>
        <v>#REF!</v>
      </c>
      <c r="E1016" s="1">
        <v>99475</v>
      </c>
      <c r="F1016" s="403"/>
      <c r="G1016" s="1"/>
      <c r="H1016" s="1"/>
      <c r="I1016" s="121"/>
      <c r="J1016" s="121"/>
      <c r="K1016" s="22">
        <v>533</v>
      </c>
      <c r="L1016" s="6">
        <v>526</v>
      </c>
      <c r="M1016" s="125">
        <f t="shared" si="17"/>
        <v>-7</v>
      </c>
      <c r="N1016" s="7"/>
      <c r="O1016" s="132"/>
      <c r="P1016" s="175"/>
      <c r="V1016" s="207"/>
    </row>
    <row r="1017" spans="1:22" ht="15" customHeight="1">
      <c r="A1017" s="3">
        <v>37267</v>
      </c>
      <c r="B1017" s="9">
        <v>54450</v>
      </c>
      <c r="C1017" s="5">
        <v>23975</v>
      </c>
      <c r="D1017" s="5" t="e">
        <f>E1017-(#REF!+C1017)</f>
        <v>#REF!</v>
      </c>
      <c r="E1017" s="1">
        <v>104375</v>
      </c>
      <c r="F1017" s="403"/>
      <c r="G1017" s="1"/>
      <c r="H1017" s="1"/>
      <c r="I1017" s="121"/>
      <c r="J1017" s="121"/>
      <c r="K1017" s="22">
        <v>538</v>
      </c>
      <c r="L1017" s="6">
        <v>521</v>
      </c>
      <c r="M1017" s="125">
        <f t="shared" si="17"/>
        <v>-17</v>
      </c>
      <c r="N1017" s="7"/>
      <c r="O1017" s="132"/>
      <c r="P1017" s="175"/>
      <c r="V1017" s="207"/>
    </row>
    <row r="1018" spans="1:22" ht="15" customHeight="1">
      <c r="A1018" s="3">
        <v>37270</v>
      </c>
      <c r="B1018" s="9">
        <v>52900</v>
      </c>
      <c r="C1018" s="5">
        <v>24125</v>
      </c>
      <c r="D1018" s="5" t="e">
        <f>E1018-(#REF!+C1018)</f>
        <v>#REF!</v>
      </c>
      <c r="E1018" s="1">
        <v>106550</v>
      </c>
      <c r="F1018" s="403"/>
      <c r="G1018" s="1"/>
      <c r="H1018" s="1"/>
      <c r="I1018" s="121"/>
      <c r="J1018" s="121"/>
      <c r="K1018" s="22">
        <v>536</v>
      </c>
      <c r="L1018" s="6">
        <v>525</v>
      </c>
      <c r="M1018" s="125">
        <f t="shared" si="17"/>
        <v>-11</v>
      </c>
      <c r="N1018" s="7"/>
      <c r="O1018" s="132"/>
      <c r="P1018" s="175"/>
      <c r="V1018" s="207"/>
    </row>
    <row r="1019" spans="1:22" ht="15" customHeight="1">
      <c r="A1019" s="3">
        <v>37271</v>
      </c>
      <c r="B1019" s="9">
        <v>56050</v>
      </c>
      <c r="C1019" s="5">
        <v>31900</v>
      </c>
      <c r="D1019" s="5" t="e">
        <f>E1019-(#REF!+C1019)</f>
        <v>#REF!</v>
      </c>
      <c r="E1019" s="1">
        <v>117325</v>
      </c>
      <c r="F1019" s="403"/>
      <c r="G1019" s="1"/>
      <c r="H1019" s="1"/>
      <c r="I1019" s="121"/>
      <c r="J1019" s="121"/>
      <c r="K1019" s="22">
        <v>524</v>
      </c>
      <c r="L1019" s="6">
        <v>517</v>
      </c>
      <c r="M1019" s="125">
        <f t="shared" si="17"/>
        <v>-7</v>
      </c>
      <c r="N1019" s="7"/>
      <c r="O1019" s="132"/>
      <c r="P1019" s="175"/>
      <c r="V1019" s="207"/>
    </row>
    <row r="1020" spans="1:22" ht="15" customHeight="1">
      <c r="A1020" s="3">
        <v>37272</v>
      </c>
      <c r="B1020" s="9">
        <v>60050</v>
      </c>
      <c r="C1020" s="5">
        <v>32000</v>
      </c>
      <c r="D1020" s="5" t="e">
        <f>E1020-(#REF!+C1020)</f>
        <v>#REF!</v>
      </c>
      <c r="E1020" s="1">
        <v>125875</v>
      </c>
      <c r="F1020" s="403"/>
      <c r="G1020" s="1"/>
      <c r="H1020" s="1"/>
      <c r="I1020" s="121"/>
      <c r="J1020" s="121"/>
      <c r="K1020" s="22">
        <v>526</v>
      </c>
      <c r="L1020" s="6">
        <v>514</v>
      </c>
      <c r="M1020" s="125">
        <f t="shared" si="17"/>
        <v>-12</v>
      </c>
      <c r="N1020" s="7"/>
      <c r="O1020" s="132"/>
      <c r="P1020" s="175"/>
      <c r="V1020" s="207"/>
    </row>
    <row r="1021" spans="1:22" ht="15" customHeight="1">
      <c r="A1021" s="3">
        <v>37273</v>
      </c>
      <c r="B1021" s="9">
        <v>60550</v>
      </c>
      <c r="C1021" s="5">
        <v>32250</v>
      </c>
      <c r="D1021" s="5" t="e">
        <f>E1021-(#REF!+C1021)</f>
        <v>#REF!</v>
      </c>
      <c r="E1021" s="1">
        <v>126500</v>
      </c>
      <c r="F1021" s="403"/>
      <c r="G1021" s="1"/>
      <c r="H1021" s="1"/>
      <c r="I1021" s="121"/>
      <c r="J1021" s="121"/>
      <c r="K1021" s="22">
        <v>527</v>
      </c>
      <c r="L1021" s="6">
        <v>515</v>
      </c>
      <c r="M1021" s="125">
        <f t="shared" si="17"/>
        <v>-12</v>
      </c>
      <c r="N1021" s="7"/>
      <c r="O1021" s="132"/>
      <c r="P1021" s="175"/>
      <c r="V1021" s="207"/>
    </row>
    <row r="1022" spans="1:22" ht="15" customHeight="1">
      <c r="A1022" s="3">
        <v>37274</v>
      </c>
      <c r="B1022" s="9">
        <v>60425</v>
      </c>
      <c r="C1022" s="5">
        <v>32850</v>
      </c>
      <c r="D1022" s="5" t="e">
        <f>E1022-(#REF!+C1022)</f>
        <v>#REF!</v>
      </c>
      <c r="E1022" s="1">
        <v>126850</v>
      </c>
      <c r="F1022" s="403"/>
      <c r="G1022" s="1"/>
      <c r="H1022" s="1"/>
      <c r="I1022" s="121"/>
      <c r="J1022" s="121"/>
      <c r="K1022" s="22">
        <v>525</v>
      </c>
      <c r="L1022" s="6">
        <v>507</v>
      </c>
      <c r="M1022" s="125">
        <f t="shared" si="17"/>
        <v>-18</v>
      </c>
      <c r="N1022" s="7"/>
      <c r="O1022" s="132"/>
      <c r="P1022" s="175"/>
      <c r="V1022" s="207"/>
    </row>
    <row r="1023" spans="1:22" ht="15" customHeight="1">
      <c r="A1023" s="3">
        <v>37277</v>
      </c>
      <c r="B1023" s="9">
        <v>61125</v>
      </c>
      <c r="C1023" s="5">
        <v>33275</v>
      </c>
      <c r="D1023" s="5" t="e">
        <f>E1023-(#REF!+C1023)</f>
        <v>#REF!</v>
      </c>
      <c r="E1023" s="1">
        <v>127825</v>
      </c>
      <c r="F1023" s="403"/>
      <c r="G1023" s="1"/>
      <c r="H1023" s="1"/>
      <c r="I1023" s="121"/>
      <c r="J1023" s="121"/>
      <c r="K1023" s="22">
        <v>512</v>
      </c>
      <c r="L1023" s="6">
        <v>506</v>
      </c>
      <c r="M1023" s="125">
        <f t="shared" si="17"/>
        <v>-6</v>
      </c>
      <c r="N1023" s="7"/>
      <c r="O1023" s="132"/>
      <c r="P1023" s="175"/>
      <c r="V1023" s="207"/>
    </row>
    <row r="1024" spans="1:22" ht="15" customHeight="1">
      <c r="A1024" s="3">
        <v>37278</v>
      </c>
      <c r="B1024" s="9">
        <v>64600</v>
      </c>
      <c r="C1024" s="5">
        <v>33275</v>
      </c>
      <c r="D1024" s="5" t="e">
        <f>E1024-(#REF!+C1024)</f>
        <v>#REF!</v>
      </c>
      <c r="E1024" s="1">
        <v>131600</v>
      </c>
      <c r="F1024" s="403"/>
      <c r="G1024" s="1"/>
      <c r="H1024" s="1"/>
      <c r="I1024" s="121"/>
      <c r="J1024" s="121"/>
      <c r="K1024" s="22">
        <v>498</v>
      </c>
      <c r="L1024" s="6">
        <v>500</v>
      </c>
      <c r="M1024" s="125">
        <f t="shared" si="17"/>
        <v>2</v>
      </c>
      <c r="N1024" s="7"/>
      <c r="O1024" s="132"/>
      <c r="P1024" s="175"/>
      <c r="V1024" s="207"/>
    </row>
    <row r="1025" spans="1:22" ht="15" customHeight="1">
      <c r="A1025" s="3">
        <v>37279</v>
      </c>
      <c r="B1025" s="9">
        <v>65425</v>
      </c>
      <c r="C1025" s="5">
        <v>33975</v>
      </c>
      <c r="D1025" s="5" t="e">
        <f>E1025-(#REF!+C1025)</f>
        <v>#REF!</v>
      </c>
      <c r="E1025" s="1">
        <v>133650</v>
      </c>
      <c r="F1025" s="403"/>
      <c r="G1025" s="1"/>
      <c r="H1025" s="1"/>
      <c r="I1025" s="121"/>
      <c r="J1025" s="121"/>
      <c r="K1025" s="22">
        <v>500.5</v>
      </c>
      <c r="L1025" s="6">
        <v>500.5</v>
      </c>
      <c r="M1025" s="125">
        <f t="shared" si="17"/>
        <v>0</v>
      </c>
      <c r="N1025" s="7"/>
      <c r="O1025" s="132"/>
      <c r="P1025" s="175"/>
      <c r="V1025" s="207"/>
    </row>
    <row r="1026" spans="1:22" ht="15" customHeight="1">
      <c r="A1026" s="3">
        <v>37280</v>
      </c>
      <c r="B1026" s="9">
        <v>66200</v>
      </c>
      <c r="C1026" s="5">
        <v>33975</v>
      </c>
      <c r="D1026" s="5" t="e">
        <f>E1026-(#REF!+C1026)</f>
        <v>#REF!</v>
      </c>
      <c r="E1026" s="1">
        <v>134775</v>
      </c>
      <c r="F1026" s="403"/>
      <c r="G1026" s="1"/>
      <c r="H1026" s="1"/>
      <c r="I1026" s="121"/>
      <c r="J1026" s="121"/>
      <c r="K1026" s="22">
        <v>498</v>
      </c>
      <c r="L1026" s="6">
        <v>503</v>
      </c>
      <c r="M1026" s="125">
        <f t="shared" si="17"/>
        <v>5</v>
      </c>
      <c r="N1026" s="7"/>
      <c r="O1026" s="132"/>
      <c r="P1026" s="175"/>
      <c r="V1026" s="207"/>
    </row>
    <row r="1027" spans="1:22" ht="15" customHeight="1">
      <c r="A1027" s="3">
        <v>37281</v>
      </c>
      <c r="B1027" s="9">
        <v>66100</v>
      </c>
      <c r="C1027" s="5">
        <v>34725</v>
      </c>
      <c r="D1027" s="5" t="e">
        <f>E1027-(#REF!+C1027)</f>
        <v>#REF!</v>
      </c>
      <c r="E1027" s="1">
        <v>135425</v>
      </c>
      <c r="F1027" s="403"/>
      <c r="G1027" s="1"/>
      <c r="H1027" s="1"/>
      <c r="I1027" s="121"/>
      <c r="J1027" s="121"/>
      <c r="K1027" s="22">
        <v>494.5</v>
      </c>
      <c r="L1027" s="6">
        <v>500</v>
      </c>
      <c r="M1027" s="125">
        <f t="shared" si="17"/>
        <v>5.5</v>
      </c>
      <c r="N1027" s="7"/>
      <c r="O1027" s="132"/>
      <c r="P1027" s="175"/>
      <c r="V1027" s="207"/>
    </row>
    <row r="1028" spans="1:22" ht="15" customHeight="1">
      <c r="A1028" s="3">
        <v>37284</v>
      </c>
      <c r="B1028" s="9">
        <v>66400</v>
      </c>
      <c r="C1028" s="5">
        <v>35150</v>
      </c>
      <c r="D1028" s="5" t="e">
        <f>E1028-(#REF!+C1028)</f>
        <v>#REF!</v>
      </c>
      <c r="E1028" s="1">
        <v>135850</v>
      </c>
      <c r="F1028" s="403"/>
      <c r="G1028" s="1"/>
      <c r="H1028" s="1"/>
      <c r="I1028" s="121"/>
      <c r="J1028" s="121"/>
      <c r="K1028" s="22">
        <v>492.5</v>
      </c>
      <c r="L1028" s="6">
        <v>499</v>
      </c>
      <c r="M1028" s="125">
        <f t="shared" si="17"/>
        <v>6.5</v>
      </c>
      <c r="N1028" s="7"/>
      <c r="O1028" s="132"/>
      <c r="P1028" s="175"/>
      <c r="V1028" s="207"/>
    </row>
    <row r="1029" spans="1:22" ht="15" customHeight="1">
      <c r="A1029" s="3">
        <v>37285</v>
      </c>
      <c r="B1029" s="9">
        <v>65200</v>
      </c>
      <c r="C1029" s="5">
        <v>35225</v>
      </c>
      <c r="D1029" s="5" t="e">
        <f>E1029-(#REF!+C1029)</f>
        <v>#REF!</v>
      </c>
      <c r="E1029" s="1">
        <v>135025</v>
      </c>
      <c r="F1029" s="403"/>
      <c r="G1029" s="1"/>
      <c r="H1029" s="1"/>
      <c r="I1029" s="121"/>
      <c r="J1029" s="121"/>
      <c r="K1029" s="22">
        <v>483</v>
      </c>
      <c r="L1029" s="6">
        <v>492</v>
      </c>
      <c r="M1029" s="125">
        <f t="shared" si="17"/>
        <v>9</v>
      </c>
      <c r="N1029" s="7"/>
      <c r="O1029" s="132"/>
      <c r="P1029" s="175"/>
      <c r="V1029" s="207"/>
    </row>
    <row r="1030" spans="1:22" ht="15" customHeight="1">
      <c r="A1030" s="3">
        <v>37286</v>
      </c>
      <c r="B1030" s="9">
        <v>65200</v>
      </c>
      <c r="C1030" s="5">
        <v>35225</v>
      </c>
      <c r="D1030" s="5" t="e">
        <f>E1030-(#REF!+C1030)</f>
        <v>#REF!</v>
      </c>
      <c r="E1030" s="1">
        <v>134850</v>
      </c>
      <c r="F1030" s="403"/>
      <c r="G1030" s="1"/>
      <c r="H1030" s="1"/>
      <c r="I1030" s="121"/>
      <c r="J1030" s="121"/>
      <c r="K1030" s="22">
        <v>480</v>
      </c>
      <c r="L1030" s="6">
        <v>487</v>
      </c>
      <c r="M1030" s="125">
        <f t="shared" si="17"/>
        <v>7</v>
      </c>
      <c r="N1030" s="7"/>
      <c r="O1030" s="132"/>
      <c r="P1030" s="175"/>
      <c r="V1030" s="207"/>
    </row>
    <row r="1031" spans="1:22" ht="15" customHeight="1">
      <c r="A1031" s="3">
        <v>37287</v>
      </c>
      <c r="B1031" s="9">
        <v>65600</v>
      </c>
      <c r="C1031" s="5">
        <v>35225</v>
      </c>
      <c r="D1031" s="5" t="e">
        <f>E1031-(#REF!+C1031)</f>
        <v>#REF!</v>
      </c>
      <c r="E1031" s="1">
        <v>135075</v>
      </c>
      <c r="F1031" s="403"/>
      <c r="G1031" s="1"/>
      <c r="H1031" s="1"/>
      <c r="I1031" s="121"/>
      <c r="J1031" s="121"/>
      <c r="K1031" s="22">
        <v>488.5</v>
      </c>
      <c r="L1031" s="6">
        <v>494</v>
      </c>
      <c r="M1031" s="125">
        <f t="shared" si="17"/>
        <v>5.5</v>
      </c>
      <c r="N1031" s="7"/>
      <c r="O1031" s="132"/>
      <c r="P1031" s="175"/>
      <c r="V1031" s="207"/>
    </row>
    <row r="1032" spans="1:22" ht="15" customHeight="1">
      <c r="A1032" s="3">
        <v>37288</v>
      </c>
      <c r="B1032" s="9">
        <v>65150</v>
      </c>
      <c r="C1032" s="5">
        <v>35225</v>
      </c>
      <c r="D1032" s="5" t="e">
        <f>E1032-(#REF!+C1032)</f>
        <v>#REF!</v>
      </c>
      <c r="E1032" s="1">
        <v>134475</v>
      </c>
      <c r="F1032" s="403"/>
      <c r="G1032" s="1"/>
      <c r="H1032" s="1"/>
      <c r="I1032" s="121"/>
      <c r="J1032" s="121"/>
      <c r="K1032" s="22">
        <v>487</v>
      </c>
      <c r="L1032" s="6">
        <v>497</v>
      </c>
      <c r="M1032" s="125">
        <f t="shared" si="17"/>
        <v>10</v>
      </c>
      <c r="N1032" s="7"/>
      <c r="O1032" s="132"/>
      <c r="P1032" s="175"/>
      <c r="V1032" s="207"/>
    </row>
    <row r="1033" spans="1:22" ht="15" customHeight="1">
      <c r="A1033" s="3">
        <v>37291</v>
      </c>
      <c r="B1033" s="9">
        <v>64800</v>
      </c>
      <c r="C1033" s="5">
        <v>35225</v>
      </c>
      <c r="D1033" s="5" t="e">
        <f>E1033-(#REF!+C1033)</f>
        <v>#REF!</v>
      </c>
      <c r="E1033" s="1">
        <v>134125</v>
      </c>
      <c r="F1033" s="403"/>
      <c r="G1033" s="1"/>
      <c r="H1033" s="1"/>
      <c r="I1033" s="121"/>
      <c r="J1033" s="121"/>
      <c r="K1033" s="22">
        <v>488.5</v>
      </c>
      <c r="L1033" s="6">
        <v>496</v>
      </c>
      <c r="M1033" s="125">
        <f t="shared" si="17"/>
        <v>7.5</v>
      </c>
      <c r="N1033" s="7"/>
      <c r="O1033" s="132"/>
      <c r="P1033" s="175"/>
      <c r="V1033" s="207"/>
    </row>
    <row r="1034" spans="1:22" ht="15" customHeight="1">
      <c r="A1034" s="3">
        <v>37292</v>
      </c>
      <c r="B1034" s="9">
        <v>65000</v>
      </c>
      <c r="C1034" s="5">
        <v>35225</v>
      </c>
      <c r="D1034" s="5" t="e">
        <f>E1034-(#REF!+C1034)</f>
        <v>#REF!</v>
      </c>
      <c r="E1034" s="1">
        <v>133800</v>
      </c>
      <c r="F1034" s="403"/>
      <c r="G1034" s="1"/>
      <c r="H1034" s="1"/>
      <c r="I1034" s="121"/>
      <c r="J1034" s="121"/>
      <c r="K1034" s="22">
        <v>484</v>
      </c>
      <c r="L1034" s="6">
        <v>490.5</v>
      </c>
      <c r="M1034" s="125">
        <f t="shared" si="17"/>
        <v>6.5</v>
      </c>
      <c r="N1034" s="7"/>
      <c r="O1034" s="132"/>
      <c r="P1034" s="175"/>
      <c r="V1034" s="207"/>
    </row>
    <row r="1035" spans="1:22" ht="15" customHeight="1">
      <c r="A1035" s="3">
        <v>37293</v>
      </c>
      <c r="B1035" s="9">
        <v>66900</v>
      </c>
      <c r="C1035" s="5">
        <v>35225</v>
      </c>
      <c r="D1035" s="5" t="e">
        <f>E1035-(#REF!+C1035)</f>
        <v>#REF!</v>
      </c>
      <c r="E1035" s="1">
        <v>135075</v>
      </c>
      <c r="F1035" s="403"/>
      <c r="G1035" s="1"/>
      <c r="H1035" s="1"/>
      <c r="I1035" s="121"/>
      <c r="J1035" s="121"/>
      <c r="K1035" s="22">
        <v>483</v>
      </c>
      <c r="L1035" s="6">
        <v>488.5</v>
      </c>
      <c r="M1035" s="125">
        <f t="shared" si="17"/>
        <v>5.5</v>
      </c>
      <c r="N1035" s="7"/>
      <c r="O1035" s="132"/>
      <c r="P1035" s="175"/>
      <c r="V1035" s="207"/>
    </row>
    <row r="1036" spans="1:22" ht="15" customHeight="1">
      <c r="A1036" s="3">
        <v>37294</v>
      </c>
      <c r="B1036" s="9">
        <v>66600</v>
      </c>
      <c r="C1036" s="5">
        <v>35325</v>
      </c>
      <c r="D1036" s="5" t="e">
        <f>E1036-(#REF!+C1036)</f>
        <v>#REF!</v>
      </c>
      <c r="E1036" s="1">
        <v>134125</v>
      </c>
      <c r="F1036" s="403"/>
      <c r="G1036" s="1"/>
      <c r="H1036" s="1"/>
      <c r="I1036" s="121"/>
      <c r="J1036" s="121"/>
      <c r="K1036" s="22">
        <v>480.5</v>
      </c>
      <c r="L1036" s="6">
        <v>488</v>
      </c>
      <c r="M1036" s="125">
        <f t="shared" si="17"/>
        <v>7.5</v>
      </c>
      <c r="N1036" s="7"/>
      <c r="O1036" s="132"/>
      <c r="P1036" s="175"/>
      <c r="V1036" s="207"/>
    </row>
    <row r="1037" spans="1:22" ht="15" customHeight="1">
      <c r="A1037" s="3">
        <v>37295</v>
      </c>
      <c r="B1037" s="9">
        <v>66775</v>
      </c>
      <c r="C1037" s="5">
        <v>35325</v>
      </c>
      <c r="D1037" s="5" t="e">
        <f>E1037-(#REF!+C1037)</f>
        <v>#REF!</v>
      </c>
      <c r="E1037" s="1">
        <v>134100</v>
      </c>
      <c r="F1037" s="403"/>
      <c r="G1037" s="1"/>
      <c r="H1037" s="1"/>
      <c r="I1037" s="121"/>
      <c r="J1037" s="121"/>
      <c r="K1037" s="22">
        <v>485</v>
      </c>
      <c r="L1037" s="6">
        <v>491.5</v>
      </c>
      <c r="M1037" s="125">
        <f t="shared" si="17"/>
        <v>6.5</v>
      </c>
      <c r="N1037" s="7"/>
      <c r="O1037" s="132"/>
      <c r="P1037" s="175"/>
      <c r="V1037" s="207"/>
    </row>
    <row r="1038" spans="1:22" ht="15" customHeight="1">
      <c r="A1038" s="3">
        <v>37298</v>
      </c>
      <c r="B1038" s="9">
        <v>62975</v>
      </c>
      <c r="C1038" s="5">
        <v>35450</v>
      </c>
      <c r="D1038" s="5" t="e">
        <f>E1038-(#REF!+C1038)</f>
        <v>#REF!</v>
      </c>
      <c r="E1038" s="1">
        <v>129850</v>
      </c>
      <c r="F1038" s="403"/>
      <c r="G1038" s="1"/>
      <c r="H1038" s="1"/>
      <c r="I1038" s="121"/>
      <c r="J1038" s="121"/>
      <c r="K1038" s="22">
        <v>475</v>
      </c>
      <c r="L1038" s="6">
        <v>484.5</v>
      </c>
      <c r="M1038" s="125">
        <f t="shared" si="17"/>
        <v>9.5</v>
      </c>
      <c r="N1038" s="7"/>
      <c r="O1038" s="132"/>
      <c r="P1038" s="175"/>
      <c r="V1038" s="207"/>
    </row>
    <row r="1039" spans="1:22" ht="15" customHeight="1">
      <c r="A1039" s="3">
        <v>37299</v>
      </c>
      <c r="B1039" s="9">
        <v>52450</v>
      </c>
      <c r="C1039" s="5">
        <v>35450</v>
      </c>
      <c r="D1039" s="5" t="e">
        <f>E1039-(#REF!+C1039)</f>
        <v>#REF!</v>
      </c>
      <c r="E1039" s="1">
        <v>118250</v>
      </c>
      <c r="F1039" s="403"/>
      <c r="G1039" s="1"/>
      <c r="H1039" s="1"/>
      <c r="I1039" s="121"/>
      <c r="J1039" s="121"/>
      <c r="K1039" s="22">
        <v>476.5</v>
      </c>
      <c r="L1039" s="6">
        <v>486</v>
      </c>
      <c r="M1039" s="125">
        <f t="shared" si="17"/>
        <v>9.5</v>
      </c>
      <c r="N1039" s="7"/>
      <c r="O1039" s="132"/>
      <c r="P1039" s="175"/>
      <c r="V1039" s="207"/>
    </row>
    <row r="1040" spans="1:22" ht="15" customHeight="1">
      <c r="A1040" s="3">
        <v>37300</v>
      </c>
      <c r="B1040" s="9">
        <v>53050</v>
      </c>
      <c r="C1040" s="5">
        <v>35575</v>
      </c>
      <c r="D1040" s="5" t="e">
        <f>E1040-(#REF!+C1040)</f>
        <v>#REF!</v>
      </c>
      <c r="E1040" s="1">
        <v>118325</v>
      </c>
      <c r="F1040" s="403"/>
      <c r="G1040" s="1"/>
      <c r="H1040" s="1"/>
      <c r="I1040" s="121"/>
      <c r="J1040" s="121"/>
      <c r="K1040" s="22">
        <v>476.5</v>
      </c>
      <c r="L1040" s="6">
        <v>488</v>
      </c>
      <c r="M1040" s="125">
        <f t="shared" si="17"/>
        <v>11.5</v>
      </c>
      <c r="N1040" s="7"/>
      <c r="O1040" s="132"/>
      <c r="P1040" s="175"/>
      <c r="V1040" s="207"/>
    </row>
    <row r="1041" spans="1:22" ht="15" customHeight="1">
      <c r="A1041" s="3">
        <v>37301</v>
      </c>
      <c r="B1041" s="9">
        <v>53050</v>
      </c>
      <c r="C1041" s="5">
        <v>35575</v>
      </c>
      <c r="D1041" s="5" t="e">
        <f>E1041-(#REF!+C1041)</f>
        <v>#REF!</v>
      </c>
      <c r="E1041" s="1">
        <v>118250</v>
      </c>
      <c r="F1041" s="403"/>
      <c r="G1041" s="1"/>
      <c r="H1041" s="1"/>
      <c r="I1041" s="121"/>
      <c r="J1041" s="121"/>
      <c r="K1041" s="22">
        <v>497</v>
      </c>
      <c r="L1041" s="6">
        <v>500.5</v>
      </c>
      <c r="M1041" s="125">
        <f t="shared" si="17"/>
        <v>3.5</v>
      </c>
      <c r="N1041" s="7"/>
      <c r="O1041" s="132"/>
      <c r="P1041" s="175"/>
      <c r="V1041" s="207"/>
    </row>
    <row r="1042" spans="1:22" ht="15" customHeight="1">
      <c r="A1042" s="3">
        <v>37302</v>
      </c>
      <c r="B1042" s="9">
        <v>53850</v>
      </c>
      <c r="C1042" s="5">
        <v>35675</v>
      </c>
      <c r="D1042" s="5" t="e">
        <f>E1042-(#REF!+C1042)</f>
        <v>#REF!</v>
      </c>
      <c r="E1042" s="1">
        <v>118950</v>
      </c>
      <c r="F1042" s="403"/>
      <c r="G1042" s="1"/>
      <c r="H1042" s="1"/>
      <c r="I1042" s="121"/>
      <c r="J1042" s="121"/>
      <c r="K1042" s="22">
        <v>487</v>
      </c>
      <c r="L1042" s="6">
        <v>492</v>
      </c>
      <c r="M1042" s="125">
        <f t="shared" si="17"/>
        <v>5</v>
      </c>
      <c r="N1042" s="7"/>
      <c r="O1042" s="132"/>
      <c r="P1042" s="175"/>
      <c r="V1042" s="207"/>
    </row>
    <row r="1043" spans="1:22" ht="15" customHeight="1">
      <c r="A1043" s="3">
        <v>37305</v>
      </c>
      <c r="B1043" s="9">
        <v>52200</v>
      </c>
      <c r="C1043" s="5">
        <v>36550</v>
      </c>
      <c r="D1043" s="5" t="e">
        <f>E1043-(#REF!+C1043)</f>
        <v>#REF!</v>
      </c>
      <c r="E1043" s="1">
        <v>118025</v>
      </c>
      <c r="F1043" s="403"/>
      <c r="G1043" s="1"/>
      <c r="H1043" s="1"/>
      <c r="I1043" s="121"/>
      <c r="J1043" s="121"/>
      <c r="K1043" s="22">
        <v>473</v>
      </c>
      <c r="L1043" s="6">
        <v>483</v>
      </c>
      <c r="M1043" s="125">
        <f t="shared" si="17"/>
        <v>10</v>
      </c>
      <c r="N1043" s="7"/>
      <c r="O1043" s="132"/>
      <c r="P1043" s="175"/>
      <c r="V1043" s="207"/>
    </row>
    <row r="1044" spans="1:22" ht="15" customHeight="1">
      <c r="A1044" s="3">
        <v>37306</v>
      </c>
      <c r="B1044" s="9">
        <v>52200</v>
      </c>
      <c r="C1044" s="5">
        <v>37250</v>
      </c>
      <c r="D1044" s="5" t="e">
        <f>E1044-(#REF!+C1044)</f>
        <v>#REF!</v>
      </c>
      <c r="E1044" s="1">
        <v>118575</v>
      </c>
      <c r="F1044" s="403"/>
      <c r="G1044" s="1"/>
      <c r="H1044" s="1"/>
      <c r="I1044" s="121"/>
      <c r="J1044" s="121"/>
      <c r="K1044" s="22">
        <v>469</v>
      </c>
      <c r="L1044" s="6">
        <v>481</v>
      </c>
      <c r="M1044" s="125">
        <f t="shared" si="17"/>
        <v>12</v>
      </c>
      <c r="N1044" s="7"/>
      <c r="O1044" s="132"/>
      <c r="P1044" s="175"/>
      <c r="V1044" s="207"/>
    </row>
    <row r="1045" spans="1:22" ht="15" customHeight="1">
      <c r="A1045" s="3">
        <v>37307</v>
      </c>
      <c r="B1045" s="9">
        <v>52150</v>
      </c>
      <c r="C1045" s="5">
        <v>38525</v>
      </c>
      <c r="D1045" s="5" t="e">
        <f>E1045-(#REF!+C1045)</f>
        <v>#REF!</v>
      </c>
      <c r="E1045" s="1">
        <v>119700</v>
      </c>
      <c r="F1045" s="403"/>
      <c r="G1045" s="1"/>
      <c r="H1045" s="1"/>
      <c r="I1045" s="121"/>
      <c r="J1045" s="121"/>
      <c r="K1045" s="22">
        <v>478.5</v>
      </c>
      <c r="L1045" s="6">
        <v>493</v>
      </c>
      <c r="M1045" s="125">
        <f t="shared" si="17"/>
        <v>14.5</v>
      </c>
      <c r="N1045" s="7"/>
      <c r="O1045" s="132"/>
      <c r="P1045" s="175"/>
      <c r="V1045" s="207"/>
    </row>
    <row r="1046" spans="1:22" ht="15" customHeight="1">
      <c r="A1046" s="3">
        <v>37308</v>
      </c>
      <c r="B1046" s="9">
        <v>52450</v>
      </c>
      <c r="C1046" s="5">
        <v>39100</v>
      </c>
      <c r="D1046" s="5" t="e">
        <f>E1046-(#REF!+C1046)</f>
        <v>#REF!</v>
      </c>
      <c r="E1046" s="1">
        <v>120475</v>
      </c>
      <c r="F1046" s="403"/>
      <c r="G1046" s="1"/>
      <c r="H1046" s="1"/>
      <c r="I1046" s="121"/>
      <c r="J1046" s="121"/>
      <c r="K1046" s="22">
        <v>479</v>
      </c>
      <c r="L1046" s="6">
        <v>493</v>
      </c>
      <c r="M1046" s="125">
        <f t="shared" si="17"/>
        <v>14</v>
      </c>
      <c r="N1046" s="7"/>
      <c r="O1046" s="132"/>
      <c r="P1046" s="175"/>
      <c r="V1046" s="207"/>
    </row>
    <row r="1047" spans="1:22" ht="15" customHeight="1">
      <c r="A1047" s="3">
        <v>37309</v>
      </c>
      <c r="B1047" s="9">
        <v>51375</v>
      </c>
      <c r="C1047" s="5">
        <v>39625</v>
      </c>
      <c r="D1047" s="5" t="e">
        <f>E1047-(#REF!+C1047)</f>
        <v>#REF!</v>
      </c>
      <c r="E1047" s="1">
        <v>119850</v>
      </c>
      <c r="F1047" s="403"/>
      <c r="G1047" s="1"/>
      <c r="H1047" s="1"/>
      <c r="I1047" s="121"/>
      <c r="J1047" s="121"/>
      <c r="K1047" s="22">
        <v>474.5</v>
      </c>
      <c r="L1047" s="6">
        <v>485</v>
      </c>
      <c r="M1047" s="125">
        <f t="shared" si="17"/>
        <v>10.5</v>
      </c>
      <c r="N1047" s="7"/>
      <c r="O1047" s="132"/>
      <c r="P1047" s="175"/>
      <c r="V1047" s="207"/>
    </row>
    <row r="1048" spans="1:22" ht="15" customHeight="1">
      <c r="A1048" s="3">
        <v>37312</v>
      </c>
      <c r="B1048" s="9">
        <v>53425</v>
      </c>
      <c r="C1048" s="5">
        <v>40175</v>
      </c>
      <c r="D1048" s="5" t="e">
        <f>E1048-(#REF!+C1048)</f>
        <v>#REF!</v>
      </c>
      <c r="E1048" s="1">
        <v>122375</v>
      </c>
      <c r="F1048" s="403"/>
      <c r="G1048" s="1"/>
      <c r="H1048" s="1"/>
      <c r="I1048" s="121"/>
      <c r="J1048" s="121"/>
      <c r="K1048" s="22">
        <v>471</v>
      </c>
      <c r="L1048" s="6">
        <v>481</v>
      </c>
      <c r="M1048" s="125">
        <f t="shared" si="17"/>
        <v>10</v>
      </c>
      <c r="N1048" s="7"/>
      <c r="O1048" s="132"/>
      <c r="P1048" s="175"/>
      <c r="V1048" s="207"/>
    </row>
    <row r="1049" spans="1:22" ht="15" customHeight="1">
      <c r="A1049" s="3">
        <v>37313</v>
      </c>
      <c r="B1049" s="9">
        <v>54425</v>
      </c>
      <c r="C1049" s="5">
        <v>40575</v>
      </c>
      <c r="D1049" s="5" t="e">
        <f>E1049-(#REF!+C1049)</f>
        <v>#REF!</v>
      </c>
      <c r="E1049" s="1">
        <v>123775</v>
      </c>
      <c r="F1049" s="403"/>
      <c r="G1049" s="1"/>
      <c r="H1049" s="1"/>
      <c r="I1049" s="121"/>
      <c r="J1049" s="121"/>
      <c r="K1049" s="22">
        <v>477.5</v>
      </c>
      <c r="L1049" s="6">
        <v>489.5</v>
      </c>
      <c r="M1049" s="125">
        <f t="shared" si="17"/>
        <v>12</v>
      </c>
      <c r="N1049" s="7"/>
      <c r="O1049" s="132"/>
      <c r="P1049" s="175"/>
      <c r="V1049" s="207"/>
    </row>
    <row r="1050" spans="1:22" ht="15" customHeight="1">
      <c r="A1050" s="3">
        <v>37314</v>
      </c>
      <c r="B1050" s="9">
        <v>56425</v>
      </c>
      <c r="C1050" s="5">
        <v>40725</v>
      </c>
      <c r="D1050" s="5" t="e">
        <f>E1050-(#REF!+C1050)</f>
        <v>#REF!</v>
      </c>
      <c r="E1050" s="1">
        <v>125775</v>
      </c>
      <c r="F1050" s="403"/>
      <c r="G1050" s="1"/>
      <c r="H1050" s="1"/>
      <c r="I1050" s="121"/>
      <c r="J1050" s="121"/>
      <c r="K1050" s="22">
        <v>475</v>
      </c>
      <c r="L1050" s="6">
        <v>485.5</v>
      </c>
      <c r="M1050" s="125">
        <f t="shared" si="17"/>
        <v>10.5</v>
      </c>
      <c r="N1050" s="7"/>
      <c r="O1050" s="132"/>
      <c r="P1050" s="175"/>
      <c r="V1050" s="207"/>
    </row>
    <row r="1051" spans="1:22" ht="15" customHeight="1">
      <c r="A1051" s="3">
        <v>37315</v>
      </c>
      <c r="B1051" s="9">
        <v>55400</v>
      </c>
      <c r="C1051" s="5">
        <v>40725</v>
      </c>
      <c r="D1051" s="5" t="e">
        <f>E1051-(#REF!+C1051)</f>
        <v>#REF!</v>
      </c>
      <c r="E1051" s="1">
        <v>124650</v>
      </c>
      <c r="F1051" s="403"/>
      <c r="G1051" s="1"/>
      <c r="H1051" s="1"/>
      <c r="I1051" s="121"/>
      <c r="J1051" s="121"/>
      <c r="K1051" s="22">
        <v>481.5</v>
      </c>
      <c r="L1051" s="6">
        <v>491.5</v>
      </c>
      <c r="M1051" s="125">
        <f t="shared" si="17"/>
        <v>10</v>
      </c>
      <c r="N1051" s="7"/>
      <c r="O1051" s="132"/>
      <c r="P1051" s="175"/>
      <c r="V1051" s="207"/>
    </row>
    <row r="1052" spans="1:22" ht="15" customHeight="1">
      <c r="A1052" s="3">
        <v>37316</v>
      </c>
      <c r="B1052" s="9">
        <v>55900</v>
      </c>
      <c r="C1052" s="5">
        <v>40725</v>
      </c>
      <c r="D1052" s="5" t="e">
        <f>E1052-(#REF!+C1052)</f>
        <v>#REF!</v>
      </c>
      <c r="E1052" s="1">
        <v>125050</v>
      </c>
      <c r="F1052" s="403"/>
      <c r="G1052" s="1"/>
      <c r="H1052" s="1"/>
      <c r="I1052" s="121"/>
      <c r="J1052" s="121"/>
      <c r="K1052" s="22">
        <v>477</v>
      </c>
      <c r="L1052" s="6">
        <v>488</v>
      </c>
      <c r="M1052" s="125">
        <f t="shared" si="17"/>
        <v>11</v>
      </c>
      <c r="N1052" s="7"/>
      <c r="O1052" s="132"/>
      <c r="P1052" s="175"/>
      <c r="V1052" s="207"/>
    </row>
    <row r="1053" spans="1:22" ht="15" customHeight="1">
      <c r="A1053" s="3">
        <v>37319</v>
      </c>
      <c r="B1053" s="9">
        <v>55900</v>
      </c>
      <c r="C1053" s="5">
        <v>40725</v>
      </c>
      <c r="D1053" s="5" t="e">
        <f>E1053-(#REF!+C1053)</f>
        <v>#REF!</v>
      </c>
      <c r="E1053" s="1">
        <v>123975</v>
      </c>
      <c r="F1053" s="403"/>
      <c r="G1053" s="1"/>
      <c r="H1053" s="1"/>
      <c r="I1053" s="121"/>
      <c r="J1053" s="121"/>
      <c r="K1053" s="22">
        <v>482</v>
      </c>
      <c r="L1053" s="6">
        <v>494</v>
      </c>
      <c r="M1053" s="125">
        <f t="shared" si="17"/>
        <v>12</v>
      </c>
      <c r="N1053" s="7"/>
      <c r="O1053" s="132"/>
      <c r="P1053" s="175"/>
      <c r="V1053" s="207"/>
    </row>
    <row r="1054" spans="1:22" ht="15" customHeight="1">
      <c r="A1054" s="3">
        <v>37320</v>
      </c>
      <c r="B1054" s="9">
        <v>56825</v>
      </c>
      <c r="C1054" s="5">
        <v>40725</v>
      </c>
      <c r="D1054" s="5" t="e">
        <f>E1054-(#REF!+C1054)</f>
        <v>#REF!</v>
      </c>
      <c r="E1054" s="1">
        <v>125600</v>
      </c>
      <c r="F1054" s="403"/>
      <c r="G1054" s="1"/>
      <c r="H1054" s="1"/>
      <c r="I1054" s="121"/>
      <c r="J1054" s="121"/>
      <c r="K1054" s="22">
        <v>480</v>
      </c>
      <c r="L1054" s="6">
        <v>490</v>
      </c>
      <c r="M1054" s="125">
        <f t="shared" si="17"/>
        <v>10</v>
      </c>
      <c r="N1054" s="7"/>
      <c r="O1054" s="132"/>
      <c r="P1054" s="175"/>
      <c r="V1054" s="207"/>
    </row>
    <row r="1055" spans="1:22" ht="15" customHeight="1">
      <c r="A1055" s="3">
        <v>37321</v>
      </c>
      <c r="B1055" s="9">
        <v>58050</v>
      </c>
      <c r="C1055" s="5">
        <v>43550</v>
      </c>
      <c r="D1055" s="5" t="e">
        <f>E1055-(#REF!+C1055)</f>
        <v>#REF!</v>
      </c>
      <c r="E1055" s="1">
        <v>127250</v>
      </c>
      <c r="F1055" s="403"/>
      <c r="G1055" s="1"/>
      <c r="H1055" s="1"/>
      <c r="I1055" s="121"/>
      <c r="J1055" s="121"/>
      <c r="K1055" s="22">
        <v>475.5</v>
      </c>
      <c r="L1055" s="6">
        <v>487</v>
      </c>
      <c r="M1055" s="125">
        <f t="shared" si="17"/>
        <v>11.5</v>
      </c>
      <c r="N1055" s="7"/>
      <c r="O1055" s="132"/>
      <c r="P1055" s="175"/>
      <c r="V1055" s="207"/>
    </row>
    <row r="1056" spans="1:22" ht="15" customHeight="1">
      <c r="A1056" s="3">
        <v>37322</v>
      </c>
      <c r="B1056" s="9">
        <v>57200</v>
      </c>
      <c r="C1056" s="5">
        <v>43550</v>
      </c>
      <c r="D1056" s="5" t="e">
        <f>E1056-(#REF!+C1056)</f>
        <v>#REF!</v>
      </c>
      <c r="E1056" s="1">
        <v>126225</v>
      </c>
      <c r="F1056" s="403"/>
      <c r="G1056" s="1"/>
      <c r="H1056" s="1"/>
      <c r="I1056" s="121"/>
      <c r="J1056" s="121"/>
      <c r="K1056" s="22">
        <v>479</v>
      </c>
      <c r="L1056" s="6">
        <v>492</v>
      </c>
      <c r="M1056" s="125">
        <f t="shared" si="17"/>
        <v>13</v>
      </c>
      <c r="N1056" s="7"/>
      <c r="O1056" s="132"/>
      <c r="P1056" s="175"/>
      <c r="V1056" s="207"/>
    </row>
    <row r="1057" spans="1:22" ht="15" customHeight="1">
      <c r="A1057" s="3">
        <v>37323</v>
      </c>
      <c r="B1057" s="9">
        <v>55850</v>
      </c>
      <c r="C1057" s="5">
        <v>43675</v>
      </c>
      <c r="D1057" s="5" t="e">
        <f>E1057-(#REF!+C1057)</f>
        <v>#REF!</v>
      </c>
      <c r="E1057" s="1">
        <v>124850</v>
      </c>
      <c r="F1057" s="403"/>
      <c r="G1057" s="1"/>
      <c r="H1057" s="1"/>
      <c r="I1057" s="121"/>
      <c r="J1057" s="121"/>
      <c r="K1057" s="22">
        <v>482.5</v>
      </c>
      <c r="L1057" s="6">
        <v>494</v>
      </c>
      <c r="M1057" s="125">
        <f t="shared" si="17"/>
        <v>11.5</v>
      </c>
      <c r="N1057" s="7"/>
      <c r="O1057" s="132"/>
      <c r="P1057" s="175"/>
      <c r="V1057" s="207"/>
    </row>
    <row r="1058" spans="1:22" ht="15" customHeight="1">
      <c r="A1058" s="3">
        <v>37326</v>
      </c>
      <c r="B1058" s="9">
        <v>55250</v>
      </c>
      <c r="C1058" s="5">
        <v>43675</v>
      </c>
      <c r="D1058" s="5" t="e">
        <f>E1058-(#REF!+C1058)</f>
        <v>#REF!</v>
      </c>
      <c r="E1058" s="1">
        <v>124150</v>
      </c>
      <c r="F1058" s="403"/>
      <c r="G1058" s="1"/>
      <c r="H1058" s="1"/>
      <c r="I1058" s="121"/>
      <c r="J1058" s="121"/>
      <c r="K1058" s="22">
        <v>476</v>
      </c>
      <c r="L1058" s="6">
        <v>487</v>
      </c>
      <c r="M1058" s="125">
        <f t="shared" si="17"/>
        <v>11</v>
      </c>
      <c r="N1058" s="7"/>
      <c r="O1058" s="132"/>
      <c r="P1058" s="175"/>
      <c r="V1058" s="207"/>
    </row>
    <row r="1059" spans="1:22" ht="15" customHeight="1">
      <c r="A1059" s="3">
        <v>37327</v>
      </c>
      <c r="B1059" s="9">
        <v>55675</v>
      </c>
      <c r="C1059" s="5">
        <v>43725</v>
      </c>
      <c r="D1059" s="5" t="e">
        <f>E1059-(#REF!+C1059)</f>
        <v>#REF!</v>
      </c>
      <c r="E1059" s="1">
        <v>124425</v>
      </c>
      <c r="F1059" s="403"/>
      <c r="G1059" s="1"/>
      <c r="H1059" s="1"/>
      <c r="I1059" s="121"/>
      <c r="J1059" s="121"/>
      <c r="K1059" s="22">
        <v>475</v>
      </c>
      <c r="L1059" s="6">
        <v>486</v>
      </c>
      <c r="M1059" s="125">
        <f t="shared" si="17"/>
        <v>11</v>
      </c>
      <c r="N1059" s="7"/>
      <c r="O1059" s="132"/>
      <c r="P1059" s="175"/>
      <c r="V1059" s="207"/>
    </row>
    <row r="1060" spans="1:22" ht="15" customHeight="1">
      <c r="A1060" s="3">
        <v>37328</v>
      </c>
      <c r="B1060" s="9">
        <v>56175</v>
      </c>
      <c r="C1060" s="5">
        <v>43725</v>
      </c>
      <c r="D1060" s="5" t="e">
        <f>E1060-(#REF!+C1060)</f>
        <v>#REF!</v>
      </c>
      <c r="E1060" s="1">
        <v>124625</v>
      </c>
      <c r="F1060" s="403"/>
      <c r="G1060" s="1"/>
      <c r="H1060" s="1"/>
      <c r="I1060" s="121"/>
      <c r="J1060" s="121"/>
      <c r="K1060" s="22">
        <v>475.5</v>
      </c>
      <c r="L1060" s="6">
        <v>490</v>
      </c>
      <c r="M1060" s="125">
        <f t="shared" si="17"/>
        <v>14.5</v>
      </c>
      <c r="N1060" s="7"/>
      <c r="O1060" s="132"/>
      <c r="P1060" s="175"/>
      <c r="V1060" s="207"/>
    </row>
    <row r="1061" spans="1:22" ht="15" customHeight="1">
      <c r="A1061" s="3">
        <v>37329</v>
      </c>
      <c r="B1061" s="9">
        <v>55825</v>
      </c>
      <c r="C1061" s="5">
        <v>43925</v>
      </c>
      <c r="D1061" s="5" t="e">
        <f>E1061-(#REF!+C1061)</f>
        <v>#REF!</v>
      </c>
      <c r="E1061" s="1">
        <v>124250</v>
      </c>
      <c r="F1061" s="403"/>
      <c r="G1061" s="1"/>
      <c r="H1061" s="1"/>
      <c r="I1061" s="121"/>
      <c r="J1061" s="121"/>
      <c r="K1061" s="22">
        <v>475</v>
      </c>
      <c r="L1061" s="6">
        <v>488</v>
      </c>
      <c r="M1061" s="125">
        <f t="shared" si="17"/>
        <v>13</v>
      </c>
      <c r="N1061" s="7"/>
      <c r="O1061" s="132"/>
      <c r="P1061" s="175"/>
      <c r="V1061" s="207"/>
    </row>
    <row r="1062" spans="1:22" ht="15" customHeight="1">
      <c r="A1062" s="3">
        <v>37330</v>
      </c>
      <c r="B1062" s="9">
        <v>55850</v>
      </c>
      <c r="C1062" s="5">
        <v>44425</v>
      </c>
      <c r="D1062" s="5" t="e">
        <f>E1062-(#REF!+C1062)</f>
        <v>#REF!</v>
      </c>
      <c r="E1062" s="1">
        <v>124550</v>
      </c>
      <c r="F1062" s="403"/>
      <c r="G1062" s="1"/>
      <c r="H1062" s="1"/>
      <c r="I1062" s="121"/>
      <c r="J1062" s="121"/>
      <c r="K1062" s="22">
        <v>476</v>
      </c>
      <c r="L1062" s="6">
        <v>486.5</v>
      </c>
      <c r="M1062" s="125">
        <f t="shared" si="17"/>
        <v>10.5</v>
      </c>
      <c r="N1062" s="7"/>
      <c r="O1062" s="132"/>
      <c r="P1062" s="175"/>
      <c r="V1062" s="207"/>
    </row>
    <row r="1063" spans="1:22" ht="15" customHeight="1">
      <c r="A1063" s="3">
        <v>37333</v>
      </c>
      <c r="B1063" s="9">
        <v>55775</v>
      </c>
      <c r="C1063" s="5">
        <v>44550</v>
      </c>
      <c r="D1063" s="5" t="e">
        <f>E1063-(#REF!+C1063)</f>
        <v>#REF!</v>
      </c>
      <c r="E1063" s="1">
        <v>124550</v>
      </c>
      <c r="F1063" s="403"/>
      <c r="G1063" s="1"/>
      <c r="H1063" s="1"/>
      <c r="I1063" s="121"/>
      <c r="J1063" s="121"/>
      <c r="K1063" s="22">
        <v>475.5</v>
      </c>
      <c r="L1063" s="6">
        <v>487</v>
      </c>
      <c r="M1063" s="125">
        <f t="shared" si="17"/>
        <v>11.5</v>
      </c>
      <c r="N1063" s="7"/>
      <c r="O1063" s="132"/>
      <c r="P1063" s="175"/>
      <c r="V1063" s="207"/>
    </row>
    <row r="1064" spans="1:22" ht="15" customHeight="1">
      <c r="A1064" s="3">
        <v>37334</v>
      </c>
      <c r="B1064" s="9">
        <v>55725</v>
      </c>
      <c r="C1064" s="5">
        <v>44550</v>
      </c>
      <c r="D1064" s="5" t="e">
        <f>E1064-(#REF!+C1064)</f>
        <v>#REF!</v>
      </c>
      <c r="E1064" s="1">
        <v>124500</v>
      </c>
      <c r="F1064" s="403"/>
      <c r="G1064" s="1"/>
      <c r="H1064" s="1"/>
      <c r="I1064" s="121"/>
      <c r="J1064" s="121"/>
      <c r="K1064" s="22">
        <v>484.5</v>
      </c>
      <c r="L1064" s="6">
        <v>495</v>
      </c>
      <c r="M1064" s="125">
        <f t="shared" si="17"/>
        <v>10.5</v>
      </c>
      <c r="N1064" s="7"/>
      <c r="O1064" s="132"/>
      <c r="P1064" s="175"/>
      <c r="V1064" s="207"/>
    </row>
    <row r="1065" spans="1:22" ht="15" customHeight="1">
      <c r="A1065" s="3">
        <v>37335</v>
      </c>
      <c r="B1065" s="9">
        <v>54200</v>
      </c>
      <c r="C1065" s="5">
        <v>45150</v>
      </c>
      <c r="D1065" s="5" t="e">
        <f>E1065-(#REF!+C1065)</f>
        <v>#REF!</v>
      </c>
      <c r="E1065" s="1">
        <v>123550</v>
      </c>
      <c r="F1065" s="403"/>
      <c r="G1065" s="1"/>
      <c r="H1065" s="1"/>
      <c r="I1065" s="121"/>
      <c r="J1065" s="121"/>
      <c r="K1065" s="22">
        <v>484.5</v>
      </c>
      <c r="L1065" s="6">
        <v>497.5</v>
      </c>
      <c r="M1065" s="125">
        <f t="shared" si="17"/>
        <v>13</v>
      </c>
      <c r="N1065" s="7"/>
      <c r="O1065" s="132"/>
      <c r="P1065" s="175"/>
      <c r="V1065" s="207"/>
    </row>
    <row r="1066" spans="1:22" ht="15" customHeight="1">
      <c r="A1066" s="3">
        <v>37336</v>
      </c>
      <c r="B1066" s="9">
        <v>54175</v>
      </c>
      <c r="C1066" s="5">
        <v>45150</v>
      </c>
      <c r="D1066" s="5" t="e">
        <f>E1066-(#REF!+C1066)</f>
        <v>#REF!</v>
      </c>
      <c r="E1066" s="1">
        <v>123425</v>
      </c>
      <c r="F1066" s="403"/>
      <c r="G1066" s="1"/>
      <c r="H1066" s="1"/>
      <c r="I1066" s="121"/>
      <c r="J1066" s="121"/>
      <c r="K1066" s="22">
        <v>491</v>
      </c>
      <c r="L1066" s="6">
        <v>504</v>
      </c>
      <c r="M1066" s="125">
        <f t="shared" si="17"/>
        <v>13</v>
      </c>
      <c r="N1066" s="7"/>
      <c r="O1066" s="132"/>
      <c r="P1066" s="175"/>
      <c r="V1066" s="207"/>
    </row>
    <row r="1067" spans="1:22" ht="15" customHeight="1">
      <c r="A1067" s="3">
        <v>37337</v>
      </c>
      <c r="B1067" s="9">
        <v>54250</v>
      </c>
      <c r="C1067" s="5">
        <v>45150</v>
      </c>
      <c r="D1067" s="5" t="e">
        <f>E1067-(#REF!+C1067)</f>
        <v>#REF!</v>
      </c>
      <c r="E1067" s="1">
        <v>123400</v>
      </c>
      <c r="F1067" s="403"/>
      <c r="G1067" s="1"/>
      <c r="H1067" s="1"/>
      <c r="I1067" s="121"/>
      <c r="J1067" s="121"/>
      <c r="K1067" s="22">
        <v>477.5</v>
      </c>
      <c r="L1067" s="6">
        <v>492</v>
      </c>
      <c r="M1067" s="125">
        <f t="shared" si="17"/>
        <v>14.5</v>
      </c>
      <c r="N1067" s="7"/>
      <c r="O1067" s="132"/>
      <c r="P1067" s="175"/>
      <c r="V1067" s="207"/>
    </row>
    <row r="1068" spans="1:22" ht="15" customHeight="1">
      <c r="A1068" s="3">
        <v>37340</v>
      </c>
      <c r="B1068" s="9">
        <v>54025</v>
      </c>
      <c r="C1068" s="5">
        <v>45150</v>
      </c>
      <c r="D1068" s="5" t="e">
        <f>E1068-(#REF!+C1068)</f>
        <v>#REF!</v>
      </c>
      <c r="E1068" s="1">
        <v>123350</v>
      </c>
      <c r="F1068" s="403"/>
      <c r="G1068" s="1"/>
      <c r="H1068" s="1"/>
      <c r="I1068" s="121"/>
      <c r="J1068" s="121"/>
      <c r="K1068" s="22">
        <v>477</v>
      </c>
      <c r="L1068" s="6">
        <v>493.5</v>
      </c>
      <c r="M1068" s="125">
        <f t="shared" si="17"/>
        <v>16.5</v>
      </c>
      <c r="N1068" s="7"/>
      <c r="O1068" s="132"/>
      <c r="P1068" s="175"/>
      <c r="V1068" s="207"/>
    </row>
    <row r="1069" spans="1:22" ht="15" customHeight="1">
      <c r="A1069" s="3">
        <v>37341</v>
      </c>
      <c r="B1069" s="9">
        <v>55000</v>
      </c>
      <c r="C1069" s="5">
        <v>45150</v>
      </c>
      <c r="D1069" s="5" t="e">
        <f>E1069-(#REF!+C1069)</f>
        <v>#REF!</v>
      </c>
      <c r="E1069" s="1">
        <v>124325</v>
      </c>
      <c r="F1069" s="403"/>
      <c r="G1069" s="1"/>
      <c r="H1069" s="1"/>
      <c r="I1069" s="121"/>
      <c r="J1069" s="121"/>
      <c r="K1069" s="22">
        <v>484</v>
      </c>
      <c r="L1069" s="6">
        <v>497.5</v>
      </c>
      <c r="M1069" s="125">
        <f t="shared" si="17"/>
        <v>13.5</v>
      </c>
      <c r="N1069" s="7"/>
      <c r="O1069" s="132"/>
      <c r="P1069" s="175"/>
      <c r="V1069" s="207"/>
    </row>
    <row r="1070" spans="1:22" ht="15" customHeight="1">
      <c r="A1070" s="3">
        <v>37342</v>
      </c>
      <c r="B1070" s="9">
        <v>55800</v>
      </c>
      <c r="C1070" s="5">
        <v>46150</v>
      </c>
      <c r="D1070" s="5" t="e">
        <f>E1070-(#REF!+C1070)</f>
        <v>#REF!</v>
      </c>
      <c r="E1070" s="1">
        <v>125825</v>
      </c>
      <c r="F1070" s="403"/>
      <c r="G1070" s="1"/>
      <c r="H1070" s="1"/>
      <c r="I1070" s="121"/>
      <c r="J1070" s="121"/>
      <c r="K1070" s="22">
        <v>490</v>
      </c>
      <c r="L1070" s="6">
        <v>501.5</v>
      </c>
      <c r="M1070" s="125">
        <f t="shared" si="17"/>
        <v>11.5</v>
      </c>
      <c r="N1070" s="7"/>
      <c r="O1070" s="132"/>
      <c r="P1070" s="175"/>
      <c r="V1070" s="207"/>
    </row>
    <row r="1071" spans="1:22" ht="15" customHeight="1">
      <c r="A1071" s="3">
        <v>37343</v>
      </c>
      <c r="B1071" s="9">
        <v>57800</v>
      </c>
      <c r="C1071" s="5">
        <v>46150</v>
      </c>
      <c r="D1071" s="5" t="e">
        <f>E1071-(#REF!+C1071)</f>
        <v>#REF!</v>
      </c>
      <c r="E1071" s="1">
        <v>127775</v>
      </c>
      <c r="F1071" s="403"/>
      <c r="G1071" s="1"/>
      <c r="H1071" s="1"/>
      <c r="I1071" s="121"/>
      <c r="J1071" s="121"/>
      <c r="K1071" s="22">
        <v>485.5</v>
      </c>
      <c r="L1071" s="6">
        <v>498</v>
      </c>
      <c r="M1071" s="125">
        <f t="shared" si="17"/>
        <v>12.5</v>
      </c>
      <c r="N1071" s="7"/>
      <c r="O1071" s="132"/>
      <c r="P1071" s="175"/>
      <c r="V1071" s="207"/>
    </row>
    <row r="1072" spans="1:22" ht="15" customHeight="1">
      <c r="A1072" s="3">
        <v>37348</v>
      </c>
      <c r="B1072" s="9">
        <v>58450</v>
      </c>
      <c r="C1072" s="5">
        <v>46450</v>
      </c>
      <c r="D1072" s="5" t="e">
        <f>E1072-(#REF!+C1072)</f>
        <v>#REF!</v>
      </c>
      <c r="E1072" s="1">
        <v>128725</v>
      </c>
      <c r="F1072" s="403"/>
      <c r="G1072" s="1"/>
      <c r="H1072" s="1"/>
      <c r="I1072" s="121"/>
      <c r="J1072" s="121"/>
      <c r="K1072" s="22">
        <v>483</v>
      </c>
      <c r="L1072" s="6">
        <v>495.5</v>
      </c>
      <c r="M1072" s="125">
        <f t="shared" si="17"/>
        <v>12.5</v>
      </c>
      <c r="N1072" s="7"/>
      <c r="O1072" s="132"/>
      <c r="P1072" s="175"/>
      <c r="V1072" s="207"/>
    </row>
    <row r="1073" spans="1:22" ht="15" customHeight="1">
      <c r="A1073" s="3">
        <v>37349</v>
      </c>
      <c r="B1073" s="9">
        <v>58050</v>
      </c>
      <c r="C1073" s="5">
        <v>46450</v>
      </c>
      <c r="D1073" s="5" t="e">
        <f>E1073-(#REF!+C1073)</f>
        <v>#REF!</v>
      </c>
      <c r="E1073" s="1">
        <v>128275</v>
      </c>
      <c r="F1073" s="403"/>
      <c r="G1073" s="1"/>
      <c r="H1073" s="1"/>
      <c r="I1073" s="121"/>
      <c r="J1073" s="121"/>
      <c r="K1073" s="22">
        <v>483</v>
      </c>
      <c r="L1073" s="6">
        <v>492</v>
      </c>
      <c r="M1073" s="125">
        <f t="shared" si="17"/>
        <v>9</v>
      </c>
      <c r="N1073" s="7"/>
      <c r="O1073" s="132"/>
      <c r="P1073" s="175"/>
      <c r="V1073" s="207"/>
    </row>
    <row r="1074" spans="1:22" ht="15" customHeight="1">
      <c r="A1074" s="3">
        <v>37350</v>
      </c>
      <c r="B1074" s="9">
        <v>58050</v>
      </c>
      <c r="C1074" s="5">
        <v>46450</v>
      </c>
      <c r="D1074" s="5" t="e">
        <f>E1074-(#REF!+C1074)</f>
        <v>#REF!</v>
      </c>
      <c r="E1074" s="1">
        <v>128250</v>
      </c>
      <c r="F1074" s="403"/>
      <c r="G1074" s="1"/>
      <c r="H1074" s="1"/>
      <c r="I1074" s="121"/>
      <c r="J1074" s="121"/>
      <c r="K1074" s="22">
        <v>469.5</v>
      </c>
      <c r="L1074" s="6">
        <v>484</v>
      </c>
      <c r="M1074" s="125">
        <f t="shared" si="17"/>
        <v>14.5</v>
      </c>
      <c r="N1074" s="7"/>
      <c r="O1074" s="132"/>
      <c r="P1074" s="175"/>
      <c r="V1074" s="207"/>
    </row>
    <row r="1075" spans="1:22" ht="15" customHeight="1">
      <c r="A1075" s="3">
        <v>37351</v>
      </c>
      <c r="B1075" s="9">
        <v>58050</v>
      </c>
      <c r="C1075" s="5">
        <v>47000</v>
      </c>
      <c r="D1075" s="5" t="e">
        <f>E1075-(#REF!+C1075)</f>
        <v>#REF!</v>
      </c>
      <c r="E1075" s="1">
        <v>128750</v>
      </c>
      <c r="F1075" s="403"/>
      <c r="G1075" s="1"/>
      <c r="H1075" s="1"/>
      <c r="I1075" s="121"/>
      <c r="J1075" s="121"/>
      <c r="K1075" s="22">
        <v>466.5</v>
      </c>
      <c r="L1075" s="6">
        <v>481</v>
      </c>
      <c r="M1075" s="125">
        <f t="shared" si="17"/>
        <v>14.5</v>
      </c>
      <c r="N1075" s="7"/>
      <c r="O1075" s="132"/>
      <c r="P1075" s="175"/>
      <c r="V1075" s="207"/>
    </row>
    <row r="1076" spans="1:22" ht="15" customHeight="1">
      <c r="A1076" s="3">
        <v>37354</v>
      </c>
      <c r="B1076" s="9">
        <v>59050</v>
      </c>
      <c r="C1076" s="5">
        <v>47075</v>
      </c>
      <c r="D1076" s="5" t="e">
        <f>E1076-(#REF!+C1076)</f>
        <v>#REF!</v>
      </c>
      <c r="E1076" s="1">
        <v>129775</v>
      </c>
      <c r="F1076" s="403"/>
      <c r="G1076" s="1"/>
      <c r="H1076" s="1"/>
      <c r="I1076" s="121"/>
      <c r="J1076" s="121"/>
      <c r="K1076" s="22">
        <v>467</v>
      </c>
      <c r="L1076" s="6">
        <v>481</v>
      </c>
      <c r="M1076" s="125">
        <f t="shared" si="17"/>
        <v>14</v>
      </c>
      <c r="N1076" s="7"/>
      <c r="O1076" s="132"/>
      <c r="P1076" s="175"/>
      <c r="V1076" s="207"/>
    </row>
    <row r="1077" spans="1:22" ht="15" customHeight="1">
      <c r="A1077" s="3">
        <v>37355</v>
      </c>
      <c r="B1077" s="9">
        <v>59000</v>
      </c>
      <c r="C1077" s="5">
        <v>47875</v>
      </c>
      <c r="D1077" s="5" t="e">
        <f>E1077-(#REF!+C1077)</f>
        <v>#REF!</v>
      </c>
      <c r="E1077" s="1">
        <v>130500</v>
      </c>
      <c r="F1077" s="403"/>
      <c r="G1077" s="1"/>
      <c r="H1077" s="1"/>
      <c r="I1077" s="121"/>
      <c r="J1077" s="121"/>
      <c r="K1077" s="22">
        <v>476.5</v>
      </c>
      <c r="L1077" s="6">
        <v>490</v>
      </c>
      <c r="M1077" s="125">
        <f t="shared" si="17"/>
        <v>13.5</v>
      </c>
      <c r="N1077" s="7"/>
      <c r="O1077" s="132"/>
      <c r="P1077" s="175"/>
      <c r="V1077" s="207"/>
    </row>
    <row r="1078" spans="1:22" ht="15" customHeight="1">
      <c r="A1078" s="3">
        <v>37356</v>
      </c>
      <c r="B1078" s="9">
        <v>58950</v>
      </c>
      <c r="C1078" s="5">
        <v>48050</v>
      </c>
      <c r="D1078" s="5" t="e">
        <f>E1078-(#REF!+C1078)</f>
        <v>#REF!</v>
      </c>
      <c r="E1078" s="1">
        <v>130550</v>
      </c>
      <c r="F1078" s="403"/>
      <c r="G1078" s="1"/>
      <c r="H1078" s="1"/>
      <c r="I1078" s="121"/>
      <c r="J1078" s="121"/>
      <c r="K1078" s="22">
        <v>476</v>
      </c>
      <c r="L1078" s="6">
        <v>489</v>
      </c>
      <c r="M1078" s="125">
        <f t="shared" si="17"/>
        <v>13</v>
      </c>
      <c r="N1078" s="7"/>
      <c r="O1078" s="132"/>
      <c r="P1078" s="175"/>
      <c r="V1078" s="207"/>
    </row>
    <row r="1079" spans="1:22" ht="15" customHeight="1">
      <c r="A1079" s="3">
        <v>37357</v>
      </c>
      <c r="B1079" s="9">
        <v>59025</v>
      </c>
      <c r="C1079" s="5">
        <v>48050</v>
      </c>
      <c r="D1079" s="5" t="e">
        <f>E1079-(#REF!+C1079)</f>
        <v>#REF!</v>
      </c>
      <c r="E1079" s="1">
        <v>130600</v>
      </c>
      <c r="F1079" s="403"/>
      <c r="G1079" s="1"/>
      <c r="H1079" s="1"/>
      <c r="I1079" s="121"/>
      <c r="J1079" s="121"/>
      <c r="K1079" s="22">
        <v>478</v>
      </c>
      <c r="L1079" s="6">
        <v>490</v>
      </c>
      <c r="M1079" s="125">
        <f t="shared" ref="M1079:M1142" si="18">L1079-K1079</f>
        <v>12</v>
      </c>
      <c r="N1079" s="7"/>
      <c r="O1079" s="132"/>
      <c r="P1079" s="175"/>
      <c r="V1079" s="207"/>
    </row>
    <row r="1080" spans="1:22" ht="15" customHeight="1">
      <c r="A1080" s="3">
        <v>37358</v>
      </c>
      <c r="B1080" s="9">
        <v>57700</v>
      </c>
      <c r="C1080" s="5">
        <v>48100</v>
      </c>
      <c r="D1080" s="5" t="e">
        <f>E1080-(#REF!+C1080)</f>
        <v>#REF!</v>
      </c>
      <c r="E1080" s="1">
        <v>129200</v>
      </c>
      <c r="F1080" s="403"/>
      <c r="G1080" s="1"/>
      <c r="H1080" s="1"/>
      <c r="I1080" s="121"/>
      <c r="J1080" s="121"/>
      <c r="K1080" s="22">
        <v>477</v>
      </c>
      <c r="L1080" s="6">
        <v>489</v>
      </c>
      <c r="M1080" s="125">
        <f t="shared" si="18"/>
        <v>12</v>
      </c>
      <c r="N1080" s="7"/>
      <c r="O1080" s="132"/>
      <c r="P1080" s="175"/>
      <c r="V1080" s="207"/>
    </row>
    <row r="1081" spans="1:22" ht="15" customHeight="1">
      <c r="A1081" s="3">
        <v>37361</v>
      </c>
      <c r="B1081" s="9">
        <v>65600</v>
      </c>
      <c r="C1081" s="5">
        <v>48100</v>
      </c>
      <c r="D1081" s="5" t="e">
        <f>E1081-(#REF!+C1081)</f>
        <v>#REF!</v>
      </c>
      <c r="E1081" s="1">
        <v>137100</v>
      </c>
      <c r="F1081" s="403"/>
      <c r="G1081" s="1"/>
      <c r="H1081" s="1"/>
      <c r="I1081" s="121"/>
      <c r="J1081" s="121"/>
      <c r="K1081" s="22">
        <v>468.5</v>
      </c>
      <c r="L1081" s="6">
        <v>481</v>
      </c>
      <c r="M1081" s="125">
        <f t="shared" si="18"/>
        <v>12.5</v>
      </c>
      <c r="N1081" s="7"/>
      <c r="O1081" s="132"/>
      <c r="P1081" s="175"/>
      <c r="V1081" s="207"/>
    </row>
    <row r="1082" spans="1:22" ht="15" customHeight="1">
      <c r="A1082" s="3">
        <v>37362</v>
      </c>
      <c r="B1082" s="9">
        <v>69450</v>
      </c>
      <c r="C1082" s="5">
        <v>48350</v>
      </c>
      <c r="D1082" s="5" t="e">
        <f>E1082-(#REF!+C1082)</f>
        <v>#REF!</v>
      </c>
      <c r="E1082" s="1">
        <v>141150</v>
      </c>
      <c r="F1082" s="403"/>
      <c r="G1082" s="1"/>
      <c r="H1082" s="1"/>
      <c r="I1082" s="121"/>
      <c r="J1082" s="121"/>
      <c r="K1082" s="22">
        <v>469</v>
      </c>
      <c r="L1082" s="6">
        <v>482</v>
      </c>
      <c r="M1082" s="125">
        <f t="shared" si="18"/>
        <v>13</v>
      </c>
      <c r="N1082" s="7"/>
      <c r="O1082" s="132"/>
      <c r="P1082" s="175"/>
      <c r="V1082" s="207"/>
    </row>
    <row r="1083" spans="1:22" ht="15" customHeight="1">
      <c r="A1083" s="3">
        <v>37363</v>
      </c>
      <c r="B1083" s="9">
        <v>69300</v>
      </c>
      <c r="C1083" s="5">
        <v>48575</v>
      </c>
      <c r="D1083" s="5" t="e">
        <f>E1083-(#REF!+C1083)</f>
        <v>#REF!</v>
      </c>
      <c r="E1083" s="1">
        <v>141200</v>
      </c>
      <c r="F1083" s="403"/>
      <c r="G1083" s="1"/>
      <c r="H1083" s="1"/>
      <c r="I1083" s="121"/>
      <c r="J1083" s="121"/>
      <c r="K1083" s="22">
        <v>471</v>
      </c>
      <c r="L1083" s="6">
        <v>484</v>
      </c>
      <c r="M1083" s="125">
        <f t="shared" si="18"/>
        <v>13</v>
      </c>
      <c r="N1083" s="7"/>
      <c r="O1083" s="132"/>
      <c r="P1083" s="175"/>
      <c r="V1083" s="207"/>
    </row>
    <row r="1084" spans="1:22" ht="15" customHeight="1">
      <c r="A1084" s="3">
        <v>37364</v>
      </c>
      <c r="B1084" s="9">
        <v>67475</v>
      </c>
      <c r="C1084" s="5">
        <v>48775</v>
      </c>
      <c r="D1084" s="5" t="e">
        <f>E1084-(#REF!+C1084)</f>
        <v>#REF!</v>
      </c>
      <c r="E1084" s="1">
        <v>139500</v>
      </c>
      <c r="F1084" s="403"/>
      <c r="G1084" s="1"/>
      <c r="H1084" s="1"/>
      <c r="I1084" s="121"/>
      <c r="J1084" s="121"/>
      <c r="K1084" s="22">
        <v>475</v>
      </c>
      <c r="L1084" s="6">
        <v>486</v>
      </c>
      <c r="M1084" s="125">
        <f t="shared" si="18"/>
        <v>11</v>
      </c>
      <c r="N1084" s="7"/>
      <c r="O1084" s="132"/>
      <c r="P1084" s="175"/>
      <c r="V1084" s="207"/>
    </row>
    <row r="1085" spans="1:22" ht="15" customHeight="1">
      <c r="A1085" s="3">
        <v>37365</v>
      </c>
      <c r="B1085" s="9">
        <v>68500</v>
      </c>
      <c r="C1085" s="5">
        <v>49425</v>
      </c>
      <c r="D1085" s="5" t="e">
        <f>E1085-(#REF!+C1085)</f>
        <v>#REF!</v>
      </c>
      <c r="E1085" s="1">
        <v>141125</v>
      </c>
      <c r="F1085" s="403"/>
      <c r="G1085" s="1"/>
      <c r="H1085" s="1"/>
      <c r="I1085" s="121"/>
      <c r="J1085" s="121"/>
      <c r="K1085" s="22">
        <v>467.5</v>
      </c>
      <c r="L1085" s="6">
        <v>481.5</v>
      </c>
      <c r="M1085" s="125">
        <f t="shared" si="18"/>
        <v>14</v>
      </c>
      <c r="N1085" s="7"/>
      <c r="O1085" s="132"/>
      <c r="P1085" s="175"/>
      <c r="V1085" s="207"/>
    </row>
    <row r="1086" spans="1:22" ht="15" customHeight="1">
      <c r="A1086" s="3">
        <v>37368</v>
      </c>
      <c r="B1086" s="9">
        <v>68450</v>
      </c>
      <c r="C1086" s="5">
        <v>50900</v>
      </c>
      <c r="D1086" s="5" t="e">
        <f>E1086-(#REF!+C1086)</f>
        <v>#REF!</v>
      </c>
      <c r="E1086" s="1">
        <v>142475</v>
      </c>
      <c r="F1086" s="403"/>
      <c r="G1086" s="1"/>
      <c r="H1086" s="1"/>
      <c r="I1086" s="121"/>
      <c r="J1086" s="121"/>
      <c r="K1086" s="22">
        <v>475</v>
      </c>
      <c r="L1086" s="6">
        <v>486</v>
      </c>
      <c r="M1086" s="125">
        <f t="shared" si="18"/>
        <v>11</v>
      </c>
      <c r="N1086" s="7"/>
      <c r="O1086" s="132"/>
      <c r="P1086" s="175"/>
      <c r="V1086" s="207"/>
    </row>
    <row r="1087" spans="1:22" ht="15" customHeight="1">
      <c r="A1087" s="3">
        <v>37369</v>
      </c>
      <c r="B1087" s="9">
        <v>67600</v>
      </c>
      <c r="C1087" s="5">
        <v>51175</v>
      </c>
      <c r="D1087" s="5" t="e">
        <f>E1087-(#REF!+C1087)</f>
        <v>#REF!</v>
      </c>
      <c r="E1087" s="1">
        <v>141900</v>
      </c>
      <c r="F1087" s="403"/>
      <c r="G1087" s="1"/>
      <c r="H1087" s="1"/>
      <c r="I1087" s="121"/>
      <c r="J1087" s="121"/>
      <c r="K1087" s="22">
        <v>474</v>
      </c>
      <c r="L1087" s="6">
        <v>484</v>
      </c>
      <c r="M1087" s="125">
        <f t="shared" si="18"/>
        <v>10</v>
      </c>
      <c r="N1087" s="7"/>
      <c r="O1087" s="132"/>
      <c r="P1087" s="175"/>
      <c r="V1087" s="207"/>
    </row>
    <row r="1088" spans="1:22" ht="15" customHeight="1">
      <c r="A1088" s="3">
        <v>37370</v>
      </c>
      <c r="B1088" s="9">
        <v>67550</v>
      </c>
      <c r="C1088" s="5">
        <v>52100</v>
      </c>
      <c r="D1088" s="5" t="e">
        <f>E1088-(#REF!+C1088)</f>
        <v>#REF!</v>
      </c>
      <c r="E1088" s="1">
        <v>142750</v>
      </c>
      <c r="F1088" s="403"/>
      <c r="G1088" s="1"/>
      <c r="H1088" s="1"/>
      <c r="I1088" s="121"/>
      <c r="J1088" s="121"/>
      <c r="K1088" s="22">
        <v>472</v>
      </c>
      <c r="L1088" s="6">
        <v>483</v>
      </c>
      <c r="M1088" s="125">
        <f t="shared" si="18"/>
        <v>11</v>
      </c>
      <c r="N1088" s="7"/>
      <c r="O1088" s="132"/>
      <c r="P1088" s="175"/>
      <c r="V1088" s="207"/>
    </row>
    <row r="1089" spans="1:22" ht="15" customHeight="1">
      <c r="A1089" s="3">
        <v>37371</v>
      </c>
      <c r="B1089" s="9">
        <v>70000</v>
      </c>
      <c r="C1089" s="5">
        <v>52475</v>
      </c>
      <c r="D1089" s="5" t="e">
        <f>E1089-(#REF!+C1089)</f>
        <v>#REF!</v>
      </c>
      <c r="E1089" s="1">
        <v>145525</v>
      </c>
      <c r="F1089" s="403"/>
      <c r="G1089" s="1"/>
      <c r="H1089" s="1"/>
      <c r="I1089" s="121"/>
      <c r="J1089" s="121"/>
      <c r="K1089" s="22">
        <v>469.5</v>
      </c>
      <c r="L1089" s="6">
        <v>481</v>
      </c>
      <c r="M1089" s="125">
        <f t="shared" si="18"/>
        <v>11.5</v>
      </c>
      <c r="N1089" s="7"/>
      <c r="O1089" s="132"/>
      <c r="P1089" s="175"/>
      <c r="V1089" s="207"/>
    </row>
    <row r="1090" spans="1:22" ht="15" customHeight="1">
      <c r="A1090" s="3">
        <v>37372</v>
      </c>
      <c r="B1090" s="9">
        <v>71500</v>
      </c>
      <c r="C1090" s="5">
        <v>52925</v>
      </c>
      <c r="D1090" s="5" t="e">
        <f>E1090-(#REF!+C1090)</f>
        <v>#REF!</v>
      </c>
      <c r="E1090" s="5">
        <v>147475</v>
      </c>
      <c r="K1090" s="22">
        <v>467</v>
      </c>
      <c r="L1090" s="6">
        <v>476.5</v>
      </c>
      <c r="M1090" s="125">
        <f t="shared" si="18"/>
        <v>9.5</v>
      </c>
      <c r="N1090" s="7"/>
      <c r="O1090" s="132"/>
      <c r="P1090" s="175"/>
      <c r="V1090" s="207"/>
    </row>
    <row r="1091" spans="1:22" ht="15" customHeight="1">
      <c r="A1091" s="3">
        <v>37375</v>
      </c>
      <c r="B1091" s="9">
        <v>71300</v>
      </c>
      <c r="C1091" s="5">
        <v>53225</v>
      </c>
      <c r="D1091" s="5" t="e">
        <f>E1091-(#REF!+C1091)</f>
        <v>#REF!</v>
      </c>
      <c r="E1091" s="5">
        <v>147575</v>
      </c>
      <c r="K1091" s="22">
        <v>471</v>
      </c>
      <c r="L1091" s="6">
        <v>484</v>
      </c>
      <c r="M1091" s="125">
        <f t="shared" si="18"/>
        <v>13</v>
      </c>
      <c r="N1091" s="7"/>
      <c r="O1091" s="132"/>
      <c r="P1091" s="175"/>
      <c r="V1091" s="207"/>
    </row>
    <row r="1092" spans="1:22" ht="15" customHeight="1">
      <c r="A1092" s="3">
        <v>37376</v>
      </c>
      <c r="B1092" s="9">
        <v>71250</v>
      </c>
      <c r="C1092" s="5">
        <v>54725</v>
      </c>
      <c r="D1092" s="5" t="e">
        <f>E1092-(#REF!+C1092)</f>
        <v>#REF!</v>
      </c>
      <c r="E1092" s="5">
        <v>149025</v>
      </c>
      <c r="K1092" s="22">
        <v>463.5</v>
      </c>
      <c r="L1092" s="6">
        <v>476</v>
      </c>
      <c r="M1092" s="125">
        <f t="shared" si="18"/>
        <v>12.5</v>
      </c>
      <c r="N1092" s="7"/>
      <c r="O1092" s="132"/>
      <c r="P1092" s="175"/>
      <c r="V1092" s="207"/>
    </row>
    <row r="1093" spans="1:22" ht="15" customHeight="1">
      <c r="A1093" s="3">
        <v>37377</v>
      </c>
      <c r="B1093" s="9">
        <v>75225</v>
      </c>
      <c r="C1093" s="5">
        <v>55050</v>
      </c>
      <c r="D1093" s="5" t="e">
        <f>E1093-(#REF!+C1093)</f>
        <v>#REF!</v>
      </c>
      <c r="E1093" s="5">
        <v>153325</v>
      </c>
      <c r="K1093" s="22">
        <v>460</v>
      </c>
      <c r="L1093" s="6">
        <v>472</v>
      </c>
      <c r="M1093" s="125">
        <f t="shared" si="18"/>
        <v>12</v>
      </c>
      <c r="N1093" s="7"/>
      <c r="O1093" s="132"/>
      <c r="P1093" s="175"/>
      <c r="V1093" s="207"/>
    </row>
    <row r="1094" spans="1:22" ht="15" customHeight="1">
      <c r="A1094" s="3">
        <v>37378</v>
      </c>
      <c r="B1094" s="9">
        <v>75225</v>
      </c>
      <c r="C1094" s="5">
        <v>57425</v>
      </c>
      <c r="D1094" s="5" t="e">
        <f>E1094-(#REF!+C1094)</f>
        <v>#REF!</v>
      </c>
      <c r="E1094" s="5">
        <v>155700</v>
      </c>
      <c r="K1094" s="22">
        <v>462</v>
      </c>
      <c r="L1094" s="6">
        <v>473.5</v>
      </c>
      <c r="M1094" s="125">
        <f t="shared" si="18"/>
        <v>11.5</v>
      </c>
      <c r="N1094" s="7"/>
      <c r="O1094" s="132"/>
      <c r="P1094" s="175"/>
      <c r="V1094" s="207"/>
    </row>
    <row r="1095" spans="1:22" ht="15" customHeight="1">
      <c r="A1095" s="3">
        <v>37381</v>
      </c>
      <c r="B1095" s="9">
        <v>75450</v>
      </c>
      <c r="C1095" s="5">
        <v>58025</v>
      </c>
      <c r="D1095" s="5" t="e">
        <f>E1095-(#REF!+C1095)</f>
        <v>#REF!</v>
      </c>
      <c r="E1095" s="5">
        <v>158125</v>
      </c>
      <c r="K1095" s="22">
        <v>458</v>
      </c>
      <c r="L1095" s="6">
        <v>469</v>
      </c>
      <c r="M1095" s="125">
        <f t="shared" si="18"/>
        <v>11</v>
      </c>
      <c r="N1095" s="7"/>
      <c r="O1095" s="132"/>
      <c r="P1095" s="175"/>
      <c r="V1095" s="207"/>
    </row>
    <row r="1096" spans="1:22" ht="15" customHeight="1">
      <c r="A1096" s="3">
        <v>37383</v>
      </c>
      <c r="B1096" s="9">
        <v>75175</v>
      </c>
      <c r="C1096" s="5">
        <v>58025</v>
      </c>
      <c r="D1096" s="5" t="e">
        <f>E1096-(#REF!+C1096)</f>
        <v>#REF!</v>
      </c>
      <c r="E1096" s="5">
        <v>163600</v>
      </c>
      <c r="K1096" s="22">
        <v>458</v>
      </c>
      <c r="L1096" s="6">
        <v>469</v>
      </c>
      <c r="M1096" s="125">
        <f t="shared" si="18"/>
        <v>11</v>
      </c>
      <c r="N1096" s="7"/>
      <c r="O1096" s="132"/>
      <c r="P1096" s="175"/>
      <c r="V1096" s="207"/>
    </row>
    <row r="1097" spans="1:22" ht="15" customHeight="1">
      <c r="A1097" s="3">
        <v>37384</v>
      </c>
      <c r="B1097" s="9">
        <v>76075</v>
      </c>
      <c r="C1097" s="5">
        <v>59200</v>
      </c>
      <c r="D1097" s="5" t="e">
        <f>E1097-(#REF!+C1097)</f>
        <v>#REF!</v>
      </c>
      <c r="E1097" s="5">
        <v>165625</v>
      </c>
      <c r="K1097" s="22">
        <v>464</v>
      </c>
      <c r="L1097" s="6">
        <v>474</v>
      </c>
      <c r="M1097" s="125">
        <f t="shared" si="18"/>
        <v>10</v>
      </c>
      <c r="N1097" s="7"/>
      <c r="O1097" s="132"/>
      <c r="P1097" s="175"/>
      <c r="V1097" s="207"/>
    </row>
    <row r="1098" spans="1:22" ht="15" customHeight="1">
      <c r="A1098" s="3">
        <v>37385</v>
      </c>
      <c r="B1098" s="9">
        <v>75325</v>
      </c>
      <c r="C1098" s="5">
        <v>59200</v>
      </c>
      <c r="D1098" s="5" t="e">
        <f>E1098-(#REF!+C1098)</f>
        <v>#REF!</v>
      </c>
      <c r="E1098" s="5">
        <v>164825</v>
      </c>
      <c r="K1098" s="22">
        <v>459</v>
      </c>
      <c r="L1098" s="6">
        <v>470</v>
      </c>
      <c r="M1098" s="125">
        <f t="shared" si="18"/>
        <v>11</v>
      </c>
      <c r="N1098" s="7"/>
      <c r="O1098" s="132"/>
      <c r="P1098" s="175"/>
      <c r="V1098" s="207"/>
    </row>
    <row r="1099" spans="1:22" ht="15" customHeight="1">
      <c r="A1099" s="3">
        <v>37388</v>
      </c>
      <c r="B1099" s="9">
        <v>75100</v>
      </c>
      <c r="C1099" s="5">
        <v>59325</v>
      </c>
      <c r="D1099" s="5" t="e">
        <f>E1099-(#REF!+C1099)</f>
        <v>#REF!</v>
      </c>
      <c r="E1099" s="5">
        <v>164725</v>
      </c>
      <c r="K1099" s="22">
        <v>462</v>
      </c>
      <c r="L1099" s="6">
        <v>472</v>
      </c>
      <c r="M1099" s="125">
        <f t="shared" si="18"/>
        <v>10</v>
      </c>
      <c r="N1099" s="7"/>
      <c r="O1099" s="132"/>
      <c r="P1099" s="175"/>
      <c r="V1099" s="207"/>
    </row>
    <row r="1100" spans="1:22" ht="15" customHeight="1">
      <c r="A1100" s="3">
        <v>37389</v>
      </c>
      <c r="B1100" s="9">
        <v>75975</v>
      </c>
      <c r="C1100" s="5">
        <v>59325</v>
      </c>
      <c r="D1100" s="5" t="e">
        <f>E1100-(#REF!+C1100)</f>
        <v>#REF!</v>
      </c>
      <c r="E1100" s="5">
        <v>165550</v>
      </c>
      <c r="K1100" s="22">
        <v>454</v>
      </c>
      <c r="L1100" s="6">
        <v>465</v>
      </c>
      <c r="M1100" s="125">
        <f t="shared" si="18"/>
        <v>11</v>
      </c>
      <c r="N1100" s="7"/>
      <c r="O1100" s="132"/>
      <c r="P1100" s="175"/>
      <c r="V1100" s="207"/>
    </row>
    <row r="1101" spans="1:22" ht="15" customHeight="1">
      <c r="A1101" s="3">
        <v>37390</v>
      </c>
      <c r="B1101" s="9">
        <v>76150</v>
      </c>
      <c r="C1101" s="5">
        <v>59450</v>
      </c>
      <c r="D1101" s="5" t="e">
        <f>E1101-(#REF!+C1101)</f>
        <v>#REF!</v>
      </c>
      <c r="E1101" s="5">
        <v>165775</v>
      </c>
      <c r="K1101" s="22">
        <v>451</v>
      </c>
      <c r="L1101" s="6">
        <v>462</v>
      </c>
      <c r="M1101" s="125">
        <f t="shared" si="18"/>
        <v>11</v>
      </c>
      <c r="N1101" s="7"/>
      <c r="O1101" s="132"/>
      <c r="P1101" s="175"/>
      <c r="V1101" s="207"/>
    </row>
    <row r="1102" spans="1:22" ht="15" customHeight="1">
      <c r="A1102" s="3">
        <v>37391</v>
      </c>
      <c r="B1102" s="9">
        <v>75000</v>
      </c>
      <c r="C1102" s="5">
        <v>60250</v>
      </c>
      <c r="D1102" s="5" t="e">
        <f>E1102-(#REF!+C1102)</f>
        <v>#REF!</v>
      </c>
      <c r="E1102" s="5">
        <v>165825</v>
      </c>
      <c r="K1102" s="22">
        <v>445.5</v>
      </c>
      <c r="L1102" s="6">
        <v>455.5</v>
      </c>
      <c r="M1102" s="125">
        <f t="shared" si="18"/>
        <v>10</v>
      </c>
      <c r="N1102" s="7"/>
      <c r="O1102" s="132"/>
      <c r="P1102" s="175"/>
      <c r="V1102" s="207"/>
    </row>
    <row r="1103" spans="1:22" ht="15" customHeight="1">
      <c r="A1103" s="3">
        <v>37392</v>
      </c>
      <c r="B1103" s="9">
        <v>75000</v>
      </c>
      <c r="C1103" s="5">
        <v>60375</v>
      </c>
      <c r="D1103" s="5" t="e">
        <f>E1103-(#REF!+C1103)</f>
        <v>#REF!</v>
      </c>
      <c r="E1103" s="5">
        <v>168800</v>
      </c>
      <c r="K1103" s="22">
        <v>444.5</v>
      </c>
      <c r="L1103" s="6">
        <v>457</v>
      </c>
      <c r="M1103" s="125">
        <f t="shared" si="18"/>
        <v>12.5</v>
      </c>
      <c r="N1103" s="7"/>
      <c r="O1103" s="132"/>
      <c r="P1103" s="175"/>
      <c r="V1103" s="207"/>
    </row>
    <row r="1104" spans="1:22" ht="15" customHeight="1">
      <c r="A1104" s="3">
        <v>37393</v>
      </c>
      <c r="B1104" s="9">
        <v>74525</v>
      </c>
      <c r="C1104" s="5">
        <v>60375</v>
      </c>
      <c r="D1104" s="5" t="e">
        <f>E1104-(#REF!+C1104)</f>
        <v>#REF!</v>
      </c>
      <c r="E1104" s="5">
        <v>168325</v>
      </c>
      <c r="K1104" s="22">
        <v>448</v>
      </c>
      <c r="L1104" s="6">
        <v>460</v>
      </c>
      <c r="M1104" s="125">
        <f t="shared" si="18"/>
        <v>12</v>
      </c>
      <c r="N1104" s="7"/>
      <c r="O1104" s="132"/>
      <c r="P1104" s="175"/>
      <c r="V1104" s="207"/>
    </row>
    <row r="1105" spans="1:22" ht="15" customHeight="1">
      <c r="A1105" s="3">
        <v>37396</v>
      </c>
      <c r="B1105" s="9">
        <v>74425</v>
      </c>
      <c r="C1105" s="5">
        <v>61423</v>
      </c>
      <c r="D1105" s="5" t="e">
        <f>E1105-(#REF!+C1105)</f>
        <v>#REF!</v>
      </c>
      <c r="E1105" s="5">
        <v>172600</v>
      </c>
      <c r="K1105" s="22">
        <v>446</v>
      </c>
      <c r="L1105" s="6">
        <v>458</v>
      </c>
      <c r="M1105" s="125">
        <f t="shared" si="18"/>
        <v>12</v>
      </c>
      <c r="N1105" s="7"/>
      <c r="O1105" s="132"/>
      <c r="P1105" s="175"/>
      <c r="V1105" s="207"/>
    </row>
    <row r="1106" spans="1:22" ht="15" customHeight="1">
      <c r="A1106" s="3">
        <v>37397</v>
      </c>
      <c r="B1106" s="9">
        <v>74500</v>
      </c>
      <c r="C1106" s="5">
        <v>61500</v>
      </c>
      <c r="D1106" s="5" t="e">
        <f>E1106-(#REF!+C1106)</f>
        <v>#REF!</v>
      </c>
      <c r="E1106" s="5">
        <v>172750</v>
      </c>
      <c r="K1106" s="22">
        <v>448.5</v>
      </c>
      <c r="L1106" s="6">
        <v>460.5</v>
      </c>
      <c r="M1106" s="125">
        <f t="shared" si="18"/>
        <v>12</v>
      </c>
      <c r="N1106" s="7"/>
      <c r="O1106" s="132"/>
      <c r="P1106" s="175"/>
      <c r="V1106" s="207"/>
    </row>
    <row r="1107" spans="1:22" ht="15" customHeight="1">
      <c r="A1107" s="3">
        <v>37398</v>
      </c>
      <c r="B1107" s="9">
        <v>74200</v>
      </c>
      <c r="C1107" s="5">
        <v>61500</v>
      </c>
      <c r="D1107" s="5" t="e">
        <f>E1107-(#REF!+C1107)</f>
        <v>#REF!</v>
      </c>
      <c r="E1107" s="5">
        <v>172325</v>
      </c>
      <c r="K1107" s="22">
        <v>451</v>
      </c>
      <c r="L1107" s="6">
        <v>462.5</v>
      </c>
      <c r="M1107" s="125">
        <f t="shared" si="18"/>
        <v>11.5</v>
      </c>
      <c r="N1107" s="7"/>
      <c r="O1107" s="132"/>
      <c r="P1107" s="175"/>
      <c r="V1107" s="207"/>
    </row>
    <row r="1108" spans="1:22" ht="15" customHeight="1">
      <c r="A1108" s="3">
        <v>37399</v>
      </c>
      <c r="B1108" s="9">
        <v>73600</v>
      </c>
      <c r="C1108" s="5">
        <v>62700</v>
      </c>
      <c r="D1108" s="5" t="e">
        <f>E1108-(#REF!+C1108)</f>
        <v>#REF!</v>
      </c>
      <c r="E1108" s="5">
        <v>175250</v>
      </c>
      <c r="K1108" s="22">
        <v>447.5</v>
      </c>
      <c r="L1108" s="6">
        <v>459.5</v>
      </c>
      <c r="M1108" s="125">
        <f t="shared" si="18"/>
        <v>12</v>
      </c>
      <c r="N1108" s="7"/>
      <c r="O1108" s="132"/>
      <c r="P1108" s="175"/>
      <c r="V1108" s="207"/>
    </row>
    <row r="1109" spans="1:22" ht="15" customHeight="1">
      <c r="A1109" s="3">
        <v>37402</v>
      </c>
      <c r="B1109" s="9">
        <v>73500</v>
      </c>
      <c r="C1109" s="5">
        <v>62700</v>
      </c>
      <c r="D1109" s="5" t="e">
        <f>E1109-(#REF!+C1109)</f>
        <v>#REF!</v>
      </c>
      <c r="E1109" s="5">
        <v>175125</v>
      </c>
      <c r="K1109" s="22">
        <v>451</v>
      </c>
      <c r="L1109" s="6">
        <v>465</v>
      </c>
      <c r="M1109" s="125">
        <f t="shared" si="18"/>
        <v>14</v>
      </c>
      <c r="N1109" s="7"/>
      <c r="O1109" s="132"/>
      <c r="P1109" s="175"/>
      <c r="V1109" s="207"/>
    </row>
    <row r="1110" spans="1:22" ht="15" customHeight="1">
      <c r="A1110" s="3">
        <v>37403</v>
      </c>
      <c r="B1110" s="9">
        <v>73400</v>
      </c>
      <c r="C1110" s="5">
        <v>63675</v>
      </c>
      <c r="D1110" s="5" t="e">
        <f>E1110-(#REF!+C1110)</f>
        <v>#REF!</v>
      </c>
      <c r="E1110" s="5">
        <v>175975</v>
      </c>
      <c r="K1110" s="22">
        <v>442</v>
      </c>
      <c r="L1110" s="6">
        <v>455.5</v>
      </c>
      <c r="M1110" s="125">
        <f t="shared" si="18"/>
        <v>13.5</v>
      </c>
      <c r="N1110" s="7"/>
      <c r="O1110" s="132"/>
      <c r="P1110" s="175"/>
      <c r="V1110" s="207"/>
    </row>
    <row r="1111" spans="1:22" ht="15" customHeight="1">
      <c r="A1111" s="3">
        <v>37404</v>
      </c>
      <c r="B1111" s="9">
        <v>73400</v>
      </c>
      <c r="C1111" s="5">
        <v>63725</v>
      </c>
      <c r="D1111" s="5" t="e">
        <f>E1111-(#REF!+C1111)</f>
        <v>#REF!</v>
      </c>
      <c r="E1111" s="5">
        <v>175975</v>
      </c>
      <c r="K1111" s="22">
        <v>445</v>
      </c>
      <c r="L1111" s="6">
        <v>457</v>
      </c>
      <c r="M1111" s="125">
        <f t="shared" si="18"/>
        <v>12</v>
      </c>
      <c r="N1111" s="7"/>
      <c r="O1111" s="132"/>
      <c r="P1111" s="175"/>
      <c r="V1111" s="207"/>
    </row>
    <row r="1112" spans="1:22" ht="15" customHeight="1">
      <c r="A1112" s="3">
        <v>37405</v>
      </c>
      <c r="B1112" s="9">
        <v>73400</v>
      </c>
      <c r="C1112" s="5">
        <v>63725</v>
      </c>
      <c r="D1112" s="5" t="e">
        <f>E1112-(#REF!+C1112)</f>
        <v>#REF!</v>
      </c>
      <c r="E1112" s="5">
        <v>175925</v>
      </c>
      <c r="K1112" s="22">
        <v>453</v>
      </c>
      <c r="L1112" s="6">
        <v>464</v>
      </c>
      <c r="M1112" s="125">
        <f t="shared" si="18"/>
        <v>11</v>
      </c>
      <c r="N1112" s="7"/>
      <c r="O1112" s="132"/>
      <c r="P1112" s="175"/>
      <c r="V1112" s="207"/>
    </row>
    <row r="1113" spans="1:22" ht="15" customHeight="1">
      <c r="A1113" s="3">
        <v>37406</v>
      </c>
      <c r="B1113" s="9">
        <v>73200</v>
      </c>
      <c r="C1113" s="5">
        <v>63650</v>
      </c>
      <c r="D1113" s="5" t="e">
        <f>E1113-(#REF!+C1113)</f>
        <v>#REF!</v>
      </c>
      <c r="E1113" s="5">
        <v>175625</v>
      </c>
      <c r="K1113" s="22">
        <v>447</v>
      </c>
      <c r="L1113" s="6">
        <v>460.5</v>
      </c>
      <c r="M1113" s="125">
        <f t="shared" si="18"/>
        <v>13.5</v>
      </c>
      <c r="N1113" s="7"/>
      <c r="O1113" s="132"/>
      <c r="P1113" s="175"/>
      <c r="V1113" s="207"/>
    </row>
    <row r="1114" spans="1:22" ht="15" customHeight="1">
      <c r="A1114" s="3">
        <v>37407</v>
      </c>
      <c r="B1114" s="9">
        <v>72750</v>
      </c>
      <c r="C1114" s="5">
        <v>63575</v>
      </c>
      <c r="D1114" s="5" t="e">
        <f>E1114-(#REF!+C1114)</f>
        <v>#REF!</v>
      </c>
      <c r="E1114" s="5">
        <v>175100</v>
      </c>
      <c r="K1114" s="22">
        <v>444.5</v>
      </c>
      <c r="L1114" s="6">
        <v>458.5</v>
      </c>
      <c r="M1114" s="125">
        <f t="shared" si="18"/>
        <v>14</v>
      </c>
      <c r="N1114" s="7"/>
      <c r="O1114" s="132"/>
      <c r="P1114" s="175"/>
      <c r="V1114" s="207"/>
    </row>
    <row r="1115" spans="1:22" ht="15" customHeight="1">
      <c r="A1115" s="3">
        <v>37412</v>
      </c>
      <c r="B1115" s="9">
        <v>72375</v>
      </c>
      <c r="C1115" s="5">
        <v>63575</v>
      </c>
      <c r="D1115" s="5" t="e">
        <f>E1115-(#REF!+C1115)</f>
        <v>#REF!</v>
      </c>
      <c r="E1115" s="5">
        <v>174700</v>
      </c>
      <c r="K1115" s="22">
        <v>440</v>
      </c>
      <c r="L1115" s="6">
        <v>452.5</v>
      </c>
      <c r="M1115" s="125">
        <f t="shared" si="18"/>
        <v>12.5</v>
      </c>
      <c r="N1115" s="7"/>
      <c r="O1115" s="132"/>
      <c r="P1115" s="175"/>
      <c r="V1115" s="207"/>
    </row>
    <row r="1116" spans="1:22" ht="15" customHeight="1">
      <c r="A1116" s="3">
        <v>37413</v>
      </c>
      <c r="B1116" s="9">
        <v>70525</v>
      </c>
      <c r="C1116" s="5">
        <v>65250</v>
      </c>
      <c r="D1116" s="5" t="e">
        <f>E1116-(#REF!+C1116)</f>
        <v>#REF!</v>
      </c>
      <c r="E1116" s="5">
        <v>174300</v>
      </c>
      <c r="K1116" s="22">
        <v>446</v>
      </c>
      <c r="L1116" s="6">
        <v>457.5</v>
      </c>
      <c r="M1116" s="125">
        <f t="shared" si="18"/>
        <v>11.5</v>
      </c>
      <c r="N1116" s="7"/>
      <c r="O1116" s="132"/>
      <c r="P1116" s="175"/>
      <c r="V1116" s="207"/>
    </row>
    <row r="1117" spans="1:22" ht="15" customHeight="1">
      <c r="A1117" s="3">
        <v>37417</v>
      </c>
      <c r="B1117" s="9">
        <v>71275</v>
      </c>
      <c r="C1117" s="5">
        <v>66250</v>
      </c>
      <c r="D1117" s="5" t="e">
        <f>E1117-(#REF!+C1117)</f>
        <v>#REF!</v>
      </c>
      <c r="E1117" s="5">
        <v>175975</v>
      </c>
      <c r="K1117" s="22">
        <v>442.5</v>
      </c>
      <c r="L1117" s="6">
        <v>456</v>
      </c>
      <c r="M1117" s="125">
        <f t="shared" si="18"/>
        <v>13.5</v>
      </c>
      <c r="N1117" s="7"/>
      <c r="O1117" s="132"/>
      <c r="P1117" s="175"/>
      <c r="V1117" s="207"/>
    </row>
    <row r="1118" spans="1:22" ht="15" customHeight="1">
      <c r="A1118" s="3">
        <v>37418</v>
      </c>
      <c r="B1118" s="9">
        <v>71725</v>
      </c>
      <c r="C1118" s="5">
        <v>67700</v>
      </c>
      <c r="D1118" s="5" t="e">
        <f>E1118-(#REF!+C1118)</f>
        <v>#REF!</v>
      </c>
      <c r="E1118" s="5">
        <v>177850</v>
      </c>
      <c r="K1118" s="22">
        <v>441</v>
      </c>
      <c r="L1118" s="6">
        <v>452</v>
      </c>
      <c r="M1118" s="125">
        <f t="shared" si="18"/>
        <v>11</v>
      </c>
      <c r="N1118" s="7"/>
      <c r="O1118" s="132"/>
      <c r="P1118" s="175"/>
      <c r="V1118" s="207"/>
    </row>
    <row r="1119" spans="1:22" ht="15" customHeight="1">
      <c r="A1119" s="3">
        <v>37419</v>
      </c>
      <c r="B1119" s="9">
        <v>71675</v>
      </c>
      <c r="C1119" s="5">
        <v>68350</v>
      </c>
      <c r="D1119" s="5" t="e">
        <f>E1119-(#REF!+C1119)</f>
        <v>#REF!</v>
      </c>
      <c r="E1119" s="5">
        <v>178375</v>
      </c>
      <c r="K1119" s="22">
        <v>439.5</v>
      </c>
      <c r="L1119" s="6">
        <v>454</v>
      </c>
      <c r="M1119" s="125">
        <f t="shared" si="18"/>
        <v>14.5</v>
      </c>
      <c r="N1119" s="7"/>
      <c r="O1119" s="132"/>
      <c r="P1119" s="175"/>
      <c r="V1119" s="207"/>
    </row>
    <row r="1120" spans="1:22" ht="15" customHeight="1">
      <c r="A1120" s="3">
        <v>37420</v>
      </c>
      <c r="B1120" s="9">
        <v>71300</v>
      </c>
      <c r="C1120" s="5">
        <v>68850</v>
      </c>
      <c r="D1120" s="5" t="e">
        <f>E1120-(#REF!+C1120)</f>
        <v>#REF!</v>
      </c>
      <c r="E1120" s="5">
        <v>178500</v>
      </c>
      <c r="K1120" s="22">
        <v>441</v>
      </c>
      <c r="L1120" s="6">
        <v>452.5</v>
      </c>
      <c r="M1120" s="125">
        <f t="shared" si="18"/>
        <v>11.5</v>
      </c>
      <c r="N1120" s="7"/>
      <c r="O1120" s="132"/>
      <c r="P1120" s="175"/>
      <c r="V1120" s="207"/>
    </row>
    <row r="1121" spans="1:22" ht="15" customHeight="1">
      <c r="A1121" s="3">
        <v>37421</v>
      </c>
      <c r="B1121" s="9">
        <v>71575</v>
      </c>
      <c r="C1121" s="5">
        <v>69000</v>
      </c>
      <c r="D1121" s="5" t="e">
        <f>E1121-(#REF!+C1121)</f>
        <v>#REF!</v>
      </c>
      <c r="E1121" s="5">
        <v>179100</v>
      </c>
      <c r="K1121" s="22">
        <v>439</v>
      </c>
      <c r="L1121" s="6">
        <v>451</v>
      </c>
      <c r="M1121" s="125">
        <f t="shared" si="18"/>
        <v>12</v>
      </c>
      <c r="N1121" s="7"/>
      <c r="O1121" s="132"/>
      <c r="P1121" s="175"/>
      <c r="V1121" s="207"/>
    </row>
    <row r="1122" spans="1:22" ht="15" customHeight="1">
      <c r="A1122" s="3">
        <v>37424</v>
      </c>
      <c r="B1122" s="9">
        <v>70925</v>
      </c>
      <c r="C1122" s="5">
        <v>69000</v>
      </c>
      <c r="D1122" s="5" t="e">
        <f>E1122-(#REF!+C1122)</f>
        <v>#REF!</v>
      </c>
      <c r="E1122" s="5">
        <v>178425</v>
      </c>
      <c r="K1122" s="22">
        <v>440</v>
      </c>
      <c r="L1122" s="6">
        <v>451.5</v>
      </c>
      <c r="M1122" s="125">
        <f t="shared" si="18"/>
        <v>11.5</v>
      </c>
      <c r="N1122" s="7"/>
      <c r="O1122" s="132"/>
      <c r="P1122" s="175"/>
      <c r="V1122" s="207"/>
    </row>
    <row r="1123" spans="1:22" ht="15" customHeight="1">
      <c r="A1123" s="3">
        <v>37425</v>
      </c>
      <c r="B1123" s="9">
        <v>70375</v>
      </c>
      <c r="C1123" s="5">
        <v>69500</v>
      </c>
      <c r="D1123" s="5" t="e">
        <f>E1123-(#REF!+C1123)</f>
        <v>#REF!</v>
      </c>
      <c r="E1123" s="5">
        <v>178525</v>
      </c>
      <c r="K1123" s="22">
        <v>435.5</v>
      </c>
      <c r="L1123" s="6">
        <v>447.5</v>
      </c>
      <c r="M1123" s="125">
        <f t="shared" si="18"/>
        <v>12</v>
      </c>
      <c r="N1123" s="7"/>
      <c r="O1123" s="132"/>
      <c r="P1123" s="175"/>
      <c r="V1123" s="207"/>
    </row>
    <row r="1124" spans="1:22" ht="15" customHeight="1">
      <c r="A1124" s="3">
        <v>37426</v>
      </c>
      <c r="B1124" s="9">
        <v>69800</v>
      </c>
      <c r="C1124" s="5">
        <v>69625</v>
      </c>
      <c r="D1124" s="5" t="e">
        <f>E1124-(#REF!+C1124)</f>
        <v>#REF!</v>
      </c>
      <c r="E1124" s="5">
        <v>178300</v>
      </c>
      <c r="K1124" s="22">
        <v>435</v>
      </c>
      <c r="L1124" s="6">
        <v>447</v>
      </c>
      <c r="M1124" s="125">
        <f t="shared" si="18"/>
        <v>12</v>
      </c>
      <c r="N1124" s="7"/>
      <c r="O1124" s="132"/>
      <c r="P1124" s="175"/>
      <c r="V1124" s="207"/>
    </row>
    <row r="1125" spans="1:22" ht="15" customHeight="1">
      <c r="A1125" s="3">
        <v>37427</v>
      </c>
      <c r="B1125" s="9">
        <v>69775</v>
      </c>
      <c r="C1125" s="5">
        <v>69700</v>
      </c>
      <c r="D1125" s="5" t="e">
        <f>E1125-(#REF!+C1125)</f>
        <v>#REF!</v>
      </c>
      <c r="E1125" s="5">
        <v>178200</v>
      </c>
      <c r="K1125" s="22">
        <v>434</v>
      </c>
      <c r="L1125" s="6">
        <v>446.5</v>
      </c>
      <c r="M1125" s="125">
        <f t="shared" si="18"/>
        <v>12.5</v>
      </c>
      <c r="N1125" s="7"/>
      <c r="O1125" s="132"/>
      <c r="P1125" s="175"/>
      <c r="V1125" s="207"/>
    </row>
    <row r="1126" spans="1:22" ht="15" customHeight="1">
      <c r="A1126" s="3">
        <v>37428</v>
      </c>
      <c r="B1126" s="9">
        <v>69500</v>
      </c>
      <c r="C1126" s="5">
        <v>69875</v>
      </c>
      <c r="D1126" s="5" t="e">
        <f>E1126-(#REF!+C1126)</f>
        <v>#REF!</v>
      </c>
      <c r="E1126" s="5">
        <v>178250</v>
      </c>
      <c r="K1126" s="22">
        <v>440</v>
      </c>
      <c r="L1126" s="6">
        <v>450.5</v>
      </c>
      <c r="M1126" s="125">
        <f t="shared" si="18"/>
        <v>10.5</v>
      </c>
      <c r="N1126" s="7"/>
      <c r="O1126" s="132"/>
      <c r="P1126" s="175"/>
      <c r="V1126" s="207"/>
    </row>
    <row r="1127" spans="1:22" ht="15" customHeight="1">
      <c r="A1127" s="3">
        <v>37431</v>
      </c>
      <c r="B1127" s="9">
        <v>68525</v>
      </c>
      <c r="C1127" s="5">
        <v>70000</v>
      </c>
      <c r="D1127" s="5" t="e">
        <f>E1127-(#REF!+C1127)</f>
        <v>#REF!</v>
      </c>
      <c r="E1127" s="5">
        <v>177400</v>
      </c>
      <c r="K1127" s="22">
        <v>440</v>
      </c>
      <c r="L1127" s="6">
        <v>451.5</v>
      </c>
      <c r="M1127" s="125">
        <f t="shared" si="18"/>
        <v>11.5</v>
      </c>
      <c r="N1127" s="7"/>
      <c r="O1127" s="132"/>
      <c r="P1127" s="175"/>
      <c r="V1127" s="207"/>
    </row>
    <row r="1128" spans="1:22" ht="15" customHeight="1">
      <c r="A1128" s="3">
        <v>37432</v>
      </c>
      <c r="B1128" s="9">
        <v>68525</v>
      </c>
      <c r="C1128" s="5">
        <v>70000</v>
      </c>
      <c r="D1128" s="5" t="e">
        <f>E1128-(#REF!+C1128)</f>
        <v>#REF!</v>
      </c>
      <c r="E1128" s="5">
        <v>177401</v>
      </c>
      <c r="K1128" s="22">
        <v>440</v>
      </c>
      <c r="L1128" s="6">
        <v>451.5</v>
      </c>
      <c r="M1128" s="125">
        <f t="shared" si="18"/>
        <v>11.5</v>
      </c>
      <c r="N1128" s="7"/>
      <c r="O1128" s="132"/>
      <c r="P1128" s="175"/>
      <c r="V1128" s="207"/>
    </row>
    <row r="1129" spans="1:22" ht="15" customHeight="1">
      <c r="A1129" s="3">
        <v>37433</v>
      </c>
      <c r="B1129" s="9">
        <v>68925</v>
      </c>
      <c r="C1129" s="5">
        <v>70025</v>
      </c>
      <c r="D1129" s="5" t="e">
        <f>E1129-(#REF!+C1129)</f>
        <v>#REF!</v>
      </c>
      <c r="E1129" s="5">
        <v>178100</v>
      </c>
      <c r="K1129" s="22">
        <v>437.5</v>
      </c>
      <c r="L1129" s="6">
        <v>450</v>
      </c>
      <c r="M1129" s="125">
        <f t="shared" si="18"/>
        <v>12.5</v>
      </c>
      <c r="N1129" s="7"/>
      <c r="O1129" s="132"/>
      <c r="P1129" s="175"/>
      <c r="V1129" s="207"/>
    </row>
    <row r="1130" spans="1:22" ht="15" customHeight="1">
      <c r="A1130" s="3">
        <v>37434</v>
      </c>
      <c r="B1130" s="9">
        <v>68925</v>
      </c>
      <c r="C1130" s="5">
        <v>70100</v>
      </c>
      <c r="D1130" s="5" t="e">
        <f>E1130-(#REF!+C1130)</f>
        <v>#REF!</v>
      </c>
      <c r="E1130" s="5">
        <v>178325</v>
      </c>
      <c r="K1130" s="22">
        <v>444</v>
      </c>
      <c r="L1130" s="6">
        <v>456</v>
      </c>
      <c r="M1130" s="125">
        <f t="shared" si="18"/>
        <v>12</v>
      </c>
      <c r="N1130" s="7"/>
      <c r="O1130" s="132"/>
      <c r="P1130" s="175"/>
      <c r="V1130" s="207"/>
    </row>
    <row r="1131" spans="1:22" ht="15" customHeight="1">
      <c r="A1131" s="3">
        <v>37435</v>
      </c>
      <c r="B1131" s="9">
        <v>68925</v>
      </c>
      <c r="C1131" s="5">
        <v>70100</v>
      </c>
      <c r="D1131" s="5" t="e">
        <f>E1131-(#REF!+C1131)</f>
        <v>#REF!</v>
      </c>
      <c r="E1131" s="5">
        <v>178275</v>
      </c>
      <c r="K1131" s="22">
        <v>446</v>
      </c>
      <c r="L1131" s="6">
        <v>455</v>
      </c>
      <c r="M1131" s="125">
        <f t="shared" si="18"/>
        <v>9</v>
      </c>
      <c r="N1131" s="7"/>
      <c r="O1131" s="132"/>
      <c r="P1131" s="175"/>
      <c r="V1131" s="207"/>
    </row>
    <row r="1132" spans="1:22" ht="15" customHeight="1">
      <c r="A1132" s="3">
        <v>37438</v>
      </c>
      <c r="B1132" s="9">
        <v>68700</v>
      </c>
      <c r="C1132" s="5">
        <v>70500</v>
      </c>
      <c r="D1132" s="5" t="e">
        <f>E1132-(#REF!+C1132)</f>
        <v>#REF!</v>
      </c>
      <c r="E1132" s="5">
        <v>178450</v>
      </c>
      <c r="K1132" s="22">
        <v>447</v>
      </c>
      <c r="L1132" s="6">
        <v>457.5</v>
      </c>
      <c r="M1132" s="125">
        <f t="shared" si="18"/>
        <v>10.5</v>
      </c>
      <c r="N1132" s="7"/>
      <c r="O1132" s="132"/>
      <c r="P1132" s="175"/>
      <c r="V1132" s="207"/>
    </row>
    <row r="1133" spans="1:22" ht="15" customHeight="1">
      <c r="A1133" s="3">
        <v>37439</v>
      </c>
      <c r="B1133" s="9">
        <v>68575</v>
      </c>
      <c r="C1133" s="5">
        <v>70500</v>
      </c>
      <c r="D1133" s="5" t="e">
        <f>E1133-(#REF!+C1133)</f>
        <v>#REF!</v>
      </c>
      <c r="E1133" s="5">
        <v>178525</v>
      </c>
      <c r="K1133" s="22">
        <v>446</v>
      </c>
      <c r="L1133" s="6">
        <v>457</v>
      </c>
      <c r="M1133" s="125">
        <f t="shared" si="18"/>
        <v>11</v>
      </c>
      <c r="N1133" s="7"/>
      <c r="O1133" s="132"/>
      <c r="P1133" s="175"/>
      <c r="V1133" s="207"/>
    </row>
    <row r="1134" spans="1:22" ht="15" customHeight="1">
      <c r="A1134" s="3">
        <v>37440</v>
      </c>
      <c r="B1134" s="9">
        <v>70925</v>
      </c>
      <c r="C1134" s="5">
        <v>70500</v>
      </c>
      <c r="D1134" s="5" t="e">
        <f>E1134-(#REF!+C1134)</f>
        <v>#REF!</v>
      </c>
      <c r="E1134" s="5">
        <v>180875</v>
      </c>
      <c r="K1134" s="22">
        <v>446</v>
      </c>
      <c r="L1134" s="6">
        <v>456.5</v>
      </c>
      <c r="M1134" s="125">
        <f t="shared" si="18"/>
        <v>10.5</v>
      </c>
      <c r="N1134" s="7"/>
      <c r="O1134" s="132"/>
      <c r="P1134" s="175"/>
      <c r="V1134" s="207"/>
    </row>
    <row r="1135" spans="1:22" ht="15" customHeight="1">
      <c r="A1135" s="3">
        <v>37441</v>
      </c>
      <c r="B1135" s="9">
        <v>73750</v>
      </c>
      <c r="C1135" s="5">
        <v>72525</v>
      </c>
      <c r="D1135" s="5" t="e">
        <f>E1135-(#REF!+C1135)</f>
        <v>#REF!</v>
      </c>
      <c r="E1135" s="5">
        <v>185700</v>
      </c>
      <c r="K1135" s="22">
        <v>446</v>
      </c>
      <c r="L1135" s="6">
        <v>456.5</v>
      </c>
      <c r="M1135" s="125">
        <f t="shared" si="18"/>
        <v>10.5</v>
      </c>
      <c r="N1135" s="7"/>
      <c r="O1135" s="132"/>
      <c r="P1135" s="175"/>
      <c r="V1135" s="207"/>
    </row>
    <row r="1136" spans="1:22" ht="15" customHeight="1">
      <c r="A1136" s="3">
        <v>37442</v>
      </c>
      <c r="B1136" s="9">
        <v>76625</v>
      </c>
      <c r="C1136" s="5">
        <v>72875</v>
      </c>
      <c r="D1136" s="5" t="e">
        <f>E1136-(#REF!+C1136)</f>
        <v>#REF!</v>
      </c>
      <c r="E1136" s="5">
        <v>188925</v>
      </c>
      <c r="K1136" s="22">
        <v>448.5</v>
      </c>
      <c r="L1136" s="6">
        <v>458.5</v>
      </c>
      <c r="M1136" s="125">
        <f t="shared" si="18"/>
        <v>10</v>
      </c>
      <c r="N1136" s="7"/>
      <c r="O1136" s="132"/>
      <c r="P1136" s="175"/>
      <c r="V1136" s="207"/>
    </row>
    <row r="1137" spans="1:22" ht="15" customHeight="1">
      <c r="A1137" s="3">
        <v>37445</v>
      </c>
      <c r="B1137" s="9">
        <v>76200</v>
      </c>
      <c r="C1137" s="5">
        <v>72975</v>
      </c>
      <c r="D1137" s="5" t="e">
        <f>E1137-(#REF!+C1137)</f>
        <v>#REF!</v>
      </c>
      <c r="E1137" s="5">
        <v>188450</v>
      </c>
      <c r="K1137" s="22">
        <v>454</v>
      </c>
      <c r="L1137" s="6">
        <v>461</v>
      </c>
      <c r="M1137" s="125">
        <f t="shared" si="18"/>
        <v>7</v>
      </c>
      <c r="N1137" s="7"/>
      <c r="O1137" s="132"/>
      <c r="P1137" s="175"/>
      <c r="V1137" s="207"/>
    </row>
    <row r="1138" spans="1:22" ht="15" customHeight="1">
      <c r="A1138" s="3">
        <v>37446</v>
      </c>
      <c r="B1138" s="9">
        <v>76000</v>
      </c>
      <c r="C1138" s="5">
        <v>72975</v>
      </c>
      <c r="D1138" s="5" t="e">
        <f>E1138-(#REF!+C1138)</f>
        <v>#REF!</v>
      </c>
      <c r="E1138" s="5">
        <v>188200</v>
      </c>
      <c r="K1138" s="22">
        <v>450.5</v>
      </c>
      <c r="L1138" s="6">
        <v>461</v>
      </c>
      <c r="M1138" s="125">
        <f t="shared" si="18"/>
        <v>10.5</v>
      </c>
      <c r="N1138" s="7"/>
      <c r="O1138" s="132"/>
      <c r="P1138" s="175"/>
      <c r="V1138" s="207"/>
    </row>
    <row r="1139" spans="1:22" ht="15" customHeight="1">
      <c r="A1139" s="3">
        <v>37447</v>
      </c>
      <c r="B1139" s="9">
        <v>75550</v>
      </c>
      <c r="C1139" s="5">
        <v>72975</v>
      </c>
      <c r="D1139" s="5" t="e">
        <f>E1139-(#REF!+C1139)</f>
        <v>#REF!</v>
      </c>
      <c r="E1139" s="5">
        <v>187750</v>
      </c>
      <c r="K1139" s="22">
        <v>458</v>
      </c>
      <c r="L1139" s="6">
        <v>468</v>
      </c>
      <c r="M1139" s="125">
        <f t="shared" si="18"/>
        <v>10</v>
      </c>
      <c r="N1139" s="7"/>
      <c r="O1139" s="132"/>
      <c r="P1139" s="175"/>
      <c r="V1139" s="207"/>
    </row>
    <row r="1140" spans="1:22" ht="15" customHeight="1">
      <c r="A1140" s="3">
        <v>37448</v>
      </c>
      <c r="B1140" s="9">
        <v>75350</v>
      </c>
      <c r="C1140" s="5">
        <v>74025</v>
      </c>
      <c r="D1140" s="5" t="e">
        <f>E1140-(#REF!+C1140)</f>
        <v>#REF!</v>
      </c>
      <c r="E1140" s="5">
        <v>188525</v>
      </c>
      <c r="K1140" s="22">
        <v>454.5</v>
      </c>
      <c r="L1140" s="6">
        <v>465</v>
      </c>
      <c r="M1140" s="125">
        <f t="shared" si="18"/>
        <v>10.5</v>
      </c>
      <c r="N1140" s="7"/>
      <c r="O1140" s="132"/>
      <c r="P1140" s="175"/>
      <c r="V1140" s="207"/>
    </row>
    <row r="1141" spans="1:22" ht="15" customHeight="1">
      <c r="A1141" s="3">
        <v>37449</v>
      </c>
      <c r="B1141" s="9">
        <v>74425</v>
      </c>
      <c r="C1141" s="5">
        <v>74200</v>
      </c>
      <c r="D1141" s="5" t="e">
        <f>E1141-(#REF!+C1141)</f>
        <v>#REF!</v>
      </c>
      <c r="E1141" s="5">
        <v>187725</v>
      </c>
      <c r="K1141" s="22">
        <v>455</v>
      </c>
      <c r="L1141" s="6">
        <v>467</v>
      </c>
      <c r="M1141" s="125">
        <f t="shared" si="18"/>
        <v>12</v>
      </c>
      <c r="N1141" s="7"/>
      <c r="O1141" s="132"/>
      <c r="P1141" s="175"/>
      <c r="V1141" s="207"/>
    </row>
    <row r="1142" spans="1:22" ht="15" customHeight="1">
      <c r="A1142" s="3">
        <v>37452</v>
      </c>
      <c r="B1142" s="9">
        <v>74300</v>
      </c>
      <c r="C1142" s="5">
        <v>74600</v>
      </c>
      <c r="D1142" s="5" t="e">
        <f>E1142-(#REF!+C1142)</f>
        <v>#REF!</v>
      </c>
      <c r="E1142" s="5">
        <v>187925</v>
      </c>
      <c r="K1142" s="22">
        <v>453</v>
      </c>
      <c r="L1142" s="6">
        <v>465</v>
      </c>
      <c r="M1142" s="125">
        <f t="shared" si="18"/>
        <v>12</v>
      </c>
      <c r="N1142" s="7"/>
      <c r="O1142" s="132"/>
      <c r="P1142" s="175"/>
      <c r="V1142" s="207"/>
    </row>
    <row r="1143" spans="1:22" ht="15" customHeight="1">
      <c r="A1143" s="3">
        <v>37453</v>
      </c>
      <c r="B1143" s="9">
        <v>74075</v>
      </c>
      <c r="C1143" s="5">
        <v>74600</v>
      </c>
      <c r="D1143" s="5" t="e">
        <f>E1143-(#REF!+C1143)</f>
        <v>#REF!</v>
      </c>
      <c r="E1143" s="5">
        <v>187650</v>
      </c>
      <c r="K1143" s="22">
        <v>454</v>
      </c>
      <c r="L1143" s="6">
        <v>465.5</v>
      </c>
      <c r="M1143" s="125">
        <f t="shared" ref="M1143:M1206" si="19">L1143-K1143</f>
        <v>11.5</v>
      </c>
      <c r="N1143" s="7"/>
      <c r="O1143" s="132"/>
      <c r="P1143" s="175"/>
      <c r="V1143" s="207"/>
    </row>
    <row r="1144" spans="1:22" ht="15" customHeight="1">
      <c r="A1144" s="3">
        <v>37454</v>
      </c>
      <c r="B1144" s="9">
        <v>74075</v>
      </c>
      <c r="C1144" s="5">
        <v>74600</v>
      </c>
      <c r="D1144" s="5" t="e">
        <f>E1144-(#REF!+C1144)</f>
        <v>#REF!</v>
      </c>
      <c r="E1144" s="5">
        <v>187650</v>
      </c>
      <c r="K1144" s="22">
        <v>451</v>
      </c>
      <c r="L1144" s="6">
        <v>462</v>
      </c>
      <c r="M1144" s="125">
        <f t="shared" si="19"/>
        <v>11</v>
      </c>
      <c r="N1144" s="7"/>
      <c r="O1144" s="132"/>
      <c r="P1144" s="175"/>
      <c r="V1144" s="207"/>
    </row>
    <row r="1145" spans="1:22" ht="15" customHeight="1">
      <c r="A1145" s="3">
        <v>37455</v>
      </c>
      <c r="B1145" s="9">
        <v>73675</v>
      </c>
      <c r="C1145" s="5">
        <v>76025</v>
      </c>
      <c r="D1145" s="5" t="e">
        <f>E1145-(#REF!+C1145)</f>
        <v>#REF!</v>
      </c>
      <c r="E1145" s="5">
        <v>188675</v>
      </c>
      <c r="K1145" s="22">
        <v>444</v>
      </c>
      <c r="L1145" s="6">
        <v>456</v>
      </c>
      <c r="M1145" s="125">
        <f t="shared" si="19"/>
        <v>12</v>
      </c>
      <c r="N1145" s="7"/>
      <c r="O1145" s="132"/>
      <c r="P1145" s="175"/>
      <c r="V1145" s="207"/>
    </row>
    <row r="1146" spans="1:22" ht="15" customHeight="1">
      <c r="A1146" s="3">
        <v>37456</v>
      </c>
      <c r="B1146" s="9">
        <v>73250</v>
      </c>
      <c r="C1146" s="5">
        <v>68525</v>
      </c>
      <c r="D1146" s="5" t="e">
        <f>E1146-(#REF!+C1146)</f>
        <v>#REF!</v>
      </c>
      <c r="E1146" s="5">
        <v>190725</v>
      </c>
      <c r="K1146" s="22">
        <v>447</v>
      </c>
      <c r="L1146" s="6">
        <v>456.5</v>
      </c>
      <c r="M1146" s="125">
        <f t="shared" si="19"/>
        <v>9.5</v>
      </c>
      <c r="N1146" s="7"/>
      <c r="O1146" s="132"/>
      <c r="P1146" s="175"/>
      <c r="V1146" s="207"/>
    </row>
    <row r="1147" spans="1:22" ht="15" customHeight="1">
      <c r="A1147" s="3">
        <v>37459</v>
      </c>
      <c r="B1147" s="9">
        <v>71825</v>
      </c>
      <c r="C1147" s="5">
        <v>80850</v>
      </c>
      <c r="D1147" s="5" t="e">
        <f>E1147-(#REF!+C1147)</f>
        <v>#REF!</v>
      </c>
      <c r="E1147" s="5">
        <v>191500</v>
      </c>
      <c r="K1147" s="22">
        <v>445</v>
      </c>
      <c r="L1147" s="6">
        <v>454</v>
      </c>
      <c r="M1147" s="125">
        <f t="shared" si="19"/>
        <v>9</v>
      </c>
      <c r="N1147" s="7"/>
      <c r="O1147" s="132"/>
      <c r="P1147" s="175"/>
      <c r="V1147" s="207"/>
    </row>
    <row r="1148" spans="1:22" ht="15" customHeight="1">
      <c r="A1148" s="3">
        <v>37460</v>
      </c>
      <c r="B1148" s="9">
        <v>71375</v>
      </c>
      <c r="C1148" s="5">
        <v>83450</v>
      </c>
      <c r="D1148" s="5" t="e">
        <f>E1148-(#REF!+C1148)</f>
        <v>#REF!</v>
      </c>
      <c r="E1148" s="5">
        <v>193475</v>
      </c>
      <c r="K1148" s="22">
        <v>444</v>
      </c>
      <c r="L1148" s="6">
        <v>455</v>
      </c>
      <c r="M1148" s="125">
        <f t="shared" si="19"/>
        <v>11</v>
      </c>
      <c r="N1148" s="7"/>
      <c r="O1148" s="132"/>
      <c r="P1148" s="175"/>
      <c r="V1148" s="207"/>
    </row>
    <row r="1149" spans="1:22" ht="15" customHeight="1">
      <c r="A1149" s="3">
        <v>37461</v>
      </c>
      <c r="B1149" s="9">
        <v>71025</v>
      </c>
      <c r="C1149" s="5">
        <v>85550</v>
      </c>
      <c r="D1149" s="5" t="e">
        <f>E1149-(#REF!+C1149)</f>
        <v>#REF!</v>
      </c>
      <c r="E1149" s="5">
        <v>195125</v>
      </c>
      <c r="K1149" s="22">
        <v>433.5</v>
      </c>
      <c r="L1149" s="6">
        <v>444</v>
      </c>
      <c r="M1149" s="125">
        <f t="shared" si="19"/>
        <v>10.5</v>
      </c>
      <c r="N1149" s="7"/>
      <c r="O1149" s="132"/>
      <c r="P1149" s="175"/>
      <c r="V1149" s="207"/>
    </row>
    <row r="1150" spans="1:22" ht="15" customHeight="1">
      <c r="A1150" s="3">
        <v>37462</v>
      </c>
      <c r="B1150" s="9">
        <v>71150</v>
      </c>
      <c r="C1150" s="5">
        <v>86800</v>
      </c>
      <c r="D1150" s="5" t="e">
        <f>E1150-(#REF!+C1150)</f>
        <v>#REF!</v>
      </c>
      <c r="E1150" s="5">
        <v>196450</v>
      </c>
      <c r="K1150" s="22">
        <v>439.5</v>
      </c>
      <c r="L1150" s="6">
        <v>446</v>
      </c>
      <c r="M1150" s="125">
        <f t="shared" si="19"/>
        <v>6.5</v>
      </c>
      <c r="N1150" s="7"/>
      <c r="O1150" s="132"/>
      <c r="P1150" s="175"/>
      <c r="V1150" s="207"/>
    </row>
    <row r="1151" spans="1:22" ht="15" customHeight="1">
      <c r="A1151" s="3">
        <v>37465</v>
      </c>
      <c r="B1151" s="9">
        <v>70650</v>
      </c>
      <c r="C1151" s="5">
        <v>86800</v>
      </c>
      <c r="D1151" s="5" t="e">
        <f>E1151-(#REF!+C1151)</f>
        <v>#REF!</v>
      </c>
      <c r="E1151" s="5">
        <v>195725</v>
      </c>
      <c r="K1151" s="22">
        <v>440.5</v>
      </c>
      <c r="L1151" s="6">
        <v>451</v>
      </c>
      <c r="M1151" s="125">
        <f t="shared" si="19"/>
        <v>10.5</v>
      </c>
      <c r="N1151" s="7"/>
      <c r="O1151" s="132"/>
      <c r="P1151" s="175"/>
      <c r="V1151" s="207"/>
    </row>
    <row r="1152" spans="1:22" ht="15" customHeight="1">
      <c r="A1152" s="3">
        <v>37466</v>
      </c>
      <c r="B1152" s="9">
        <v>70475</v>
      </c>
      <c r="C1152" s="5">
        <v>86900</v>
      </c>
      <c r="D1152" s="5" t="e">
        <f>E1152-(#REF!+C1152)</f>
        <v>#REF!</v>
      </c>
      <c r="E1152" s="5">
        <v>195450</v>
      </c>
      <c r="K1152" s="22">
        <v>439</v>
      </c>
      <c r="L1152" s="6">
        <v>450</v>
      </c>
      <c r="M1152" s="125">
        <f t="shared" si="19"/>
        <v>11</v>
      </c>
      <c r="N1152" s="7"/>
      <c r="O1152" s="132"/>
      <c r="P1152" s="175"/>
      <c r="V1152" s="207"/>
    </row>
    <row r="1153" spans="1:22" ht="15" customHeight="1">
      <c r="A1153" s="3">
        <v>37467</v>
      </c>
      <c r="B1153" s="9">
        <v>71200</v>
      </c>
      <c r="C1153" s="5">
        <v>87025</v>
      </c>
      <c r="D1153" s="5" t="e">
        <f>E1153-(#REF!+C1153)</f>
        <v>#REF!</v>
      </c>
      <c r="E1153" s="5">
        <v>196150</v>
      </c>
      <c r="K1153" s="22">
        <v>435</v>
      </c>
      <c r="L1153" s="6">
        <v>446</v>
      </c>
      <c r="M1153" s="125">
        <f t="shared" si="19"/>
        <v>11</v>
      </c>
      <c r="N1153" s="7"/>
      <c r="O1153" s="132"/>
      <c r="P1153" s="175"/>
      <c r="V1153" s="207"/>
    </row>
    <row r="1154" spans="1:22" ht="15" customHeight="1">
      <c r="A1154" s="3">
        <v>37468</v>
      </c>
      <c r="B1154" s="9">
        <v>70900</v>
      </c>
      <c r="C1154" s="5">
        <v>87100</v>
      </c>
      <c r="D1154" s="5" t="e">
        <f>E1154-(#REF!+C1154)</f>
        <v>#REF!</v>
      </c>
      <c r="E1154" s="5">
        <v>195900</v>
      </c>
      <c r="K1154" s="22">
        <v>430</v>
      </c>
      <c r="L1154" s="6">
        <v>441</v>
      </c>
      <c r="M1154" s="125">
        <f t="shared" si="19"/>
        <v>11</v>
      </c>
      <c r="N1154" s="7"/>
      <c r="O1154" s="132"/>
      <c r="P1154" s="175"/>
      <c r="V1154" s="207"/>
    </row>
    <row r="1155" spans="1:22" ht="15" customHeight="1">
      <c r="A1155" s="3">
        <v>37469</v>
      </c>
      <c r="B1155" s="9">
        <v>70275</v>
      </c>
      <c r="C1155" s="5">
        <v>87250</v>
      </c>
      <c r="D1155" s="5" t="e">
        <f>E1155-(#REF!+C1155)</f>
        <v>#REF!</v>
      </c>
      <c r="E1155" s="5">
        <v>195425</v>
      </c>
      <c r="K1155" s="22">
        <v>418</v>
      </c>
      <c r="L1155" s="6">
        <v>429</v>
      </c>
      <c r="M1155" s="125">
        <f t="shared" si="19"/>
        <v>11</v>
      </c>
      <c r="N1155" s="7"/>
      <c r="O1155" s="132"/>
      <c r="P1155" s="175"/>
      <c r="V1155" s="207"/>
    </row>
    <row r="1156" spans="1:22" ht="15" customHeight="1">
      <c r="A1156" s="3">
        <v>37470</v>
      </c>
      <c r="B1156" s="9">
        <v>70025</v>
      </c>
      <c r="C1156" s="5">
        <v>88175</v>
      </c>
      <c r="D1156" s="5" t="e">
        <f>E1156-(#REF!+C1156)</f>
        <v>#REF!</v>
      </c>
      <c r="E1156" s="5">
        <v>196100</v>
      </c>
      <c r="K1156" s="22">
        <v>427</v>
      </c>
      <c r="L1156" s="6">
        <v>436</v>
      </c>
      <c r="M1156" s="125">
        <f t="shared" si="19"/>
        <v>9</v>
      </c>
      <c r="N1156" s="7"/>
      <c r="O1156" s="132"/>
      <c r="P1156" s="175"/>
      <c r="V1156" s="207"/>
    </row>
    <row r="1157" spans="1:22" ht="15" customHeight="1">
      <c r="A1157" s="3">
        <v>37473</v>
      </c>
      <c r="B1157" s="9">
        <v>70025</v>
      </c>
      <c r="C1157" s="5">
        <v>88275</v>
      </c>
      <c r="D1157" s="5" t="e">
        <f>E1157-(#REF!+C1157)</f>
        <v>#REF!</v>
      </c>
      <c r="E1157" s="5">
        <v>196200</v>
      </c>
      <c r="K1157" s="22">
        <v>414</v>
      </c>
      <c r="L1157" s="6">
        <v>425</v>
      </c>
      <c r="M1157" s="125">
        <f t="shared" si="19"/>
        <v>11</v>
      </c>
      <c r="N1157" s="7"/>
      <c r="O1157" s="132"/>
      <c r="P1157" s="175"/>
      <c r="V1157" s="207"/>
    </row>
    <row r="1158" spans="1:22" ht="15" customHeight="1">
      <c r="A1158" s="3">
        <v>37474</v>
      </c>
      <c r="B1158" s="9">
        <v>69900</v>
      </c>
      <c r="C1158" s="5">
        <v>88275</v>
      </c>
      <c r="D1158" s="5" t="e">
        <f>E1158-(#REF!+C1158)</f>
        <v>#REF!</v>
      </c>
      <c r="E1158" s="5">
        <v>196075</v>
      </c>
      <c r="K1158" s="22">
        <v>420</v>
      </c>
      <c r="L1158" s="6">
        <v>430</v>
      </c>
      <c r="M1158" s="125">
        <f t="shared" si="19"/>
        <v>10</v>
      </c>
      <c r="N1158" s="7"/>
      <c r="O1158" s="132"/>
      <c r="P1158" s="175"/>
      <c r="V1158" s="207"/>
    </row>
    <row r="1159" spans="1:22" ht="15" customHeight="1">
      <c r="A1159" s="3">
        <v>37475</v>
      </c>
      <c r="B1159" s="9">
        <v>70725</v>
      </c>
      <c r="C1159" s="5">
        <v>88275</v>
      </c>
      <c r="D1159" s="5" t="e">
        <f>E1159-(#REF!+C1159)</f>
        <v>#REF!</v>
      </c>
      <c r="E1159" s="5">
        <v>197400</v>
      </c>
      <c r="K1159" s="22">
        <v>417.5</v>
      </c>
      <c r="L1159" s="6">
        <v>429</v>
      </c>
      <c r="M1159" s="125">
        <f t="shared" si="19"/>
        <v>11.5</v>
      </c>
      <c r="N1159" s="7"/>
      <c r="O1159" s="132"/>
      <c r="P1159" s="175"/>
      <c r="V1159" s="207"/>
    </row>
    <row r="1160" spans="1:22" ht="15" customHeight="1">
      <c r="A1160" s="3">
        <v>37476</v>
      </c>
      <c r="B1160" s="9">
        <v>70350</v>
      </c>
      <c r="C1160" s="5">
        <v>88275</v>
      </c>
      <c r="D1160" s="5" t="e">
        <f>E1160-(#REF!+C1160)</f>
        <v>#REF!</v>
      </c>
      <c r="E1160" s="5">
        <v>197025</v>
      </c>
      <c r="K1160" s="22">
        <v>417</v>
      </c>
      <c r="L1160" s="6">
        <v>427</v>
      </c>
      <c r="M1160" s="125">
        <f t="shared" si="19"/>
        <v>10</v>
      </c>
      <c r="N1160" s="7"/>
      <c r="O1160" s="132"/>
      <c r="P1160" s="175"/>
      <c r="V1160" s="207"/>
    </row>
    <row r="1161" spans="1:22" ht="15" customHeight="1">
      <c r="A1161" s="3">
        <v>37477</v>
      </c>
      <c r="B1161" s="9">
        <v>70200</v>
      </c>
      <c r="C1161" s="5">
        <v>88425</v>
      </c>
      <c r="D1161" s="5" t="e">
        <f>E1161-(#REF!+C1161)</f>
        <v>#REF!</v>
      </c>
      <c r="E1161" s="5">
        <v>196825</v>
      </c>
      <c r="K1161" s="22">
        <v>417</v>
      </c>
      <c r="L1161" s="6">
        <v>427.5</v>
      </c>
      <c r="M1161" s="125">
        <f t="shared" si="19"/>
        <v>10.5</v>
      </c>
      <c r="N1161" s="7"/>
      <c r="O1161" s="132"/>
      <c r="P1161" s="175"/>
      <c r="V1161" s="207"/>
    </row>
    <row r="1162" spans="1:22" ht="15" customHeight="1">
      <c r="A1162" s="3">
        <v>37480</v>
      </c>
      <c r="B1162" s="9">
        <v>70200</v>
      </c>
      <c r="C1162" s="5">
        <v>88425</v>
      </c>
      <c r="D1162" s="5" t="e">
        <f>E1162-(#REF!+C1162)</f>
        <v>#REF!</v>
      </c>
      <c r="E1162" s="5">
        <v>196675</v>
      </c>
      <c r="K1162" s="22">
        <v>413</v>
      </c>
      <c r="L1162" s="6">
        <v>424</v>
      </c>
      <c r="M1162" s="125">
        <f t="shared" si="19"/>
        <v>11</v>
      </c>
      <c r="N1162" s="7"/>
      <c r="O1162" s="132"/>
      <c r="P1162" s="175"/>
      <c r="V1162" s="207"/>
    </row>
    <row r="1163" spans="1:22" ht="15" customHeight="1">
      <c r="A1163" s="3">
        <v>37481</v>
      </c>
      <c r="B1163" s="9">
        <v>69950</v>
      </c>
      <c r="C1163" s="5">
        <v>88425</v>
      </c>
      <c r="D1163" s="5" t="e">
        <f>E1163-(#REF!+C1163)</f>
        <v>#REF!</v>
      </c>
      <c r="E1163" s="5">
        <v>196325</v>
      </c>
      <c r="K1163" s="22">
        <v>411</v>
      </c>
      <c r="L1163" s="6">
        <v>423.5</v>
      </c>
      <c r="M1163" s="125">
        <f t="shared" si="19"/>
        <v>12.5</v>
      </c>
      <c r="N1163" s="7"/>
      <c r="O1163" s="132"/>
      <c r="P1163" s="175"/>
      <c r="V1163" s="207"/>
    </row>
    <row r="1164" spans="1:22" ht="15" customHeight="1">
      <c r="A1164" s="3">
        <v>37482</v>
      </c>
      <c r="B1164" s="9">
        <v>68975</v>
      </c>
      <c r="C1164" s="5">
        <v>88425</v>
      </c>
      <c r="D1164" s="5" t="e">
        <f>E1164-(#REF!+C1164)</f>
        <v>#REF!</v>
      </c>
      <c r="E1164" s="5">
        <v>195300</v>
      </c>
      <c r="K1164" s="22">
        <v>418</v>
      </c>
      <c r="L1164" s="6">
        <v>433</v>
      </c>
      <c r="M1164" s="125">
        <f t="shared" si="19"/>
        <v>15</v>
      </c>
      <c r="N1164" s="7"/>
      <c r="O1164" s="132"/>
      <c r="P1164" s="175"/>
      <c r="V1164" s="207"/>
    </row>
    <row r="1165" spans="1:22" ht="15" customHeight="1">
      <c r="A1165" s="3">
        <v>37483</v>
      </c>
      <c r="B1165" s="9">
        <v>68975</v>
      </c>
      <c r="C1165" s="5">
        <v>88425</v>
      </c>
      <c r="D1165" s="5" t="e">
        <f>E1165-(#REF!+C1165)</f>
        <v>#REF!</v>
      </c>
      <c r="E1165" s="5">
        <v>195300</v>
      </c>
      <c r="K1165" s="22">
        <v>421.5</v>
      </c>
      <c r="L1165" s="6">
        <v>430.5</v>
      </c>
      <c r="M1165" s="125">
        <f t="shared" si="19"/>
        <v>9</v>
      </c>
      <c r="N1165" s="7"/>
      <c r="O1165" s="132"/>
      <c r="P1165" s="175"/>
      <c r="V1165" s="207"/>
    </row>
    <row r="1166" spans="1:22" ht="15" customHeight="1">
      <c r="A1166" s="3">
        <v>37484</v>
      </c>
      <c r="B1166" s="9">
        <v>68725</v>
      </c>
      <c r="C1166" s="5">
        <v>88675</v>
      </c>
      <c r="D1166" s="5" t="e">
        <f>E1166-(#REF!+C1166)</f>
        <v>#REF!</v>
      </c>
      <c r="E1166" s="5">
        <v>195300</v>
      </c>
      <c r="K1166" s="22">
        <v>421.5</v>
      </c>
      <c r="L1166" s="6">
        <v>431</v>
      </c>
      <c r="M1166" s="125">
        <f t="shared" si="19"/>
        <v>9.5</v>
      </c>
      <c r="N1166" s="7"/>
      <c r="O1166" s="132"/>
      <c r="P1166" s="175"/>
      <c r="V1166" s="207"/>
    </row>
    <row r="1167" spans="1:22" ht="15" customHeight="1">
      <c r="A1167" s="3">
        <v>37487</v>
      </c>
      <c r="B1167" s="9">
        <v>68100</v>
      </c>
      <c r="C1167" s="5">
        <v>88750</v>
      </c>
      <c r="D1167" s="5" t="e">
        <f>E1167-(#REF!+C1167)</f>
        <v>#REF!</v>
      </c>
      <c r="E1167" s="5">
        <v>194750</v>
      </c>
      <c r="K1167" s="22">
        <v>413.5</v>
      </c>
      <c r="L1167" s="6">
        <v>424.5</v>
      </c>
      <c r="M1167" s="125">
        <f t="shared" si="19"/>
        <v>11</v>
      </c>
      <c r="N1167" s="7"/>
      <c r="O1167" s="132"/>
      <c r="P1167" s="175"/>
      <c r="V1167" s="207"/>
    </row>
    <row r="1168" spans="1:22" ht="15" customHeight="1">
      <c r="A1168" s="3">
        <v>37488</v>
      </c>
      <c r="B1168" s="9">
        <v>67850</v>
      </c>
      <c r="C1168" s="5">
        <v>88825</v>
      </c>
      <c r="D1168" s="5" t="e">
        <f>E1168-(#REF!+C1168)</f>
        <v>#REF!</v>
      </c>
      <c r="E1168" s="5">
        <v>194400</v>
      </c>
      <c r="K1168" s="22">
        <v>419.5</v>
      </c>
      <c r="L1168" s="6">
        <v>430</v>
      </c>
      <c r="M1168" s="125">
        <f t="shared" si="19"/>
        <v>10.5</v>
      </c>
      <c r="N1168" s="7"/>
      <c r="O1168" s="132"/>
      <c r="P1168" s="175"/>
      <c r="V1168" s="207"/>
    </row>
    <row r="1169" spans="1:22" ht="15" customHeight="1">
      <c r="A1169" s="3">
        <v>37489</v>
      </c>
      <c r="B1169" s="9">
        <v>67375</v>
      </c>
      <c r="C1169" s="5">
        <v>88950</v>
      </c>
      <c r="D1169" s="5" t="e">
        <f>E1169-(#REF!+C1169)</f>
        <v>#REF!</v>
      </c>
      <c r="E1169" s="5">
        <v>193975</v>
      </c>
      <c r="K1169" s="22">
        <v>419</v>
      </c>
      <c r="L1169" s="6">
        <v>427.5</v>
      </c>
      <c r="M1169" s="125">
        <f t="shared" si="19"/>
        <v>8.5</v>
      </c>
      <c r="N1169" s="7"/>
      <c r="O1169" s="132"/>
      <c r="P1169" s="175"/>
      <c r="V1169" s="207"/>
    </row>
    <row r="1170" spans="1:22" ht="15" customHeight="1">
      <c r="A1170" s="3">
        <v>37490</v>
      </c>
      <c r="B1170" s="9">
        <v>66925</v>
      </c>
      <c r="C1170" s="5">
        <v>89025</v>
      </c>
      <c r="D1170" s="5" t="e">
        <f>E1170-(#REF!+C1170)</f>
        <v>#REF!</v>
      </c>
      <c r="E1170" s="5">
        <v>193525</v>
      </c>
      <c r="K1170" s="22">
        <v>421</v>
      </c>
      <c r="L1170" s="6">
        <v>430</v>
      </c>
      <c r="M1170" s="125">
        <f t="shared" si="19"/>
        <v>9</v>
      </c>
      <c r="N1170" s="7"/>
      <c r="O1170" s="132"/>
      <c r="P1170" s="175"/>
      <c r="V1170" s="207"/>
    </row>
    <row r="1171" spans="1:22" ht="15" customHeight="1">
      <c r="A1171" s="3">
        <v>37491</v>
      </c>
      <c r="B1171" s="9">
        <v>66625</v>
      </c>
      <c r="C1171" s="5">
        <v>89150</v>
      </c>
      <c r="D1171" s="5" t="e">
        <f>E1171-(#REF!+C1171)</f>
        <v>#REF!</v>
      </c>
      <c r="E1171" s="5">
        <v>193350</v>
      </c>
      <c r="K1171" s="22">
        <v>430.5</v>
      </c>
      <c r="L1171" s="6">
        <v>437</v>
      </c>
      <c r="M1171" s="125">
        <f t="shared" si="19"/>
        <v>6.5</v>
      </c>
      <c r="N1171" s="7"/>
      <c r="O1171" s="132"/>
      <c r="P1171" s="175"/>
      <c r="V1171" s="207"/>
    </row>
    <row r="1172" spans="1:22" ht="15" customHeight="1">
      <c r="A1172" s="3">
        <v>37495</v>
      </c>
      <c r="B1172" s="9">
        <v>66525</v>
      </c>
      <c r="C1172" s="5">
        <v>89225</v>
      </c>
      <c r="D1172" s="5" t="e">
        <f>E1172-(#REF!+C1172)</f>
        <v>#REF!</v>
      </c>
      <c r="E1172" s="5">
        <v>193250</v>
      </c>
      <c r="K1172" s="22">
        <v>444</v>
      </c>
      <c r="L1172" s="6">
        <v>447.5</v>
      </c>
      <c r="M1172" s="125">
        <f t="shared" si="19"/>
        <v>3.5</v>
      </c>
      <c r="N1172" s="7"/>
      <c r="O1172" s="132"/>
      <c r="P1172" s="175"/>
      <c r="V1172" s="207"/>
    </row>
    <row r="1173" spans="1:22" ht="15" customHeight="1">
      <c r="A1173" s="3">
        <v>37496</v>
      </c>
      <c r="B1173" s="9">
        <v>65625</v>
      </c>
      <c r="C1173" s="5">
        <v>89425</v>
      </c>
      <c r="D1173" s="5" t="e">
        <f>E1173-(#REF!+C1173)</f>
        <v>#REF!</v>
      </c>
      <c r="E1173" s="5">
        <v>192425</v>
      </c>
      <c r="K1173" s="22">
        <v>444.5</v>
      </c>
      <c r="L1173" s="6">
        <v>449</v>
      </c>
      <c r="M1173" s="125">
        <f t="shared" si="19"/>
        <v>4.5</v>
      </c>
      <c r="N1173" s="7"/>
      <c r="O1173" s="132"/>
      <c r="P1173" s="175"/>
      <c r="V1173" s="207"/>
    </row>
    <row r="1174" spans="1:22" ht="15" customHeight="1">
      <c r="A1174" s="3">
        <v>37497</v>
      </c>
      <c r="B1174" s="9">
        <v>66550</v>
      </c>
      <c r="C1174" s="5">
        <v>89425</v>
      </c>
      <c r="D1174" s="5" t="e">
        <f>E1174-(#REF!+C1174)</f>
        <v>#REF!</v>
      </c>
      <c r="E1174" s="5">
        <v>193250</v>
      </c>
      <c r="K1174" s="22">
        <v>440.5</v>
      </c>
      <c r="L1174" s="6">
        <v>446.5</v>
      </c>
      <c r="M1174" s="125">
        <f t="shared" si="19"/>
        <v>6</v>
      </c>
      <c r="N1174" s="7"/>
      <c r="O1174" s="132"/>
      <c r="P1174" s="175"/>
      <c r="V1174" s="207"/>
    </row>
    <row r="1175" spans="1:22" ht="15" customHeight="1">
      <c r="A1175" s="3">
        <v>37498</v>
      </c>
      <c r="B1175" s="9">
        <v>66325</v>
      </c>
      <c r="C1175" s="5">
        <v>89500</v>
      </c>
      <c r="D1175" s="5" t="e">
        <f>E1175-(#REF!+C1175)</f>
        <v>#REF!</v>
      </c>
      <c r="E1175" s="5">
        <v>193050</v>
      </c>
      <c r="K1175" s="22">
        <v>440</v>
      </c>
      <c r="L1175" s="6">
        <v>448</v>
      </c>
      <c r="M1175" s="125">
        <f t="shared" si="19"/>
        <v>8</v>
      </c>
      <c r="N1175" s="7"/>
      <c r="O1175" s="132"/>
      <c r="P1175" s="175"/>
      <c r="V1175" s="207"/>
    </row>
    <row r="1176" spans="1:22" ht="15" customHeight="1">
      <c r="A1176" s="3">
        <v>37501</v>
      </c>
      <c r="B1176" s="9">
        <v>66200</v>
      </c>
      <c r="C1176" s="5">
        <v>89500</v>
      </c>
      <c r="D1176" s="5" t="e">
        <f>E1176-(#REF!+C1176)</f>
        <v>#REF!</v>
      </c>
      <c r="E1176" s="5">
        <v>192850</v>
      </c>
      <c r="K1176" s="22">
        <v>430</v>
      </c>
      <c r="L1176" s="6">
        <v>437</v>
      </c>
      <c r="M1176" s="125">
        <f t="shared" si="19"/>
        <v>7</v>
      </c>
      <c r="N1176" s="7"/>
      <c r="O1176" s="132"/>
      <c r="P1176" s="175"/>
      <c r="V1176" s="207"/>
    </row>
    <row r="1177" spans="1:22" ht="15" customHeight="1">
      <c r="A1177" s="3">
        <v>37502</v>
      </c>
      <c r="B1177" s="9">
        <v>65975</v>
      </c>
      <c r="C1177" s="5">
        <v>89575</v>
      </c>
      <c r="D1177" s="5" t="e">
        <f>E1177-(#REF!+C1177)</f>
        <v>#REF!</v>
      </c>
      <c r="E1177" s="5">
        <v>192675</v>
      </c>
      <c r="K1177" s="22">
        <v>427.5</v>
      </c>
      <c r="L1177" s="6">
        <v>435</v>
      </c>
      <c r="M1177" s="125">
        <f t="shared" si="19"/>
        <v>7.5</v>
      </c>
      <c r="N1177" s="7"/>
      <c r="O1177" s="132"/>
      <c r="P1177" s="175"/>
      <c r="V1177" s="207"/>
    </row>
    <row r="1178" spans="1:22" ht="15" customHeight="1">
      <c r="A1178" s="3">
        <v>37503</v>
      </c>
      <c r="B1178" s="9">
        <v>64725</v>
      </c>
      <c r="C1178" s="5">
        <v>89575</v>
      </c>
      <c r="D1178" s="5" t="e">
        <f>E1178-(#REF!+C1178)</f>
        <v>#REF!</v>
      </c>
      <c r="E1178" s="5">
        <v>191375</v>
      </c>
      <c r="K1178" s="22">
        <v>427</v>
      </c>
      <c r="L1178" s="6">
        <v>434</v>
      </c>
      <c r="M1178" s="125">
        <f t="shared" si="19"/>
        <v>7</v>
      </c>
      <c r="N1178" s="7"/>
      <c r="O1178" s="132"/>
      <c r="P1178" s="175"/>
      <c r="V1178" s="207"/>
    </row>
    <row r="1179" spans="1:22" ht="15" customHeight="1">
      <c r="A1179" s="3">
        <v>37504</v>
      </c>
      <c r="B1179" s="9">
        <v>64575</v>
      </c>
      <c r="C1179" s="5">
        <v>89850</v>
      </c>
      <c r="D1179" s="5" t="e">
        <f>E1179-(#REF!+C1179)</f>
        <v>#REF!</v>
      </c>
      <c r="E1179" s="5">
        <v>191375</v>
      </c>
      <c r="K1179" s="22">
        <v>430</v>
      </c>
      <c r="L1179" s="6">
        <v>442</v>
      </c>
      <c r="M1179" s="125">
        <f t="shared" si="19"/>
        <v>12</v>
      </c>
      <c r="N1179" s="7"/>
      <c r="O1179" s="132"/>
      <c r="P1179" s="175"/>
      <c r="V1179" s="207"/>
    </row>
    <row r="1180" spans="1:22" ht="15" customHeight="1">
      <c r="A1180" s="3">
        <v>37505</v>
      </c>
      <c r="B1180" s="9">
        <v>64575</v>
      </c>
      <c r="C1180" s="5">
        <v>89975</v>
      </c>
      <c r="D1180" s="5" t="e">
        <f>E1180-(#REF!+C1180)</f>
        <v>#REF!</v>
      </c>
      <c r="E1180" s="5">
        <v>191450</v>
      </c>
      <c r="K1180" s="22">
        <v>431</v>
      </c>
      <c r="L1180" s="6">
        <v>437</v>
      </c>
      <c r="M1180" s="125">
        <f t="shared" si="19"/>
        <v>6</v>
      </c>
      <c r="N1180" s="7"/>
      <c r="O1180" s="132"/>
      <c r="P1180" s="175"/>
      <c r="V1180" s="207"/>
    </row>
    <row r="1181" spans="1:22" ht="15" customHeight="1">
      <c r="A1181" s="3">
        <v>37508</v>
      </c>
      <c r="B1181" s="9">
        <v>64025</v>
      </c>
      <c r="C1181" s="5">
        <v>90150</v>
      </c>
      <c r="D1181" s="5" t="e">
        <f>E1181-(#REF!+C1181)</f>
        <v>#REF!</v>
      </c>
      <c r="E1181" s="5">
        <v>191025</v>
      </c>
      <c r="K1181" s="22">
        <v>431</v>
      </c>
      <c r="L1181" s="6">
        <v>439</v>
      </c>
      <c r="M1181" s="125">
        <f t="shared" si="19"/>
        <v>8</v>
      </c>
      <c r="N1181" s="7"/>
      <c r="O1181" s="132"/>
      <c r="P1181" s="175"/>
      <c r="V1181" s="207"/>
    </row>
    <row r="1182" spans="1:22" ht="15" customHeight="1">
      <c r="A1182" s="3">
        <v>37509</v>
      </c>
      <c r="B1182" s="9">
        <v>64000</v>
      </c>
      <c r="C1182" s="5">
        <v>90225</v>
      </c>
      <c r="D1182" s="5" t="e">
        <f>E1182-(#REF!+C1182)</f>
        <v>#REF!</v>
      </c>
      <c r="E1182" s="5">
        <v>190950</v>
      </c>
      <c r="K1182" s="22">
        <v>432.5</v>
      </c>
      <c r="L1182" s="6">
        <v>439</v>
      </c>
      <c r="M1182" s="125">
        <f t="shared" si="19"/>
        <v>6.5</v>
      </c>
      <c r="N1182" s="7"/>
      <c r="O1182" s="132"/>
      <c r="P1182" s="175"/>
      <c r="V1182" s="207"/>
    </row>
    <row r="1183" spans="1:22" ht="15" customHeight="1">
      <c r="A1183" s="3">
        <v>37510</v>
      </c>
      <c r="B1183" s="9">
        <v>63975</v>
      </c>
      <c r="C1183" s="5">
        <v>90225</v>
      </c>
      <c r="D1183" s="5" t="e">
        <f>E1183-(#REF!+C1183)</f>
        <v>#REF!</v>
      </c>
      <c r="E1183" s="5">
        <v>190850</v>
      </c>
      <c r="K1183" s="22">
        <v>440.5</v>
      </c>
      <c r="L1183" s="6">
        <v>445</v>
      </c>
      <c r="M1183" s="125">
        <f t="shared" si="19"/>
        <v>4.5</v>
      </c>
      <c r="N1183" s="7"/>
      <c r="O1183" s="132"/>
      <c r="P1183" s="175"/>
      <c r="V1183" s="207"/>
    </row>
    <row r="1184" spans="1:22" ht="15" customHeight="1">
      <c r="A1184" s="3">
        <v>37511</v>
      </c>
      <c r="B1184" s="9">
        <v>63925</v>
      </c>
      <c r="C1184" s="5">
        <v>90350</v>
      </c>
      <c r="D1184" s="5" t="e">
        <f>E1184-(#REF!+C1184)</f>
        <v>#REF!</v>
      </c>
      <c r="E1184" s="5">
        <v>190725</v>
      </c>
      <c r="K1184" s="22">
        <v>432</v>
      </c>
      <c r="L1184" s="6">
        <v>438.5</v>
      </c>
      <c r="M1184" s="125">
        <f t="shared" si="19"/>
        <v>6.5</v>
      </c>
      <c r="N1184" s="7"/>
      <c r="O1184" s="132"/>
      <c r="P1184" s="175"/>
      <c r="V1184" s="207"/>
    </row>
    <row r="1185" spans="1:22" ht="15" customHeight="1">
      <c r="A1185" s="3">
        <v>37514</v>
      </c>
      <c r="B1185" s="9">
        <v>63925</v>
      </c>
      <c r="C1185" s="5">
        <v>90525</v>
      </c>
      <c r="D1185" s="5" t="e">
        <f>E1185-(#REF!+C1185)</f>
        <v>#REF!</v>
      </c>
      <c r="E1185" s="5">
        <v>190875</v>
      </c>
      <c r="K1185" s="22">
        <v>427.5</v>
      </c>
      <c r="L1185" s="6">
        <v>433</v>
      </c>
      <c r="M1185" s="125">
        <f t="shared" si="19"/>
        <v>5.5</v>
      </c>
      <c r="N1185" s="7"/>
      <c r="O1185" s="132"/>
      <c r="P1185" s="175"/>
      <c r="V1185" s="207"/>
    </row>
    <row r="1186" spans="1:22" ht="15" customHeight="1">
      <c r="A1186" s="3">
        <v>37515</v>
      </c>
      <c r="B1186" s="9">
        <v>63875</v>
      </c>
      <c r="C1186" s="5">
        <v>90675</v>
      </c>
      <c r="D1186" s="5" t="e">
        <f>E1186-(#REF!+C1186)</f>
        <v>#REF!</v>
      </c>
      <c r="E1186" s="5">
        <v>190975</v>
      </c>
      <c r="K1186" s="22">
        <v>422.5</v>
      </c>
      <c r="L1186" s="6">
        <v>433</v>
      </c>
      <c r="M1186" s="125">
        <f t="shared" si="19"/>
        <v>10.5</v>
      </c>
      <c r="N1186" s="7"/>
      <c r="O1186" s="132"/>
      <c r="P1186" s="175"/>
      <c r="V1186" s="207"/>
    </row>
    <row r="1187" spans="1:22" ht="15" customHeight="1">
      <c r="A1187" s="3">
        <v>37516</v>
      </c>
      <c r="B1187" s="9">
        <v>63550</v>
      </c>
      <c r="C1187" s="5">
        <v>90850</v>
      </c>
      <c r="D1187" s="5" t="e">
        <f>E1187-(#REF!+C1187)</f>
        <v>#REF!</v>
      </c>
      <c r="E1187" s="5">
        <v>190825</v>
      </c>
      <c r="K1187" s="22">
        <v>417.5</v>
      </c>
      <c r="L1187" s="6">
        <v>427</v>
      </c>
      <c r="M1187" s="125">
        <f t="shared" si="19"/>
        <v>9.5</v>
      </c>
      <c r="N1187" s="7"/>
      <c r="O1187" s="132"/>
      <c r="P1187" s="175"/>
      <c r="V1187" s="207"/>
    </row>
    <row r="1188" spans="1:22" ht="15" customHeight="1">
      <c r="A1188" s="3">
        <v>37517</v>
      </c>
      <c r="B1188" s="9">
        <v>62525</v>
      </c>
      <c r="C1188" s="5">
        <v>90925</v>
      </c>
      <c r="D1188" s="5" t="e">
        <f>E1188-(#REF!+C1188)</f>
        <v>#REF!</v>
      </c>
      <c r="E1188" s="5">
        <v>190875</v>
      </c>
      <c r="K1188" s="22">
        <v>416</v>
      </c>
      <c r="L1188" s="6">
        <v>427</v>
      </c>
      <c r="M1188" s="125">
        <f t="shared" si="19"/>
        <v>11</v>
      </c>
      <c r="N1188" s="7"/>
      <c r="O1188" s="132"/>
      <c r="P1188" s="175"/>
      <c r="V1188" s="207"/>
    </row>
    <row r="1189" spans="1:22" ht="15" customHeight="1">
      <c r="A1189" s="3">
        <v>37518</v>
      </c>
      <c r="B1189" s="9">
        <v>63100</v>
      </c>
      <c r="C1189" s="5">
        <v>90925</v>
      </c>
      <c r="D1189" s="5" t="e">
        <f>E1189-(#REF!+C1189)</f>
        <v>#REF!</v>
      </c>
      <c r="E1189" s="5">
        <v>189950</v>
      </c>
      <c r="K1189" s="22">
        <v>416</v>
      </c>
      <c r="L1189" s="6">
        <v>426</v>
      </c>
      <c r="M1189" s="125">
        <f t="shared" si="19"/>
        <v>10</v>
      </c>
      <c r="N1189" s="7"/>
      <c r="O1189" s="132"/>
      <c r="P1189" s="175"/>
      <c r="V1189" s="207"/>
    </row>
    <row r="1190" spans="1:22" ht="15" customHeight="1">
      <c r="A1190" s="3">
        <v>37519</v>
      </c>
      <c r="B1190" s="9">
        <v>62475</v>
      </c>
      <c r="C1190" s="5">
        <v>91000</v>
      </c>
      <c r="D1190" s="5" t="e">
        <f>E1190-(#REF!+C1190)</f>
        <v>#REF!</v>
      </c>
      <c r="E1190" s="5">
        <v>188525</v>
      </c>
      <c r="K1190" s="22">
        <v>413.5</v>
      </c>
      <c r="L1190" s="6">
        <v>423</v>
      </c>
      <c r="M1190" s="125">
        <f t="shared" si="19"/>
        <v>9.5</v>
      </c>
      <c r="N1190" s="7"/>
      <c r="O1190" s="132"/>
      <c r="P1190" s="175"/>
      <c r="V1190" s="207"/>
    </row>
    <row r="1191" spans="1:22" ht="15" customHeight="1">
      <c r="A1191" s="3">
        <v>37522</v>
      </c>
      <c r="B1191" s="9">
        <v>62275</v>
      </c>
      <c r="C1191" s="5">
        <v>91100</v>
      </c>
      <c r="D1191" s="5" t="e">
        <f>E1191-(#REF!+C1191)</f>
        <v>#REF!</v>
      </c>
      <c r="E1191" s="5">
        <v>187875</v>
      </c>
      <c r="K1191" s="22">
        <v>410</v>
      </c>
      <c r="L1191" s="6">
        <v>423</v>
      </c>
      <c r="M1191" s="125">
        <f t="shared" si="19"/>
        <v>13</v>
      </c>
      <c r="N1191" s="7"/>
      <c r="O1191" s="132"/>
      <c r="P1191" s="175"/>
      <c r="V1191" s="207"/>
    </row>
    <row r="1192" spans="1:22" ht="15" customHeight="1">
      <c r="A1192" s="3">
        <v>37523</v>
      </c>
      <c r="B1192" s="9">
        <v>62050</v>
      </c>
      <c r="C1192" s="5">
        <v>91200</v>
      </c>
      <c r="D1192" s="5" t="e">
        <f>E1192-(#REF!+C1192)</f>
        <v>#REF!</v>
      </c>
      <c r="E1192" s="5">
        <v>187575</v>
      </c>
      <c r="K1192" s="22">
        <v>404.5</v>
      </c>
      <c r="L1192" s="6">
        <v>416</v>
      </c>
      <c r="M1192" s="125">
        <f t="shared" si="19"/>
        <v>11.5</v>
      </c>
      <c r="N1192" s="7"/>
      <c r="O1192" s="132"/>
      <c r="P1192" s="175"/>
      <c r="V1192" s="207"/>
    </row>
    <row r="1193" spans="1:22" ht="15" customHeight="1">
      <c r="A1193" s="3">
        <v>37524</v>
      </c>
      <c r="B1193" s="9">
        <v>60750</v>
      </c>
      <c r="C1193" s="5">
        <v>91200</v>
      </c>
      <c r="D1193" s="5" t="e">
        <f>E1193-(#REF!+C1193)</f>
        <v>#REF!</v>
      </c>
      <c r="E1193" s="5">
        <v>186225</v>
      </c>
      <c r="K1193" s="22">
        <v>408</v>
      </c>
      <c r="L1193" s="6">
        <v>418</v>
      </c>
      <c r="M1193" s="125">
        <f t="shared" si="19"/>
        <v>10</v>
      </c>
      <c r="N1193" s="7"/>
      <c r="O1193" s="132"/>
      <c r="P1193" s="175"/>
      <c r="V1193" s="207"/>
    </row>
    <row r="1194" spans="1:22" ht="15" customHeight="1">
      <c r="A1194" s="3">
        <v>37525</v>
      </c>
      <c r="B1194" s="9">
        <v>60650</v>
      </c>
      <c r="C1194" s="5">
        <v>91400</v>
      </c>
      <c r="D1194" s="5" t="e">
        <f>E1194-(#REF!+C1194)</f>
        <v>#REF!</v>
      </c>
      <c r="E1194" s="5">
        <v>186300</v>
      </c>
      <c r="K1194" s="22">
        <v>411.5</v>
      </c>
      <c r="L1194" s="6">
        <v>424</v>
      </c>
      <c r="M1194" s="125">
        <f t="shared" si="19"/>
        <v>12.5</v>
      </c>
      <c r="N1194" s="7"/>
      <c r="O1194" s="132"/>
      <c r="P1194" s="175"/>
      <c r="V1194" s="207"/>
    </row>
    <row r="1195" spans="1:22" ht="15" customHeight="1">
      <c r="A1195" s="3">
        <v>37526</v>
      </c>
      <c r="B1195" s="9">
        <v>59550</v>
      </c>
      <c r="C1195" s="5">
        <v>91425</v>
      </c>
      <c r="D1195" s="5" t="e">
        <f>E1195-(#REF!+C1195)</f>
        <v>#REF!</v>
      </c>
      <c r="E1195" s="5">
        <v>185200</v>
      </c>
      <c r="K1195" s="22">
        <v>411.58</v>
      </c>
      <c r="L1195" s="6">
        <v>423</v>
      </c>
      <c r="M1195" s="125">
        <f t="shared" si="19"/>
        <v>11.420000000000016</v>
      </c>
      <c r="N1195" s="7"/>
      <c r="O1195" s="132"/>
      <c r="P1195" s="175"/>
      <c r="V1195" s="207"/>
    </row>
    <row r="1196" spans="1:22" ht="15" customHeight="1">
      <c r="A1196" s="3">
        <v>37529</v>
      </c>
      <c r="B1196" s="9">
        <v>59325</v>
      </c>
      <c r="C1196" s="5">
        <v>91525</v>
      </c>
      <c r="D1196" s="5" t="e">
        <f>E1196-(#REF!+C1196)</f>
        <v>#REF!</v>
      </c>
      <c r="E1196" s="5">
        <v>185050</v>
      </c>
      <c r="K1196" s="22">
        <v>405</v>
      </c>
      <c r="L1196" s="6">
        <v>419.5</v>
      </c>
      <c r="M1196" s="125">
        <f t="shared" si="19"/>
        <v>14.5</v>
      </c>
      <c r="N1196" s="7"/>
      <c r="O1196" s="132"/>
      <c r="P1196" s="175"/>
      <c r="V1196" s="207"/>
    </row>
    <row r="1197" spans="1:22" ht="15" customHeight="1">
      <c r="A1197" s="3">
        <v>37530</v>
      </c>
      <c r="B1197" s="9">
        <v>58250</v>
      </c>
      <c r="C1197" s="5">
        <v>91525</v>
      </c>
      <c r="D1197" s="5" t="e">
        <f>E1197-(#REF!+C1197)</f>
        <v>#REF!</v>
      </c>
      <c r="E1197" s="5">
        <v>183950</v>
      </c>
      <c r="K1197" s="22">
        <v>402.5</v>
      </c>
      <c r="L1197" s="6">
        <v>414</v>
      </c>
      <c r="M1197" s="125">
        <f t="shared" si="19"/>
        <v>11.5</v>
      </c>
      <c r="N1197" s="7"/>
      <c r="O1197" s="132"/>
      <c r="P1197" s="175"/>
      <c r="V1197" s="207"/>
    </row>
    <row r="1198" spans="1:22" ht="15" customHeight="1">
      <c r="A1198" s="3">
        <v>37531</v>
      </c>
      <c r="B1198" s="9">
        <v>57625</v>
      </c>
      <c r="C1198" s="5">
        <v>91650</v>
      </c>
      <c r="D1198" s="5" t="e">
        <f>E1198-(#REF!+C1198)</f>
        <v>#REF!</v>
      </c>
      <c r="E1198" s="5">
        <v>182600</v>
      </c>
      <c r="K1198" s="22">
        <v>411.5</v>
      </c>
      <c r="L1198" s="6">
        <v>423.5</v>
      </c>
      <c r="M1198" s="125">
        <f t="shared" si="19"/>
        <v>12</v>
      </c>
      <c r="N1198" s="7"/>
      <c r="O1198" s="132"/>
      <c r="P1198" s="175"/>
      <c r="V1198" s="207"/>
    </row>
    <row r="1199" spans="1:22" ht="15" customHeight="1">
      <c r="A1199" s="3">
        <v>37532</v>
      </c>
      <c r="B1199" s="9">
        <v>56700</v>
      </c>
      <c r="C1199" s="5">
        <v>91650</v>
      </c>
      <c r="D1199" s="5" t="e">
        <f>E1199-(#REF!+C1199)</f>
        <v>#REF!</v>
      </c>
      <c r="E1199" s="5">
        <v>181000</v>
      </c>
      <c r="K1199" s="22">
        <v>411</v>
      </c>
      <c r="L1199" s="6">
        <v>422</v>
      </c>
      <c r="M1199" s="125">
        <f t="shared" si="19"/>
        <v>11</v>
      </c>
      <c r="N1199" s="7"/>
      <c r="O1199" s="132"/>
      <c r="P1199" s="175"/>
      <c r="V1199" s="207"/>
    </row>
    <row r="1200" spans="1:22" ht="15" customHeight="1">
      <c r="A1200" s="3">
        <v>37533</v>
      </c>
      <c r="B1200" s="9">
        <v>56175</v>
      </c>
      <c r="C1200" s="5">
        <v>91650</v>
      </c>
      <c r="D1200" s="5" t="e">
        <f>E1200-(#REF!+C1200)</f>
        <v>#REF!</v>
      </c>
      <c r="E1200" s="5">
        <v>180200</v>
      </c>
      <c r="K1200" s="22">
        <v>414.5</v>
      </c>
      <c r="L1200" s="6">
        <v>424</v>
      </c>
      <c r="M1200" s="125">
        <f t="shared" si="19"/>
        <v>9.5</v>
      </c>
      <c r="N1200" s="7"/>
      <c r="O1200" s="132"/>
      <c r="P1200" s="175"/>
      <c r="V1200" s="207"/>
    </row>
    <row r="1201" spans="1:22" ht="15" customHeight="1">
      <c r="A1201" s="3">
        <v>37536</v>
      </c>
      <c r="B1201" s="9">
        <v>56075</v>
      </c>
      <c r="C1201" s="5">
        <v>91825</v>
      </c>
      <c r="D1201" s="5" t="e">
        <f>E1201-(#REF!+C1201)</f>
        <v>#REF!</v>
      </c>
      <c r="E1201" s="5">
        <v>179875</v>
      </c>
      <c r="K1201" s="22">
        <v>408.5</v>
      </c>
      <c r="L1201" s="6">
        <v>421</v>
      </c>
      <c r="M1201" s="125">
        <f t="shared" si="19"/>
        <v>12.5</v>
      </c>
      <c r="N1201" s="7"/>
      <c r="O1201" s="132"/>
      <c r="P1201" s="175"/>
      <c r="V1201" s="207"/>
    </row>
    <row r="1202" spans="1:22" ht="15" customHeight="1">
      <c r="A1202" s="3">
        <v>37537</v>
      </c>
      <c r="B1202" s="9">
        <v>55700</v>
      </c>
      <c r="C1202" s="5">
        <v>91925</v>
      </c>
      <c r="D1202" s="5" t="e">
        <f>E1202-(#REF!+C1202)</f>
        <v>#REF!</v>
      </c>
      <c r="E1202" s="5">
        <v>179550</v>
      </c>
      <c r="K1202" s="22">
        <v>414</v>
      </c>
      <c r="L1202" s="6">
        <v>424.5</v>
      </c>
      <c r="M1202" s="125">
        <f t="shared" si="19"/>
        <v>10.5</v>
      </c>
      <c r="N1202" s="7"/>
      <c r="O1202" s="132"/>
      <c r="P1202" s="175"/>
      <c r="V1202" s="207"/>
    </row>
    <row r="1203" spans="1:22" ht="15" customHeight="1">
      <c r="A1203" s="3">
        <v>37538</v>
      </c>
      <c r="B1203" s="9">
        <v>55250</v>
      </c>
      <c r="C1203" s="5">
        <v>92025</v>
      </c>
      <c r="D1203" s="5" t="e">
        <f>E1203-(#REF!+C1203)</f>
        <v>#REF!</v>
      </c>
      <c r="E1203" s="5">
        <v>179100</v>
      </c>
      <c r="K1203" s="22">
        <v>422</v>
      </c>
      <c r="L1203" s="6">
        <v>434</v>
      </c>
      <c r="M1203" s="125">
        <f t="shared" si="19"/>
        <v>12</v>
      </c>
      <c r="N1203" s="7"/>
      <c r="O1203" s="132"/>
      <c r="P1203" s="175"/>
      <c r="V1203" s="207"/>
    </row>
    <row r="1204" spans="1:22" ht="15" customHeight="1">
      <c r="A1204" s="3">
        <v>37539</v>
      </c>
      <c r="B1204" s="9">
        <v>55400</v>
      </c>
      <c r="C1204" s="5">
        <v>92625</v>
      </c>
      <c r="D1204" s="5" t="e">
        <f>E1204-(#REF!+C1204)</f>
        <v>#REF!</v>
      </c>
      <c r="E1204" s="5">
        <v>179775</v>
      </c>
      <c r="K1204" s="22">
        <v>416</v>
      </c>
      <c r="L1204" s="6">
        <v>426</v>
      </c>
      <c r="M1204" s="125">
        <f t="shared" si="19"/>
        <v>10</v>
      </c>
      <c r="N1204" s="7"/>
      <c r="O1204" s="132"/>
      <c r="P1204" s="175"/>
      <c r="V1204" s="207"/>
    </row>
    <row r="1205" spans="1:22" ht="15" customHeight="1">
      <c r="A1205" s="3">
        <v>37540</v>
      </c>
      <c r="B1205" s="9">
        <v>57375</v>
      </c>
      <c r="C1205" s="5">
        <v>92875</v>
      </c>
      <c r="D1205" s="5" t="e">
        <f>E1205-(#REF!+C1205)</f>
        <v>#REF!</v>
      </c>
      <c r="E1205" s="5">
        <v>181875</v>
      </c>
      <c r="K1205" s="22">
        <v>423</v>
      </c>
      <c r="L1205" s="6">
        <v>435</v>
      </c>
      <c r="M1205" s="125">
        <f t="shared" si="19"/>
        <v>12</v>
      </c>
      <c r="N1205" s="7"/>
      <c r="O1205" s="132"/>
      <c r="P1205" s="175"/>
      <c r="V1205" s="207"/>
    </row>
    <row r="1206" spans="1:22" ht="15" customHeight="1">
      <c r="A1206" s="3">
        <v>37543</v>
      </c>
      <c r="B1206" s="9">
        <v>57075</v>
      </c>
      <c r="C1206" s="5">
        <v>94550</v>
      </c>
      <c r="D1206" s="5" t="e">
        <f>E1206-(#REF!+C1206)</f>
        <v>#REF!</v>
      </c>
      <c r="E1206" s="5">
        <v>183200</v>
      </c>
      <c r="K1206" s="22">
        <v>417</v>
      </c>
      <c r="L1206" s="6">
        <v>429</v>
      </c>
      <c r="M1206" s="125">
        <f t="shared" si="19"/>
        <v>12</v>
      </c>
      <c r="N1206" s="7"/>
      <c r="O1206" s="132"/>
      <c r="P1206" s="175"/>
      <c r="V1206" s="207"/>
    </row>
    <row r="1207" spans="1:22" ht="15" customHeight="1">
      <c r="A1207" s="3">
        <v>37544</v>
      </c>
      <c r="B1207" s="9">
        <v>56275</v>
      </c>
      <c r="C1207" s="5">
        <v>96275</v>
      </c>
      <c r="D1207" s="5" t="e">
        <f>E1207-(#REF!+C1207)</f>
        <v>#REF!</v>
      </c>
      <c r="E1207" s="5">
        <v>184050</v>
      </c>
      <c r="K1207" s="22">
        <v>418.5</v>
      </c>
      <c r="L1207" s="6">
        <v>430</v>
      </c>
      <c r="M1207" s="125">
        <f t="shared" ref="M1207:M1270" si="20">L1207-K1207</f>
        <v>11.5</v>
      </c>
      <c r="N1207" s="7"/>
      <c r="O1207" s="132"/>
      <c r="P1207" s="175"/>
      <c r="V1207" s="207"/>
    </row>
    <row r="1208" spans="1:22" ht="15" customHeight="1">
      <c r="A1208" s="3">
        <v>37545</v>
      </c>
      <c r="B1208" s="9">
        <v>54925</v>
      </c>
      <c r="C1208" s="5">
        <v>98925</v>
      </c>
      <c r="D1208" s="5" t="e">
        <f>E1208-(#REF!+C1208)</f>
        <v>#REF!</v>
      </c>
      <c r="E1208" s="5">
        <v>185275</v>
      </c>
      <c r="K1208" s="22">
        <v>420</v>
      </c>
      <c r="L1208" s="6">
        <v>429</v>
      </c>
      <c r="M1208" s="125">
        <f t="shared" si="20"/>
        <v>9</v>
      </c>
      <c r="N1208" s="7"/>
      <c r="O1208" s="132"/>
      <c r="P1208" s="175"/>
      <c r="V1208" s="207"/>
    </row>
    <row r="1209" spans="1:22" ht="15" customHeight="1">
      <c r="A1209" s="3">
        <v>37546</v>
      </c>
      <c r="B1209" s="9">
        <v>57725</v>
      </c>
      <c r="C1209" s="5">
        <v>105575</v>
      </c>
      <c r="D1209" s="5" t="e">
        <f>E1209-(#REF!+C1209)</f>
        <v>#REF!</v>
      </c>
      <c r="E1209" s="5">
        <v>194625</v>
      </c>
      <c r="K1209" s="22">
        <v>422.5</v>
      </c>
      <c r="L1209" s="6">
        <v>432.5</v>
      </c>
      <c r="M1209" s="125">
        <f t="shared" si="20"/>
        <v>10</v>
      </c>
      <c r="N1209" s="7"/>
      <c r="O1209" s="132"/>
      <c r="P1209" s="175"/>
      <c r="V1209" s="207"/>
    </row>
    <row r="1210" spans="1:22" ht="15" customHeight="1">
      <c r="A1210" s="3">
        <v>37547</v>
      </c>
      <c r="B1210" s="9">
        <v>57675</v>
      </c>
      <c r="C1210" s="5">
        <v>105625</v>
      </c>
      <c r="D1210" s="5" t="e">
        <f>E1210-(#REF!+C1210)</f>
        <v>#REF!</v>
      </c>
      <c r="E1210" s="5">
        <v>193575</v>
      </c>
      <c r="K1210" s="22">
        <v>423</v>
      </c>
      <c r="L1210" s="6">
        <v>431</v>
      </c>
      <c r="M1210" s="125">
        <f t="shared" si="20"/>
        <v>8</v>
      </c>
      <c r="N1210" s="7"/>
      <c r="O1210" s="132"/>
      <c r="P1210" s="175"/>
      <c r="V1210" s="207"/>
    </row>
    <row r="1211" spans="1:22" ht="15" customHeight="1">
      <c r="A1211" s="3">
        <v>37550</v>
      </c>
      <c r="B1211" s="9">
        <v>56275</v>
      </c>
      <c r="C1211" s="5">
        <v>105625</v>
      </c>
      <c r="D1211" s="5" t="e">
        <f>E1211-(#REF!+C1211)</f>
        <v>#REF!</v>
      </c>
      <c r="E1211" s="5">
        <v>190750</v>
      </c>
      <c r="K1211" s="22">
        <v>415</v>
      </c>
      <c r="L1211" s="6">
        <v>424</v>
      </c>
      <c r="M1211" s="125">
        <f t="shared" si="20"/>
        <v>9</v>
      </c>
      <c r="N1211" s="7"/>
      <c r="O1211" s="132"/>
      <c r="P1211" s="175"/>
      <c r="V1211" s="207"/>
    </row>
    <row r="1212" spans="1:22" ht="15" customHeight="1">
      <c r="A1212" s="3">
        <v>37551</v>
      </c>
      <c r="B1212" s="9">
        <v>55250</v>
      </c>
      <c r="C1212" s="5">
        <v>105700</v>
      </c>
      <c r="D1212" s="5" t="e">
        <f>E1212-(#REF!+C1212)</f>
        <v>#REF!</v>
      </c>
      <c r="E1212" s="5">
        <v>189100</v>
      </c>
      <c r="K1212" s="22">
        <v>416</v>
      </c>
      <c r="L1212" s="6">
        <v>428</v>
      </c>
      <c r="M1212" s="125">
        <f t="shared" si="20"/>
        <v>12</v>
      </c>
      <c r="N1212" s="7"/>
      <c r="O1212" s="132"/>
      <c r="P1212" s="175"/>
      <c r="V1212" s="207"/>
    </row>
    <row r="1213" spans="1:22" ht="15" customHeight="1">
      <c r="A1213" s="3">
        <v>37552</v>
      </c>
      <c r="B1213" s="9">
        <v>55225</v>
      </c>
      <c r="C1213" s="5">
        <v>105875</v>
      </c>
      <c r="D1213" s="5" t="e">
        <f>E1213-(#REF!+C1213)</f>
        <v>#REF!</v>
      </c>
      <c r="E1213" s="5">
        <v>188675</v>
      </c>
      <c r="K1213" s="22">
        <v>419.5</v>
      </c>
      <c r="L1213" s="6">
        <v>430.5</v>
      </c>
      <c r="M1213" s="125">
        <f t="shared" si="20"/>
        <v>11</v>
      </c>
      <c r="N1213" s="7"/>
      <c r="O1213" s="132"/>
      <c r="P1213" s="175"/>
      <c r="V1213" s="207"/>
    </row>
    <row r="1214" spans="1:22" ht="15" customHeight="1">
      <c r="A1214" s="3">
        <v>37553</v>
      </c>
      <c r="B1214" s="9">
        <v>55075</v>
      </c>
      <c r="C1214" s="5">
        <v>105875</v>
      </c>
      <c r="D1214" s="5" t="e">
        <f>E1214-(#REF!+C1214)</f>
        <v>#REF!</v>
      </c>
      <c r="E1214" s="5">
        <v>187700</v>
      </c>
      <c r="K1214" s="22">
        <v>410.5</v>
      </c>
      <c r="L1214" s="6">
        <v>424</v>
      </c>
      <c r="M1214" s="125">
        <f t="shared" si="20"/>
        <v>13.5</v>
      </c>
      <c r="N1214" s="7"/>
      <c r="O1214" s="132"/>
      <c r="P1214" s="175"/>
      <c r="V1214" s="207"/>
    </row>
    <row r="1215" spans="1:22" ht="15" customHeight="1">
      <c r="A1215" s="3">
        <v>37556</v>
      </c>
      <c r="B1215" s="9">
        <v>55000</v>
      </c>
      <c r="C1215" s="5">
        <v>105875</v>
      </c>
      <c r="D1215" s="5" t="e">
        <f>E1215-(#REF!+C1215)</f>
        <v>#REF!</v>
      </c>
      <c r="E1215" s="5">
        <v>186775</v>
      </c>
      <c r="K1215" s="22">
        <v>420</v>
      </c>
      <c r="L1215" s="6">
        <v>428.5</v>
      </c>
      <c r="M1215" s="125">
        <f t="shared" si="20"/>
        <v>8.5</v>
      </c>
      <c r="N1215" s="7"/>
      <c r="O1215" s="132"/>
      <c r="P1215" s="175"/>
      <c r="V1215" s="207"/>
    </row>
    <row r="1216" spans="1:22" ht="15" customHeight="1">
      <c r="A1216" s="3">
        <v>37557</v>
      </c>
      <c r="B1216" s="9">
        <v>54775</v>
      </c>
      <c r="C1216" s="5">
        <v>105900</v>
      </c>
      <c r="D1216" s="5" t="e">
        <f>E1216-(#REF!+C1216)</f>
        <v>#REF!</v>
      </c>
      <c r="E1216" s="5">
        <v>186025</v>
      </c>
      <c r="K1216" s="22">
        <v>425</v>
      </c>
      <c r="L1216" s="6">
        <v>435</v>
      </c>
      <c r="M1216" s="125">
        <f t="shared" si="20"/>
        <v>10</v>
      </c>
      <c r="N1216" s="7"/>
      <c r="O1216" s="132"/>
      <c r="P1216" s="175"/>
      <c r="V1216" s="207"/>
    </row>
    <row r="1217" spans="1:22" ht="15" customHeight="1">
      <c r="A1217" s="3">
        <v>37558</v>
      </c>
      <c r="B1217" s="9">
        <v>56050</v>
      </c>
      <c r="C1217" s="5">
        <v>105900</v>
      </c>
      <c r="D1217" s="5" t="e">
        <f>E1217-(#REF!+C1217)</f>
        <v>#REF!</v>
      </c>
      <c r="E1217" s="5">
        <v>186025</v>
      </c>
      <c r="K1217" s="22">
        <v>422.5</v>
      </c>
      <c r="L1217" s="6">
        <v>433</v>
      </c>
      <c r="M1217" s="125">
        <f t="shared" si="20"/>
        <v>10.5</v>
      </c>
      <c r="N1217" s="7"/>
      <c r="O1217" s="132"/>
      <c r="P1217" s="175"/>
      <c r="V1217" s="207"/>
    </row>
    <row r="1218" spans="1:22" ht="15" customHeight="1">
      <c r="A1218" s="3">
        <v>37559</v>
      </c>
      <c r="B1218" s="9">
        <v>55425</v>
      </c>
      <c r="C1218" s="5">
        <v>106000</v>
      </c>
      <c r="D1218" s="5" t="e">
        <f>E1218-(#REF!+C1218)</f>
        <v>#REF!</v>
      </c>
      <c r="E1218" s="5">
        <v>184775</v>
      </c>
      <c r="K1218" s="22">
        <v>429</v>
      </c>
      <c r="L1218" s="6">
        <v>437</v>
      </c>
      <c r="M1218" s="125">
        <f t="shared" si="20"/>
        <v>8</v>
      </c>
      <c r="N1218" s="7"/>
      <c r="O1218" s="132"/>
      <c r="P1218" s="175"/>
      <c r="V1218" s="207"/>
    </row>
    <row r="1219" spans="1:22" ht="15" customHeight="1">
      <c r="A1219" s="3">
        <v>37560</v>
      </c>
      <c r="B1219" s="9">
        <v>55425</v>
      </c>
      <c r="C1219" s="5">
        <v>106000</v>
      </c>
      <c r="D1219" s="5" t="e">
        <f>E1219-(#REF!+C1219)</f>
        <v>#REF!</v>
      </c>
      <c r="E1219" s="5">
        <v>184300</v>
      </c>
      <c r="K1219" s="22">
        <v>436</v>
      </c>
      <c r="L1219" s="6">
        <v>447</v>
      </c>
      <c r="M1219" s="125">
        <f t="shared" si="20"/>
        <v>11</v>
      </c>
      <c r="N1219" s="7"/>
      <c r="O1219" s="132"/>
      <c r="P1219" s="175"/>
      <c r="V1219" s="207"/>
    </row>
    <row r="1220" spans="1:22" ht="15" customHeight="1">
      <c r="A1220" s="3">
        <v>37561</v>
      </c>
      <c r="B1220" s="9">
        <v>55375</v>
      </c>
      <c r="C1220" s="5">
        <v>106000</v>
      </c>
      <c r="D1220" s="5" t="e">
        <f>E1220-(#REF!+C1220)</f>
        <v>#REF!</v>
      </c>
      <c r="E1220" s="5">
        <v>184025</v>
      </c>
      <c r="K1220" s="22">
        <v>430.5</v>
      </c>
      <c r="L1220" s="6">
        <v>440</v>
      </c>
      <c r="M1220" s="125">
        <f t="shared" si="20"/>
        <v>9.5</v>
      </c>
      <c r="N1220" s="7"/>
      <c r="O1220" s="132"/>
      <c r="P1220" s="175"/>
      <c r="V1220" s="207"/>
    </row>
    <row r="1221" spans="1:22" ht="15" customHeight="1">
      <c r="A1221" s="3">
        <v>37564</v>
      </c>
      <c r="B1221" s="9">
        <v>54200</v>
      </c>
      <c r="C1221" s="5">
        <v>107475</v>
      </c>
      <c r="D1221" s="5" t="e">
        <f>E1221-(#REF!+C1221)</f>
        <v>#REF!</v>
      </c>
      <c r="E1221" s="5">
        <v>184300</v>
      </c>
      <c r="K1221" s="22">
        <v>443</v>
      </c>
      <c r="L1221" s="6">
        <v>450.5</v>
      </c>
      <c r="M1221" s="125">
        <f t="shared" si="20"/>
        <v>7.5</v>
      </c>
      <c r="N1221" s="7"/>
      <c r="O1221" s="132"/>
      <c r="P1221" s="175"/>
      <c r="V1221" s="207"/>
    </row>
    <row r="1222" spans="1:22" ht="15" customHeight="1">
      <c r="A1222" s="3">
        <v>37565</v>
      </c>
      <c r="B1222" s="9">
        <v>55250</v>
      </c>
      <c r="C1222" s="5">
        <v>111675</v>
      </c>
      <c r="D1222" s="5" t="e">
        <f>E1222-(#REF!+C1222)</f>
        <v>#REF!</v>
      </c>
      <c r="E1222" s="5">
        <v>189475</v>
      </c>
      <c r="K1222" s="22">
        <v>437</v>
      </c>
      <c r="L1222" s="6">
        <v>447</v>
      </c>
      <c r="M1222" s="125">
        <f t="shared" si="20"/>
        <v>10</v>
      </c>
      <c r="N1222" s="7"/>
      <c r="O1222" s="132"/>
      <c r="P1222" s="175"/>
      <c r="V1222" s="207"/>
    </row>
    <row r="1223" spans="1:22" ht="15" customHeight="1">
      <c r="A1223" s="3">
        <v>37566</v>
      </c>
      <c r="B1223" s="9">
        <v>55250</v>
      </c>
      <c r="C1223" s="5">
        <v>111675</v>
      </c>
      <c r="D1223" s="5" t="e">
        <f>E1223-(#REF!+C1223)</f>
        <v>#REF!</v>
      </c>
      <c r="E1223" s="5">
        <v>189200</v>
      </c>
      <c r="K1223" s="22">
        <v>439.5</v>
      </c>
      <c r="L1223" s="6">
        <v>449</v>
      </c>
      <c r="M1223" s="125">
        <f t="shared" si="20"/>
        <v>9.5</v>
      </c>
      <c r="N1223" s="7"/>
      <c r="O1223" s="132"/>
      <c r="P1223" s="175"/>
      <c r="V1223" s="207"/>
    </row>
    <row r="1224" spans="1:22" ht="15" customHeight="1">
      <c r="A1224" s="3">
        <v>37567</v>
      </c>
      <c r="B1224" s="9">
        <v>55250</v>
      </c>
      <c r="C1224" s="5">
        <v>111675</v>
      </c>
      <c r="D1224" s="5" t="e">
        <f>E1224-(#REF!+C1224)</f>
        <v>#REF!</v>
      </c>
      <c r="E1224" s="5">
        <v>188950</v>
      </c>
      <c r="K1224" s="22">
        <v>432</v>
      </c>
      <c r="L1224" s="6">
        <v>441.5</v>
      </c>
      <c r="M1224" s="125">
        <f t="shared" si="20"/>
        <v>9.5</v>
      </c>
      <c r="N1224" s="7"/>
      <c r="O1224" s="132"/>
      <c r="P1224" s="175"/>
      <c r="V1224" s="207"/>
    </row>
    <row r="1225" spans="1:22" ht="15" customHeight="1">
      <c r="A1225" s="3">
        <v>37568</v>
      </c>
      <c r="B1225" s="9">
        <v>55225</v>
      </c>
      <c r="C1225" s="5">
        <v>111675</v>
      </c>
      <c r="D1225" s="5" t="e">
        <f>E1225-(#REF!+C1225)</f>
        <v>#REF!</v>
      </c>
      <c r="E1225" s="5">
        <v>188825</v>
      </c>
      <c r="K1225" s="22">
        <v>431</v>
      </c>
      <c r="L1225" s="6">
        <v>440</v>
      </c>
      <c r="M1225" s="125">
        <f t="shared" si="20"/>
        <v>9</v>
      </c>
      <c r="N1225" s="7"/>
      <c r="O1225" s="132"/>
      <c r="P1225" s="175"/>
      <c r="V1225" s="207"/>
    </row>
    <row r="1226" spans="1:22" ht="15" customHeight="1">
      <c r="A1226" s="3">
        <v>37571</v>
      </c>
      <c r="B1226" s="9">
        <v>55175</v>
      </c>
      <c r="C1226" s="5">
        <v>111675</v>
      </c>
      <c r="D1226" s="5" t="e">
        <f>E1226-(#REF!+C1226)</f>
        <v>#REF!</v>
      </c>
      <c r="E1226" s="5">
        <v>188600</v>
      </c>
      <c r="K1226" s="22">
        <v>435</v>
      </c>
      <c r="L1226" s="6">
        <v>443</v>
      </c>
      <c r="M1226" s="125">
        <f t="shared" si="20"/>
        <v>8</v>
      </c>
      <c r="N1226" s="7"/>
      <c r="O1226" s="132"/>
      <c r="P1226" s="175"/>
      <c r="V1226" s="207"/>
    </row>
    <row r="1227" spans="1:22" ht="15" customHeight="1">
      <c r="A1227" s="3">
        <v>37572</v>
      </c>
      <c r="B1227" s="9">
        <v>55075</v>
      </c>
      <c r="C1227" s="5">
        <v>111675</v>
      </c>
      <c r="D1227" s="5" t="e">
        <f>E1227-(#REF!+C1227)</f>
        <v>#REF!</v>
      </c>
      <c r="E1227" s="5">
        <v>188428</v>
      </c>
      <c r="K1227" s="22">
        <v>426</v>
      </c>
      <c r="L1227" s="6">
        <v>436</v>
      </c>
      <c r="M1227" s="125">
        <f t="shared" si="20"/>
        <v>10</v>
      </c>
      <c r="N1227" s="7"/>
      <c r="O1227" s="132"/>
      <c r="P1227" s="175"/>
      <c r="V1227" s="207"/>
    </row>
    <row r="1228" spans="1:22" ht="15" customHeight="1">
      <c r="A1228" s="3">
        <v>37573</v>
      </c>
      <c r="B1228" s="9">
        <v>54900</v>
      </c>
      <c r="C1228" s="5">
        <v>111675</v>
      </c>
      <c r="D1228" s="5" t="e">
        <f>E1228-(#REF!+C1228)</f>
        <v>#REF!</v>
      </c>
      <c r="E1228" s="5">
        <v>187800</v>
      </c>
      <c r="K1228" s="22">
        <v>423.5</v>
      </c>
      <c r="L1228" s="6">
        <v>436</v>
      </c>
      <c r="M1228" s="125">
        <f t="shared" si="20"/>
        <v>12.5</v>
      </c>
      <c r="N1228" s="7"/>
      <c r="O1228" s="132"/>
      <c r="P1228" s="175"/>
      <c r="V1228" s="207"/>
    </row>
    <row r="1229" spans="1:22" ht="15" customHeight="1">
      <c r="A1229" s="3">
        <v>37574</v>
      </c>
      <c r="B1229" s="9">
        <v>54350</v>
      </c>
      <c r="C1229" s="5">
        <v>111675</v>
      </c>
      <c r="D1229" s="5" t="e">
        <f>E1229-(#REF!+C1229)</f>
        <v>#REF!</v>
      </c>
      <c r="E1229" s="5">
        <v>186825</v>
      </c>
      <c r="K1229" s="22">
        <v>427</v>
      </c>
      <c r="L1229" s="6">
        <v>434.5</v>
      </c>
      <c r="M1229" s="125">
        <f t="shared" si="20"/>
        <v>7.5</v>
      </c>
      <c r="N1229" s="7"/>
      <c r="O1229" s="132"/>
      <c r="P1229" s="175"/>
      <c r="V1229" s="207"/>
    </row>
    <row r="1230" spans="1:22" ht="15" customHeight="1">
      <c r="A1230" s="3">
        <v>37575</v>
      </c>
      <c r="B1230" s="9">
        <v>53675</v>
      </c>
      <c r="C1230" s="5">
        <v>111750</v>
      </c>
      <c r="D1230" s="5" t="e">
        <f>E1230-(#REF!+C1230)</f>
        <v>#REF!</v>
      </c>
      <c r="E1230" s="5">
        <v>185700</v>
      </c>
      <c r="K1230" s="22">
        <v>434.5</v>
      </c>
      <c r="L1230" s="6">
        <v>442</v>
      </c>
      <c r="M1230" s="125">
        <f t="shared" si="20"/>
        <v>7.5</v>
      </c>
      <c r="N1230" s="7"/>
      <c r="O1230" s="132"/>
      <c r="P1230" s="175"/>
      <c r="V1230" s="207"/>
    </row>
    <row r="1231" spans="1:22" ht="15" customHeight="1">
      <c r="A1231" s="3">
        <v>37578</v>
      </c>
      <c r="B1231" s="9">
        <v>53225</v>
      </c>
      <c r="C1231" s="5">
        <v>111750</v>
      </c>
      <c r="D1231" s="5" t="e">
        <f>E1231-(#REF!+C1231)</f>
        <v>#REF!</v>
      </c>
      <c r="E1231" s="5">
        <v>184650</v>
      </c>
      <c r="K1231" s="22">
        <v>436</v>
      </c>
      <c r="L1231" s="6">
        <v>444.5</v>
      </c>
      <c r="M1231" s="125">
        <f t="shared" si="20"/>
        <v>8.5</v>
      </c>
      <c r="N1231" s="7"/>
      <c r="O1231" s="132"/>
      <c r="P1231" s="175"/>
      <c r="V1231" s="207"/>
    </row>
    <row r="1232" spans="1:22" ht="15" customHeight="1">
      <c r="A1232" s="3">
        <v>37579</v>
      </c>
      <c r="B1232" s="9">
        <v>51400</v>
      </c>
      <c r="C1232" s="5">
        <v>111825</v>
      </c>
      <c r="D1232" s="5" t="e">
        <f>E1232-(#REF!+C1232)</f>
        <v>#REF!</v>
      </c>
      <c r="E1232" s="5">
        <v>182700</v>
      </c>
      <c r="K1232" s="22">
        <v>443</v>
      </c>
      <c r="L1232" s="6">
        <v>449</v>
      </c>
      <c r="M1232" s="125">
        <f t="shared" si="20"/>
        <v>6</v>
      </c>
      <c r="N1232" s="7"/>
      <c r="O1232" s="132"/>
      <c r="P1232" s="175"/>
      <c r="V1232" s="207"/>
    </row>
    <row r="1233" spans="1:22" ht="15" customHeight="1">
      <c r="A1233" s="3">
        <v>37580</v>
      </c>
      <c r="B1233" s="9">
        <v>51100</v>
      </c>
      <c r="C1233" s="5">
        <v>111825</v>
      </c>
      <c r="D1233" s="5" t="e">
        <f>E1233-(#REF!+C1233)</f>
        <v>#REF!</v>
      </c>
      <c r="E1233" s="5">
        <v>182350</v>
      </c>
      <c r="K1233" s="22">
        <v>450.5</v>
      </c>
      <c r="L1233" s="6">
        <v>455.5</v>
      </c>
      <c r="M1233" s="125">
        <f t="shared" si="20"/>
        <v>5</v>
      </c>
      <c r="N1233" s="7"/>
      <c r="O1233" s="132"/>
      <c r="P1233" s="175"/>
      <c r="V1233" s="207"/>
    </row>
    <row r="1234" spans="1:22" ht="15" customHeight="1">
      <c r="A1234" s="3">
        <v>37581</v>
      </c>
      <c r="B1234" s="9">
        <v>50700</v>
      </c>
      <c r="C1234" s="5">
        <v>111950</v>
      </c>
      <c r="D1234" s="5" t="e">
        <f>E1234-(#REF!+C1234)</f>
        <v>#REF!</v>
      </c>
      <c r="E1234" s="5">
        <v>182000</v>
      </c>
      <c r="K1234" s="22">
        <v>455.5</v>
      </c>
      <c r="L1234" s="6">
        <v>457.5</v>
      </c>
      <c r="M1234" s="125">
        <f t="shared" si="20"/>
        <v>2</v>
      </c>
      <c r="N1234" s="7"/>
      <c r="O1234" s="132"/>
      <c r="P1234" s="175"/>
      <c r="V1234" s="207"/>
    </row>
    <row r="1235" spans="1:22" ht="15" customHeight="1">
      <c r="A1235" s="3">
        <v>37582</v>
      </c>
      <c r="B1235" s="9">
        <v>50700</v>
      </c>
      <c r="C1235" s="5">
        <v>112050</v>
      </c>
      <c r="D1235" s="5" t="e">
        <f>E1235-(#REF!+C1235)</f>
        <v>#REF!</v>
      </c>
      <c r="E1235" s="5">
        <v>182050</v>
      </c>
      <c r="K1235" s="22">
        <v>451.5</v>
      </c>
      <c r="L1235" s="6">
        <v>456</v>
      </c>
      <c r="M1235" s="125">
        <f t="shared" si="20"/>
        <v>4.5</v>
      </c>
      <c r="N1235" s="7"/>
      <c r="O1235" s="132"/>
      <c r="P1235" s="175"/>
      <c r="V1235" s="207"/>
    </row>
    <row r="1236" spans="1:22" ht="15" customHeight="1">
      <c r="A1236" s="3">
        <v>37585</v>
      </c>
      <c r="B1236" s="9">
        <v>50275</v>
      </c>
      <c r="C1236" s="5">
        <v>112275</v>
      </c>
      <c r="D1236" s="5" t="e">
        <f>E1236-(#REF!+C1236)</f>
        <v>#REF!</v>
      </c>
      <c r="E1236" s="5">
        <v>181850</v>
      </c>
      <c r="K1236" s="22">
        <v>455</v>
      </c>
      <c r="L1236" s="6">
        <v>459</v>
      </c>
      <c r="M1236" s="125">
        <f t="shared" si="20"/>
        <v>4</v>
      </c>
      <c r="N1236" s="7"/>
      <c r="O1236" s="132"/>
      <c r="P1236" s="175"/>
      <c r="V1236" s="207"/>
    </row>
    <row r="1237" spans="1:22" ht="15" customHeight="1">
      <c r="A1237" s="3">
        <v>37586</v>
      </c>
      <c r="B1237" s="9">
        <v>50025</v>
      </c>
      <c r="C1237" s="5">
        <v>112275</v>
      </c>
      <c r="D1237" s="5" t="e">
        <f>E1237-(#REF!+C1237)</f>
        <v>#REF!</v>
      </c>
      <c r="E1237" s="5">
        <v>181525</v>
      </c>
      <c r="K1237" s="22">
        <v>458.5</v>
      </c>
      <c r="L1237" s="6">
        <v>462</v>
      </c>
      <c r="M1237" s="125">
        <f t="shared" si="20"/>
        <v>3.5</v>
      </c>
      <c r="N1237" s="7"/>
      <c r="O1237" s="132"/>
      <c r="P1237" s="175"/>
      <c r="V1237" s="207"/>
    </row>
    <row r="1238" spans="1:22" ht="15" customHeight="1">
      <c r="A1238" s="3">
        <v>37587</v>
      </c>
      <c r="B1238" s="9">
        <v>50325</v>
      </c>
      <c r="C1238" s="5">
        <v>112275</v>
      </c>
      <c r="D1238" s="5" t="e">
        <f>E1238-(#REF!+C1238)</f>
        <v>#REF!</v>
      </c>
      <c r="E1238" s="5">
        <v>181575</v>
      </c>
      <c r="K1238" s="22">
        <v>452.5</v>
      </c>
      <c r="L1238" s="6">
        <v>456.5</v>
      </c>
      <c r="M1238" s="125">
        <f t="shared" si="20"/>
        <v>4</v>
      </c>
      <c r="N1238" s="7"/>
      <c r="O1238" s="132"/>
      <c r="P1238" s="175"/>
      <c r="V1238" s="207"/>
    </row>
    <row r="1239" spans="1:22" ht="15" customHeight="1">
      <c r="A1239" s="3">
        <v>37588</v>
      </c>
      <c r="B1239" s="9">
        <v>50300</v>
      </c>
      <c r="C1239" s="5">
        <v>112275</v>
      </c>
      <c r="D1239" s="5" t="e">
        <f>E1239-(#REF!+C1239)</f>
        <v>#REF!</v>
      </c>
      <c r="E1239" s="5">
        <v>181275</v>
      </c>
      <c r="K1239" s="22">
        <v>459</v>
      </c>
      <c r="L1239" s="6">
        <v>463</v>
      </c>
      <c r="M1239" s="125">
        <f t="shared" si="20"/>
        <v>4</v>
      </c>
      <c r="N1239" s="7"/>
      <c r="O1239" s="132"/>
      <c r="P1239" s="175"/>
      <c r="V1239" s="207"/>
    </row>
    <row r="1240" spans="1:22" ht="15" customHeight="1">
      <c r="A1240" s="3">
        <v>37589</v>
      </c>
      <c r="B1240" s="9">
        <v>50175</v>
      </c>
      <c r="C1240" s="5">
        <v>112275</v>
      </c>
      <c r="D1240" s="5" t="e">
        <f>E1240-(#REF!+C1240)</f>
        <v>#REF!</v>
      </c>
      <c r="E1240" s="5">
        <v>180675</v>
      </c>
      <c r="K1240" s="22">
        <v>465</v>
      </c>
      <c r="L1240" s="6">
        <v>467.5</v>
      </c>
      <c r="M1240" s="125">
        <f t="shared" si="20"/>
        <v>2.5</v>
      </c>
      <c r="N1240" s="7"/>
      <c r="O1240" s="132"/>
      <c r="P1240" s="175"/>
      <c r="V1240" s="207"/>
    </row>
    <row r="1241" spans="1:22" ht="15" customHeight="1">
      <c r="A1241" s="3">
        <v>37592</v>
      </c>
      <c r="B1241" s="9">
        <v>50050</v>
      </c>
      <c r="C1241" s="5">
        <v>112275</v>
      </c>
      <c r="D1241" s="5" t="e">
        <f>E1241-(#REF!+C1241)</f>
        <v>#REF!</v>
      </c>
      <c r="E1241" s="5">
        <v>180175</v>
      </c>
      <c r="K1241" s="22">
        <v>476</v>
      </c>
      <c r="L1241" s="6">
        <v>477</v>
      </c>
      <c r="M1241" s="125">
        <f t="shared" si="20"/>
        <v>1</v>
      </c>
      <c r="N1241" s="7"/>
      <c r="O1241" s="132"/>
      <c r="P1241" s="175"/>
      <c r="V1241" s="207"/>
    </row>
    <row r="1242" spans="1:22" ht="15" customHeight="1">
      <c r="A1242" s="3">
        <v>37593</v>
      </c>
      <c r="B1242" s="9">
        <v>50000</v>
      </c>
      <c r="C1242" s="5">
        <v>112275</v>
      </c>
      <c r="D1242" s="5" t="e">
        <f>E1242-(#REF!+C1242)</f>
        <v>#REF!</v>
      </c>
      <c r="E1242" s="5">
        <v>179875</v>
      </c>
      <c r="K1242" s="22">
        <v>465</v>
      </c>
      <c r="L1242" s="6">
        <v>468</v>
      </c>
      <c r="M1242" s="125">
        <f t="shared" si="20"/>
        <v>3</v>
      </c>
      <c r="N1242" s="7"/>
      <c r="O1242" s="132"/>
      <c r="P1242" s="175"/>
      <c r="V1242" s="207"/>
    </row>
    <row r="1243" spans="1:22" ht="15" customHeight="1">
      <c r="A1243" s="3">
        <v>37594</v>
      </c>
      <c r="B1243" s="9">
        <v>49975</v>
      </c>
      <c r="C1243" s="5">
        <v>112275</v>
      </c>
      <c r="D1243" s="5" t="e">
        <f>E1243-(#REF!+C1243)</f>
        <v>#REF!</v>
      </c>
      <c r="E1243" s="5">
        <v>179575</v>
      </c>
      <c r="K1243" s="22">
        <v>453</v>
      </c>
      <c r="L1243" s="6">
        <v>458</v>
      </c>
      <c r="M1243" s="125">
        <f t="shared" si="20"/>
        <v>5</v>
      </c>
      <c r="N1243" s="7"/>
      <c r="O1243" s="132"/>
      <c r="P1243" s="175"/>
      <c r="V1243" s="207"/>
    </row>
    <row r="1244" spans="1:22" ht="15" customHeight="1">
      <c r="A1244" s="3">
        <v>37595</v>
      </c>
      <c r="B1244" s="9">
        <v>49975</v>
      </c>
      <c r="C1244" s="5">
        <v>112125</v>
      </c>
      <c r="D1244" s="5" t="e">
        <f>E1244-(#REF!+C1244)</f>
        <v>#REF!</v>
      </c>
      <c r="E1244" s="5">
        <v>179100</v>
      </c>
      <c r="K1244" s="22">
        <v>468</v>
      </c>
      <c r="L1244" s="6">
        <v>473</v>
      </c>
      <c r="M1244" s="125">
        <f t="shared" si="20"/>
        <v>5</v>
      </c>
      <c r="N1244" s="7"/>
      <c r="O1244" s="132"/>
      <c r="P1244" s="175"/>
      <c r="V1244" s="207"/>
    </row>
    <row r="1245" spans="1:22" ht="15" customHeight="1">
      <c r="A1245" s="3">
        <v>37596</v>
      </c>
      <c r="B1245" s="9">
        <v>49975</v>
      </c>
      <c r="C1245" s="5">
        <v>111875</v>
      </c>
      <c r="D1245" s="5" t="e">
        <f>E1245-(#REF!+C1245)</f>
        <v>#REF!</v>
      </c>
      <c r="E1245" s="5">
        <v>178625</v>
      </c>
      <c r="K1245" s="22">
        <v>453.5</v>
      </c>
      <c r="L1245" s="6">
        <v>463</v>
      </c>
      <c r="M1245" s="125">
        <f t="shared" si="20"/>
        <v>9.5</v>
      </c>
      <c r="N1245" s="7"/>
      <c r="O1245" s="132"/>
      <c r="P1245" s="175"/>
      <c r="V1245" s="207"/>
    </row>
    <row r="1246" spans="1:22" ht="15" customHeight="1">
      <c r="A1246" s="3">
        <v>37599</v>
      </c>
      <c r="B1246" s="9">
        <v>49975</v>
      </c>
      <c r="C1246" s="5">
        <v>111875</v>
      </c>
      <c r="D1246" s="5" t="e">
        <f>E1246-(#REF!+C1246)</f>
        <v>#REF!</v>
      </c>
      <c r="E1246" s="5">
        <v>178400</v>
      </c>
      <c r="K1246" s="22">
        <v>438</v>
      </c>
      <c r="L1246" s="6">
        <v>449</v>
      </c>
      <c r="M1246" s="125">
        <f t="shared" si="20"/>
        <v>11</v>
      </c>
      <c r="N1246" s="7"/>
      <c r="O1246" s="132"/>
      <c r="P1246" s="175"/>
      <c r="V1246" s="207"/>
    </row>
    <row r="1247" spans="1:22" ht="15" customHeight="1">
      <c r="A1247" s="3">
        <v>37600</v>
      </c>
      <c r="B1247" s="9">
        <v>49975</v>
      </c>
      <c r="C1247" s="5">
        <v>111875</v>
      </c>
      <c r="D1247" s="5" t="e">
        <f>E1247-(#REF!+C1247)</f>
        <v>#REF!</v>
      </c>
      <c r="E1247" s="5">
        <v>178175</v>
      </c>
      <c r="K1247" s="22">
        <v>443</v>
      </c>
      <c r="L1247" s="6">
        <v>451</v>
      </c>
      <c r="M1247" s="125">
        <f t="shared" si="20"/>
        <v>8</v>
      </c>
      <c r="N1247" s="7"/>
      <c r="O1247" s="132"/>
      <c r="P1247" s="175"/>
      <c r="V1247" s="207"/>
    </row>
    <row r="1248" spans="1:22" ht="15" customHeight="1">
      <c r="A1248" s="3">
        <v>37601</v>
      </c>
      <c r="B1248" s="9">
        <v>49975</v>
      </c>
      <c r="C1248" s="5">
        <v>112900</v>
      </c>
      <c r="D1248" s="5" t="e">
        <f>E1248-(#REF!+C1248)</f>
        <v>#REF!</v>
      </c>
      <c r="E1248" s="5">
        <v>179025</v>
      </c>
      <c r="K1248" s="22">
        <v>440.5</v>
      </c>
      <c r="L1248" s="6">
        <v>449.5</v>
      </c>
      <c r="M1248" s="125">
        <f t="shared" si="20"/>
        <v>9</v>
      </c>
      <c r="N1248" s="7"/>
      <c r="O1248" s="132"/>
      <c r="P1248" s="175"/>
      <c r="V1248" s="207"/>
    </row>
    <row r="1249" spans="1:22" ht="15" customHeight="1">
      <c r="A1249" s="3">
        <v>37602</v>
      </c>
      <c r="B1249" s="9">
        <v>49875</v>
      </c>
      <c r="C1249" s="5">
        <v>112900</v>
      </c>
      <c r="D1249" s="5" t="e">
        <f>E1249-(#REF!+C1249)</f>
        <v>#REF!</v>
      </c>
      <c r="E1249" s="5">
        <v>178850</v>
      </c>
      <c r="K1249" s="22">
        <v>445.5</v>
      </c>
      <c r="L1249" s="6">
        <v>455</v>
      </c>
      <c r="M1249" s="125">
        <f t="shared" si="20"/>
        <v>9.5</v>
      </c>
      <c r="N1249" s="7"/>
      <c r="O1249" s="132"/>
      <c r="P1249" s="175"/>
      <c r="V1249" s="207"/>
    </row>
    <row r="1250" spans="1:22" ht="15" customHeight="1">
      <c r="A1250" s="3">
        <v>37603</v>
      </c>
      <c r="B1250" s="9">
        <v>49850</v>
      </c>
      <c r="C1250" s="5">
        <v>113350</v>
      </c>
      <c r="D1250" s="5" t="e">
        <f>E1250-(#REF!+C1250)</f>
        <v>#REF!</v>
      </c>
      <c r="E1250" s="5">
        <v>178975</v>
      </c>
      <c r="K1250" s="22">
        <v>446</v>
      </c>
      <c r="L1250" s="6">
        <v>454.6</v>
      </c>
      <c r="M1250" s="125">
        <f t="shared" si="20"/>
        <v>8.6000000000000227</v>
      </c>
      <c r="N1250" s="7"/>
      <c r="O1250" s="132"/>
      <c r="P1250" s="175"/>
      <c r="V1250" s="207"/>
    </row>
    <row r="1251" spans="1:22" ht="15" customHeight="1">
      <c r="A1251" s="3">
        <v>37606</v>
      </c>
      <c r="B1251" s="9">
        <v>49775</v>
      </c>
      <c r="C1251" s="5">
        <v>115900</v>
      </c>
      <c r="D1251" s="5" t="e">
        <f>E1251-(#REF!+C1251)</f>
        <v>#REF!</v>
      </c>
      <c r="E1251" s="5">
        <v>181350</v>
      </c>
      <c r="K1251" s="22">
        <v>435.5</v>
      </c>
      <c r="L1251" s="6">
        <v>443.5</v>
      </c>
      <c r="M1251" s="125">
        <f t="shared" si="20"/>
        <v>8</v>
      </c>
      <c r="N1251" s="7"/>
      <c r="O1251" s="132"/>
      <c r="P1251" s="175"/>
      <c r="V1251" s="207"/>
    </row>
    <row r="1252" spans="1:22" ht="15" customHeight="1">
      <c r="A1252" s="3">
        <v>37607</v>
      </c>
      <c r="B1252" s="9">
        <v>49325</v>
      </c>
      <c r="C1252" s="5">
        <v>116100</v>
      </c>
      <c r="D1252" s="5" t="e">
        <f>E1252-(#REF!+C1252)</f>
        <v>#REF!</v>
      </c>
      <c r="E1252" s="5">
        <v>180975</v>
      </c>
      <c r="K1252" s="22">
        <v>442.5</v>
      </c>
      <c r="L1252" s="6">
        <v>452.5</v>
      </c>
      <c r="M1252" s="125">
        <f t="shared" si="20"/>
        <v>10</v>
      </c>
      <c r="N1252" s="7"/>
      <c r="O1252" s="132"/>
      <c r="P1252" s="175"/>
      <c r="V1252" s="207"/>
    </row>
    <row r="1253" spans="1:22" ht="15" customHeight="1">
      <c r="A1253" s="3">
        <v>37608</v>
      </c>
      <c r="B1253" s="9">
        <v>49325</v>
      </c>
      <c r="C1253" s="5">
        <v>116600</v>
      </c>
      <c r="D1253" s="5" t="e">
        <f>E1253-(#REF!+C1253)</f>
        <v>#REF!</v>
      </c>
      <c r="E1253" s="5">
        <v>181400</v>
      </c>
      <c r="K1253" s="22">
        <v>439</v>
      </c>
      <c r="L1253" s="6">
        <v>453</v>
      </c>
      <c r="M1253" s="125">
        <f t="shared" si="20"/>
        <v>14</v>
      </c>
      <c r="N1253" s="7"/>
      <c r="O1253" s="132"/>
      <c r="P1253" s="175"/>
      <c r="V1253" s="207"/>
    </row>
    <row r="1254" spans="1:22" ht="15" customHeight="1">
      <c r="A1254" s="3">
        <v>37609</v>
      </c>
      <c r="B1254" s="9">
        <v>49325</v>
      </c>
      <c r="C1254" s="5">
        <v>117500</v>
      </c>
      <c r="D1254" s="5" t="e">
        <f>E1254-(#REF!+C1254)</f>
        <v>#REF!</v>
      </c>
      <c r="E1254" s="5">
        <v>182275</v>
      </c>
      <c r="K1254" s="22">
        <v>436</v>
      </c>
      <c r="L1254" s="6">
        <v>446.5</v>
      </c>
      <c r="M1254" s="125">
        <f t="shared" si="20"/>
        <v>10.5</v>
      </c>
      <c r="N1254" s="7"/>
      <c r="O1254" s="132"/>
      <c r="P1254" s="175"/>
      <c r="V1254" s="207"/>
    </row>
    <row r="1255" spans="1:22" ht="15" customHeight="1">
      <c r="A1255" s="3">
        <v>37610</v>
      </c>
      <c r="B1255" s="9">
        <v>49325</v>
      </c>
      <c r="C1255" s="5">
        <v>117500</v>
      </c>
      <c r="D1255" s="5" t="e">
        <f>E1255-(#REF!+C1255)</f>
        <v>#REF!</v>
      </c>
      <c r="E1255" s="5">
        <v>182100</v>
      </c>
      <c r="K1255" s="22">
        <v>432</v>
      </c>
      <c r="L1255" s="6">
        <v>442</v>
      </c>
      <c r="M1255" s="125">
        <f t="shared" si="20"/>
        <v>10</v>
      </c>
      <c r="N1255" s="7"/>
      <c r="O1255" s="132"/>
      <c r="P1255" s="175"/>
      <c r="V1255" s="207"/>
    </row>
    <row r="1256" spans="1:22" ht="15" customHeight="1">
      <c r="A1256" s="3">
        <v>37613</v>
      </c>
      <c r="B1256" s="9">
        <v>49325</v>
      </c>
      <c r="C1256" s="5">
        <v>119050</v>
      </c>
      <c r="D1256" s="5" t="e">
        <f>E1256-(#REF!+C1256)</f>
        <v>#REF!</v>
      </c>
      <c r="E1256" s="5">
        <v>183450</v>
      </c>
      <c r="K1256" s="22">
        <v>435.5</v>
      </c>
      <c r="L1256" s="6">
        <v>442</v>
      </c>
      <c r="M1256" s="125">
        <f t="shared" si="20"/>
        <v>6.5</v>
      </c>
      <c r="N1256" s="7"/>
      <c r="O1256" s="132"/>
      <c r="P1256" s="175"/>
      <c r="V1256" s="207"/>
    </row>
    <row r="1257" spans="1:22" ht="15" customHeight="1">
      <c r="A1257" s="3">
        <v>37614</v>
      </c>
      <c r="B1257" s="9">
        <v>48525</v>
      </c>
      <c r="C1257" s="5">
        <v>120300</v>
      </c>
      <c r="D1257" s="5" t="e">
        <f>E1257-(#REF!+C1257)</f>
        <v>#REF!</v>
      </c>
      <c r="E1257" s="5">
        <v>183750</v>
      </c>
      <c r="K1257" s="22">
        <v>429</v>
      </c>
      <c r="L1257" s="6">
        <v>440.5</v>
      </c>
      <c r="M1257" s="125">
        <f t="shared" si="20"/>
        <v>11.5</v>
      </c>
      <c r="N1257" s="7"/>
      <c r="O1257" s="132"/>
      <c r="P1257" s="175"/>
      <c r="V1257" s="207"/>
    </row>
    <row r="1258" spans="1:22" ht="15" customHeight="1">
      <c r="A1258" s="3">
        <v>37620</v>
      </c>
      <c r="B1258" s="9">
        <v>48325</v>
      </c>
      <c r="C1258" s="5">
        <v>120425</v>
      </c>
      <c r="D1258" s="5" t="e">
        <f>E1258-(#REF!+C1258)</f>
        <v>#REF!</v>
      </c>
      <c r="E1258" s="5">
        <v>183675</v>
      </c>
      <c r="K1258" s="22">
        <v>432</v>
      </c>
      <c r="L1258" s="6">
        <v>442</v>
      </c>
      <c r="M1258" s="125">
        <f t="shared" si="20"/>
        <v>10</v>
      </c>
      <c r="N1258" s="7"/>
      <c r="O1258" s="132"/>
      <c r="P1258" s="175"/>
      <c r="V1258" s="207"/>
    </row>
    <row r="1259" spans="1:22" ht="15" customHeight="1" thickBot="1">
      <c r="A1259" s="11">
        <v>37621</v>
      </c>
      <c r="B1259" s="9">
        <v>48525</v>
      </c>
      <c r="C1259" s="13">
        <v>120575</v>
      </c>
      <c r="D1259" s="13" t="e">
        <f>E1259-(#REF!+C1259)</f>
        <v>#REF!</v>
      </c>
      <c r="E1259" s="13">
        <v>184025</v>
      </c>
      <c r="F1259" s="12"/>
      <c r="G1259" s="13"/>
      <c r="H1259" s="13"/>
      <c r="I1259" s="119"/>
      <c r="J1259" s="119"/>
      <c r="K1259" s="23">
        <v>421.5</v>
      </c>
      <c r="L1259" s="14">
        <v>433</v>
      </c>
      <c r="M1259" s="125">
        <f t="shared" si="20"/>
        <v>11.5</v>
      </c>
      <c r="N1259" s="7"/>
      <c r="O1259" s="132"/>
      <c r="P1259" s="175"/>
      <c r="V1259" s="207"/>
    </row>
    <row r="1260" spans="1:22" ht="15" customHeight="1">
      <c r="A1260" s="3">
        <v>37623</v>
      </c>
      <c r="B1260" s="9">
        <v>48275</v>
      </c>
      <c r="C1260" s="5">
        <v>120700</v>
      </c>
      <c r="D1260" s="5" t="e">
        <f>E1260-(#REF!+C1260)</f>
        <v>#REF!</v>
      </c>
      <c r="E1260" s="5">
        <v>183900</v>
      </c>
      <c r="K1260" s="22">
        <v>428</v>
      </c>
      <c r="L1260" s="6">
        <v>439</v>
      </c>
      <c r="M1260" s="125">
        <f t="shared" si="20"/>
        <v>11</v>
      </c>
      <c r="N1260" s="7"/>
      <c r="O1260" s="132"/>
      <c r="P1260" s="175"/>
      <c r="V1260" s="207"/>
    </row>
    <row r="1261" spans="1:22" ht="15" customHeight="1">
      <c r="A1261" s="3">
        <v>37624</v>
      </c>
      <c r="B1261" s="9">
        <v>48100</v>
      </c>
      <c r="C1261" s="5">
        <v>120700</v>
      </c>
      <c r="D1261" s="5" t="e">
        <f>E1261-(#REF!+C1261)</f>
        <v>#REF!</v>
      </c>
      <c r="E1261" s="5">
        <v>183725</v>
      </c>
      <c r="K1261" s="22">
        <v>435.5</v>
      </c>
      <c r="L1261" s="6">
        <v>445</v>
      </c>
      <c r="M1261" s="125">
        <f t="shared" si="20"/>
        <v>9.5</v>
      </c>
      <c r="N1261" s="7"/>
      <c r="O1261" s="132"/>
      <c r="P1261" s="175"/>
      <c r="V1261" s="207"/>
    </row>
    <row r="1262" spans="1:22" ht="15" customHeight="1">
      <c r="A1262" s="3">
        <v>37627</v>
      </c>
      <c r="B1262" s="9">
        <v>47925</v>
      </c>
      <c r="C1262" s="5">
        <v>120750</v>
      </c>
      <c r="D1262" s="5" t="e">
        <f>E1262-(#REF!+C1262)</f>
        <v>#REF!</v>
      </c>
      <c r="E1262" s="5">
        <v>183600</v>
      </c>
      <c r="K1262" s="22">
        <v>431.5</v>
      </c>
      <c r="L1262" s="6">
        <v>441</v>
      </c>
      <c r="M1262" s="125">
        <f t="shared" si="20"/>
        <v>9.5</v>
      </c>
      <c r="N1262" s="7"/>
      <c r="O1262" s="132"/>
      <c r="P1262" s="175"/>
      <c r="V1262" s="207"/>
    </row>
    <row r="1263" spans="1:22" ht="15" customHeight="1">
      <c r="A1263" s="3">
        <v>37628</v>
      </c>
      <c r="B1263" s="9">
        <v>47775</v>
      </c>
      <c r="C1263" s="5">
        <v>120750</v>
      </c>
      <c r="D1263" s="5" t="e">
        <f>E1263-(#REF!+C1263)</f>
        <v>#REF!</v>
      </c>
      <c r="E1263" s="5">
        <v>183450</v>
      </c>
      <c r="K1263" s="22">
        <v>431.5</v>
      </c>
      <c r="L1263" s="6">
        <v>444</v>
      </c>
      <c r="M1263" s="125">
        <f t="shared" si="20"/>
        <v>12.5</v>
      </c>
      <c r="N1263" s="7"/>
      <c r="O1263" s="132"/>
      <c r="P1263" s="175"/>
      <c r="V1263" s="207"/>
    </row>
    <row r="1264" spans="1:22" ht="15" customHeight="1">
      <c r="A1264" s="3">
        <v>37629</v>
      </c>
      <c r="B1264" s="9">
        <v>47425</v>
      </c>
      <c r="C1264" s="5">
        <v>120750</v>
      </c>
      <c r="D1264" s="5" t="e">
        <f>E1264-(#REF!+C1264)</f>
        <v>#REF!</v>
      </c>
      <c r="E1264" s="5">
        <v>183100</v>
      </c>
      <c r="K1264" s="22">
        <v>431</v>
      </c>
      <c r="L1264" s="6">
        <v>444</v>
      </c>
      <c r="M1264" s="125">
        <f t="shared" si="20"/>
        <v>13</v>
      </c>
      <c r="N1264" s="7"/>
      <c r="O1264" s="132"/>
      <c r="P1264" s="175"/>
      <c r="V1264" s="207"/>
    </row>
    <row r="1265" spans="1:22" ht="15" customHeight="1">
      <c r="A1265" s="3">
        <v>37630</v>
      </c>
      <c r="B1265" s="9">
        <v>47375</v>
      </c>
      <c r="C1265" s="5">
        <v>121100</v>
      </c>
      <c r="D1265" s="5" t="e">
        <f>E1265-(#REF!+C1265)</f>
        <v>#REF!</v>
      </c>
      <c r="E1265" s="5">
        <v>183350</v>
      </c>
      <c r="K1265" s="22">
        <v>434.5</v>
      </c>
      <c r="L1265" s="6">
        <v>446</v>
      </c>
      <c r="M1265" s="125">
        <f t="shared" si="20"/>
        <v>11.5</v>
      </c>
      <c r="N1265" s="7"/>
      <c r="O1265" s="132"/>
      <c r="P1265" s="175"/>
      <c r="V1265" s="207"/>
    </row>
    <row r="1266" spans="1:22" ht="15" customHeight="1">
      <c r="A1266" s="3">
        <v>37631</v>
      </c>
      <c r="B1266" s="9">
        <v>47300</v>
      </c>
      <c r="C1266" s="5">
        <v>121100</v>
      </c>
      <c r="D1266" s="5" t="e">
        <f>E1266-(#REF!+C1266)</f>
        <v>#REF!</v>
      </c>
      <c r="E1266" s="5">
        <v>183250</v>
      </c>
      <c r="K1266" s="22">
        <v>438</v>
      </c>
      <c r="L1266" s="6">
        <v>448</v>
      </c>
      <c r="M1266" s="125">
        <f t="shared" si="20"/>
        <v>10</v>
      </c>
      <c r="N1266" s="7"/>
      <c r="O1266" s="132"/>
      <c r="P1266" s="175"/>
      <c r="V1266" s="207"/>
    </row>
    <row r="1267" spans="1:22" ht="15" customHeight="1">
      <c r="A1267" s="3">
        <v>37634</v>
      </c>
      <c r="B1267" s="9">
        <v>43950</v>
      </c>
      <c r="C1267" s="5">
        <v>121100</v>
      </c>
      <c r="D1267" s="5" t="e">
        <f>E1267-(#REF!+C1267)</f>
        <v>#REF!</v>
      </c>
      <c r="E1267" s="5">
        <f>E1268+125</f>
        <v>182900</v>
      </c>
      <c r="K1267" s="22">
        <v>431</v>
      </c>
      <c r="L1267" s="6">
        <v>440</v>
      </c>
      <c r="M1267" s="125">
        <f t="shared" si="20"/>
        <v>9</v>
      </c>
      <c r="N1267" s="7"/>
      <c r="O1267" s="132"/>
      <c r="P1267" s="175"/>
      <c r="V1267" s="207"/>
    </row>
    <row r="1268" spans="1:22" ht="15" customHeight="1">
      <c r="A1268" s="3">
        <v>37635</v>
      </c>
      <c r="B1268" s="9">
        <v>43825</v>
      </c>
      <c r="C1268" s="5">
        <v>121100</v>
      </c>
      <c r="D1268" s="5" t="e">
        <f>E1268-(#REF!+C1268)</f>
        <v>#REF!</v>
      </c>
      <c r="E1268" s="5">
        <v>182775</v>
      </c>
      <c r="K1268" s="22">
        <v>433</v>
      </c>
      <c r="L1268" s="6">
        <v>444</v>
      </c>
      <c r="M1268" s="125">
        <f t="shared" si="20"/>
        <v>11</v>
      </c>
      <c r="N1268" s="7"/>
      <c r="O1268" s="132"/>
      <c r="P1268" s="175"/>
      <c r="V1268" s="207"/>
    </row>
    <row r="1269" spans="1:22" ht="15" customHeight="1">
      <c r="A1269" s="3">
        <v>37636</v>
      </c>
      <c r="B1269" s="9">
        <v>49325</v>
      </c>
      <c r="C1269" s="5">
        <v>121100</v>
      </c>
      <c r="D1269" s="5" t="e">
        <f>E1269-(#REF!+C1269)</f>
        <v>#REF!</v>
      </c>
      <c r="E1269" s="5">
        <v>185275</v>
      </c>
      <c r="K1269" s="22">
        <v>435</v>
      </c>
      <c r="L1269" s="6">
        <v>449</v>
      </c>
      <c r="M1269" s="125">
        <f t="shared" si="20"/>
        <v>14</v>
      </c>
      <c r="N1269" s="7"/>
      <c r="O1269" s="132"/>
      <c r="P1269" s="175"/>
      <c r="V1269" s="207"/>
    </row>
    <row r="1270" spans="1:22" ht="15" customHeight="1">
      <c r="A1270" s="3">
        <v>37637</v>
      </c>
      <c r="B1270" s="9">
        <v>49075</v>
      </c>
      <c r="C1270" s="5">
        <v>121100</v>
      </c>
      <c r="D1270" s="5" t="e">
        <f>E1270-(#REF!+C1270)</f>
        <v>#REF!</v>
      </c>
      <c r="E1270" s="5">
        <v>185025</v>
      </c>
      <c r="K1270" s="22">
        <v>443</v>
      </c>
      <c r="L1270" s="6">
        <v>456</v>
      </c>
      <c r="M1270" s="125">
        <f t="shared" si="20"/>
        <v>13</v>
      </c>
      <c r="N1270" s="7"/>
      <c r="O1270" s="132"/>
      <c r="P1270" s="175"/>
      <c r="V1270" s="207"/>
    </row>
    <row r="1271" spans="1:22" ht="15" customHeight="1">
      <c r="A1271" s="3">
        <v>37638</v>
      </c>
      <c r="B1271" s="9">
        <v>49025</v>
      </c>
      <c r="C1271" s="5">
        <v>121100</v>
      </c>
      <c r="D1271" s="5" t="e">
        <f>E1271-(#REF!+C1271)</f>
        <v>#REF!</v>
      </c>
      <c r="E1271" s="5">
        <v>184925</v>
      </c>
      <c r="K1271" s="22">
        <v>447</v>
      </c>
      <c r="L1271" s="6">
        <v>457</v>
      </c>
      <c r="M1271" s="125">
        <f t="shared" ref="M1271:M1334" si="21">L1271-K1271</f>
        <v>10</v>
      </c>
      <c r="N1271" s="7"/>
      <c r="O1271" s="132"/>
      <c r="P1271" s="175"/>
      <c r="V1271" s="207"/>
    </row>
    <row r="1272" spans="1:22" ht="15" customHeight="1">
      <c r="A1272" s="3">
        <v>37641</v>
      </c>
      <c r="B1272" s="9">
        <v>48900</v>
      </c>
      <c r="C1272" s="5">
        <v>121100</v>
      </c>
      <c r="D1272" s="5" t="e">
        <f>E1272-(#REF!+C1272)</f>
        <v>#REF!</v>
      </c>
      <c r="E1272" s="5">
        <v>184750</v>
      </c>
      <c r="K1272" s="22">
        <v>455.5</v>
      </c>
      <c r="L1272" s="6">
        <v>465</v>
      </c>
      <c r="M1272" s="125">
        <f t="shared" si="21"/>
        <v>9.5</v>
      </c>
      <c r="N1272" s="7"/>
      <c r="O1272" s="132"/>
      <c r="P1272" s="175"/>
      <c r="V1272" s="207"/>
    </row>
    <row r="1273" spans="1:22" ht="15" customHeight="1">
      <c r="A1273" s="3">
        <v>37642</v>
      </c>
      <c r="B1273" s="9">
        <v>48850</v>
      </c>
      <c r="C1273" s="5">
        <v>121100</v>
      </c>
      <c r="D1273" s="5" t="e">
        <f>E1273-(#REF!+C1273)</f>
        <v>#REF!</v>
      </c>
      <c r="E1273" s="5">
        <v>184650</v>
      </c>
      <c r="K1273" s="22">
        <v>457.5</v>
      </c>
      <c r="L1273" s="6">
        <v>468.5</v>
      </c>
      <c r="M1273" s="125">
        <f t="shared" si="21"/>
        <v>11</v>
      </c>
      <c r="N1273" s="7"/>
      <c r="O1273" s="132"/>
      <c r="P1273" s="175"/>
      <c r="V1273" s="207"/>
    </row>
    <row r="1274" spans="1:22" ht="15" customHeight="1">
      <c r="A1274" s="3">
        <v>37643</v>
      </c>
      <c r="B1274" s="9">
        <v>48850</v>
      </c>
      <c r="C1274" s="5">
        <v>121100</v>
      </c>
      <c r="D1274" s="5" t="e">
        <f>E1274-(#REF!+C1274)</f>
        <v>#REF!</v>
      </c>
      <c r="E1274" s="5">
        <v>184650</v>
      </c>
      <c r="K1274" s="22">
        <v>457</v>
      </c>
      <c r="L1274" s="6">
        <v>467.5</v>
      </c>
      <c r="M1274" s="125">
        <f t="shared" si="21"/>
        <v>10.5</v>
      </c>
      <c r="N1274" s="7"/>
      <c r="O1274" s="132"/>
      <c r="P1274" s="175"/>
      <c r="V1274" s="207"/>
    </row>
    <row r="1275" spans="1:22" ht="15" customHeight="1">
      <c r="A1275" s="3">
        <v>37644</v>
      </c>
      <c r="B1275" s="9">
        <v>48850</v>
      </c>
      <c r="C1275" s="5">
        <v>121125</v>
      </c>
      <c r="D1275" s="5" t="e">
        <f>E1275-(#REF!+C1275)</f>
        <v>#REF!</v>
      </c>
      <c r="E1275" s="5">
        <v>184650</v>
      </c>
      <c r="K1275" s="22">
        <v>463</v>
      </c>
      <c r="L1275" s="6">
        <v>472</v>
      </c>
      <c r="M1275" s="125">
        <f t="shared" si="21"/>
        <v>9</v>
      </c>
      <c r="N1275" s="7"/>
      <c r="O1275" s="132"/>
      <c r="P1275" s="175"/>
      <c r="V1275" s="207"/>
    </row>
    <row r="1276" spans="1:22" ht="15" customHeight="1">
      <c r="A1276" s="3">
        <v>37645</v>
      </c>
      <c r="B1276" s="9">
        <v>48850</v>
      </c>
      <c r="C1276" s="5">
        <v>121125</v>
      </c>
      <c r="D1276" s="5" t="e">
        <f>E1276-(#REF!+C1276)</f>
        <v>#REF!</v>
      </c>
      <c r="E1276" s="5">
        <v>184650</v>
      </c>
      <c r="K1276" s="22">
        <v>464</v>
      </c>
      <c r="L1276" s="6">
        <v>472</v>
      </c>
      <c r="M1276" s="125">
        <f t="shared" si="21"/>
        <v>8</v>
      </c>
      <c r="N1276" s="7"/>
      <c r="O1276" s="132"/>
      <c r="P1276" s="175"/>
      <c r="V1276" s="207"/>
    </row>
    <row r="1277" spans="1:22" ht="15" customHeight="1">
      <c r="A1277" s="3">
        <v>37655</v>
      </c>
      <c r="B1277" s="9">
        <v>45850</v>
      </c>
      <c r="C1277" s="5">
        <v>121700</v>
      </c>
      <c r="D1277" s="5" t="e">
        <f>E1277-(#REF!+C1277)</f>
        <v>#REF!</v>
      </c>
      <c r="E1277" s="5">
        <v>182025</v>
      </c>
      <c r="K1277" s="22">
        <v>469</v>
      </c>
      <c r="L1277" s="6">
        <v>480</v>
      </c>
      <c r="M1277" s="125">
        <f t="shared" si="21"/>
        <v>11</v>
      </c>
      <c r="N1277" s="7"/>
      <c r="O1277" s="132"/>
      <c r="P1277" s="175"/>
      <c r="V1277" s="207"/>
    </row>
    <row r="1278" spans="1:22" ht="15" customHeight="1">
      <c r="A1278" s="3">
        <v>37656</v>
      </c>
      <c r="B1278" s="9">
        <v>46350</v>
      </c>
      <c r="C1278" s="5">
        <v>121700</v>
      </c>
      <c r="D1278" s="5" t="e">
        <f>E1278-(#REF!+C1278)</f>
        <v>#REF!</v>
      </c>
      <c r="E1278" s="5">
        <v>182300</v>
      </c>
      <c r="K1278" s="22">
        <v>467</v>
      </c>
      <c r="L1278" s="6">
        <v>479</v>
      </c>
      <c r="M1278" s="125">
        <f t="shared" si="21"/>
        <v>12</v>
      </c>
      <c r="N1278" s="7"/>
      <c r="O1278" s="132"/>
      <c r="P1278" s="175"/>
      <c r="V1278" s="207"/>
    </row>
    <row r="1279" spans="1:22" ht="15" customHeight="1">
      <c r="A1279" s="3">
        <v>37657</v>
      </c>
      <c r="B1279" s="9">
        <v>46350</v>
      </c>
      <c r="C1279" s="5">
        <v>121975</v>
      </c>
      <c r="D1279" s="5" t="e">
        <f>E1279-(#REF!+C1279)</f>
        <v>#REF!</v>
      </c>
      <c r="E1279" s="5">
        <v>182375</v>
      </c>
      <c r="K1279" s="22">
        <v>467</v>
      </c>
      <c r="L1279" s="6">
        <v>477.5</v>
      </c>
      <c r="M1279" s="125">
        <f t="shared" si="21"/>
        <v>10.5</v>
      </c>
      <c r="N1279" s="7"/>
      <c r="O1279" s="132"/>
      <c r="P1279" s="175"/>
      <c r="V1279" s="207"/>
    </row>
    <row r="1280" spans="1:22" ht="15" customHeight="1">
      <c r="A1280" s="3">
        <v>37658</v>
      </c>
      <c r="B1280" s="9">
        <v>46350</v>
      </c>
      <c r="C1280" s="5">
        <v>122025</v>
      </c>
      <c r="D1280" s="5" t="e">
        <f>E1280-(#REF!+C1280)</f>
        <v>#REF!</v>
      </c>
      <c r="E1280" s="5">
        <v>182425</v>
      </c>
      <c r="K1280" s="22">
        <v>465.5</v>
      </c>
      <c r="L1280" s="6">
        <v>476</v>
      </c>
      <c r="M1280" s="125">
        <f t="shared" si="21"/>
        <v>10.5</v>
      </c>
      <c r="N1280" s="7"/>
      <c r="O1280" s="132"/>
      <c r="P1280" s="175"/>
      <c r="V1280" s="207"/>
    </row>
    <row r="1281" spans="1:22" ht="15" customHeight="1">
      <c r="A1281" s="3">
        <v>37659</v>
      </c>
      <c r="B1281" s="9">
        <v>46350</v>
      </c>
      <c r="C1281" s="5">
        <v>122025</v>
      </c>
      <c r="D1281" s="5" t="e">
        <f>E1281-(#REF!+C1281)</f>
        <v>#REF!</v>
      </c>
      <c r="E1281" s="5">
        <v>182425</v>
      </c>
      <c r="K1281" s="22">
        <v>461</v>
      </c>
      <c r="L1281" s="6">
        <v>472</v>
      </c>
      <c r="M1281" s="125">
        <f t="shared" si="21"/>
        <v>11</v>
      </c>
      <c r="N1281" s="7"/>
      <c r="O1281" s="132"/>
      <c r="P1281" s="175"/>
      <c r="V1281" s="207"/>
    </row>
    <row r="1282" spans="1:22" ht="15" customHeight="1">
      <c r="A1282" s="3">
        <v>37662</v>
      </c>
      <c r="B1282" s="9">
        <v>45800</v>
      </c>
      <c r="C1282" s="5">
        <v>122025</v>
      </c>
      <c r="D1282" s="5" t="e">
        <f>E1282-(#REF!+C1282)</f>
        <v>#REF!</v>
      </c>
      <c r="E1282" s="5">
        <v>181875</v>
      </c>
      <c r="K1282" s="22">
        <v>463</v>
      </c>
      <c r="L1282" s="6">
        <v>469.5</v>
      </c>
      <c r="M1282" s="125">
        <f t="shared" si="21"/>
        <v>6.5</v>
      </c>
      <c r="N1282" s="7"/>
      <c r="O1282" s="132"/>
      <c r="P1282" s="175"/>
      <c r="V1282" s="207"/>
    </row>
    <row r="1283" spans="1:22" ht="15" customHeight="1">
      <c r="A1283" s="3">
        <v>37663</v>
      </c>
      <c r="B1283" s="9">
        <v>42375</v>
      </c>
      <c r="C1283" s="5">
        <v>122275</v>
      </c>
      <c r="D1283" s="5" t="e">
        <f>E1283-(#REF!+C1283)</f>
        <v>#REF!</v>
      </c>
      <c r="E1283" s="5">
        <v>178700</v>
      </c>
      <c r="K1283" s="22">
        <v>486</v>
      </c>
      <c r="L1283" s="6">
        <v>482</v>
      </c>
      <c r="M1283" s="125">
        <f t="shared" si="21"/>
        <v>-4</v>
      </c>
      <c r="N1283" s="7"/>
      <c r="O1283" s="132"/>
      <c r="P1283" s="175"/>
      <c r="V1283" s="207"/>
    </row>
    <row r="1284" spans="1:22" ht="15" customHeight="1">
      <c r="A1284" s="3">
        <v>37664</v>
      </c>
      <c r="B1284" s="9">
        <v>42650</v>
      </c>
      <c r="C1284" s="5">
        <v>122625</v>
      </c>
      <c r="D1284" s="5" t="e">
        <f>E1284-(#REF!+C1284)</f>
        <v>#REF!</v>
      </c>
      <c r="E1284" s="5">
        <v>179325</v>
      </c>
      <c r="K1284" s="22">
        <v>479</v>
      </c>
      <c r="L1284" s="6">
        <v>483</v>
      </c>
      <c r="M1284" s="125">
        <f t="shared" si="21"/>
        <v>4</v>
      </c>
      <c r="N1284" s="7"/>
      <c r="O1284" s="132"/>
      <c r="P1284" s="175"/>
      <c r="V1284" s="207"/>
    </row>
    <row r="1285" spans="1:22" ht="15" customHeight="1">
      <c r="A1285" s="3">
        <v>37665</v>
      </c>
      <c r="B1285" s="9">
        <v>42650</v>
      </c>
      <c r="C1285" s="5">
        <v>122925</v>
      </c>
      <c r="D1285" s="5" t="e">
        <f>E1285-(#REF!+C1285)</f>
        <v>#REF!</v>
      </c>
      <c r="E1285" s="5">
        <v>179625</v>
      </c>
      <c r="K1285" s="22">
        <v>475</v>
      </c>
      <c r="L1285" s="6">
        <v>478</v>
      </c>
      <c r="M1285" s="125">
        <f t="shared" si="21"/>
        <v>3</v>
      </c>
      <c r="N1285" s="7"/>
      <c r="O1285" s="132"/>
      <c r="P1285" s="175"/>
      <c r="V1285" s="207"/>
    </row>
    <row r="1286" spans="1:22" ht="15" customHeight="1">
      <c r="A1286" s="3">
        <v>37666</v>
      </c>
      <c r="B1286" s="9">
        <v>42550</v>
      </c>
      <c r="C1286" s="5">
        <v>122925</v>
      </c>
      <c r="D1286" s="5" t="e">
        <f>E1286-(#REF!+C1286)</f>
        <v>#REF!</v>
      </c>
      <c r="E1286" s="5">
        <v>179525</v>
      </c>
      <c r="K1286" s="22">
        <v>481</v>
      </c>
      <c r="L1286" s="6">
        <v>483</v>
      </c>
      <c r="M1286" s="125">
        <f t="shared" si="21"/>
        <v>2</v>
      </c>
      <c r="N1286" s="7"/>
      <c r="O1286" s="132"/>
      <c r="P1286" s="175"/>
      <c r="V1286" s="207"/>
    </row>
    <row r="1287" spans="1:22" ht="15" customHeight="1">
      <c r="A1287" s="3">
        <v>37669</v>
      </c>
      <c r="B1287" s="9">
        <v>42550</v>
      </c>
      <c r="C1287" s="5">
        <v>123025</v>
      </c>
      <c r="D1287" s="5" t="e">
        <f>E1287-(#REF!+C1287)</f>
        <v>#REF!</v>
      </c>
      <c r="E1287" s="5">
        <v>179625</v>
      </c>
      <c r="K1287" s="22">
        <v>485</v>
      </c>
      <c r="L1287" s="6">
        <v>483</v>
      </c>
      <c r="M1287" s="125">
        <f t="shared" si="21"/>
        <v>-2</v>
      </c>
      <c r="N1287" s="7"/>
      <c r="O1287" s="132"/>
      <c r="P1287" s="175"/>
      <c r="V1287" s="207"/>
    </row>
    <row r="1288" spans="1:22" ht="15" customHeight="1">
      <c r="A1288" s="3">
        <v>37668</v>
      </c>
      <c r="B1288" s="9">
        <v>42550</v>
      </c>
      <c r="C1288" s="5">
        <v>122925</v>
      </c>
      <c r="D1288" s="5" t="e">
        <f>E1288-(#REF!+C1288)</f>
        <v>#REF!</v>
      </c>
      <c r="E1288" s="5">
        <v>179625</v>
      </c>
      <c r="K1288" s="22">
        <v>481</v>
      </c>
      <c r="L1288" s="6">
        <v>483</v>
      </c>
      <c r="M1288" s="125">
        <f t="shared" si="21"/>
        <v>2</v>
      </c>
      <c r="N1288" s="7"/>
      <c r="O1288" s="132"/>
      <c r="P1288" s="175"/>
      <c r="V1288" s="207"/>
    </row>
    <row r="1289" spans="1:22" ht="15" customHeight="1">
      <c r="A1289" s="3">
        <v>37669</v>
      </c>
      <c r="B1289" s="9">
        <v>42550</v>
      </c>
      <c r="C1289" s="5">
        <v>123025</v>
      </c>
      <c r="D1289" s="5" t="e">
        <f>E1289-(#REF!+C1289)</f>
        <v>#REF!</v>
      </c>
      <c r="E1289" s="5">
        <v>179525</v>
      </c>
      <c r="K1289" s="22">
        <v>485</v>
      </c>
      <c r="L1289" s="6">
        <v>483.5</v>
      </c>
      <c r="M1289" s="125">
        <f t="shared" si="21"/>
        <v>-1.5</v>
      </c>
      <c r="N1289" s="7"/>
      <c r="O1289" s="132"/>
      <c r="P1289" s="175"/>
      <c r="V1289" s="207"/>
    </row>
    <row r="1290" spans="1:22" ht="15" customHeight="1">
      <c r="A1290" s="3">
        <v>37670</v>
      </c>
      <c r="B1290" s="9">
        <v>42425</v>
      </c>
      <c r="C1290" s="5">
        <v>123100</v>
      </c>
      <c r="D1290" s="5" t="e">
        <f>E1290-(#REF!+C1290)</f>
        <v>#REF!</v>
      </c>
      <c r="E1290" s="5">
        <v>179625</v>
      </c>
      <c r="K1290" s="22">
        <v>474</v>
      </c>
      <c r="L1290" s="6">
        <v>474</v>
      </c>
      <c r="M1290" s="125">
        <f t="shared" si="21"/>
        <v>0</v>
      </c>
      <c r="N1290" s="7"/>
      <c r="O1290" s="132"/>
      <c r="P1290" s="175"/>
      <c r="V1290" s="207"/>
    </row>
    <row r="1291" spans="1:22" ht="15" customHeight="1">
      <c r="A1291" s="3">
        <v>37671</v>
      </c>
      <c r="B1291" s="9">
        <v>42300</v>
      </c>
      <c r="C1291" s="5">
        <v>123100</v>
      </c>
      <c r="D1291" s="5" t="e">
        <f>E1291-(#REF!+C1291)</f>
        <v>#REF!</v>
      </c>
      <c r="E1291" s="5">
        <v>179575</v>
      </c>
      <c r="K1291" s="22">
        <v>479.5</v>
      </c>
      <c r="L1291" s="6">
        <v>481.5</v>
      </c>
      <c r="M1291" s="125">
        <f t="shared" si="21"/>
        <v>2</v>
      </c>
      <c r="N1291" s="7"/>
      <c r="O1291" s="132"/>
      <c r="P1291" s="175"/>
      <c r="V1291" s="207"/>
    </row>
    <row r="1292" spans="1:22" ht="15" customHeight="1">
      <c r="A1292" s="3">
        <v>37672</v>
      </c>
      <c r="B1292" s="9">
        <v>42200</v>
      </c>
      <c r="C1292" s="5">
        <v>123200</v>
      </c>
      <c r="D1292" s="5" t="e">
        <f>E1292-(#REF!+C1292)</f>
        <v>#REF!</v>
      </c>
      <c r="E1292" s="5">
        <v>179400</v>
      </c>
      <c r="K1292" s="22">
        <v>481</v>
      </c>
      <c r="L1292" s="6">
        <v>484.5</v>
      </c>
      <c r="M1292" s="125">
        <f t="shared" si="21"/>
        <v>3.5</v>
      </c>
      <c r="N1292" s="7"/>
      <c r="O1292" s="132"/>
      <c r="P1292" s="175"/>
      <c r="V1292" s="207"/>
    </row>
    <row r="1293" spans="1:22" ht="15" customHeight="1">
      <c r="A1293" s="3">
        <v>37673</v>
      </c>
      <c r="B1293" s="9">
        <v>42150</v>
      </c>
      <c r="C1293" s="5">
        <v>123350</v>
      </c>
      <c r="D1293" s="5" t="e">
        <f>E1293-(#REF!+C1293)</f>
        <v>#REF!</v>
      </c>
      <c r="E1293" s="5">
        <v>179400</v>
      </c>
      <c r="K1293" s="22">
        <v>484</v>
      </c>
      <c r="L1293" s="6">
        <v>483</v>
      </c>
      <c r="M1293" s="125">
        <f t="shared" si="21"/>
        <v>-1</v>
      </c>
      <c r="N1293" s="7"/>
      <c r="O1293" s="132"/>
      <c r="P1293" s="175"/>
      <c r="V1293" s="207"/>
    </row>
    <row r="1294" spans="1:22" ht="15" customHeight="1">
      <c r="A1294" s="3">
        <v>37676</v>
      </c>
      <c r="B1294" s="9">
        <v>42050</v>
      </c>
      <c r="C1294" s="5">
        <v>123350</v>
      </c>
      <c r="D1294" s="5" t="e">
        <f>E1294-(#REF!+C1294)</f>
        <v>#REF!</v>
      </c>
      <c r="E1294" s="5">
        <v>179500</v>
      </c>
      <c r="K1294" s="22">
        <v>485</v>
      </c>
      <c r="L1294" s="6">
        <v>484</v>
      </c>
      <c r="M1294" s="125">
        <f t="shared" si="21"/>
        <v>-1</v>
      </c>
      <c r="N1294" s="7"/>
      <c r="O1294" s="132"/>
      <c r="P1294" s="175"/>
      <c r="V1294" s="207"/>
    </row>
    <row r="1295" spans="1:22" ht="15" customHeight="1">
      <c r="A1295" s="3">
        <v>37677</v>
      </c>
      <c r="B1295" s="9">
        <v>41375</v>
      </c>
      <c r="C1295" s="5">
        <v>123350</v>
      </c>
      <c r="D1295" s="5" t="e">
        <f>E1295-(#REF!+C1295)</f>
        <v>#REF!</v>
      </c>
      <c r="E1295" s="5">
        <v>179400</v>
      </c>
      <c r="K1295" s="22">
        <v>483</v>
      </c>
      <c r="L1295" s="6">
        <v>484</v>
      </c>
      <c r="M1295" s="125">
        <f t="shared" si="21"/>
        <v>1</v>
      </c>
      <c r="N1295" s="7"/>
      <c r="O1295" s="132"/>
      <c r="P1295" s="175"/>
      <c r="V1295" s="207"/>
    </row>
    <row r="1296" spans="1:22" ht="15" customHeight="1">
      <c r="A1296" s="3">
        <v>37678</v>
      </c>
      <c r="B1296" s="9">
        <v>41200</v>
      </c>
      <c r="C1296" s="5">
        <v>122775</v>
      </c>
      <c r="D1296" s="5" t="e">
        <f>E1296-(#REF!+C1296)</f>
        <v>#REF!</v>
      </c>
      <c r="E1296" s="5">
        <v>178725</v>
      </c>
      <c r="K1296" s="22">
        <v>485</v>
      </c>
      <c r="L1296" s="6">
        <v>487</v>
      </c>
      <c r="M1296" s="125">
        <f t="shared" si="21"/>
        <v>2</v>
      </c>
      <c r="N1296" s="7"/>
      <c r="O1296" s="132"/>
      <c r="P1296" s="175"/>
      <c r="V1296" s="207"/>
    </row>
    <row r="1297" spans="1:22" ht="15" customHeight="1">
      <c r="A1297" s="3">
        <v>37679</v>
      </c>
      <c r="B1297" s="9">
        <v>41100</v>
      </c>
      <c r="C1297" s="5">
        <v>123625</v>
      </c>
      <c r="D1297" s="5" t="e">
        <f>E1297-(#REF!+C1297)</f>
        <v>#REF!</v>
      </c>
      <c r="E1297" s="5">
        <v>177975</v>
      </c>
      <c r="K1297" s="22">
        <v>480</v>
      </c>
      <c r="L1297" s="6">
        <v>483</v>
      </c>
      <c r="M1297" s="125">
        <f t="shared" si="21"/>
        <v>3</v>
      </c>
      <c r="N1297" s="7"/>
      <c r="O1297" s="132"/>
      <c r="P1297" s="175"/>
      <c r="V1297" s="207"/>
    </row>
    <row r="1298" spans="1:22" ht="15" customHeight="1">
      <c r="A1298" s="3">
        <v>37680</v>
      </c>
      <c r="B1298" s="9">
        <v>40900</v>
      </c>
      <c r="C1298" s="5">
        <v>123475</v>
      </c>
      <c r="D1298" s="5" t="e">
        <f>E1298-(#REF!+C1298)</f>
        <v>#REF!</v>
      </c>
      <c r="E1298" s="5">
        <v>178725</v>
      </c>
      <c r="K1298" s="22">
        <v>466.5</v>
      </c>
      <c r="L1298" s="6">
        <v>471</v>
      </c>
      <c r="M1298" s="125">
        <f t="shared" si="21"/>
        <v>4.5</v>
      </c>
      <c r="N1298" s="7"/>
      <c r="O1298" s="132"/>
      <c r="P1298" s="175"/>
      <c r="V1298" s="207"/>
    </row>
    <row r="1299" spans="1:22" ht="15" customHeight="1">
      <c r="A1299" s="3">
        <v>37683</v>
      </c>
      <c r="B1299" s="9">
        <v>40625</v>
      </c>
      <c r="C1299" s="5">
        <v>122650</v>
      </c>
      <c r="D1299" s="5" t="e">
        <f>E1299-(#REF!+C1299)</f>
        <v>#REF!</v>
      </c>
      <c r="E1299" s="5">
        <v>177275</v>
      </c>
      <c r="K1299" s="22">
        <v>462.5</v>
      </c>
      <c r="L1299" s="6">
        <v>467</v>
      </c>
      <c r="M1299" s="125">
        <f t="shared" si="21"/>
        <v>4.5</v>
      </c>
      <c r="N1299" s="7"/>
      <c r="O1299" s="132"/>
      <c r="P1299" s="175"/>
      <c r="V1299" s="207"/>
    </row>
    <row r="1300" spans="1:22" ht="15" customHeight="1">
      <c r="A1300" s="3">
        <v>37684</v>
      </c>
      <c r="B1300" s="9">
        <v>40525</v>
      </c>
      <c r="C1300" s="5">
        <v>122200</v>
      </c>
      <c r="D1300" s="5" t="e">
        <f>E1300-(#REF!+C1300)</f>
        <v>#REF!</v>
      </c>
      <c r="E1300" s="5">
        <v>177275</v>
      </c>
      <c r="K1300" s="22">
        <v>464</v>
      </c>
      <c r="L1300" s="6">
        <v>473</v>
      </c>
      <c r="M1300" s="125">
        <f t="shared" si="21"/>
        <v>9</v>
      </c>
      <c r="N1300" s="7"/>
      <c r="O1300" s="132"/>
      <c r="P1300" s="175"/>
      <c r="V1300" s="207"/>
    </row>
    <row r="1301" spans="1:22" ht="15" customHeight="1">
      <c r="A1301" s="3">
        <v>37685</v>
      </c>
      <c r="B1301" s="9">
        <v>40500</v>
      </c>
      <c r="C1301" s="5">
        <v>122200</v>
      </c>
      <c r="D1301" s="5" t="e">
        <f>E1301-(#REF!+C1301)</f>
        <v>#REF!</v>
      </c>
      <c r="E1301" s="5">
        <v>176675</v>
      </c>
      <c r="K1301" s="22">
        <v>458.5</v>
      </c>
      <c r="L1301" s="6">
        <v>465.5</v>
      </c>
      <c r="M1301" s="125">
        <f t="shared" si="21"/>
        <v>7</v>
      </c>
      <c r="N1301" s="7"/>
      <c r="O1301" s="132"/>
      <c r="P1301" s="175"/>
      <c r="V1301" s="207"/>
    </row>
    <row r="1302" spans="1:22" ht="15" customHeight="1">
      <c r="A1302" s="3">
        <v>37686</v>
      </c>
      <c r="B1302" s="9">
        <v>40500</v>
      </c>
      <c r="C1302" s="5">
        <v>122200</v>
      </c>
      <c r="D1302" s="5" t="e">
        <f>E1302-(#REF!+C1302)</f>
        <v>#REF!</v>
      </c>
      <c r="E1302" s="5">
        <v>176675</v>
      </c>
      <c r="K1302" s="22">
        <v>459.5</v>
      </c>
      <c r="L1302" s="6">
        <v>467</v>
      </c>
      <c r="M1302" s="125">
        <f t="shared" si="21"/>
        <v>7.5</v>
      </c>
      <c r="N1302" s="7"/>
      <c r="O1302" s="132"/>
      <c r="P1302" s="175"/>
      <c r="V1302" s="207"/>
    </row>
    <row r="1303" spans="1:22" ht="15" customHeight="1">
      <c r="A1303" s="3">
        <v>37687</v>
      </c>
      <c r="B1303" s="9">
        <v>40650</v>
      </c>
      <c r="C1303" s="5">
        <v>121475</v>
      </c>
      <c r="D1303" s="5" t="e">
        <f>E1303-(#REF!+C1303)</f>
        <v>#REF!</v>
      </c>
      <c r="E1303" s="5">
        <v>176675</v>
      </c>
      <c r="K1303" s="22">
        <v>457</v>
      </c>
      <c r="L1303" s="6">
        <v>466</v>
      </c>
      <c r="M1303" s="125">
        <f t="shared" si="21"/>
        <v>9</v>
      </c>
      <c r="N1303" s="7"/>
      <c r="O1303" s="132"/>
      <c r="P1303" s="175"/>
      <c r="V1303" s="207"/>
    </row>
    <row r="1304" spans="1:22" ht="15" customHeight="1">
      <c r="A1304" s="3">
        <v>37690</v>
      </c>
      <c r="B1304" s="9">
        <v>40475</v>
      </c>
      <c r="C1304" s="5">
        <v>120850</v>
      </c>
      <c r="D1304" s="5" t="e">
        <f>E1304-(#REF!+C1304)</f>
        <v>#REF!</v>
      </c>
      <c r="E1304" s="5">
        <v>176000</v>
      </c>
      <c r="K1304" s="22">
        <v>460</v>
      </c>
      <c r="L1304" s="6">
        <v>470</v>
      </c>
      <c r="M1304" s="125">
        <f t="shared" si="21"/>
        <v>10</v>
      </c>
      <c r="N1304" s="7"/>
      <c r="O1304" s="132"/>
      <c r="P1304" s="175"/>
      <c r="V1304" s="207"/>
    </row>
    <row r="1305" spans="1:22" ht="15" customHeight="1">
      <c r="A1305" s="3">
        <v>37691</v>
      </c>
      <c r="B1305" s="9">
        <v>40525</v>
      </c>
      <c r="C1305" s="5">
        <v>120350</v>
      </c>
      <c r="D1305" s="5" t="e">
        <f>E1305-(#REF!+C1305)</f>
        <v>#REF!</v>
      </c>
      <c r="E1305" s="5">
        <v>174750</v>
      </c>
      <c r="K1305" s="22">
        <v>467</v>
      </c>
      <c r="L1305" s="6">
        <v>475</v>
      </c>
      <c r="M1305" s="125">
        <f t="shared" si="21"/>
        <v>8</v>
      </c>
      <c r="N1305" s="7"/>
      <c r="O1305" s="132"/>
      <c r="P1305" s="175"/>
      <c r="V1305" s="207"/>
    </row>
    <row r="1306" spans="1:22" ht="15" customHeight="1">
      <c r="A1306" s="3">
        <v>37692</v>
      </c>
      <c r="B1306" s="9">
        <v>40525</v>
      </c>
      <c r="C1306" s="5">
        <v>119825</v>
      </c>
      <c r="D1306" s="5" t="e">
        <f>E1306-(#REF!+C1306)</f>
        <v>#REF!</v>
      </c>
      <c r="E1306" s="5">
        <v>174750</v>
      </c>
      <c r="K1306" s="22">
        <v>470.5</v>
      </c>
      <c r="L1306" s="6">
        <v>478.5</v>
      </c>
      <c r="M1306" s="125">
        <f t="shared" si="21"/>
        <v>8</v>
      </c>
      <c r="N1306" s="7"/>
      <c r="O1306" s="132"/>
      <c r="P1306" s="175"/>
      <c r="V1306" s="207"/>
    </row>
    <row r="1307" spans="1:22" ht="15" customHeight="1">
      <c r="A1307" s="3">
        <v>37693</v>
      </c>
      <c r="B1307" s="9">
        <v>40525</v>
      </c>
      <c r="C1307" s="5">
        <v>119425</v>
      </c>
      <c r="D1307" s="5" t="e">
        <f>E1307-(#REF!+C1307)</f>
        <v>#REF!</v>
      </c>
      <c r="E1307" s="5">
        <v>174225</v>
      </c>
      <c r="K1307" s="22">
        <v>473.5</v>
      </c>
      <c r="L1307" s="6">
        <v>479.5</v>
      </c>
      <c r="M1307" s="125">
        <f t="shared" si="21"/>
        <v>6</v>
      </c>
      <c r="N1307" s="7"/>
      <c r="O1307" s="132"/>
      <c r="P1307" s="175"/>
      <c r="V1307" s="207"/>
    </row>
    <row r="1308" spans="1:22" ht="15" customHeight="1">
      <c r="A1308" s="3">
        <v>37694</v>
      </c>
      <c r="B1308" s="9">
        <v>40475</v>
      </c>
      <c r="C1308" s="5">
        <v>118950</v>
      </c>
      <c r="D1308" s="5" t="e">
        <f>E1308-(#REF!+C1308)</f>
        <v>#REF!</v>
      </c>
      <c r="E1308" s="5">
        <v>173825</v>
      </c>
      <c r="K1308" s="22">
        <v>466</v>
      </c>
      <c r="L1308" s="6">
        <v>475</v>
      </c>
      <c r="M1308" s="125">
        <f t="shared" si="21"/>
        <v>9</v>
      </c>
      <c r="N1308" s="7"/>
      <c r="O1308" s="132"/>
      <c r="P1308" s="175"/>
      <c r="V1308" s="207"/>
    </row>
    <row r="1309" spans="1:22" ht="15" customHeight="1">
      <c r="A1309" s="3">
        <v>37697</v>
      </c>
      <c r="B1309" s="9">
        <v>40375</v>
      </c>
      <c r="C1309" s="5">
        <v>117900</v>
      </c>
      <c r="D1309" s="5" t="e">
        <f>E1309-(#REF!+C1309)</f>
        <v>#REF!</v>
      </c>
      <c r="E1309" s="5">
        <v>172150</v>
      </c>
      <c r="K1309" s="22">
        <v>451</v>
      </c>
      <c r="L1309" s="6">
        <v>458</v>
      </c>
      <c r="M1309" s="125">
        <f t="shared" si="21"/>
        <v>7</v>
      </c>
      <c r="N1309" s="7"/>
      <c r="O1309" s="132"/>
      <c r="P1309" s="175"/>
      <c r="V1309" s="207"/>
    </row>
    <row r="1310" spans="1:22" ht="15" customHeight="1">
      <c r="A1310" s="3">
        <v>37698</v>
      </c>
      <c r="B1310" s="9">
        <v>40250</v>
      </c>
      <c r="C1310" s="5">
        <v>118500</v>
      </c>
      <c r="D1310" s="5" t="e">
        <f>E1310-(#REF!+C1310)</f>
        <v>#REF!</v>
      </c>
      <c r="E1310" s="5">
        <v>172625</v>
      </c>
      <c r="K1310" s="22">
        <v>452</v>
      </c>
      <c r="L1310" s="6">
        <v>461.5</v>
      </c>
      <c r="M1310" s="125">
        <f t="shared" si="21"/>
        <v>9.5</v>
      </c>
      <c r="N1310" s="7"/>
      <c r="O1310" s="132"/>
      <c r="P1310" s="175"/>
      <c r="V1310" s="207"/>
    </row>
    <row r="1311" spans="1:22" ht="15" customHeight="1">
      <c r="A1311" s="3">
        <v>37699</v>
      </c>
      <c r="B1311" s="9">
        <v>40000</v>
      </c>
      <c r="C1311" s="5">
        <v>118225</v>
      </c>
      <c r="D1311" s="5" t="e">
        <f>E1311-(#REF!+C1311)</f>
        <v>#REF!</v>
      </c>
      <c r="E1311" s="5">
        <v>171650</v>
      </c>
      <c r="K1311" s="22">
        <v>454</v>
      </c>
      <c r="L1311" s="6">
        <v>464</v>
      </c>
      <c r="M1311" s="125">
        <f t="shared" si="21"/>
        <v>10</v>
      </c>
      <c r="N1311" s="7"/>
      <c r="O1311" s="132"/>
      <c r="P1311" s="175"/>
      <c r="V1311" s="207"/>
    </row>
    <row r="1312" spans="1:22" ht="15" customHeight="1">
      <c r="A1312" s="3">
        <v>37700</v>
      </c>
      <c r="B1312" s="9">
        <v>40925</v>
      </c>
      <c r="C1312" s="5">
        <v>117850</v>
      </c>
      <c r="D1312" s="5" t="e">
        <f>E1312-(#REF!+C1312)</f>
        <v>#REF!</v>
      </c>
      <c r="E1312" s="5">
        <v>171975</v>
      </c>
      <c r="K1312" s="22">
        <v>454</v>
      </c>
      <c r="L1312" s="6">
        <v>463</v>
      </c>
      <c r="M1312" s="125">
        <f t="shared" si="21"/>
        <v>9</v>
      </c>
      <c r="N1312" s="7"/>
      <c r="O1312" s="132"/>
      <c r="P1312" s="175"/>
      <c r="V1312" s="207"/>
    </row>
    <row r="1313" spans="1:22" ht="15" customHeight="1">
      <c r="A1313" s="3">
        <v>37701</v>
      </c>
      <c r="B1313" s="9">
        <v>40925</v>
      </c>
      <c r="C1313" s="5">
        <v>117375</v>
      </c>
      <c r="D1313" s="5" t="e">
        <f>E1313-(#REF!+C1313)</f>
        <v>#REF!</v>
      </c>
      <c r="E1313" s="5">
        <v>171975</v>
      </c>
      <c r="K1313" s="22">
        <v>459</v>
      </c>
      <c r="L1313" s="6">
        <v>468</v>
      </c>
      <c r="M1313" s="125">
        <f t="shared" si="21"/>
        <v>9</v>
      </c>
      <c r="N1313" s="7"/>
      <c r="O1313" s="132"/>
      <c r="P1313" s="175"/>
      <c r="V1313" s="207"/>
    </row>
    <row r="1314" spans="1:22" ht="15" customHeight="1">
      <c r="A1314" s="3">
        <v>37704</v>
      </c>
      <c r="B1314" s="9">
        <v>41175</v>
      </c>
      <c r="C1314" s="5">
        <v>117450</v>
      </c>
      <c r="D1314" s="5" t="e">
        <f>E1314-(#REF!+C1314)</f>
        <v>#REF!</v>
      </c>
      <c r="E1314" s="5">
        <v>171825</v>
      </c>
      <c r="K1314" s="22">
        <v>451</v>
      </c>
      <c r="L1314" s="6">
        <v>460</v>
      </c>
      <c r="M1314" s="125">
        <f t="shared" si="21"/>
        <v>9</v>
      </c>
      <c r="N1314" s="7"/>
      <c r="O1314" s="132"/>
      <c r="P1314" s="175"/>
      <c r="V1314" s="207"/>
    </row>
    <row r="1315" spans="1:22" ht="15" customHeight="1">
      <c r="A1315" s="3">
        <v>37705</v>
      </c>
      <c r="B1315" s="9">
        <v>40750</v>
      </c>
      <c r="C1315" s="5">
        <v>117450</v>
      </c>
      <c r="D1315" s="5" t="e">
        <f>E1315-(#REF!+C1315)</f>
        <v>#REF!</v>
      </c>
      <c r="E1315" s="5">
        <v>171400</v>
      </c>
      <c r="K1315" s="22">
        <v>450</v>
      </c>
      <c r="L1315" s="6">
        <v>460</v>
      </c>
      <c r="M1315" s="125">
        <f t="shared" si="21"/>
        <v>10</v>
      </c>
      <c r="N1315" s="7"/>
      <c r="O1315" s="132"/>
      <c r="P1315" s="175"/>
      <c r="V1315" s="207"/>
    </row>
    <row r="1316" spans="1:22" ht="15" customHeight="1">
      <c r="A1316" s="3">
        <v>37706</v>
      </c>
      <c r="B1316" s="9">
        <v>40750</v>
      </c>
      <c r="C1316" s="5">
        <v>117450</v>
      </c>
      <c r="D1316" s="5" t="e">
        <f>E1316-(#REF!+C1316)</f>
        <v>#REF!</v>
      </c>
      <c r="E1316" s="5">
        <v>171400</v>
      </c>
      <c r="K1316" s="22">
        <v>448</v>
      </c>
      <c r="L1316" s="6">
        <v>456.5</v>
      </c>
      <c r="M1316" s="125">
        <f t="shared" si="21"/>
        <v>8.5</v>
      </c>
      <c r="N1316" s="7"/>
      <c r="O1316" s="132"/>
      <c r="P1316" s="175"/>
      <c r="V1316" s="207"/>
    </row>
    <row r="1317" spans="1:22" ht="15" customHeight="1">
      <c r="A1317" s="3">
        <v>37707</v>
      </c>
      <c r="B1317" s="9">
        <v>40750</v>
      </c>
      <c r="C1317" s="5">
        <v>127500</v>
      </c>
      <c r="D1317" s="5" t="e">
        <f>E1317-(#REF!+C1317)</f>
        <v>#REF!</v>
      </c>
      <c r="E1317" s="5">
        <v>181450</v>
      </c>
      <c r="K1317" s="22">
        <v>448</v>
      </c>
      <c r="L1317" s="6">
        <v>455</v>
      </c>
      <c r="M1317" s="125">
        <f t="shared" si="21"/>
        <v>7</v>
      </c>
      <c r="N1317" s="7"/>
      <c r="O1317" s="132"/>
      <c r="P1317" s="175"/>
      <c r="V1317" s="207"/>
    </row>
    <row r="1318" spans="1:22" ht="15" customHeight="1">
      <c r="A1318" s="3">
        <v>37708</v>
      </c>
      <c r="B1318" s="9">
        <v>40700</v>
      </c>
      <c r="C1318" s="5">
        <v>127500</v>
      </c>
      <c r="D1318" s="5" t="e">
        <f>E1318-(#REF!+C1318)</f>
        <v>#REF!</v>
      </c>
      <c r="E1318" s="5">
        <v>181400</v>
      </c>
      <c r="K1318" s="22">
        <v>444</v>
      </c>
      <c r="L1318" s="6">
        <v>454</v>
      </c>
      <c r="M1318" s="125">
        <f t="shared" si="21"/>
        <v>10</v>
      </c>
      <c r="N1318" s="7"/>
      <c r="O1318" s="132"/>
      <c r="P1318" s="175"/>
      <c r="V1318" s="207"/>
    </row>
    <row r="1319" spans="1:22" ht="15" customHeight="1">
      <c r="A1319" s="3">
        <v>37711</v>
      </c>
      <c r="B1319" s="9">
        <v>40250</v>
      </c>
      <c r="C1319" s="5">
        <v>127600</v>
      </c>
      <c r="D1319" s="5" t="e">
        <f>E1319-(#REF!+C1319)</f>
        <v>#REF!</v>
      </c>
      <c r="E1319" s="5">
        <v>181050</v>
      </c>
      <c r="K1319" s="22">
        <v>440.5</v>
      </c>
      <c r="L1319" s="6">
        <v>451</v>
      </c>
      <c r="M1319" s="125">
        <f t="shared" si="21"/>
        <v>10.5</v>
      </c>
      <c r="N1319" s="7"/>
      <c r="O1319" s="132"/>
      <c r="P1319" s="175"/>
      <c r="V1319" s="207"/>
    </row>
    <row r="1320" spans="1:22" ht="15" customHeight="1">
      <c r="A1320" s="3">
        <v>37712</v>
      </c>
      <c r="B1320" s="9">
        <v>40225</v>
      </c>
      <c r="C1320" s="5">
        <v>129200</v>
      </c>
      <c r="D1320" s="5" t="e">
        <f>E1320-(#REF!+C1320)</f>
        <v>#REF!</v>
      </c>
      <c r="E1320" s="5">
        <v>182625</v>
      </c>
      <c r="K1320" s="22">
        <v>438</v>
      </c>
      <c r="L1320" s="6">
        <v>454</v>
      </c>
      <c r="M1320" s="125">
        <f t="shared" si="21"/>
        <v>16</v>
      </c>
      <c r="N1320" s="7"/>
      <c r="O1320" s="132"/>
      <c r="P1320" s="175"/>
      <c r="V1320" s="207"/>
    </row>
    <row r="1321" spans="1:22" ht="15" customHeight="1">
      <c r="A1321" s="3">
        <v>37713</v>
      </c>
      <c r="B1321" s="9">
        <v>40200</v>
      </c>
      <c r="C1321" s="5">
        <v>129700</v>
      </c>
      <c r="D1321" s="5" t="e">
        <f>E1321-(#REF!+C1321)</f>
        <v>#REF!</v>
      </c>
      <c r="E1321" s="5">
        <v>183100</v>
      </c>
      <c r="K1321" s="22">
        <v>441.5</v>
      </c>
      <c r="L1321" s="6">
        <v>451</v>
      </c>
      <c r="M1321" s="125">
        <f t="shared" si="21"/>
        <v>9.5</v>
      </c>
      <c r="N1321" s="7"/>
      <c r="O1321" s="132"/>
      <c r="P1321" s="175"/>
      <c r="V1321" s="207"/>
    </row>
    <row r="1322" spans="1:22" ht="15" customHeight="1">
      <c r="A1322" s="3">
        <v>37714</v>
      </c>
      <c r="B1322" s="9">
        <v>39625</v>
      </c>
      <c r="C1322" s="5">
        <v>129700</v>
      </c>
      <c r="D1322" s="5" t="e">
        <f>E1322-(#REF!+C1322)</f>
        <v>#REF!</v>
      </c>
      <c r="E1322" s="5">
        <v>182525</v>
      </c>
      <c r="K1322" s="22">
        <v>441</v>
      </c>
      <c r="L1322" s="6">
        <v>451.5</v>
      </c>
      <c r="M1322" s="125">
        <f t="shared" si="21"/>
        <v>10.5</v>
      </c>
      <c r="N1322" s="7"/>
      <c r="O1322" s="132"/>
      <c r="P1322" s="175"/>
      <c r="V1322" s="207"/>
    </row>
    <row r="1323" spans="1:22" ht="15" customHeight="1">
      <c r="A1323" s="3">
        <v>37715</v>
      </c>
      <c r="B1323" s="9">
        <v>39200</v>
      </c>
      <c r="C1323" s="5">
        <v>129700</v>
      </c>
      <c r="D1323" s="5" t="e">
        <f>E1323-(#REF!+C1323)</f>
        <v>#REF!</v>
      </c>
      <c r="E1323" s="5">
        <v>182100</v>
      </c>
      <c r="K1323" s="22">
        <v>435.5</v>
      </c>
      <c r="L1323" s="6">
        <v>446</v>
      </c>
      <c r="M1323" s="125">
        <f t="shared" si="21"/>
        <v>10.5</v>
      </c>
      <c r="N1323" s="7"/>
      <c r="O1323" s="132"/>
      <c r="P1323" s="175"/>
      <c r="V1323" s="207"/>
    </row>
    <row r="1324" spans="1:22" ht="15" customHeight="1">
      <c r="A1324" s="3">
        <v>37718</v>
      </c>
      <c r="B1324" s="9">
        <v>39200</v>
      </c>
      <c r="C1324" s="5">
        <v>129800</v>
      </c>
      <c r="D1324" s="5" t="e">
        <f>E1324-(#REF!+C1324)</f>
        <v>#REF!</v>
      </c>
      <c r="E1324" s="5">
        <v>182200</v>
      </c>
      <c r="K1324" s="22">
        <v>434</v>
      </c>
      <c r="L1324" s="6">
        <v>444.5</v>
      </c>
      <c r="M1324" s="125">
        <f t="shared" si="21"/>
        <v>10.5</v>
      </c>
      <c r="N1324" s="7"/>
      <c r="O1324" s="132"/>
      <c r="P1324" s="175"/>
      <c r="V1324" s="207"/>
    </row>
    <row r="1325" spans="1:22" ht="15" customHeight="1">
      <c r="A1325" s="3">
        <v>37719</v>
      </c>
      <c r="B1325" s="9">
        <v>39225</v>
      </c>
      <c r="C1325" s="5">
        <v>129800</v>
      </c>
      <c r="D1325" s="5" t="e">
        <f>E1325-(#REF!+C1325)</f>
        <v>#REF!</v>
      </c>
      <c r="E1325" s="5">
        <v>182225</v>
      </c>
      <c r="K1325" s="22">
        <v>432.5</v>
      </c>
      <c r="L1325" s="6">
        <v>443</v>
      </c>
      <c r="M1325" s="125">
        <f t="shared" si="21"/>
        <v>10.5</v>
      </c>
      <c r="N1325" s="7"/>
      <c r="O1325" s="132"/>
      <c r="P1325" s="175"/>
      <c r="V1325" s="207"/>
    </row>
    <row r="1326" spans="1:22" ht="15" customHeight="1">
      <c r="A1326" s="3">
        <v>37720</v>
      </c>
      <c r="B1326" s="9">
        <v>39225</v>
      </c>
      <c r="C1326" s="5">
        <v>129550</v>
      </c>
      <c r="D1326" s="5" t="e">
        <f>E1326-(#REF!+C1326)</f>
        <v>#REF!</v>
      </c>
      <c r="E1326" s="5">
        <v>181975</v>
      </c>
      <c r="K1326" s="22">
        <v>430</v>
      </c>
      <c r="L1326" s="6">
        <v>441</v>
      </c>
      <c r="M1326" s="125">
        <f t="shared" si="21"/>
        <v>11</v>
      </c>
      <c r="N1326" s="7"/>
      <c r="O1326" s="132"/>
      <c r="P1326" s="175"/>
      <c r="V1326" s="207"/>
    </row>
    <row r="1327" spans="1:22" ht="15" customHeight="1">
      <c r="A1327" s="3">
        <v>37721</v>
      </c>
      <c r="B1327" s="9">
        <v>39225</v>
      </c>
      <c r="C1327" s="5">
        <v>128875</v>
      </c>
      <c r="D1327" s="5" t="e">
        <f>E1327-(#REF!+C1327)</f>
        <v>#REF!</v>
      </c>
      <c r="E1327" s="5">
        <v>181300</v>
      </c>
      <c r="K1327" s="22">
        <v>433.5</v>
      </c>
      <c r="L1327" s="6">
        <v>444</v>
      </c>
      <c r="M1327" s="125">
        <f t="shared" si="21"/>
        <v>10.5</v>
      </c>
      <c r="N1327" s="7"/>
      <c r="O1327" s="132"/>
      <c r="P1327" s="175"/>
      <c r="V1327" s="207"/>
    </row>
    <row r="1328" spans="1:22" ht="15" customHeight="1">
      <c r="A1328" s="3">
        <v>37722</v>
      </c>
      <c r="B1328" s="9">
        <v>39100</v>
      </c>
      <c r="C1328" s="5">
        <v>128025</v>
      </c>
      <c r="D1328" s="5" t="e">
        <f>E1328-(#REF!+C1328)</f>
        <v>#REF!</v>
      </c>
      <c r="E1328" s="5">
        <v>180325</v>
      </c>
      <c r="K1328" s="22">
        <v>437</v>
      </c>
      <c r="L1328" s="6">
        <v>445.5</v>
      </c>
      <c r="M1328" s="125">
        <f t="shared" si="21"/>
        <v>8.5</v>
      </c>
      <c r="N1328" s="7"/>
      <c r="O1328" s="132"/>
      <c r="P1328" s="175"/>
      <c r="V1328" s="207"/>
    </row>
    <row r="1329" spans="1:22" ht="15" customHeight="1">
      <c r="A1329" s="3">
        <v>37725</v>
      </c>
      <c r="B1329" s="9">
        <v>38850</v>
      </c>
      <c r="C1329" s="5">
        <v>127350</v>
      </c>
      <c r="D1329" s="5" t="e">
        <f>E1329-(#REF!+C1329)</f>
        <v>#REF!</v>
      </c>
      <c r="E1329" s="5">
        <v>179400</v>
      </c>
      <c r="K1329" s="22">
        <v>436.5</v>
      </c>
      <c r="L1329" s="6">
        <v>445.5</v>
      </c>
      <c r="M1329" s="125">
        <f t="shared" si="21"/>
        <v>9</v>
      </c>
      <c r="N1329" s="7"/>
      <c r="O1329" s="132"/>
      <c r="P1329" s="175"/>
      <c r="V1329" s="207"/>
    </row>
    <row r="1330" spans="1:22" ht="15" customHeight="1">
      <c r="A1330" s="3">
        <v>37726</v>
      </c>
      <c r="B1330" s="9">
        <v>38700</v>
      </c>
      <c r="C1330" s="5">
        <v>126575</v>
      </c>
      <c r="D1330" s="5" t="e">
        <f>E1330-(#REF!+C1330)</f>
        <v>#REF!</v>
      </c>
      <c r="E1330" s="5">
        <v>178475</v>
      </c>
      <c r="K1330" s="22">
        <v>441.5</v>
      </c>
      <c r="L1330" s="6">
        <v>451</v>
      </c>
      <c r="M1330" s="125">
        <f t="shared" si="21"/>
        <v>9.5</v>
      </c>
      <c r="N1330" s="7"/>
      <c r="O1330" s="132"/>
      <c r="P1330" s="175"/>
      <c r="V1330" s="207"/>
    </row>
    <row r="1331" spans="1:22" ht="15" customHeight="1">
      <c r="A1331" s="3">
        <v>37727</v>
      </c>
      <c r="B1331" s="9">
        <v>39650</v>
      </c>
      <c r="C1331" s="5">
        <v>125500</v>
      </c>
      <c r="D1331" s="5" t="e">
        <f>E1331-(#REF!+C1331)</f>
        <v>#REF!</v>
      </c>
      <c r="E1331" s="5">
        <v>178250</v>
      </c>
      <c r="K1331" s="22">
        <v>446</v>
      </c>
      <c r="L1331" s="6">
        <v>454.5</v>
      </c>
      <c r="M1331" s="125">
        <f t="shared" si="21"/>
        <v>8.5</v>
      </c>
      <c r="N1331" s="7"/>
      <c r="O1331" s="132"/>
      <c r="P1331" s="175"/>
      <c r="V1331" s="207"/>
    </row>
    <row r="1332" spans="1:22" ht="15" customHeight="1">
      <c r="A1332" s="3">
        <v>37728</v>
      </c>
      <c r="B1332" s="9">
        <v>39775</v>
      </c>
      <c r="C1332" s="5">
        <v>124375</v>
      </c>
      <c r="D1332" s="5" t="e">
        <f>E1332-(#REF!+C1332)</f>
        <v>#REF!</v>
      </c>
      <c r="E1332" s="5">
        <v>177250</v>
      </c>
      <c r="K1332" s="22">
        <v>443</v>
      </c>
      <c r="L1332" s="6">
        <v>452</v>
      </c>
      <c r="M1332" s="125">
        <f t="shared" si="21"/>
        <v>9</v>
      </c>
      <c r="N1332" s="7"/>
      <c r="O1332" s="132"/>
      <c r="P1332" s="175"/>
      <c r="V1332" s="207"/>
    </row>
    <row r="1333" spans="1:22" ht="15" customHeight="1">
      <c r="A1333" s="3">
        <v>37729</v>
      </c>
      <c r="B1333" s="9">
        <v>39775</v>
      </c>
      <c r="C1333" s="5">
        <v>124375</v>
      </c>
      <c r="D1333" s="5" t="e">
        <f>E1333-(#REF!+C1333)</f>
        <v>#REF!</v>
      </c>
      <c r="E1333" s="5">
        <v>177250</v>
      </c>
      <c r="K1333" s="22">
        <v>443</v>
      </c>
      <c r="L1333" s="6">
        <v>452</v>
      </c>
      <c r="M1333" s="125">
        <f t="shared" si="21"/>
        <v>9</v>
      </c>
      <c r="N1333" s="7"/>
      <c r="O1333" s="132"/>
      <c r="P1333" s="175"/>
      <c r="V1333" s="207"/>
    </row>
    <row r="1334" spans="1:22" ht="15" customHeight="1">
      <c r="A1334" s="3">
        <v>37732</v>
      </c>
      <c r="B1334" s="9">
        <v>39775</v>
      </c>
      <c r="C1334" s="5">
        <v>124375</v>
      </c>
      <c r="D1334" s="5" t="e">
        <f>E1334-(#REF!+C1334)</f>
        <v>#REF!</v>
      </c>
      <c r="E1334" s="5">
        <v>177250</v>
      </c>
      <c r="K1334" s="22">
        <v>443</v>
      </c>
      <c r="L1334" s="6">
        <v>452</v>
      </c>
      <c r="M1334" s="125">
        <f t="shared" si="21"/>
        <v>9</v>
      </c>
      <c r="N1334" s="7"/>
      <c r="O1334" s="132"/>
      <c r="P1334" s="175"/>
      <c r="V1334" s="207"/>
    </row>
    <row r="1335" spans="1:22" ht="15" customHeight="1">
      <c r="A1335" s="3">
        <v>37733</v>
      </c>
      <c r="B1335" s="9">
        <v>39775</v>
      </c>
      <c r="C1335" s="5">
        <v>123800</v>
      </c>
      <c r="D1335" s="5" t="e">
        <f>E1335-(#REF!+C1335)</f>
        <v>#REF!</v>
      </c>
      <c r="E1335" s="5">
        <v>176675</v>
      </c>
      <c r="K1335" s="22">
        <v>440.5</v>
      </c>
      <c r="L1335" s="6">
        <v>450</v>
      </c>
      <c r="M1335" s="125">
        <f t="shared" ref="M1335:M1398" si="22">L1335-K1335</f>
        <v>9.5</v>
      </c>
      <c r="N1335" s="7"/>
      <c r="O1335" s="132"/>
      <c r="P1335" s="175"/>
      <c r="V1335" s="207"/>
    </row>
    <row r="1336" spans="1:22" ht="15" customHeight="1">
      <c r="A1336" s="3">
        <v>37734</v>
      </c>
      <c r="B1336" s="9">
        <v>39625</v>
      </c>
      <c r="C1336" s="5">
        <v>122625</v>
      </c>
      <c r="D1336" s="5" t="e">
        <f>E1336-(#REF!+C1336)</f>
        <v>#REF!</v>
      </c>
      <c r="E1336" s="5">
        <v>175350</v>
      </c>
      <c r="K1336" s="22">
        <v>429</v>
      </c>
      <c r="L1336" s="6">
        <v>440</v>
      </c>
      <c r="M1336" s="125">
        <f t="shared" si="22"/>
        <v>11</v>
      </c>
      <c r="N1336" s="7"/>
      <c r="O1336" s="132"/>
      <c r="P1336" s="175"/>
      <c r="V1336" s="207"/>
    </row>
    <row r="1337" spans="1:22" ht="15" customHeight="1">
      <c r="A1337" s="3">
        <v>37735</v>
      </c>
      <c r="B1337" s="9">
        <v>39400</v>
      </c>
      <c r="C1337" s="5">
        <v>122625</v>
      </c>
      <c r="D1337" s="5" t="e">
        <f>E1337-(#REF!+C1337)</f>
        <v>#REF!</v>
      </c>
      <c r="E1337" s="5">
        <v>175125</v>
      </c>
      <c r="K1337" s="22">
        <v>430</v>
      </c>
      <c r="L1337" s="6">
        <v>440.5</v>
      </c>
      <c r="M1337" s="125">
        <f t="shared" si="22"/>
        <v>10.5</v>
      </c>
      <c r="N1337" s="7"/>
      <c r="O1337" s="132"/>
      <c r="P1337" s="175"/>
      <c r="V1337" s="207"/>
    </row>
    <row r="1338" spans="1:22" ht="15" customHeight="1">
      <c r="A1338" s="3">
        <v>37736</v>
      </c>
      <c r="B1338" s="9">
        <v>39400</v>
      </c>
      <c r="C1338" s="5">
        <v>122750</v>
      </c>
      <c r="D1338" s="5" t="e">
        <f>E1338-(#REF!+C1338)</f>
        <v>#REF!</v>
      </c>
      <c r="E1338" s="5">
        <v>175250</v>
      </c>
      <c r="K1338" s="22">
        <v>433.5</v>
      </c>
      <c r="L1338" s="6">
        <v>443</v>
      </c>
      <c r="M1338" s="125">
        <f t="shared" si="22"/>
        <v>9.5</v>
      </c>
      <c r="N1338" s="7"/>
      <c r="O1338" s="132"/>
      <c r="P1338" s="175"/>
      <c r="V1338" s="207"/>
    </row>
    <row r="1339" spans="1:22" ht="15" customHeight="1">
      <c r="A1339" s="3">
        <v>37739</v>
      </c>
      <c r="B1339" s="9">
        <v>39400</v>
      </c>
      <c r="C1339" s="5">
        <v>122425</v>
      </c>
      <c r="D1339" s="5" t="e">
        <f>E1339-(#REF!+C1339)</f>
        <v>#REF!</v>
      </c>
      <c r="E1339" s="5">
        <v>174925</v>
      </c>
      <c r="K1339" s="22">
        <v>432.5</v>
      </c>
      <c r="L1339" s="6">
        <v>440.5</v>
      </c>
      <c r="M1339" s="125">
        <f t="shared" si="22"/>
        <v>8</v>
      </c>
      <c r="N1339" s="7"/>
      <c r="O1339" s="132"/>
      <c r="P1339" s="175"/>
      <c r="V1339" s="207"/>
    </row>
    <row r="1340" spans="1:22" ht="15" customHeight="1">
      <c r="A1340" s="3">
        <v>37740</v>
      </c>
      <c r="B1340" s="9">
        <v>39400</v>
      </c>
      <c r="C1340" s="5">
        <v>122000</v>
      </c>
      <c r="D1340" s="5" t="e">
        <f>E1340-(#REF!+C1340)</f>
        <v>#REF!</v>
      </c>
      <c r="E1340" s="5">
        <v>174500</v>
      </c>
      <c r="K1340" s="22">
        <v>441.5</v>
      </c>
      <c r="L1340" s="6">
        <v>444.5</v>
      </c>
      <c r="M1340" s="125">
        <f t="shared" si="22"/>
        <v>3</v>
      </c>
      <c r="N1340" s="7"/>
      <c r="O1340" s="132"/>
      <c r="P1340" s="175"/>
      <c r="V1340" s="207"/>
    </row>
    <row r="1341" spans="1:22" ht="15" customHeight="1">
      <c r="A1341" s="3">
        <v>37741</v>
      </c>
      <c r="B1341" s="9">
        <v>39500</v>
      </c>
      <c r="C1341" s="5">
        <v>122000</v>
      </c>
      <c r="D1341" s="5" t="e">
        <f>E1341-(#REF!+C1341)</f>
        <v>#REF!</v>
      </c>
      <c r="E1341" s="5">
        <v>174600</v>
      </c>
      <c r="K1341" s="22">
        <v>450.5</v>
      </c>
      <c r="L1341" s="6">
        <v>454</v>
      </c>
      <c r="M1341" s="125">
        <f t="shared" si="22"/>
        <v>3.5</v>
      </c>
      <c r="N1341" s="7"/>
      <c r="O1341" s="132"/>
      <c r="P1341" s="175"/>
      <c r="V1341" s="207"/>
    </row>
    <row r="1342" spans="1:22" ht="15" customHeight="1">
      <c r="A1342" s="3">
        <v>37742</v>
      </c>
      <c r="B1342" s="9">
        <v>39425</v>
      </c>
      <c r="C1342" s="5">
        <v>122100</v>
      </c>
      <c r="D1342" s="5" t="e">
        <f>E1342-(#REF!+C1342)</f>
        <v>#REF!</v>
      </c>
      <c r="E1342" s="5">
        <v>174625</v>
      </c>
      <c r="K1342" s="22">
        <v>458.5</v>
      </c>
      <c r="L1342" s="6">
        <v>462</v>
      </c>
      <c r="M1342" s="125">
        <f t="shared" si="22"/>
        <v>3.5</v>
      </c>
      <c r="N1342" s="7"/>
      <c r="O1342" s="132"/>
      <c r="P1342" s="175"/>
      <c r="V1342" s="207"/>
    </row>
    <row r="1343" spans="1:22" ht="15" customHeight="1">
      <c r="A1343" s="3">
        <v>37743</v>
      </c>
      <c r="B1343" s="9">
        <v>39425</v>
      </c>
      <c r="C1343" s="5">
        <v>122650</v>
      </c>
      <c r="D1343" s="5" t="e">
        <f>E1343-(#REF!+C1343)</f>
        <v>#REF!</v>
      </c>
      <c r="E1343" s="5">
        <v>175175</v>
      </c>
      <c r="K1343" s="22">
        <v>463.5</v>
      </c>
      <c r="L1343" s="6">
        <v>465</v>
      </c>
      <c r="M1343" s="125">
        <f t="shared" si="22"/>
        <v>1.5</v>
      </c>
      <c r="N1343" s="7"/>
      <c r="O1343" s="132"/>
      <c r="P1343" s="175"/>
      <c r="V1343" s="207"/>
    </row>
    <row r="1344" spans="1:22" ht="15" customHeight="1">
      <c r="A1344" s="3">
        <v>37747</v>
      </c>
      <c r="B1344" s="9">
        <v>39425</v>
      </c>
      <c r="C1344" s="5">
        <v>122650</v>
      </c>
      <c r="D1344" s="5" t="e">
        <f>E1344-(#REF!+C1344)</f>
        <v>#REF!</v>
      </c>
      <c r="E1344" s="5">
        <v>175175</v>
      </c>
      <c r="K1344" s="22">
        <v>459</v>
      </c>
      <c r="L1344" s="6">
        <v>461</v>
      </c>
      <c r="M1344" s="125">
        <f t="shared" si="22"/>
        <v>2</v>
      </c>
      <c r="N1344" s="7"/>
      <c r="O1344" s="132"/>
      <c r="P1344" s="175"/>
      <c r="V1344" s="207"/>
    </row>
    <row r="1345" spans="1:22" ht="15" customHeight="1">
      <c r="A1345" s="3">
        <v>37748</v>
      </c>
      <c r="B1345" s="9">
        <v>39150</v>
      </c>
      <c r="C1345" s="5">
        <v>122650</v>
      </c>
      <c r="D1345" s="5" t="e">
        <f>E1345-(#REF!+C1345)</f>
        <v>#REF!</v>
      </c>
      <c r="E1345" s="5">
        <v>174900</v>
      </c>
      <c r="K1345" s="22">
        <v>463</v>
      </c>
      <c r="L1345" s="6">
        <v>467</v>
      </c>
      <c r="M1345" s="125">
        <f t="shared" si="22"/>
        <v>4</v>
      </c>
      <c r="N1345" s="7"/>
      <c r="O1345" s="132"/>
      <c r="P1345" s="175"/>
      <c r="V1345" s="207"/>
    </row>
    <row r="1346" spans="1:22" ht="15" customHeight="1">
      <c r="A1346" s="3">
        <v>37749</v>
      </c>
      <c r="B1346" s="9">
        <v>40550</v>
      </c>
      <c r="C1346" s="5">
        <v>122650</v>
      </c>
      <c r="D1346" s="5" t="e">
        <f>E1346-(#REF!+C1346)</f>
        <v>#REF!</v>
      </c>
      <c r="E1346" s="5">
        <v>176300</v>
      </c>
      <c r="K1346" s="22">
        <v>468</v>
      </c>
      <c r="L1346" s="6">
        <v>471</v>
      </c>
      <c r="M1346" s="125">
        <f t="shared" si="22"/>
        <v>3</v>
      </c>
      <c r="N1346" s="7"/>
      <c r="O1346" s="132"/>
      <c r="P1346" s="175"/>
      <c r="V1346" s="207"/>
    </row>
    <row r="1347" spans="1:22" ht="15" customHeight="1">
      <c r="A1347" s="3">
        <v>37750</v>
      </c>
      <c r="B1347" s="9">
        <v>39150</v>
      </c>
      <c r="C1347" s="5">
        <v>123025</v>
      </c>
      <c r="D1347" s="5" t="e">
        <f>E1347-(#REF!+C1347)</f>
        <v>#REF!</v>
      </c>
      <c r="E1347" s="5">
        <v>175275</v>
      </c>
      <c r="K1347" s="22">
        <v>467</v>
      </c>
      <c r="L1347" s="6">
        <v>469</v>
      </c>
      <c r="M1347" s="125">
        <f t="shared" si="22"/>
        <v>2</v>
      </c>
      <c r="N1347" s="7"/>
      <c r="O1347" s="132"/>
      <c r="P1347" s="175"/>
      <c r="V1347" s="207"/>
    </row>
    <row r="1348" spans="1:22" ht="15" customHeight="1">
      <c r="A1348" s="3">
        <v>37753</v>
      </c>
      <c r="B1348" s="9">
        <v>39050</v>
      </c>
      <c r="C1348" s="5">
        <v>123025</v>
      </c>
      <c r="D1348" s="5" t="e">
        <f>E1348-(#REF!+C1348)</f>
        <v>#REF!</v>
      </c>
      <c r="E1348" s="5">
        <v>175175</v>
      </c>
      <c r="K1348" s="22">
        <v>471</v>
      </c>
      <c r="L1348" s="6">
        <v>472</v>
      </c>
      <c r="M1348" s="125">
        <f t="shared" si="22"/>
        <v>1</v>
      </c>
      <c r="N1348" s="7"/>
      <c r="O1348" s="132"/>
      <c r="P1348" s="175"/>
      <c r="V1348" s="207"/>
    </row>
    <row r="1349" spans="1:22" ht="15" customHeight="1">
      <c r="A1349" s="3">
        <v>37754</v>
      </c>
      <c r="B1349" s="9">
        <v>38950</v>
      </c>
      <c r="C1349" s="5">
        <v>123025</v>
      </c>
      <c r="D1349" s="5" t="e">
        <f>E1349-(#REF!+C1349)</f>
        <v>#REF!</v>
      </c>
      <c r="E1349" s="5">
        <v>175075</v>
      </c>
      <c r="K1349" s="22">
        <v>475</v>
      </c>
      <c r="L1349" s="6">
        <v>475</v>
      </c>
      <c r="M1349" s="125">
        <f t="shared" si="22"/>
        <v>0</v>
      </c>
      <c r="N1349" s="7"/>
      <c r="O1349" s="132"/>
      <c r="P1349" s="175"/>
      <c r="V1349" s="207"/>
    </row>
    <row r="1350" spans="1:22" ht="15" customHeight="1">
      <c r="A1350" s="3">
        <v>37755</v>
      </c>
      <c r="B1350" s="9">
        <v>39650</v>
      </c>
      <c r="C1350" s="5">
        <v>123550</v>
      </c>
      <c r="D1350" s="5" t="e">
        <f>E1350-(#REF!+C1350)</f>
        <v>#REF!</v>
      </c>
      <c r="E1350" s="5">
        <v>176300</v>
      </c>
      <c r="K1350" s="22">
        <v>467</v>
      </c>
      <c r="L1350" s="6">
        <v>469</v>
      </c>
      <c r="M1350" s="125">
        <f t="shared" si="22"/>
        <v>2</v>
      </c>
      <c r="N1350" s="7"/>
      <c r="O1350" s="132"/>
      <c r="P1350" s="175"/>
      <c r="V1350" s="207"/>
    </row>
    <row r="1351" spans="1:22" ht="15" customHeight="1">
      <c r="A1351" s="3">
        <v>37756</v>
      </c>
      <c r="B1351" s="9">
        <v>38450</v>
      </c>
      <c r="C1351" s="5">
        <v>123550</v>
      </c>
      <c r="D1351" s="5" t="e">
        <f>E1351-(#REF!+C1351)</f>
        <v>#REF!</v>
      </c>
      <c r="E1351" s="5">
        <v>175100</v>
      </c>
      <c r="K1351" s="22">
        <v>465.5</v>
      </c>
      <c r="L1351" s="6">
        <v>468.5</v>
      </c>
      <c r="M1351" s="125">
        <f t="shared" si="22"/>
        <v>3</v>
      </c>
      <c r="N1351" s="7"/>
      <c r="O1351" s="132"/>
      <c r="P1351" s="175"/>
      <c r="V1351" s="207"/>
    </row>
    <row r="1352" spans="1:22" ht="15" customHeight="1">
      <c r="A1352" s="3">
        <v>37757</v>
      </c>
      <c r="B1352" s="9">
        <v>37850</v>
      </c>
      <c r="C1352" s="5">
        <v>123550</v>
      </c>
      <c r="D1352" s="5" t="e">
        <f>E1352-(#REF!+C1352)</f>
        <v>#REF!</v>
      </c>
      <c r="E1352" s="5">
        <v>174500</v>
      </c>
      <c r="K1352" s="22">
        <v>468</v>
      </c>
      <c r="L1352" s="6">
        <v>470</v>
      </c>
      <c r="M1352" s="125">
        <f t="shared" si="22"/>
        <v>2</v>
      </c>
      <c r="N1352" s="7"/>
      <c r="O1352" s="132"/>
      <c r="P1352" s="175"/>
      <c r="V1352" s="207"/>
    </row>
    <row r="1353" spans="1:22" ht="15" customHeight="1">
      <c r="A1353" s="3">
        <v>37760</v>
      </c>
      <c r="B1353" s="9">
        <v>37700</v>
      </c>
      <c r="C1353" s="5">
        <v>123875</v>
      </c>
      <c r="D1353" s="5" t="e">
        <f>E1353-(#REF!+C1353)</f>
        <v>#REF!</v>
      </c>
      <c r="E1353" s="5">
        <v>174675</v>
      </c>
      <c r="K1353" s="22">
        <v>465.5</v>
      </c>
      <c r="L1353" s="6">
        <v>468</v>
      </c>
      <c r="M1353" s="125">
        <f t="shared" si="22"/>
        <v>2.5</v>
      </c>
      <c r="N1353" s="7"/>
      <c r="O1353" s="132"/>
      <c r="P1353" s="175"/>
      <c r="V1353" s="207"/>
    </row>
    <row r="1354" spans="1:22" ht="15" customHeight="1">
      <c r="A1354" s="3">
        <v>37761</v>
      </c>
      <c r="B1354" s="9">
        <v>37100</v>
      </c>
      <c r="C1354" s="5">
        <v>123875</v>
      </c>
      <c r="D1354" s="5" t="e">
        <f>E1354-(#REF!+C1354)</f>
        <v>#REF!</v>
      </c>
      <c r="E1354" s="5">
        <v>174075</v>
      </c>
      <c r="K1354" s="22">
        <v>458</v>
      </c>
      <c r="L1354" s="6">
        <v>461.5</v>
      </c>
      <c r="M1354" s="125">
        <f t="shared" si="22"/>
        <v>3.5</v>
      </c>
      <c r="N1354" s="7"/>
      <c r="O1354" s="132"/>
      <c r="P1354" s="175"/>
      <c r="V1354" s="207"/>
    </row>
    <row r="1355" spans="1:22" ht="15" customHeight="1">
      <c r="A1355" s="3">
        <v>37762</v>
      </c>
      <c r="B1355" s="9">
        <v>36625</v>
      </c>
      <c r="C1355" s="5">
        <v>123875</v>
      </c>
      <c r="D1355" s="5" t="e">
        <f>E1355-(#REF!+C1355)</f>
        <v>#REF!</v>
      </c>
      <c r="E1355" s="5">
        <v>173600</v>
      </c>
      <c r="K1355" s="22">
        <v>452.3</v>
      </c>
      <c r="L1355" s="6">
        <v>459.5</v>
      </c>
      <c r="M1355" s="125">
        <f t="shared" si="22"/>
        <v>7.1999999999999886</v>
      </c>
      <c r="N1355" s="7"/>
      <c r="O1355" s="132"/>
      <c r="P1355" s="175"/>
      <c r="V1355" s="207"/>
    </row>
    <row r="1356" spans="1:22" ht="15" customHeight="1">
      <c r="A1356" s="3">
        <v>37763</v>
      </c>
      <c r="B1356" s="9">
        <v>37125</v>
      </c>
      <c r="C1356" s="5">
        <v>123875</v>
      </c>
      <c r="D1356" s="5" t="e">
        <f>E1356-(#REF!+C1356)</f>
        <v>#REF!</v>
      </c>
      <c r="E1356" s="5">
        <v>174100</v>
      </c>
      <c r="K1356" s="22">
        <v>457</v>
      </c>
      <c r="L1356" s="6">
        <v>462</v>
      </c>
      <c r="M1356" s="125">
        <f t="shared" si="22"/>
        <v>5</v>
      </c>
      <c r="N1356" s="7"/>
      <c r="O1356" s="132"/>
      <c r="P1356" s="175"/>
      <c r="V1356" s="207"/>
    </row>
    <row r="1357" spans="1:22" ht="15" customHeight="1">
      <c r="A1357" s="3">
        <v>37764</v>
      </c>
      <c r="B1357" s="9">
        <v>36625</v>
      </c>
      <c r="C1357" s="5">
        <v>123875</v>
      </c>
      <c r="D1357" s="5" t="e">
        <f>E1357-(#REF!+C1357)</f>
        <v>#REF!</v>
      </c>
      <c r="E1357" s="5">
        <v>173600</v>
      </c>
      <c r="K1357" s="22">
        <v>456.5</v>
      </c>
      <c r="L1357" s="6">
        <v>460.5</v>
      </c>
      <c r="M1357" s="125">
        <f t="shared" si="22"/>
        <v>4</v>
      </c>
      <c r="N1357" s="7"/>
      <c r="O1357" s="132"/>
      <c r="P1357" s="175"/>
      <c r="V1357" s="207"/>
    </row>
    <row r="1358" spans="1:22" ht="15" customHeight="1">
      <c r="A1358" s="3">
        <v>37767</v>
      </c>
      <c r="B1358" s="9">
        <v>36625</v>
      </c>
      <c r="C1358" s="5">
        <v>123875</v>
      </c>
      <c r="D1358" s="5" t="e">
        <f>E1358-(#REF!+C1358)</f>
        <v>#REF!</v>
      </c>
      <c r="E1358" s="5">
        <v>173600</v>
      </c>
      <c r="K1358" s="22">
        <v>456.5</v>
      </c>
      <c r="L1358" s="6">
        <v>460.5</v>
      </c>
      <c r="M1358" s="125">
        <f t="shared" si="22"/>
        <v>4</v>
      </c>
      <c r="N1358" s="7"/>
      <c r="O1358" s="132"/>
      <c r="P1358" s="175"/>
      <c r="V1358" s="207"/>
    </row>
    <row r="1359" spans="1:22" ht="15" customHeight="1">
      <c r="A1359" s="3">
        <v>37768</v>
      </c>
      <c r="B1359" s="9">
        <v>36375</v>
      </c>
      <c r="C1359" s="5">
        <v>123975</v>
      </c>
      <c r="D1359" s="5" t="e">
        <f>E1359-(#REF!+C1359)</f>
        <v>#REF!</v>
      </c>
      <c r="E1359" s="5">
        <v>173450</v>
      </c>
      <c r="K1359" s="22">
        <v>460</v>
      </c>
      <c r="L1359" s="6">
        <v>462</v>
      </c>
      <c r="M1359" s="125">
        <f t="shared" si="22"/>
        <v>2</v>
      </c>
      <c r="N1359" s="7"/>
      <c r="O1359" s="132"/>
      <c r="P1359" s="175"/>
      <c r="V1359" s="207"/>
    </row>
    <row r="1360" spans="1:22" ht="15" customHeight="1">
      <c r="A1360" s="3">
        <v>37769</v>
      </c>
      <c r="B1360" s="9">
        <v>35200</v>
      </c>
      <c r="C1360" s="5">
        <v>123975</v>
      </c>
      <c r="D1360" s="5" t="e">
        <f>E1360-(#REF!+C1360)</f>
        <v>#REF!</v>
      </c>
      <c r="E1360" s="5">
        <v>172275</v>
      </c>
      <c r="K1360" s="22">
        <v>461</v>
      </c>
      <c r="L1360" s="6">
        <v>463</v>
      </c>
      <c r="M1360" s="125">
        <f t="shared" si="22"/>
        <v>2</v>
      </c>
      <c r="N1360" s="7"/>
      <c r="O1360" s="132"/>
      <c r="P1360" s="175"/>
      <c r="V1360" s="207"/>
    </row>
    <row r="1361" spans="1:22" ht="15" customHeight="1">
      <c r="A1361" s="3">
        <v>37770</v>
      </c>
      <c r="B1361" s="9">
        <v>36225</v>
      </c>
      <c r="C1361" s="5">
        <v>123975</v>
      </c>
      <c r="D1361" s="5" t="e">
        <f>E1361-(#REF!+C1361)</f>
        <v>#REF!</v>
      </c>
      <c r="E1361" s="5">
        <v>173300</v>
      </c>
      <c r="K1361" s="22">
        <v>468</v>
      </c>
      <c r="L1361" s="6">
        <v>466.5</v>
      </c>
      <c r="M1361" s="125">
        <f t="shared" si="22"/>
        <v>-1.5</v>
      </c>
      <c r="N1361" s="7"/>
      <c r="O1361" s="132"/>
      <c r="P1361" s="175"/>
      <c r="V1361" s="207"/>
    </row>
    <row r="1362" spans="1:22" ht="15" customHeight="1">
      <c r="A1362" s="3">
        <v>37771</v>
      </c>
      <c r="B1362" s="9">
        <v>35100</v>
      </c>
      <c r="C1362" s="5">
        <v>124650</v>
      </c>
      <c r="D1362" s="5" t="e">
        <f>E1362-(#REF!+C1362)</f>
        <v>#REF!</v>
      </c>
      <c r="E1362" s="5">
        <v>172850</v>
      </c>
      <c r="K1362" s="22">
        <v>466</v>
      </c>
      <c r="L1362" s="6">
        <v>467</v>
      </c>
      <c r="M1362" s="125">
        <f t="shared" si="22"/>
        <v>1</v>
      </c>
      <c r="N1362" s="7"/>
      <c r="O1362" s="132"/>
      <c r="P1362" s="175"/>
      <c r="V1362" s="207"/>
    </row>
    <row r="1363" spans="1:22" ht="15" customHeight="1">
      <c r="A1363" s="3">
        <v>37774</v>
      </c>
      <c r="B1363" s="9">
        <v>35925</v>
      </c>
      <c r="C1363" s="5">
        <v>124650</v>
      </c>
      <c r="D1363" s="5" t="e">
        <f>E1363-(#REF!+C1363)</f>
        <v>#REF!</v>
      </c>
      <c r="E1363" s="5">
        <v>173675</v>
      </c>
      <c r="K1363" s="22">
        <v>468.5</v>
      </c>
      <c r="L1363" s="6">
        <v>472</v>
      </c>
      <c r="M1363" s="125">
        <f t="shared" si="22"/>
        <v>3.5</v>
      </c>
      <c r="N1363" s="7"/>
      <c r="O1363" s="132"/>
      <c r="P1363" s="175"/>
      <c r="V1363" s="207"/>
    </row>
    <row r="1364" spans="1:22" ht="15" customHeight="1">
      <c r="A1364" s="3">
        <v>37775</v>
      </c>
      <c r="B1364" s="9">
        <v>35350</v>
      </c>
      <c r="C1364" s="5">
        <v>124800</v>
      </c>
      <c r="D1364" s="5" t="e">
        <f>E1364-(#REF!+C1364)</f>
        <v>#REF!</v>
      </c>
      <c r="E1364" s="5">
        <v>173250</v>
      </c>
      <c r="K1364" s="22">
        <v>473</v>
      </c>
      <c r="L1364" s="6">
        <v>475.5</v>
      </c>
      <c r="M1364" s="125">
        <f t="shared" si="22"/>
        <v>2.5</v>
      </c>
      <c r="N1364" s="7"/>
      <c r="O1364" s="132"/>
      <c r="P1364" s="175"/>
      <c r="V1364" s="207"/>
    </row>
    <row r="1365" spans="1:22" ht="15" customHeight="1">
      <c r="A1365" s="3">
        <v>37776</v>
      </c>
      <c r="B1365" s="9">
        <v>35350</v>
      </c>
      <c r="C1365" s="5">
        <v>124800</v>
      </c>
      <c r="D1365" s="5" t="e">
        <f>E1365-(#REF!+C1365)</f>
        <v>#REF!</v>
      </c>
      <c r="E1365" s="5">
        <v>173250</v>
      </c>
      <c r="K1365" s="22">
        <v>467</v>
      </c>
      <c r="L1365" s="6">
        <v>472</v>
      </c>
      <c r="M1365" s="125">
        <f t="shared" si="22"/>
        <v>5</v>
      </c>
      <c r="N1365" s="7"/>
      <c r="O1365" s="132"/>
      <c r="P1365" s="175"/>
      <c r="V1365" s="207"/>
    </row>
    <row r="1366" spans="1:22" ht="15" customHeight="1">
      <c r="A1366" s="3">
        <v>37777</v>
      </c>
      <c r="B1366" s="9">
        <v>35325</v>
      </c>
      <c r="C1366" s="5">
        <v>124900</v>
      </c>
      <c r="D1366" s="5" t="e">
        <f>E1366-(#REF!+C1366)</f>
        <v>#REF!</v>
      </c>
      <c r="E1366" s="5">
        <v>173325</v>
      </c>
      <c r="K1366" s="22">
        <v>469</v>
      </c>
      <c r="L1366" s="6">
        <v>476</v>
      </c>
      <c r="M1366" s="125">
        <f t="shared" si="22"/>
        <v>7</v>
      </c>
      <c r="N1366" s="7"/>
      <c r="O1366" s="132"/>
      <c r="P1366" s="175"/>
      <c r="V1366" s="207"/>
    </row>
    <row r="1367" spans="1:22" ht="15" customHeight="1">
      <c r="A1367" s="3">
        <v>37778</v>
      </c>
      <c r="B1367" s="9">
        <v>35875</v>
      </c>
      <c r="C1367" s="5">
        <v>125025</v>
      </c>
      <c r="D1367" s="5" t="e">
        <f>E1367-(#REF!+C1367)</f>
        <v>#REF!</v>
      </c>
      <c r="E1367" s="5">
        <v>174000</v>
      </c>
      <c r="K1367" s="22">
        <v>474.5</v>
      </c>
      <c r="L1367" s="6">
        <v>480</v>
      </c>
      <c r="M1367" s="125">
        <f t="shared" si="22"/>
        <v>5.5</v>
      </c>
      <c r="N1367" s="7"/>
      <c r="O1367" s="132"/>
      <c r="P1367" s="175"/>
      <c r="V1367" s="207"/>
    </row>
    <row r="1368" spans="1:22" ht="15" customHeight="1">
      <c r="A1368" s="3">
        <v>37781</v>
      </c>
      <c r="B1368" s="9">
        <v>36975</v>
      </c>
      <c r="C1368" s="5">
        <v>125150</v>
      </c>
      <c r="D1368" s="5" t="e">
        <f>E1368-(#REF!+C1368)</f>
        <v>#REF!</v>
      </c>
      <c r="E1368" s="5">
        <v>175225</v>
      </c>
      <c r="K1368" s="22">
        <v>469</v>
      </c>
      <c r="L1368" s="6">
        <v>475.5</v>
      </c>
      <c r="M1368" s="125">
        <f t="shared" si="22"/>
        <v>6.5</v>
      </c>
      <c r="N1368" s="7"/>
      <c r="O1368" s="132"/>
      <c r="P1368" s="175"/>
      <c r="V1368" s="207"/>
    </row>
    <row r="1369" spans="1:22" ht="15" customHeight="1">
      <c r="A1369" s="3">
        <v>37782</v>
      </c>
      <c r="B1369" s="9">
        <v>35650</v>
      </c>
      <c r="C1369" s="5">
        <v>125150</v>
      </c>
      <c r="D1369" s="5" t="e">
        <f>E1369-(#REF!+C1369)</f>
        <v>#REF!</v>
      </c>
      <c r="E1369" s="5">
        <v>173900</v>
      </c>
      <c r="K1369" s="22">
        <v>460</v>
      </c>
      <c r="L1369" s="6">
        <v>469</v>
      </c>
      <c r="M1369" s="125">
        <f t="shared" si="22"/>
        <v>9</v>
      </c>
      <c r="N1369" s="7"/>
      <c r="O1369" s="132"/>
      <c r="P1369" s="175"/>
      <c r="V1369" s="207"/>
    </row>
    <row r="1370" spans="1:22" ht="15" customHeight="1">
      <c r="A1370" s="3">
        <v>37783</v>
      </c>
      <c r="B1370" s="9">
        <v>35650</v>
      </c>
      <c r="C1370" s="5">
        <v>125300</v>
      </c>
      <c r="D1370" s="5" t="e">
        <f>E1370-(#REF!+C1370)</f>
        <v>#REF!</v>
      </c>
      <c r="E1370" s="5">
        <v>174050</v>
      </c>
      <c r="K1370" s="22">
        <v>461</v>
      </c>
      <c r="L1370" s="6">
        <v>466.5</v>
      </c>
      <c r="M1370" s="125">
        <f t="shared" si="22"/>
        <v>5.5</v>
      </c>
      <c r="N1370" s="7"/>
      <c r="O1370" s="132"/>
      <c r="P1370" s="175"/>
      <c r="V1370" s="207"/>
    </row>
    <row r="1371" spans="1:22" ht="15" customHeight="1">
      <c r="A1371" s="3">
        <v>37784</v>
      </c>
      <c r="B1371" s="9">
        <v>35250</v>
      </c>
      <c r="C1371" s="5">
        <v>125300</v>
      </c>
      <c r="D1371" s="5" t="e">
        <f>E1371-(#REF!+C1371)</f>
        <v>#REF!</v>
      </c>
      <c r="E1371" s="5">
        <v>173650</v>
      </c>
      <c r="K1371" s="22">
        <v>463</v>
      </c>
      <c r="L1371" s="6">
        <v>466.5</v>
      </c>
      <c r="M1371" s="125">
        <f t="shared" si="22"/>
        <v>3.5</v>
      </c>
      <c r="N1371" s="7"/>
      <c r="O1371" s="132"/>
      <c r="P1371" s="175"/>
      <c r="V1371" s="207"/>
    </row>
    <row r="1372" spans="1:22" ht="15" customHeight="1">
      <c r="A1372" s="3">
        <v>37785</v>
      </c>
      <c r="B1372" s="9">
        <v>35075</v>
      </c>
      <c r="C1372" s="5">
        <v>125400</v>
      </c>
      <c r="D1372" s="5" t="e">
        <f>E1372-(#REF!+C1372)</f>
        <v>#REF!</v>
      </c>
      <c r="E1372" s="5">
        <v>173575</v>
      </c>
      <c r="K1372" s="22">
        <v>464</v>
      </c>
      <c r="L1372" s="6">
        <v>468</v>
      </c>
      <c r="M1372" s="125">
        <f t="shared" si="22"/>
        <v>4</v>
      </c>
      <c r="N1372" s="7"/>
      <c r="O1372" s="132"/>
      <c r="P1372" s="175"/>
      <c r="V1372" s="207"/>
    </row>
    <row r="1373" spans="1:22" ht="15" customHeight="1">
      <c r="A1373" s="3">
        <v>37788</v>
      </c>
      <c r="B1373" s="9">
        <v>35075</v>
      </c>
      <c r="C1373" s="5">
        <v>125400</v>
      </c>
      <c r="D1373" s="5" t="e">
        <f>E1373-(#REF!+C1373)</f>
        <v>#REF!</v>
      </c>
      <c r="E1373" s="5">
        <v>173575</v>
      </c>
      <c r="K1373" s="22">
        <v>461</v>
      </c>
      <c r="L1373" s="6">
        <v>466.5</v>
      </c>
      <c r="M1373" s="125">
        <f t="shared" si="22"/>
        <v>5.5</v>
      </c>
      <c r="N1373" s="7"/>
      <c r="O1373" s="132"/>
      <c r="P1373" s="175"/>
      <c r="V1373" s="207"/>
    </row>
    <row r="1374" spans="1:22" ht="15" customHeight="1">
      <c r="A1374" s="3">
        <v>37789</v>
      </c>
      <c r="B1374" s="9">
        <v>35075</v>
      </c>
      <c r="C1374" s="5">
        <v>125525</v>
      </c>
      <c r="D1374" s="5" t="e">
        <f>E1374-(#REF!+C1374)</f>
        <v>#REF!</v>
      </c>
      <c r="E1374" s="5">
        <v>173700</v>
      </c>
      <c r="K1374" s="22">
        <v>464</v>
      </c>
      <c r="L1374" s="6">
        <v>468.5</v>
      </c>
      <c r="M1374" s="125">
        <f t="shared" si="22"/>
        <v>4.5</v>
      </c>
      <c r="N1374" s="7"/>
      <c r="O1374" s="132"/>
      <c r="P1374" s="175"/>
      <c r="V1374" s="207"/>
    </row>
    <row r="1375" spans="1:22" ht="15" customHeight="1">
      <c r="A1375" s="3">
        <v>37790</v>
      </c>
      <c r="B1375" s="9">
        <v>35075</v>
      </c>
      <c r="C1375" s="5">
        <v>125650</v>
      </c>
      <c r="D1375" s="5" t="e">
        <f>E1375-(#REF!+C1375)</f>
        <v>#REF!</v>
      </c>
      <c r="E1375" s="5">
        <v>173825</v>
      </c>
      <c r="K1375" s="22">
        <v>470.5</v>
      </c>
      <c r="L1375" s="6">
        <v>474.5</v>
      </c>
      <c r="M1375" s="125">
        <f t="shared" si="22"/>
        <v>4</v>
      </c>
      <c r="N1375" s="7"/>
      <c r="O1375" s="132"/>
      <c r="P1375" s="175"/>
      <c r="V1375" s="207"/>
    </row>
    <row r="1376" spans="1:22" ht="15" customHeight="1">
      <c r="A1376" s="3">
        <v>37791</v>
      </c>
      <c r="B1376" s="9">
        <v>35400</v>
      </c>
      <c r="C1376" s="5">
        <v>125650</v>
      </c>
      <c r="D1376" s="5" t="e">
        <f>E1376-(#REF!+C1376)</f>
        <v>#REF!</v>
      </c>
      <c r="E1376" s="5">
        <v>174150</v>
      </c>
      <c r="K1376" s="22">
        <v>472</v>
      </c>
      <c r="L1376" s="6">
        <v>475</v>
      </c>
      <c r="M1376" s="125">
        <f t="shared" si="22"/>
        <v>3</v>
      </c>
      <c r="N1376" s="7"/>
      <c r="O1376" s="132"/>
      <c r="P1376" s="175"/>
      <c r="V1376" s="207"/>
    </row>
    <row r="1377" spans="1:22" ht="15" customHeight="1">
      <c r="A1377" s="3">
        <v>37792</v>
      </c>
      <c r="B1377" s="9">
        <v>35050</v>
      </c>
      <c r="C1377" s="5">
        <v>125775</v>
      </c>
      <c r="D1377" s="5" t="e">
        <f>E1377-(#REF!+C1377)</f>
        <v>#REF!</v>
      </c>
      <c r="E1377" s="5">
        <v>173875</v>
      </c>
      <c r="K1377" s="22">
        <v>473.5</v>
      </c>
      <c r="L1377" s="6">
        <v>478</v>
      </c>
      <c r="M1377" s="125">
        <f t="shared" si="22"/>
        <v>4.5</v>
      </c>
      <c r="N1377" s="7"/>
      <c r="O1377" s="132"/>
      <c r="P1377" s="175"/>
      <c r="V1377" s="207"/>
    </row>
    <row r="1378" spans="1:22" ht="15" customHeight="1">
      <c r="A1378" s="3">
        <v>37795</v>
      </c>
      <c r="B1378" s="9">
        <v>35050</v>
      </c>
      <c r="C1378" s="5">
        <v>126050</v>
      </c>
      <c r="D1378" s="5" t="e">
        <f>E1378-(#REF!+C1378)</f>
        <v>#REF!</v>
      </c>
      <c r="E1378" s="5">
        <v>174150</v>
      </c>
      <c r="K1378" s="22">
        <v>464.5</v>
      </c>
      <c r="L1378" s="6">
        <v>469.5</v>
      </c>
      <c r="M1378" s="125">
        <f t="shared" si="22"/>
        <v>5</v>
      </c>
      <c r="N1378" s="7"/>
      <c r="O1378" s="132"/>
      <c r="P1378" s="175"/>
      <c r="V1378" s="207"/>
    </row>
    <row r="1379" spans="1:22" ht="15" customHeight="1">
      <c r="A1379" s="3">
        <v>37796</v>
      </c>
      <c r="B1379" s="9">
        <v>34650</v>
      </c>
      <c r="C1379" s="5">
        <v>126050</v>
      </c>
      <c r="D1379" s="5" t="e">
        <f>E1379-(#REF!+C1379)</f>
        <v>#REF!</v>
      </c>
      <c r="E1379" s="5">
        <v>173750</v>
      </c>
      <c r="K1379" s="22">
        <v>460</v>
      </c>
      <c r="L1379" s="6">
        <v>463.5</v>
      </c>
      <c r="M1379" s="125">
        <f t="shared" si="22"/>
        <v>3.5</v>
      </c>
      <c r="N1379" s="7"/>
      <c r="O1379" s="132"/>
      <c r="P1379" s="175"/>
      <c r="V1379" s="207"/>
    </row>
    <row r="1380" spans="1:22" ht="15" customHeight="1">
      <c r="A1380" s="3">
        <v>37797</v>
      </c>
      <c r="B1380" s="9">
        <v>34150</v>
      </c>
      <c r="C1380" s="5">
        <v>126150</v>
      </c>
      <c r="D1380" s="5" t="e">
        <f>E1380-(#REF!+C1380)</f>
        <v>#REF!</v>
      </c>
      <c r="E1380" s="5">
        <v>173300</v>
      </c>
      <c r="K1380" s="22">
        <v>463.5</v>
      </c>
      <c r="L1380" s="6">
        <v>465</v>
      </c>
      <c r="M1380" s="125">
        <f t="shared" si="22"/>
        <v>1.5</v>
      </c>
      <c r="N1380" s="7"/>
      <c r="O1380" s="132"/>
      <c r="P1380" s="175"/>
      <c r="V1380" s="207"/>
    </row>
    <row r="1381" spans="1:22" ht="15" customHeight="1">
      <c r="A1381" s="3">
        <v>37798</v>
      </c>
      <c r="B1381" s="9">
        <v>34150</v>
      </c>
      <c r="C1381" s="5">
        <v>126150</v>
      </c>
      <c r="D1381" s="5" t="e">
        <f>E1381-(#REF!+C1381)</f>
        <v>#REF!</v>
      </c>
      <c r="E1381" s="5">
        <v>173200</v>
      </c>
      <c r="K1381" s="22">
        <v>468</v>
      </c>
      <c r="L1381" s="6">
        <v>467</v>
      </c>
      <c r="M1381" s="125">
        <f t="shared" si="22"/>
        <v>-1</v>
      </c>
      <c r="N1381" s="7"/>
      <c r="O1381" s="132"/>
      <c r="P1381" s="175"/>
      <c r="V1381" s="207"/>
    </row>
    <row r="1382" spans="1:22" ht="15" customHeight="1">
      <c r="A1382" s="3">
        <v>37799</v>
      </c>
      <c r="B1382" s="9">
        <v>33650</v>
      </c>
      <c r="C1382" s="5">
        <v>126675</v>
      </c>
      <c r="D1382" s="5" t="e">
        <f>E1382-(#REF!+C1382)</f>
        <v>#REF!</v>
      </c>
      <c r="E1382" s="5">
        <v>173200</v>
      </c>
      <c r="K1382" s="22">
        <v>478</v>
      </c>
      <c r="L1382" s="6">
        <v>472</v>
      </c>
      <c r="M1382" s="125">
        <f t="shared" si="22"/>
        <v>-6</v>
      </c>
      <c r="N1382" s="7"/>
      <c r="O1382" s="132"/>
      <c r="P1382" s="175"/>
      <c r="V1382" s="207"/>
    </row>
    <row r="1383" spans="1:22" ht="15" customHeight="1">
      <c r="A1383" s="3">
        <v>37802</v>
      </c>
      <c r="B1383" s="9">
        <v>33125</v>
      </c>
      <c r="C1383" s="5">
        <v>126675</v>
      </c>
      <c r="D1383" s="5" t="e">
        <f>E1383-(#REF!+C1383)</f>
        <v>#REF!</v>
      </c>
      <c r="E1383" s="5">
        <v>172675</v>
      </c>
      <c r="K1383" s="22">
        <v>484.5</v>
      </c>
      <c r="L1383" s="6">
        <v>478.5</v>
      </c>
      <c r="M1383" s="125">
        <f t="shared" si="22"/>
        <v>-6</v>
      </c>
      <c r="N1383" s="7"/>
      <c r="O1383" s="132"/>
      <c r="P1383" s="175"/>
      <c r="V1383" s="207"/>
    </row>
    <row r="1384" spans="1:22" ht="15" customHeight="1">
      <c r="A1384" s="3">
        <v>37803</v>
      </c>
      <c r="B1384" s="9">
        <v>32825</v>
      </c>
      <c r="C1384" s="5">
        <v>126950</v>
      </c>
      <c r="D1384" s="5" t="e">
        <f>E1384-(#REF!+C1384)</f>
        <v>#REF!</v>
      </c>
      <c r="E1384" s="5">
        <v>172450</v>
      </c>
      <c r="K1384" s="22">
        <v>484</v>
      </c>
      <c r="L1384" s="6">
        <v>478</v>
      </c>
      <c r="M1384" s="125">
        <f t="shared" si="22"/>
        <v>-6</v>
      </c>
      <c r="N1384" s="7"/>
      <c r="O1384" s="132"/>
      <c r="P1384" s="175"/>
      <c r="V1384" s="207"/>
    </row>
    <row r="1385" spans="1:22" ht="15" customHeight="1">
      <c r="A1385" s="3">
        <v>37804</v>
      </c>
      <c r="B1385" s="9">
        <v>32650</v>
      </c>
      <c r="C1385" s="5">
        <v>127025</v>
      </c>
      <c r="D1385" s="5" t="e">
        <f>E1385-(#REF!+C1385)</f>
        <v>#REF!</v>
      </c>
      <c r="E1385" s="5">
        <v>172350</v>
      </c>
      <c r="K1385" s="22">
        <v>487</v>
      </c>
      <c r="L1385" s="6">
        <v>481</v>
      </c>
      <c r="M1385" s="125">
        <f t="shared" si="22"/>
        <v>-6</v>
      </c>
      <c r="N1385" s="7"/>
      <c r="O1385" s="132"/>
      <c r="P1385" s="175"/>
      <c r="V1385" s="207"/>
    </row>
    <row r="1386" spans="1:22" ht="15" customHeight="1">
      <c r="A1386" s="3">
        <v>37805</v>
      </c>
      <c r="B1386" s="9">
        <v>32525</v>
      </c>
      <c r="C1386" s="5">
        <v>126225</v>
      </c>
      <c r="D1386" s="5" t="e">
        <f>E1386-(#REF!+C1386)</f>
        <v>#REF!</v>
      </c>
      <c r="E1386" s="5">
        <v>171425</v>
      </c>
      <c r="K1386" s="22">
        <v>488</v>
      </c>
      <c r="L1386" s="6">
        <v>484</v>
      </c>
      <c r="M1386" s="125">
        <f t="shared" si="22"/>
        <v>-4</v>
      </c>
      <c r="N1386" s="7"/>
      <c r="O1386" s="132"/>
      <c r="P1386" s="175"/>
      <c r="V1386" s="207"/>
    </row>
    <row r="1387" spans="1:22" ht="15" customHeight="1">
      <c r="A1387" s="3">
        <v>37806</v>
      </c>
      <c r="B1387" s="9">
        <v>32525</v>
      </c>
      <c r="C1387" s="5">
        <v>125650</v>
      </c>
      <c r="D1387" s="5" t="e">
        <f>E1387-(#REF!+C1387)</f>
        <v>#REF!</v>
      </c>
      <c r="E1387" s="5">
        <v>170850</v>
      </c>
      <c r="K1387" s="22">
        <v>492.5</v>
      </c>
      <c r="L1387" s="6">
        <v>485</v>
      </c>
      <c r="M1387" s="125">
        <f t="shared" si="22"/>
        <v>-7.5</v>
      </c>
      <c r="N1387" s="7"/>
      <c r="O1387" s="132"/>
      <c r="P1387" s="175"/>
      <c r="V1387" s="207"/>
    </row>
    <row r="1388" spans="1:22" ht="15" customHeight="1">
      <c r="A1388" s="3">
        <v>37809</v>
      </c>
      <c r="B1388" s="9">
        <v>32525</v>
      </c>
      <c r="C1388" s="5">
        <v>124825</v>
      </c>
      <c r="D1388" s="5" t="e">
        <f>E1388-(#REF!+C1388)</f>
        <v>#REF!</v>
      </c>
      <c r="E1388" s="5">
        <v>170025</v>
      </c>
      <c r="K1388" s="22">
        <v>493</v>
      </c>
      <c r="L1388" s="6">
        <v>486.5</v>
      </c>
      <c r="M1388" s="125">
        <f t="shared" si="22"/>
        <v>-6.5</v>
      </c>
      <c r="N1388" s="7"/>
      <c r="O1388" s="132"/>
      <c r="P1388" s="175"/>
      <c r="V1388" s="207"/>
    </row>
    <row r="1389" spans="1:22" ht="15" customHeight="1">
      <c r="A1389" s="3">
        <v>37810</v>
      </c>
      <c r="B1389" s="9">
        <v>32500</v>
      </c>
      <c r="C1389" s="5">
        <v>124825</v>
      </c>
      <c r="D1389" s="5" t="e">
        <f>E1389-(#REF!+C1389)</f>
        <v>#REF!</v>
      </c>
      <c r="E1389" s="5">
        <v>170000</v>
      </c>
      <c r="K1389" s="22">
        <v>505.5</v>
      </c>
      <c r="L1389" s="6">
        <v>502</v>
      </c>
      <c r="M1389" s="125">
        <f t="shared" si="22"/>
        <v>-3.5</v>
      </c>
      <c r="N1389" s="7"/>
      <c r="O1389" s="132"/>
      <c r="P1389" s="175"/>
      <c r="V1389" s="207"/>
    </row>
    <row r="1390" spans="1:22" ht="15" customHeight="1">
      <c r="A1390" s="3">
        <v>37811</v>
      </c>
      <c r="B1390" s="9">
        <v>33000</v>
      </c>
      <c r="C1390" s="5">
        <v>123800</v>
      </c>
      <c r="D1390" s="5" t="e">
        <f>E1390-(#REF!+C1390)</f>
        <v>#REF!</v>
      </c>
      <c r="E1390" s="5">
        <v>169475</v>
      </c>
      <c r="K1390" s="22">
        <v>525</v>
      </c>
      <c r="L1390" s="6">
        <v>514</v>
      </c>
      <c r="M1390" s="125">
        <f t="shared" si="22"/>
        <v>-11</v>
      </c>
      <c r="N1390" s="7"/>
      <c r="O1390" s="132"/>
      <c r="P1390" s="175"/>
      <c r="V1390" s="207"/>
    </row>
    <row r="1391" spans="1:22" ht="15" customHeight="1">
      <c r="A1391" s="3">
        <v>37812</v>
      </c>
      <c r="B1391" s="9">
        <v>33000</v>
      </c>
      <c r="C1391" s="5">
        <v>122700</v>
      </c>
      <c r="D1391" s="5" t="e">
        <f>E1391-(#REF!+C1391)</f>
        <v>#REF!</v>
      </c>
      <c r="E1391" s="5">
        <v>168375</v>
      </c>
      <c r="K1391" s="22">
        <v>530</v>
      </c>
      <c r="L1391" s="6">
        <v>516</v>
      </c>
      <c r="M1391" s="125">
        <f t="shared" si="22"/>
        <v>-14</v>
      </c>
      <c r="N1391" s="7"/>
      <c r="O1391" s="132"/>
      <c r="P1391" s="175"/>
      <c r="V1391" s="207"/>
    </row>
    <row r="1392" spans="1:22" ht="15" customHeight="1">
      <c r="A1392" s="3">
        <v>37813</v>
      </c>
      <c r="B1392" s="9">
        <v>32775</v>
      </c>
      <c r="C1392" s="5">
        <v>121825</v>
      </c>
      <c r="D1392" s="5" t="e">
        <f>E1392-(#REF!+C1392)</f>
        <v>#REF!</v>
      </c>
      <c r="E1392" s="5">
        <v>167275</v>
      </c>
      <c r="K1392" s="22">
        <v>525</v>
      </c>
      <c r="L1392" s="6">
        <v>511</v>
      </c>
      <c r="M1392" s="125">
        <f t="shared" si="22"/>
        <v>-14</v>
      </c>
      <c r="N1392" s="7"/>
      <c r="O1392" s="132"/>
      <c r="P1392" s="175"/>
      <c r="V1392" s="207"/>
    </row>
    <row r="1393" spans="1:22" ht="15" customHeight="1">
      <c r="A1393" s="3">
        <v>37816</v>
      </c>
      <c r="B1393" s="9">
        <v>32775</v>
      </c>
      <c r="C1393" s="5">
        <v>121425</v>
      </c>
      <c r="D1393" s="5" t="e">
        <f>E1393-(#REF!+C1393)</f>
        <v>#REF!</v>
      </c>
      <c r="E1393" s="5">
        <v>166875</v>
      </c>
      <c r="K1393" s="22">
        <v>529</v>
      </c>
      <c r="L1393" s="6">
        <v>515.5</v>
      </c>
      <c r="M1393" s="125">
        <f t="shared" si="22"/>
        <v>-13.5</v>
      </c>
      <c r="N1393" s="7"/>
      <c r="O1393" s="132"/>
      <c r="P1393" s="175"/>
      <c r="V1393" s="207"/>
    </row>
    <row r="1394" spans="1:22" ht="15" customHeight="1">
      <c r="A1394" s="3">
        <v>37817</v>
      </c>
      <c r="B1394" s="9">
        <v>32350</v>
      </c>
      <c r="C1394" s="5">
        <v>121650</v>
      </c>
      <c r="D1394" s="5" t="e">
        <f>E1394-(#REF!+C1394)</f>
        <v>#REF!</v>
      </c>
      <c r="E1394" s="5">
        <v>166675</v>
      </c>
      <c r="K1394" s="22">
        <v>522.5</v>
      </c>
      <c r="L1394" s="6">
        <v>510.5</v>
      </c>
      <c r="M1394" s="125">
        <f t="shared" si="22"/>
        <v>-12</v>
      </c>
      <c r="N1394" s="7"/>
      <c r="O1394" s="132"/>
      <c r="P1394" s="175"/>
      <c r="V1394" s="207"/>
    </row>
    <row r="1395" spans="1:22" ht="15" customHeight="1">
      <c r="A1395" s="3">
        <v>37818</v>
      </c>
      <c r="B1395" s="9">
        <v>32150</v>
      </c>
      <c r="C1395" s="5">
        <v>121200</v>
      </c>
      <c r="D1395" s="5" t="e">
        <f>E1395-(#REF!+C1395)</f>
        <v>#REF!</v>
      </c>
      <c r="E1395" s="5">
        <v>166025</v>
      </c>
      <c r="K1395" s="22">
        <v>520.5</v>
      </c>
      <c r="L1395" s="6">
        <v>511</v>
      </c>
      <c r="M1395" s="125">
        <f t="shared" si="22"/>
        <v>-9.5</v>
      </c>
      <c r="N1395" s="7"/>
      <c r="O1395" s="132"/>
      <c r="P1395" s="175"/>
      <c r="V1395" s="207"/>
    </row>
    <row r="1396" spans="1:22" ht="15" customHeight="1">
      <c r="A1396" s="3">
        <v>37819</v>
      </c>
      <c r="B1396" s="9">
        <v>32075</v>
      </c>
      <c r="C1396" s="5">
        <v>121200</v>
      </c>
      <c r="D1396" s="5" t="e">
        <f>E1396-(#REF!+C1396)</f>
        <v>#REF!</v>
      </c>
      <c r="E1396" s="5">
        <v>165950</v>
      </c>
      <c r="K1396" s="22">
        <v>518</v>
      </c>
      <c r="L1396" s="6">
        <v>511</v>
      </c>
      <c r="M1396" s="125">
        <f t="shared" si="22"/>
        <v>-7</v>
      </c>
      <c r="N1396" s="7"/>
      <c r="O1396" s="132"/>
      <c r="P1396" s="175"/>
      <c r="V1396" s="207"/>
    </row>
    <row r="1397" spans="1:22" ht="15" customHeight="1">
      <c r="A1397" s="3">
        <v>37820</v>
      </c>
      <c r="B1397" s="9">
        <v>32375</v>
      </c>
      <c r="C1397" s="5">
        <v>121200</v>
      </c>
      <c r="D1397" s="5" t="e">
        <f>E1397-(#REF!+C1397)</f>
        <v>#REF!</v>
      </c>
      <c r="E1397" s="5">
        <v>166300</v>
      </c>
      <c r="K1397" s="22">
        <v>528</v>
      </c>
      <c r="L1397" s="6">
        <v>513</v>
      </c>
      <c r="M1397" s="125">
        <f t="shared" si="22"/>
        <v>-15</v>
      </c>
      <c r="N1397" s="7"/>
      <c r="O1397" s="132"/>
      <c r="P1397" s="175"/>
      <c r="V1397" s="207"/>
    </row>
    <row r="1398" spans="1:22" ht="15" customHeight="1">
      <c r="A1398" s="3">
        <v>37823</v>
      </c>
      <c r="B1398" s="9">
        <v>31600</v>
      </c>
      <c r="C1398" s="5">
        <v>121200</v>
      </c>
      <c r="D1398" s="5" t="e">
        <f>E1398-(#REF!+C1398)</f>
        <v>#REF!</v>
      </c>
      <c r="E1398" s="5">
        <v>165525</v>
      </c>
      <c r="K1398" s="22">
        <v>535</v>
      </c>
      <c r="L1398" s="6">
        <v>516</v>
      </c>
      <c r="M1398" s="125">
        <f t="shared" si="22"/>
        <v>-19</v>
      </c>
      <c r="N1398" s="7"/>
      <c r="O1398" s="132"/>
      <c r="P1398" s="175"/>
      <c r="V1398" s="207"/>
    </row>
    <row r="1399" spans="1:22" ht="15" customHeight="1">
      <c r="A1399" s="3">
        <v>37824</v>
      </c>
      <c r="B1399" s="9">
        <v>30950</v>
      </c>
      <c r="C1399" s="5">
        <v>121200</v>
      </c>
      <c r="D1399" s="5" t="e">
        <f>E1399-(#REF!+C1399)</f>
        <v>#REF!</v>
      </c>
      <c r="E1399" s="5">
        <v>164875</v>
      </c>
      <c r="K1399" s="22">
        <v>508</v>
      </c>
      <c r="L1399" s="6">
        <v>511</v>
      </c>
      <c r="M1399" s="125">
        <f t="shared" ref="M1399:M1462" si="23">L1399-K1399</f>
        <v>3</v>
      </c>
      <c r="N1399" s="7"/>
      <c r="O1399" s="132"/>
      <c r="P1399" s="175"/>
      <c r="V1399" s="207"/>
    </row>
    <row r="1400" spans="1:22" ht="15" customHeight="1">
      <c r="A1400" s="3">
        <v>37825</v>
      </c>
      <c r="B1400" s="9">
        <v>30850</v>
      </c>
      <c r="C1400" s="5">
        <v>121275</v>
      </c>
      <c r="D1400" s="5" t="e">
        <f>E1400-(#REF!+C1400)</f>
        <v>#REF!</v>
      </c>
      <c r="E1400" s="5">
        <v>164850</v>
      </c>
      <c r="K1400" s="22">
        <v>513</v>
      </c>
      <c r="L1400" s="6">
        <v>512</v>
      </c>
      <c r="M1400" s="125">
        <f t="shared" si="23"/>
        <v>-1</v>
      </c>
      <c r="N1400" s="7"/>
      <c r="O1400" s="132"/>
      <c r="P1400" s="175"/>
      <c r="V1400" s="207"/>
    </row>
    <row r="1401" spans="1:22" ht="15" customHeight="1">
      <c r="A1401" s="3">
        <v>37826</v>
      </c>
      <c r="B1401" s="9">
        <v>30850</v>
      </c>
      <c r="C1401" s="5">
        <v>121275</v>
      </c>
      <c r="D1401" s="5" t="e">
        <f>E1401-(#REF!+C1401)</f>
        <v>#REF!</v>
      </c>
      <c r="E1401" s="5">
        <v>164850</v>
      </c>
      <c r="K1401" s="22">
        <v>518.5</v>
      </c>
      <c r="L1401" s="6">
        <v>515</v>
      </c>
      <c r="M1401" s="125">
        <f t="shared" si="23"/>
        <v>-3.5</v>
      </c>
      <c r="N1401" s="7"/>
      <c r="O1401" s="132"/>
      <c r="P1401" s="175"/>
      <c r="V1401" s="207"/>
    </row>
    <row r="1402" spans="1:22" ht="15" customHeight="1">
      <c r="A1402" s="3">
        <v>37827</v>
      </c>
      <c r="B1402" s="9">
        <v>30850</v>
      </c>
      <c r="C1402" s="5">
        <v>121400</v>
      </c>
      <c r="D1402" s="5" t="e">
        <f>E1402-(#REF!+C1402)</f>
        <v>#REF!</v>
      </c>
      <c r="E1402" s="5">
        <v>165025</v>
      </c>
      <c r="K1402" s="22">
        <v>520</v>
      </c>
      <c r="L1402" s="6">
        <v>516.5</v>
      </c>
      <c r="M1402" s="125">
        <f t="shared" si="23"/>
        <v>-3.5</v>
      </c>
      <c r="N1402" s="7"/>
      <c r="O1402" s="132"/>
      <c r="P1402" s="175"/>
      <c r="V1402" s="207"/>
    </row>
    <row r="1403" spans="1:22" ht="15" customHeight="1">
      <c r="A1403" s="3">
        <v>37830</v>
      </c>
      <c r="B1403" s="9">
        <v>30750</v>
      </c>
      <c r="C1403" s="5">
        <v>121400</v>
      </c>
      <c r="D1403" s="5" t="e">
        <f>E1403-(#REF!+C1403)</f>
        <v>#REF!</v>
      </c>
      <c r="E1403" s="5">
        <v>164925</v>
      </c>
      <c r="K1403" s="22">
        <v>525</v>
      </c>
      <c r="L1403" s="6">
        <v>526</v>
      </c>
      <c r="M1403" s="125">
        <f t="shared" si="23"/>
        <v>1</v>
      </c>
      <c r="N1403" s="7"/>
      <c r="O1403" s="132"/>
      <c r="P1403" s="175"/>
      <c r="V1403" s="207"/>
    </row>
    <row r="1404" spans="1:22" ht="15" customHeight="1">
      <c r="A1404" s="3">
        <v>37831</v>
      </c>
      <c r="B1404" s="9">
        <v>30750</v>
      </c>
      <c r="C1404" s="5">
        <v>121400</v>
      </c>
      <c r="D1404" s="5" t="e">
        <f>E1404-(#REF!+C1404)</f>
        <v>#REF!</v>
      </c>
      <c r="E1404" s="5">
        <v>164950</v>
      </c>
      <c r="K1404" s="22">
        <v>526</v>
      </c>
      <c r="L1404" s="6">
        <v>526</v>
      </c>
      <c r="M1404" s="125">
        <f t="shared" si="23"/>
        <v>0</v>
      </c>
      <c r="N1404" s="7"/>
      <c r="O1404" s="132"/>
      <c r="P1404" s="175"/>
      <c r="V1404" s="207"/>
    </row>
    <row r="1405" spans="1:22" ht="15" customHeight="1">
      <c r="A1405" s="3">
        <v>37832</v>
      </c>
      <c r="B1405" s="9">
        <v>30550</v>
      </c>
      <c r="C1405" s="5">
        <v>121400</v>
      </c>
      <c r="D1405" s="5" t="e">
        <f>E1405-(#REF!+C1405)</f>
        <v>#REF!</v>
      </c>
      <c r="E1405" s="5">
        <v>164850</v>
      </c>
      <c r="K1405" s="22">
        <v>529.5</v>
      </c>
      <c r="L1405" s="6">
        <v>528</v>
      </c>
      <c r="M1405" s="125">
        <f t="shared" si="23"/>
        <v>-1.5</v>
      </c>
      <c r="N1405" s="7"/>
      <c r="O1405" s="132"/>
      <c r="P1405" s="175"/>
      <c r="V1405" s="207"/>
    </row>
    <row r="1406" spans="1:22" ht="15" customHeight="1">
      <c r="A1406" s="3">
        <v>37833</v>
      </c>
      <c r="B1406" s="9">
        <v>30550</v>
      </c>
      <c r="C1406" s="5">
        <v>121600</v>
      </c>
      <c r="D1406" s="5" t="e">
        <f>E1406-(#REF!+C1406)</f>
        <v>#REF!</v>
      </c>
      <c r="E1406" s="5">
        <v>165075</v>
      </c>
      <c r="K1406" s="22">
        <v>517</v>
      </c>
      <c r="L1406" s="6">
        <v>517</v>
      </c>
      <c r="M1406" s="125">
        <f t="shared" si="23"/>
        <v>0</v>
      </c>
      <c r="N1406" s="7"/>
      <c r="O1406" s="132"/>
      <c r="P1406" s="175"/>
      <c r="V1406" s="207"/>
    </row>
    <row r="1407" spans="1:22" ht="15" customHeight="1">
      <c r="A1407" s="3">
        <v>37834</v>
      </c>
      <c r="B1407" s="9">
        <v>30250</v>
      </c>
      <c r="C1407" s="5">
        <v>121600</v>
      </c>
      <c r="D1407" s="5" t="e">
        <f>E1407-(#REF!+C1407)</f>
        <v>#REF!</v>
      </c>
      <c r="E1407" s="5">
        <v>164775</v>
      </c>
      <c r="K1407" s="22">
        <v>530</v>
      </c>
      <c r="L1407" s="6">
        <v>529</v>
      </c>
      <c r="M1407" s="125">
        <f t="shared" si="23"/>
        <v>-1</v>
      </c>
      <c r="N1407" s="7"/>
      <c r="O1407" s="132"/>
      <c r="P1407" s="175"/>
      <c r="V1407" s="207"/>
    </row>
    <row r="1408" spans="1:22" ht="15" customHeight="1">
      <c r="A1408" s="3">
        <v>37837</v>
      </c>
      <c r="B1408" s="9">
        <v>29975</v>
      </c>
      <c r="C1408" s="5">
        <v>121800</v>
      </c>
      <c r="D1408" s="5" t="e">
        <f>E1408-(#REF!+C1408)</f>
        <v>#REF!</v>
      </c>
      <c r="E1408" s="5">
        <v>164700</v>
      </c>
      <c r="K1408" s="22">
        <v>516.5</v>
      </c>
      <c r="L1408" s="6">
        <v>518</v>
      </c>
      <c r="M1408" s="125">
        <f t="shared" si="23"/>
        <v>1.5</v>
      </c>
      <c r="N1408" s="7"/>
      <c r="O1408" s="132"/>
      <c r="P1408" s="175"/>
      <c r="V1408" s="207"/>
    </row>
    <row r="1409" spans="1:22" ht="15" customHeight="1">
      <c r="A1409" s="3">
        <v>37838</v>
      </c>
      <c r="B1409" s="9">
        <v>28925</v>
      </c>
      <c r="C1409" s="5">
        <v>121800</v>
      </c>
      <c r="D1409" s="5" t="e">
        <f>E1409-(#REF!+C1409)</f>
        <v>#REF!</v>
      </c>
      <c r="E1409" s="5">
        <v>163650</v>
      </c>
      <c r="K1409" s="22">
        <v>529</v>
      </c>
      <c r="L1409" s="6">
        <v>525</v>
      </c>
      <c r="M1409" s="125">
        <f t="shared" si="23"/>
        <v>-4</v>
      </c>
      <c r="N1409" s="7"/>
      <c r="O1409" s="132"/>
      <c r="P1409" s="175"/>
      <c r="V1409" s="207"/>
    </row>
    <row r="1410" spans="1:22" ht="15" customHeight="1">
      <c r="A1410" s="3">
        <v>37839</v>
      </c>
      <c r="B1410" s="9">
        <v>28850</v>
      </c>
      <c r="C1410" s="5">
        <v>121875</v>
      </c>
      <c r="D1410" s="5" t="e">
        <f>E1410-(#REF!+C1410)</f>
        <v>#REF!</v>
      </c>
      <c r="E1410" s="5">
        <v>163650</v>
      </c>
      <c r="K1410" s="22">
        <v>521.5</v>
      </c>
      <c r="L1410" s="6">
        <v>521</v>
      </c>
      <c r="M1410" s="125">
        <f t="shared" si="23"/>
        <v>-0.5</v>
      </c>
      <c r="N1410" s="7"/>
      <c r="O1410" s="132"/>
      <c r="P1410" s="175"/>
      <c r="V1410" s="207"/>
    </row>
    <row r="1411" spans="1:22" ht="15" customHeight="1">
      <c r="A1411" s="3">
        <v>37840</v>
      </c>
      <c r="B1411" s="9">
        <v>28850</v>
      </c>
      <c r="C1411" s="5">
        <v>121875</v>
      </c>
      <c r="D1411" s="5" t="e">
        <f>E1411-(#REF!+C1411)</f>
        <v>#REF!</v>
      </c>
      <c r="E1411" s="5">
        <v>163650</v>
      </c>
      <c r="K1411" s="22">
        <v>519</v>
      </c>
      <c r="L1411" s="6">
        <v>522</v>
      </c>
      <c r="M1411" s="125">
        <f t="shared" si="23"/>
        <v>3</v>
      </c>
      <c r="N1411" s="7"/>
      <c r="O1411" s="132"/>
      <c r="P1411" s="175"/>
      <c r="V1411" s="207"/>
    </row>
    <row r="1412" spans="1:22" ht="15" customHeight="1">
      <c r="A1412" s="3">
        <v>37841</v>
      </c>
      <c r="B1412" s="9">
        <v>28325</v>
      </c>
      <c r="C1412" s="5">
        <v>122000</v>
      </c>
      <c r="D1412" s="5" t="e">
        <f>E1412-(#REF!+C1412)</f>
        <v>#REF!</v>
      </c>
      <c r="E1412" s="5">
        <v>163250</v>
      </c>
      <c r="K1412" s="22">
        <v>519</v>
      </c>
      <c r="L1412" s="6">
        <v>522</v>
      </c>
      <c r="M1412" s="125">
        <f t="shared" si="23"/>
        <v>3</v>
      </c>
      <c r="N1412" s="7"/>
      <c r="O1412" s="132"/>
      <c r="P1412" s="175"/>
      <c r="V1412" s="207"/>
    </row>
    <row r="1413" spans="1:22" ht="15" customHeight="1">
      <c r="A1413" s="3">
        <v>37844</v>
      </c>
      <c r="B1413" s="9">
        <v>28250</v>
      </c>
      <c r="C1413" s="5">
        <v>122200</v>
      </c>
      <c r="D1413" s="5" t="e">
        <f>E1413-(#REF!+C1413)</f>
        <v>#REF!</v>
      </c>
      <c r="E1413" s="5">
        <v>163375</v>
      </c>
      <c r="K1413" s="22">
        <v>499.5</v>
      </c>
      <c r="L1413" s="6">
        <v>505</v>
      </c>
      <c r="M1413" s="125">
        <f t="shared" si="23"/>
        <v>5.5</v>
      </c>
      <c r="N1413" s="7"/>
      <c r="O1413" s="132"/>
      <c r="P1413" s="175"/>
      <c r="V1413" s="207"/>
    </row>
    <row r="1414" spans="1:22" ht="15" customHeight="1">
      <c r="A1414" s="3">
        <v>37845</v>
      </c>
      <c r="B1414" s="9">
        <v>28225</v>
      </c>
      <c r="C1414" s="5">
        <v>122200</v>
      </c>
      <c r="D1414" s="5" t="e">
        <f>E1414-(#REF!+C1414)</f>
        <v>#REF!</v>
      </c>
      <c r="E1414" s="5">
        <v>163350</v>
      </c>
      <c r="K1414" s="22">
        <v>504</v>
      </c>
      <c r="L1414" s="6">
        <v>510</v>
      </c>
      <c r="M1414" s="125">
        <f t="shared" si="23"/>
        <v>6</v>
      </c>
      <c r="N1414" s="7"/>
      <c r="O1414" s="132"/>
      <c r="P1414" s="175"/>
      <c r="V1414" s="207"/>
    </row>
    <row r="1415" spans="1:22" ht="15" customHeight="1">
      <c r="A1415" s="3">
        <v>37846</v>
      </c>
      <c r="B1415" s="9">
        <v>27575</v>
      </c>
      <c r="C1415" s="5">
        <v>122200</v>
      </c>
      <c r="D1415" s="5" t="e">
        <f>E1415-(#REF!+C1415)</f>
        <v>#REF!</v>
      </c>
      <c r="E1415" s="5">
        <v>162700</v>
      </c>
      <c r="K1415" s="22">
        <v>477</v>
      </c>
      <c r="L1415" s="6">
        <v>483</v>
      </c>
      <c r="M1415" s="125">
        <f t="shared" si="23"/>
        <v>6</v>
      </c>
      <c r="N1415" s="7"/>
      <c r="O1415" s="132"/>
      <c r="P1415" s="175"/>
      <c r="V1415" s="207"/>
    </row>
    <row r="1416" spans="1:22" ht="15" customHeight="1">
      <c r="A1416" s="3">
        <v>37847</v>
      </c>
      <c r="B1416" s="9">
        <v>27575</v>
      </c>
      <c r="C1416" s="5">
        <v>122200</v>
      </c>
      <c r="D1416" s="5" t="e">
        <f>E1416-(#REF!+C1416)</f>
        <v>#REF!</v>
      </c>
      <c r="E1416" s="5">
        <v>162325</v>
      </c>
      <c r="K1416" s="22">
        <v>469.5</v>
      </c>
      <c r="L1416" s="6">
        <v>477</v>
      </c>
      <c r="M1416" s="125">
        <f t="shared" si="23"/>
        <v>7.5</v>
      </c>
      <c r="N1416" s="7"/>
      <c r="O1416" s="132"/>
      <c r="P1416" s="175"/>
      <c r="V1416" s="207"/>
    </row>
    <row r="1417" spans="1:22" ht="15" customHeight="1">
      <c r="A1417" s="3">
        <v>37848</v>
      </c>
      <c r="B1417" s="9">
        <v>27200</v>
      </c>
      <c r="C1417" s="5">
        <v>122275</v>
      </c>
      <c r="D1417" s="5" t="e">
        <f>E1417-(#REF!+C1417)</f>
        <v>#REF!</v>
      </c>
      <c r="E1417" s="5">
        <v>162400</v>
      </c>
      <c r="K1417" s="22">
        <v>477</v>
      </c>
      <c r="L1417" s="6">
        <v>481.5</v>
      </c>
      <c r="M1417" s="125">
        <f t="shared" si="23"/>
        <v>4.5</v>
      </c>
      <c r="N1417" s="7"/>
      <c r="O1417" s="132"/>
      <c r="P1417" s="175"/>
      <c r="V1417" s="207"/>
    </row>
    <row r="1418" spans="1:22" ht="15" customHeight="1">
      <c r="A1418" s="3">
        <v>37851</v>
      </c>
      <c r="B1418" s="9">
        <v>27200</v>
      </c>
      <c r="C1418" s="5">
        <v>122375</v>
      </c>
      <c r="D1418" s="5" t="e">
        <f>E1418-(#REF!+C1418)</f>
        <v>#REF!</v>
      </c>
      <c r="E1418" s="5">
        <v>162500</v>
      </c>
      <c r="K1418" s="22">
        <v>474</v>
      </c>
      <c r="L1418" s="6">
        <v>479</v>
      </c>
      <c r="M1418" s="125">
        <f t="shared" si="23"/>
        <v>5</v>
      </c>
      <c r="N1418" s="7"/>
      <c r="O1418" s="132"/>
      <c r="P1418" s="175"/>
      <c r="V1418" s="207"/>
    </row>
    <row r="1419" spans="1:22" ht="15" customHeight="1">
      <c r="A1419" s="3">
        <v>37852</v>
      </c>
      <c r="B1419" s="9">
        <v>26975</v>
      </c>
      <c r="C1419" s="5">
        <v>122375</v>
      </c>
      <c r="D1419" s="5" t="e">
        <f>E1419-(#REF!+C1419)</f>
        <v>#REF!</v>
      </c>
      <c r="E1419" s="5">
        <v>162275</v>
      </c>
      <c r="K1419" s="22">
        <v>477</v>
      </c>
      <c r="L1419" s="6">
        <v>485</v>
      </c>
      <c r="M1419" s="125">
        <f t="shared" si="23"/>
        <v>8</v>
      </c>
      <c r="N1419" s="7"/>
      <c r="O1419" s="132"/>
      <c r="P1419" s="175"/>
      <c r="V1419" s="207"/>
    </row>
    <row r="1420" spans="1:22" ht="15" customHeight="1">
      <c r="A1420" s="3">
        <v>37853</v>
      </c>
      <c r="B1420" s="9">
        <v>26975</v>
      </c>
      <c r="C1420" s="5">
        <v>122375</v>
      </c>
      <c r="D1420" s="5" t="e">
        <f>E1420-(#REF!+C1420)</f>
        <v>#REF!</v>
      </c>
      <c r="E1420" s="5">
        <v>162275</v>
      </c>
      <c r="K1420" s="22">
        <v>484</v>
      </c>
      <c r="L1420" s="6">
        <v>489</v>
      </c>
      <c r="M1420" s="125">
        <f t="shared" si="23"/>
        <v>5</v>
      </c>
      <c r="N1420" s="7"/>
      <c r="O1420" s="132"/>
      <c r="P1420" s="175"/>
      <c r="V1420" s="207"/>
    </row>
    <row r="1421" spans="1:22" ht="15" customHeight="1">
      <c r="A1421" s="3">
        <v>37854</v>
      </c>
      <c r="B1421" s="9">
        <v>26850</v>
      </c>
      <c r="C1421" s="5">
        <v>122375</v>
      </c>
      <c r="D1421" s="5" t="e">
        <f>E1421-(#REF!+C1421)</f>
        <v>#REF!</v>
      </c>
      <c r="E1421" s="5">
        <v>162150</v>
      </c>
      <c r="K1421" s="22">
        <v>483.5</v>
      </c>
      <c r="L1421" s="6">
        <v>489</v>
      </c>
      <c r="M1421" s="125">
        <f t="shared" si="23"/>
        <v>5.5</v>
      </c>
      <c r="N1421" s="7"/>
      <c r="O1421" s="132"/>
      <c r="P1421" s="175"/>
      <c r="V1421" s="207"/>
    </row>
    <row r="1422" spans="1:22" ht="15" customHeight="1">
      <c r="A1422" s="3">
        <v>37855</v>
      </c>
      <c r="B1422" s="9">
        <v>26825</v>
      </c>
      <c r="C1422" s="5">
        <v>122450</v>
      </c>
      <c r="D1422" s="5" t="e">
        <f>E1422-(#REF!+C1422)</f>
        <v>#REF!</v>
      </c>
      <c r="E1422" s="5">
        <v>162200</v>
      </c>
      <c r="K1422" s="22">
        <v>491.5</v>
      </c>
      <c r="L1422" s="6">
        <v>497</v>
      </c>
      <c r="M1422" s="125">
        <f t="shared" si="23"/>
        <v>5.5</v>
      </c>
      <c r="N1422" s="7"/>
      <c r="O1422" s="132"/>
      <c r="P1422" s="175"/>
      <c r="V1422" s="207"/>
    </row>
    <row r="1423" spans="1:22" ht="15" customHeight="1">
      <c r="A1423" s="15">
        <v>37858</v>
      </c>
      <c r="B1423" s="9">
        <v>26825</v>
      </c>
      <c r="C1423" s="17">
        <v>122450</v>
      </c>
      <c r="D1423" s="17" t="e">
        <f>E1423-(#REF!+C1423)</f>
        <v>#REF!</v>
      </c>
      <c r="E1423" s="17">
        <v>162200</v>
      </c>
      <c r="F1423" s="16"/>
      <c r="G1423" s="17"/>
      <c r="H1423" s="17"/>
      <c r="I1423" s="122"/>
      <c r="J1423" s="122"/>
      <c r="K1423" s="22">
        <v>491.5</v>
      </c>
      <c r="L1423" s="2">
        <v>497</v>
      </c>
      <c r="M1423" s="125">
        <f t="shared" si="23"/>
        <v>5.5</v>
      </c>
      <c r="N1423" s="7"/>
      <c r="O1423" s="132"/>
      <c r="P1423" s="175"/>
      <c r="V1423" s="207"/>
    </row>
    <row r="1424" spans="1:22" ht="15" customHeight="1">
      <c r="A1424" s="3">
        <v>37859</v>
      </c>
      <c r="B1424" s="9">
        <v>26825</v>
      </c>
      <c r="C1424" s="5">
        <v>122575</v>
      </c>
      <c r="D1424" s="5" t="e">
        <f>E1424-(#REF!+C1424)</f>
        <v>#REF!</v>
      </c>
      <c r="E1424" s="5">
        <v>162325</v>
      </c>
      <c r="K1424" s="22">
        <v>493</v>
      </c>
      <c r="L1424" s="6">
        <v>496</v>
      </c>
      <c r="M1424" s="125">
        <f t="shared" si="23"/>
        <v>3</v>
      </c>
      <c r="N1424" s="7"/>
      <c r="O1424" s="132"/>
      <c r="P1424" s="175"/>
      <c r="V1424" s="207"/>
    </row>
    <row r="1425" spans="1:22" ht="15" customHeight="1">
      <c r="A1425" s="3">
        <v>37860</v>
      </c>
      <c r="B1425" s="9">
        <v>26775</v>
      </c>
      <c r="C1425" s="5">
        <v>122725</v>
      </c>
      <c r="D1425" s="5" t="e">
        <f>E1425-(#REF!+C1425)</f>
        <v>#REF!</v>
      </c>
      <c r="E1425" s="5">
        <v>162425</v>
      </c>
      <c r="K1425" s="22">
        <v>480</v>
      </c>
      <c r="L1425" s="6">
        <v>487</v>
      </c>
      <c r="M1425" s="125">
        <f t="shared" si="23"/>
        <v>7</v>
      </c>
      <c r="N1425" s="7"/>
      <c r="O1425" s="132"/>
      <c r="P1425" s="175"/>
      <c r="V1425" s="207"/>
    </row>
    <row r="1426" spans="1:22" ht="15" customHeight="1">
      <c r="A1426" s="3">
        <v>37861</v>
      </c>
      <c r="B1426" s="9">
        <v>26125</v>
      </c>
      <c r="C1426" s="5">
        <v>122800</v>
      </c>
      <c r="D1426" s="5" t="e">
        <f>E1426-(#REF!+C1426)</f>
        <v>#REF!</v>
      </c>
      <c r="E1426" s="5">
        <v>161850</v>
      </c>
      <c r="K1426" s="22">
        <v>488</v>
      </c>
      <c r="L1426" s="6">
        <v>492</v>
      </c>
      <c r="M1426" s="125">
        <f t="shared" si="23"/>
        <v>4</v>
      </c>
      <c r="N1426" s="7"/>
      <c r="O1426" s="132"/>
      <c r="P1426" s="175"/>
      <c r="V1426" s="207"/>
    </row>
    <row r="1427" spans="1:22" ht="15" customHeight="1">
      <c r="A1427" s="3">
        <v>37862</v>
      </c>
      <c r="B1427" s="9">
        <v>25775</v>
      </c>
      <c r="C1427" s="5">
        <v>122800</v>
      </c>
      <c r="D1427" s="5" t="e">
        <f>E1427-(#REF!+C1427)</f>
        <v>#REF!</v>
      </c>
      <c r="E1427" s="5">
        <v>161500</v>
      </c>
      <c r="K1427" s="22">
        <v>497.5</v>
      </c>
      <c r="L1427" s="6">
        <v>499.5</v>
      </c>
      <c r="M1427" s="125">
        <f t="shared" si="23"/>
        <v>2</v>
      </c>
      <c r="N1427" s="7"/>
      <c r="O1427" s="132"/>
      <c r="P1427" s="175"/>
      <c r="V1427" s="207"/>
    </row>
    <row r="1428" spans="1:22" ht="15" customHeight="1">
      <c r="A1428" s="3">
        <v>37865</v>
      </c>
      <c r="B1428" s="9">
        <v>25750</v>
      </c>
      <c r="C1428" s="5">
        <v>122800</v>
      </c>
      <c r="D1428" s="5" t="e">
        <f>E1428-(#REF!+C1428)</f>
        <v>#REF!</v>
      </c>
      <c r="E1428" s="5">
        <v>161475</v>
      </c>
      <c r="K1428" s="22">
        <v>500</v>
      </c>
      <c r="L1428" s="6">
        <v>501</v>
      </c>
      <c r="M1428" s="125">
        <f t="shared" si="23"/>
        <v>1</v>
      </c>
      <c r="N1428" s="7"/>
      <c r="O1428" s="132"/>
      <c r="P1428" s="175"/>
      <c r="V1428" s="207"/>
    </row>
    <row r="1429" spans="1:22" ht="15" customHeight="1">
      <c r="A1429" s="3">
        <v>37866</v>
      </c>
      <c r="B1429" s="9">
        <v>25575</v>
      </c>
      <c r="C1429" s="5">
        <v>122800</v>
      </c>
      <c r="D1429" s="5" t="e">
        <f>E1429-(#REF!+C1429)</f>
        <v>#REF!</v>
      </c>
      <c r="E1429" s="5">
        <v>161300</v>
      </c>
      <c r="K1429" s="22">
        <v>508</v>
      </c>
      <c r="L1429" s="6">
        <v>508</v>
      </c>
      <c r="M1429" s="125">
        <f t="shared" si="23"/>
        <v>0</v>
      </c>
      <c r="N1429" s="7"/>
      <c r="O1429" s="132"/>
      <c r="P1429" s="175"/>
      <c r="V1429" s="207"/>
    </row>
    <row r="1430" spans="1:22" ht="15" customHeight="1">
      <c r="A1430" s="3">
        <v>37867</v>
      </c>
      <c r="B1430" s="9">
        <v>24550</v>
      </c>
      <c r="C1430" s="5">
        <v>122800</v>
      </c>
      <c r="D1430" s="5" t="e">
        <f>E1430-(#REF!+C1430)</f>
        <v>#REF!</v>
      </c>
      <c r="E1430" s="5">
        <v>160275</v>
      </c>
      <c r="K1430" s="22">
        <v>511.5</v>
      </c>
      <c r="L1430" s="6">
        <v>511.5</v>
      </c>
      <c r="M1430" s="125">
        <f t="shared" si="23"/>
        <v>0</v>
      </c>
      <c r="N1430" s="7"/>
      <c r="O1430" s="132"/>
      <c r="P1430" s="175"/>
      <c r="V1430" s="207"/>
    </row>
    <row r="1431" spans="1:22" ht="15" customHeight="1">
      <c r="A1431" s="3">
        <v>37868</v>
      </c>
      <c r="B1431" s="9">
        <v>22925</v>
      </c>
      <c r="C1431" s="5">
        <v>122800</v>
      </c>
      <c r="D1431" s="5" t="e">
        <f>E1431-(#REF!+C1431)</f>
        <v>#REF!</v>
      </c>
      <c r="E1431" s="5">
        <v>158650</v>
      </c>
      <c r="K1431" s="22">
        <v>510</v>
      </c>
      <c r="L1431" s="6">
        <v>512</v>
      </c>
      <c r="M1431" s="125">
        <f t="shared" si="23"/>
        <v>2</v>
      </c>
      <c r="N1431" s="7"/>
      <c r="O1431" s="132"/>
      <c r="P1431" s="175"/>
      <c r="V1431" s="207"/>
    </row>
    <row r="1432" spans="1:22" ht="15" customHeight="1">
      <c r="A1432" s="3">
        <v>37869</v>
      </c>
      <c r="B1432" s="9">
        <v>22550</v>
      </c>
      <c r="C1432" s="5">
        <v>123100</v>
      </c>
      <c r="D1432" s="5" t="e">
        <f>E1432-(#REF!+C1432)</f>
        <v>#REF!</v>
      </c>
      <c r="E1432" s="5">
        <v>158575</v>
      </c>
      <c r="K1432" s="22">
        <v>516.5</v>
      </c>
      <c r="L1432" s="6">
        <v>516.5</v>
      </c>
      <c r="M1432" s="125">
        <f t="shared" si="23"/>
        <v>0</v>
      </c>
      <c r="N1432" s="7"/>
      <c r="O1432" s="132"/>
      <c r="P1432" s="175"/>
      <c r="V1432" s="207"/>
    </row>
    <row r="1433" spans="1:22" ht="15" customHeight="1">
      <c r="A1433" s="3">
        <v>37872</v>
      </c>
      <c r="B1433" s="9">
        <v>20975</v>
      </c>
      <c r="C1433" s="5">
        <v>123200</v>
      </c>
      <c r="D1433" s="5" t="e">
        <f>E1433-(#REF!+C1433)</f>
        <v>#REF!</v>
      </c>
      <c r="E1433" s="5">
        <v>157100</v>
      </c>
      <c r="K1433" s="22">
        <v>520</v>
      </c>
      <c r="L1433" s="6">
        <v>520</v>
      </c>
      <c r="M1433" s="125">
        <f t="shared" si="23"/>
        <v>0</v>
      </c>
      <c r="N1433" s="7"/>
      <c r="O1433" s="132"/>
      <c r="P1433" s="175"/>
      <c r="V1433" s="207"/>
    </row>
    <row r="1434" spans="1:22" ht="15" customHeight="1">
      <c r="A1434" s="3">
        <v>37873</v>
      </c>
      <c r="B1434" s="9">
        <v>20825</v>
      </c>
      <c r="C1434" s="5">
        <v>123200</v>
      </c>
      <c r="D1434" s="5" t="e">
        <f>E1434-(#REF!+C1434)</f>
        <v>#REF!</v>
      </c>
      <c r="E1434" s="5">
        <v>156950</v>
      </c>
      <c r="K1434" s="22">
        <v>520</v>
      </c>
      <c r="L1434" s="6">
        <v>521</v>
      </c>
      <c r="M1434" s="125">
        <f t="shared" si="23"/>
        <v>1</v>
      </c>
      <c r="N1434" s="7"/>
      <c r="O1434" s="132"/>
      <c r="P1434" s="175"/>
      <c r="V1434" s="207"/>
    </row>
    <row r="1435" spans="1:22" ht="15" customHeight="1">
      <c r="A1435" s="3">
        <v>37874</v>
      </c>
      <c r="B1435" s="9">
        <v>20825</v>
      </c>
      <c r="C1435" s="5">
        <v>123325</v>
      </c>
      <c r="D1435" s="5" t="e">
        <f>E1435-(#REF!+C1435)</f>
        <v>#REF!</v>
      </c>
      <c r="E1435" s="5">
        <v>157075</v>
      </c>
      <c r="K1435" s="22">
        <v>515</v>
      </c>
      <c r="L1435" s="6">
        <v>520</v>
      </c>
      <c r="M1435" s="125">
        <f t="shared" si="23"/>
        <v>5</v>
      </c>
      <c r="N1435" s="7"/>
      <c r="O1435" s="132"/>
      <c r="P1435" s="175"/>
      <c r="V1435" s="207"/>
    </row>
    <row r="1436" spans="1:22" ht="15" customHeight="1">
      <c r="A1436" s="3">
        <v>37875</v>
      </c>
      <c r="B1436" s="9">
        <v>20825</v>
      </c>
      <c r="C1436" s="5">
        <v>123325</v>
      </c>
      <c r="D1436" s="5" t="e">
        <f>E1436-(#REF!+C1436)</f>
        <v>#REF!</v>
      </c>
      <c r="E1436" s="5">
        <v>157075</v>
      </c>
      <c r="K1436" s="22">
        <v>510</v>
      </c>
      <c r="L1436" s="6">
        <v>514</v>
      </c>
      <c r="M1436" s="125">
        <f t="shared" si="23"/>
        <v>4</v>
      </c>
      <c r="N1436" s="7"/>
      <c r="O1436" s="132"/>
      <c r="P1436" s="175"/>
      <c r="V1436" s="207"/>
    </row>
    <row r="1437" spans="1:22" ht="15" customHeight="1">
      <c r="A1437" s="3">
        <v>37876</v>
      </c>
      <c r="B1437" s="9">
        <v>20775</v>
      </c>
      <c r="C1437" s="5">
        <v>123325</v>
      </c>
      <c r="D1437" s="5" t="e">
        <f>E1437-(#REF!+C1437)</f>
        <v>#REF!</v>
      </c>
      <c r="E1437" s="5">
        <v>157025</v>
      </c>
      <c r="K1437" s="22">
        <v>516</v>
      </c>
      <c r="L1437" s="6">
        <v>518.5</v>
      </c>
      <c r="M1437" s="125">
        <f t="shared" si="23"/>
        <v>2.5</v>
      </c>
      <c r="N1437" s="7"/>
      <c r="O1437" s="132"/>
      <c r="P1437" s="175"/>
      <c r="V1437" s="207"/>
    </row>
    <row r="1438" spans="1:22" ht="15" customHeight="1">
      <c r="A1438" s="3">
        <v>37879</v>
      </c>
      <c r="B1438" s="9">
        <v>20775</v>
      </c>
      <c r="C1438" s="5">
        <v>123425</v>
      </c>
      <c r="D1438" s="5" t="e">
        <f>E1438-(#REF!+C1438)</f>
        <v>#REF!</v>
      </c>
      <c r="E1438" s="5">
        <v>157125</v>
      </c>
      <c r="K1438" s="22">
        <v>515</v>
      </c>
      <c r="L1438" s="6">
        <v>516</v>
      </c>
      <c r="M1438" s="125">
        <f t="shared" si="23"/>
        <v>1</v>
      </c>
      <c r="N1438" s="7"/>
      <c r="O1438" s="132"/>
      <c r="P1438" s="175"/>
      <c r="V1438" s="207"/>
    </row>
    <row r="1439" spans="1:22" ht="15" customHeight="1">
      <c r="A1439" s="3">
        <v>37880</v>
      </c>
      <c r="B1439" s="9">
        <v>21275</v>
      </c>
      <c r="C1439" s="5">
        <v>123500</v>
      </c>
      <c r="D1439" s="5" t="e">
        <f>E1439-(#REF!+C1439)</f>
        <v>#REF!</v>
      </c>
      <c r="E1439" s="5">
        <v>157700</v>
      </c>
      <c r="K1439" s="22">
        <v>513.5</v>
      </c>
      <c r="L1439" s="6">
        <v>516</v>
      </c>
      <c r="M1439" s="125">
        <f t="shared" si="23"/>
        <v>2.5</v>
      </c>
      <c r="N1439" s="7"/>
      <c r="O1439" s="132"/>
      <c r="P1439" s="175"/>
      <c r="V1439" s="207"/>
    </row>
    <row r="1440" spans="1:22" ht="15" customHeight="1">
      <c r="A1440" s="3">
        <v>37881</v>
      </c>
      <c r="B1440" s="9">
        <v>22275</v>
      </c>
      <c r="C1440" s="5">
        <v>123500</v>
      </c>
      <c r="D1440" s="5" t="e">
        <f>E1440-(#REF!+C1440)</f>
        <v>#REF!</v>
      </c>
      <c r="E1440" s="5">
        <v>158675</v>
      </c>
      <c r="K1440" s="22">
        <v>519</v>
      </c>
      <c r="L1440" s="6">
        <v>520</v>
      </c>
      <c r="M1440" s="125">
        <f t="shared" si="23"/>
        <v>1</v>
      </c>
      <c r="N1440" s="7"/>
      <c r="O1440" s="132"/>
      <c r="P1440" s="175"/>
      <c r="V1440" s="207"/>
    </row>
    <row r="1441" spans="1:22" ht="15" customHeight="1">
      <c r="A1441" s="3">
        <v>37882</v>
      </c>
      <c r="B1441" s="9">
        <v>22275</v>
      </c>
      <c r="C1441" s="5">
        <v>123500</v>
      </c>
      <c r="D1441" s="5" t="e">
        <f>E1441-(#REF!+C1441)</f>
        <v>#REF!</v>
      </c>
      <c r="E1441" s="5">
        <v>158675</v>
      </c>
      <c r="K1441" s="22">
        <v>514.5</v>
      </c>
      <c r="L1441" s="6">
        <v>518</v>
      </c>
      <c r="M1441" s="125">
        <f t="shared" si="23"/>
        <v>3.5</v>
      </c>
      <c r="N1441" s="7"/>
      <c r="O1441" s="132"/>
      <c r="P1441" s="175"/>
      <c r="V1441" s="207"/>
    </row>
    <row r="1442" spans="1:22" ht="15" customHeight="1">
      <c r="A1442" s="3">
        <v>37883</v>
      </c>
      <c r="B1442" s="9">
        <v>22250</v>
      </c>
      <c r="C1442" s="5">
        <v>123800</v>
      </c>
      <c r="D1442" s="5" t="e">
        <f>E1442-(#REF!+C1442)</f>
        <v>#REF!</v>
      </c>
      <c r="E1442" s="5">
        <v>158950</v>
      </c>
      <c r="K1442" s="22">
        <v>520</v>
      </c>
      <c r="L1442" s="6">
        <v>522</v>
      </c>
      <c r="M1442" s="125">
        <f t="shared" si="23"/>
        <v>2</v>
      </c>
      <c r="N1442" s="7"/>
      <c r="O1442" s="132"/>
      <c r="P1442" s="175"/>
      <c r="V1442" s="207"/>
    </row>
    <row r="1443" spans="1:22" ht="15" customHeight="1">
      <c r="A1443" s="3">
        <v>37886</v>
      </c>
      <c r="B1443" s="9">
        <v>21600</v>
      </c>
      <c r="C1443" s="5">
        <v>123800</v>
      </c>
      <c r="D1443" s="5" t="e">
        <f>E1443-(#REF!+C1443)</f>
        <v>#REF!</v>
      </c>
      <c r="E1443" s="5">
        <v>158300</v>
      </c>
      <c r="K1443" s="22">
        <v>527</v>
      </c>
      <c r="L1443" s="6">
        <v>529</v>
      </c>
      <c r="M1443" s="125">
        <f t="shared" si="23"/>
        <v>2</v>
      </c>
      <c r="N1443" s="7"/>
      <c r="O1443" s="132"/>
      <c r="P1443" s="175"/>
      <c r="V1443" s="207"/>
    </row>
    <row r="1444" spans="1:22" ht="15" customHeight="1">
      <c r="A1444" s="3">
        <v>37887</v>
      </c>
      <c r="B1444" s="9">
        <v>20875</v>
      </c>
      <c r="C1444" s="5">
        <v>123800</v>
      </c>
      <c r="D1444" s="5" t="e">
        <f>E1444-(#REF!+C1444)</f>
        <v>#REF!</v>
      </c>
      <c r="E1444" s="5">
        <v>157575</v>
      </c>
      <c r="K1444" s="22">
        <v>540.5</v>
      </c>
      <c r="L1444" s="6">
        <v>541.5</v>
      </c>
      <c r="M1444" s="125">
        <f t="shared" si="23"/>
        <v>1</v>
      </c>
      <c r="N1444" s="7"/>
      <c r="O1444" s="132"/>
      <c r="P1444" s="175"/>
      <c r="V1444" s="207"/>
    </row>
    <row r="1445" spans="1:22" ht="15" customHeight="1">
      <c r="A1445" s="3">
        <v>37888</v>
      </c>
      <c r="B1445" s="9">
        <v>20200</v>
      </c>
      <c r="C1445" s="5">
        <v>123925</v>
      </c>
      <c r="D1445" s="5" t="e">
        <f>E1445-(#REF!+C1445)</f>
        <v>#REF!</v>
      </c>
      <c r="E1445" s="5">
        <v>157025</v>
      </c>
      <c r="K1445" s="22">
        <v>541</v>
      </c>
      <c r="L1445" s="6">
        <v>543</v>
      </c>
      <c r="M1445" s="125">
        <f t="shared" si="23"/>
        <v>2</v>
      </c>
      <c r="N1445" s="7"/>
      <c r="O1445" s="132"/>
      <c r="P1445" s="175"/>
      <c r="V1445" s="207"/>
    </row>
    <row r="1446" spans="1:22" ht="15" customHeight="1">
      <c r="A1446" s="3">
        <v>37889</v>
      </c>
      <c r="B1446" s="9">
        <v>19900</v>
      </c>
      <c r="C1446" s="5">
        <v>123925</v>
      </c>
      <c r="D1446" s="5" t="e">
        <f>E1446-(#REF!+C1446)</f>
        <v>#REF!</v>
      </c>
      <c r="E1446" s="5">
        <v>156725</v>
      </c>
      <c r="K1446" s="22">
        <v>536</v>
      </c>
      <c r="L1446" s="6">
        <v>537</v>
      </c>
      <c r="M1446" s="125">
        <f t="shared" si="23"/>
        <v>1</v>
      </c>
      <c r="N1446" s="7"/>
      <c r="O1446" s="132"/>
      <c r="P1446" s="175"/>
      <c r="V1446" s="207"/>
    </row>
    <row r="1447" spans="1:22" ht="15" customHeight="1">
      <c r="A1447" s="3">
        <v>37890</v>
      </c>
      <c r="B1447" s="9">
        <v>19875</v>
      </c>
      <c r="C1447" s="5">
        <v>123925</v>
      </c>
      <c r="D1447" s="5" t="e">
        <f>E1447-(#REF!+C1447)</f>
        <v>#REF!</v>
      </c>
      <c r="E1447" s="5">
        <v>156700</v>
      </c>
      <c r="K1447" s="22">
        <v>537</v>
      </c>
      <c r="L1447" s="6">
        <v>537</v>
      </c>
      <c r="M1447" s="125">
        <f t="shared" si="23"/>
        <v>0</v>
      </c>
      <c r="N1447" s="7"/>
      <c r="O1447" s="132"/>
      <c r="P1447" s="175"/>
      <c r="V1447" s="207"/>
    </row>
    <row r="1448" spans="1:22" ht="15" customHeight="1">
      <c r="A1448" s="3">
        <v>37893</v>
      </c>
      <c r="B1448" s="9">
        <v>19250</v>
      </c>
      <c r="C1448" s="5">
        <v>124250</v>
      </c>
      <c r="D1448" s="5" t="e">
        <f>E1448-(#REF!+C1448)</f>
        <v>#REF!</v>
      </c>
      <c r="E1448" s="5">
        <v>156400</v>
      </c>
      <c r="K1448" s="22">
        <v>535</v>
      </c>
      <c r="L1448" s="6">
        <v>537</v>
      </c>
      <c r="M1448" s="125">
        <f t="shared" si="23"/>
        <v>2</v>
      </c>
      <c r="N1448" s="7"/>
      <c r="O1448" s="132"/>
      <c r="P1448" s="175"/>
      <c r="V1448" s="207"/>
    </row>
    <row r="1449" spans="1:22" ht="15" customHeight="1">
      <c r="A1449" s="3">
        <v>37894</v>
      </c>
      <c r="B1449" s="9">
        <v>18900</v>
      </c>
      <c r="C1449" s="5">
        <v>124325</v>
      </c>
      <c r="D1449" s="5" t="e">
        <f>E1449-(#REF!+C1449)</f>
        <v>#REF!</v>
      </c>
      <c r="E1449" s="5">
        <v>156125</v>
      </c>
      <c r="K1449" s="22">
        <v>542.5</v>
      </c>
      <c r="L1449" s="6">
        <v>543</v>
      </c>
      <c r="M1449" s="125">
        <f t="shared" si="23"/>
        <v>0.5</v>
      </c>
      <c r="N1449" s="7"/>
      <c r="O1449" s="132"/>
      <c r="P1449" s="175"/>
      <c r="V1449" s="207"/>
    </row>
    <row r="1450" spans="1:22" ht="15" customHeight="1">
      <c r="A1450" s="3">
        <v>37895</v>
      </c>
      <c r="B1450" s="9">
        <v>17300</v>
      </c>
      <c r="C1450" s="5">
        <v>124325</v>
      </c>
      <c r="D1450" s="5" t="e">
        <f>E1450-(#REF!+C1450)</f>
        <v>#REF!</v>
      </c>
      <c r="E1450" s="5">
        <v>154525</v>
      </c>
      <c r="K1450" s="22">
        <v>553.5</v>
      </c>
      <c r="L1450" s="6">
        <v>555</v>
      </c>
      <c r="M1450" s="125">
        <f t="shared" si="23"/>
        <v>1.5</v>
      </c>
      <c r="N1450" s="7"/>
      <c r="O1450" s="132"/>
      <c r="P1450" s="175"/>
      <c r="V1450" s="207"/>
    </row>
    <row r="1451" spans="1:22" ht="15" customHeight="1">
      <c r="A1451" s="3">
        <v>37896</v>
      </c>
      <c r="B1451" s="9">
        <v>15875</v>
      </c>
      <c r="C1451" s="5">
        <v>124325</v>
      </c>
      <c r="D1451" s="5" t="e">
        <f>E1451-(#REF!+C1451)</f>
        <v>#REF!</v>
      </c>
      <c r="E1451" s="5">
        <v>153100</v>
      </c>
      <c r="K1451" s="22">
        <v>552</v>
      </c>
      <c r="L1451" s="6">
        <v>552</v>
      </c>
      <c r="M1451" s="125">
        <f t="shared" si="23"/>
        <v>0</v>
      </c>
      <c r="N1451" s="7"/>
      <c r="O1451" s="132"/>
      <c r="P1451" s="175"/>
      <c r="V1451" s="207"/>
    </row>
    <row r="1452" spans="1:22" ht="15" customHeight="1">
      <c r="A1452" s="3">
        <v>37897</v>
      </c>
      <c r="B1452" s="9">
        <v>15875</v>
      </c>
      <c r="C1452" s="5">
        <v>124400</v>
      </c>
      <c r="D1452" s="5" t="e">
        <f>E1452-(#REF!+C1452)</f>
        <v>#REF!</v>
      </c>
      <c r="E1452" s="5">
        <v>153150</v>
      </c>
      <c r="K1452" s="22">
        <v>551</v>
      </c>
      <c r="L1452" s="6">
        <v>550.5</v>
      </c>
      <c r="M1452" s="125">
        <f t="shared" si="23"/>
        <v>-0.5</v>
      </c>
      <c r="N1452" s="7"/>
      <c r="O1452" s="132"/>
      <c r="P1452" s="175"/>
      <c r="V1452" s="207"/>
    </row>
    <row r="1453" spans="1:22" ht="15" customHeight="1">
      <c r="A1453" s="3">
        <v>37900</v>
      </c>
      <c r="B1453" s="9">
        <v>15800</v>
      </c>
      <c r="C1453" s="5">
        <v>124550</v>
      </c>
      <c r="D1453" s="5" t="e">
        <f>E1453-(#REF!+C1453)</f>
        <v>#REF!</v>
      </c>
      <c r="E1453" s="5">
        <v>153200</v>
      </c>
      <c r="K1453" s="22">
        <v>555</v>
      </c>
      <c r="L1453" s="6">
        <v>555</v>
      </c>
      <c r="M1453" s="125">
        <f t="shared" si="23"/>
        <v>0</v>
      </c>
      <c r="N1453" s="7"/>
      <c r="O1453" s="132"/>
      <c r="P1453" s="175"/>
      <c r="V1453" s="207"/>
    </row>
    <row r="1454" spans="1:22" ht="15" customHeight="1">
      <c r="A1454" s="3">
        <v>37901</v>
      </c>
      <c r="B1454" s="9">
        <v>14550</v>
      </c>
      <c r="C1454" s="5">
        <v>124550</v>
      </c>
      <c r="D1454" s="5" t="e">
        <f>E1454-(#REF!+C1454)</f>
        <v>#REF!</v>
      </c>
      <c r="E1454" s="5">
        <v>151950</v>
      </c>
      <c r="K1454" s="22">
        <v>560</v>
      </c>
      <c r="L1454" s="6">
        <v>562</v>
      </c>
      <c r="M1454" s="125">
        <f t="shared" si="23"/>
        <v>2</v>
      </c>
      <c r="N1454" s="7"/>
      <c r="O1454" s="132"/>
      <c r="P1454" s="175"/>
      <c r="V1454" s="207"/>
    </row>
    <row r="1455" spans="1:22" ht="15" customHeight="1">
      <c r="A1455" s="3">
        <v>37902</v>
      </c>
      <c r="B1455" s="9">
        <v>15825</v>
      </c>
      <c r="C1455" s="5">
        <v>124550</v>
      </c>
      <c r="D1455" s="5" t="e">
        <f>E1455-(#REF!+C1455)</f>
        <v>#REF!</v>
      </c>
      <c r="E1455" s="5">
        <v>153225</v>
      </c>
      <c r="K1455" s="22">
        <v>562</v>
      </c>
      <c r="L1455" s="6">
        <v>564</v>
      </c>
      <c r="M1455" s="125">
        <f t="shared" si="23"/>
        <v>2</v>
      </c>
      <c r="N1455" s="7"/>
      <c r="O1455" s="132"/>
      <c r="P1455" s="175"/>
      <c r="V1455" s="207"/>
    </row>
    <row r="1456" spans="1:22" ht="15" customHeight="1">
      <c r="A1456" s="3">
        <v>37903</v>
      </c>
      <c r="B1456" s="9">
        <v>15650</v>
      </c>
      <c r="C1456" s="5">
        <v>124550</v>
      </c>
      <c r="D1456" s="5" t="e">
        <f>E1456-(#REF!+C1456)</f>
        <v>#REF!</v>
      </c>
      <c r="E1456" s="5">
        <v>153050</v>
      </c>
      <c r="K1456" s="22">
        <v>573</v>
      </c>
      <c r="L1456" s="6">
        <v>571.5</v>
      </c>
      <c r="M1456" s="125">
        <f t="shared" si="23"/>
        <v>-1.5</v>
      </c>
      <c r="N1456" s="7"/>
      <c r="O1456" s="132"/>
      <c r="P1456" s="175"/>
      <c r="V1456" s="207"/>
    </row>
    <row r="1457" spans="1:22" ht="15" customHeight="1">
      <c r="A1457" s="3">
        <v>37904</v>
      </c>
      <c r="B1457" s="9">
        <v>14900</v>
      </c>
      <c r="C1457" s="5">
        <v>124750</v>
      </c>
      <c r="D1457" s="5" t="e">
        <f>E1457-(#REF!+C1457)</f>
        <v>#REF!</v>
      </c>
      <c r="E1457" s="5">
        <v>152500</v>
      </c>
      <c r="K1457" s="22">
        <v>568</v>
      </c>
      <c r="L1457" s="6">
        <v>565</v>
      </c>
      <c r="M1457" s="125">
        <f t="shared" si="23"/>
        <v>-3</v>
      </c>
      <c r="N1457" s="7"/>
      <c r="O1457" s="132"/>
      <c r="P1457" s="175"/>
      <c r="V1457" s="207"/>
    </row>
    <row r="1458" spans="1:22" ht="15" customHeight="1">
      <c r="A1458" s="3">
        <v>37907</v>
      </c>
      <c r="B1458" s="9">
        <v>14150</v>
      </c>
      <c r="C1458" s="5">
        <v>124925</v>
      </c>
      <c r="D1458" s="5" t="e">
        <f>E1458-(#REF!+C1458)</f>
        <v>#REF!</v>
      </c>
      <c r="E1458" s="5">
        <v>154975</v>
      </c>
      <c r="K1458" s="22">
        <v>615</v>
      </c>
      <c r="L1458" s="6">
        <v>587</v>
      </c>
      <c r="M1458" s="125">
        <f t="shared" si="23"/>
        <v>-28</v>
      </c>
      <c r="N1458" s="7"/>
      <c r="O1458" s="132"/>
      <c r="P1458" s="175"/>
      <c r="V1458" s="207"/>
    </row>
    <row r="1459" spans="1:22" ht="15" customHeight="1">
      <c r="A1459" s="3">
        <v>37908</v>
      </c>
      <c r="B1459" s="9">
        <v>12850</v>
      </c>
      <c r="C1459" s="5">
        <v>124925</v>
      </c>
      <c r="D1459" s="5" t="e">
        <f>E1459-(#REF!+C1459)</f>
        <v>#REF!</v>
      </c>
      <c r="E1459" s="5">
        <v>153675</v>
      </c>
      <c r="K1459" s="22">
        <v>594</v>
      </c>
      <c r="L1459" s="6">
        <v>583.5</v>
      </c>
      <c r="M1459" s="125">
        <f t="shared" si="23"/>
        <v>-10.5</v>
      </c>
      <c r="N1459" s="7"/>
      <c r="O1459" s="132"/>
      <c r="P1459" s="175"/>
      <c r="V1459" s="207"/>
    </row>
    <row r="1460" spans="1:22" ht="15" customHeight="1">
      <c r="A1460" s="3">
        <v>37909</v>
      </c>
      <c r="B1460" s="9">
        <v>12850</v>
      </c>
      <c r="C1460" s="5">
        <v>124925</v>
      </c>
      <c r="D1460" s="5" t="e">
        <f>E1460-(#REF!+C1460)</f>
        <v>#REF!</v>
      </c>
      <c r="E1460" s="5">
        <v>154575</v>
      </c>
      <c r="K1460" s="22">
        <v>577.5</v>
      </c>
      <c r="L1460" s="6">
        <v>570</v>
      </c>
      <c r="M1460" s="125">
        <f t="shared" si="23"/>
        <v>-7.5</v>
      </c>
      <c r="N1460" s="7"/>
      <c r="O1460" s="132"/>
      <c r="P1460" s="175"/>
      <c r="V1460" s="207"/>
    </row>
    <row r="1461" spans="1:22" ht="15" customHeight="1">
      <c r="A1461" s="3">
        <v>37910</v>
      </c>
      <c r="B1461" s="9">
        <v>12575</v>
      </c>
      <c r="C1461" s="5">
        <v>124925</v>
      </c>
      <c r="D1461" s="5" t="e">
        <f>E1461-(#REF!+C1461)</f>
        <v>#REF!</v>
      </c>
      <c r="E1461" s="5">
        <v>154275</v>
      </c>
      <c r="K1461" s="22">
        <v>581</v>
      </c>
      <c r="L1461" s="6">
        <v>578</v>
      </c>
      <c r="M1461" s="125">
        <f t="shared" si="23"/>
        <v>-3</v>
      </c>
      <c r="N1461" s="7"/>
      <c r="O1461" s="132"/>
      <c r="P1461" s="175"/>
      <c r="V1461" s="207"/>
    </row>
    <row r="1462" spans="1:22" ht="15" customHeight="1">
      <c r="A1462" s="3">
        <v>37911</v>
      </c>
      <c r="B1462" s="9">
        <v>11700</v>
      </c>
      <c r="C1462" s="5">
        <v>124925</v>
      </c>
      <c r="D1462" s="5" t="e">
        <f>E1462-(#REF!+C1462)</f>
        <v>#REF!</v>
      </c>
      <c r="E1462" s="5">
        <v>153375</v>
      </c>
      <c r="K1462" s="22">
        <v>588</v>
      </c>
      <c r="L1462" s="6">
        <v>586</v>
      </c>
      <c r="M1462" s="125">
        <f t="shared" si="23"/>
        <v>-2</v>
      </c>
      <c r="N1462" s="7"/>
      <c r="O1462" s="132"/>
      <c r="P1462" s="175"/>
      <c r="V1462" s="207"/>
    </row>
    <row r="1463" spans="1:22" ht="15" customHeight="1">
      <c r="A1463" s="3">
        <v>37914</v>
      </c>
      <c r="B1463" s="9">
        <v>11300</v>
      </c>
      <c r="C1463" s="5">
        <v>125100</v>
      </c>
      <c r="D1463" s="5" t="e">
        <f>E1463-(#REF!+C1463)</f>
        <v>#REF!</v>
      </c>
      <c r="E1463" s="5">
        <v>153150</v>
      </c>
      <c r="K1463" s="22">
        <v>594</v>
      </c>
      <c r="L1463" s="6">
        <v>589</v>
      </c>
      <c r="M1463" s="125">
        <f t="shared" ref="M1463:M1526" si="24">L1463-K1463</f>
        <v>-5</v>
      </c>
      <c r="N1463" s="7"/>
      <c r="O1463" s="132"/>
      <c r="P1463" s="175"/>
      <c r="V1463" s="207"/>
    </row>
    <row r="1464" spans="1:22" ht="15" customHeight="1">
      <c r="A1464" s="3">
        <v>37915</v>
      </c>
      <c r="B1464" s="9">
        <v>10350</v>
      </c>
      <c r="C1464" s="5">
        <v>125100</v>
      </c>
      <c r="D1464" s="5" t="e">
        <f>E1464-(#REF!+C1464)</f>
        <v>#REF!</v>
      </c>
      <c r="E1464" s="5">
        <v>151650</v>
      </c>
      <c r="K1464" s="22">
        <v>598</v>
      </c>
      <c r="L1464" s="6">
        <v>593</v>
      </c>
      <c r="M1464" s="125">
        <f t="shared" si="24"/>
        <v>-5</v>
      </c>
      <c r="N1464" s="7"/>
      <c r="O1464" s="132"/>
      <c r="P1464" s="175"/>
      <c r="V1464" s="207"/>
    </row>
    <row r="1465" spans="1:22" ht="15" customHeight="1">
      <c r="A1465" s="3">
        <v>37916</v>
      </c>
      <c r="B1465" s="9">
        <v>10075</v>
      </c>
      <c r="C1465" s="5">
        <v>125175</v>
      </c>
      <c r="D1465" s="5" t="e">
        <f>E1465-(#REF!+C1465)</f>
        <v>#REF!</v>
      </c>
      <c r="E1465" s="5">
        <v>151450</v>
      </c>
      <c r="K1465" s="22">
        <v>608</v>
      </c>
      <c r="L1465" s="6">
        <v>606</v>
      </c>
      <c r="M1465" s="125">
        <f t="shared" si="24"/>
        <v>-2</v>
      </c>
      <c r="N1465" s="7"/>
      <c r="O1465" s="132"/>
      <c r="P1465" s="175"/>
      <c r="V1465" s="207"/>
    </row>
    <row r="1466" spans="1:22" ht="15" customHeight="1">
      <c r="A1466" s="3">
        <v>37917</v>
      </c>
      <c r="B1466" s="9">
        <v>10075</v>
      </c>
      <c r="C1466" s="5">
        <v>125175</v>
      </c>
      <c r="D1466" s="5" t="e">
        <f>E1466-(#REF!+C1466)</f>
        <v>#REF!</v>
      </c>
      <c r="E1466" s="5">
        <v>151450</v>
      </c>
      <c r="K1466" s="22">
        <v>598</v>
      </c>
      <c r="L1466" s="6">
        <v>592.5</v>
      </c>
      <c r="M1466" s="125">
        <f t="shared" si="24"/>
        <v>-5.5</v>
      </c>
      <c r="N1466" s="7"/>
      <c r="O1466" s="132"/>
      <c r="P1466" s="175"/>
      <c r="V1466" s="207"/>
    </row>
    <row r="1467" spans="1:22" ht="15" customHeight="1">
      <c r="A1467" s="3">
        <v>37918</v>
      </c>
      <c r="B1467" s="9">
        <v>10075</v>
      </c>
      <c r="C1467" s="5">
        <v>125325</v>
      </c>
      <c r="D1467" s="5" t="e">
        <f>E1467-(#REF!+C1467)</f>
        <v>#REF!</v>
      </c>
      <c r="E1467" s="5">
        <v>151550</v>
      </c>
      <c r="K1467" s="22">
        <v>605.5</v>
      </c>
      <c r="L1467" s="6">
        <v>600.5</v>
      </c>
      <c r="M1467" s="125">
        <f t="shared" si="24"/>
        <v>-5</v>
      </c>
      <c r="N1467" s="7"/>
      <c r="O1467" s="132"/>
      <c r="P1467" s="175"/>
      <c r="V1467" s="207"/>
    </row>
    <row r="1468" spans="1:22" ht="15" customHeight="1">
      <c r="A1468" s="3">
        <v>37921</v>
      </c>
      <c r="B1468" s="9">
        <v>10075</v>
      </c>
      <c r="C1468" s="5">
        <v>125325</v>
      </c>
      <c r="D1468" s="5" t="e">
        <f>E1468-(#REF!+C1468)</f>
        <v>#REF!</v>
      </c>
      <c r="E1468" s="5">
        <v>151550</v>
      </c>
      <c r="K1468" s="22">
        <v>599</v>
      </c>
      <c r="L1468" s="6">
        <v>599</v>
      </c>
      <c r="M1468" s="125">
        <f t="shared" si="24"/>
        <v>0</v>
      </c>
      <c r="N1468" s="7"/>
      <c r="O1468" s="132"/>
      <c r="P1468" s="175"/>
      <c r="V1468" s="207"/>
    </row>
    <row r="1469" spans="1:22" ht="15" customHeight="1">
      <c r="A1469" s="3">
        <v>37922</v>
      </c>
      <c r="B1469" s="9">
        <v>10175</v>
      </c>
      <c r="C1469" s="5">
        <v>125400</v>
      </c>
      <c r="D1469" s="5" t="e">
        <f>E1469-(#REF!+C1469)</f>
        <v>#REF!</v>
      </c>
      <c r="E1469" s="5">
        <v>150475</v>
      </c>
      <c r="K1469" s="22">
        <v>608</v>
      </c>
      <c r="L1469" s="6">
        <v>608</v>
      </c>
      <c r="M1469" s="125">
        <f t="shared" si="24"/>
        <v>0</v>
      </c>
      <c r="N1469" s="7"/>
      <c r="O1469" s="132"/>
      <c r="P1469" s="175"/>
      <c r="V1469" s="207"/>
    </row>
    <row r="1470" spans="1:22" ht="15" customHeight="1">
      <c r="A1470" s="3">
        <v>37923</v>
      </c>
      <c r="B1470" s="9">
        <v>10175</v>
      </c>
      <c r="C1470" s="5">
        <v>125575</v>
      </c>
      <c r="D1470" s="5" t="e">
        <f>E1470-(#REF!+C1470)</f>
        <v>#REF!</v>
      </c>
      <c r="E1470" s="5">
        <v>150650</v>
      </c>
      <c r="K1470" s="22">
        <v>617</v>
      </c>
      <c r="L1470" s="6">
        <v>615</v>
      </c>
      <c r="M1470" s="125">
        <f t="shared" si="24"/>
        <v>-2</v>
      </c>
      <c r="N1470" s="7"/>
      <c r="O1470" s="132"/>
      <c r="P1470" s="175"/>
      <c r="V1470" s="207"/>
    </row>
    <row r="1471" spans="1:22" ht="15" customHeight="1">
      <c r="A1471" s="3">
        <v>37924</v>
      </c>
      <c r="B1471" s="9">
        <v>9975</v>
      </c>
      <c r="C1471" s="5">
        <v>125600</v>
      </c>
      <c r="D1471" s="5" t="e">
        <f>E1471-(#REF!+C1471)</f>
        <v>#REF!</v>
      </c>
      <c r="E1471" s="5">
        <v>150475</v>
      </c>
      <c r="K1471" s="22">
        <v>620</v>
      </c>
      <c r="L1471" s="6">
        <v>620.5</v>
      </c>
      <c r="M1471" s="125">
        <f t="shared" si="24"/>
        <v>0.5</v>
      </c>
      <c r="N1471" s="7"/>
      <c r="O1471" s="132"/>
      <c r="P1471" s="175"/>
      <c r="V1471" s="207"/>
    </row>
    <row r="1472" spans="1:22" ht="15" customHeight="1">
      <c r="A1472" s="3">
        <v>37925</v>
      </c>
      <c r="B1472" s="9">
        <v>9950</v>
      </c>
      <c r="C1472" s="5">
        <v>125600</v>
      </c>
      <c r="D1472" s="5" t="e">
        <f>E1472-(#REF!+C1472)</f>
        <v>#REF!</v>
      </c>
      <c r="E1472" s="5">
        <v>150450</v>
      </c>
      <c r="K1472" s="22">
        <v>631</v>
      </c>
      <c r="L1472" s="6">
        <v>625</v>
      </c>
      <c r="M1472" s="125">
        <f t="shared" si="24"/>
        <v>-6</v>
      </c>
      <c r="N1472" s="7"/>
      <c r="O1472" s="132"/>
      <c r="P1472" s="175"/>
      <c r="V1472" s="207"/>
    </row>
    <row r="1473" spans="1:22" ht="15" customHeight="1">
      <c r="A1473" s="3">
        <v>37928</v>
      </c>
      <c r="B1473" s="9">
        <v>9850</v>
      </c>
      <c r="C1473" s="5">
        <v>125825</v>
      </c>
      <c r="D1473" s="5" t="e">
        <f>E1473-(#REF!+C1473)</f>
        <v>#REF!</v>
      </c>
      <c r="E1473" s="5">
        <v>150575</v>
      </c>
      <c r="K1473" s="22">
        <v>620</v>
      </c>
      <c r="L1473" s="6">
        <v>609</v>
      </c>
      <c r="M1473" s="125">
        <f t="shared" si="24"/>
        <v>-11</v>
      </c>
      <c r="N1473" s="7"/>
      <c r="O1473" s="132"/>
      <c r="P1473" s="175"/>
      <c r="V1473" s="207"/>
    </row>
    <row r="1474" spans="1:22" ht="15" customHeight="1">
      <c r="A1474" s="3">
        <v>37929</v>
      </c>
      <c r="B1474" s="9">
        <v>9350</v>
      </c>
      <c r="C1474" s="5">
        <v>125825</v>
      </c>
      <c r="D1474" s="5" t="e">
        <f>E1474-(#REF!+C1474)</f>
        <v>#REF!</v>
      </c>
      <c r="E1474" s="5">
        <v>150050</v>
      </c>
      <c r="K1474" s="22">
        <v>624</v>
      </c>
      <c r="L1474" s="6">
        <v>617</v>
      </c>
      <c r="M1474" s="125">
        <f t="shared" si="24"/>
        <v>-7</v>
      </c>
      <c r="N1474" s="7"/>
      <c r="O1474" s="132"/>
      <c r="P1474" s="175"/>
      <c r="V1474" s="207"/>
    </row>
    <row r="1475" spans="1:22" ht="15" customHeight="1">
      <c r="A1475" s="3">
        <v>37930</v>
      </c>
      <c r="B1475" s="9">
        <v>9325</v>
      </c>
      <c r="C1475" s="5">
        <v>125825</v>
      </c>
      <c r="D1475" s="5" t="e">
        <f>E1475-(#REF!+C1475)</f>
        <v>#REF!</v>
      </c>
      <c r="E1475" s="5">
        <v>148775</v>
      </c>
      <c r="K1475" s="22">
        <v>630</v>
      </c>
      <c r="L1475" s="6">
        <v>624</v>
      </c>
      <c r="M1475" s="125">
        <f t="shared" si="24"/>
        <v>-6</v>
      </c>
      <c r="N1475" s="7"/>
      <c r="O1475" s="132"/>
      <c r="P1475" s="175"/>
      <c r="V1475" s="207"/>
    </row>
    <row r="1476" spans="1:22" ht="15" customHeight="1">
      <c r="A1476" s="3">
        <v>37931</v>
      </c>
      <c r="B1476" s="9">
        <v>8825</v>
      </c>
      <c r="C1476" s="5">
        <v>125825</v>
      </c>
      <c r="D1476" s="5" t="e">
        <f>E1476-(#REF!+C1476)</f>
        <v>#REF!</v>
      </c>
      <c r="E1476" s="5">
        <v>148275</v>
      </c>
      <c r="K1476" s="22">
        <v>628</v>
      </c>
      <c r="L1476" s="6">
        <v>627</v>
      </c>
      <c r="M1476" s="125">
        <f t="shared" si="24"/>
        <v>-1</v>
      </c>
      <c r="N1476" s="7"/>
      <c r="O1476" s="132"/>
      <c r="P1476" s="175"/>
      <c r="V1476" s="207"/>
    </row>
    <row r="1477" spans="1:22" ht="15" customHeight="1">
      <c r="A1477" s="3">
        <v>37932</v>
      </c>
      <c r="B1477" s="9">
        <v>7825</v>
      </c>
      <c r="C1477" s="5">
        <v>126175</v>
      </c>
      <c r="D1477" s="5" t="e">
        <f>E1477-(#REF!+C1477)</f>
        <v>#REF!</v>
      </c>
      <c r="E1477" s="5">
        <v>147625</v>
      </c>
      <c r="K1477" s="22">
        <v>615</v>
      </c>
      <c r="L1477" s="6">
        <v>610</v>
      </c>
      <c r="M1477" s="125">
        <f t="shared" si="24"/>
        <v>-5</v>
      </c>
      <c r="N1477" s="7"/>
      <c r="O1477" s="132"/>
      <c r="P1477" s="175"/>
      <c r="V1477" s="207"/>
    </row>
    <row r="1478" spans="1:22" ht="15" customHeight="1">
      <c r="A1478" s="3">
        <v>37935</v>
      </c>
      <c r="B1478" s="9">
        <v>7825</v>
      </c>
      <c r="C1478" s="5">
        <v>126250</v>
      </c>
      <c r="D1478" s="5" t="e">
        <f>E1478-(#REF!+C1478)</f>
        <v>#REF!</v>
      </c>
      <c r="E1478" s="5">
        <v>147700</v>
      </c>
      <c r="K1478" s="22">
        <v>611</v>
      </c>
      <c r="L1478" s="6">
        <v>610</v>
      </c>
      <c r="M1478" s="125">
        <f t="shared" si="24"/>
        <v>-1</v>
      </c>
      <c r="N1478" s="7"/>
      <c r="O1478" s="132"/>
      <c r="P1478" s="175"/>
      <c r="V1478" s="207"/>
    </row>
    <row r="1479" spans="1:22" ht="15" customHeight="1">
      <c r="A1479" s="3">
        <v>37936</v>
      </c>
      <c r="B1479" s="9">
        <v>7600</v>
      </c>
      <c r="C1479" s="5">
        <v>126350</v>
      </c>
      <c r="D1479" s="5" t="e">
        <f>E1479-(#REF!+C1479)</f>
        <v>#REF!</v>
      </c>
      <c r="E1479" s="5">
        <v>147575</v>
      </c>
      <c r="K1479" s="22">
        <v>613</v>
      </c>
      <c r="L1479" s="6">
        <v>613</v>
      </c>
      <c r="M1479" s="125">
        <f t="shared" si="24"/>
        <v>0</v>
      </c>
      <c r="N1479" s="7"/>
      <c r="O1479" s="132"/>
      <c r="P1479" s="175"/>
      <c r="V1479" s="207"/>
    </row>
    <row r="1480" spans="1:22" ht="15" customHeight="1">
      <c r="A1480" s="3">
        <v>37937</v>
      </c>
      <c r="B1480" s="9">
        <v>7600</v>
      </c>
      <c r="C1480" s="5">
        <v>126425</v>
      </c>
      <c r="D1480" s="5" t="e">
        <f>E1480-(#REF!+C1480)</f>
        <v>#REF!</v>
      </c>
      <c r="E1480" s="5">
        <v>147650</v>
      </c>
      <c r="K1480" s="22">
        <v>621</v>
      </c>
      <c r="L1480" s="6">
        <v>623</v>
      </c>
      <c r="M1480" s="125">
        <f t="shared" si="24"/>
        <v>2</v>
      </c>
      <c r="N1480" s="7"/>
      <c r="O1480" s="132"/>
      <c r="P1480" s="175"/>
      <c r="V1480" s="207"/>
    </row>
    <row r="1481" spans="1:22" ht="15" customHeight="1">
      <c r="A1481" s="3">
        <v>37938</v>
      </c>
      <c r="B1481" s="9">
        <v>7600</v>
      </c>
      <c r="C1481" s="5">
        <v>126525</v>
      </c>
      <c r="D1481" s="5" t="e">
        <f>E1481-(#REF!+C1481)</f>
        <v>#REF!</v>
      </c>
      <c r="E1481" s="5">
        <v>147750</v>
      </c>
      <c r="K1481" s="22">
        <v>632</v>
      </c>
      <c r="L1481" s="6">
        <v>632</v>
      </c>
      <c r="M1481" s="125">
        <f t="shared" si="24"/>
        <v>0</v>
      </c>
      <c r="N1481" s="7"/>
      <c r="O1481" s="132"/>
      <c r="P1481" s="175"/>
      <c r="V1481" s="207"/>
    </row>
    <row r="1482" spans="1:22" ht="15" customHeight="1">
      <c r="A1482" s="3">
        <v>37939</v>
      </c>
      <c r="B1482" s="9">
        <v>7600</v>
      </c>
      <c r="C1482" s="5">
        <v>126575</v>
      </c>
      <c r="D1482" s="5" t="e">
        <f>E1482-(#REF!+C1482)</f>
        <v>#REF!</v>
      </c>
      <c r="E1482" s="5">
        <v>147800</v>
      </c>
      <c r="K1482" s="22">
        <v>629.5</v>
      </c>
      <c r="L1482" s="6">
        <v>631.5</v>
      </c>
      <c r="M1482" s="125">
        <f t="shared" si="24"/>
        <v>2</v>
      </c>
      <c r="N1482" s="7"/>
      <c r="O1482" s="132"/>
      <c r="P1482" s="175"/>
      <c r="V1482" s="207"/>
    </row>
    <row r="1483" spans="1:22" ht="15" customHeight="1">
      <c r="A1483" s="3">
        <v>37942</v>
      </c>
      <c r="B1483" s="9">
        <v>7175</v>
      </c>
      <c r="C1483" s="5">
        <v>125725</v>
      </c>
      <c r="D1483" s="5" t="e">
        <f>E1483-(#REF!+C1483)</f>
        <v>#REF!</v>
      </c>
      <c r="E1483" s="5">
        <v>146525</v>
      </c>
      <c r="K1483" s="22">
        <v>626</v>
      </c>
      <c r="L1483" s="6">
        <v>631</v>
      </c>
      <c r="M1483" s="125">
        <f t="shared" si="24"/>
        <v>5</v>
      </c>
      <c r="N1483" s="7"/>
      <c r="O1483" s="132"/>
      <c r="P1483" s="175"/>
      <c r="V1483" s="207"/>
    </row>
    <row r="1484" spans="1:22" ht="15" customHeight="1">
      <c r="A1484" s="3">
        <v>37943</v>
      </c>
      <c r="B1484" s="9">
        <v>7000</v>
      </c>
      <c r="C1484" s="5">
        <v>121625</v>
      </c>
      <c r="D1484" s="5" t="e">
        <f>E1484-(#REF!+C1484)</f>
        <v>#REF!</v>
      </c>
      <c r="E1484" s="5">
        <v>142250</v>
      </c>
      <c r="K1484" s="22">
        <v>609.5</v>
      </c>
      <c r="L1484" s="6">
        <v>615</v>
      </c>
      <c r="M1484" s="125">
        <f t="shared" si="24"/>
        <v>5.5</v>
      </c>
      <c r="N1484" s="7"/>
      <c r="O1484" s="132"/>
      <c r="P1484" s="175"/>
      <c r="V1484" s="207"/>
    </row>
    <row r="1485" spans="1:22" ht="15" customHeight="1">
      <c r="A1485" s="3">
        <v>37944</v>
      </c>
      <c r="B1485" s="9">
        <v>6500</v>
      </c>
      <c r="C1485" s="5">
        <v>121050</v>
      </c>
      <c r="D1485" s="5" t="e">
        <f>E1485-(#REF!+C1485)</f>
        <v>#REF!</v>
      </c>
      <c r="E1485" s="5">
        <v>141175</v>
      </c>
      <c r="K1485" s="22">
        <v>608.5</v>
      </c>
      <c r="L1485" s="6">
        <v>615</v>
      </c>
      <c r="M1485" s="125">
        <f t="shared" si="24"/>
        <v>6.5</v>
      </c>
      <c r="N1485" s="7"/>
      <c r="O1485" s="132"/>
      <c r="P1485" s="175"/>
      <c r="V1485" s="207"/>
    </row>
    <row r="1486" spans="1:22" ht="15" customHeight="1">
      <c r="A1486" s="3">
        <v>37945</v>
      </c>
      <c r="B1486" s="9">
        <v>6500</v>
      </c>
      <c r="C1486" s="5">
        <v>120125</v>
      </c>
      <c r="D1486" s="5" t="e">
        <f>E1486-(#REF!+C1486)</f>
        <v>#REF!</v>
      </c>
      <c r="E1486" s="5">
        <v>140250</v>
      </c>
      <c r="K1486" s="22">
        <v>588</v>
      </c>
      <c r="L1486" s="6">
        <v>592</v>
      </c>
      <c r="M1486" s="125">
        <f t="shared" si="24"/>
        <v>4</v>
      </c>
      <c r="N1486" s="7"/>
      <c r="O1486" s="132"/>
      <c r="P1486" s="175"/>
      <c r="V1486" s="207"/>
    </row>
    <row r="1487" spans="1:22" ht="15" customHeight="1">
      <c r="A1487" s="3">
        <v>37946</v>
      </c>
      <c r="B1487" s="9">
        <v>6200</v>
      </c>
      <c r="C1487" s="5">
        <v>118975</v>
      </c>
      <c r="D1487" s="5" t="e">
        <f>E1487-(#REF!+C1487)</f>
        <v>#REF!</v>
      </c>
      <c r="E1487" s="5">
        <v>138800</v>
      </c>
      <c r="K1487" s="22">
        <v>613.5</v>
      </c>
      <c r="L1487" s="6">
        <v>613</v>
      </c>
      <c r="M1487" s="125">
        <f t="shared" si="24"/>
        <v>-0.5</v>
      </c>
      <c r="N1487" s="7"/>
      <c r="O1487" s="132"/>
      <c r="P1487" s="175"/>
      <c r="V1487" s="207"/>
    </row>
    <row r="1488" spans="1:22" ht="15" customHeight="1">
      <c r="A1488" s="3">
        <v>37949</v>
      </c>
      <c r="B1488" s="9">
        <v>6200</v>
      </c>
      <c r="C1488" s="5">
        <v>117525</v>
      </c>
      <c r="D1488" s="5" t="e">
        <f>E1488-(#REF!+C1488)</f>
        <v>#REF!</v>
      </c>
      <c r="E1488" s="5">
        <v>137350</v>
      </c>
      <c r="K1488" s="22">
        <v>616.5</v>
      </c>
      <c r="L1488" s="6">
        <v>614</v>
      </c>
      <c r="M1488" s="125">
        <f t="shared" si="24"/>
        <v>-2.5</v>
      </c>
      <c r="N1488" s="7"/>
      <c r="O1488" s="132"/>
      <c r="P1488" s="175"/>
      <c r="V1488" s="207"/>
    </row>
    <row r="1489" spans="1:22" ht="15" customHeight="1">
      <c r="A1489" s="3">
        <v>37950</v>
      </c>
      <c r="B1489" s="9">
        <v>6200</v>
      </c>
      <c r="C1489" s="5">
        <v>116775</v>
      </c>
      <c r="D1489" s="5" t="e">
        <f>E1489-(#REF!+C1489)</f>
        <v>#REF!</v>
      </c>
      <c r="E1489" s="5">
        <v>136600</v>
      </c>
      <c r="K1489" s="22">
        <v>629</v>
      </c>
      <c r="L1489" s="6">
        <v>623.5</v>
      </c>
      <c r="M1489" s="125">
        <f t="shared" si="24"/>
        <v>-5.5</v>
      </c>
      <c r="N1489" s="7"/>
      <c r="O1489" s="132"/>
      <c r="P1489" s="175"/>
      <c r="V1489" s="207"/>
    </row>
    <row r="1490" spans="1:22" ht="15" customHeight="1">
      <c r="A1490" s="3">
        <v>37951</v>
      </c>
      <c r="B1490" s="9">
        <v>6200</v>
      </c>
      <c r="C1490" s="5">
        <v>115600</v>
      </c>
      <c r="D1490" s="5" t="e">
        <f>E1490-(#REF!+C1490)</f>
        <v>#REF!</v>
      </c>
      <c r="E1490" s="5">
        <v>135425</v>
      </c>
      <c r="K1490" s="22">
        <v>632</v>
      </c>
      <c r="L1490" s="6">
        <v>624</v>
      </c>
      <c r="M1490" s="125">
        <f t="shared" si="24"/>
        <v>-8</v>
      </c>
      <c r="N1490" s="7"/>
      <c r="O1490" s="132"/>
      <c r="P1490" s="175"/>
      <c r="V1490" s="207"/>
    </row>
    <row r="1491" spans="1:22" ht="15" customHeight="1">
      <c r="A1491" s="3">
        <v>37952</v>
      </c>
      <c r="B1491" s="9">
        <v>6000</v>
      </c>
      <c r="C1491" s="5">
        <v>114850</v>
      </c>
      <c r="D1491" s="5" t="e">
        <f>E1491-(#REF!+C1491)</f>
        <v>#REF!</v>
      </c>
      <c r="E1491" s="5">
        <v>134475</v>
      </c>
      <c r="K1491" s="22">
        <v>650</v>
      </c>
      <c r="L1491" s="6">
        <v>638</v>
      </c>
      <c r="M1491" s="125">
        <f t="shared" si="24"/>
        <v>-12</v>
      </c>
      <c r="N1491" s="7"/>
      <c r="O1491" s="132"/>
      <c r="P1491" s="175"/>
      <c r="V1491" s="207"/>
    </row>
    <row r="1492" spans="1:22" ht="15" customHeight="1">
      <c r="A1492" s="3">
        <v>37953</v>
      </c>
      <c r="B1492" s="9">
        <v>6000</v>
      </c>
      <c r="C1492" s="5">
        <v>114250</v>
      </c>
      <c r="D1492" s="5" t="e">
        <f>E1492-(#REF!+C1492)</f>
        <v>#REF!</v>
      </c>
      <c r="E1492" s="5">
        <v>133875</v>
      </c>
      <c r="K1492" s="22">
        <v>650</v>
      </c>
      <c r="L1492" s="6">
        <v>641</v>
      </c>
      <c r="M1492" s="125">
        <f t="shared" si="24"/>
        <v>-9</v>
      </c>
      <c r="N1492" s="7"/>
      <c r="O1492" s="132"/>
      <c r="P1492" s="175"/>
      <c r="V1492" s="207"/>
    </row>
    <row r="1493" spans="1:22" ht="15" customHeight="1">
      <c r="A1493" s="3">
        <v>37956</v>
      </c>
      <c r="B1493" s="9">
        <v>6000</v>
      </c>
      <c r="C1493" s="5">
        <v>114250</v>
      </c>
      <c r="D1493" s="5" t="e">
        <f>E1493-(#REF!+C1493)</f>
        <v>#REF!</v>
      </c>
      <c r="E1493" s="5">
        <v>133875</v>
      </c>
      <c r="K1493" s="22">
        <v>651</v>
      </c>
      <c r="L1493" s="6">
        <v>643</v>
      </c>
      <c r="M1493" s="125">
        <f t="shared" si="24"/>
        <v>-8</v>
      </c>
      <c r="N1493" s="7"/>
      <c r="O1493" s="132"/>
      <c r="P1493" s="175"/>
      <c r="V1493" s="207"/>
    </row>
    <row r="1494" spans="1:22" ht="15" customHeight="1">
      <c r="A1494" s="3">
        <v>37957</v>
      </c>
      <c r="B1494" s="9">
        <v>5925</v>
      </c>
      <c r="C1494" s="5">
        <v>113775</v>
      </c>
      <c r="D1494" s="5" t="e">
        <f>E1494-(#REF!+C1494)</f>
        <v>#REF!</v>
      </c>
      <c r="E1494" s="5">
        <v>133325</v>
      </c>
      <c r="K1494" s="22">
        <v>647.5</v>
      </c>
      <c r="L1494" s="6">
        <v>642</v>
      </c>
      <c r="M1494" s="125">
        <f t="shared" si="24"/>
        <v>-5.5</v>
      </c>
      <c r="N1494" s="7"/>
      <c r="O1494" s="132"/>
      <c r="P1494" s="175"/>
      <c r="V1494" s="207"/>
    </row>
    <row r="1495" spans="1:22" ht="15" customHeight="1">
      <c r="A1495" s="3">
        <v>37958</v>
      </c>
      <c r="B1495" s="9">
        <v>5800</v>
      </c>
      <c r="C1495" s="5">
        <v>113275</v>
      </c>
      <c r="D1495" s="5" t="e">
        <f>E1495-(#REF!+C1495)</f>
        <v>#REF!</v>
      </c>
      <c r="E1495" s="5">
        <v>132700</v>
      </c>
      <c r="K1495" s="22">
        <v>658</v>
      </c>
      <c r="L1495" s="6">
        <v>652.5</v>
      </c>
      <c r="M1495" s="125">
        <f t="shared" si="24"/>
        <v>-5.5</v>
      </c>
      <c r="N1495" s="7"/>
      <c r="O1495" s="132"/>
      <c r="P1495" s="175"/>
      <c r="V1495" s="207"/>
    </row>
    <row r="1496" spans="1:22" ht="15" customHeight="1">
      <c r="A1496" s="3">
        <v>37959</v>
      </c>
      <c r="B1496" s="9">
        <v>5700</v>
      </c>
      <c r="C1496" s="5">
        <v>112725</v>
      </c>
      <c r="D1496" s="5" t="e">
        <f>E1496-(#REF!+C1496)</f>
        <v>#REF!</v>
      </c>
      <c r="E1496" s="5">
        <v>132050</v>
      </c>
      <c r="K1496" s="22">
        <v>682</v>
      </c>
      <c r="L1496" s="6">
        <v>677</v>
      </c>
      <c r="M1496" s="125">
        <f t="shared" si="24"/>
        <v>-5</v>
      </c>
      <c r="N1496" s="7"/>
      <c r="O1496" s="132"/>
      <c r="P1496" s="175"/>
      <c r="V1496" s="207"/>
    </row>
    <row r="1497" spans="1:22" ht="15" customHeight="1">
      <c r="A1497" s="3">
        <v>37960</v>
      </c>
      <c r="B1497" s="9">
        <v>5700</v>
      </c>
      <c r="C1497" s="5">
        <v>111675</v>
      </c>
      <c r="D1497" s="5" t="e">
        <f>E1497-(#REF!+C1497)</f>
        <v>#REF!</v>
      </c>
      <c r="E1497" s="5">
        <v>130925</v>
      </c>
      <c r="K1497" s="22">
        <v>680</v>
      </c>
      <c r="L1497" s="6">
        <v>675</v>
      </c>
      <c r="M1497" s="125">
        <f t="shared" si="24"/>
        <v>-5</v>
      </c>
      <c r="N1497" s="7"/>
      <c r="O1497" s="132"/>
      <c r="P1497" s="175"/>
      <c r="V1497" s="207"/>
    </row>
    <row r="1498" spans="1:22" ht="15" customHeight="1">
      <c r="A1498" s="3">
        <v>37963</v>
      </c>
      <c r="B1498" s="9">
        <v>5675</v>
      </c>
      <c r="C1498" s="5">
        <v>111125</v>
      </c>
      <c r="D1498" s="5" t="e">
        <f>E1498-(#REF!+C1498)</f>
        <v>#REF!</v>
      </c>
      <c r="E1498" s="5">
        <v>130275</v>
      </c>
      <c r="K1498" s="22">
        <v>686</v>
      </c>
      <c r="L1498" s="6">
        <v>680</v>
      </c>
      <c r="M1498" s="125">
        <f t="shared" si="24"/>
        <v>-6</v>
      </c>
      <c r="N1498" s="7"/>
      <c r="O1498" s="132"/>
      <c r="P1498" s="175"/>
      <c r="V1498" s="207"/>
    </row>
    <row r="1499" spans="1:22" ht="15" customHeight="1">
      <c r="A1499" s="3">
        <v>37964</v>
      </c>
      <c r="B1499" s="9">
        <v>5675</v>
      </c>
      <c r="C1499" s="5">
        <v>110675</v>
      </c>
      <c r="D1499" s="5" t="e">
        <f>E1499-(#REF!+C1499)</f>
        <v>#REF!</v>
      </c>
      <c r="E1499" s="5">
        <v>129725</v>
      </c>
      <c r="K1499" s="22">
        <v>691</v>
      </c>
      <c r="L1499" s="6">
        <v>679</v>
      </c>
      <c r="M1499" s="125">
        <f t="shared" si="24"/>
        <v>-12</v>
      </c>
      <c r="N1499" s="7"/>
      <c r="O1499" s="132"/>
      <c r="P1499" s="175"/>
      <c r="V1499" s="207"/>
    </row>
    <row r="1500" spans="1:22" ht="15" customHeight="1">
      <c r="A1500" s="3">
        <v>37965</v>
      </c>
      <c r="B1500" s="9">
        <v>5675</v>
      </c>
      <c r="C1500" s="5">
        <v>108325</v>
      </c>
      <c r="D1500" s="5" t="e">
        <f>E1500-(#REF!+C1500)</f>
        <v>#REF!</v>
      </c>
      <c r="E1500" s="5">
        <v>127350</v>
      </c>
      <c r="K1500" s="22">
        <v>692</v>
      </c>
      <c r="L1500" s="6">
        <v>684</v>
      </c>
      <c r="M1500" s="125">
        <f t="shared" si="24"/>
        <v>-8</v>
      </c>
      <c r="N1500" s="7"/>
      <c r="O1500" s="132"/>
      <c r="P1500" s="175"/>
      <c r="V1500" s="207"/>
    </row>
    <row r="1501" spans="1:22" ht="15" customHeight="1">
      <c r="A1501" s="3">
        <v>37966</v>
      </c>
      <c r="B1501" s="9">
        <v>5675</v>
      </c>
      <c r="C1501" s="5">
        <v>107775</v>
      </c>
      <c r="D1501" s="5" t="e">
        <f>E1501-(#REF!+C1501)</f>
        <v>#REF!</v>
      </c>
      <c r="E1501" s="5">
        <v>126800</v>
      </c>
      <c r="K1501" s="22">
        <v>684</v>
      </c>
      <c r="L1501" s="6">
        <v>675</v>
      </c>
      <c r="M1501" s="125">
        <f t="shared" si="24"/>
        <v>-9</v>
      </c>
      <c r="N1501" s="7"/>
      <c r="O1501" s="132"/>
      <c r="P1501" s="175"/>
      <c r="V1501" s="207"/>
    </row>
    <row r="1502" spans="1:22" ht="15" customHeight="1">
      <c r="A1502" s="3">
        <v>37967</v>
      </c>
      <c r="B1502" s="9">
        <v>5675</v>
      </c>
      <c r="C1502" s="5">
        <v>107775</v>
      </c>
      <c r="D1502" s="5" t="e">
        <f>E1502-(#REF!+C1502)</f>
        <v>#REF!</v>
      </c>
      <c r="E1502" s="5">
        <v>126800</v>
      </c>
      <c r="K1502" s="22">
        <v>685</v>
      </c>
      <c r="L1502" s="6">
        <v>674</v>
      </c>
      <c r="M1502" s="125">
        <f t="shared" si="24"/>
        <v>-11</v>
      </c>
      <c r="N1502" s="7"/>
      <c r="O1502" s="132"/>
      <c r="P1502" s="175"/>
      <c r="V1502" s="207"/>
    </row>
    <row r="1503" spans="1:22" ht="15" customHeight="1">
      <c r="A1503" s="3">
        <v>37970</v>
      </c>
      <c r="B1503" s="9">
        <v>5675</v>
      </c>
      <c r="C1503" s="5">
        <v>106775</v>
      </c>
      <c r="D1503" s="5" t="e">
        <f>E1503-(#REF!+C1503)</f>
        <v>#REF!</v>
      </c>
      <c r="E1503" s="5">
        <v>125800</v>
      </c>
      <c r="K1503" s="22">
        <v>683.5</v>
      </c>
      <c r="L1503" s="6">
        <v>677</v>
      </c>
      <c r="M1503" s="125">
        <f t="shared" si="24"/>
        <v>-6.5</v>
      </c>
      <c r="N1503" s="7"/>
      <c r="O1503" s="132"/>
      <c r="P1503" s="175"/>
      <c r="V1503" s="207"/>
    </row>
    <row r="1504" spans="1:22" ht="15" customHeight="1">
      <c r="A1504" s="3">
        <v>37971</v>
      </c>
      <c r="B1504" s="9">
        <v>5675</v>
      </c>
      <c r="C1504" s="5">
        <v>105400</v>
      </c>
      <c r="D1504" s="5" t="e">
        <f>E1504-(#REF!+C1504)</f>
        <v>#REF!</v>
      </c>
      <c r="E1504" s="5">
        <v>125800</v>
      </c>
      <c r="K1504" s="22">
        <v>700</v>
      </c>
      <c r="L1504" s="6">
        <v>692.5</v>
      </c>
      <c r="M1504" s="125">
        <f t="shared" si="24"/>
        <v>-7.5</v>
      </c>
      <c r="N1504" s="7"/>
      <c r="O1504" s="132"/>
      <c r="P1504" s="175"/>
      <c r="V1504" s="207"/>
    </row>
    <row r="1505" spans="1:22" ht="15" customHeight="1">
      <c r="A1505" s="3">
        <v>37972</v>
      </c>
      <c r="B1505" s="9">
        <v>5675</v>
      </c>
      <c r="C1505" s="5">
        <v>103825</v>
      </c>
      <c r="D1505" s="5" t="e">
        <f>E1505-(#REF!+C1505)</f>
        <v>#REF!</v>
      </c>
      <c r="E1505" s="5">
        <v>122825</v>
      </c>
      <c r="K1505" s="22">
        <v>695</v>
      </c>
      <c r="L1505" s="6">
        <v>690</v>
      </c>
      <c r="M1505" s="125">
        <f t="shared" si="24"/>
        <v>-5</v>
      </c>
      <c r="N1505" s="7"/>
      <c r="O1505" s="132"/>
      <c r="P1505" s="175"/>
      <c r="V1505" s="207"/>
    </row>
    <row r="1506" spans="1:22" ht="15" customHeight="1">
      <c r="A1506" s="3">
        <v>37973</v>
      </c>
      <c r="B1506" s="9">
        <v>5675</v>
      </c>
      <c r="C1506" s="5">
        <v>102025</v>
      </c>
      <c r="D1506" s="5" t="e">
        <f>E1506-(#REF!+C1506)</f>
        <v>#REF!</v>
      </c>
      <c r="E1506" s="5">
        <v>121025</v>
      </c>
      <c r="K1506" s="22">
        <v>686</v>
      </c>
      <c r="L1506" s="6">
        <v>681</v>
      </c>
      <c r="M1506" s="125">
        <f t="shared" si="24"/>
        <v>-5</v>
      </c>
      <c r="N1506" s="7"/>
      <c r="O1506" s="132"/>
      <c r="P1506" s="175"/>
      <c r="V1506" s="207"/>
    </row>
    <row r="1507" spans="1:22" ht="15" customHeight="1">
      <c r="A1507" s="3">
        <v>37974</v>
      </c>
      <c r="B1507" s="9">
        <v>5675</v>
      </c>
      <c r="C1507" s="5">
        <v>100275</v>
      </c>
      <c r="D1507" s="5" t="e">
        <f>E1507-(#REF!+C1507)</f>
        <v>#REF!</v>
      </c>
      <c r="E1507" s="5">
        <v>119275</v>
      </c>
      <c r="K1507" s="22">
        <v>707</v>
      </c>
      <c r="L1507" s="6">
        <v>696</v>
      </c>
      <c r="M1507" s="125">
        <f t="shared" si="24"/>
        <v>-11</v>
      </c>
      <c r="N1507" s="7"/>
      <c r="O1507" s="132"/>
      <c r="P1507" s="175"/>
      <c r="V1507" s="207"/>
    </row>
    <row r="1508" spans="1:22" ht="15" customHeight="1">
      <c r="A1508" s="3">
        <v>37977</v>
      </c>
      <c r="B1508" s="9">
        <v>5650</v>
      </c>
      <c r="C1508" s="5">
        <v>99575</v>
      </c>
      <c r="D1508" s="5" t="e">
        <f>E1508-(#REF!+C1508)</f>
        <v>#REF!</v>
      </c>
      <c r="E1508" s="5">
        <v>118550</v>
      </c>
      <c r="K1508" s="22">
        <v>683</v>
      </c>
      <c r="L1508" s="6">
        <v>676</v>
      </c>
      <c r="M1508" s="125">
        <f t="shared" si="24"/>
        <v>-7</v>
      </c>
      <c r="N1508" s="7"/>
      <c r="O1508" s="132"/>
      <c r="P1508" s="175"/>
      <c r="V1508" s="207"/>
    </row>
    <row r="1509" spans="1:22" ht="15" customHeight="1">
      <c r="A1509" s="3">
        <v>37978</v>
      </c>
      <c r="B1509" s="9">
        <v>5575</v>
      </c>
      <c r="C1509" s="5">
        <v>97225</v>
      </c>
      <c r="D1509" s="5" t="e">
        <f>E1509-(#REF!+C1509)</f>
        <v>#REF!</v>
      </c>
      <c r="E1509" s="5">
        <v>116125</v>
      </c>
      <c r="K1509" s="22">
        <v>699</v>
      </c>
      <c r="L1509" s="6">
        <v>678.5</v>
      </c>
      <c r="M1509" s="125">
        <f t="shared" si="24"/>
        <v>-20.5</v>
      </c>
      <c r="N1509" s="7"/>
      <c r="O1509" s="132"/>
      <c r="P1509" s="175"/>
      <c r="V1509" s="207"/>
    </row>
    <row r="1510" spans="1:22" ht="15" customHeight="1">
      <c r="A1510" s="3">
        <v>37979</v>
      </c>
      <c r="B1510" s="9">
        <v>5575</v>
      </c>
      <c r="C1510" s="5">
        <v>95900</v>
      </c>
      <c r="D1510" s="5" t="e">
        <f>E1510-(#REF!+C1510)</f>
        <v>#REF!</v>
      </c>
      <c r="E1510" s="5">
        <v>114800</v>
      </c>
      <c r="K1510" s="22">
        <v>716.5</v>
      </c>
      <c r="L1510" s="6">
        <v>703.5</v>
      </c>
      <c r="M1510" s="125">
        <f t="shared" si="24"/>
        <v>-13</v>
      </c>
      <c r="N1510" s="7"/>
      <c r="O1510" s="132"/>
      <c r="P1510" s="175"/>
      <c r="V1510" s="207"/>
    </row>
    <row r="1511" spans="1:22" ht="15" customHeight="1">
      <c r="A1511" s="3">
        <v>37980</v>
      </c>
      <c r="B1511" s="9">
        <v>5575</v>
      </c>
      <c r="C1511" s="5">
        <v>95900</v>
      </c>
      <c r="D1511" s="5" t="e">
        <f>E1511-(#REF!+C1511)</f>
        <v>#REF!</v>
      </c>
      <c r="E1511" s="5">
        <v>114800</v>
      </c>
      <c r="K1511" s="22">
        <v>716.5</v>
      </c>
      <c r="L1511" s="6">
        <v>703.5</v>
      </c>
      <c r="M1511" s="125">
        <f t="shared" si="24"/>
        <v>-13</v>
      </c>
      <c r="N1511" s="7"/>
      <c r="O1511" s="132"/>
      <c r="P1511" s="175"/>
      <c r="V1511" s="207"/>
    </row>
    <row r="1512" spans="1:22" ht="15" customHeight="1">
      <c r="A1512" s="3">
        <v>37981</v>
      </c>
      <c r="B1512" s="9">
        <v>5575</v>
      </c>
      <c r="C1512" s="5">
        <v>95900</v>
      </c>
      <c r="D1512" s="5" t="e">
        <f>E1512-(#REF!+C1512)</f>
        <v>#REF!</v>
      </c>
      <c r="E1512" s="5">
        <v>114800</v>
      </c>
      <c r="K1512" s="22">
        <v>716.5</v>
      </c>
      <c r="L1512" s="6">
        <v>703.5</v>
      </c>
      <c r="M1512" s="125">
        <f t="shared" si="24"/>
        <v>-13</v>
      </c>
      <c r="N1512" s="7"/>
      <c r="O1512" s="132"/>
      <c r="P1512" s="175"/>
      <c r="V1512" s="207"/>
    </row>
    <row r="1513" spans="1:22" ht="15" customHeight="1">
      <c r="A1513" s="3">
        <v>37984</v>
      </c>
      <c r="B1513" s="9">
        <v>5575</v>
      </c>
      <c r="C1513" s="5">
        <v>95525</v>
      </c>
      <c r="D1513" s="5" t="e">
        <f>E1513-(#REF!+C1513)</f>
        <v>#REF!</v>
      </c>
      <c r="E1513" s="5">
        <v>114425</v>
      </c>
      <c r="K1513" s="22">
        <v>734.5</v>
      </c>
      <c r="L1513" s="6">
        <v>721</v>
      </c>
      <c r="M1513" s="125">
        <f t="shared" si="24"/>
        <v>-13.5</v>
      </c>
      <c r="N1513" s="7"/>
      <c r="O1513" s="132"/>
      <c r="P1513" s="175"/>
      <c r="V1513" s="207"/>
    </row>
    <row r="1514" spans="1:22" ht="15" customHeight="1">
      <c r="A1514" s="3">
        <v>37985</v>
      </c>
      <c r="B1514" s="9">
        <v>5575</v>
      </c>
      <c r="C1514" s="5">
        <v>92500</v>
      </c>
      <c r="D1514" s="5" t="e">
        <f>E1514-(#REF!+C1514)</f>
        <v>#REF!</v>
      </c>
      <c r="E1514" s="5">
        <v>111400</v>
      </c>
      <c r="K1514" s="22">
        <v>733</v>
      </c>
      <c r="L1514" s="6">
        <v>722</v>
      </c>
      <c r="M1514" s="125">
        <f t="shared" si="24"/>
        <v>-11</v>
      </c>
      <c r="N1514" s="7"/>
      <c r="O1514" s="132"/>
      <c r="P1514" s="175"/>
      <c r="V1514" s="207"/>
    </row>
    <row r="1515" spans="1:22" ht="15" customHeight="1">
      <c r="A1515" s="3">
        <v>37986</v>
      </c>
      <c r="B1515" s="9">
        <v>5575</v>
      </c>
      <c r="C1515" s="5">
        <v>91275</v>
      </c>
      <c r="D1515" s="5" t="e">
        <f>E1515-(#REF!+C1515)</f>
        <v>#REF!</v>
      </c>
      <c r="E1515" s="5">
        <v>110175</v>
      </c>
      <c r="K1515" s="22">
        <v>739.5</v>
      </c>
      <c r="L1515" s="6">
        <v>725</v>
      </c>
      <c r="M1515" s="125">
        <f t="shared" si="24"/>
        <v>-14.5</v>
      </c>
      <c r="N1515" s="7"/>
      <c r="O1515" s="132"/>
      <c r="P1515" s="175"/>
      <c r="V1515" s="207"/>
    </row>
    <row r="1516" spans="1:22" ht="15" customHeight="1">
      <c r="A1516" s="3">
        <v>37988</v>
      </c>
      <c r="B1516" s="9">
        <v>5575</v>
      </c>
      <c r="C1516" s="5">
        <v>90075</v>
      </c>
      <c r="D1516" s="5" t="e">
        <f>E1516-(#REF!+C1516)</f>
        <v>#REF!</v>
      </c>
      <c r="E1516" s="5">
        <v>108975</v>
      </c>
      <c r="K1516" s="22">
        <v>751</v>
      </c>
      <c r="L1516" s="6">
        <v>740</v>
      </c>
      <c r="M1516" s="125">
        <f t="shared" si="24"/>
        <v>-11</v>
      </c>
      <c r="N1516" s="7"/>
      <c r="O1516" s="132"/>
      <c r="P1516" s="175"/>
      <c r="V1516" s="207"/>
    </row>
    <row r="1517" spans="1:22" ht="15" customHeight="1">
      <c r="A1517" s="3">
        <v>37991</v>
      </c>
      <c r="B1517" s="9">
        <v>5425</v>
      </c>
      <c r="C1517" s="5">
        <v>88750</v>
      </c>
      <c r="D1517" s="5" t="e">
        <f>E1517-(#REF!+C1517)</f>
        <v>#REF!</v>
      </c>
      <c r="E1517" s="5">
        <v>107500</v>
      </c>
      <c r="K1517" s="22">
        <v>745.5</v>
      </c>
      <c r="L1517" s="6">
        <v>735</v>
      </c>
      <c r="M1517" s="125">
        <f t="shared" si="24"/>
        <v>-10.5</v>
      </c>
      <c r="N1517" s="7"/>
      <c r="O1517" s="132"/>
      <c r="P1517" s="175"/>
      <c r="V1517" s="207"/>
    </row>
    <row r="1518" spans="1:22" ht="15" customHeight="1">
      <c r="A1518" s="3">
        <v>37992</v>
      </c>
      <c r="B1518" s="9">
        <v>5425</v>
      </c>
      <c r="C1518" s="5">
        <v>88375</v>
      </c>
      <c r="D1518" s="5" t="e">
        <f>E1518-(#REF!+C1518)</f>
        <v>#REF!</v>
      </c>
      <c r="E1518" s="5">
        <v>107000</v>
      </c>
      <c r="K1518" s="22">
        <v>761</v>
      </c>
      <c r="L1518" s="6">
        <v>754</v>
      </c>
      <c r="M1518" s="125">
        <f t="shared" si="24"/>
        <v>-7</v>
      </c>
      <c r="N1518" s="7"/>
      <c r="O1518" s="132"/>
      <c r="P1518" s="175"/>
      <c r="V1518" s="207"/>
    </row>
    <row r="1519" spans="1:22" ht="15" customHeight="1">
      <c r="A1519" s="3">
        <v>37993</v>
      </c>
      <c r="B1519" s="9">
        <v>5425</v>
      </c>
      <c r="C1519" s="5">
        <v>87850</v>
      </c>
      <c r="D1519" s="5" t="e">
        <f>E1519-(#REF!+C1519)</f>
        <v>#REF!</v>
      </c>
      <c r="E1519" s="5">
        <v>106375</v>
      </c>
      <c r="K1519" s="22">
        <v>732</v>
      </c>
      <c r="L1519" s="6">
        <v>724</v>
      </c>
      <c r="M1519" s="125">
        <f t="shared" si="24"/>
        <v>-8</v>
      </c>
      <c r="N1519" s="7"/>
      <c r="O1519" s="132"/>
      <c r="P1519" s="175"/>
      <c r="V1519" s="207"/>
    </row>
    <row r="1520" spans="1:22" ht="15" customHeight="1">
      <c r="A1520" s="3">
        <v>37994</v>
      </c>
      <c r="B1520" s="9">
        <v>5325</v>
      </c>
      <c r="C1520" s="5">
        <v>87200</v>
      </c>
      <c r="D1520" s="5" t="e">
        <f>E1520-(#REF!+C1520)</f>
        <v>#REF!</v>
      </c>
      <c r="E1520" s="5">
        <v>105625</v>
      </c>
      <c r="K1520" s="22">
        <v>730</v>
      </c>
      <c r="L1520" s="6">
        <v>717</v>
      </c>
      <c r="M1520" s="125">
        <f t="shared" si="24"/>
        <v>-13</v>
      </c>
      <c r="N1520" s="7"/>
      <c r="O1520" s="132"/>
      <c r="P1520" s="175"/>
      <c r="V1520" s="207"/>
    </row>
    <row r="1521" spans="1:22" ht="15" customHeight="1">
      <c r="A1521" s="3">
        <v>37995</v>
      </c>
      <c r="B1521" s="9">
        <v>5325</v>
      </c>
      <c r="C1521" s="5">
        <v>86700</v>
      </c>
      <c r="D1521" s="5" t="e">
        <f>E1521-(#REF!+C1521)</f>
        <v>#REF!</v>
      </c>
      <c r="E1521" s="5">
        <v>105125</v>
      </c>
      <c r="K1521" s="22">
        <v>751.5</v>
      </c>
      <c r="L1521" s="6">
        <v>743</v>
      </c>
      <c r="M1521" s="125">
        <f t="shared" si="24"/>
        <v>-8.5</v>
      </c>
      <c r="N1521" s="7"/>
      <c r="O1521" s="132"/>
      <c r="P1521" s="175"/>
      <c r="V1521" s="207"/>
    </row>
    <row r="1522" spans="1:22" ht="15" customHeight="1">
      <c r="A1522" s="3">
        <v>37998</v>
      </c>
      <c r="B1522" s="9">
        <v>4825</v>
      </c>
      <c r="C1522" s="5">
        <v>86200</v>
      </c>
      <c r="D1522" s="5" t="e">
        <f>E1522-(#REF!+C1522)</f>
        <v>#REF!</v>
      </c>
      <c r="E1522" s="5">
        <v>104125</v>
      </c>
      <c r="K1522" s="22">
        <v>759.5</v>
      </c>
      <c r="L1522" s="6">
        <v>747</v>
      </c>
      <c r="M1522" s="125">
        <f t="shared" si="24"/>
        <v>-12.5</v>
      </c>
      <c r="N1522" s="7"/>
      <c r="O1522" s="132"/>
      <c r="P1522" s="175"/>
      <c r="V1522" s="207"/>
    </row>
    <row r="1523" spans="1:22" ht="15" customHeight="1">
      <c r="A1523" s="3">
        <v>37999</v>
      </c>
      <c r="B1523" s="9">
        <v>4825</v>
      </c>
      <c r="C1523" s="5">
        <v>85225</v>
      </c>
      <c r="D1523" s="5" t="e">
        <f>E1523-(#REF!+C1523)</f>
        <v>#REF!</v>
      </c>
      <c r="E1523" s="5">
        <v>103150</v>
      </c>
      <c r="K1523" s="22">
        <v>757</v>
      </c>
      <c r="L1523" s="6">
        <v>744</v>
      </c>
      <c r="M1523" s="125">
        <f t="shared" si="24"/>
        <v>-13</v>
      </c>
      <c r="N1523" s="7"/>
      <c r="O1523" s="132"/>
      <c r="P1523" s="175"/>
      <c r="V1523" s="207"/>
    </row>
    <row r="1524" spans="1:22" ht="15" customHeight="1">
      <c r="A1524" s="3">
        <v>38000</v>
      </c>
      <c r="B1524" s="9">
        <v>4825</v>
      </c>
      <c r="C1524" s="5">
        <v>84425</v>
      </c>
      <c r="D1524" s="5" t="e">
        <f>E1524-(#REF!+C1524)</f>
        <v>#REF!</v>
      </c>
      <c r="E1524" s="5">
        <v>102350</v>
      </c>
      <c r="K1524" s="22">
        <v>739</v>
      </c>
      <c r="L1524" s="6">
        <v>727</v>
      </c>
      <c r="M1524" s="125">
        <f t="shared" si="24"/>
        <v>-12</v>
      </c>
      <c r="N1524" s="7"/>
      <c r="O1524" s="132"/>
      <c r="P1524" s="175"/>
      <c r="V1524" s="207"/>
    </row>
    <row r="1525" spans="1:22" ht="15" customHeight="1">
      <c r="A1525" s="3">
        <v>38001</v>
      </c>
      <c r="B1525" s="9">
        <v>4725</v>
      </c>
      <c r="C1525" s="5">
        <v>83400</v>
      </c>
      <c r="D1525" s="5" t="e">
        <f>E1525-(#REF!+C1525)</f>
        <v>#REF!</v>
      </c>
      <c r="E1525" s="5">
        <v>101225</v>
      </c>
      <c r="K1525" s="22">
        <v>748</v>
      </c>
      <c r="L1525" s="6">
        <v>738</v>
      </c>
      <c r="M1525" s="125">
        <f t="shared" si="24"/>
        <v>-10</v>
      </c>
      <c r="N1525" s="7"/>
      <c r="O1525" s="132"/>
      <c r="P1525" s="175"/>
      <c r="V1525" s="207"/>
    </row>
    <row r="1526" spans="1:22" ht="15" customHeight="1">
      <c r="A1526" s="3">
        <v>38002</v>
      </c>
      <c r="B1526" s="9">
        <v>4400</v>
      </c>
      <c r="C1526" s="5">
        <v>82200</v>
      </c>
      <c r="D1526" s="5" t="e">
        <f>E1526-(#REF!+C1526)</f>
        <v>#REF!</v>
      </c>
      <c r="E1526" s="5">
        <v>99700</v>
      </c>
      <c r="K1526" s="22">
        <v>746</v>
      </c>
      <c r="L1526" s="6">
        <v>731</v>
      </c>
      <c r="M1526" s="125">
        <f t="shared" si="24"/>
        <v>-15</v>
      </c>
      <c r="N1526" s="7"/>
      <c r="O1526" s="132"/>
      <c r="P1526" s="175"/>
      <c r="V1526" s="207"/>
    </row>
    <row r="1527" spans="1:22" ht="15" customHeight="1">
      <c r="A1527" s="3">
        <v>38005</v>
      </c>
      <c r="B1527" s="9">
        <v>2900</v>
      </c>
      <c r="C1527" s="5">
        <v>81500</v>
      </c>
      <c r="D1527" s="5" t="e">
        <f>E1527-(#REF!+C1527)</f>
        <v>#REF!</v>
      </c>
      <c r="E1527" s="5">
        <v>97500</v>
      </c>
      <c r="K1527" s="22">
        <v>756</v>
      </c>
      <c r="L1527" s="6">
        <v>738</v>
      </c>
      <c r="M1527" s="125">
        <f t="shared" ref="M1527:M1590" si="25">L1527-K1527</f>
        <v>-18</v>
      </c>
      <c r="N1527" s="7"/>
      <c r="O1527" s="132"/>
      <c r="P1527" s="175"/>
      <c r="V1527" s="207"/>
    </row>
    <row r="1528" spans="1:22" ht="15" customHeight="1">
      <c r="A1528" s="3">
        <v>38006</v>
      </c>
      <c r="B1528" s="9">
        <v>2800</v>
      </c>
      <c r="C1528" s="5">
        <v>80700</v>
      </c>
      <c r="D1528" s="5" t="e">
        <f>E1528-(#REF!+C1528)</f>
        <v>#REF!</v>
      </c>
      <c r="E1528" s="5">
        <v>96600</v>
      </c>
      <c r="K1528" s="22">
        <v>752</v>
      </c>
      <c r="L1528" s="6">
        <v>735</v>
      </c>
      <c r="M1528" s="125">
        <f t="shared" si="25"/>
        <v>-17</v>
      </c>
      <c r="N1528" s="7"/>
      <c r="O1528" s="132"/>
      <c r="P1528" s="175"/>
      <c r="V1528" s="207"/>
    </row>
    <row r="1529" spans="1:22" ht="15" customHeight="1">
      <c r="A1529" s="3">
        <v>38007</v>
      </c>
      <c r="B1529" s="9">
        <v>2800</v>
      </c>
      <c r="C1529" s="5">
        <v>80300</v>
      </c>
      <c r="D1529" s="5" t="e">
        <f>E1529-(#REF!+C1529)</f>
        <v>#REF!</v>
      </c>
      <c r="E1529" s="5">
        <v>96200</v>
      </c>
      <c r="K1529" s="22">
        <v>754.5</v>
      </c>
      <c r="L1529" s="6">
        <v>743.5</v>
      </c>
      <c r="M1529" s="125">
        <f t="shared" si="25"/>
        <v>-11</v>
      </c>
      <c r="N1529" s="7"/>
      <c r="O1529" s="132"/>
      <c r="P1529" s="175"/>
      <c r="V1529" s="207"/>
    </row>
    <row r="1530" spans="1:22" ht="15" customHeight="1">
      <c r="A1530" s="3">
        <v>38008</v>
      </c>
      <c r="B1530" s="9">
        <v>2600</v>
      </c>
      <c r="C1530" s="5">
        <v>79300</v>
      </c>
      <c r="D1530" s="5" t="e">
        <f>E1530-(#REF!+C1530)</f>
        <v>#REF!</v>
      </c>
      <c r="E1530" s="5">
        <v>95000</v>
      </c>
      <c r="K1530" s="22">
        <v>780</v>
      </c>
      <c r="L1530" s="6">
        <v>765</v>
      </c>
      <c r="M1530" s="125">
        <f t="shared" si="25"/>
        <v>-15</v>
      </c>
      <c r="N1530" s="7"/>
      <c r="O1530" s="132"/>
      <c r="P1530" s="175"/>
      <c r="V1530" s="207"/>
    </row>
    <row r="1531" spans="1:22" ht="15" customHeight="1">
      <c r="A1531" s="3">
        <v>38009</v>
      </c>
      <c r="B1531" s="9">
        <v>2600</v>
      </c>
      <c r="C1531" s="5">
        <v>77975</v>
      </c>
      <c r="D1531" s="5" t="e">
        <f>E1531-(#REF!+C1531)</f>
        <v>#REF!</v>
      </c>
      <c r="E1531" s="5">
        <v>93675</v>
      </c>
      <c r="K1531" s="22">
        <v>773</v>
      </c>
      <c r="L1531" s="6">
        <v>754</v>
      </c>
      <c r="M1531" s="125">
        <f t="shared" si="25"/>
        <v>-19</v>
      </c>
      <c r="N1531" s="7"/>
      <c r="O1531" s="132"/>
      <c r="P1531" s="175"/>
      <c r="V1531" s="207"/>
    </row>
    <row r="1532" spans="1:22" ht="15" customHeight="1">
      <c r="A1532" s="3">
        <v>38012</v>
      </c>
      <c r="B1532" s="9">
        <v>2600</v>
      </c>
      <c r="C1532" s="5">
        <v>76225</v>
      </c>
      <c r="D1532" s="5" t="e">
        <f>E1532-(#REF!+C1532)</f>
        <v>#REF!</v>
      </c>
      <c r="E1532" s="5">
        <v>91925</v>
      </c>
      <c r="K1532" s="22">
        <v>759</v>
      </c>
      <c r="L1532" s="6">
        <v>754</v>
      </c>
      <c r="M1532" s="125">
        <f t="shared" si="25"/>
        <v>-5</v>
      </c>
      <c r="N1532" s="7"/>
      <c r="O1532" s="132"/>
      <c r="P1532" s="175"/>
      <c r="V1532" s="207"/>
    </row>
    <row r="1533" spans="1:22" ht="15" customHeight="1">
      <c r="A1533" s="3">
        <v>38013</v>
      </c>
      <c r="B1533" s="9">
        <v>2600</v>
      </c>
      <c r="C1533" s="5">
        <v>75600</v>
      </c>
      <c r="D1533" s="5" t="e">
        <f>E1533-(#REF!+C1533)</f>
        <v>#REF!</v>
      </c>
      <c r="E1533" s="5">
        <v>91300</v>
      </c>
      <c r="K1533" s="22">
        <v>761</v>
      </c>
      <c r="L1533" s="6">
        <v>750</v>
      </c>
      <c r="M1533" s="125">
        <f t="shared" si="25"/>
        <v>-11</v>
      </c>
      <c r="N1533" s="7"/>
      <c r="O1533" s="132"/>
      <c r="P1533" s="175"/>
      <c r="V1533" s="207"/>
    </row>
    <row r="1534" spans="1:22" ht="15" customHeight="1">
      <c r="A1534" s="3">
        <v>38014</v>
      </c>
      <c r="B1534" s="9">
        <v>2600</v>
      </c>
      <c r="C1534" s="5">
        <v>75225</v>
      </c>
      <c r="D1534" s="5" t="e">
        <f>E1534-(#REF!+C1534)</f>
        <v>#REF!</v>
      </c>
      <c r="E1534" s="5">
        <v>90925</v>
      </c>
      <c r="K1534" s="22">
        <v>771</v>
      </c>
      <c r="L1534" s="6">
        <v>758</v>
      </c>
      <c r="M1534" s="125">
        <f t="shared" si="25"/>
        <v>-13</v>
      </c>
      <c r="N1534" s="7"/>
      <c r="O1534" s="132"/>
      <c r="P1534" s="175"/>
      <c r="V1534" s="207"/>
    </row>
    <row r="1535" spans="1:22" ht="15" customHeight="1">
      <c r="A1535" s="3">
        <v>38015</v>
      </c>
      <c r="B1535" s="9">
        <v>2600</v>
      </c>
      <c r="C1535" s="5">
        <v>74900</v>
      </c>
      <c r="D1535" s="5" t="e">
        <f>E1535-(#REF!+C1535)</f>
        <v>#REF!</v>
      </c>
      <c r="E1535" s="5">
        <v>90600</v>
      </c>
      <c r="K1535" s="22">
        <v>812</v>
      </c>
      <c r="L1535" s="6">
        <v>770</v>
      </c>
      <c r="M1535" s="125">
        <f t="shared" si="25"/>
        <v>-42</v>
      </c>
      <c r="N1535" s="7"/>
      <c r="O1535" s="132"/>
      <c r="P1535" s="175"/>
      <c r="V1535" s="207"/>
    </row>
    <row r="1536" spans="1:22" ht="15" customHeight="1">
      <c r="A1536" s="3">
        <v>38016</v>
      </c>
      <c r="B1536" s="9">
        <v>1500</v>
      </c>
      <c r="C1536" s="5">
        <v>74475</v>
      </c>
      <c r="D1536" s="5" t="e">
        <f>E1536-(#REF!+C1536)</f>
        <v>#REF!</v>
      </c>
      <c r="E1536" s="5">
        <v>89075</v>
      </c>
      <c r="K1536" s="22">
        <v>787</v>
      </c>
      <c r="L1536" s="6">
        <v>767</v>
      </c>
      <c r="M1536" s="125">
        <f t="shared" si="25"/>
        <v>-20</v>
      </c>
      <c r="N1536" s="7"/>
      <c r="O1536" s="132"/>
      <c r="P1536" s="175"/>
      <c r="V1536" s="207"/>
    </row>
    <row r="1537" spans="1:22" ht="15" customHeight="1">
      <c r="A1537" s="3">
        <v>38019</v>
      </c>
      <c r="B1537" s="9">
        <v>1500</v>
      </c>
      <c r="C1537" s="5">
        <v>73900</v>
      </c>
      <c r="D1537" s="5" t="e">
        <f>E1537-(#REF!+C1537)</f>
        <v>#REF!</v>
      </c>
      <c r="E1537" s="5">
        <v>88475</v>
      </c>
      <c r="K1537" s="22">
        <v>832</v>
      </c>
      <c r="L1537" s="6">
        <v>795</v>
      </c>
      <c r="M1537" s="125">
        <f t="shared" si="25"/>
        <v>-37</v>
      </c>
      <c r="N1537" s="7"/>
      <c r="O1537" s="132"/>
      <c r="P1537" s="175"/>
      <c r="V1537" s="207"/>
    </row>
    <row r="1538" spans="1:22" ht="15" customHeight="1">
      <c r="A1538" s="3">
        <v>38020</v>
      </c>
      <c r="B1538" s="9">
        <v>1500</v>
      </c>
      <c r="C1538" s="5">
        <v>73400</v>
      </c>
      <c r="D1538" s="5" t="e">
        <f>E1538-(#REF!+C1538)</f>
        <v>#REF!</v>
      </c>
      <c r="E1538" s="5">
        <v>87975</v>
      </c>
      <c r="K1538" s="22">
        <v>805</v>
      </c>
      <c r="L1538" s="6">
        <v>788</v>
      </c>
      <c r="M1538" s="125">
        <f t="shared" si="25"/>
        <v>-17</v>
      </c>
      <c r="N1538" s="7"/>
      <c r="O1538" s="132"/>
      <c r="P1538" s="175"/>
      <c r="V1538" s="207"/>
    </row>
    <row r="1539" spans="1:22" ht="15" customHeight="1">
      <c r="A1539" s="3">
        <v>38021</v>
      </c>
      <c r="B1539" s="9">
        <v>1475</v>
      </c>
      <c r="C1539" s="5">
        <v>72675</v>
      </c>
      <c r="D1539" s="5" t="e">
        <f>E1539-(#REF!+C1539)</f>
        <v>#REF!</v>
      </c>
      <c r="E1539" s="5">
        <v>87225</v>
      </c>
      <c r="K1539" s="22">
        <v>830</v>
      </c>
      <c r="L1539" s="6">
        <v>807</v>
      </c>
      <c r="M1539" s="125">
        <f t="shared" si="25"/>
        <v>-23</v>
      </c>
      <c r="N1539" s="7"/>
      <c r="O1539" s="132"/>
      <c r="P1539" s="175"/>
      <c r="V1539" s="207"/>
    </row>
    <row r="1540" spans="1:22" ht="15" customHeight="1">
      <c r="A1540" s="3">
        <v>38022</v>
      </c>
      <c r="B1540" s="9">
        <v>1075</v>
      </c>
      <c r="C1540" s="5">
        <v>72100</v>
      </c>
      <c r="D1540" s="5" t="e">
        <f>E1540-(#REF!+C1540)</f>
        <v>#REF!</v>
      </c>
      <c r="E1540" s="5">
        <v>86200</v>
      </c>
      <c r="K1540" s="22">
        <v>849</v>
      </c>
      <c r="L1540" s="6">
        <v>820</v>
      </c>
      <c r="M1540" s="125">
        <f t="shared" si="25"/>
        <v>-29</v>
      </c>
      <c r="N1540" s="7"/>
      <c r="O1540" s="132"/>
      <c r="P1540" s="175"/>
      <c r="V1540" s="207"/>
    </row>
    <row r="1541" spans="1:22" ht="15" customHeight="1">
      <c r="A1541" s="3">
        <v>38023</v>
      </c>
      <c r="B1541" s="9">
        <v>1075</v>
      </c>
      <c r="C1541" s="5">
        <v>71375</v>
      </c>
      <c r="D1541" s="5" t="e">
        <f>E1541-(#REF!+C1541)</f>
        <v>#REF!</v>
      </c>
      <c r="E1541" s="5">
        <v>85275</v>
      </c>
      <c r="K1541" s="22">
        <v>837</v>
      </c>
      <c r="L1541" s="6">
        <v>806</v>
      </c>
      <c r="M1541" s="125">
        <f t="shared" si="25"/>
        <v>-31</v>
      </c>
      <c r="N1541" s="7"/>
      <c r="O1541" s="132"/>
      <c r="P1541" s="175"/>
      <c r="V1541" s="207"/>
    </row>
    <row r="1542" spans="1:22" ht="15" customHeight="1">
      <c r="A1542" s="3">
        <v>38026</v>
      </c>
      <c r="B1542" s="9">
        <v>375</v>
      </c>
      <c r="C1542" s="5">
        <v>70525</v>
      </c>
      <c r="D1542" s="5" t="e">
        <f>E1542-(#REF!+C1542)</f>
        <v>#REF!</v>
      </c>
      <c r="E1542" s="5">
        <v>83725</v>
      </c>
      <c r="K1542" s="22">
        <v>870</v>
      </c>
      <c r="L1542" s="6">
        <v>835</v>
      </c>
      <c r="M1542" s="125">
        <f t="shared" si="25"/>
        <v>-35</v>
      </c>
      <c r="N1542" s="7"/>
      <c r="O1542" s="132"/>
      <c r="P1542" s="175"/>
      <c r="V1542" s="207"/>
    </row>
    <row r="1543" spans="1:22" ht="15" customHeight="1">
      <c r="A1543" s="3">
        <v>38027</v>
      </c>
      <c r="B1543" s="9">
        <v>375</v>
      </c>
      <c r="C1543" s="5">
        <v>70825</v>
      </c>
      <c r="D1543" s="5" t="e">
        <f>E1543-(#REF!+C1543)</f>
        <v>#REF!</v>
      </c>
      <c r="E1543" s="5">
        <v>83975</v>
      </c>
      <c r="K1543" s="22">
        <v>875</v>
      </c>
      <c r="L1543" s="6">
        <v>835</v>
      </c>
      <c r="M1543" s="125">
        <f t="shared" si="25"/>
        <v>-40</v>
      </c>
      <c r="N1543" s="7"/>
      <c r="O1543" s="132"/>
      <c r="P1543" s="175"/>
      <c r="V1543" s="207"/>
    </row>
    <row r="1544" spans="1:22" ht="15" customHeight="1">
      <c r="A1544" s="3">
        <v>38028</v>
      </c>
      <c r="B1544" s="9">
        <v>275</v>
      </c>
      <c r="C1544" s="5">
        <v>69900</v>
      </c>
      <c r="D1544" s="5" t="e">
        <f>E1544-(#REF!+C1544)</f>
        <v>#REF!</v>
      </c>
      <c r="E1544" s="5">
        <v>82950</v>
      </c>
      <c r="K1544" s="22">
        <v>864.5</v>
      </c>
      <c r="L1544" s="6">
        <v>828</v>
      </c>
      <c r="M1544" s="125">
        <f t="shared" si="25"/>
        <v>-36.5</v>
      </c>
      <c r="N1544" s="7"/>
      <c r="O1544" s="132"/>
      <c r="P1544" s="175"/>
      <c r="V1544" s="207"/>
    </row>
    <row r="1545" spans="1:22" ht="15" customHeight="1">
      <c r="A1545" s="3">
        <v>38029</v>
      </c>
      <c r="B1545" s="9">
        <v>275</v>
      </c>
      <c r="C1545" s="5">
        <v>69350</v>
      </c>
      <c r="D1545" s="5" t="e">
        <f>E1545-(#REF!+C1545)</f>
        <v>#REF!</v>
      </c>
      <c r="E1545" s="5">
        <v>82400</v>
      </c>
      <c r="K1545" s="22">
        <v>884</v>
      </c>
      <c r="L1545" s="6">
        <v>850</v>
      </c>
      <c r="M1545" s="125">
        <f t="shared" si="25"/>
        <v>-34</v>
      </c>
      <c r="N1545" s="7"/>
      <c r="O1545" s="132"/>
      <c r="P1545" s="175"/>
      <c r="V1545" s="207"/>
    </row>
    <row r="1546" spans="1:22" ht="15" customHeight="1">
      <c r="A1546" s="3">
        <v>38030</v>
      </c>
      <c r="B1546" s="9">
        <v>250</v>
      </c>
      <c r="C1546" s="5">
        <v>68950</v>
      </c>
      <c r="D1546" s="5" t="e">
        <f>E1546-(#REF!+C1546)</f>
        <v>#REF!</v>
      </c>
      <c r="E1546" s="5">
        <v>81950</v>
      </c>
      <c r="K1546" s="22">
        <v>878</v>
      </c>
      <c r="L1546" s="6">
        <v>854</v>
      </c>
      <c r="M1546" s="125">
        <f t="shared" si="25"/>
        <v>-24</v>
      </c>
      <c r="N1546" s="7"/>
      <c r="O1546" s="132"/>
      <c r="P1546" s="175"/>
      <c r="V1546" s="207"/>
    </row>
    <row r="1547" spans="1:22" ht="15" customHeight="1">
      <c r="A1547" s="3">
        <v>38033</v>
      </c>
      <c r="B1547" s="9">
        <v>250</v>
      </c>
      <c r="C1547" s="5">
        <v>68800</v>
      </c>
      <c r="D1547" s="5" t="e">
        <f>E1547-(#REF!+C1547)</f>
        <v>#REF!</v>
      </c>
      <c r="E1547" s="5">
        <v>81800</v>
      </c>
      <c r="K1547" s="22">
        <v>895</v>
      </c>
      <c r="L1547" s="6">
        <v>865</v>
      </c>
      <c r="M1547" s="125">
        <f t="shared" si="25"/>
        <v>-30</v>
      </c>
      <c r="N1547" s="7"/>
      <c r="O1547" s="132"/>
      <c r="P1547" s="175"/>
      <c r="V1547" s="207"/>
    </row>
    <row r="1548" spans="1:22" ht="15" customHeight="1">
      <c r="A1548" s="3">
        <v>38034</v>
      </c>
      <c r="B1548" s="9">
        <v>250</v>
      </c>
      <c r="C1548" s="5">
        <v>68425</v>
      </c>
      <c r="D1548" s="5" t="e">
        <f>E1548-(#REF!+C1548)</f>
        <v>#REF!</v>
      </c>
      <c r="E1548" s="5">
        <v>81425</v>
      </c>
      <c r="K1548" s="22">
        <v>927</v>
      </c>
      <c r="L1548" s="6">
        <v>897</v>
      </c>
      <c r="M1548" s="125">
        <f t="shared" si="25"/>
        <v>-30</v>
      </c>
      <c r="N1548" s="7"/>
      <c r="O1548" s="132"/>
      <c r="P1548" s="175"/>
      <c r="V1548" s="207"/>
    </row>
    <row r="1549" spans="1:22" ht="15" customHeight="1">
      <c r="A1549" s="3">
        <v>38035</v>
      </c>
      <c r="B1549" s="9">
        <v>250</v>
      </c>
      <c r="C1549" s="5">
        <v>68150</v>
      </c>
      <c r="D1549" s="5" t="e">
        <f>E1549-(#REF!+C1549)</f>
        <v>#REF!</v>
      </c>
      <c r="E1549" s="5">
        <v>81150</v>
      </c>
      <c r="K1549" s="22">
        <v>971</v>
      </c>
      <c r="L1549" s="6">
        <v>933</v>
      </c>
      <c r="M1549" s="125">
        <f t="shared" si="25"/>
        <v>-38</v>
      </c>
      <c r="N1549" s="7"/>
      <c r="O1549" s="132"/>
      <c r="P1549" s="175"/>
      <c r="V1549" s="207"/>
    </row>
    <row r="1550" spans="1:22" ht="15" customHeight="1">
      <c r="A1550" s="3">
        <v>38036</v>
      </c>
      <c r="B1550" s="9">
        <v>250</v>
      </c>
      <c r="C1550" s="5">
        <v>67125</v>
      </c>
      <c r="D1550" s="5" t="e">
        <f>E1550-(#REF!+C1550)</f>
        <v>#REF!</v>
      </c>
      <c r="E1550" s="5">
        <v>80125</v>
      </c>
      <c r="K1550" s="22">
        <v>909</v>
      </c>
      <c r="L1550" s="6">
        <v>880</v>
      </c>
      <c r="M1550" s="125">
        <f t="shared" si="25"/>
        <v>-29</v>
      </c>
      <c r="N1550" s="7"/>
      <c r="O1550" s="132"/>
      <c r="P1550" s="175"/>
      <c r="V1550" s="207"/>
    </row>
    <row r="1551" spans="1:22" ht="15" customHeight="1">
      <c r="A1551" s="3">
        <v>38037</v>
      </c>
      <c r="B1551" s="9">
        <v>300</v>
      </c>
      <c r="C1551" s="5">
        <v>66300</v>
      </c>
      <c r="D1551" s="5" t="e">
        <f>E1551-(#REF!+C1551)</f>
        <v>#REF!</v>
      </c>
      <c r="E1551" s="5">
        <v>79350</v>
      </c>
      <c r="K1551" s="22">
        <v>911</v>
      </c>
      <c r="L1551" s="6">
        <v>876</v>
      </c>
      <c r="M1551" s="125">
        <f t="shared" si="25"/>
        <v>-35</v>
      </c>
      <c r="N1551" s="7"/>
      <c r="O1551" s="132"/>
      <c r="P1551" s="175"/>
      <c r="V1551" s="207"/>
    </row>
    <row r="1552" spans="1:22" ht="15" customHeight="1">
      <c r="A1552" s="3">
        <v>38040</v>
      </c>
      <c r="B1552" s="9">
        <v>300</v>
      </c>
      <c r="C1552" s="5">
        <v>65300</v>
      </c>
      <c r="D1552" s="5" t="e">
        <f>E1552-(#REF!+C1552)</f>
        <v>#REF!</v>
      </c>
      <c r="E1552" s="5">
        <v>78350</v>
      </c>
      <c r="K1552" s="22">
        <v>865</v>
      </c>
      <c r="L1552" s="6">
        <v>834.5</v>
      </c>
      <c r="M1552" s="125">
        <f t="shared" si="25"/>
        <v>-30.5</v>
      </c>
      <c r="N1552" s="7"/>
      <c r="O1552" s="132"/>
      <c r="P1552" s="175"/>
      <c r="V1552" s="207"/>
    </row>
    <row r="1553" spans="1:22" ht="15" customHeight="1">
      <c r="A1553" s="3">
        <v>38041</v>
      </c>
      <c r="B1553" s="9">
        <v>300</v>
      </c>
      <c r="C1553" s="5">
        <v>64675</v>
      </c>
      <c r="D1553" s="5" t="e">
        <f>E1553-(#REF!+C1553)</f>
        <v>#REF!</v>
      </c>
      <c r="E1553" s="5">
        <v>77725</v>
      </c>
      <c r="K1553" s="22">
        <v>910</v>
      </c>
      <c r="L1553" s="6">
        <v>874</v>
      </c>
      <c r="M1553" s="125">
        <f t="shared" si="25"/>
        <v>-36</v>
      </c>
      <c r="N1553" s="7"/>
      <c r="O1553" s="132"/>
      <c r="P1553" s="175"/>
      <c r="V1553" s="207"/>
    </row>
    <row r="1554" spans="1:22" ht="15" customHeight="1">
      <c r="A1554" s="3">
        <v>38042</v>
      </c>
      <c r="B1554" s="9">
        <v>300</v>
      </c>
      <c r="C1554" s="5">
        <v>64375</v>
      </c>
      <c r="D1554" s="5" t="e">
        <f>E1554-(#REF!+C1554)</f>
        <v>#REF!</v>
      </c>
      <c r="E1554" s="5">
        <v>77425</v>
      </c>
      <c r="K1554" s="22">
        <v>952</v>
      </c>
      <c r="L1554" s="6">
        <v>890</v>
      </c>
      <c r="M1554" s="125">
        <f t="shared" si="25"/>
        <v>-62</v>
      </c>
      <c r="N1554" s="7"/>
      <c r="O1554" s="132"/>
      <c r="P1554" s="175"/>
      <c r="V1554" s="207"/>
    </row>
    <row r="1555" spans="1:22" ht="15" customHeight="1">
      <c r="A1555" s="3">
        <v>38043</v>
      </c>
      <c r="B1555" s="9">
        <v>300</v>
      </c>
      <c r="C1555" s="5">
        <v>64100</v>
      </c>
      <c r="D1555" s="5" t="e">
        <f>E1555-(#REF!+C1555)</f>
        <v>#REF!</v>
      </c>
      <c r="E1555" s="5">
        <v>77150</v>
      </c>
      <c r="K1555" s="22">
        <v>960</v>
      </c>
      <c r="L1555" s="6">
        <v>890.5</v>
      </c>
      <c r="M1555" s="125">
        <f t="shared" si="25"/>
        <v>-69.5</v>
      </c>
      <c r="N1555" s="7"/>
      <c r="O1555" s="132"/>
      <c r="P1555" s="175"/>
      <c r="V1555" s="207"/>
    </row>
    <row r="1556" spans="1:22" ht="15" customHeight="1">
      <c r="A1556" s="3">
        <v>38044</v>
      </c>
      <c r="B1556" s="9">
        <v>300</v>
      </c>
      <c r="C1556" s="5">
        <v>63725</v>
      </c>
      <c r="D1556" s="5" t="e">
        <f>E1556-(#REF!+C1556)</f>
        <v>#REF!</v>
      </c>
      <c r="E1556" s="5">
        <v>76775</v>
      </c>
      <c r="K1556" s="22">
        <v>945</v>
      </c>
      <c r="L1556" s="6">
        <v>889</v>
      </c>
      <c r="M1556" s="125">
        <f t="shared" si="25"/>
        <v>-56</v>
      </c>
      <c r="N1556" s="7"/>
      <c r="O1556" s="132"/>
      <c r="P1556" s="175"/>
      <c r="V1556" s="207"/>
    </row>
    <row r="1557" spans="1:22" ht="15" customHeight="1">
      <c r="A1557" s="3">
        <v>38047</v>
      </c>
      <c r="B1557" s="9">
        <v>300</v>
      </c>
      <c r="C1557" s="5">
        <v>63500</v>
      </c>
      <c r="D1557" s="5" t="e">
        <f>E1557-(#REF!+C1557)</f>
        <v>#REF!</v>
      </c>
      <c r="E1557" s="5">
        <v>76550</v>
      </c>
      <c r="K1557" s="22">
        <v>975</v>
      </c>
      <c r="L1557" s="6">
        <v>926</v>
      </c>
      <c r="M1557" s="125">
        <f t="shared" si="25"/>
        <v>-49</v>
      </c>
      <c r="N1557" s="7"/>
      <c r="O1557" s="132"/>
      <c r="P1557" s="175"/>
      <c r="V1557" s="207"/>
    </row>
    <row r="1558" spans="1:22" ht="15" customHeight="1">
      <c r="A1558" s="3">
        <v>38048</v>
      </c>
      <c r="B1558" s="9">
        <v>300</v>
      </c>
      <c r="C1558" s="5">
        <v>63275</v>
      </c>
      <c r="D1558" s="5" t="e">
        <f>E1558-(#REF!+C1558)</f>
        <v>#REF!</v>
      </c>
      <c r="E1558" s="5">
        <v>76325</v>
      </c>
      <c r="K1558" s="22">
        <v>950</v>
      </c>
      <c r="L1558" s="6">
        <v>903</v>
      </c>
      <c r="M1558" s="125">
        <f t="shared" si="25"/>
        <v>-47</v>
      </c>
      <c r="N1558" s="7"/>
      <c r="O1558" s="132"/>
      <c r="P1558" s="175"/>
      <c r="V1558" s="207"/>
    </row>
    <row r="1559" spans="1:22" ht="15" customHeight="1">
      <c r="A1559" s="3">
        <v>38049</v>
      </c>
      <c r="B1559" s="9">
        <v>300</v>
      </c>
      <c r="C1559" s="5">
        <v>63025</v>
      </c>
      <c r="D1559" s="5" t="e">
        <f>E1559-(#REF!+C1559)</f>
        <v>#REF!</v>
      </c>
      <c r="E1559" s="5">
        <v>76075</v>
      </c>
      <c r="K1559" s="22">
        <v>923</v>
      </c>
      <c r="L1559" s="6">
        <v>883</v>
      </c>
      <c r="M1559" s="125">
        <f t="shared" si="25"/>
        <v>-40</v>
      </c>
      <c r="N1559" s="7"/>
      <c r="O1559" s="132"/>
      <c r="P1559" s="175"/>
      <c r="V1559" s="207"/>
    </row>
    <row r="1560" spans="1:22" ht="15" customHeight="1">
      <c r="A1560" s="3">
        <v>38050</v>
      </c>
      <c r="B1560" s="9">
        <v>300</v>
      </c>
      <c r="C1560" s="5">
        <v>62800</v>
      </c>
      <c r="D1560" s="5" t="e">
        <f>E1560-(#REF!+C1560)</f>
        <v>#REF!</v>
      </c>
      <c r="E1560" s="5">
        <v>75850</v>
      </c>
      <c r="K1560" s="22">
        <v>907</v>
      </c>
      <c r="L1560" s="6">
        <v>843</v>
      </c>
      <c r="M1560" s="125">
        <f t="shared" si="25"/>
        <v>-64</v>
      </c>
      <c r="N1560" s="7"/>
      <c r="O1560" s="132"/>
      <c r="P1560" s="175"/>
      <c r="V1560" s="207"/>
    </row>
    <row r="1561" spans="1:22" ht="15" customHeight="1">
      <c r="A1561" s="3">
        <v>38053</v>
      </c>
      <c r="B1561" s="9">
        <v>300</v>
      </c>
      <c r="C1561" s="5">
        <v>62425</v>
      </c>
      <c r="D1561" s="5" t="e">
        <f>E1561-(#REF!+C1561)</f>
        <v>#REF!</v>
      </c>
      <c r="E1561" s="5">
        <v>75475</v>
      </c>
      <c r="K1561" s="22">
        <v>905</v>
      </c>
      <c r="L1561" s="6">
        <v>842</v>
      </c>
      <c r="M1561" s="125">
        <f t="shared" si="25"/>
        <v>-63</v>
      </c>
      <c r="N1561" s="7"/>
      <c r="O1561" s="132"/>
      <c r="P1561" s="175"/>
      <c r="V1561" s="207"/>
    </row>
    <row r="1562" spans="1:22" ht="15" customHeight="1">
      <c r="A1562" s="3">
        <v>38054</v>
      </c>
      <c r="B1562" s="9">
        <v>300</v>
      </c>
      <c r="C1562" s="5">
        <v>62200</v>
      </c>
      <c r="D1562" s="5" t="e">
        <f>E1562-(#REF!+C1562)</f>
        <v>#REF!</v>
      </c>
      <c r="E1562" s="5">
        <v>75250</v>
      </c>
      <c r="K1562" s="22">
        <v>915</v>
      </c>
      <c r="L1562" s="6">
        <v>865</v>
      </c>
      <c r="M1562" s="125">
        <f t="shared" si="25"/>
        <v>-50</v>
      </c>
      <c r="N1562" s="7"/>
      <c r="O1562" s="132"/>
      <c r="P1562" s="175"/>
      <c r="V1562" s="207"/>
    </row>
    <row r="1563" spans="1:22" ht="15" customHeight="1">
      <c r="A1563" s="3">
        <v>38055</v>
      </c>
      <c r="B1563" s="9">
        <v>300</v>
      </c>
      <c r="C1563" s="5">
        <v>62200</v>
      </c>
      <c r="D1563" s="5" t="e">
        <f>E1563-(#REF!+C1563)</f>
        <v>#REF!</v>
      </c>
      <c r="E1563" s="5">
        <v>75050</v>
      </c>
      <c r="K1563" s="22">
        <v>868</v>
      </c>
      <c r="L1563" s="6">
        <v>827</v>
      </c>
      <c r="M1563" s="125">
        <f t="shared" si="25"/>
        <v>-41</v>
      </c>
      <c r="N1563" s="7"/>
      <c r="O1563" s="132"/>
      <c r="P1563" s="175"/>
      <c r="V1563" s="207"/>
    </row>
    <row r="1564" spans="1:22" ht="15" customHeight="1">
      <c r="A1564" s="3">
        <v>38056</v>
      </c>
      <c r="B1564" s="9">
        <v>300</v>
      </c>
      <c r="C1564" s="5">
        <v>61725</v>
      </c>
      <c r="D1564" s="5" t="e">
        <f>E1564-(#REF!+C1564)</f>
        <v>#REF!</v>
      </c>
      <c r="E1564" s="5">
        <v>74775</v>
      </c>
      <c r="K1564" s="22">
        <v>876</v>
      </c>
      <c r="L1564" s="6">
        <v>839</v>
      </c>
      <c r="M1564" s="125">
        <f t="shared" si="25"/>
        <v>-37</v>
      </c>
      <c r="N1564" s="7"/>
      <c r="O1564" s="132"/>
      <c r="P1564" s="175"/>
      <c r="V1564" s="207"/>
    </row>
    <row r="1565" spans="1:22" ht="15" customHeight="1">
      <c r="A1565" s="3">
        <v>38057</v>
      </c>
      <c r="B1565" s="9">
        <v>300</v>
      </c>
      <c r="C1565" s="5">
        <v>61500</v>
      </c>
      <c r="D1565" s="5" t="e">
        <f>E1565-(#REF!+C1565)</f>
        <v>#REF!</v>
      </c>
      <c r="E1565" s="5">
        <v>74550</v>
      </c>
      <c r="K1565" s="22">
        <v>881</v>
      </c>
      <c r="L1565" s="6">
        <v>842.5</v>
      </c>
      <c r="M1565" s="125">
        <f t="shared" si="25"/>
        <v>-38.5</v>
      </c>
      <c r="N1565" s="7"/>
      <c r="O1565" s="132"/>
      <c r="P1565" s="175"/>
      <c r="V1565" s="207"/>
    </row>
    <row r="1566" spans="1:22" ht="15" customHeight="1">
      <c r="A1566" s="3">
        <v>38058</v>
      </c>
      <c r="B1566" s="9">
        <v>300</v>
      </c>
      <c r="C1566" s="5">
        <v>61275</v>
      </c>
      <c r="D1566" s="5" t="e">
        <f>E1566-(#REF!+C1566)</f>
        <v>#REF!</v>
      </c>
      <c r="E1566" s="5">
        <v>74325</v>
      </c>
      <c r="K1566" s="22">
        <v>889</v>
      </c>
      <c r="L1566" s="6">
        <v>855</v>
      </c>
      <c r="M1566" s="125">
        <f t="shared" si="25"/>
        <v>-34</v>
      </c>
      <c r="N1566" s="7"/>
      <c r="O1566" s="132"/>
      <c r="P1566" s="175"/>
      <c r="V1566" s="207"/>
    </row>
    <row r="1567" spans="1:22" ht="15" customHeight="1">
      <c r="A1567" s="3">
        <v>38061</v>
      </c>
      <c r="B1567" s="9">
        <v>300</v>
      </c>
      <c r="C1567" s="5">
        <v>61050</v>
      </c>
      <c r="D1567" s="5" t="e">
        <f>E1567-(#REF!+C1567)</f>
        <v>#REF!</v>
      </c>
      <c r="E1567" s="5">
        <v>74100</v>
      </c>
      <c r="K1567" s="22">
        <v>895</v>
      </c>
      <c r="L1567" s="6">
        <v>862</v>
      </c>
      <c r="M1567" s="125">
        <f t="shared" si="25"/>
        <v>-33</v>
      </c>
      <c r="N1567" s="7"/>
      <c r="O1567" s="132"/>
      <c r="P1567" s="175"/>
      <c r="V1567" s="207"/>
    </row>
    <row r="1568" spans="1:22" ht="15" customHeight="1">
      <c r="A1568" s="3">
        <v>38062</v>
      </c>
      <c r="B1568" s="9">
        <v>300</v>
      </c>
      <c r="C1568" s="5">
        <v>60925</v>
      </c>
      <c r="D1568" s="5" t="e">
        <f>E1568-(#REF!+C1568)</f>
        <v>#REF!</v>
      </c>
      <c r="E1568" s="5">
        <v>73975</v>
      </c>
      <c r="K1568" s="22">
        <v>897</v>
      </c>
      <c r="L1568" s="6">
        <v>876</v>
      </c>
      <c r="M1568" s="125">
        <f t="shared" si="25"/>
        <v>-21</v>
      </c>
      <c r="N1568" s="7"/>
      <c r="O1568" s="132"/>
      <c r="P1568" s="175"/>
      <c r="V1568" s="207"/>
    </row>
    <row r="1569" spans="1:22" ht="15" customHeight="1">
      <c r="A1569" s="3">
        <v>38063</v>
      </c>
      <c r="B1569" s="9">
        <v>300</v>
      </c>
      <c r="C1569" s="5">
        <v>60825</v>
      </c>
      <c r="D1569" s="5" t="e">
        <f>E1569-(#REF!+C1569)</f>
        <v>#REF!</v>
      </c>
      <c r="E1569" s="5">
        <v>73875</v>
      </c>
      <c r="K1569" s="22">
        <v>920</v>
      </c>
      <c r="L1569" s="6">
        <v>886.5</v>
      </c>
      <c r="M1569" s="125">
        <f t="shared" si="25"/>
        <v>-33.5</v>
      </c>
      <c r="N1569" s="7"/>
      <c r="O1569" s="132"/>
      <c r="P1569" s="175"/>
      <c r="V1569" s="207"/>
    </row>
    <row r="1570" spans="1:22" ht="15" customHeight="1">
      <c r="A1570" s="3">
        <v>38064</v>
      </c>
      <c r="B1570" s="9">
        <v>300</v>
      </c>
      <c r="C1570" s="5">
        <v>60725</v>
      </c>
      <c r="D1570" s="5" t="e">
        <f>E1570-(#REF!+C1570)</f>
        <v>#REF!</v>
      </c>
      <c r="E1570" s="5">
        <v>73775</v>
      </c>
      <c r="K1570" s="22">
        <v>895.5</v>
      </c>
      <c r="L1570" s="6">
        <v>871</v>
      </c>
      <c r="M1570" s="125">
        <f t="shared" si="25"/>
        <v>-24.5</v>
      </c>
      <c r="N1570" s="7"/>
      <c r="O1570" s="132"/>
      <c r="P1570" s="175"/>
      <c r="V1570" s="207"/>
    </row>
    <row r="1571" spans="1:22" ht="15" customHeight="1">
      <c r="A1571" s="3">
        <v>38067</v>
      </c>
      <c r="B1571" s="9">
        <v>300</v>
      </c>
      <c r="C1571" s="5">
        <v>60525</v>
      </c>
      <c r="D1571" s="5" t="e">
        <f>E1571-(#REF!+C1571)</f>
        <v>#REF!</v>
      </c>
      <c r="E1571" s="5">
        <v>73575</v>
      </c>
      <c r="K1571" s="22">
        <v>904.5</v>
      </c>
      <c r="L1571" s="6">
        <v>875</v>
      </c>
      <c r="M1571" s="125">
        <f t="shared" si="25"/>
        <v>-29.5</v>
      </c>
      <c r="N1571" s="7"/>
      <c r="O1571" s="132"/>
      <c r="P1571" s="175"/>
      <c r="V1571" s="207"/>
    </row>
    <row r="1572" spans="1:22" ht="15" customHeight="1">
      <c r="A1572" s="3">
        <v>38068</v>
      </c>
      <c r="B1572" s="9">
        <v>300</v>
      </c>
      <c r="C1572" s="5">
        <v>60375</v>
      </c>
      <c r="D1572" s="5" t="e">
        <f>E1572-(#REF!+C1572)</f>
        <v>#REF!</v>
      </c>
      <c r="E1572" s="5">
        <v>73425</v>
      </c>
      <c r="K1572" s="22">
        <v>893</v>
      </c>
      <c r="L1572" s="6">
        <v>871</v>
      </c>
      <c r="M1572" s="125">
        <f t="shared" si="25"/>
        <v>-22</v>
      </c>
      <c r="N1572" s="7"/>
      <c r="O1572" s="132"/>
      <c r="P1572" s="175"/>
      <c r="V1572" s="207"/>
    </row>
    <row r="1573" spans="1:22" ht="15" customHeight="1">
      <c r="A1573" s="3">
        <v>38069</v>
      </c>
      <c r="B1573" s="9">
        <v>300</v>
      </c>
      <c r="C1573" s="5">
        <v>60375</v>
      </c>
      <c r="D1573" s="5" t="e">
        <f>E1573-(#REF!+C1573)</f>
        <v>#REF!</v>
      </c>
      <c r="E1573" s="5">
        <v>73425</v>
      </c>
      <c r="K1573" s="22">
        <v>855</v>
      </c>
      <c r="L1573" s="6">
        <v>834</v>
      </c>
      <c r="M1573" s="125">
        <f t="shared" si="25"/>
        <v>-21</v>
      </c>
      <c r="N1573" s="7"/>
      <c r="O1573" s="132"/>
      <c r="P1573" s="175"/>
      <c r="V1573" s="207"/>
    </row>
    <row r="1574" spans="1:22" ht="15" customHeight="1">
      <c r="A1574" s="3">
        <v>38070</v>
      </c>
      <c r="B1574" s="9">
        <v>1400</v>
      </c>
      <c r="C1574" s="5">
        <v>60375</v>
      </c>
      <c r="D1574" s="5" t="e">
        <f>E1574-(#REF!+C1574)</f>
        <v>#REF!</v>
      </c>
      <c r="E1574" s="5">
        <v>74525</v>
      </c>
      <c r="K1574" s="22">
        <v>859</v>
      </c>
      <c r="L1574" s="6">
        <v>843</v>
      </c>
      <c r="M1574" s="125">
        <f t="shared" si="25"/>
        <v>-16</v>
      </c>
      <c r="N1574" s="7"/>
      <c r="O1574" s="132"/>
      <c r="P1574" s="175"/>
      <c r="V1574" s="207"/>
    </row>
    <row r="1575" spans="1:22" ht="15" customHeight="1">
      <c r="A1575" s="3">
        <v>38071</v>
      </c>
      <c r="B1575" s="9">
        <v>1400</v>
      </c>
      <c r="C1575" s="5">
        <v>60375</v>
      </c>
      <c r="D1575" s="5" t="e">
        <f>E1575-(#REF!+C1575)</f>
        <v>#REF!</v>
      </c>
      <c r="E1575" s="5">
        <v>74525</v>
      </c>
      <c r="K1575" s="22">
        <v>842</v>
      </c>
      <c r="L1575" s="6">
        <v>825</v>
      </c>
      <c r="M1575" s="125">
        <f t="shared" si="25"/>
        <v>-17</v>
      </c>
      <c r="N1575" s="7"/>
      <c r="O1575" s="132"/>
      <c r="P1575" s="175"/>
      <c r="V1575" s="207"/>
    </row>
    <row r="1576" spans="1:22" ht="15" customHeight="1">
      <c r="A1576" s="3">
        <v>38072</v>
      </c>
      <c r="B1576" s="9">
        <v>1375</v>
      </c>
      <c r="C1576" s="5">
        <v>60375</v>
      </c>
      <c r="D1576" s="5" t="e">
        <f>E1576-(#REF!+C1576)</f>
        <v>#REF!</v>
      </c>
      <c r="E1576" s="5">
        <v>74500</v>
      </c>
      <c r="K1576" s="22">
        <v>829</v>
      </c>
      <c r="L1576" s="6">
        <v>816</v>
      </c>
      <c r="M1576" s="125">
        <f t="shared" si="25"/>
        <v>-13</v>
      </c>
      <c r="N1576" s="7"/>
      <c r="O1576" s="132"/>
      <c r="P1576" s="175"/>
      <c r="V1576" s="207"/>
    </row>
    <row r="1577" spans="1:22" ht="15" customHeight="1">
      <c r="A1577" s="3">
        <v>38075</v>
      </c>
      <c r="B1577" s="9">
        <v>1350</v>
      </c>
      <c r="C1577" s="5">
        <v>60325</v>
      </c>
      <c r="D1577" s="5" t="e">
        <f>E1577-(#REF!+C1577)</f>
        <v>#REF!</v>
      </c>
      <c r="E1577" s="5">
        <v>74425</v>
      </c>
      <c r="K1577" s="22">
        <v>835</v>
      </c>
      <c r="L1577" s="6">
        <v>825</v>
      </c>
      <c r="M1577" s="125">
        <f t="shared" si="25"/>
        <v>-10</v>
      </c>
      <c r="N1577" s="7"/>
      <c r="O1577" s="132"/>
      <c r="P1577" s="175"/>
      <c r="V1577" s="207"/>
    </row>
    <row r="1578" spans="1:22" ht="15" customHeight="1">
      <c r="A1578" s="3">
        <v>38076</v>
      </c>
      <c r="B1578" s="9">
        <v>1325</v>
      </c>
      <c r="C1578" s="5">
        <v>60250</v>
      </c>
      <c r="D1578" s="5" t="e">
        <f>E1578-(#REF!+C1578)</f>
        <v>#REF!</v>
      </c>
      <c r="E1578" s="5">
        <v>74325</v>
      </c>
      <c r="K1578" s="22">
        <v>846</v>
      </c>
      <c r="L1578" s="6">
        <v>835.5</v>
      </c>
      <c r="M1578" s="125">
        <f t="shared" si="25"/>
        <v>-10.5</v>
      </c>
      <c r="N1578" s="7"/>
      <c r="O1578" s="132"/>
      <c r="P1578" s="175"/>
      <c r="V1578" s="207"/>
    </row>
    <row r="1579" spans="1:22" ht="15" customHeight="1">
      <c r="A1579" s="3">
        <v>38077</v>
      </c>
      <c r="B1579" s="9">
        <v>1325</v>
      </c>
      <c r="C1579" s="5">
        <v>60175</v>
      </c>
      <c r="D1579" s="5" t="e">
        <f>E1579-(#REF!+C1579)</f>
        <v>#REF!</v>
      </c>
      <c r="E1579" s="5">
        <v>74250</v>
      </c>
      <c r="K1579" s="22">
        <v>829</v>
      </c>
      <c r="L1579" s="6">
        <v>821</v>
      </c>
      <c r="M1579" s="125">
        <f t="shared" si="25"/>
        <v>-8</v>
      </c>
      <c r="N1579" s="7"/>
      <c r="O1579" s="132"/>
      <c r="P1579" s="175"/>
      <c r="V1579" s="207"/>
    </row>
    <row r="1580" spans="1:22" ht="15" customHeight="1">
      <c r="A1580" s="3">
        <v>38078</v>
      </c>
      <c r="B1580" s="9">
        <v>1325</v>
      </c>
      <c r="C1580" s="5">
        <v>60175</v>
      </c>
      <c r="D1580" s="5" t="e">
        <f>E1580-(#REF!+C1580)</f>
        <v>#REF!</v>
      </c>
      <c r="E1580" s="5">
        <v>74250</v>
      </c>
      <c r="K1580" s="22">
        <v>851</v>
      </c>
      <c r="L1580" s="6">
        <v>840</v>
      </c>
      <c r="M1580" s="125">
        <f t="shared" si="25"/>
        <v>-11</v>
      </c>
      <c r="N1580" s="7"/>
      <c r="O1580" s="132"/>
      <c r="P1580" s="175"/>
      <c r="V1580" s="207"/>
    </row>
    <row r="1581" spans="1:22" ht="15" customHeight="1">
      <c r="A1581" s="3">
        <v>38079</v>
      </c>
      <c r="B1581" s="9">
        <v>725</v>
      </c>
      <c r="C1581" s="5">
        <v>60075</v>
      </c>
      <c r="D1581" s="5" t="e">
        <f>E1581-(#REF!+C1581)</f>
        <v>#REF!</v>
      </c>
      <c r="E1581" s="5">
        <v>73550</v>
      </c>
      <c r="K1581" s="22">
        <v>838.5</v>
      </c>
      <c r="L1581" s="6">
        <v>835</v>
      </c>
      <c r="M1581" s="125">
        <f t="shared" si="25"/>
        <v>-3.5</v>
      </c>
      <c r="N1581" s="7"/>
      <c r="O1581" s="132"/>
      <c r="P1581" s="175"/>
      <c r="V1581" s="207"/>
    </row>
    <row r="1582" spans="1:22" ht="15" customHeight="1">
      <c r="A1582" s="3">
        <v>38082</v>
      </c>
      <c r="B1582" s="9">
        <v>725</v>
      </c>
      <c r="C1582" s="5">
        <v>60000</v>
      </c>
      <c r="D1582" s="5" t="e">
        <f>E1582-(#REF!+C1582)</f>
        <v>#REF!</v>
      </c>
      <c r="E1582" s="5">
        <v>73475</v>
      </c>
      <c r="K1582" s="22">
        <v>814</v>
      </c>
      <c r="L1582" s="6">
        <v>808</v>
      </c>
      <c r="M1582" s="125">
        <f t="shared" si="25"/>
        <v>-6</v>
      </c>
      <c r="N1582" s="7"/>
      <c r="O1582" s="132"/>
      <c r="P1582" s="175"/>
      <c r="V1582" s="207"/>
    </row>
    <row r="1583" spans="1:22" ht="15" customHeight="1">
      <c r="A1583" s="3">
        <v>38083</v>
      </c>
      <c r="B1583" s="9">
        <v>725</v>
      </c>
      <c r="C1583" s="5">
        <v>60000</v>
      </c>
      <c r="D1583" s="5" t="e">
        <f>E1583-(#REF!+C1583)</f>
        <v>#REF!</v>
      </c>
      <c r="E1583" s="5">
        <v>73475</v>
      </c>
      <c r="K1583" s="22">
        <v>805</v>
      </c>
      <c r="L1583" s="6">
        <v>801.5</v>
      </c>
      <c r="M1583" s="125">
        <f t="shared" si="25"/>
        <v>-3.5</v>
      </c>
      <c r="N1583" s="7"/>
      <c r="O1583" s="132"/>
      <c r="P1583" s="175"/>
      <c r="V1583" s="207"/>
    </row>
    <row r="1584" spans="1:22" ht="15" customHeight="1">
      <c r="A1584" s="3">
        <v>38084</v>
      </c>
      <c r="B1584" s="9">
        <v>725</v>
      </c>
      <c r="C1584" s="5">
        <v>59975</v>
      </c>
      <c r="D1584" s="5" t="e">
        <f>E1584-(#REF!+C1584)</f>
        <v>#REF!</v>
      </c>
      <c r="E1584" s="5">
        <v>73450</v>
      </c>
      <c r="K1584" s="22">
        <v>794</v>
      </c>
      <c r="L1584" s="6">
        <v>791</v>
      </c>
      <c r="M1584" s="125">
        <f t="shared" si="25"/>
        <v>-3</v>
      </c>
      <c r="N1584" s="7"/>
      <c r="O1584" s="132"/>
      <c r="P1584" s="175"/>
      <c r="V1584" s="207"/>
    </row>
    <row r="1585" spans="1:22" ht="15" customHeight="1">
      <c r="A1585" s="3">
        <v>38085</v>
      </c>
      <c r="B1585" s="9">
        <v>725</v>
      </c>
      <c r="C1585" s="5">
        <v>59875</v>
      </c>
      <c r="D1585" s="5" t="e">
        <f>E1585-(#REF!+C1585)</f>
        <v>#REF!</v>
      </c>
      <c r="E1585" s="5">
        <v>73350</v>
      </c>
      <c r="K1585" s="22">
        <v>762.5</v>
      </c>
      <c r="L1585" s="6">
        <v>765</v>
      </c>
      <c r="M1585" s="125">
        <f t="shared" si="25"/>
        <v>2.5</v>
      </c>
      <c r="N1585" s="7"/>
      <c r="O1585" s="132"/>
      <c r="P1585" s="175"/>
      <c r="V1585" s="207"/>
    </row>
    <row r="1586" spans="1:22" ht="15" customHeight="1">
      <c r="A1586" s="3">
        <v>38088</v>
      </c>
      <c r="B1586" s="9">
        <v>725</v>
      </c>
      <c r="C1586" s="5">
        <v>59875</v>
      </c>
      <c r="D1586" s="5" t="e">
        <f>E1586-(#REF!+C1586)</f>
        <v>#REF!</v>
      </c>
      <c r="E1586" s="5">
        <v>73350</v>
      </c>
      <c r="K1586" s="22">
        <v>762.5</v>
      </c>
      <c r="L1586" s="6">
        <v>765</v>
      </c>
      <c r="M1586" s="125">
        <f t="shared" si="25"/>
        <v>2.5</v>
      </c>
      <c r="N1586" s="7"/>
      <c r="O1586" s="132"/>
      <c r="P1586" s="175"/>
      <c r="V1586" s="207"/>
    </row>
    <row r="1587" spans="1:22" ht="15" customHeight="1">
      <c r="A1587" s="3">
        <v>38089</v>
      </c>
      <c r="B1587" s="9">
        <v>725</v>
      </c>
      <c r="C1587" s="5">
        <v>59875</v>
      </c>
      <c r="D1587" s="5" t="e">
        <f>E1587-(#REF!+C1587)</f>
        <v>#REF!</v>
      </c>
      <c r="E1587" s="5">
        <v>73350</v>
      </c>
      <c r="K1587" s="22">
        <v>762.5</v>
      </c>
      <c r="L1587" s="6">
        <v>765</v>
      </c>
      <c r="M1587" s="125">
        <f t="shared" si="25"/>
        <v>2.5</v>
      </c>
      <c r="N1587" s="7"/>
      <c r="O1587" s="132"/>
      <c r="P1587" s="175"/>
      <c r="V1587" s="207"/>
    </row>
    <row r="1588" spans="1:22" ht="15" customHeight="1">
      <c r="A1588" s="3">
        <v>38090</v>
      </c>
      <c r="B1588" s="9">
        <v>725</v>
      </c>
      <c r="C1588" s="5">
        <v>59775</v>
      </c>
      <c r="D1588" s="5" t="e">
        <f>E1588-(#REF!+C1588)</f>
        <v>#REF!</v>
      </c>
      <c r="E1588" s="5">
        <v>73250</v>
      </c>
      <c r="K1588" s="22">
        <v>730</v>
      </c>
      <c r="L1588" s="6">
        <v>731</v>
      </c>
      <c r="M1588" s="125">
        <f t="shared" si="25"/>
        <v>1</v>
      </c>
      <c r="N1588" s="7"/>
      <c r="O1588" s="132"/>
      <c r="P1588" s="175"/>
      <c r="V1588" s="207"/>
    </row>
    <row r="1589" spans="1:22" ht="15" customHeight="1">
      <c r="A1589" s="3">
        <v>38091</v>
      </c>
      <c r="B1589" s="9">
        <v>725</v>
      </c>
      <c r="C1589" s="5">
        <v>59625</v>
      </c>
      <c r="D1589" s="5" t="e">
        <f>E1589-(#REF!+C1589)</f>
        <v>#REF!</v>
      </c>
      <c r="E1589" s="5">
        <v>73100</v>
      </c>
      <c r="K1589" s="22">
        <v>727</v>
      </c>
      <c r="L1589" s="6">
        <v>734</v>
      </c>
      <c r="M1589" s="125">
        <f t="shared" si="25"/>
        <v>7</v>
      </c>
      <c r="N1589" s="7"/>
      <c r="O1589" s="132"/>
      <c r="P1589" s="175"/>
      <c r="V1589" s="207"/>
    </row>
    <row r="1590" spans="1:22" ht="15" customHeight="1">
      <c r="A1590" s="3">
        <v>38092</v>
      </c>
      <c r="B1590" s="9">
        <v>725</v>
      </c>
      <c r="C1590" s="5">
        <v>59500</v>
      </c>
      <c r="D1590" s="5" t="e">
        <f>E1590-(#REF!+C1590)</f>
        <v>#REF!</v>
      </c>
      <c r="E1590" s="5">
        <v>72975</v>
      </c>
      <c r="K1590" s="22">
        <v>732.5</v>
      </c>
      <c r="L1590" s="6">
        <v>735</v>
      </c>
      <c r="M1590" s="125">
        <f t="shared" si="25"/>
        <v>2.5</v>
      </c>
      <c r="N1590" s="7"/>
      <c r="O1590" s="132"/>
      <c r="P1590" s="175"/>
      <c r="V1590" s="207"/>
    </row>
    <row r="1591" spans="1:22" ht="15" customHeight="1">
      <c r="A1591" s="3">
        <v>38093</v>
      </c>
      <c r="B1591" s="9">
        <v>1050</v>
      </c>
      <c r="C1591" s="5">
        <v>59375</v>
      </c>
      <c r="D1591" s="5" t="e">
        <f>E1591-(#REF!+C1591)</f>
        <v>#REF!</v>
      </c>
      <c r="E1591" s="5">
        <v>73175</v>
      </c>
      <c r="K1591" s="22">
        <v>731</v>
      </c>
      <c r="L1591" s="6">
        <v>730</v>
      </c>
      <c r="M1591" s="125">
        <f t="shared" ref="M1591:M1654" si="26">L1591-K1591</f>
        <v>-1</v>
      </c>
      <c r="N1591" s="7"/>
      <c r="O1591" s="132"/>
      <c r="P1591" s="175"/>
      <c r="V1591" s="207"/>
    </row>
    <row r="1592" spans="1:22" ht="15" customHeight="1">
      <c r="A1592" s="3">
        <v>38096</v>
      </c>
      <c r="B1592" s="9">
        <v>1050</v>
      </c>
      <c r="C1592" s="5">
        <v>59125</v>
      </c>
      <c r="D1592" s="5" t="e">
        <f>E1592-(#REF!+C1592)</f>
        <v>#REF!</v>
      </c>
      <c r="E1592" s="5">
        <v>72925</v>
      </c>
      <c r="K1592" s="22">
        <v>754</v>
      </c>
      <c r="L1592" s="6">
        <v>752</v>
      </c>
      <c r="M1592" s="125">
        <f t="shared" si="26"/>
        <v>-2</v>
      </c>
      <c r="N1592" s="7"/>
      <c r="O1592" s="132"/>
      <c r="P1592" s="175"/>
      <c r="V1592" s="207"/>
    </row>
    <row r="1593" spans="1:22" ht="15" customHeight="1">
      <c r="A1593" s="3">
        <v>38097</v>
      </c>
      <c r="B1593" s="9">
        <v>1050</v>
      </c>
      <c r="C1593" s="5">
        <v>59125</v>
      </c>
      <c r="D1593" s="5" t="e">
        <f>E1593-(#REF!+C1593)</f>
        <v>#REF!</v>
      </c>
      <c r="E1593" s="5">
        <v>72925</v>
      </c>
      <c r="K1593" s="22">
        <v>745</v>
      </c>
      <c r="L1593" s="6">
        <v>743</v>
      </c>
      <c r="M1593" s="125">
        <f t="shared" si="26"/>
        <v>-2</v>
      </c>
      <c r="N1593" s="7"/>
      <c r="O1593" s="132"/>
      <c r="P1593" s="175"/>
      <c r="V1593" s="207"/>
    </row>
    <row r="1594" spans="1:22" ht="15" customHeight="1">
      <c r="A1594" s="3">
        <v>38098</v>
      </c>
      <c r="B1594" s="9">
        <v>1050</v>
      </c>
      <c r="C1594" s="5">
        <v>58950</v>
      </c>
      <c r="D1594" s="5" t="e">
        <f>E1594-(#REF!+C1594)</f>
        <v>#REF!</v>
      </c>
      <c r="E1594" s="5">
        <v>72750</v>
      </c>
      <c r="K1594" s="22">
        <v>696.5</v>
      </c>
      <c r="L1594" s="6">
        <v>698.5</v>
      </c>
      <c r="M1594" s="125">
        <f t="shared" si="26"/>
        <v>2</v>
      </c>
      <c r="N1594" s="7"/>
      <c r="O1594" s="132"/>
      <c r="P1594" s="175"/>
      <c r="V1594" s="207"/>
    </row>
    <row r="1595" spans="1:22" ht="15" customHeight="1">
      <c r="A1595" s="3">
        <v>38099</v>
      </c>
      <c r="B1595" s="9">
        <v>1050</v>
      </c>
      <c r="C1595" s="5">
        <v>58800</v>
      </c>
      <c r="D1595" s="5" t="e">
        <f>E1595-(#REF!+C1595)</f>
        <v>#REF!</v>
      </c>
      <c r="E1595" s="5">
        <v>72600</v>
      </c>
      <c r="K1595" s="22">
        <v>727</v>
      </c>
      <c r="L1595" s="6">
        <v>716</v>
      </c>
      <c r="M1595" s="125">
        <f t="shared" si="26"/>
        <v>-11</v>
      </c>
      <c r="N1595" s="7"/>
      <c r="O1595" s="132"/>
      <c r="P1595" s="175"/>
      <c r="V1595" s="207"/>
    </row>
    <row r="1596" spans="1:22" ht="15" customHeight="1">
      <c r="A1596" s="3">
        <v>38100</v>
      </c>
      <c r="B1596" s="9">
        <v>1125</v>
      </c>
      <c r="C1596" s="5">
        <v>58375</v>
      </c>
      <c r="D1596" s="5" t="e">
        <f>E1596-(#REF!+C1596)</f>
        <v>#REF!</v>
      </c>
      <c r="E1596" s="5">
        <v>72250</v>
      </c>
      <c r="K1596" s="22">
        <v>724</v>
      </c>
      <c r="L1596" s="6">
        <v>720</v>
      </c>
      <c r="M1596" s="125">
        <f t="shared" si="26"/>
        <v>-4</v>
      </c>
      <c r="N1596" s="7"/>
      <c r="O1596" s="132"/>
      <c r="P1596" s="175"/>
      <c r="V1596" s="207"/>
    </row>
    <row r="1597" spans="1:22" ht="15" customHeight="1">
      <c r="A1597" s="3">
        <v>38103</v>
      </c>
      <c r="B1597" s="9">
        <v>1050</v>
      </c>
      <c r="C1597" s="5">
        <v>57975</v>
      </c>
      <c r="D1597" s="5" t="e">
        <f>E1597-(#REF!+C1597)</f>
        <v>#REF!</v>
      </c>
      <c r="E1597" s="5">
        <v>71775</v>
      </c>
      <c r="K1597" s="22">
        <v>730</v>
      </c>
      <c r="L1597" s="6">
        <v>727</v>
      </c>
      <c r="M1597" s="125">
        <f t="shared" si="26"/>
        <v>-3</v>
      </c>
      <c r="N1597" s="7"/>
      <c r="O1597" s="132"/>
      <c r="P1597" s="175"/>
      <c r="V1597" s="207"/>
    </row>
    <row r="1598" spans="1:22" ht="15" customHeight="1">
      <c r="A1598" s="3">
        <v>38104</v>
      </c>
      <c r="B1598" s="9">
        <v>1050</v>
      </c>
      <c r="C1598" s="5">
        <v>57600</v>
      </c>
      <c r="D1598" s="5" t="e">
        <f>E1598-(#REF!+C1598)</f>
        <v>#REF!</v>
      </c>
      <c r="E1598" s="5">
        <v>71400</v>
      </c>
      <c r="K1598" s="22">
        <v>727.5</v>
      </c>
      <c r="L1598" s="6">
        <v>723</v>
      </c>
      <c r="M1598" s="125">
        <f t="shared" si="26"/>
        <v>-4.5</v>
      </c>
      <c r="N1598" s="7"/>
      <c r="O1598" s="132"/>
      <c r="P1598" s="175"/>
      <c r="V1598" s="207"/>
    </row>
    <row r="1599" spans="1:22" ht="15" customHeight="1">
      <c r="A1599" s="3">
        <v>38105</v>
      </c>
      <c r="B1599" s="9">
        <v>1050</v>
      </c>
      <c r="C1599" s="5">
        <v>57250</v>
      </c>
      <c r="D1599" s="5" t="e">
        <f>E1599-(#REF!+C1599)</f>
        <v>#REF!</v>
      </c>
      <c r="E1599" s="5">
        <v>71050</v>
      </c>
      <c r="K1599" s="22">
        <v>714</v>
      </c>
      <c r="L1599" s="6">
        <v>705.5</v>
      </c>
      <c r="M1599" s="125">
        <f t="shared" si="26"/>
        <v>-8.5</v>
      </c>
      <c r="N1599" s="7"/>
      <c r="O1599" s="132"/>
      <c r="P1599" s="175"/>
      <c r="V1599" s="207"/>
    </row>
    <row r="1600" spans="1:22" ht="15" customHeight="1">
      <c r="A1600" s="3">
        <v>38106</v>
      </c>
      <c r="B1600" s="9">
        <v>1025</v>
      </c>
      <c r="C1600" s="5">
        <v>57000</v>
      </c>
      <c r="D1600" s="5" t="e">
        <f>E1600-(#REF!+C1600)</f>
        <v>#REF!</v>
      </c>
      <c r="E1600" s="5">
        <v>70775</v>
      </c>
      <c r="K1600" s="22">
        <v>735</v>
      </c>
      <c r="L1600" s="6">
        <v>723</v>
      </c>
      <c r="M1600" s="125">
        <f t="shared" si="26"/>
        <v>-12</v>
      </c>
      <c r="N1600" s="7"/>
      <c r="O1600" s="132"/>
      <c r="P1600" s="175"/>
      <c r="V1600" s="207"/>
    </row>
    <row r="1601" spans="1:22" ht="15" customHeight="1">
      <c r="A1601" s="3">
        <v>38107</v>
      </c>
      <c r="B1601" s="9">
        <v>1025</v>
      </c>
      <c r="C1601" s="5">
        <v>56550</v>
      </c>
      <c r="D1601" s="5" t="e">
        <f>E1601-(#REF!+C1601)</f>
        <v>#REF!</v>
      </c>
      <c r="E1601" s="5">
        <v>70325</v>
      </c>
      <c r="K1601" s="22">
        <v>735</v>
      </c>
      <c r="L1601" s="6">
        <v>718</v>
      </c>
      <c r="M1601" s="125">
        <f t="shared" si="26"/>
        <v>-17</v>
      </c>
      <c r="N1601" s="7"/>
      <c r="O1601" s="132"/>
      <c r="P1601" s="175"/>
      <c r="V1601" s="207"/>
    </row>
    <row r="1602" spans="1:22" ht="15" customHeight="1">
      <c r="A1602" s="3">
        <v>38110</v>
      </c>
      <c r="B1602" s="9">
        <v>1025</v>
      </c>
      <c r="C1602" s="5">
        <v>56550</v>
      </c>
      <c r="D1602" s="5" t="e">
        <f>E1602-(#REF!+C1602)</f>
        <v>#REF!</v>
      </c>
      <c r="E1602" s="5">
        <v>70325</v>
      </c>
      <c r="K1602" s="22">
        <v>735</v>
      </c>
      <c r="L1602" s="6">
        <v>718</v>
      </c>
      <c r="M1602" s="125">
        <f t="shared" si="26"/>
        <v>-17</v>
      </c>
      <c r="N1602" s="7"/>
      <c r="O1602" s="132"/>
      <c r="P1602" s="175"/>
      <c r="V1602" s="207"/>
    </row>
    <row r="1603" spans="1:22" ht="15" customHeight="1">
      <c r="A1603" s="3">
        <v>38111</v>
      </c>
      <c r="B1603" s="9">
        <v>1025</v>
      </c>
      <c r="C1603" s="5">
        <v>55850</v>
      </c>
      <c r="D1603" s="5" t="e">
        <f>E1603-(#REF!+C1603)</f>
        <v>#REF!</v>
      </c>
      <c r="E1603" s="5">
        <v>69625</v>
      </c>
      <c r="K1603" s="22">
        <v>751</v>
      </c>
      <c r="L1603" s="6">
        <v>736</v>
      </c>
      <c r="M1603" s="125">
        <f t="shared" si="26"/>
        <v>-15</v>
      </c>
      <c r="N1603" s="7"/>
      <c r="O1603" s="132"/>
      <c r="P1603" s="175"/>
      <c r="V1603" s="207"/>
    </row>
    <row r="1604" spans="1:22" ht="15" customHeight="1">
      <c r="A1604" s="3">
        <v>38112</v>
      </c>
      <c r="B1604" s="9">
        <v>3025</v>
      </c>
      <c r="C1604" s="5">
        <v>54750</v>
      </c>
      <c r="D1604" s="5" t="e">
        <f>E1604-(#REF!+C1604)</f>
        <v>#REF!</v>
      </c>
      <c r="E1604" s="5">
        <v>70525</v>
      </c>
      <c r="K1604" s="22">
        <v>757</v>
      </c>
      <c r="L1604" s="6">
        <v>741</v>
      </c>
      <c r="M1604" s="125">
        <f t="shared" si="26"/>
        <v>-16</v>
      </c>
      <c r="N1604" s="7"/>
      <c r="O1604" s="132"/>
      <c r="P1604" s="175"/>
      <c r="V1604" s="207"/>
    </row>
    <row r="1605" spans="1:22" ht="15" customHeight="1">
      <c r="A1605" s="3">
        <v>38113</v>
      </c>
      <c r="B1605" s="9">
        <v>3025</v>
      </c>
      <c r="C1605" s="5">
        <v>54025</v>
      </c>
      <c r="D1605" s="5" t="e">
        <f>E1605-(#REF!+C1605)</f>
        <v>#REF!</v>
      </c>
      <c r="E1605" s="5">
        <v>69800</v>
      </c>
      <c r="K1605" s="22">
        <v>795.5</v>
      </c>
      <c r="L1605" s="6">
        <v>764</v>
      </c>
      <c r="M1605" s="125">
        <f t="shared" si="26"/>
        <v>-31.5</v>
      </c>
      <c r="N1605" s="7"/>
      <c r="O1605" s="132"/>
      <c r="P1605" s="175"/>
      <c r="V1605" s="207"/>
    </row>
    <row r="1606" spans="1:22" ht="15" customHeight="1">
      <c r="A1606" s="3">
        <v>38114</v>
      </c>
      <c r="B1606" s="9">
        <v>3025</v>
      </c>
      <c r="C1606" s="5">
        <v>53375</v>
      </c>
      <c r="D1606" s="5" t="e">
        <f>E1606-(#REF!+C1606)</f>
        <v>#REF!</v>
      </c>
      <c r="E1606" s="5">
        <v>69150</v>
      </c>
      <c r="K1606" s="22">
        <v>770</v>
      </c>
      <c r="L1606" s="6">
        <v>746</v>
      </c>
      <c r="M1606" s="125">
        <f t="shared" si="26"/>
        <v>-24</v>
      </c>
      <c r="N1606" s="7"/>
      <c r="O1606" s="132"/>
      <c r="P1606" s="175"/>
      <c r="V1606" s="207"/>
    </row>
    <row r="1607" spans="1:22" ht="15" customHeight="1">
      <c r="A1607" s="3">
        <v>38117</v>
      </c>
      <c r="B1607" s="9">
        <v>3025</v>
      </c>
      <c r="C1607" s="5">
        <v>52750</v>
      </c>
      <c r="D1607" s="5" t="e">
        <f>E1607-(#REF!+C1607)</f>
        <v>#REF!</v>
      </c>
      <c r="E1607" s="5">
        <v>68525</v>
      </c>
      <c r="K1607" s="22">
        <v>736</v>
      </c>
      <c r="L1607" s="6">
        <v>713</v>
      </c>
      <c r="M1607" s="125">
        <f t="shared" si="26"/>
        <v>-23</v>
      </c>
      <c r="N1607" s="7"/>
      <c r="O1607" s="132"/>
      <c r="P1607" s="175"/>
      <c r="V1607" s="207"/>
    </row>
    <row r="1608" spans="1:22" ht="15" customHeight="1">
      <c r="A1608" s="3">
        <v>38118</v>
      </c>
      <c r="B1608" s="9">
        <v>5525</v>
      </c>
      <c r="C1608" s="5">
        <v>52250</v>
      </c>
      <c r="D1608" s="5" t="e">
        <f>E1608-(#REF!+C1608)</f>
        <v>#REF!</v>
      </c>
      <c r="E1608" s="5">
        <v>70525</v>
      </c>
      <c r="K1608" s="22">
        <v>756</v>
      </c>
      <c r="L1608" s="6">
        <v>726</v>
      </c>
      <c r="M1608" s="125">
        <f t="shared" si="26"/>
        <v>-30</v>
      </c>
      <c r="N1608" s="7"/>
      <c r="O1608" s="132"/>
      <c r="P1608" s="175"/>
      <c r="V1608" s="207"/>
    </row>
    <row r="1609" spans="1:22" ht="15" customHeight="1">
      <c r="A1609" s="3">
        <v>38119</v>
      </c>
      <c r="B1609" s="9">
        <v>5425</v>
      </c>
      <c r="C1609" s="5">
        <v>51800</v>
      </c>
      <c r="D1609" s="5" t="e">
        <f>E1609-(#REF!+C1609)</f>
        <v>#REF!</v>
      </c>
      <c r="E1609" s="5">
        <v>69975</v>
      </c>
      <c r="K1609" s="22">
        <v>770</v>
      </c>
      <c r="L1609" s="6">
        <v>731</v>
      </c>
      <c r="M1609" s="125">
        <f t="shared" si="26"/>
        <v>-39</v>
      </c>
      <c r="N1609" s="7"/>
      <c r="O1609" s="132"/>
      <c r="P1609" s="175"/>
      <c r="V1609" s="207"/>
    </row>
    <row r="1610" spans="1:22" ht="15" customHeight="1">
      <c r="A1610" s="3">
        <v>38120</v>
      </c>
      <c r="B1610" s="9">
        <v>5425</v>
      </c>
      <c r="C1610" s="5">
        <v>51175</v>
      </c>
      <c r="D1610" s="5" t="e">
        <f>E1610-(#REF!+C1610)</f>
        <v>#REF!</v>
      </c>
      <c r="E1610" s="5">
        <v>69350</v>
      </c>
      <c r="K1610" s="22">
        <v>784.5</v>
      </c>
      <c r="L1610" s="6">
        <v>735</v>
      </c>
      <c r="M1610" s="125">
        <f t="shared" si="26"/>
        <v>-49.5</v>
      </c>
      <c r="N1610" s="7"/>
      <c r="O1610" s="132"/>
      <c r="P1610" s="175"/>
      <c r="V1610" s="207"/>
    </row>
    <row r="1611" spans="1:22" ht="15" customHeight="1">
      <c r="A1611" s="3">
        <v>38121</v>
      </c>
      <c r="B1611" s="9">
        <v>5425</v>
      </c>
      <c r="C1611" s="5">
        <v>50225</v>
      </c>
      <c r="D1611" s="5" t="e">
        <f>E1611-(#REF!+C1611)</f>
        <v>#REF!</v>
      </c>
      <c r="E1611" s="5">
        <v>68400</v>
      </c>
      <c r="K1611" s="22">
        <v>770</v>
      </c>
      <c r="L1611" s="6">
        <v>731</v>
      </c>
      <c r="M1611" s="125">
        <f t="shared" si="26"/>
        <v>-39</v>
      </c>
      <c r="N1611" s="7"/>
      <c r="O1611" s="132"/>
      <c r="P1611" s="175"/>
      <c r="V1611" s="207"/>
    </row>
    <row r="1612" spans="1:22" ht="15" customHeight="1">
      <c r="A1612" s="3">
        <v>38124</v>
      </c>
      <c r="B1612" s="9">
        <v>5425</v>
      </c>
      <c r="C1612" s="5">
        <v>49375</v>
      </c>
      <c r="D1612" s="5" t="e">
        <f>E1612-(#REF!+C1612)</f>
        <v>#REF!</v>
      </c>
      <c r="E1612" s="5">
        <v>67550</v>
      </c>
      <c r="K1612" s="22">
        <v>788</v>
      </c>
      <c r="L1612" s="6">
        <v>746</v>
      </c>
      <c r="M1612" s="125">
        <f t="shared" si="26"/>
        <v>-42</v>
      </c>
      <c r="N1612" s="7"/>
      <c r="O1612" s="132"/>
      <c r="P1612" s="175"/>
      <c r="V1612" s="207"/>
    </row>
    <row r="1613" spans="1:22" ht="15" customHeight="1">
      <c r="A1613" s="3">
        <v>38125</v>
      </c>
      <c r="B1613" s="9">
        <v>5425</v>
      </c>
      <c r="C1613" s="5">
        <v>48800</v>
      </c>
      <c r="D1613" s="5" t="e">
        <f>E1613-(#REF!+C1613)</f>
        <v>#REF!</v>
      </c>
      <c r="E1613" s="5">
        <v>66975</v>
      </c>
      <c r="K1613" s="22">
        <v>754.5</v>
      </c>
      <c r="L1613" s="6">
        <v>728</v>
      </c>
      <c r="M1613" s="125">
        <f t="shared" si="26"/>
        <v>-26.5</v>
      </c>
      <c r="N1613" s="7"/>
      <c r="O1613" s="132"/>
      <c r="P1613" s="175"/>
      <c r="V1613" s="207"/>
    </row>
    <row r="1614" spans="1:22" ht="15" customHeight="1">
      <c r="A1614" s="3">
        <v>38126</v>
      </c>
      <c r="B1614" s="9">
        <v>5425</v>
      </c>
      <c r="C1614" s="5">
        <v>47950</v>
      </c>
      <c r="D1614" s="5" t="e">
        <f>E1614-(#REF!+C1614)</f>
        <v>#REF!</v>
      </c>
      <c r="E1614" s="5">
        <v>64700</v>
      </c>
      <c r="K1614" s="22">
        <v>804</v>
      </c>
      <c r="L1614" s="6">
        <v>758</v>
      </c>
      <c r="M1614" s="125">
        <f t="shared" si="26"/>
        <v>-46</v>
      </c>
      <c r="N1614" s="7"/>
      <c r="O1614" s="132"/>
      <c r="P1614" s="175"/>
      <c r="V1614" s="207"/>
    </row>
    <row r="1615" spans="1:22" ht="15" customHeight="1">
      <c r="A1615" s="3">
        <v>38127</v>
      </c>
      <c r="B1615" s="9">
        <v>5425</v>
      </c>
      <c r="C1615" s="5">
        <v>47400</v>
      </c>
      <c r="D1615" s="5" t="e">
        <f>E1615-(#REF!+C1615)</f>
        <v>#REF!</v>
      </c>
      <c r="E1615" s="5">
        <v>63575</v>
      </c>
      <c r="K1615" s="22">
        <v>794.5</v>
      </c>
      <c r="L1615" s="6">
        <v>755</v>
      </c>
      <c r="M1615" s="125">
        <f t="shared" si="26"/>
        <v>-39.5</v>
      </c>
      <c r="N1615" s="7"/>
      <c r="O1615" s="132"/>
      <c r="P1615" s="175"/>
      <c r="V1615" s="207"/>
    </row>
    <row r="1616" spans="1:22" ht="15" customHeight="1">
      <c r="A1616" s="3">
        <v>38128</v>
      </c>
      <c r="B1616" s="9">
        <v>5425</v>
      </c>
      <c r="C1616" s="5">
        <v>46500</v>
      </c>
      <c r="D1616" s="5" t="e">
        <f>E1616-(#REF!+C1616)</f>
        <v>#REF!</v>
      </c>
      <c r="E1616" s="5">
        <v>62675</v>
      </c>
      <c r="K1616" s="22">
        <v>845.5</v>
      </c>
      <c r="L1616" s="6">
        <v>796</v>
      </c>
      <c r="M1616" s="125">
        <f t="shared" si="26"/>
        <v>-49.5</v>
      </c>
      <c r="N1616" s="7"/>
      <c r="O1616" s="132"/>
      <c r="P1616" s="175"/>
      <c r="V1616" s="207"/>
    </row>
    <row r="1617" spans="1:22" ht="15" customHeight="1">
      <c r="A1617" s="3">
        <v>38129</v>
      </c>
      <c r="B1617" s="9">
        <v>5425</v>
      </c>
      <c r="C1617" s="5">
        <v>45875</v>
      </c>
      <c r="D1617" s="5" t="e">
        <f>E1617-(#REF!+C1617)</f>
        <v>#REF!</v>
      </c>
      <c r="E1617" s="5">
        <v>62050</v>
      </c>
      <c r="K1617" s="22">
        <v>879</v>
      </c>
      <c r="L1617" s="6">
        <v>820</v>
      </c>
      <c r="M1617" s="125">
        <f t="shared" si="26"/>
        <v>-59</v>
      </c>
      <c r="N1617" s="7"/>
      <c r="O1617" s="132"/>
      <c r="P1617" s="175"/>
      <c r="V1617" s="207"/>
    </row>
    <row r="1618" spans="1:22" ht="15" customHeight="1">
      <c r="A1618" s="3">
        <v>38132</v>
      </c>
      <c r="B1618" s="9">
        <v>5425</v>
      </c>
      <c r="C1618" s="5">
        <v>45725</v>
      </c>
      <c r="D1618" s="5" t="e">
        <f>E1618-(#REF!+C1618)</f>
        <v>#REF!</v>
      </c>
      <c r="E1618" s="5">
        <v>61900</v>
      </c>
      <c r="K1618" s="22">
        <v>880</v>
      </c>
      <c r="L1618" s="6">
        <v>831</v>
      </c>
      <c r="M1618" s="125">
        <f t="shared" si="26"/>
        <v>-49</v>
      </c>
      <c r="N1618" s="7"/>
      <c r="O1618" s="132"/>
      <c r="P1618" s="175"/>
      <c r="V1618" s="207"/>
    </row>
    <row r="1619" spans="1:22" ht="15" customHeight="1">
      <c r="A1619" s="3">
        <v>38133</v>
      </c>
      <c r="B1619" s="9">
        <v>5300</v>
      </c>
      <c r="C1619" s="5">
        <v>44775</v>
      </c>
      <c r="D1619" s="5" t="e">
        <f>E1619-(#REF!+C1619)</f>
        <v>#REF!</v>
      </c>
      <c r="E1619" s="5">
        <v>60825</v>
      </c>
      <c r="K1619" s="22">
        <v>902.5</v>
      </c>
      <c r="L1619" s="6">
        <v>845</v>
      </c>
      <c r="M1619" s="125">
        <f t="shared" si="26"/>
        <v>-57.5</v>
      </c>
      <c r="N1619" s="7"/>
      <c r="O1619" s="132"/>
      <c r="P1619" s="175"/>
      <c r="V1619" s="207"/>
    </row>
    <row r="1620" spans="1:22" ht="15" customHeight="1">
      <c r="A1620" s="3">
        <v>38134</v>
      </c>
      <c r="B1620" s="9">
        <v>5275</v>
      </c>
      <c r="C1620" s="5">
        <v>44125</v>
      </c>
      <c r="D1620" s="5" t="e">
        <f>E1620-(#REF!+C1620)</f>
        <v>#REF!</v>
      </c>
      <c r="E1620" s="5">
        <v>60150</v>
      </c>
      <c r="K1620" s="22">
        <v>925</v>
      </c>
      <c r="L1620" s="6">
        <v>855</v>
      </c>
      <c r="M1620" s="125">
        <f t="shared" si="26"/>
        <v>-70</v>
      </c>
      <c r="N1620" s="7"/>
      <c r="O1620" s="132"/>
      <c r="P1620" s="175"/>
      <c r="V1620" s="207"/>
    </row>
    <row r="1621" spans="1:22" ht="15" customHeight="1">
      <c r="A1621" s="3">
        <v>38135</v>
      </c>
      <c r="B1621" s="9">
        <v>5275</v>
      </c>
      <c r="C1621" s="5">
        <v>43525</v>
      </c>
      <c r="D1621" s="5" t="e">
        <f>E1621-(#REF!+C1621)</f>
        <v>#REF!</v>
      </c>
      <c r="E1621" s="5">
        <v>59550</v>
      </c>
      <c r="K1621" s="22">
        <v>906</v>
      </c>
      <c r="L1621" s="6">
        <v>839.5</v>
      </c>
      <c r="M1621" s="125">
        <f t="shared" si="26"/>
        <v>-66.5</v>
      </c>
      <c r="N1621" s="7"/>
      <c r="O1621" s="132"/>
      <c r="P1621" s="175"/>
      <c r="V1621" s="207"/>
    </row>
    <row r="1622" spans="1:22" ht="15" customHeight="1">
      <c r="A1622" s="3">
        <v>38139</v>
      </c>
      <c r="B1622" s="9">
        <v>5275</v>
      </c>
      <c r="C1622" s="5">
        <v>43050</v>
      </c>
      <c r="D1622" s="5" t="e">
        <f>E1622-(#REF!+C1622)</f>
        <v>#REF!</v>
      </c>
      <c r="E1622" s="5">
        <v>59075</v>
      </c>
      <c r="K1622" s="22">
        <v>887.5</v>
      </c>
      <c r="L1622" s="6">
        <v>827</v>
      </c>
      <c r="M1622" s="125">
        <f t="shared" si="26"/>
        <v>-60.5</v>
      </c>
      <c r="N1622" s="7"/>
      <c r="O1622" s="132"/>
      <c r="P1622" s="175"/>
      <c r="V1622" s="207"/>
    </row>
    <row r="1623" spans="1:22" ht="15" customHeight="1">
      <c r="A1623" s="3">
        <v>38140</v>
      </c>
      <c r="B1623" s="9">
        <v>5025</v>
      </c>
      <c r="C1623" s="5">
        <v>42475</v>
      </c>
      <c r="D1623" s="5" t="e">
        <f>E1623-(#REF!+C1623)</f>
        <v>#REF!</v>
      </c>
      <c r="E1623" s="5">
        <v>58250</v>
      </c>
      <c r="K1623" s="22">
        <v>925</v>
      </c>
      <c r="L1623" s="6">
        <v>850</v>
      </c>
      <c r="M1623" s="125">
        <f t="shared" si="26"/>
        <v>-75</v>
      </c>
      <c r="N1623" s="7"/>
      <c r="O1623" s="132"/>
      <c r="P1623" s="175"/>
      <c r="V1623" s="207"/>
    </row>
    <row r="1624" spans="1:22" ht="15" customHeight="1">
      <c r="A1624" s="3">
        <v>38141</v>
      </c>
      <c r="B1624" s="9">
        <v>5025</v>
      </c>
      <c r="C1624" s="5">
        <v>41675</v>
      </c>
      <c r="D1624" s="5" t="e">
        <f>E1624-(#REF!+C1624)</f>
        <v>#REF!</v>
      </c>
      <c r="E1624" s="5">
        <v>57450</v>
      </c>
      <c r="K1624" s="22">
        <v>885</v>
      </c>
      <c r="L1624" s="6">
        <v>822</v>
      </c>
      <c r="M1624" s="125">
        <f t="shared" si="26"/>
        <v>-63</v>
      </c>
      <c r="N1624" s="7"/>
      <c r="O1624" s="132"/>
      <c r="P1624" s="175"/>
      <c r="V1624" s="207"/>
    </row>
    <row r="1625" spans="1:22" ht="15" customHeight="1">
      <c r="A1625" s="3">
        <v>38142</v>
      </c>
      <c r="B1625" s="9">
        <v>4900</v>
      </c>
      <c r="C1625" s="5">
        <v>41225</v>
      </c>
      <c r="D1625" s="5" t="e">
        <f>E1625-(#REF!+C1625)</f>
        <v>#REF!</v>
      </c>
      <c r="E1625" s="5">
        <v>56875</v>
      </c>
      <c r="K1625" s="22">
        <v>871</v>
      </c>
      <c r="L1625" s="6">
        <v>811</v>
      </c>
      <c r="M1625" s="125">
        <f t="shared" si="26"/>
        <v>-60</v>
      </c>
      <c r="N1625" s="7"/>
      <c r="O1625" s="132"/>
      <c r="P1625" s="175"/>
      <c r="V1625" s="207"/>
    </row>
    <row r="1626" spans="1:22" ht="15" customHeight="1">
      <c r="A1626" s="3">
        <v>38145</v>
      </c>
      <c r="B1626" s="9">
        <v>4650</v>
      </c>
      <c r="C1626" s="5">
        <v>40700</v>
      </c>
      <c r="D1626" s="5" t="e">
        <f>E1626-(#REF!+C1626)</f>
        <v>#REF!</v>
      </c>
      <c r="E1626" s="5">
        <v>56100</v>
      </c>
      <c r="K1626" s="22">
        <v>880</v>
      </c>
      <c r="L1626" s="6">
        <v>833</v>
      </c>
      <c r="M1626" s="125">
        <f t="shared" si="26"/>
        <v>-47</v>
      </c>
      <c r="N1626" s="7"/>
      <c r="O1626" s="132"/>
      <c r="P1626" s="175"/>
      <c r="V1626" s="207"/>
    </row>
    <row r="1627" spans="1:22" ht="15" customHeight="1">
      <c r="A1627" s="3">
        <v>38146</v>
      </c>
      <c r="B1627" s="9">
        <v>4400</v>
      </c>
      <c r="C1627" s="5">
        <v>40325</v>
      </c>
      <c r="D1627" s="5" t="e">
        <f>E1627-(#REF!+C1627)</f>
        <v>#REF!</v>
      </c>
      <c r="E1627" s="5">
        <v>55475</v>
      </c>
      <c r="K1627" s="22">
        <v>895</v>
      </c>
      <c r="L1627" s="6">
        <v>854</v>
      </c>
      <c r="M1627" s="125">
        <f t="shared" si="26"/>
        <v>-41</v>
      </c>
      <c r="N1627" s="7"/>
      <c r="O1627" s="132"/>
      <c r="P1627" s="175"/>
      <c r="V1627" s="207"/>
    </row>
    <row r="1628" spans="1:22" ht="15" customHeight="1">
      <c r="A1628" s="3">
        <v>38147</v>
      </c>
      <c r="B1628" s="9">
        <v>4350</v>
      </c>
      <c r="C1628" s="5">
        <v>39750</v>
      </c>
      <c r="D1628" s="5" t="e">
        <f>E1628-(#REF!+C1628)</f>
        <v>#REF!</v>
      </c>
      <c r="E1628" s="5">
        <v>54850</v>
      </c>
      <c r="K1628" s="22">
        <v>875</v>
      </c>
      <c r="L1628" s="6">
        <v>835</v>
      </c>
      <c r="M1628" s="125">
        <f t="shared" si="26"/>
        <v>-40</v>
      </c>
      <c r="N1628" s="7"/>
      <c r="O1628" s="132"/>
      <c r="P1628" s="175"/>
      <c r="V1628" s="207"/>
    </row>
    <row r="1629" spans="1:22" ht="15" customHeight="1">
      <c r="A1629" s="3">
        <v>38148</v>
      </c>
      <c r="B1629" s="9">
        <v>4350</v>
      </c>
      <c r="C1629" s="5">
        <v>39100</v>
      </c>
      <c r="D1629" s="5" t="e">
        <f>E1629-(#REF!+C1629)</f>
        <v>#REF!</v>
      </c>
      <c r="E1629" s="5">
        <v>54175</v>
      </c>
      <c r="K1629" s="22">
        <v>812</v>
      </c>
      <c r="L1629" s="6">
        <v>767</v>
      </c>
      <c r="M1629" s="125">
        <f t="shared" si="26"/>
        <v>-45</v>
      </c>
      <c r="N1629" s="7"/>
      <c r="O1629" s="132"/>
      <c r="P1629" s="175"/>
      <c r="V1629" s="207"/>
    </row>
    <row r="1630" spans="1:22" ht="15" customHeight="1">
      <c r="A1630" s="3">
        <v>38149</v>
      </c>
      <c r="B1630" s="9">
        <v>4350</v>
      </c>
      <c r="C1630" s="5">
        <v>38800</v>
      </c>
      <c r="D1630" s="5" t="e">
        <f>E1630-(#REF!+C1630)</f>
        <v>#REF!</v>
      </c>
      <c r="E1630" s="5">
        <v>53875</v>
      </c>
      <c r="K1630" s="22">
        <v>801</v>
      </c>
      <c r="L1630" s="6">
        <v>764</v>
      </c>
      <c r="M1630" s="125">
        <f t="shared" si="26"/>
        <v>-37</v>
      </c>
      <c r="N1630" s="7"/>
      <c r="O1630" s="132"/>
      <c r="P1630" s="175"/>
      <c r="V1630" s="207"/>
    </row>
    <row r="1631" spans="1:22" ht="15" customHeight="1">
      <c r="A1631" s="3">
        <v>38152</v>
      </c>
      <c r="B1631" s="9">
        <v>4225</v>
      </c>
      <c r="C1631" s="5">
        <v>38350</v>
      </c>
      <c r="D1631" s="5" t="e">
        <f>E1631-(#REF!+C1631)</f>
        <v>#REF!</v>
      </c>
      <c r="E1631" s="5">
        <v>53300</v>
      </c>
      <c r="K1631" s="22">
        <v>832</v>
      </c>
      <c r="L1631" s="6">
        <v>774</v>
      </c>
      <c r="M1631" s="125">
        <f t="shared" si="26"/>
        <v>-58</v>
      </c>
      <c r="N1631" s="7"/>
      <c r="O1631" s="132"/>
      <c r="P1631" s="175"/>
      <c r="V1631" s="207"/>
    </row>
    <row r="1632" spans="1:22" ht="15" customHeight="1">
      <c r="A1632" s="3">
        <v>38153</v>
      </c>
      <c r="B1632" s="9">
        <v>3925</v>
      </c>
      <c r="C1632" s="5">
        <v>38025</v>
      </c>
      <c r="D1632" s="5" t="e">
        <f>E1632-(#REF!+C1632)</f>
        <v>#REF!</v>
      </c>
      <c r="E1632" s="5">
        <v>52675</v>
      </c>
      <c r="K1632" s="22">
        <v>823</v>
      </c>
      <c r="L1632" s="6">
        <v>784</v>
      </c>
      <c r="M1632" s="125">
        <f t="shared" si="26"/>
        <v>-39</v>
      </c>
      <c r="N1632" s="7"/>
      <c r="O1632" s="132"/>
      <c r="P1632" s="175"/>
      <c r="V1632" s="207"/>
    </row>
    <row r="1633" spans="1:22" ht="15" customHeight="1">
      <c r="A1633" s="3">
        <v>38154</v>
      </c>
      <c r="B1633" s="9">
        <v>3825</v>
      </c>
      <c r="C1633" s="5">
        <v>37325</v>
      </c>
      <c r="D1633" s="5" t="e">
        <f>E1633-(#REF!+C1633)</f>
        <v>#REF!</v>
      </c>
      <c r="E1633" s="5">
        <v>51875</v>
      </c>
      <c r="K1633" s="22">
        <v>849</v>
      </c>
      <c r="L1633" s="6">
        <v>815</v>
      </c>
      <c r="M1633" s="125">
        <f t="shared" si="26"/>
        <v>-34</v>
      </c>
      <c r="N1633" s="7"/>
      <c r="O1633" s="132"/>
      <c r="P1633" s="175"/>
      <c r="V1633" s="207"/>
    </row>
    <row r="1634" spans="1:22" ht="15" customHeight="1">
      <c r="A1634" s="3">
        <v>38155</v>
      </c>
      <c r="B1634" s="9">
        <v>3750</v>
      </c>
      <c r="C1634" s="5">
        <v>36600</v>
      </c>
      <c r="D1634" s="5" t="e">
        <f>E1634-(#REF!+C1634)</f>
        <v>#REF!</v>
      </c>
      <c r="E1634" s="5">
        <v>51075</v>
      </c>
      <c r="K1634" s="22">
        <v>865</v>
      </c>
      <c r="L1634" s="6">
        <v>827</v>
      </c>
      <c r="M1634" s="125">
        <f t="shared" si="26"/>
        <v>-38</v>
      </c>
      <c r="N1634" s="7"/>
      <c r="O1634" s="132"/>
      <c r="P1634" s="175"/>
      <c r="V1634" s="207"/>
    </row>
    <row r="1635" spans="1:22" ht="15" customHeight="1">
      <c r="A1635" s="3">
        <v>38156</v>
      </c>
      <c r="B1635" s="9">
        <v>3750</v>
      </c>
      <c r="C1635" s="5">
        <v>36050</v>
      </c>
      <c r="D1635" s="5" t="e">
        <f>E1635-(#REF!+C1635)</f>
        <v>#REF!</v>
      </c>
      <c r="E1635" s="5">
        <v>50525</v>
      </c>
      <c r="K1635" s="22">
        <v>900</v>
      </c>
      <c r="L1635" s="6">
        <v>847</v>
      </c>
      <c r="M1635" s="125">
        <f t="shared" si="26"/>
        <v>-53</v>
      </c>
      <c r="N1635" s="7"/>
      <c r="O1635" s="132"/>
      <c r="P1635" s="175"/>
      <c r="V1635" s="207"/>
    </row>
    <row r="1636" spans="1:22" ht="15" customHeight="1">
      <c r="A1636" s="3">
        <v>38159</v>
      </c>
      <c r="B1636" s="9">
        <v>3675</v>
      </c>
      <c r="C1636" s="5">
        <v>35600</v>
      </c>
      <c r="D1636" s="5" t="e">
        <f>E1636-(#REF!+C1636)</f>
        <v>#REF!</v>
      </c>
      <c r="E1636" s="5">
        <v>50000</v>
      </c>
      <c r="K1636" s="22">
        <v>900</v>
      </c>
      <c r="L1636" s="6">
        <v>845</v>
      </c>
      <c r="M1636" s="125">
        <f t="shared" si="26"/>
        <v>-55</v>
      </c>
      <c r="N1636" s="7"/>
      <c r="O1636" s="132"/>
      <c r="P1636" s="175"/>
      <c r="V1636" s="207"/>
    </row>
    <row r="1637" spans="1:22" ht="15" customHeight="1">
      <c r="A1637" s="3">
        <v>38160</v>
      </c>
      <c r="B1637" s="9">
        <v>3625</v>
      </c>
      <c r="C1637" s="5">
        <v>35000</v>
      </c>
      <c r="D1637" s="5" t="e">
        <f>E1637-(#REF!+C1637)</f>
        <v>#REF!</v>
      </c>
      <c r="E1637" s="5">
        <v>49350</v>
      </c>
      <c r="K1637" s="22">
        <v>834.5</v>
      </c>
      <c r="L1637" s="6">
        <v>785</v>
      </c>
      <c r="M1637" s="125">
        <f t="shared" si="26"/>
        <v>-49.5</v>
      </c>
      <c r="N1637" s="7"/>
      <c r="O1637" s="132"/>
      <c r="P1637" s="175"/>
      <c r="V1637" s="207"/>
    </row>
    <row r="1638" spans="1:22" ht="15" customHeight="1">
      <c r="A1638" s="3">
        <v>38161</v>
      </c>
      <c r="B1638" s="9">
        <v>3625</v>
      </c>
      <c r="C1638" s="5">
        <v>34475</v>
      </c>
      <c r="D1638" s="5" t="e">
        <f>E1638-(#REF!+C1638)</f>
        <v>#REF!</v>
      </c>
      <c r="E1638" s="5">
        <v>48825</v>
      </c>
      <c r="K1638" s="22">
        <v>860</v>
      </c>
      <c r="L1638" s="6">
        <v>796</v>
      </c>
      <c r="M1638" s="125">
        <f t="shared" si="26"/>
        <v>-64</v>
      </c>
      <c r="N1638" s="7"/>
      <c r="O1638" s="132"/>
      <c r="P1638" s="175"/>
      <c r="V1638" s="207"/>
    </row>
    <row r="1639" spans="1:22" ht="15" customHeight="1">
      <c r="A1639" s="3">
        <v>38162</v>
      </c>
      <c r="B1639" s="9">
        <v>3600</v>
      </c>
      <c r="C1639" s="5">
        <v>33800</v>
      </c>
      <c r="D1639" s="5" t="e">
        <f>E1639-(#REF!+C1639)</f>
        <v>#REF!</v>
      </c>
      <c r="E1639" s="5">
        <v>48125</v>
      </c>
      <c r="K1639" s="22">
        <v>898</v>
      </c>
      <c r="L1639" s="6">
        <v>827</v>
      </c>
      <c r="M1639" s="125">
        <f t="shared" si="26"/>
        <v>-71</v>
      </c>
      <c r="N1639" s="7"/>
      <c r="O1639" s="132"/>
      <c r="P1639" s="175"/>
      <c r="V1639" s="207"/>
    </row>
    <row r="1640" spans="1:22" ht="15" customHeight="1">
      <c r="A1640" s="3">
        <v>38163</v>
      </c>
      <c r="B1640" s="9">
        <v>3225</v>
      </c>
      <c r="C1640" s="5">
        <v>33350</v>
      </c>
      <c r="D1640" s="5" t="e">
        <f>E1640-(#REF!+C1640)</f>
        <v>#REF!</v>
      </c>
      <c r="E1640" s="5">
        <v>47300</v>
      </c>
      <c r="K1640" s="22">
        <v>898</v>
      </c>
      <c r="L1640" s="6">
        <v>830</v>
      </c>
      <c r="M1640" s="125">
        <f t="shared" si="26"/>
        <v>-68</v>
      </c>
      <c r="N1640" s="7"/>
      <c r="O1640" s="132"/>
      <c r="P1640" s="175"/>
      <c r="V1640" s="207"/>
    </row>
    <row r="1641" spans="1:22" ht="15" customHeight="1">
      <c r="A1641" s="3">
        <v>38164</v>
      </c>
      <c r="B1641" s="9">
        <v>3225</v>
      </c>
      <c r="C1641" s="5">
        <v>32325</v>
      </c>
      <c r="D1641" s="5" t="e">
        <f>E1641-(#REF!+C1641)</f>
        <v>#REF!</v>
      </c>
      <c r="E1641" s="5">
        <v>46275</v>
      </c>
      <c r="K1641" s="22">
        <v>902</v>
      </c>
      <c r="L1641" s="6">
        <v>825</v>
      </c>
      <c r="M1641" s="125">
        <f t="shared" si="26"/>
        <v>-77</v>
      </c>
      <c r="N1641" s="7"/>
      <c r="O1641" s="132"/>
      <c r="P1641" s="175"/>
      <c r="V1641" s="207"/>
    </row>
    <row r="1642" spans="1:22" ht="15" customHeight="1">
      <c r="A1642" s="3">
        <v>38167</v>
      </c>
      <c r="B1642" s="9">
        <v>3175</v>
      </c>
      <c r="C1642" s="5">
        <v>31925</v>
      </c>
      <c r="D1642" s="5" t="e">
        <f>E1642-(#REF!+C1642)</f>
        <v>#REF!</v>
      </c>
      <c r="E1642" s="5">
        <v>45825</v>
      </c>
      <c r="K1642" s="22">
        <v>886</v>
      </c>
      <c r="L1642" s="6">
        <v>820</v>
      </c>
      <c r="M1642" s="125">
        <f t="shared" si="26"/>
        <v>-66</v>
      </c>
      <c r="N1642" s="7"/>
      <c r="O1642" s="132"/>
      <c r="P1642" s="175"/>
      <c r="V1642" s="207"/>
    </row>
    <row r="1643" spans="1:22" ht="15" customHeight="1">
      <c r="A1643" s="3">
        <v>38168</v>
      </c>
      <c r="B1643" s="9">
        <v>3175</v>
      </c>
      <c r="C1643" s="5">
        <v>31575</v>
      </c>
      <c r="D1643" s="5" t="e">
        <f>E1643-(#REF!+C1643)</f>
        <v>#REF!</v>
      </c>
      <c r="E1643" s="5">
        <v>45475</v>
      </c>
      <c r="K1643" s="22">
        <v>868</v>
      </c>
      <c r="L1643" s="6">
        <v>818</v>
      </c>
      <c r="M1643" s="125">
        <f t="shared" si="26"/>
        <v>-50</v>
      </c>
      <c r="N1643" s="7"/>
      <c r="O1643" s="132"/>
      <c r="P1643" s="175"/>
      <c r="V1643" s="207"/>
    </row>
    <row r="1644" spans="1:22" ht="15" customHeight="1">
      <c r="A1644" s="3">
        <v>38169</v>
      </c>
      <c r="B1644" s="9">
        <v>3150</v>
      </c>
      <c r="C1644" s="5">
        <v>31250</v>
      </c>
      <c r="D1644" s="5" t="e">
        <f>E1644-(#REF!+C1644)</f>
        <v>#REF!</v>
      </c>
      <c r="E1644" s="5">
        <v>45125</v>
      </c>
      <c r="K1644" s="22">
        <v>890</v>
      </c>
      <c r="L1644" s="6">
        <v>830</v>
      </c>
      <c r="M1644" s="125">
        <f t="shared" si="26"/>
        <v>-60</v>
      </c>
      <c r="N1644" s="7"/>
      <c r="O1644" s="132"/>
      <c r="P1644" s="175"/>
      <c r="V1644" s="207"/>
    </row>
    <row r="1645" spans="1:22" ht="15" customHeight="1">
      <c r="A1645" s="3">
        <v>38170</v>
      </c>
      <c r="B1645" s="9">
        <v>3075</v>
      </c>
      <c r="C1645" s="5">
        <v>30900</v>
      </c>
      <c r="D1645" s="5" t="e">
        <f>E1645-(#REF!+C1645)</f>
        <v>#REF!</v>
      </c>
      <c r="E1645" s="5">
        <v>44700</v>
      </c>
      <c r="K1645" s="22">
        <v>885</v>
      </c>
      <c r="L1645" s="6">
        <v>840</v>
      </c>
      <c r="M1645" s="125">
        <f t="shared" si="26"/>
        <v>-45</v>
      </c>
      <c r="N1645" s="7"/>
      <c r="O1645" s="132"/>
      <c r="P1645" s="175"/>
      <c r="V1645" s="207"/>
    </row>
    <row r="1646" spans="1:22" ht="15" customHeight="1">
      <c r="A1646" s="3">
        <v>38173</v>
      </c>
      <c r="B1646" s="9">
        <v>2850</v>
      </c>
      <c r="C1646" s="5">
        <v>30500</v>
      </c>
      <c r="D1646" s="5" t="e">
        <f>E1646-(#REF!+C1646)</f>
        <v>#REF!</v>
      </c>
      <c r="E1646" s="5">
        <v>44075</v>
      </c>
      <c r="K1646" s="22">
        <v>915</v>
      </c>
      <c r="L1646" s="6">
        <v>867</v>
      </c>
      <c r="M1646" s="125">
        <f t="shared" si="26"/>
        <v>-48</v>
      </c>
      <c r="N1646" s="7"/>
      <c r="O1646" s="132"/>
      <c r="P1646" s="175"/>
      <c r="V1646" s="207"/>
    </row>
    <row r="1647" spans="1:22" ht="15" customHeight="1">
      <c r="A1647" s="3">
        <v>38174</v>
      </c>
      <c r="B1647" s="9">
        <v>2850</v>
      </c>
      <c r="C1647" s="5">
        <v>30225</v>
      </c>
      <c r="D1647" s="5" t="e">
        <f>E1647-(#REF!+C1647)</f>
        <v>#REF!</v>
      </c>
      <c r="E1647" s="5">
        <v>43800</v>
      </c>
      <c r="K1647" s="22">
        <v>919</v>
      </c>
      <c r="L1647" s="6">
        <v>867</v>
      </c>
      <c r="M1647" s="125">
        <f t="shared" si="26"/>
        <v>-52</v>
      </c>
      <c r="N1647" s="7"/>
      <c r="O1647" s="132"/>
      <c r="P1647" s="175"/>
      <c r="V1647" s="207"/>
    </row>
    <row r="1648" spans="1:22" ht="15" customHeight="1">
      <c r="A1648" s="3">
        <v>38175</v>
      </c>
      <c r="B1648" s="9">
        <v>2725</v>
      </c>
      <c r="C1648" s="5">
        <v>30225</v>
      </c>
      <c r="D1648" s="5" t="e">
        <f>E1648-(#REF!+C1648)</f>
        <v>#REF!</v>
      </c>
      <c r="E1648" s="5">
        <v>43575</v>
      </c>
      <c r="K1648" s="22">
        <v>934</v>
      </c>
      <c r="L1648" s="6">
        <v>880</v>
      </c>
      <c r="M1648" s="125">
        <f t="shared" si="26"/>
        <v>-54</v>
      </c>
      <c r="N1648" s="7"/>
      <c r="O1648" s="132"/>
      <c r="P1648" s="175"/>
      <c r="V1648" s="207"/>
    </row>
    <row r="1649" spans="1:22" ht="15" customHeight="1">
      <c r="A1649" s="3">
        <v>38176</v>
      </c>
      <c r="B1649" s="9">
        <v>2700</v>
      </c>
      <c r="C1649" s="5">
        <v>29900</v>
      </c>
      <c r="D1649" s="5" t="e">
        <f>E1649-(#REF!+C1649)</f>
        <v>#REF!</v>
      </c>
      <c r="E1649" s="5">
        <v>43175</v>
      </c>
      <c r="K1649" s="22">
        <v>901</v>
      </c>
      <c r="L1649" s="6">
        <v>859</v>
      </c>
      <c r="M1649" s="125">
        <f t="shared" si="26"/>
        <v>-42</v>
      </c>
      <c r="N1649" s="7"/>
      <c r="O1649" s="132"/>
      <c r="P1649" s="175"/>
      <c r="V1649" s="207"/>
    </row>
    <row r="1650" spans="1:22" ht="15" customHeight="1">
      <c r="A1650" s="3">
        <v>38177</v>
      </c>
      <c r="B1650" s="9">
        <v>2700</v>
      </c>
      <c r="C1650" s="5">
        <v>29350</v>
      </c>
      <c r="D1650" s="5" t="e">
        <f>E1650-(#REF!+C1650)</f>
        <v>#REF!</v>
      </c>
      <c r="E1650" s="5">
        <v>42625</v>
      </c>
      <c r="K1650" s="22">
        <v>926</v>
      </c>
      <c r="L1650" s="6">
        <v>875</v>
      </c>
      <c r="M1650" s="125">
        <f t="shared" si="26"/>
        <v>-51</v>
      </c>
      <c r="N1650" s="7"/>
      <c r="O1650" s="132"/>
      <c r="P1650" s="175"/>
      <c r="V1650" s="207"/>
    </row>
    <row r="1651" spans="1:22" ht="15" customHeight="1">
      <c r="A1651" s="3">
        <v>38180</v>
      </c>
      <c r="B1651" s="9">
        <v>3250</v>
      </c>
      <c r="C1651" s="5">
        <v>29050</v>
      </c>
      <c r="D1651" s="5" t="e">
        <f>E1651-(#REF!+C1651)</f>
        <v>#REF!</v>
      </c>
      <c r="E1651" s="5">
        <v>42875</v>
      </c>
      <c r="K1651" s="22">
        <v>925</v>
      </c>
      <c r="L1651" s="6">
        <v>872</v>
      </c>
      <c r="M1651" s="125">
        <f t="shared" si="26"/>
        <v>-53</v>
      </c>
      <c r="N1651" s="7"/>
      <c r="O1651" s="132"/>
      <c r="P1651" s="175"/>
      <c r="V1651" s="207"/>
    </row>
    <row r="1652" spans="1:22" ht="15" customHeight="1">
      <c r="A1652" s="3">
        <v>38181</v>
      </c>
      <c r="B1652" s="9">
        <v>3175</v>
      </c>
      <c r="C1652" s="5">
        <v>28650</v>
      </c>
      <c r="D1652" s="5" t="e">
        <f>E1652-(#REF!+C1652)</f>
        <v>#REF!</v>
      </c>
      <c r="E1652" s="5">
        <v>42400</v>
      </c>
      <c r="K1652" s="22">
        <v>907.5</v>
      </c>
      <c r="L1652" s="6">
        <v>855</v>
      </c>
      <c r="M1652" s="125">
        <f t="shared" si="26"/>
        <v>-52.5</v>
      </c>
      <c r="N1652" s="7"/>
      <c r="O1652" s="132"/>
      <c r="P1652" s="175"/>
      <c r="V1652" s="207"/>
    </row>
    <row r="1653" spans="1:22" ht="15" customHeight="1">
      <c r="A1653" s="3">
        <v>38182</v>
      </c>
      <c r="B1653" s="9">
        <v>3175</v>
      </c>
      <c r="C1653" s="5">
        <v>28450</v>
      </c>
      <c r="D1653" s="5" t="e">
        <f>E1653-(#REF!+C1653)</f>
        <v>#REF!</v>
      </c>
      <c r="E1653" s="5">
        <v>42200</v>
      </c>
      <c r="K1653" s="22">
        <v>896</v>
      </c>
      <c r="L1653" s="6">
        <v>851</v>
      </c>
      <c r="M1653" s="125">
        <f t="shared" si="26"/>
        <v>-45</v>
      </c>
      <c r="N1653" s="7"/>
      <c r="O1653" s="132"/>
      <c r="P1653" s="175"/>
      <c r="V1653" s="207"/>
    </row>
    <row r="1654" spans="1:22" ht="15" customHeight="1">
      <c r="A1654" s="3">
        <v>38183</v>
      </c>
      <c r="B1654" s="9">
        <v>3175</v>
      </c>
      <c r="C1654" s="5">
        <v>28275</v>
      </c>
      <c r="D1654" s="5" t="e">
        <f>E1654-(#REF!+C1654)</f>
        <v>#REF!</v>
      </c>
      <c r="E1654" s="5">
        <v>41950</v>
      </c>
      <c r="K1654" s="22">
        <v>919</v>
      </c>
      <c r="L1654" s="6">
        <v>866</v>
      </c>
      <c r="M1654" s="125">
        <f t="shared" si="26"/>
        <v>-53</v>
      </c>
      <c r="N1654" s="7"/>
      <c r="O1654" s="132"/>
      <c r="P1654" s="175"/>
      <c r="V1654" s="207"/>
    </row>
    <row r="1655" spans="1:22" ht="15" customHeight="1">
      <c r="A1655" s="3">
        <v>38186</v>
      </c>
      <c r="B1655" s="9">
        <v>3175</v>
      </c>
      <c r="C1655" s="5">
        <v>27875</v>
      </c>
      <c r="D1655" s="5" t="e">
        <f>E1655-(#REF!+C1655)</f>
        <v>#REF!</v>
      </c>
      <c r="E1655" s="5">
        <v>41300</v>
      </c>
      <c r="K1655" s="22">
        <v>938</v>
      </c>
      <c r="L1655" s="6">
        <v>883</v>
      </c>
      <c r="M1655" s="125">
        <f t="shared" ref="M1655:M1718" si="27">L1655-K1655</f>
        <v>-55</v>
      </c>
      <c r="N1655" s="7"/>
      <c r="O1655" s="132"/>
      <c r="P1655" s="175"/>
      <c r="V1655" s="207"/>
    </row>
    <row r="1656" spans="1:22" ht="15" customHeight="1">
      <c r="A1656" s="3">
        <v>38187</v>
      </c>
      <c r="B1656" s="9">
        <v>3175</v>
      </c>
      <c r="C1656" s="5">
        <v>27500</v>
      </c>
      <c r="D1656" s="5" t="e">
        <f>E1656-(#REF!+C1656)</f>
        <v>#REF!</v>
      </c>
      <c r="E1656" s="5">
        <v>40875</v>
      </c>
      <c r="K1656" s="22">
        <v>934</v>
      </c>
      <c r="L1656" s="6">
        <v>880</v>
      </c>
      <c r="M1656" s="125">
        <f t="shared" si="27"/>
        <v>-54</v>
      </c>
      <c r="N1656" s="7"/>
      <c r="O1656" s="132"/>
      <c r="P1656" s="175"/>
      <c r="V1656" s="207"/>
    </row>
    <row r="1657" spans="1:22" ht="15" customHeight="1">
      <c r="A1657" s="3">
        <v>38188</v>
      </c>
      <c r="B1657" s="9">
        <v>3600</v>
      </c>
      <c r="C1657" s="5">
        <v>27325</v>
      </c>
      <c r="D1657" s="5" t="e">
        <f>E1657-(#REF!+C1657)</f>
        <v>#REF!</v>
      </c>
      <c r="E1657" s="5">
        <v>40975</v>
      </c>
      <c r="K1657" s="22">
        <v>919</v>
      </c>
      <c r="L1657" s="6">
        <v>866.5</v>
      </c>
      <c r="M1657" s="125">
        <f t="shared" si="27"/>
        <v>-52.5</v>
      </c>
      <c r="N1657" s="7"/>
      <c r="O1657" s="132"/>
      <c r="P1657" s="175"/>
      <c r="V1657" s="207"/>
    </row>
    <row r="1658" spans="1:22" ht="15" customHeight="1">
      <c r="A1658" s="3">
        <v>38189</v>
      </c>
      <c r="B1658" s="9">
        <v>3600</v>
      </c>
      <c r="C1658" s="5">
        <v>27000</v>
      </c>
      <c r="D1658" s="5" t="e">
        <f>E1658-(#REF!+C1658)</f>
        <v>#REF!</v>
      </c>
      <c r="E1658" s="5">
        <v>40325</v>
      </c>
      <c r="K1658" s="22">
        <v>936</v>
      </c>
      <c r="L1658" s="6">
        <v>875</v>
      </c>
      <c r="M1658" s="125">
        <f t="shared" si="27"/>
        <v>-61</v>
      </c>
      <c r="N1658" s="7"/>
      <c r="O1658" s="132"/>
      <c r="P1658" s="175"/>
      <c r="V1658" s="207"/>
    </row>
    <row r="1659" spans="1:22" ht="15" customHeight="1">
      <c r="A1659" s="3">
        <v>38190</v>
      </c>
      <c r="B1659" s="9">
        <v>3525</v>
      </c>
      <c r="C1659" s="5">
        <v>26550</v>
      </c>
      <c r="D1659" s="5" t="e">
        <f>E1659-(#REF!+C1659)</f>
        <v>#REF!</v>
      </c>
      <c r="E1659" s="5">
        <v>39700</v>
      </c>
      <c r="K1659" s="22">
        <v>945</v>
      </c>
      <c r="L1659" s="6">
        <v>880</v>
      </c>
      <c r="M1659" s="125">
        <f t="shared" si="27"/>
        <v>-65</v>
      </c>
      <c r="N1659" s="7"/>
      <c r="O1659" s="132"/>
      <c r="P1659" s="175"/>
      <c r="V1659" s="207"/>
    </row>
    <row r="1660" spans="1:22" ht="15" customHeight="1">
      <c r="A1660" s="3">
        <v>38191</v>
      </c>
      <c r="B1660" s="9">
        <v>3525</v>
      </c>
      <c r="C1660" s="5">
        <v>26175</v>
      </c>
      <c r="D1660" s="5" t="e">
        <f>E1660-(#REF!+C1660)</f>
        <v>#REF!</v>
      </c>
      <c r="E1660" s="5">
        <v>39275</v>
      </c>
      <c r="K1660" s="22">
        <v>938</v>
      </c>
      <c r="L1660" s="6">
        <v>852</v>
      </c>
      <c r="M1660" s="125">
        <f t="shared" si="27"/>
        <v>-86</v>
      </c>
      <c r="N1660" s="7"/>
      <c r="O1660" s="132"/>
      <c r="P1660" s="175"/>
      <c r="V1660" s="207"/>
    </row>
    <row r="1661" spans="1:22" ht="15" customHeight="1">
      <c r="A1661" s="3">
        <v>38194</v>
      </c>
      <c r="B1661" s="9">
        <v>3525</v>
      </c>
      <c r="C1661" s="5">
        <v>25825</v>
      </c>
      <c r="D1661" s="5" t="e">
        <f>E1661-(#REF!+C1661)</f>
        <v>#REF!</v>
      </c>
      <c r="E1661" s="5">
        <v>38925</v>
      </c>
      <c r="K1661" s="22">
        <v>975.5</v>
      </c>
      <c r="L1661" s="6">
        <v>879</v>
      </c>
      <c r="M1661" s="125">
        <f t="shared" si="27"/>
        <v>-96.5</v>
      </c>
      <c r="N1661" s="7"/>
      <c r="O1661" s="132"/>
      <c r="P1661" s="175"/>
      <c r="V1661" s="207"/>
    </row>
    <row r="1662" spans="1:22" ht="15" customHeight="1">
      <c r="A1662" s="3">
        <v>38195</v>
      </c>
      <c r="B1662" s="9">
        <v>3525</v>
      </c>
      <c r="C1662" s="5">
        <v>25125</v>
      </c>
      <c r="D1662" s="5" t="e">
        <f>E1662-(#REF!+C1662)</f>
        <v>#REF!</v>
      </c>
      <c r="E1662" s="5">
        <v>38225</v>
      </c>
      <c r="K1662" s="22">
        <v>995</v>
      </c>
      <c r="L1662" s="6">
        <v>892</v>
      </c>
      <c r="M1662" s="125">
        <f t="shared" si="27"/>
        <v>-103</v>
      </c>
      <c r="N1662" s="7"/>
      <c r="O1662" s="132"/>
      <c r="P1662" s="175"/>
      <c r="V1662" s="207"/>
    </row>
    <row r="1663" spans="1:22" ht="15" customHeight="1">
      <c r="A1663" s="3">
        <v>38196</v>
      </c>
      <c r="B1663" s="9">
        <v>3525</v>
      </c>
      <c r="C1663" s="5">
        <v>24625</v>
      </c>
      <c r="D1663" s="5" t="e">
        <f>E1663-(#REF!+C1663)</f>
        <v>#REF!</v>
      </c>
      <c r="E1663" s="5">
        <v>37725</v>
      </c>
      <c r="K1663" s="22">
        <v>1020</v>
      </c>
      <c r="L1663" s="6">
        <v>910</v>
      </c>
      <c r="M1663" s="125">
        <f t="shared" si="27"/>
        <v>-110</v>
      </c>
      <c r="N1663" s="7"/>
      <c r="O1663" s="132"/>
      <c r="P1663" s="175"/>
      <c r="V1663" s="207"/>
    </row>
    <row r="1664" spans="1:22" ht="15" customHeight="1">
      <c r="A1664" s="3">
        <v>38197</v>
      </c>
      <c r="B1664" s="9">
        <v>3525</v>
      </c>
      <c r="C1664" s="5">
        <v>24375</v>
      </c>
      <c r="D1664" s="5" t="e">
        <f>E1664-(#REF!+C1664)</f>
        <v>#REF!</v>
      </c>
      <c r="E1664" s="5">
        <v>37475</v>
      </c>
      <c r="K1664" s="22">
        <v>1014</v>
      </c>
      <c r="L1664" s="6">
        <v>908</v>
      </c>
      <c r="M1664" s="125">
        <f t="shared" si="27"/>
        <v>-106</v>
      </c>
      <c r="N1664" s="7"/>
      <c r="O1664" s="132"/>
      <c r="P1664" s="175"/>
      <c r="V1664" s="207"/>
    </row>
    <row r="1665" spans="1:22" ht="15" customHeight="1">
      <c r="A1665" s="3">
        <v>38198</v>
      </c>
      <c r="B1665" s="9">
        <v>3525</v>
      </c>
      <c r="C1665" s="5">
        <v>23975</v>
      </c>
      <c r="D1665" s="5" t="e">
        <f>E1665-(#REF!+C1665)</f>
        <v>#REF!</v>
      </c>
      <c r="E1665" s="5">
        <v>37175</v>
      </c>
      <c r="K1665" s="22">
        <v>1039</v>
      </c>
      <c r="L1665" s="6">
        <v>895</v>
      </c>
      <c r="M1665" s="125">
        <f t="shared" si="27"/>
        <v>-144</v>
      </c>
      <c r="N1665" s="7"/>
      <c r="O1665" s="132"/>
      <c r="P1665" s="175"/>
      <c r="V1665" s="207"/>
    </row>
    <row r="1666" spans="1:22" ht="15" customHeight="1">
      <c r="A1666" s="3">
        <v>38201</v>
      </c>
      <c r="B1666" s="9">
        <v>4025</v>
      </c>
      <c r="C1666" s="5">
        <v>23650</v>
      </c>
      <c r="D1666" s="5" t="e">
        <f>E1666-(#REF!+C1666)</f>
        <v>#REF!</v>
      </c>
      <c r="E1666" s="5">
        <v>37450</v>
      </c>
      <c r="K1666" s="22">
        <v>961</v>
      </c>
      <c r="L1666" s="6">
        <v>874</v>
      </c>
      <c r="M1666" s="125">
        <f t="shared" si="27"/>
        <v>-87</v>
      </c>
      <c r="N1666" s="7"/>
      <c r="O1666" s="132"/>
      <c r="P1666" s="175"/>
      <c r="V1666" s="207"/>
    </row>
    <row r="1667" spans="1:22" ht="15" customHeight="1">
      <c r="A1667" s="3">
        <v>38202</v>
      </c>
      <c r="B1667" s="9">
        <v>4025</v>
      </c>
      <c r="C1667" s="5">
        <v>23125</v>
      </c>
      <c r="D1667" s="5" t="e">
        <f>E1667-(#REF!+C1667)</f>
        <v>#REF!</v>
      </c>
      <c r="E1667" s="5">
        <v>36975</v>
      </c>
      <c r="K1667" s="22">
        <v>950</v>
      </c>
      <c r="L1667" s="6">
        <v>868</v>
      </c>
      <c r="M1667" s="125">
        <f t="shared" si="27"/>
        <v>-82</v>
      </c>
      <c r="N1667" s="7"/>
      <c r="O1667" s="132"/>
      <c r="P1667" s="175"/>
      <c r="V1667" s="207"/>
    </row>
    <row r="1668" spans="1:22" ht="15" customHeight="1">
      <c r="A1668" s="3">
        <v>38203</v>
      </c>
      <c r="B1668" s="9">
        <v>4025</v>
      </c>
      <c r="C1668" s="5">
        <v>22775</v>
      </c>
      <c r="D1668" s="5" t="e">
        <f>E1668-(#REF!+C1668)</f>
        <v>#REF!</v>
      </c>
      <c r="E1668" s="5">
        <v>37850</v>
      </c>
      <c r="K1668" s="22">
        <v>966</v>
      </c>
      <c r="L1668" s="6">
        <v>887</v>
      </c>
      <c r="M1668" s="125">
        <f t="shared" si="27"/>
        <v>-79</v>
      </c>
      <c r="N1668" s="7"/>
      <c r="O1668" s="132"/>
      <c r="P1668" s="175"/>
      <c r="V1668" s="207"/>
    </row>
    <row r="1669" spans="1:22" ht="15" customHeight="1">
      <c r="A1669" s="3">
        <v>38204</v>
      </c>
      <c r="B1669" s="9">
        <v>4025</v>
      </c>
      <c r="C1669" s="5">
        <v>22525</v>
      </c>
      <c r="D1669" s="5" t="e">
        <f>E1669-(#REF!+C1669)</f>
        <v>#REF!</v>
      </c>
      <c r="E1669" s="5">
        <v>39650</v>
      </c>
      <c r="K1669" s="22">
        <v>980</v>
      </c>
      <c r="L1669" s="6">
        <v>900</v>
      </c>
      <c r="M1669" s="125">
        <f t="shared" si="27"/>
        <v>-80</v>
      </c>
      <c r="N1669" s="7"/>
      <c r="O1669" s="132"/>
      <c r="P1669" s="175"/>
      <c r="V1669" s="207"/>
    </row>
    <row r="1670" spans="1:22" ht="15" customHeight="1">
      <c r="A1670" s="3">
        <v>38205</v>
      </c>
      <c r="B1670" s="9">
        <v>4325</v>
      </c>
      <c r="C1670" s="5">
        <v>22000</v>
      </c>
      <c r="D1670" s="5" t="e">
        <f>E1670-(#REF!+C1670)</f>
        <v>#REF!</v>
      </c>
      <c r="E1670" s="5">
        <v>40125</v>
      </c>
      <c r="K1670" s="22">
        <v>889</v>
      </c>
      <c r="L1670" s="6">
        <v>861.5</v>
      </c>
      <c r="M1670" s="125">
        <f t="shared" si="27"/>
        <v>-27.5</v>
      </c>
      <c r="N1670" s="7"/>
      <c r="O1670" s="132"/>
      <c r="P1670" s="175"/>
      <c r="V1670" s="207"/>
    </row>
    <row r="1671" spans="1:22" ht="15" customHeight="1">
      <c r="A1671" s="3">
        <v>38208</v>
      </c>
      <c r="B1671" s="9">
        <v>4825</v>
      </c>
      <c r="C1671" s="5">
        <v>21725</v>
      </c>
      <c r="D1671" s="5" t="e">
        <f>E1671-(#REF!+C1671)</f>
        <v>#REF!</v>
      </c>
      <c r="E1671" s="5">
        <v>40675</v>
      </c>
      <c r="K1671" s="22">
        <v>873.5</v>
      </c>
      <c r="L1671" s="6">
        <v>836</v>
      </c>
      <c r="M1671" s="125">
        <f t="shared" si="27"/>
        <v>-37.5</v>
      </c>
      <c r="N1671" s="7"/>
      <c r="O1671" s="132"/>
      <c r="P1671" s="175"/>
      <c r="V1671" s="207"/>
    </row>
    <row r="1672" spans="1:22" ht="15" customHeight="1">
      <c r="A1672" s="3">
        <v>38209</v>
      </c>
      <c r="B1672" s="9">
        <v>4825</v>
      </c>
      <c r="C1672" s="5">
        <v>20950</v>
      </c>
      <c r="D1672" s="5" t="e">
        <f>E1672-(#REF!+C1672)</f>
        <v>#REF!</v>
      </c>
      <c r="E1672" s="5">
        <v>40050</v>
      </c>
      <c r="K1672" s="22">
        <v>899.5</v>
      </c>
      <c r="L1672" s="6">
        <v>856</v>
      </c>
      <c r="M1672" s="125">
        <f t="shared" si="27"/>
        <v>-43.5</v>
      </c>
      <c r="N1672" s="7"/>
      <c r="O1672" s="132"/>
      <c r="P1672" s="175"/>
      <c r="V1672" s="207"/>
    </row>
    <row r="1673" spans="1:22" ht="15" customHeight="1">
      <c r="A1673" s="3">
        <v>38210</v>
      </c>
      <c r="B1673" s="9">
        <v>4500</v>
      </c>
      <c r="C1673" s="5">
        <v>20850</v>
      </c>
      <c r="D1673" s="5" t="e">
        <f>E1673-(#REF!+C1673)</f>
        <v>#REF!</v>
      </c>
      <c r="E1673" s="5">
        <v>39625</v>
      </c>
      <c r="K1673" s="22">
        <v>945</v>
      </c>
      <c r="L1673" s="6">
        <v>871</v>
      </c>
      <c r="M1673" s="125">
        <f t="shared" si="27"/>
        <v>-74</v>
      </c>
      <c r="N1673" s="7"/>
      <c r="O1673" s="132"/>
      <c r="P1673" s="175"/>
      <c r="V1673" s="207"/>
    </row>
    <row r="1674" spans="1:22" ht="15" customHeight="1">
      <c r="A1674" s="3">
        <v>38211</v>
      </c>
      <c r="B1674" s="9">
        <v>4500</v>
      </c>
      <c r="C1674" s="5">
        <v>20775</v>
      </c>
      <c r="D1674" s="5" t="e">
        <f>E1674-(#REF!+C1674)</f>
        <v>#REF!</v>
      </c>
      <c r="E1674" s="5">
        <v>39550</v>
      </c>
      <c r="K1674" s="22">
        <v>940</v>
      </c>
      <c r="L1674" s="6">
        <v>880</v>
      </c>
      <c r="M1674" s="125">
        <f t="shared" si="27"/>
        <v>-60</v>
      </c>
      <c r="N1674" s="7"/>
      <c r="O1674" s="132"/>
      <c r="P1674" s="175"/>
      <c r="V1674" s="207"/>
    </row>
    <row r="1675" spans="1:22" ht="15" customHeight="1">
      <c r="A1675" s="3">
        <v>38212</v>
      </c>
      <c r="B1675" s="9">
        <v>4800</v>
      </c>
      <c r="C1675" s="5">
        <v>20750</v>
      </c>
      <c r="D1675" s="5" t="e">
        <f>E1675-(#REF!+C1675)</f>
        <v>#REF!</v>
      </c>
      <c r="E1675" s="5">
        <v>39825</v>
      </c>
      <c r="K1675" s="22">
        <v>920</v>
      </c>
      <c r="L1675" s="6">
        <v>866</v>
      </c>
      <c r="M1675" s="125">
        <f t="shared" si="27"/>
        <v>-54</v>
      </c>
      <c r="N1675" s="7"/>
      <c r="O1675" s="132"/>
      <c r="P1675" s="175"/>
      <c r="V1675" s="207"/>
    </row>
    <row r="1676" spans="1:22" ht="15" customHeight="1">
      <c r="A1676" s="3">
        <v>38215</v>
      </c>
      <c r="B1676" s="9">
        <v>4800</v>
      </c>
      <c r="C1676" s="5">
        <v>20450</v>
      </c>
      <c r="D1676" s="5" t="e">
        <f>E1676-(#REF!+C1676)</f>
        <v>#REF!</v>
      </c>
      <c r="E1676" s="5">
        <v>39525</v>
      </c>
      <c r="K1676" s="22">
        <v>944</v>
      </c>
      <c r="L1676" s="6">
        <v>889</v>
      </c>
      <c r="M1676" s="125">
        <f t="shared" si="27"/>
        <v>-55</v>
      </c>
      <c r="N1676" s="7"/>
      <c r="O1676" s="132"/>
      <c r="P1676" s="175"/>
      <c r="V1676" s="207"/>
    </row>
    <row r="1677" spans="1:22" ht="15" customHeight="1">
      <c r="A1677" s="3">
        <v>38216</v>
      </c>
      <c r="B1677" s="9">
        <v>4800</v>
      </c>
      <c r="C1677" s="5">
        <v>20225</v>
      </c>
      <c r="D1677" s="5" t="e">
        <f>E1677-(#REF!+C1677)</f>
        <v>#REF!</v>
      </c>
      <c r="E1677" s="5">
        <v>39300</v>
      </c>
      <c r="K1677" s="22">
        <v>912</v>
      </c>
      <c r="L1677" s="6">
        <v>864</v>
      </c>
      <c r="M1677" s="125">
        <f t="shared" si="27"/>
        <v>-48</v>
      </c>
      <c r="N1677" s="7"/>
      <c r="O1677" s="132"/>
      <c r="P1677" s="175"/>
      <c r="V1677" s="207"/>
    </row>
    <row r="1678" spans="1:22" ht="15" customHeight="1">
      <c r="A1678" s="3">
        <v>38217</v>
      </c>
      <c r="B1678" s="9">
        <v>4800</v>
      </c>
      <c r="C1678" s="5">
        <v>19800</v>
      </c>
      <c r="D1678" s="5" t="e">
        <f>E1678-(#REF!+C1678)</f>
        <v>#REF!</v>
      </c>
      <c r="E1678" s="5">
        <v>38875</v>
      </c>
      <c r="K1678" s="22">
        <v>882.5</v>
      </c>
      <c r="L1678" s="6">
        <v>843</v>
      </c>
      <c r="M1678" s="125">
        <f t="shared" si="27"/>
        <v>-39.5</v>
      </c>
      <c r="N1678" s="7"/>
      <c r="O1678" s="132"/>
      <c r="P1678" s="175"/>
      <c r="V1678" s="207"/>
    </row>
    <row r="1679" spans="1:22" ht="15" customHeight="1">
      <c r="A1679" s="3">
        <v>38218</v>
      </c>
      <c r="B1679" s="9">
        <v>4675</v>
      </c>
      <c r="C1679" s="5">
        <v>19575</v>
      </c>
      <c r="D1679" s="5" t="e">
        <f>E1679-(#REF!+C1679)</f>
        <v>#REF!</v>
      </c>
      <c r="E1679" s="5">
        <v>38525</v>
      </c>
      <c r="K1679" s="22">
        <v>910</v>
      </c>
      <c r="L1679" s="6">
        <v>862</v>
      </c>
      <c r="M1679" s="125">
        <f t="shared" si="27"/>
        <v>-48</v>
      </c>
      <c r="N1679" s="7"/>
      <c r="O1679" s="132"/>
      <c r="P1679" s="175"/>
      <c r="V1679" s="207"/>
    </row>
    <row r="1680" spans="1:22" ht="15" customHeight="1">
      <c r="A1680" s="3">
        <v>38219</v>
      </c>
      <c r="B1680" s="9">
        <v>4675</v>
      </c>
      <c r="C1680" s="5">
        <v>19225</v>
      </c>
      <c r="D1680" s="5" t="e">
        <f>E1680-(#REF!+C1680)</f>
        <v>#REF!</v>
      </c>
      <c r="E1680" s="5">
        <v>38175</v>
      </c>
      <c r="K1680" s="22">
        <v>904</v>
      </c>
      <c r="L1680" s="6">
        <v>851</v>
      </c>
      <c r="M1680" s="125">
        <f t="shared" si="27"/>
        <v>-53</v>
      </c>
      <c r="N1680" s="7"/>
      <c r="O1680" s="132"/>
      <c r="P1680" s="175"/>
      <c r="V1680" s="207"/>
    </row>
    <row r="1681" spans="1:23" ht="15" customHeight="1">
      <c r="A1681" s="3">
        <v>38222</v>
      </c>
      <c r="B1681" s="9">
        <v>4575</v>
      </c>
      <c r="C1681" s="5">
        <v>18925</v>
      </c>
      <c r="D1681" s="5" t="e">
        <f>E1681-(#REF!+C1681)</f>
        <v>#REF!</v>
      </c>
      <c r="E1681" s="5">
        <v>37775</v>
      </c>
      <c r="K1681" s="22">
        <v>913</v>
      </c>
      <c r="L1681" s="6">
        <v>851</v>
      </c>
      <c r="M1681" s="125">
        <f t="shared" si="27"/>
        <v>-62</v>
      </c>
      <c r="N1681" s="7"/>
      <c r="O1681" s="132"/>
      <c r="P1681" s="175"/>
      <c r="V1681" s="207"/>
    </row>
    <row r="1682" spans="1:23" ht="15" customHeight="1">
      <c r="A1682" s="3">
        <v>38223</v>
      </c>
      <c r="B1682" s="9">
        <v>4575</v>
      </c>
      <c r="C1682" s="5">
        <v>18425</v>
      </c>
      <c r="D1682" s="5" t="e">
        <f>E1682-(#REF!+C1682)</f>
        <v>#REF!</v>
      </c>
      <c r="E1682" s="5">
        <v>37275</v>
      </c>
      <c r="K1682" s="22">
        <v>903</v>
      </c>
      <c r="L1682" s="6">
        <v>848</v>
      </c>
      <c r="M1682" s="125">
        <f t="shared" si="27"/>
        <v>-55</v>
      </c>
      <c r="N1682" s="7"/>
      <c r="O1682" s="132"/>
      <c r="P1682" s="175"/>
      <c r="V1682" s="207"/>
    </row>
    <row r="1683" spans="1:23" ht="15" customHeight="1">
      <c r="A1683" s="3">
        <v>38224</v>
      </c>
      <c r="B1683" s="9">
        <v>4575</v>
      </c>
      <c r="C1683" s="5">
        <v>18300</v>
      </c>
      <c r="D1683" s="5" t="e">
        <f>E1683-(#REF!+C1683)</f>
        <v>#REF!</v>
      </c>
      <c r="E1683" s="5">
        <v>37125</v>
      </c>
      <c r="K1683" s="22">
        <v>904</v>
      </c>
      <c r="L1683" s="6">
        <v>844</v>
      </c>
      <c r="M1683" s="125">
        <f t="shared" si="27"/>
        <v>-60</v>
      </c>
      <c r="N1683" s="7"/>
      <c r="O1683" s="132"/>
      <c r="P1683" s="175"/>
      <c r="V1683" s="207"/>
    </row>
    <row r="1684" spans="1:23" ht="15" customHeight="1">
      <c r="A1684" s="3">
        <v>38225</v>
      </c>
      <c r="B1684" s="9">
        <v>4575</v>
      </c>
      <c r="C1684" s="5">
        <v>18125</v>
      </c>
      <c r="D1684" s="5" t="e">
        <f>E1684-(#REF!+C1684)</f>
        <v>#REF!</v>
      </c>
      <c r="E1684" s="5">
        <v>36950</v>
      </c>
      <c r="K1684" s="22">
        <v>921</v>
      </c>
      <c r="L1684" s="6">
        <v>860</v>
      </c>
      <c r="M1684" s="125">
        <f t="shared" si="27"/>
        <v>-61</v>
      </c>
      <c r="N1684" s="7"/>
      <c r="O1684" s="132"/>
      <c r="P1684" s="175"/>
      <c r="V1684" s="207"/>
    </row>
    <row r="1685" spans="1:23" ht="15" customHeight="1">
      <c r="A1685" s="3">
        <v>38226</v>
      </c>
      <c r="B1685" s="9">
        <v>4475</v>
      </c>
      <c r="C1685" s="5">
        <v>17800</v>
      </c>
      <c r="D1685" s="5" t="e">
        <f>E1685-(#REF!+C1685)</f>
        <v>#REF!</v>
      </c>
      <c r="E1685" s="5">
        <v>36525</v>
      </c>
      <c r="K1685" s="22">
        <v>919</v>
      </c>
      <c r="L1685" s="6">
        <v>858</v>
      </c>
      <c r="M1685" s="125">
        <f t="shared" si="27"/>
        <v>-61</v>
      </c>
      <c r="N1685" s="7"/>
      <c r="O1685" s="132"/>
      <c r="P1685" s="175"/>
      <c r="V1685" s="207"/>
    </row>
    <row r="1686" spans="1:23" ht="15" customHeight="1" thickBot="1">
      <c r="A1686" s="11">
        <v>38230</v>
      </c>
      <c r="B1686" s="9">
        <v>4475</v>
      </c>
      <c r="C1686" s="13">
        <v>17800</v>
      </c>
      <c r="D1686" s="13" t="e">
        <f>E1686-(#REF!+C1686)</f>
        <v>#REF!</v>
      </c>
      <c r="E1686" s="13">
        <v>36525</v>
      </c>
      <c r="F1686" s="12"/>
      <c r="G1686" s="13"/>
      <c r="H1686" s="13"/>
      <c r="I1686" s="119"/>
      <c r="J1686" s="119"/>
      <c r="K1686" s="23">
        <v>919</v>
      </c>
      <c r="L1686" s="14">
        <v>858</v>
      </c>
      <c r="M1686" s="126">
        <f t="shared" si="27"/>
        <v>-61</v>
      </c>
      <c r="N1686" s="21"/>
      <c r="O1686" s="133"/>
      <c r="P1686" s="176"/>
      <c r="Q1686" s="27"/>
      <c r="R1686" s="27"/>
      <c r="S1686" s="27"/>
      <c r="T1686" s="27"/>
      <c r="U1686" s="385"/>
      <c r="V1686" s="284"/>
      <c r="W1686" s="286"/>
    </row>
    <row r="1687" spans="1:23" ht="15" customHeight="1">
      <c r="A1687" s="3">
        <v>38231</v>
      </c>
      <c r="B1687" s="9">
        <v>4375</v>
      </c>
      <c r="C1687" s="5">
        <v>17025</v>
      </c>
      <c r="D1687" s="5" t="e">
        <f>E1687-(#REF!+C1687)</f>
        <v>#REF!</v>
      </c>
      <c r="E1687" s="5">
        <v>35625</v>
      </c>
      <c r="K1687" s="22">
        <v>893.5</v>
      </c>
      <c r="L1687" s="6">
        <v>846</v>
      </c>
      <c r="M1687" s="125">
        <f t="shared" si="27"/>
        <v>-47.5</v>
      </c>
      <c r="N1687" s="7"/>
      <c r="O1687" s="132"/>
      <c r="P1687" s="175"/>
      <c r="V1687" s="207"/>
    </row>
    <row r="1688" spans="1:23" ht="15" customHeight="1">
      <c r="A1688" s="3">
        <v>38232</v>
      </c>
      <c r="B1688" s="9">
        <v>3450</v>
      </c>
      <c r="C1688" s="5">
        <v>16925</v>
      </c>
      <c r="D1688" s="5" t="e">
        <f>E1688-(#REF!+C1688)</f>
        <v>#REF!</v>
      </c>
      <c r="E1688" s="5">
        <v>34600</v>
      </c>
      <c r="K1688" s="22">
        <v>877</v>
      </c>
      <c r="L1688" s="6">
        <v>843</v>
      </c>
      <c r="M1688" s="125">
        <f t="shared" si="27"/>
        <v>-34</v>
      </c>
      <c r="N1688" s="7"/>
      <c r="O1688" s="132"/>
      <c r="P1688" s="175"/>
      <c r="V1688" s="207"/>
    </row>
    <row r="1689" spans="1:23" ht="15" customHeight="1">
      <c r="A1689" s="3">
        <v>38233</v>
      </c>
      <c r="B1689" s="9">
        <v>3300</v>
      </c>
      <c r="C1689" s="5">
        <v>16625</v>
      </c>
      <c r="D1689" s="5" t="e">
        <f>E1689-(#REF!+C1689)</f>
        <v>#REF!</v>
      </c>
      <c r="E1689" s="5">
        <v>34150</v>
      </c>
      <c r="K1689" s="22">
        <v>891</v>
      </c>
      <c r="L1689" s="6">
        <v>850</v>
      </c>
      <c r="M1689" s="125">
        <f t="shared" si="27"/>
        <v>-41</v>
      </c>
      <c r="N1689" s="7"/>
      <c r="O1689" s="132"/>
      <c r="P1689" s="175"/>
      <c r="V1689" s="207"/>
    </row>
    <row r="1690" spans="1:23" ht="15" customHeight="1">
      <c r="A1690" s="3">
        <v>38236</v>
      </c>
      <c r="B1690" s="9">
        <v>3275</v>
      </c>
      <c r="C1690" s="5">
        <v>16375</v>
      </c>
      <c r="D1690" s="5" t="e">
        <f>E1690-(#REF!+C1690)</f>
        <v>#REF!</v>
      </c>
      <c r="E1690" s="5">
        <v>33875</v>
      </c>
      <c r="K1690" s="22">
        <v>897.5</v>
      </c>
      <c r="L1690" s="6">
        <v>853</v>
      </c>
      <c r="M1690" s="125">
        <f t="shared" si="27"/>
        <v>-44.5</v>
      </c>
      <c r="N1690" s="7"/>
      <c r="O1690" s="132"/>
      <c r="P1690" s="175"/>
      <c r="V1690" s="207"/>
    </row>
    <row r="1691" spans="1:23" ht="15" customHeight="1">
      <c r="A1691" s="3">
        <v>38237</v>
      </c>
      <c r="B1691" s="9">
        <v>3175</v>
      </c>
      <c r="C1691" s="5">
        <v>16375</v>
      </c>
      <c r="D1691" s="5" t="e">
        <f>E1691-(#REF!+C1691)</f>
        <v>#REF!</v>
      </c>
      <c r="E1691" s="5">
        <v>33775</v>
      </c>
      <c r="K1691" s="22">
        <v>916</v>
      </c>
      <c r="L1691" s="6">
        <v>867</v>
      </c>
      <c r="M1691" s="125">
        <f t="shared" si="27"/>
        <v>-49</v>
      </c>
      <c r="N1691" s="7"/>
      <c r="O1691" s="132"/>
      <c r="P1691" s="175"/>
      <c r="V1691" s="207"/>
    </row>
    <row r="1692" spans="1:23" ht="15" customHeight="1">
      <c r="A1692" s="3">
        <v>38238</v>
      </c>
      <c r="B1692" s="9">
        <v>3175</v>
      </c>
      <c r="C1692" s="5">
        <v>16375</v>
      </c>
      <c r="D1692" s="5" t="e">
        <f>E1692-(#REF!+C1692)</f>
        <v>#REF!</v>
      </c>
      <c r="E1692" s="5">
        <v>33775</v>
      </c>
      <c r="K1692" s="22">
        <v>924</v>
      </c>
      <c r="L1692" s="6">
        <v>870</v>
      </c>
      <c r="M1692" s="125">
        <f t="shared" si="27"/>
        <v>-54</v>
      </c>
      <c r="N1692" s="7"/>
      <c r="O1692" s="132"/>
      <c r="P1692" s="175"/>
      <c r="V1692" s="207"/>
    </row>
    <row r="1693" spans="1:23" ht="15" customHeight="1">
      <c r="A1693" s="3">
        <v>38239</v>
      </c>
      <c r="B1693" s="9">
        <v>3175</v>
      </c>
      <c r="C1693" s="5">
        <v>16300</v>
      </c>
      <c r="D1693" s="5" t="e">
        <f>E1693-(#REF!+C1693)</f>
        <v>#REF!</v>
      </c>
      <c r="E1693" s="5">
        <v>33700</v>
      </c>
      <c r="K1693" s="22">
        <v>931.5</v>
      </c>
      <c r="L1693" s="6">
        <v>880</v>
      </c>
      <c r="M1693" s="125">
        <f t="shared" si="27"/>
        <v>-51.5</v>
      </c>
      <c r="N1693" s="7"/>
      <c r="O1693" s="132"/>
      <c r="P1693" s="175"/>
      <c r="V1693" s="207"/>
    </row>
    <row r="1694" spans="1:23" ht="15" customHeight="1">
      <c r="A1694" s="3">
        <v>38240</v>
      </c>
      <c r="B1694" s="9">
        <v>3175</v>
      </c>
      <c r="C1694" s="5">
        <v>16175</v>
      </c>
      <c r="D1694" s="5" t="e">
        <f>E1694-(#REF!+C1694)</f>
        <v>#REF!</v>
      </c>
      <c r="E1694" s="5">
        <v>33575</v>
      </c>
      <c r="K1694" s="22">
        <v>927</v>
      </c>
      <c r="L1694" s="6">
        <v>877</v>
      </c>
      <c r="M1694" s="125">
        <f t="shared" si="27"/>
        <v>-50</v>
      </c>
      <c r="N1694" s="7"/>
      <c r="O1694" s="132"/>
      <c r="P1694" s="175"/>
      <c r="V1694" s="207"/>
    </row>
    <row r="1695" spans="1:23" ht="15" customHeight="1">
      <c r="A1695" s="3">
        <v>38241</v>
      </c>
      <c r="B1695" s="9">
        <v>3175</v>
      </c>
      <c r="C1695" s="5">
        <v>16075</v>
      </c>
      <c r="D1695" s="5" t="e">
        <f>E1695-(#REF!+C1695)</f>
        <v>#REF!</v>
      </c>
      <c r="E1695" s="5">
        <v>33475</v>
      </c>
      <c r="K1695" s="22">
        <v>952.5</v>
      </c>
      <c r="L1695" s="6">
        <v>905</v>
      </c>
      <c r="M1695" s="125">
        <f t="shared" si="27"/>
        <v>-47.5</v>
      </c>
      <c r="N1695" s="7"/>
      <c r="O1695" s="132"/>
      <c r="P1695" s="175"/>
      <c r="V1695" s="207"/>
    </row>
    <row r="1696" spans="1:23" ht="15" customHeight="1">
      <c r="A1696" s="3">
        <v>38244</v>
      </c>
      <c r="B1696" s="9">
        <v>2825</v>
      </c>
      <c r="C1696" s="5">
        <v>16075</v>
      </c>
      <c r="D1696" s="5" t="e">
        <f>E1696-(#REF!+C1696)</f>
        <v>#REF!</v>
      </c>
      <c r="E1696" s="5">
        <v>33125</v>
      </c>
      <c r="K1696" s="22">
        <v>942.5</v>
      </c>
      <c r="L1696" s="6">
        <v>902</v>
      </c>
      <c r="M1696" s="125">
        <f t="shared" si="27"/>
        <v>-40.5</v>
      </c>
      <c r="N1696" s="7"/>
      <c r="O1696" s="132"/>
      <c r="P1696" s="175"/>
      <c r="V1696" s="207"/>
    </row>
    <row r="1697" spans="1:23" ht="15" customHeight="1">
      <c r="A1697" s="3">
        <v>38245</v>
      </c>
      <c r="B1697" s="9">
        <v>2825</v>
      </c>
      <c r="C1697" s="5">
        <v>15800</v>
      </c>
      <c r="D1697" s="5" t="e">
        <f>E1697-(#REF!+C1697)</f>
        <v>#REF!</v>
      </c>
      <c r="E1697" s="5">
        <v>32850</v>
      </c>
      <c r="K1697" s="22">
        <v>934</v>
      </c>
      <c r="L1697" s="6">
        <v>885</v>
      </c>
      <c r="M1697" s="125">
        <f t="shared" si="27"/>
        <v>-49</v>
      </c>
      <c r="N1697" s="7"/>
      <c r="O1697" s="132"/>
      <c r="P1697" s="175"/>
      <c r="V1697" s="207"/>
    </row>
    <row r="1698" spans="1:23" ht="15" customHeight="1">
      <c r="A1698" s="3">
        <v>38246</v>
      </c>
      <c r="B1698" s="9">
        <v>2775</v>
      </c>
      <c r="C1698" s="5">
        <v>15525</v>
      </c>
      <c r="D1698" s="5" t="e">
        <f>E1698-(#REF!+C1698)</f>
        <v>#REF!</v>
      </c>
      <c r="E1698" s="5">
        <v>32525</v>
      </c>
      <c r="K1698" s="22">
        <v>947</v>
      </c>
      <c r="L1698" s="6">
        <v>895</v>
      </c>
      <c r="M1698" s="125">
        <f t="shared" si="27"/>
        <v>-52</v>
      </c>
      <c r="N1698" s="7"/>
      <c r="O1698" s="132"/>
      <c r="P1698" s="175"/>
      <c r="V1698" s="207"/>
    </row>
    <row r="1699" spans="1:23" ht="15" customHeight="1">
      <c r="A1699" s="3">
        <v>38247</v>
      </c>
      <c r="B1699" s="9">
        <v>2750</v>
      </c>
      <c r="C1699" s="5">
        <v>15450</v>
      </c>
      <c r="D1699" s="5" t="e">
        <f>E1699-(#REF!+C1699)</f>
        <v>#REF!</v>
      </c>
      <c r="E1699" s="5">
        <v>32425</v>
      </c>
      <c r="K1699" s="22">
        <v>932</v>
      </c>
      <c r="L1699" s="6">
        <v>890</v>
      </c>
      <c r="M1699" s="125">
        <f t="shared" si="27"/>
        <v>-42</v>
      </c>
      <c r="N1699" s="7"/>
      <c r="O1699" s="132"/>
      <c r="P1699" s="175"/>
      <c r="V1699" s="207"/>
    </row>
    <row r="1700" spans="1:23" ht="15" customHeight="1">
      <c r="A1700" s="3">
        <v>38250</v>
      </c>
      <c r="B1700" s="9">
        <v>22975</v>
      </c>
      <c r="C1700" s="5">
        <v>15325</v>
      </c>
      <c r="D1700" s="5" t="e">
        <f>E1700-(#REF!+C1700)</f>
        <v>#REF!</v>
      </c>
      <c r="E1700" s="5">
        <v>52525</v>
      </c>
      <c r="K1700" s="22">
        <v>905</v>
      </c>
      <c r="L1700" s="6">
        <v>866.5</v>
      </c>
      <c r="M1700" s="125">
        <f t="shared" si="27"/>
        <v>-38.5</v>
      </c>
      <c r="N1700" s="7"/>
      <c r="O1700" s="132"/>
      <c r="P1700" s="175"/>
      <c r="V1700" s="207"/>
    </row>
    <row r="1701" spans="1:23" ht="15" customHeight="1">
      <c r="A1701" s="3">
        <v>38251</v>
      </c>
      <c r="B1701" s="9">
        <v>23550</v>
      </c>
      <c r="C1701" s="5">
        <v>15150</v>
      </c>
      <c r="D1701" s="5" t="e">
        <f>E1701-(#REF!+C1701)</f>
        <v>#REF!</v>
      </c>
      <c r="E1701" s="5">
        <v>52925</v>
      </c>
      <c r="K1701" s="22">
        <v>941</v>
      </c>
      <c r="L1701" s="6">
        <v>894</v>
      </c>
      <c r="M1701" s="125">
        <f t="shared" si="27"/>
        <v>-47</v>
      </c>
      <c r="N1701" s="7"/>
      <c r="O1701" s="132"/>
      <c r="P1701" s="175"/>
      <c r="V1701" s="207"/>
    </row>
    <row r="1702" spans="1:23" ht="15" customHeight="1">
      <c r="A1702" s="3">
        <v>38252</v>
      </c>
      <c r="B1702" s="9">
        <v>23550</v>
      </c>
      <c r="C1702" s="5">
        <v>14975</v>
      </c>
      <c r="D1702" s="5" t="e">
        <f>E1702-(#REF!+C1702)</f>
        <v>#REF!</v>
      </c>
      <c r="E1702" s="5">
        <v>52750</v>
      </c>
      <c r="K1702" s="22">
        <v>962</v>
      </c>
      <c r="L1702" s="6">
        <v>908.5</v>
      </c>
      <c r="M1702" s="125">
        <f t="shared" si="27"/>
        <v>-53.5</v>
      </c>
      <c r="N1702" s="7"/>
      <c r="O1702" s="132"/>
      <c r="P1702" s="175"/>
      <c r="V1702" s="207"/>
    </row>
    <row r="1703" spans="1:23" ht="15" customHeight="1">
      <c r="A1703" s="3">
        <v>38253</v>
      </c>
      <c r="B1703" s="9">
        <v>23550</v>
      </c>
      <c r="C1703" s="5">
        <v>14875</v>
      </c>
      <c r="D1703" s="5" t="e">
        <f>E1703-(#REF!+C1703)</f>
        <v>#REF!</v>
      </c>
      <c r="E1703" s="5">
        <v>52650</v>
      </c>
      <c r="K1703" s="22">
        <v>955.5</v>
      </c>
      <c r="L1703" s="6">
        <v>904</v>
      </c>
      <c r="M1703" s="125">
        <f t="shared" si="27"/>
        <v>-51.5</v>
      </c>
      <c r="N1703" s="7"/>
      <c r="O1703" s="132"/>
      <c r="P1703" s="175">
        <v>9450</v>
      </c>
      <c r="Q1703" s="25">
        <v>0.1208</v>
      </c>
      <c r="U1703" s="384">
        <v>0</v>
      </c>
      <c r="V1703" s="207"/>
      <c r="W1703" s="285">
        <f t="shared" ref="W1703:W1708" si="28">(P1703*Q1703)*(1+U1703)</f>
        <v>1141.56</v>
      </c>
    </row>
    <row r="1704" spans="1:23" ht="15" customHeight="1">
      <c r="A1704" s="3">
        <v>38254</v>
      </c>
      <c r="B1704" s="9">
        <v>24050</v>
      </c>
      <c r="C1704" s="5">
        <v>14750</v>
      </c>
      <c r="D1704" s="5" t="e">
        <f>E1704-(#REF!+C1704)</f>
        <v>#REF!</v>
      </c>
      <c r="E1704" s="5">
        <v>53025</v>
      </c>
      <c r="K1704" s="22">
        <v>969</v>
      </c>
      <c r="L1704" s="6">
        <v>915</v>
      </c>
      <c r="M1704" s="125">
        <f t="shared" si="27"/>
        <v>-54</v>
      </c>
      <c r="N1704" s="7"/>
      <c r="O1704" s="132"/>
      <c r="P1704" s="175">
        <v>9450</v>
      </c>
      <c r="Q1704" s="25">
        <v>0.1208</v>
      </c>
      <c r="U1704" s="384">
        <v>0</v>
      </c>
      <c r="V1704" s="207"/>
      <c r="W1704" s="285">
        <f t="shared" si="28"/>
        <v>1141.56</v>
      </c>
    </row>
    <row r="1705" spans="1:23" ht="15" customHeight="1">
      <c r="A1705" s="3">
        <v>38257</v>
      </c>
      <c r="B1705" s="9">
        <v>23950</v>
      </c>
      <c r="C1705" s="5">
        <v>14650</v>
      </c>
      <c r="D1705" s="5" t="e">
        <f>E1705-(#REF!+C1705)</f>
        <v>#REF!</v>
      </c>
      <c r="E1705" s="5">
        <v>52825</v>
      </c>
      <c r="K1705" s="22">
        <v>980</v>
      </c>
      <c r="L1705" s="6">
        <v>929</v>
      </c>
      <c r="M1705" s="125">
        <f t="shared" si="27"/>
        <v>-51</v>
      </c>
      <c r="N1705" s="7"/>
      <c r="O1705" s="132"/>
      <c r="P1705" s="175">
        <v>9450</v>
      </c>
      <c r="Q1705" s="25">
        <v>0.1208</v>
      </c>
      <c r="U1705" s="384">
        <v>0</v>
      </c>
      <c r="V1705" s="207"/>
      <c r="W1705" s="285">
        <f t="shared" si="28"/>
        <v>1141.56</v>
      </c>
    </row>
    <row r="1706" spans="1:23" ht="15" customHeight="1">
      <c r="A1706" s="3">
        <v>38258</v>
      </c>
      <c r="B1706" s="9">
        <v>24150</v>
      </c>
      <c r="C1706" s="5">
        <v>14550</v>
      </c>
      <c r="D1706" s="5" t="e">
        <f>E1706-(#REF!+C1706)</f>
        <v>#REF!</v>
      </c>
      <c r="E1706" s="5">
        <v>52925</v>
      </c>
      <c r="K1706" s="22">
        <v>987</v>
      </c>
      <c r="L1706" s="6">
        <v>934</v>
      </c>
      <c r="M1706" s="125">
        <f t="shared" si="27"/>
        <v>-53</v>
      </c>
      <c r="N1706" s="7"/>
      <c r="O1706" s="132"/>
      <c r="P1706" s="175">
        <v>9500</v>
      </c>
      <c r="Q1706" s="25">
        <v>0.1208</v>
      </c>
      <c r="U1706" s="384">
        <v>0</v>
      </c>
      <c r="V1706" s="207"/>
      <c r="W1706" s="285">
        <f t="shared" si="28"/>
        <v>1147.6000000000001</v>
      </c>
    </row>
    <row r="1707" spans="1:23" ht="15" customHeight="1">
      <c r="A1707" s="3">
        <v>38259</v>
      </c>
      <c r="B1707" s="9">
        <v>24650</v>
      </c>
      <c r="C1707" s="5">
        <v>14375</v>
      </c>
      <c r="D1707" s="5" t="e">
        <f>E1707-(#REF!+C1707)</f>
        <v>#REF!</v>
      </c>
      <c r="E1707" s="5">
        <v>53250</v>
      </c>
      <c r="K1707" s="22">
        <v>948</v>
      </c>
      <c r="L1707" s="6">
        <v>909</v>
      </c>
      <c r="M1707" s="125">
        <f t="shared" si="27"/>
        <v>-39</v>
      </c>
      <c r="N1707" s="7"/>
      <c r="O1707" s="132"/>
      <c r="P1707" s="175">
        <v>9450</v>
      </c>
      <c r="Q1707" s="25">
        <v>0.1208</v>
      </c>
      <c r="U1707" s="384">
        <v>0</v>
      </c>
      <c r="V1707" s="207"/>
      <c r="W1707" s="285">
        <f t="shared" si="28"/>
        <v>1141.56</v>
      </c>
    </row>
    <row r="1708" spans="1:23" ht="15" customHeight="1" thickBot="1">
      <c r="A1708" s="11">
        <v>38260</v>
      </c>
      <c r="B1708" s="9">
        <v>25000</v>
      </c>
      <c r="C1708" s="13">
        <v>14125</v>
      </c>
      <c r="D1708" s="13" t="e">
        <f>E1708-(#REF!+C1708)</f>
        <v>#REF!</v>
      </c>
      <c r="E1708" s="13">
        <v>53350</v>
      </c>
      <c r="F1708" s="12"/>
      <c r="G1708" s="13"/>
      <c r="H1708" s="13"/>
      <c r="I1708" s="119"/>
      <c r="J1708" s="119"/>
      <c r="K1708" s="23">
        <v>964</v>
      </c>
      <c r="L1708" s="14">
        <v>926</v>
      </c>
      <c r="M1708" s="126">
        <f t="shared" si="27"/>
        <v>-38</v>
      </c>
      <c r="N1708" s="21"/>
      <c r="O1708" s="133"/>
      <c r="P1708" s="176">
        <v>9450</v>
      </c>
      <c r="Q1708" s="27">
        <v>0.1208</v>
      </c>
      <c r="R1708" s="27"/>
      <c r="S1708" s="27"/>
      <c r="T1708" s="27"/>
      <c r="U1708" s="385">
        <v>0</v>
      </c>
      <c r="V1708" s="284"/>
      <c r="W1708" s="285">
        <f t="shared" si="28"/>
        <v>1141.56</v>
      </c>
    </row>
    <row r="1709" spans="1:23" ht="15" customHeight="1">
      <c r="A1709" s="3">
        <v>38261</v>
      </c>
      <c r="B1709" s="9">
        <v>25000</v>
      </c>
      <c r="C1709" s="5">
        <v>13850</v>
      </c>
      <c r="D1709" s="5" t="e">
        <f>E1709-(#REF!+C1709)</f>
        <v>#REF!</v>
      </c>
      <c r="E1709" s="5">
        <v>53075</v>
      </c>
      <c r="K1709" s="22">
        <v>982</v>
      </c>
      <c r="L1709" s="6">
        <v>925</v>
      </c>
      <c r="M1709" s="125">
        <f t="shared" si="27"/>
        <v>-57</v>
      </c>
      <c r="N1709" s="28"/>
      <c r="O1709" s="132"/>
      <c r="P1709" s="177">
        <v>9450</v>
      </c>
      <c r="Q1709" s="25">
        <v>0.1208</v>
      </c>
      <c r="U1709" s="384">
        <v>0</v>
      </c>
      <c r="V1709" s="207"/>
      <c r="W1709" s="285">
        <f t="shared" ref="W1709:W1772" si="29">(P1709*Q1709)*(1+U1709)</f>
        <v>1141.56</v>
      </c>
    </row>
    <row r="1710" spans="1:23" ht="15" customHeight="1">
      <c r="A1710" s="3">
        <v>38264</v>
      </c>
      <c r="B1710" s="9">
        <v>24950</v>
      </c>
      <c r="C1710" s="5">
        <v>13600</v>
      </c>
      <c r="D1710" s="5" t="e">
        <f>E1710-(#REF!+C1710)</f>
        <v>#REF!</v>
      </c>
      <c r="E1710" s="5">
        <v>52775</v>
      </c>
      <c r="K1710" s="22">
        <v>966</v>
      </c>
      <c r="L1710" s="6">
        <v>919</v>
      </c>
      <c r="M1710" s="125">
        <f t="shared" si="27"/>
        <v>-47</v>
      </c>
      <c r="N1710" s="28"/>
      <c r="O1710" s="132"/>
      <c r="P1710" s="177">
        <v>9450</v>
      </c>
      <c r="Q1710" s="25">
        <v>0.1208</v>
      </c>
      <c r="U1710" s="384">
        <v>0</v>
      </c>
      <c r="V1710" s="207"/>
      <c r="W1710" s="285">
        <f t="shared" si="29"/>
        <v>1141.56</v>
      </c>
    </row>
    <row r="1711" spans="1:23" ht="15" customHeight="1">
      <c r="A1711" s="3">
        <v>38265</v>
      </c>
      <c r="B1711" s="9">
        <v>24425</v>
      </c>
      <c r="C1711" s="5">
        <v>13525</v>
      </c>
      <c r="D1711" s="5" t="e">
        <f>E1711-(#REF!+C1711)</f>
        <v>#REF!</v>
      </c>
      <c r="E1711" s="5">
        <v>52050</v>
      </c>
      <c r="K1711" s="22">
        <v>980</v>
      </c>
      <c r="L1711" s="6">
        <v>939</v>
      </c>
      <c r="M1711" s="125">
        <f t="shared" si="27"/>
        <v>-41</v>
      </c>
      <c r="N1711" s="28"/>
      <c r="O1711" s="132"/>
      <c r="P1711" s="175">
        <v>9500</v>
      </c>
      <c r="Q1711" s="25">
        <v>0.1208</v>
      </c>
      <c r="U1711" s="384">
        <v>0</v>
      </c>
      <c r="V1711" s="207"/>
      <c r="W1711" s="285">
        <f t="shared" si="29"/>
        <v>1147.6000000000001</v>
      </c>
    </row>
    <row r="1712" spans="1:23" ht="15" customHeight="1">
      <c r="A1712" s="3">
        <v>38266</v>
      </c>
      <c r="B1712" s="9">
        <v>24425</v>
      </c>
      <c r="C1712" s="5">
        <v>13325</v>
      </c>
      <c r="D1712" s="5" t="e">
        <f>E1712-(#REF!+C1712)</f>
        <v>#REF!</v>
      </c>
      <c r="E1712" s="5">
        <v>51525</v>
      </c>
      <c r="K1712" s="22">
        <v>1012</v>
      </c>
      <c r="L1712" s="6">
        <v>947</v>
      </c>
      <c r="M1712" s="125">
        <f t="shared" si="27"/>
        <v>-65</v>
      </c>
      <c r="N1712" s="28"/>
      <c r="O1712" s="132"/>
      <c r="P1712" s="177">
        <v>9500</v>
      </c>
      <c r="Q1712" s="25">
        <v>0.1208</v>
      </c>
      <c r="U1712" s="384">
        <v>0</v>
      </c>
      <c r="V1712" s="207"/>
      <c r="W1712" s="285">
        <f t="shared" si="29"/>
        <v>1147.6000000000001</v>
      </c>
    </row>
    <row r="1713" spans="1:23" ht="15" customHeight="1">
      <c r="A1713" s="3">
        <v>38267</v>
      </c>
      <c r="B1713" s="9">
        <v>24400</v>
      </c>
      <c r="C1713" s="5">
        <v>13275</v>
      </c>
      <c r="D1713" s="5" t="e">
        <f>E1713-(#REF!+C1713)</f>
        <v>#REF!</v>
      </c>
      <c r="E1713" s="5">
        <v>51450</v>
      </c>
      <c r="K1713" s="22">
        <v>1018</v>
      </c>
      <c r="L1713" s="6">
        <v>955.5</v>
      </c>
      <c r="M1713" s="125">
        <f t="shared" si="27"/>
        <v>-62.5</v>
      </c>
      <c r="N1713" s="28"/>
      <c r="O1713" s="132"/>
      <c r="P1713" s="177">
        <v>9500</v>
      </c>
      <c r="Q1713" s="25">
        <v>0.1208</v>
      </c>
      <c r="U1713" s="384">
        <v>0</v>
      </c>
      <c r="V1713" s="207"/>
      <c r="W1713" s="285">
        <f t="shared" si="29"/>
        <v>1147.6000000000001</v>
      </c>
    </row>
    <row r="1714" spans="1:23" ht="15" customHeight="1">
      <c r="A1714" s="3">
        <v>38268</v>
      </c>
      <c r="B1714" s="9">
        <v>24375</v>
      </c>
      <c r="C1714" s="5">
        <v>13275</v>
      </c>
      <c r="D1714" s="5" t="e">
        <f>E1714-(#REF!+C1714)</f>
        <v>#REF!</v>
      </c>
      <c r="E1714" s="5">
        <v>51425</v>
      </c>
      <c r="K1714" s="22">
        <v>985</v>
      </c>
      <c r="L1714" s="6">
        <v>955</v>
      </c>
      <c r="M1714" s="125">
        <f t="shared" si="27"/>
        <v>-30</v>
      </c>
      <c r="N1714" s="28"/>
      <c r="O1714" s="132"/>
      <c r="P1714" s="175">
        <v>9650</v>
      </c>
      <c r="Q1714" s="25">
        <v>0.1208</v>
      </c>
      <c r="U1714" s="384">
        <v>0</v>
      </c>
      <c r="V1714" s="207"/>
      <c r="W1714" s="285">
        <f t="shared" si="29"/>
        <v>1165.72</v>
      </c>
    </row>
    <row r="1715" spans="1:23" ht="15" customHeight="1">
      <c r="A1715" s="3">
        <v>38271</v>
      </c>
      <c r="B1715" s="9">
        <v>24375</v>
      </c>
      <c r="C1715" s="5">
        <v>13275</v>
      </c>
      <c r="D1715" s="5" t="e">
        <f>E1715-(#REF!+C1715)</f>
        <v>#REF!</v>
      </c>
      <c r="E1715" s="5">
        <v>51400</v>
      </c>
      <c r="K1715" s="22">
        <v>1015</v>
      </c>
      <c r="L1715" s="6">
        <v>969</v>
      </c>
      <c r="M1715" s="125">
        <f t="shared" si="27"/>
        <v>-46</v>
      </c>
      <c r="N1715" s="28"/>
      <c r="O1715" s="132"/>
      <c r="P1715" s="175">
        <v>9700</v>
      </c>
      <c r="Q1715" s="25">
        <v>0.1208</v>
      </c>
      <c r="U1715" s="384">
        <v>0</v>
      </c>
      <c r="V1715" s="207"/>
      <c r="W1715" s="285">
        <f t="shared" si="29"/>
        <v>1171.76</v>
      </c>
    </row>
    <row r="1716" spans="1:23" ht="15" customHeight="1">
      <c r="A1716" s="3">
        <v>38272</v>
      </c>
      <c r="B1716" s="9">
        <v>27375</v>
      </c>
      <c r="C1716" s="5">
        <v>13100</v>
      </c>
      <c r="D1716" s="5" t="e">
        <f>E1716-(#REF!+C1716)</f>
        <v>#REF!</v>
      </c>
      <c r="E1716" s="5">
        <v>51225</v>
      </c>
      <c r="K1716" s="22">
        <v>1000</v>
      </c>
      <c r="L1716" s="6">
        <v>960</v>
      </c>
      <c r="M1716" s="125">
        <f t="shared" si="27"/>
        <v>-40</v>
      </c>
      <c r="N1716" s="28"/>
      <c r="O1716" s="132"/>
      <c r="P1716" s="175">
        <v>9700</v>
      </c>
      <c r="Q1716" s="25">
        <v>0.1208</v>
      </c>
      <c r="U1716" s="384">
        <v>0</v>
      </c>
      <c r="V1716" s="207"/>
      <c r="W1716" s="285">
        <f t="shared" si="29"/>
        <v>1171.76</v>
      </c>
    </row>
    <row r="1717" spans="1:23" ht="15" customHeight="1">
      <c r="A1717" s="3">
        <v>38273</v>
      </c>
      <c r="B1717" s="9">
        <v>24175</v>
      </c>
      <c r="C1717" s="5">
        <v>13050</v>
      </c>
      <c r="D1717" s="5" t="e">
        <f>E1717-(#REF!+C1717)</f>
        <v>#REF!</v>
      </c>
      <c r="E1717" s="5">
        <v>50975</v>
      </c>
      <c r="K1717" s="22">
        <v>969.5</v>
      </c>
      <c r="L1717" s="6">
        <v>922</v>
      </c>
      <c r="M1717" s="125">
        <f t="shared" si="27"/>
        <v>-47.5</v>
      </c>
      <c r="N1717" s="28"/>
      <c r="O1717" s="132"/>
      <c r="P1717" s="175">
        <v>9700</v>
      </c>
      <c r="Q1717" s="25">
        <v>0.1208</v>
      </c>
      <c r="U1717" s="384">
        <v>0</v>
      </c>
      <c r="V1717" s="207"/>
      <c r="W1717" s="285">
        <f t="shared" si="29"/>
        <v>1171.76</v>
      </c>
    </row>
    <row r="1718" spans="1:23" ht="15" customHeight="1">
      <c r="A1718" s="3">
        <v>38274</v>
      </c>
      <c r="B1718" s="9">
        <v>24175</v>
      </c>
      <c r="C1718" s="5">
        <v>13025</v>
      </c>
      <c r="D1718" s="5" t="e">
        <f>E1718-(#REF!+C1718)</f>
        <v>#REF!</v>
      </c>
      <c r="E1718" s="5">
        <v>50950</v>
      </c>
      <c r="K1718" s="22">
        <v>873</v>
      </c>
      <c r="L1718" s="6">
        <v>835</v>
      </c>
      <c r="M1718" s="125">
        <f t="shared" si="27"/>
        <v>-38</v>
      </c>
      <c r="N1718" s="28"/>
      <c r="O1718" s="132"/>
      <c r="P1718" s="175">
        <v>9650</v>
      </c>
      <c r="Q1718" s="25">
        <v>0.1208</v>
      </c>
      <c r="U1718" s="384">
        <v>0</v>
      </c>
      <c r="V1718" s="207"/>
      <c r="W1718" s="285">
        <f t="shared" si="29"/>
        <v>1165.72</v>
      </c>
    </row>
    <row r="1719" spans="1:23" ht="15" customHeight="1">
      <c r="A1719" s="3">
        <v>38275</v>
      </c>
      <c r="B1719" s="9">
        <v>24175</v>
      </c>
      <c r="C1719" s="5">
        <v>12850</v>
      </c>
      <c r="D1719" s="5" t="e">
        <f>E1719-(#REF!+C1719)</f>
        <v>#REF!</v>
      </c>
      <c r="E1719" s="5">
        <v>50700</v>
      </c>
      <c r="K1719" s="22">
        <v>910</v>
      </c>
      <c r="L1719" s="6">
        <v>856</v>
      </c>
      <c r="M1719" s="125">
        <f t="shared" ref="M1719:M1782" si="30">L1719-K1719</f>
        <v>-54</v>
      </c>
      <c r="N1719" s="28"/>
      <c r="O1719" s="132"/>
      <c r="P1719" s="175">
        <v>9650</v>
      </c>
      <c r="Q1719" s="25">
        <v>0.1208</v>
      </c>
      <c r="U1719" s="384">
        <v>0</v>
      </c>
      <c r="V1719" s="207"/>
      <c r="W1719" s="285">
        <f t="shared" si="29"/>
        <v>1165.72</v>
      </c>
    </row>
    <row r="1720" spans="1:23" ht="15" customHeight="1">
      <c r="A1720" s="3">
        <v>38278</v>
      </c>
      <c r="B1720" s="9">
        <v>24150</v>
      </c>
      <c r="C1720" s="5">
        <v>12725</v>
      </c>
      <c r="D1720" s="5" t="e">
        <f>E1720-(#REF!+C1720)</f>
        <v>#REF!</v>
      </c>
      <c r="E1720" s="5">
        <v>50500</v>
      </c>
      <c r="K1720" s="22">
        <v>919</v>
      </c>
      <c r="L1720" s="6">
        <v>866</v>
      </c>
      <c r="M1720" s="125">
        <f t="shared" si="30"/>
        <v>-53</v>
      </c>
      <c r="N1720" s="28"/>
      <c r="O1720" s="132"/>
      <c r="P1720" s="175">
        <v>9650</v>
      </c>
      <c r="Q1720" s="25">
        <v>0.1208</v>
      </c>
      <c r="U1720" s="384">
        <v>0</v>
      </c>
      <c r="V1720" s="207"/>
      <c r="W1720" s="285">
        <f t="shared" si="29"/>
        <v>1165.72</v>
      </c>
    </row>
    <row r="1721" spans="1:23" ht="15" customHeight="1">
      <c r="A1721" s="3">
        <v>38279</v>
      </c>
      <c r="B1721" s="9">
        <v>24125</v>
      </c>
      <c r="C1721" s="5">
        <v>12950</v>
      </c>
      <c r="D1721" s="5" t="e">
        <f>E1721-(#REF!+C1721)</f>
        <v>#REF!</v>
      </c>
      <c r="E1721" s="5">
        <v>50700</v>
      </c>
      <c r="K1721" s="22">
        <v>881</v>
      </c>
      <c r="L1721" s="6">
        <v>845</v>
      </c>
      <c r="M1721" s="125">
        <f t="shared" si="30"/>
        <v>-36</v>
      </c>
      <c r="N1721" s="28"/>
      <c r="O1721" s="132"/>
      <c r="P1721" s="175">
        <v>9650</v>
      </c>
      <c r="Q1721" s="25">
        <v>0.1208</v>
      </c>
      <c r="U1721" s="384">
        <v>0</v>
      </c>
      <c r="V1721" s="207"/>
      <c r="W1721" s="285">
        <f t="shared" si="29"/>
        <v>1165.72</v>
      </c>
    </row>
    <row r="1722" spans="1:23" ht="15" customHeight="1">
      <c r="A1722" s="3">
        <v>38280</v>
      </c>
      <c r="B1722" s="9">
        <v>24125</v>
      </c>
      <c r="C1722" s="5">
        <v>12850</v>
      </c>
      <c r="D1722" s="5" t="e">
        <f>E1722-(#REF!+C1722)</f>
        <v>#REF!</v>
      </c>
      <c r="E1722" s="5">
        <v>50475</v>
      </c>
      <c r="K1722" s="22">
        <v>879.5</v>
      </c>
      <c r="L1722" s="6">
        <v>846</v>
      </c>
      <c r="M1722" s="125">
        <f t="shared" si="30"/>
        <v>-33.5</v>
      </c>
      <c r="N1722" s="28"/>
      <c r="O1722" s="132"/>
      <c r="P1722" s="175">
        <v>9600</v>
      </c>
      <c r="Q1722" s="25">
        <v>0.1208</v>
      </c>
      <c r="U1722" s="384">
        <v>0</v>
      </c>
      <c r="V1722" s="207"/>
      <c r="W1722" s="285">
        <f t="shared" si="29"/>
        <v>1159.68</v>
      </c>
    </row>
    <row r="1723" spans="1:23" ht="15" customHeight="1">
      <c r="A1723" s="3">
        <v>38281</v>
      </c>
      <c r="B1723" s="9">
        <v>24125</v>
      </c>
      <c r="C1723" s="5">
        <v>12700</v>
      </c>
      <c r="D1723" s="5" t="e">
        <f>E1723-(#REF!+C1723)</f>
        <v>#REF!</v>
      </c>
      <c r="E1723" s="5">
        <v>50200</v>
      </c>
      <c r="K1723" s="22">
        <v>881</v>
      </c>
      <c r="L1723" s="6">
        <v>858.5</v>
      </c>
      <c r="M1723" s="125">
        <f t="shared" si="30"/>
        <v>-22.5</v>
      </c>
      <c r="N1723" s="28"/>
      <c r="O1723" s="132"/>
      <c r="P1723" s="175">
        <v>9600</v>
      </c>
      <c r="Q1723" s="25">
        <v>0.1208</v>
      </c>
      <c r="U1723" s="384">
        <v>0</v>
      </c>
      <c r="V1723" s="207"/>
      <c r="W1723" s="285">
        <f t="shared" si="29"/>
        <v>1159.68</v>
      </c>
    </row>
    <row r="1724" spans="1:23" ht="15" customHeight="1">
      <c r="A1724" s="3">
        <v>38282</v>
      </c>
      <c r="B1724" s="9">
        <v>24100</v>
      </c>
      <c r="C1724" s="5">
        <v>12625</v>
      </c>
      <c r="D1724" s="5" t="e">
        <f>E1724-(#REF!+C1724)</f>
        <v>#REF!</v>
      </c>
      <c r="E1724" s="5">
        <v>49650</v>
      </c>
      <c r="K1724" s="22">
        <v>885</v>
      </c>
      <c r="L1724" s="6">
        <v>859</v>
      </c>
      <c r="M1724" s="125">
        <f t="shared" si="30"/>
        <v>-26</v>
      </c>
      <c r="N1724" s="28"/>
      <c r="O1724" s="132"/>
      <c r="P1724" s="175">
        <v>9575</v>
      </c>
      <c r="Q1724" s="25">
        <v>0.1208</v>
      </c>
      <c r="U1724" s="384">
        <v>0</v>
      </c>
      <c r="V1724" s="207"/>
      <c r="W1724" s="285">
        <f t="shared" si="29"/>
        <v>1156.6600000000001</v>
      </c>
    </row>
    <row r="1725" spans="1:23" ht="15" customHeight="1">
      <c r="A1725" s="3">
        <v>38285</v>
      </c>
      <c r="B1725" s="9">
        <v>24050</v>
      </c>
      <c r="C1725" s="5">
        <v>12600</v>
      </c>
      <c r="D1725" s="5" t="e">
        <f>E1725-(#REF!+C1725)</f>
        <v>#REF!</v>
      </c>
      <c r="E1725" s="5">
        <v>49475</v>
      </c>
      <c r="K1725" s="22">
        <v>887</v>
      </c>
      <c r="L1725" s="6">
        <v>861</v>
      </c>
      <c r="M1725" s="125">
        <f t="shared" si="30"/>
        <v>-26</v>
      </c>
      <c r="N1725" s="28"/>
      <c r="O1725" s="132"/>
      <c r="P1725" s="175">
        <v>9575</v>
      </c>
      <c r="Q1725" s="25">
        <v>0.1208</v>
      </c>
      <c r="U1725" s="384">
        <v>0</v>
      </c>
      <c r="V1725" s="207"/>
      <c r="W1725" s="285">
        <f t="shared" si="29"/>
        <v>1156.6600000000001</v>
      </c>
    </row>
    <row r="1726" spans="1:23" ht="15" customHeight="1">
      <c r="A1726" s="3">
        <v>38286</v>
      </c>
      <c r="B1726" s="9">
        <v>23800</v>
      </c>
      <c r="C1726" s="5">
        <v>12500</v>
      </c>
      <c r="D1726" s="5" t="e">
        <f>E1726-(#REF!+C1726)</f>
        <v>#REF!</v>
      </c>
      <c r="E1726" s="5">
        <v>49050</v>
      </c>
      <c r="K1726" s="22">
        <v>880</v>
      </c>
      <c r="L1726" s="6">
        <v>850.5</v>
      </c>
      <c r="M1726" s="125">
        <f t="shared" si="30"/>
        <v>-29.5</v>
      </c>
      <c r="N1726" s="28"/>
      <c r="O1726" s="132"/>
      <c r="P1726" s="175">
        <v>9575</v>
      </c>
      <c r="Q1726" s="25">
        <v>0.1208</v>
      </c>
      <c r="U1726" s="384">
        <v>0</v>
      </c>
      <c r="V1726" s="207"/>
      <c r="W1726" s="285">
        <f t="shared" si="29"/>
        <v>1156.6600000000001</v>
      </c>
    </row>
    <row r="1727" spans="1:23" ht="15" customHeight="1">
      <c r="A1727" s="3">
        <v>38287</v>
      </c>
      <c r="B1727" s="9">
        <v>24625</v>
      </c>
      <c r="C1727" s="5">
        <v>12475</v>
      </c>
      <c r="D1727" s="5" t="e">
        <f>E1727-(#REF!+C1727)</f>
        <v>#REF!</v>
      </c>
      <c r="E1727" s="5">
        <v>49725</v>
      </c>
      <c r="K1727" s="22">
        <v>891</v>
      </c>
      <c r="L1727" s="6">
        <v>864</v>
      </c>
      <c r="M1727" s="125">
        <f t="shared" si="30"/>
        <v>-27</v>
      </c>
      <c r="N1727" s="28"/>
      <c r="O1727" s="132"/>
      <c r="P1727" s="175">
        <v>9575</v>
      </c>
      <c r="Q1727" s="25">
        <v>0.1208</v>
      </c>
      <c r="U1727" s="384">
        <v>0</v>
      </c>
      <c r="V1727" s="207"/>
      <c r="W1727" s="285">
        <f t="shared" si="29"/>
        <v>1156.6600000000001</v>
      </c>
    </row>
    <row r="1728" spans="1:23" ht="15" customHeight="1">
      <c r="A1728" s="3">
        <v>38288</v>
      </c>
      <c r="B1728" s="9">
        <v>24625</v>
      </c>
      <c r="C1728" s="5">
        <v>12450</v>
      </c>
      <c r="D1728" s="5" t="e">
        <f>E1728-(#REF!+C1728)</f>
        <v>#REF!</v>
      </c>
      <c r="E1728" s="5">
        <v>49700</v>
      </c>
      <c r="K1728" s="22">
        <v>875.5</v>
      </c>
      <c r="L1728" s="6">
        <v>851</v>
      </c>
      <c r="M1728" s="125">
        <f t="shared" si="30"/>
        <v>-24.5</v>
      </c>
      <c r="N1728" s="28"/>
      <c r="O1728" s="132"/>
      <c r="P1728" s="175">
        <v>9575</v>
      </c>
      <c r="Q1728" s="25">
        <v>0.1208</v>
      </c>
      <c r="U1728" s="384">
        <v>0</v>
      </c>
      <c r="V1728" s="207"/>
      <c r="W1728" s="285">
        <f t="shared" si="29"/>
        <v>1156.6600000000001</v>
      </c>
    </row>
    <row r="1729" spans="1:23" ht="15" customHeight="1" thickBot="1">
      <c r="A1729" s="11">
        <v>38289</v>
      </c>
      <c r="B1729" s="9">
        <v>24525</v>
      </c>
      <c r="C1729" s="13">
        <v>12450</v>
      </c>
      <c r="D1729" s="13" t="e">
        <f>E1729-(#REF!+C1729)</f>
        <v>#REF!</v>
      </c>
      <c r="E1729" s="13">
        <v>49600</v>
      </c>
      <c r="F1729" s="12"/>
      <c r="G1729" s="13"/>
      <c r="H1729" s="13"/>
      <c r="I1729" s="119"/>
      <c r="J1729" s="119"/>
      <c r="K1729" s="23">
        <v>898.5</v>
      </c>
      <c r="L1729" s="14">
        <v>870.5</v>
      </c>
      <c r="M1729" s="126">
        <f t="shared" si="30"/>
        <v>-28</v>
      </c>
      <c r="N1729" s="19">
        <f>AVERAGE(K1709:K1729)</f>
        <v>932.76190476190482</v>
      </c>
      <c r="O1729" s="134"/>
      <c r="P1729" s="176">
        <v>9575</v>
      </c>
      <c r="Q1729" s="27">
        <v>0.1208</v>
      </c>
      <c r="R1729" s="27"/>
      <c r="S1729" s="27"/>
      <c r="T1729" s="27"/>
      <c r="U1729" s="385">
        <v>0</v>
      </c>
      <c r="V1729" s="284">
        <f>AVERAGE(P1711,P1714:P1729)</f>
        <v>9617.6470588235297</v>
      </c>
      <c r="W1729" s="285">
        <f t="shared" si="29"/>
        <v>1156.6600000000001</v>
      </c>
    </row>
    <row r="1730" spans="1:23" ht="15" customHeight="1">
      <c r="A1730" s="3">
        <v>38292</v>
      </c>
      <c r="B1730" s="9">
        <v>24150</v>
      </c>
      <c r="C1730" s="5">
        <v>12425</v>
      </c>
      <c r="D1730" s="5" t="e">
        <f>E1730-(#REF!+C1730)</f>
        <v>#REF!</v>
      </c>
      <c r="E1730" s="5">
        <v>49200</v>
      </c>
      <c r="K1730" s="22">
        <v>896</v>
      </c>
      <c r="L1730" s="6">
        <v>874</v>
      </c>
      <c r="M1730" s="125">
        <f t="shared" si="30"/>
        <v>-22</v>
      </c>
      <c r="N1730" s="7"/>
      <c r="O1730" s="132"/>
      <c r="P1730" s="175">
        <v>9575</v>
      </c>
      <c r="Q1730" s="25">
        <v>0.1208</v>
      </c>
      <c r="U1730" s="384">
        <v>0</v>
      </c>
      <c r="V1730" s="207"/>
      <c r="W1730" s="285">
        <f t="shared" si="29"/>
        <v>1156.6600000000001</v>
      </c>
    </row>
    <row r="1731" spans="1:23" ht="15" customHeight="1">
      <c r="A1731" s="3">
        <v>38293</v>
      </c>
      <c r="B1731" s="9">
        <v>23875</v>
      </c>
      <c r="C1731" s="5">
        <v>12350</v>
      </c>
      <c r="D1731" s="5" t="e">
        <f>E1731-(#REF!+C1731)</f>
        <v>#REF!</v>
      </c>
      <c r="E1731" s="5">
        <v>48850</v>
      </c>
      <c r="K1731" s="22">
        <v>902</v>
      </c>
      <c r="L1731" s="6">
        <v>880</v>
      </c>
      <c r="M1731" s="125">
        <f t="shared" si="30"/>
        <v>-22</v>
      </c>
      <c r="N1731" s="7"/>
      <c r="O1731" s="132"/>
      <c r="P1731" s="175">
        <v>9550</v>
      </c>
      <c r="Q1731" s="25">
        <v>0.1208</v>
      </c>
      <c r="U1731" s="384">
        <v>0</v>
      </c>
      <c r="V1731" s="207"/>
      <c r="W1731" s="285">
        <f t="shared" si="29"/>
        <v>1153.6400000000001</v>
      </c>
    </row>
    <row r="1732" spans="1:23" ht="15" customHeight="1">
      <c r="A1732" s="3">
        <v>38294</v>
      </c>
      <c r="B1732" s="9">
        <v>23675</v>
      </c>
      <c r="C1732" s="5">
        <v>12350</v>
      </c>
      <c r="D1732" s="5" t="e">
        <f>E1732-(#REF!+C1732)</f>
        <v>#REF!</v>
      </c>
      <c r="E1732" s="5">
        <v>48650</v>
      </c>
      <c r="K1732" s="22">
        <v>900</v>
      </c>
      <c r="L1732" s="6">
        <v>878</v>
      </c>
      <c r="M1732" s="125">
        <f t="shared" si="30"/>
        <v>-22</v>
      </c>
      <c r="N1732" s="7"/>
      <c r="O1732" s="132"/>
      <c r="P1732" s="175">
        <v>9550</v>
      </c>
      <c r="Q1732" s="25">
        <v>0.1208</v>
      </c>
      <c r="U1732" s="384">
        <v>0</v>
      </c>
      <c r="V1732" s="207"/>
      <c r="W1732" s="285">
        <f t="shared" si="29"/>
        <v>1153.6400000000001</v>
      </c>
    </row>
    <row r="1733" spans="1:23" ht="15" customHeight="1">
      <c r="A1733" s="3">
        <v>38295</v>
      </c>
      <c r="B1733" s="9">
        <v>23575</v>
      </c>
      <c r="C1733" s="5">
        <v>12275</v>
      </c>
      <c r="D1733" s="5" t="e">
        <f>E1733-(#REF!+C1733)</f>
        <v>#REF!</v>
      </c>
      <c r="E1733" s="5">
        <v>48475</v>
      </c>
      <c r="K1733" s="22">
        <v>942.5</v>
      </c>
      <c r="L1733" s="6">
        <v>919</v>
      </c>
      <c r="M1733" s="125">
        <f t="shared" si="30"/>
        <v>-23.5</v>
      </c>
      <c r="N1733" s="7"/>
      <c r="O1733" s="132"/>
      <c r="P1733" s="175">
        <v>9525</v>
      </c>
      <c r="Q1733" s="25">
        <v>0.1208</v>
      </c>
      <c r="U1733" s="384">
        <v>0</v>
      </c>
      <c r="V1733" s="207"/>
      <c r="W1733" s="285">
        <f t="shared" si="29"/>
        <v>1150.6200000000001</v>
      </c>
    </row>
    <row r="1734" spans="1:23" ht="15" customHeight="1">
      <c r="A1734" s="3">
        <v>38296</v>
      </c>
      <c r="B1734" s="9">
        <v>23475</v>
      </c>
      <c r="C1734" s="5">
        <v>12225</v>
      </c>
      <c r="D1734" s="5" t="e">
        <f>E1734-(#REF!+C1734)</f>
        <v>#REF!</v>
      </c>
      <c r="E1734" s="5">
        <v>48325</v>
      </c>
      <c r="K1734" s="22">
        <v>933</v>
      </c>
      <c r="L1734" s="6">
        <v>909.5</v>
      </c>
      <c r="M1734" s="125">
        <f t="shared" si="30"/>
        <v>-23.5</v>
      </c>
      <c r="N1734" s="7"/>
      <c r="O1734" s="132"/>
      <c r="P1734" s="175">
        <v>9525</v>
      </c>
      <c r="Q1734" s="25">
        <v>0.1208</v>
      </c>
      <c r="U1734" s="384">
        <v>0</v>
      </c>
      <c r="V1734" s="207"/>
      <c r="W1734" s="285">
        <f t="shared" si="29"/>
        <v>1150.6200000000001</v>
      </c>
    </row>
    <row r="1735" spans="1:23" ht="15" customHeight="1">
      <c r="A1735" s="3">
        <v>38299</v>
      </c>
      <c r="B1735" s="9">
        <v>23325</v>
      </c>
      <c r="C1735" s="5">
        <v>12100</v>
      </c>
      <c r="D1735" s="5" t="e">
        <f>E1735-(#REF!+C1735)</f>
        <v>#REF!</v>
      </c>
      <c r="E1735" s="5">
        <v>48050</v>
      </c>
      <c r="K1735" s="22">
        <v>976</v>
      </c>
      <c r="L1735" s="6">
        <v>949</v>
      </c>
      <c r="M1735" s="125">
        <f t="shared" si="30"/>
        <v>-27</v>
      </c>
      <c r="N1735" s="7"/>
      <c r="O1735" s="132"/>
      <c r="P1735" s="175">
        <v>9525</v>
      </c>
      <c r="Q1735" s="25">
        <v>0.1208</v>
      </c>
      <c r="U1735" s="384">
        <v>0</v>
      </c>
      <c r="V1735" s="207"/>
      <c r="W1735" s="285">
        <f t="shared" si="29"/>
        <v>1150.6200000000001</v>
      </c>
    </row>
    <row r="1736" spans="1:23" ht="15" customHeight="1">
      <c r="A1736" s="3">
        <v>38300</v>
      </c>
      <c r="B1736" s="9">
        <v>23025</v>
      </c>
      <c r="C1736" s="5">
        <v>11775</v>
      </c>
      <c r="D1736" s="5" t="e">
        <f>E1736-(#REF!+C1736)</f>
        <v>#REF!</v>
      </c>
      <c r="E1736" s="5">
        <v>47400</v>
      </c>
      <c r="K1736" s="22">
        <v>965</v>
      </c>
      <c r="L1736" s="6">
        <v>940</v>
      </c>
      <c r="M1736" s="125">
        <f t="shared" si="30"/>
        <v>-25</v>
      </c>
      <c r="N1736" s="7"/>
      <c r="O1736" s="132"/>
      <c r="P1736" s="175">
        <v>9525</v>
      </c>
      <c r="Q1736" s="25">
        <v>0.1208</v>
      </c>
      <c r="U1736" s="384">
        <v>0</v>
      </c>
      <c r="V1736" s="207"/>
      <c r="W1736" s="285">
        <f t="shared" si="29"/>
        <v>1150.6200000000001</v>
      </c>
    </row>
    <row r="1737" spans="1:23" ht="15" customHeight="1">
      <c r="A1737" s="3">
        <v>38301</v>
      </c>
      <c r="B1737" s="9">
        <v>23025</v>
      </c>
      <c r="C1737" s="5">
        <v>11350</v>
      </c>
      <c r="D1737" s="5" t="e">
        <f>E1737-(#REF!+C1737)</f>
        <v>#REF!</v>
      </c>
      <c r="E1737" s="5">
        <v>46975</v>
      </c>
      <c r="K1737" s="22">
        <v>961</v>
      </c>
      <c r="L1737" s="6">
        <v>938</v>
      </c>
      <c r="M1737" s="125">
        <f t="shared" si="30"/>
        <v>-23</v>
      </c>
      <c r="N1737" s="7"/>
      <c r="O1737" s="132"/>
      <c r="P1737" s="175">
        <v>9500</v>
      </c>
      <c r="Q1737" s="25">
        <v>0.1208</v>
      </c>
      <c r="U1737" s="384">
        <v>0</v>
      </c>
      <c r="V1737" s="207"/>
      <c r="W1737" s="285">
        <f t="shared" si="29"/>
        <v>1147.6000000000001</v>
      </c>
    </row>
    <row r="1738" spans="1:23" ht="15" customHeight="1">
      <c r="A1738" s="3">
        <v>38302</v>
      </c>
      <c r="B1738" s="9">
        <v>23875</v>
      </c>
      <c r="C1738" s="5">
        <v>11175</v>
      </c>
      <c r="D1738" s="5" t="e">
        <f>E1738-(#REF!+C1738)</f>
        <v>#REF!</v>
      </c>
      <c r="E1738" s="5">
        <v>47550</v>
      </c>
      <c r="K1738" s="22">
        <v>956</v>
      </c>
      <c r="L1738" s="6">
        <v>934</v>
      </c>
      <c r="M1738" s="125">
        <f t="shared" si="30"/>
        <v>-22</v>
      </c>
      <c r="N1738" s="7"/>
      <c r="O1738" s="132"/>
      <c r="P1738" s="175">
        <v>9475</v>
      </c>
      <c r="Q1738" s="25">
        <v>0.1208</v>
      </c>
      <c r="U1738" s="384">
        <v>0</v>
      </c>
      <c r="V1738" s="207"/>
      <c r="W1738" s="285">
        <f t="shared" si="29"/>
        <v>1144.5800000000002</v>
      </c>
    </row>
    <row r="1739" spans="1:23" ht="15" customHeight="1">
      <c r="A1739" s="3">
        <v>38303</v>
      </c>
      <c r="B1739" s="9">
        <v>23875</v>
      </c>
      <c r="C1739" s="5">
        <v>10775</v>
      </c>
      <c r="D1739" s="5" t="e">
        <f>E1739-(#REF!+C1739)</f>
        <v>#REF!</v>
      </c>
      <c r="E1739" s="5">
        <v>47050</v>
      </c>
      <c r="K1739" s="22">
        <v>971.5</v>
      </c>
      <c r="L1739" s="6">
        <v>948</v>
      </c>
      <c r="M1739" s="125">
        <f t="shared" si="30"/>
        <v>-23.5</v>
      </c>
      <c r="N1739" s="7"/>
      <c r="O1739" s="132"/>
      <c r="P1739" s="175">
        <v>9500</v>
      </c>
      <c r="Q1739" s="25">
        <v>0.1208</v>
      </c>
      <c r="U1739" s="384">
        <v>0</v>
      </c>
      <c r="V1739" s="207"/>
      <c r="W1739" s="285">
        <f t="shared" si="29"/>
        <v>1147.6000000000001</v>
      </c>
    </row>
    <row r="1740" spans="1:23" ht="15" customHeight="1">
      <c r="A1740" s="3">
        <v>38306</v>
      </c>
      <c r="B1740" s="9">
        <v>23875</v>
      </c>
      <c r="C1740" s="5">
        <v>10750</v>
      </c>
      <c r="D1740" s="5" t="e">
        <f>E1740-(#REF!+C1740)</f>
        <v>#REF!</v>
      </c>
      <c r="E1740" s="5">
        <v>46875</v>
      </c>
      <c r="K1740" s="22">
        <v>987</v>
      </c>
      <c r="L1740" s="6">
        <v>961</v>
      </c>
      <c r="M1740" s="125">
        <f t="shared" si="30"/>
        <v>-26</v>
      </c>
      <c r="N1740" s="7"/>
      <c r="O1740" s="132"/>
      <c r="P1740" s="175">
        <v>9575</v>
      </c>
      <c r="Q1740" s="25">
        <v>0.1208</v>
      </c>
      <c r="U1740" s="384">
        <v>0</v>
      </c>
      <c r="V1740" s="207"/>
      <c r="W1740" s="285">
        <f t="shared" si="29"/>
        <v>1156.6600000000001</v>
      </c>
    </row>
    <row r="1741" spans="1:23" ht="15" customHeight="1">
      <c r="A1741" s="3">
        <v>38307</v>
      </c>
      <c r="B1741" s="9">
        <v>23875</v>
      </c>
      <c r="C1741" s="5">
        <v>10500</v>
      </c>
      <c r="D1741" s="5" t="e">
        <f>E1741-(#REF!+C1741)</f>
        <v>#REF!</v>
      </c>
      <c r="E1741" s="5">
        <v>46575</v>
      </c>
      <c r="K1741" s="22">
        <v>980</v>
      </c>
      <c r="L1741" s="6">
        <v>957.5</v>
      </c>
      <c r="M1741" s="125">
        <f t="shared" si="30"/>
        <v>-22.5</v>
      </c>
      <c r="N1741" s="7"/>
      <c r="O1741" s="132"/>
      <c r="P1741" s="175">
        <v>9525</v>
      </c>
      <c r="Q1741" s="25">
        <v>0.1208</v>
      </c>
      <c r="U1741" s="384">
        <v>0</v>
      </c>
      <c r="V1741" s="207"/>
      <c r="W1741" s="285">
        <f t="shared" si="29"/>
        <v>1150.6200000000001</v>
      </c>
    </row>
    <row r="1742" spans="1:23" ht="15" customHeight="1">
      <c r="A1742" s="3">
        <v>38308</v>
      </c>
      <c r="B1742" s="9">
        <v>23875</v>
      </c>
      <c r="C1742" s="5">
        <v>10200</v>
      </c>
      <c r="D1742" s="5" t="e">
        <f>E1742-(#REF!+C1742)</f>
        <v>#REF!</v>
      </c>
      <c r="E1742" s="5">
        <v>46200</v>
      </c>
      <c r="K1742" s="22">
        <v>984</v>
      </c>
      <c r="L1742" s="6">
        <v>954</v>
      </c>
      <c r="M1742" s="125">
        <f t="shared" si="30"/>
        <v>-30</v>
      </c>
      <c r="N1742" s="7"/>
      <c r="O1742" s="132"/>
      <c r="P1742" s="175">
        <v>9500</v>
      </c>
      <c r="Q1742" s="25">
        <v>0.1208</v>
      </c>
      <c r="U1742" s="384">
        <v>0</v>
      </c>
      <c r="V1742" s="207"/>
      <c r="W1742" s="285">
        <f t="shared" si="29"/>
        <v>1147.6000000000001</v>
      </c>
    </row>
    <row r="1743" spans="1:23" ht="15" customHeight="1">
      <c r="A1743" s="3">
        <v>38309</v>
      </c>
      <c r="B1743" s="9">
        <v>23875</v>
      </c>
      <c r="C1743" s="5">
        <v>9850</v>
      </c>
      <c r="D1743" s="5" t="e">
        <f>E1743-(#REF!+C1743)</f>
        <v>#REF!</v>
      </c>
      <c r="E1743" s="5">
        <v>45775</v>
      </c>
      <c r="K1743" s="22">
        <v>1002</v>
      </c>
      <c r="L1743" s="6">
        <v>978</v>
      </c>
      <c r="M1743" s="125">
        <f t="shared" si="30"/>
        <v>-24</v>
      </c>
      <c r="N1743" s="7"/>
      <c r="O1743" s="132"/>
      <c r="P1743" s="175">
        <v>9500</v>
      </c>
      <c r="Q1743" s="25">
        <v>0.1208</v>
      </c>
      <c r="U1743" s="384">
        <v>0</v>
      </c>
      <c r="V1743" s="207"/>
      <c r="W1743" s="285">
        <f t="shared" si="29"/>
        <v>1147.6000000000001</v>
      </c>
    </row>
    <row r="1744" spans="1:23" ht="15" customHeight="1">
      <c r="A1744" s="3">
        <v>38310</v>
      </c>
      <c r="B1744" s="9">
        <v>23675</v>
      </c>
      <c r="C1744" s="5">
        <v>9625</v>
      </c>
      <c r="D1744" s="5" t="e">
        <f>E1744-(#REF!+C1744)</f>
        <v>#REF!</v>
      </c>
      <c r="E1744" s="5">
        <v>45275</v>
      </c>
      <c r="K1744" s="22">
        <v>991</v>
      </c>
      <c r="L1744" s="6">
        <v>961</v>
      </c>
      <c r="M1744" s="125">
        <f t="shared" si="30"/>
        <v>-30</v>
      </c>
      <c r="N1744" s="7"/>
      <c r="O1744" s="132"/>
      <c r="P1744" s="175">
        <v>9500</v>
      </c>
      <c r="Q1744" s="25">
        <v>0.1208</v>
      </c>
      <c r="U1744" s="384">
        <v>0</v>
      </c>
      <c r="V1744" s="207"/>
      <c r="W1744" s="285">
        <f t="shared" si="29"/>
        <v>1147.6000000000001</v>
      </c>
    </row>
    <row r="1745" spans="1:23" ht="15" customHeight="1">
      <c r="A1745" s="3">
        <v>38313</v>
      </c>
      <c r="B1745" s="9">
        <v>23425</v>
      </c>
      <c r="C1745" s="5">
        <v>9375</v>
      </c>
      <c r="D1745" s="5" t="e">
        <f>E1745-(#REF!+C1745)</f>
        <v>#REF!</v>
      </c>
      <c r="E1745" s="5">
        <v>44625</v>
      </c>
      <c r="K1745" s="22">
        <v>986</v>
      </c>
      <c r="L1745" s="6">
        <v>958</v>
      </c>
      <c r="M1745" s="125">
        <f t="shared" si="30"/>
        <v>-28</v>
      </c>
      <c r="N1745" s="7"/>
      <c r="O1745" s="132"/>
      <c r="P1745" s="175">
        <v>9550</v>
      </c>
      <c r="Q1745" s="25">
        <v>0.1208</v>
      </c>
      <c r="U1745" s="384">
        <v>0</v>
      </c>
      <c r="V1745" s="207"/>
      <c r="W1745" s="285">
        <f t="shared" si="29"/>
        <v>1153.6400000000001</v>
      </c>
    </row>
    <row r="1746" spans="1:23" ht="15" customHeight="1">
      <c r="A1746" s="3">
        <v>38314</v>
      </c>
      <c r="B1746" s="9">
        <v>23325</v>
      </c>
      <c r="C1746" s="5">
        <v>8975</v>
      </c>
      <c r="D1746" s="5" t="e">
        <f>E1746-(#REF!+C1746)</f>
        <v>#REF!</v>
      </c>
      <c r="E1746" s="5">
        <v>44075</v>
      </c>
      <c r="K1746" s="22">
        <v>1005</v>
      </c>
      <c r="L1746" s="6">
        <v>966</v>
      </c>
      <c r="M1746" s="125">
        <f t="shared" si="30"/>
        <v>-39</v>
      </c>
      <c r="N1746" s="7"/>
      <c r="O1746" s="132"/>
      <c r="P1746" s="175">
        <v>9550</v>
      </c>
      <c r="Q1746" s="25">
        <v>0.1208</v>
      </c>
      <c r="U1746" s="384">
        <v>0</v>
      </c>
      <c r="V1746" s="207"/>
      <c r="W1746" s="285">
        <f t="shared" si="29"/>
        <v>1153.6400000000001</v>
      </c>
    </row>
    <row r="1747" spans="1:23" ht="15" customHeight="1">
      <c r="A1747" s="3">
        <v>38315</v>
      </c>
      <c r="B1747" s="9">
        <v>23025</v>
      </c>
      <c r="C1747" s="5">
        <v>8725</v>
      </c>
      <c r="D1747" s="5" t="e">
        <f>E1747-(#REF!+C1747)</f>
        <v>#REF!</v>
      </c>
      <c r="E1747" s="5">
        <v>43475</v>
      </c>
      <c r="K1747" s="22">
        <v>996</v>
      </c>
      <c r="L1747" s="6">
        <v>975</v>
      </c>
      <c r="M1747" s="125">
        <f t="shared" si="30"/>
        <v>-21</v>
      </c>
      <c r="N1747" s="7"/>
      <c r="O1747" s="132"/>
      <c r="P1747" s="175">
        <v>9550</v>
      </c>
      <c r="Q1747" s="25">
        <v>0.1208</v>
      </c>
      <c r="U1747" s="384">
        <v>0</v>
      </c>
      <c r="V1747" s="207"/>
      <c r="W1747" s="285">
        <f t="shared" si="29"/>
        <v>1153.6400000000001</v>
      </c>
    </row>
    <row r="1748" spans="1:23" ht="15" customHeight="1">
      <c r="A1748" s="3">
        <v>38316</v>
      </c>
      <c r="B1748" s="9">
        <v>22525</v>
      </c>
      <c r="C1748" s="5">
        <v>8550</v>
      </c>
      <c r="D1748" s="5" t="e">
        <f>E1748-(#REF!+C1748)</f>
        <v>#REF!</v>
      </c>
      <c r="E1748" s="5">
        <v>42725</v>
      </c>
      <c r="K1748" s="22">
        <v>999.5</v>
      </c>
      <c r="L1748" s="6">
        <v>968.5</v>
      </c>
      <c r="M1748" s="125">
        <f t="shared" si="30"/>
        <v>-31</v>
      </c>
      <c r="N1748" s="7"/>
      <c r="O1748" s="132"/>
      <c r="P1748" s="175">
        <v>9600</v>
      </c>
      <c r="Q1748" s="25">
        <v>0.1208</v>
      </c>
      <c r="U1748" s="384">
        <v>0</v>
      </c>
      <c r="V1748" s="207"/>
      <c r="W1748" s="285">
        <f t="shared" si="29"/>
        <v>1159.68</v>
      </c>
    </row>
    <row r="1749" spans="1:23" ht="15" customHeight="1">
      <c r="A1749" s="3">
        <v>38317</v>
      </c>
      <c r="B1749" s="9">
        <v>22500</v>
      </c>
      <c r="C1749" s="5">
        <v>8375</v>
      </c>
      <c r="D1749" s="5" t="e">
        <f>E1749-(#REF!+C1749)</f>
        <v>#REF!</v>
      </c>
      <c r="E1749" s="5">
        <v>42525</v>
      </c>
      <c r="K1749" s="22">
        <v>979</v>
      </c>
      <c r="L1749" s="6">
        <v>951</v>
      </c>
      <c r="M1749" s="125">
        <f t="shared" si="30"/>
        <v>-28</v>
      </c>
      <c r="N1749" s="7"/>
      <c r="O1749" s="132"/>
      <c r="P1749" s="175">
        <v>9560</v>
      </c>
      <c r="Q1749" s="25">
        <v>0.1208</v>
      </c>
      <c r="U1749" s="384">
        <v>0</v>
      </c>
      <c r="V1749" s="207"/>
      <c r="W1749" s="285">
        <f t="shared" si="29"/>
        <v>1154.848</v>
      </c>
    </row>
    <row r="1750" spans="1:23" ht="15" customHeight="1">
      <c r="A1750" s="3">
        <v>38320</v>
      </c>
      <c r="B1750" s="9">
        <v>22175</v>
      </c>
      <c r="C1750" s="5">
        <v>8375</v>
      </c>
      <c r="D1750" s="5" t="e">
        <f>E1750-(#REF!+C1750)</f>
        <v>#REF!</v>
      </c>
      <c r="E1750" s="5">
        <v>42200</v>
      </c>
      <c r="K1750" s="22">
        <v>988</v>
      </c>
      <c r="L1750" s="6">
        <v>959</v>
      </c>
      <c r="M1750" s="125">
        <f t="shared" si="30"/>
        <v>-29</v>
      </c>
      <c r="N1750" s="7"/>
      <c r="O1750" s="132"/>
      <c r="P1750" s="175">
        <v>9560</v>
      </c>
      <c r="Q1750" s="25">
        <v>0.1208</v>
      </c>
      <c r="U1750" s="384">
        <v>0</v>
      </c>
      <c r="V1750" s="207"/>
      <c r="W1750" s="285">
        <f t="shared" si="29"/>
        <v>1154.848</v>
      </c>
    </row>
    <row r="1751" spans="1:23" ht="15" customHeight="1" thickBot="1">
      <c r="A1751" s="11">
        <v>38321</v>
      </c>
      <c r="B1751" s="9">
        <v>21300</v>
      </c>
      <c r="C1751" s="13">
        <v>8375</v>
      </c>
      <c r="D1751" s="13" t="e">
        <f>E1751-(#REF!+C1751)</f>
        <v>#REF!</v>
      </c>
      <c r="E1751" s="13">
        <v>41300</v>
      </c>
      <c r="F1751" s="12"/>
      <c r="G1751" s="13"/>
      <c r="H1751" s="13"/>
      <c r="I1751" s="119"/>
      <c r="J1751" s="119"/>
      <c r="K1751" s="23">
        <v>991</v>
      </c>
      <c r="L1751" s="14">
        <v>960</v>
      </c>
      <c r="M1751" s="126">
        <f t="shared" si="30"/>
        <v>-31</v>
      </c>
      <c r="N1751" s="19">
        <f>AVERAGE(K1730:K1751)</f>
        <v>967.7954545454545</v>
      </c>
      <c r="O1751" s="133"/>
      <c r="P1751" s="176">
        <v>9570</v>
      </c>
      <c r="Q1751" s="27">
        <v>0.1208</v>
      </c>
      <c r="R1751" s="27"/>
      <c r="S1751" s="27"/>
      <c r="T1751" s="27"/>
      <c r="U1751" s="385">
        <v>0</v>
      </c>
      <c r="V1751" s="284">
        <f>AVERAGE(P1730:P1751)</f>
        <v>9535.9090909090901</v>
      </c>
      <c r="W1751" s="285">
        <f t="shared" si="29"/>
        <v>1156.056</v>
      </c>
    </row>
    <row r="1752" spans="1:23" ht="15" customHeight="1">
      <c r="A1752" s="3">
        <v>38322</v>
      </c>
      <c r="B1752" s="9">
        <v>23025</v>
      </c>
      <c r="C1752" s="5">
        <v>8275</v>
      </c>
      <c r="D1752" s="5" t="e">
        <f>E1752-(#REF!+C1752)</f>
        <v>#REF!</v>
      </c>
      <c r="E1752" s="5">
        <v>42900</v>
      </c>
      <c r="K1752" s="22">
        <v>998</v>
      </c>
      <c r="L1752" s="6">
        <v>996</v>
      </c>
      <c r="M1752" s="125">
        <f t="shared" si="30"/>
        <v>-2</v>
      </c>
      <c r="N1752" s="7"/>
      <c r="O1752" s="132"/>
      <c r="P1752" s="175">
        <v>9550</v>
      </c>
      <c r="Q1752" s="25">
        <v>0.1208</v>
      </c>
      <c r="U1752" s="384">
        <v>0</v>
      </c>
      <c r="V1752" s="207"/>
      <c r="W1752" s="285">
        <f t="shared" si="29"/>
        <v>1153.6400000000001</v>
      </c>
    </row>
    <row r="1753" spans="1:23" ht="15" customHeight="1">
      <c r="A1753" s="3">
        <v>38323</v>
      </c>
      <c r="B1753" s="9">
        <v>22950</v>
      </c>
      <c r="C1753" s="5">
        <v>8175</v>
      </c>
      <c r="D1753" s="5" t="e">
        <f>E1753-(#REF!+C1753)</f>
        <v>#REF!</v>
      </c>
      <c r="E1753" s="5">
        <v>42725</v>
      </c>
      <c r="K1753" s="22">
        <v>988</v>
      </c>
      <c r="L1753" s="6">
        <v>958</v>
      </c>
      <c r="M1753" s="125">
        <f t="shared" si="30"/>
        <v>-30</v>
      </c>
      <c r="N1753" s="7"/>
      <c r="O1753" s="132"/>
      <c r="P1753" s="175">
        <v>9500</v>
      </c>
      <c r="Q1753" s="25">
        <v>0.1208</v>
      </c>
      <c r="U1753" s="384">
        <v>0</v>
      </c>
      <c r="V1753" s="207"/>
      <c r="W1753" s="285">
        <f t="shared" si="29"/>
        <v>1147.6000000000001</v>
      </c>
    </row>
    <row r="1754" spans="1:23" ht="15" customHeight="1">
      <c r="A1754" s="3">
        <v>38324</v>
      </c>
      <c r="B1754" s="9">
        <v>22950</v>
      </c>
      <c r="C1754" s="5">
        <v>8000</v>
      </c>
      <c r="D1754" s="5" t="e">
        <f>E1754-(#REF!+C1754)</f>
        <v>#REF!</v>
      </c>
      <c r="E1754" s="5">
        <v>42550</v>
      </c>
      <c r="K1754" s="22">
        <v>981</v>
      </c>
      <c r="L1754" s="6">
        <v>951</v>
      </c>
      <c r="M1754" s="125">
        <f t="shared" si="30"/>
        <v>-30</v>
      </c>
      <c r="N1754" s="7"/>
      <c r="O1754" s="132"/>
      <c r="P1754" s="175">
        <v>9500</v>
      </c>
      <c r="Q1754" s="25">
        <v>0.1208</v>
      </c>
      <c r="U1754" s="384">
        <v>0</v>
      </c>
      <c r="V1754" s="207"/>
      <c r="W1754" s="285">
        <f t="shared" si="29"/>
        <v>1147.6000000000001</v>
      </c>
    </row>
    <row r="1755" spans="1:23" ht="15" customHeight="1">
      <c r="A1755" s="3">
        <v>38327</v>
      </c>
      <c r="B1755" s="9">
        <v>22950</v>
      </c>
      <c r="C1755" s="5">
        <v>7925</v>
      </c>
      <c r="D1755" s="5" t="e">
        <f>E1755-(#REF!+C1755)</f>
        <v>#REF!</v>
      </c>
      <c r="E1755" s="5">
        <v>42450</v>
      </c>
      <c r="K1755" s="22">
        <v>975</v>
      </c>
      <c r="L1755" s="6">
        <v>947</v>
      </c>
      <c r="M1755" s="125">
        <f t="shared" si="30"/>
        <v>-28</v>
      </c>
      <c r="N1755" s="7"/>
      <c r="O1755" s="132"/>
      <c r="P1755" s="175">
        <v>9500</v>
      </c>
      <c r="Q1755" s="25">
        <v>0.1208</v>
      </c>
      <c r="U1755" s="384">
        <v>0</v>
      </c>
      <c r="V1755" s="207"/>
      <c r="W1755" s="285">
        <f t="shared" si="29"/>
        <v>1147.6000000000001</v>
      </c>
    </row>
    <row r="1756" spans="1:23" ht="15" customHeight="1">
      <c r="A1756" s="3">
        <v>38328</v>
      </c>
      <c r="B1756" s="9">
        <v>22750</v>
      </c>
      <c r="C1756" s="5">
        <v>7775</v>
      </c>
      <c r="D1756" s="5" t="e">
        <f>E1756-(#REF!+C1756)</f>
        <v>#REF!</v>
      </c>
      <c r="E1756" s="5">
        <v>42075</v>
      </c>
      <c r="K1756" s="22">
        <v>986.5</v>
      </c>
      <c r="L1756" s="6">
        <v>959</v>
      </c>
      <c r="M1756" s="125">
        <f t="shared" si="30"/>
        <v>-27.5</v>
      </c>
      <c r="N1756" s="7"/>
      <c r="O1756" s="132"/>
      <c r="P1756" s="175">
        <v>9500</v>
      </c>
      <c r="Q1756" s="25">
        <v>0.1208</v>
      </c>
      <c r="U1756" s="384">
        <v>0</v>
      </c>
      <c r="V1756" s="207"/>
      <c r="W1756" s="285">
        <f t="shared" si="29"/>
        <v>1147.6000000000001</v>
      </c>
    </row>
    <row r="1757" spans="1:23" ht="15" customHeight="1">
      <c r="A1757" s="3">
        <v>38329</v>
      </c>
      <c r="B1757" s="9">
        <v>22750</v>
      </c>
      <c r="C1757" s="5">
        <v>7775</v>
      </c>
      <c r="D1757" s="5" t="e">
        <f>E1757-(#REF!+C1757)</f>
        <v>#REF!</v>
      </c>
      <c r="E1757" s="5">
        <v>42050</v>
      </c>
      <c r="K1757" s="22">
        <v>966.5</v>
      </c>
      <c r="L1757" s="6">
        <v>937.5</v>
      </c>
      <c r="M1757" s="125">
        <f t="shared" si="30"/>
        <v>-29</v>
      </c>
      <c r="N1757" s="7"/>
      <c r="O1757" s="132"/>
      <c r="P1757" s="175">
        <v>9500</v>
      </c>
      <c r="Q1757" s="25">
        <v>0.1208</v>
      </c>
      <c r="U1757" s="384">
        <v>0</v>
      </c>
      <c r="V1757" s="207"/>
      <c r="W1757" s="285">
        <f t="shared" si="29"/>
        <v>1147.6000000000001</v>
      </c>
    </row>
    <row r="1758" spans="1:23" ht="15" customHeight="1">
      <c r="A1758" s="3">
        <v>38330</v>
      </c>
      <c r="B1758" s="9">
        <v>22750</v>
      </c>
      <c r="C1758" s="5">
        <v>7750</v>
      </c>
      <c r="D1758" s="5" t="e">
        <f>E1758-(#REF!+C1758)</f>
        <v>#REF!</v>
      </c>
      <c r="E1758" s="5">
        <v>42025</v>
      </c>
      <c r="K1758" s="22">
        <v>943</v>
      </c>
      <c r="L1758" s="6">
        <v>915</v>
      </c>
      <c r="M1758" s="125">
        <f t="shared" si="30"/>
        <v>-28</v>
      </c>
      <c r="N1758" s="7"/>
      <c r="O1758" s="132"/>
      <c r="P1758" s="175">
        <v>9400</v>
      </c>
      <c r="Q1758" s="25">
        <v>0.1208</v>
      </c>
      <c r="U1758" s="384">
        <v>0</v>
      </c>
      <c r="V1758" s="207"/>
      <c r="W1758" s="285">
        <f t="shared" si="29"/>
        <v>1135.52</v>
      </c>
    </row>
    <row r="1759" spans="1:23" ht="15" customHeight="1">
      <c r="A1759" s="3">
        <v>38331</v>
      </c>
      <c r="B1759" s="9">
        <v>22700</v>
      </c>
      <c r="C1759" s="5">
        <v>7750</v>
      </c>
      <c r="D1759" s="5" t="e">
        <f>E1759-(#REF!+C1759)</f>
        <v>#REF!</v>
      </c>
      <c r="E1759" s="5">
        <v>41850</v>
      </c>
      <c r="K1759" s="22">
        <v>960</v>
      </c>
      <c r="L1759" s="6">
        <v>913</v>
      </c>
      <c r="M1759" s="125">
        <f t="shared" si="30"/>
        <v>-47</v>
      </c>
      <c r="N1759" s="7"/>
      <c r="O1759" s="132"/>
      <c r="P1759" s="175">
        <v>9400</v>
      </c>
      <c r="Q1759" s="25">
        <v>0.1208</v>
      </c>
      <c r="U1759" s="384">
        <v>0</v>
      </c>
      <c r="V1759" s="207"/>
      <c r="W1759" s="285">
        <f t="shared" si="29"/>
        <v>1135.52</v>
      </c>
    </row>
    <row r="1760" spans="1:23" ht="15" customHeight="1">
      <c r="A1760" s="3">
        <v>38334</v>
      </c>
      <c r="B1760" s="9">
        <v>22700</v>
      </c>
      <c r="C1760" s="5">
        <v>7750</v>
      </c>
      <c r="D1760" s="5" t="e">
        <f>E1760-(#REF!+C1760)</f>
        <v>#REF!</v>
      </c>
      <c r="E1760" s="5">
        <v>41725</v>
      </c>
      <c r="K1760" s="22">
        <v>959</v>
      </c>
      <c r="L1760" s="6">
        <v>926</v>
      </c>
      <c r="M1760" s="125">
        <f t="shared" si="30"/>
        <v>-33</v>
      </c>
      <c r="N1760" s="7"/>
      <c r="O1760" s="132"/>
      <c r="P1760" s="175">
        <v>9350</v>
      </c>
      <c r="Q1760" s="25">
        <v>0.1208</v>
      </c>
      <c r="U1760" s="384">
        <v>0</v>
      </c>
      <c r="V1760" s="207"/>
      <c r="W1760" s="285">
        <f t="shared" si="29"/>
        <v>1129.48</v>
      </c>
    </row>
    <row r="1761" spans="1:23" ht="15" customHeight="1">
      <c r="A1761" s="3">
        <v>38335</v>
      </c>
      <c r="B1761" s="9">
        <v>22600</v>
      </c>
      <c r="C1761" s="5">
        <v>7600</v>
      </c>
      <c r="D1761" s="5" t="e">
        <f>E1761-(#REF!+C1761)</f>
        <v>#REF!</v>
      </c>
      <c r="E1761" s="5">
        <v>41350</v>
      </c>
      <c r="K1761" s="22">
        <v>970.5</v>
      </c>
      <c r="L1761" s="6">
        <v>937</v>
      </c>
      <c r="M1761" s="125">
        <f t="shared" si="30"/>
        <v>-33.5</v>
      </c>
      <c r="N1761" s="7"/>
      <c r="O1761" s="132"/>
      <c r="P1761" s="175">
        <v>9400</v>
      </c>
      <c r="Q1761" s="25">
        <v>0.1208</v>
      </c>
      <c r="U1761" s="384">
        <v>0</v>
      </c>
      <c r="V1761" s="207"/>
      <c r="W1761" s="285">
        <f t="shared" si="29"/>
        <v>1135.52</v>
      </c>
    </row>
    <row r="1762" spans="1:23" ht="15" customHeight="1">
      <c r="A1762" s="3">
        <v>38336</v>
      </c>
      <c r="B1762" s="9">
        <v>22475</v>
      </c>
      <c r="C1762" s="5">
        <v>7500</v>
      </c>
      <c r="D1762" s="5" t="e">
        <f>E1762-(#REF!+C1762)</f>
        <v>#REF!</v>
      </c>
      <c r="E1762" s="5">
        <v>41125</v>
      </c>
      <c r="K1762" s="22">
        <v>966</v>
      </c>
      <c r="L1762" s="6">
        <v>936</v>
      </c>
      <c r="M1762" s="125">
        <f t="shared" si="30"/>
        <v>-30</v>
      </c>
      <c r="N1762" s="7"/>
      <c r="O1762" s="132"/>
      <c r="P1762" s="175">
        <v>9375</v>
      </c>
      <c r="Q1762" s="25">
        <v>0.1208</v>
      </c>
      <c r="U1762" s="384">
        <v>0</v>
      </c>
      <c r="V1762" s="207"/>
      <c r="W1762" s="285">
        <f t="shared" si="29"/>
        <v>1132.5</v>
      </c>
    </row>
    <row r="1763" spans="1:23" ht="15" customHeight="1">
      <c r="A1763" s="3">
        <v>38337</v>
      </c>
      <c r="B1763" s="9">
        <v>22475</v>
      </c>
      <c r="C1763" s="5">
        <v>7500</v>
      </c>
      <c r="D1763" s="5" t="e">
        <f>E1763-(#REF!+C1763)</f>
        <v>#REF!</v>
      </c>
      <c r="E1763" s="5">
        <v>41125</v>
      </c>
      <c r="K1763" s="22">
        <v>959</v>
      </c>
      <c r="L1763" s="6">
        <v>937</v>
      </c>
      <c r="M1763" s="125">
        <f t="shared" si="30"/>
        <v>-22</v>
      </c>
      <c r="N1763" s="7"/>
      <c r="O1763" s="132"/>
      <c r="P1763" s="175">
        <v>9375</v>
      </c>
      <c r="Q1763" s="25">
        <v>0.1208</v>
      </c>
      <c r="U1763" s="384">
        <v>0</v>
      </c>
      <c r="V1763" s="207"/>
      <c r="W1763" s="285">
        <f t="shared" si="29"/>
        <v>1132.5</v>
      </c>
    </row>
    <row r="1764" spans="1:23" ht="15" customHeight="1">
      <c r="A1764" s="3">
        <v>38338</v>
      </c>
      <c r="B1764" s="9">
        <v>22375</v>
      </c>
      <c r="C1764" s="5">
        <v>7500</v>
      </c>
      <c r="D1764" s="5" t="e">
        <f>E1764-(#REF!+C1764)</f>
        <v>#REF!</v>
      </c>
      <c r="E1764" s="5">
        <v>41025</v>
      </c>
      <c r="K1764" s="22">
        <v>953.5</v>
      </c>
      <c r="L1764" s="6">
        <v>930</v>
      </c>
      <c r="M1764" s="125">
        <f t="shared" si="30"/>
        <v>-23.5</v>
      </c>
      <c r="N1764" s="7"/>
      <c r="O1764" s="132"/>
      <c r="P1764" s="175">
        <v>9375</v>
      </c>
      <c r="Q1764" s="25">
        <v>0.1208</v>
      </c>
      <c r="U1764" s="384">
        <v>0</v>
      </c>
      <c r="V1764" s="207"/>
      <c r="W1764" s="285">
        <f t="shared" si="29"/>
        <v>1132.5</v>
      </c>
    </row>
    <row r="1765" spans="1:23" ht="15" customHeight="1">
      <c r="A1765" s="3">
        <v>38341</v>
      </c>
      <c r="B1765" s="9">
        <v>22375</v>
      </c>
      <c r="C1765" s="5">
        <v>7500</v>
      </c>
      <c r="D1765" s="5" t="e">
        <f>E1765-(#REF!+C1765)</f>
        <v>#REF!</v>
      </c>
      <c r="E1765" s="5">
        <v>41025</v>
      </c>
      <c r="K1765" s="22">
        <v>951</v>
      </c>
      <c r="L1765" s="6">
        <v>932</v>
      </c>
      <c r="M1765" s="125">
        <f t="shared" si="30"/>
        <v>-19</v>
      </c>
      <c r="N1765" s="7"/>
      <c r="O1765" s="132"/>
      <c r="P1765" s="175">
        <v>9375</v>
      </c>
      <c r="Q1765" s="25">
        <v>0.1208</v>
      </c>
      <c r="U1765" s="384">
        <v>0</v>
      </c>
      <c r="V1765" s="207"/>
      <c r="W1765" s="285">
        <f t="shared" si="29"/>
        <v>1132.5</v>
      </c>
    </row>
    <row r="1766" spans="1:23" ht="15" customHeight="1">
      <c r="A1766" s="3">
        <v>38342</v>
      </c>
      <c r="B1766" s="9">
        <v>22175</v>
      </c>
      <c r="C1766" s="5">
        <v>7475</v>
      </c>
      <c r="D1766" s="5" t="e">
        <f>E1766-(#REF!+C1766)</f>
        <v>#REF!</v>
      </c>
      <c r="E1766" s="5">
        <v>40800</v>
      </c>
      <c r="K1766" s="22">
        <v>961</v>
      </c>
      <c r="L1766" s="6">
        <v>944</v>
      </c>
      <c r="M1766" s="125">
        <f t="shared" si="30"/>
        <v>-17</v>
      </c>
      <c r="N1766" s="7"/>
      <c r="O1766" s="132"/>
      <c r="P1766" s="175">
        <v>9375</v>
      </c>
      <c r="Q1766" s="25">
        <v>0.1208</v>
      </c>
      <c r="U1766" s="384">
        <v>0</v>
      </c>
      <c r="V1766" s="207"/>
      <c r="W1766" s="285">
        <f t="shared" si="29"/>
        <v>1132.5</v>
      </c>
    </row>
    <row r="1767" spans="1:23" ht="15" customHeight="1">
      <c r="A1767" s="3">
        <v>38343</v>
      </c>
      <c r="B1767" s="9">
        <v>22175</v>
      </c>
      <c r="C1767" s="5">
        <v>7450</v>
      </c>
      <c r="D1767" s="5" t="e">
        <f>E1767-(#REF!+C1767)</f>
        <v>#REF!</v>
      </c>
      <c r="E1767" s="5">
        <v>40775</v>
      </c>
      <c r="K1767" s="22">
        <v>965.5</v>
      </c>
      <c r="L1767" s="6">
        <v>955</v>
      </c>
      <c r="M1767" s="125">
        <f t="shared" si="30"/>
        <v>-10.5</v>
      </c>
      <c r="N1767" s="7"/>
      <c r="O1767" s="132"/>
      <c r="P1767" s="175">
        <v>9375</v>
      </c>
      <c r="Q1767" s="25">
        <v>0.1208</v>
      </c>
      <c r="U1767" s="384">
        <v>0</v>
      </c>
      <c r="V1767" s="207"/>
      <c r="W1767" s="285">
        <f t="shared" si="29"/>
        <v>1132.5</v>
      </c>
    </row>
    <row r="1768" spans="1:23" ht="15" customHeight="1">
      <c r="A1768" s="3">
        <v>38344</v>
      </c>
      <c r="B1768" s="9">
        <v>22175</v>
      </c>
      <c r="C1768" s="5">
        <v>7350</v>
      </c>
      <c r="D1768" s="5" t="e">
        <f>E1768-(#REF!+C1768)</f>
        <v>#REF!</v>
      </c>
      <c r="E1768" s="5">
        <v>40675</v>
      </c>
      <c r="K1768" s="22">
        <v>976.5</v>
      </c>
      <c r="L1768" s="6">
        <v>948</v>
      </c>
      <c r="M1768" s="125">
        <f t="shared" si="30"/>
        <v>-28.5</v>
      </c>
      <c r="N1768" s="7"/>
      <c r="O1768" s="132"/>
      <c r="P1768" s="175">
        <v>9375</v>
      </c>
      <c r="Q1768" s="25">
        <v>0.1208</v>
      </c>
      <c r="U1768" s="384">
        <v>0</v>
      </c>
      <c r="V1768" s="207"/>
      <c r="W1768" s="285">
        <f t="shared" si="29"/>
        <v>1132.5</v>
      </c>
    </row>
    <row r="1769" spans="1:23" ht="15" customHeight="1">
      <c r="A1769" s="3">
        <v>38345</v>
      </c>
      <c r="B1769" s="9">
        <v>22075</v>
      </c>
      <c r="C1769" s="5">
        <v>7325</v>
      </c>
      <c r="D1769" s="5" t="e">
        <f>E1769-(#REF!+C1769)</f>
        <v>#REF!</v>
      </c>
      <c r="E1769" s="5">
        <v>40550</v>
      </c>
      <c r="K1769" s="22">
        <v>975.5</v>
      </c>
      <c r="L1769" s="6">
        <v>950</v>
      </c>
      <c r="M1769" s="125">
        <f t="shared" si="30"/>
        <v>-25.5</v>
      </c>
      <c r="N1769" s="7"/>
      <c r="O1769" s="132"/>
      <c r="P1769" s="175">
        <v>9375</v>
      </c>
      <c r="Q1769" s="25">
        <v>0.1208</v>
      </c>
      <c r="U1769" s="384">
        <v>0</v>
      </c>
      <c r="V1769" s="207"/>
      <c r="W1769" s="285">
        <f t="shared" si="29"/>
        <v>1132.5</v>
      </c>
    </row>
    <row r="1770" spans="1:23" ht="15" customHeight="1">
      <c r="A1770" s="3">
        <v>38350</v>
      </c>
      <c r="B1770" s="9">
        <v>21825</v>
      </c>
      <c r="C1770" s="5">
        <v>7325</v>
      </c>
      <c r="D1770" s="5" t="e">
        <f>E1770-(#REF!+C1770)</f>
        <v>#REF!</v>
      </c>
      <c r="E1770" s="5">
        <v>40300</v>
      </c>
      <c r="K1770" s="22">
        <v>990</v>
      </c>
      <c r="L1770" s="6">
        <v>955</v>
      </c>
      <c r="M1770" s="125">
        <f t="shared" si="30"/>
        <v>-35</v>
      </c>
      <c r="N1770" s="7"/>
      <c r="O1770" s="132"/>
      <c r="P1770" s="175">
        <v>9325</v>
      </c>
      <c r="Q1770" s="25">
        <v>0.1208</v>
      </c>
      <c r="U1770" s="384">
        <v>0</v>
      </c>
      <c r="V1770" s="207"/>
      <c r="W1770" s="285">
        <f t="shared" si="29"/>
        <v>1126.46</v>
      </c>
    </row>
    <row r="1771" spans="1:23" ht="15" customHeight="1">
      <c r="A1771" s="3">
        <v>38351</v>
      </c>
      <c r="B1771" s="9">
        <v>22775</v>
      </c>
      <c r="C1771" s="5">
        <v>7075</v>
      </c>
      <c r="D1771" s="5" t="e">
        <f>E1771-(#REF!+C1771)</f>
        <v>#REF!</v>
      </c>
      <c r="E1771" s="5">
        <v>41000</v>
      </c>
      <c r="K1771" s="22">
        <v>991.5</v>
      </c>
      <c r="L1771" s="6">
        <v>959</v>
      </c>
      <c r="M1771" s="125">
        <f t="shared" si="30"/>
        <v>-32.5</v>
      </c>
      <c r="N1771" s="7"/>
      <c r="O1771" s="132"/>
      <c r="P1771" s="175">
        <v>9325</v>
      </c>
      <c r="Q1771" s="25">
        <v>0.1208</v>
      </c>
      <c r="U1771" s="384">
        <v>0</v>
      </c>
      <c r="V1771" s="207"/>
      <c r="W1771" s="285">
        <f t="shared" si="29"/>
        <v>1126.46</v>
      </c>
    </row>
    <row r="1772" spans="1:23" ht="15" customHeight="1" thickBot="1">
      <c r="A1772" s="11">
        <v>38352</v>
      </c>
      <c r="B1772" s="9">
        <v>22500</v>
      </c>
      <c r="C1772" s="13">
        <v>7050</v>
      </c>
      <c r="D1772" s="13" t="e">
        <f>E1772-(#REF!+C1772)</f>
        <v>#REF!</v>
      </c>
      <c r="E1772" s="13">
        <v>40700</v>
      </c>
      <c r="F1772" s="12"/>
      <c r="G1772" s="13"/>
      <c r="H1772" s="13"/>
      <c r="I1772" s="119"/>
      <c r="J1772" s="119"/>
      <c r="K1772" s="23">
        <v>1056</v>
      </c>
      <c r="L1772" s="14">
        <v>1011</v>
      </c>
      <c r="M1772" s="126">
        <f t="shared" si="30"/>
        <v>-45</v>
      </c>
      <c r="N1772" s="19">
        <f>AVERAGE(K1752:K1772)</f>
        <v>974.90476190476193</v>
      </c>
      <c r="O1772" s="133"/>
      <c r="P1772" s="176">
        <v>9500</v>
      </c>
      <c r="Q1772" s="27">
        <v>0.1208</v>
      </c>
      <c r="R1772" s="27"/>
      <c r="S1772" s="27"/>
      <c r="T1772" s="27"/>
      <c r="U1772" s="385">
        <v>0</v>
      </c>
      <c r="V1772" s="284">
        <f>AVERAGE(P1752:P1772)</f>
        <v>9416.6666666666661</v>
      </c>
      <c r="W1772" s="285">
        <f t="shared" si="29"/>
        <v>1147.6000000000001</v>
      </c>
    </row>
    <row r="1773" spans="1:23" ht="15" customHeight="1">
      <c r="A1773" s="3">
        <v>38356</v>
      </c>
      <c r="B1773" s="9">
        <v>22300</v>
      </c>
      <c r="C1773" s="5">
        <v>7050</v>
      </c>
      <c r="D1773" s="5" t="e">
        <f>E1773-(#REF!+C1773)</f>
        <v>#REF!</v>
      </c>
      <c r="E1773" s="5">
        <v>40475</v>
      </c>
      <c r="K1773" s="22">
        <v>1000</v>
      </c>
      <c r="L1773" s="6">
        <v>980</v>
      </c>
      <c r="M1773" s="125">
        <f t="shared" si="30"/>
        <v>-20</v>
      </c>
      <c r="N1773" s="7"/>
      <c r="O1773" s="132"/>
      <c r="P1773" s="175">
        <v>9475</v>
      </c>
      <c r="Q1773" s="25">
        <v>0.1208</v>
      </c>
      <c r="U1773" s="384">
        <v>0</v>
      </c>
      <c r="V1773" s="207"/>
      <c r="W1773" s="285">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25">
        <f t="shared" si="30"/>
        <v>-35</v>
      </c>
      <c r="N1774" s="7"/>
      <c r="O1774" s="132"/>
      <c r="P1774" s="175">
        <v>9400</v>
      </c>
      <c r="Q1774" s="25">
        <v>0.1208</v>
      </c>
      <c r="U1774" s="384">
        <v>0</v>
      </c>
      <c r="V1774" s="207"/>
      <c r="W1774" s="285">
        <f t="shared" si="31"/>
        <v>1135.52</v>
      </c>
    </row>
    <row r="1775" spans="1:23" ht="15" customHeight="1">
      <c r="A1775" s="3">
        <v>38358</v>
      </c>
      <c r="B1775" s="9">
        <v>21925</v>
      </c>
      <c r="C1775" s="5">
        <v>6700</v>
      </c>
      <c r="D1775" s="5" t="e">
        <f>E1775-(#REF!+C1775)</f>
        <v>#REF!</v>
      </c>
      <c r="E1775" s="5">
        <v>39750</v>
      </c>
      <c r="K1775" s="22">
        <v>912</v>
      </c>
      <c r="L1775" s="6">
        <v>870</v>
      </c>
      <c r="M1775" s="125">
        <f t="shared" si="30"/>
        <v>-42</v>
      </c>
      <c r="N1775" s="7"/>
      <c r="O1775" s="132"/>
      <c r="P1775" s="175">
        <v>9400</v>
      </c>
      <c r="Q1775" s="25">
        <v>0.1208</v>
      </c>
      <c r="U1775" s="384">
        <v>0</v>
      </c>
      <c r="V1775" s="207"/>
      <c r="W1775" s="285">
        <f t="shared" si="31"/>
        <v>1135.52</v>
      </c>
    </row>
    <row r="1776" spans="1:23" ht="15" customHeight="1">
      <c r="A1776" s="3">
        <v>38359</v>
      </c>
      <c r="B1776" s="9">
        <v>21925</v>
      </c>
      <c r="C1776" s="5">
        <v>6625</v>
      </c>
      <c r="D1776" s="5" t="e">
        <f>E1776-(#REF!+C1776)</f>
        <v>#REF!</v>
      </c>
      <c r="E1776" s="5">
        <v>39675</v>
      </c>
      <c r="K1776" s="22">
        <v>959.5</v>
      </c>
      <c r="L1776" s="6">
        <v>910</v>
      </c>
      <c r="M1776" s="125">
        <f t="shared" si="30"/>
        <v>-49.5</v>
      </c>
      <c r="N1776" s="7"/>
      <c r="O1776" s="132"/>
      <c r="P1776" s="175">
        <v>9400</v>
      </c>
      <c r="Q1776" s="25">
        <v>0.1208</v>
      </c>
      <c r="U1776" s="384">
        <v>0</v>
      </c>
      <c r="V1776" s="207"/>
      <c r="W1776" s="285">
        <f t="shared" si="31"/>
        <v>1135.52</v>
      </c>
    </row>
    <row r="1777" spans="1:23" ht="15" customHeight="1">
      <c r="A1777" s="3">
        <v>38362</v>
      </c>
      <c r="B1777" s="9">
        <v>21925</v>
      </c>
      <c r="C1777" s="5">
        <v>6252</v>
      </c>
      <c r="D1777" s="5" t="e">
        <f>E1777-(#REF!+C1777)</f>
        <v>#REF!</v>
      </c>
      <c r="E1777" s="5">
        <v>39575</v>
      </c>
      <c r="K1777" s="22">
        <v>950</v>
      </c>
      <c r="L1777" s="6">
        <v>898.5</v>
      </c>
      <c r="M1777" s="125">
        <f t="shared" si="30"/>
        <v>-51.5</v>
      </c>
      <c r="N1777" s="7"/>
      <c r="O1777" s="132"/>
      <c r="P1777" s="175">
        <v>9500</v>
      </c>
      <c r="Q1777" s="25">
        <v>0.1208</v>
      </c>
      <c r="U1777" s="384">
        <v>0</v>
      </c>
      <c r="V1777" s="207"/>
      <c r="W1777" s="285">
        <f t="shared" si="31"/>
        <v>1147.6000000000001</v>
      </c>
    </row>
    <row r="1778" spans="1:23" ht="15" customHeight="1">
      <c r="A1778" s="3">
        <v>38363</v>
      </c>
      <c r="B1778" s="9">
        <v>21925</v>
      </c>
      <c r="C1778" s="5">
        <v>6525</v>
      </c>
      <c r="D1778" s="5" t="e">
        <f>E1778-(#REF!+C1778)</f>
        <v>#REF!</v>
      </c>
      <c r="E1778" s="5">
        <v>39575</v>
      </c>
      <c r="K1778" s="22">
        <v>955.5</v>
      </c>
      <c r="L1778" s="6">
        <v>908</v>
      </c>
      <c r="M1778" s="125">
        <f t="shared" si="30"/>
        <v>-47.5</v>
      </c>
      <c r="N1778" s="7"/>
      <c r="O1778" s="132"/>
      <c r="P1778" s="175">
        <v>9425</v>
      </c>
      <c r="Q1778" s="25">
        <v>0.1208</v>
      </c>
      <c r="U1778" s="384">
        <v>0</v>
      </c>
      <c r="V1778" s="207"/>
      <c r="W1778" s="285">
        <f t="shared" si="31"/>
        <v>1138.54</v>
      </c>
    </row>
    <row r="1779" spans="1:23" ht="15" customHeight="1">
      <c r="A1779" s="3">
        <v>38364</v>
      </c>
      <c r="B1779" s="9">
        <v>21900</v>
      </c>
      <c r="C1779" s="5">
        <v>6252</v>
      </c>
      <c r="D1779" s="5" t="e">
        <f>E1779-(#REF!+C1779)</f>
        <v>#REF!</v>
      </c>
      <c r="E1779" s="5">
        <v>39550</v>
      </c>
      <c r="K1779" s="22">
        <v>940</v>
      </c>
      <c r="L1779" s="6">
        <v>903.5</v>
      </c>
      <c r="M1779" s="125">
        <f t="shared" si="30"/>
        <v>-36.5</v>
      </c>
      <c r="N1779" s="7"/>
      <c r="O1779" s="132"/>
      <c r="P1779" s="175">
        <v>9475</v>
      </c>
      <c r="Q1779" s="25">
        <v>0.1208</v>
      </c>
      <c r="U1779" s="384">
        <v>0</v>
      </c>
      <c r="V1779" s="207"/>
      <c r="W1779" s="285">
        <f t="shared" si="31"/>
        <v>1144.5800000000002</v>
      </c>
    </row>
    <row r="1780" spans="1:23" ht="15" customHeight="1">
      <c r="A1780" s="3">
        <v>38365</v>
      </c>
      <c r="B1780" s="9">
        <v>21900</v>
      </c>
      <c r="C1780" s="5">
        <v>6325</v>
      </c>
      <c r="D1780" s="5" t="e">
        <f>E1780-(#REF!+C1780)</f>
        <v>#REF!</v>
      </c>
      <c r="E1780" s="5">
        <v>39175</v>
      </c>
      <c r="K1780" s="22">
        <v>950</v>
      </c>
      <c r="L1780" s="6">
        <v>907</v>
      </c>
      <c r="M1780" s="125">
        <f t="shared" si="30"/>
        <v>-43</v>
      </c>
      <c r="N1780" s="7"/>
      <c r="O1780" s="132"/>
      <c r="P1780" s="175">
        <v>9450</v>
      </c>
      <c r="Q1780" s="25">
        <v>0.1208</v>
      </c>
      <c r="U1780" s="384">
        <v>0</v>
      </c>
      <c r="V1780" s="207"/>
      <c r="W1780" s="285">
        <f t="shared" si="31"/>
        <v>1141.56</v>
      </c>
    </row>
    <row r="1781" spans="1:23" ht="15" customHeight="1">
      <c r="A1781" s="3">
        <v>38366</v>
      </c>
      <c r="B1781" s="9">
        <v>21875</v>
      </c>
      <c r="C1781" s="5">
        <v>6125</v>
      </c>
      <c r="D1781" s="5" t="e">
        <f>E1781-(#REF!+C1781)</f>
        <v>#REF!</v>
      </c>
      <c r="E1781" s="5">
        <v>38900</v>
      </c>
      <c r="K1781" s="22">
        <v>918</v>
      </c>
      <c r="L1781" s="6">
        <v>881</v>
      </c>
      <c r="M1781" s="125">
        <f t="shared" si="30"/>
        <v>-37</v>
      </c>
      <c r="N1781" s="7"/>
      <c r="O1781" s="132"/>
      <c r="P1781" s="175">
        <v>9375</v>
      </c>
      <c r="Q1781" s="25">
        <v>0.1208</v>
      </c>
      <c r="U1781" s="384">
        <v>0</v>
      </c>
      <c r="V1781" s="207"/>
      <c r="W1781" s="285">
        <f t="shared" si="31"/>
        <v>1132.5</v>
      </c>
    </row>
    <row r="1782" spans="1:23" ht="15" customHeight="1">
      <c r="A1782" s="3">
        <v>38369</v>
      </c>
      <c r="B1782" s="9">
        <v>21350</v>
      </c>
      <c r="C1782" s="5">
        <v>6125</v>
      </c>
      <c r="D1782" s="5" t="e">
        <f>E1782-(#REF!+C1782)</f>
        <v>#REF!</v>
      </c>
      <c r="E1782" s="5">
        <v>38325</v>
      </c>
      <c r="K1782" s="22">
        <v>939</v>
      </c>
      <c r="L1782" s="6">
        <v>900.5</v>
      </c>
      <c r="M1782" s="125">
        <f t="shared" si="30"/>
        <v>-38.5</v>
      </c>
      <c r="N1782" s="7"/>
      <c r="O1782" s="132"/>
      <c r="P1782" s="175">
        <v>9425</v>
      </c>
      <c r="Q1782" s="25">
        <v>0.1208</v>
      </c>
      <c r="U1782" s="384">
        <v>0</v>
      </c>
      <c r="V1782" s="207"/>
      <c r="W1782" s="285">
        <f t="shared" si="31"/>
        <v>1138.54</v>
      </c>
    </row>
    <row r="1783" spans="1:23" ht="15" customHeight="1">
      <c r="A1783" s="3">
        <v>38370</v>
      </c>
      <c r="B1783" s="9">
        <v>21325</v>
      </c>
      <c r="C1783" s="5">
        <v>5800</v>
      </c>
      <c r="D1783" s="5" t="e">
        <f>E1783-(#REF!+C1783)</f>
        <v>#REF!</v>
      </c>
      <c r="E1783" s="5">
        <v>37925</v>
      </c>
      <c r="K1783" s="22">
        <v>921.5</v>
      </c>
      <c r="L1783" s="6">
        <v>895</v>
      </c>
      <c r="M1783" s="125">
        <f t="shared" ref="M1783:M1846" si="32">L1783-K1783</f>
        <v>-26.5</v>
      </c>
      <c r="N1783" s="7"/>
      <c r="O1783" s="132"/>
      <c r="P1783" s="175">
        <v>9450</v>
      </c>
      <c r="Q1783" s="25">
        <v>0.1208</v>
      </c>
      <c r="U1783" s="384">
        <v>0</v>
      </c>
      <c r="V1783" s="207"/>
      <c r="W1783" s="285">
        <f t="shared" si="31"/>
        <v>1141.56</v>
      </c>
    </row>
    <row r="1784" spans="1:23" ht="15" customHeight="1">
      <c r="A1784" s="3">
        <v>38371</v>
      </c>
      <c r="B1784" s="9">
        <v>21325</v>
      </c>
      <c r="C1784" s="5">
        <v>5800</v>
      </c>
      <c r="D1784" s="5" t="e">
        <f>E1784-(#REF!+C1784)</f>
        <v>#REF!</v>
      </c>
      <c r="E1784" s="5">
        <v>37875</v>
      </c>
      <c r="K1784" s="22">
        <v>952</v>
      </c>
      <c r="L1784" s="6">
        <v>906</v>
      </c>
      <c r="M1784" s="125">
        <f t="shared" si="32"/>
        <v>-46</v>
      </c>
      <c r="N1784" s="7"/>
      <c r="O1784" s="132"/>
      <c r="P1784" s="175">
        <v>9400</v>
      </c>
      <c r="Q1784" s="25">
        <v>0.1208</v>
      </c>
      <c r="U1784" s="384">
        <v>0</v>
      </c>
      <c r="V1784" s="207"/>
      <c r="W1784" s="285">
        <f t="shared" si="31"/>
        <v>1135.52</v>
      </c>
    </row>
    <row r="1785" spans="1:23" ht="15" customHeight="1">
      <c r="A1785" s="3">
        <v>38372</v>
      </c>
      <c r="B1785" s="9">
        <v>21325</v>
      </c>
      <c r="C1785" s="5">
        <v>5775</v>
      </c>
      <c r="D1785" s="5" t="e">
        <f>E1785-(#REF!+C1785)</f>
        <v>#REF!</v>
      </c>
      <c r="E1785" s="5">
        <v>37800</v>
      </c>
      <c r="K1785" s="22">
        <v>932</v>
      </c>
      <c r="L1785" s="6">
        <v>915</v>
      </c>
      <c r="M1785" s="125">
        <f t="shared" si="32"/>
        <v>-17</v>
      </c>
      <c r="N1785" s="7"/>
      <c r="O1785" s="132"/>
      <c r="P1785" s="175">
        <v>9400</v>
      </c>
      <c r="Q1785" s="25">
        <v>0.1208</v>
      </c>
      <c r="U1785" s="384">
        <v>0</v>
      </c>
      <c r="V1785" s="207"/>
      <c r="W1785" s="285">
        <f t="shared" si="31"/>
        <v>1135.52</v>
      </c>
    </row>
    <row r="1786" spans="1:23" ht="15" customHeight="1">
      <c r="A1786" s="3">
        <v>38373</v>
      </c>
      <c r="B1786" s="9">
        <v>21300</v>
      </c>
      <c r="C1786" s="5">
        <v>5725</v>
      </c>
      <c r="D1786" s="5" t="e">
        <f>E1786-(#REF!+C1786)</f>
        <v>#REF!</v>
      </c>
      <c r="E1786" s="5">
        <v>37675</v>
      </c>
      <c r="K1786" s="22">
        <v>955</v>
      </c>
      <c r="L1786" s="6">
        <v>925</v>
      </c>
      <c r="M1786" s="125">
        <f t="shared" si="32"/>
        <v>-30</v>
      </c>
      <c r="N1786" s="7"/>
      <c r="O1786" s="132"/>
      <c r="P1786" s="175">
        <v>9390</v>
      </c>
      <c r="Q1786" s="25">
        <v>0.1208</v>
      </c>
      <c r="U1786" s="384">
        <v>0</v>
      </c>
      <c r="V1786" s="207"/>
      <c r="W1786" s="285">
        <f t="shared" si="31"/>
        <v>1134.3120000000001</v>
      </c>
    </row>
    <row r="1787" spans="1:23" ht="15" customHeight="1">
      <c r="A1787" s="3">
        <v>38376</v>
      </c>
      <c r="B1787" s="9">
        <v>21300</v>
      </c>
      <c r="C1787" s="5">
        <v>5675</v>
      </c>
      <c r="D1787" s="5" t="e">
        <f>E1787-(#REF!+C1787)</f>
        <v>#REF!</v>
      </c>
      <c r="E1787" s="5">
        <v>37575</v>
      </c>
      <c r="K1787" s="22">
        <v>971</v>
      </c>
      <c r="L1787" s="6">
        <v>930.5</v>
      </c>
      <c r="M1787" s="125">
        <f t="shared" si="32"/>
        <v>-40.5</v>
      </c>
      <c r="N1787" s="7"/>
      <c r="O1787" s="132"/>
      <c r="P1787" s="175">
        <v>9450</v>
      </c>
      <c r="Q1787" s="25">
        <v>0.1208</v>
      </c>
      <c r="U1787" s="384">
        <v>0</v>
      </c>
      <c r="V1787" s="207"/>
      <c r="W1787" s="285">
        <f t="shared" si="31"/>
        <v>1141.56</v>
      </c>
    </row>
    <row r="1788" spans="1:23" ht="15" customHeight="1">
      <c r="A1788" s="3">
        <v>38377</v>
      </c>
      <c r="B1788" s="9">
        <v>21275</v>
      </c>
      <c r="C1788" s="5">
        <v>5550</v>
      </c>
      <c r="D1788" s="5" t="e">
        <f>E1788-(#REF!+C1788)</f>
        <v>#REF!</v>
      </c>
      <c r="E1788" s="5">
        <v>37375</v>
      </c>
      <c r="K1788" s="22">
        <v>951</v>
      </c>
      <c r="L1788" s="6">
        <v>912</v>
      </c>
      <c r="M1788" s="125">
        <f t="shared" si="32"/>
        <v>-39</v>
      </c>
      <c r="N1788" s="7"/>
      <c r="O1788" s="132"/>
      <c r="P1788" s="175">
        <v>9425</v>
      </c>
      <c r="Q1788" s="25">
        <v>0.1208</v>
      </c>
      <c r="U1788" s="384">
        <v>0</v>
      </c>
      <c r="V1788" s="207"/>
      <c r="W1788" s="285">
        <f t="shared" si="31"/>
        <v>1138.54</v>
      </c>
    </row>
    <row r="1789" spans="1:23" ht="15" customHeight="1">
      <c r="A1789" s="3">
        <v>38378</v>
      </c>
      <c r="B1789" s="9">
        <v>21225</v>
      </c>
      <c r="C1789" s="5">
        <v>5400</v>
      </c>
      <c r="D1789" s="5" t="e">
        <f>E1789-(#REF!+C1789)</f>
        <v>#REF!</v>
      </c>
      <c r="E1789" s="5">
        <v>37200</v>
      </c>
      <c r="K1789" s="22">
        <v>954.5</v>
      </c>
      <c r="L1789" s="6">
        <v>913</v>
      </c>
      <c r="M1789" s="125">
        <f t="shared" si="32"/>
        <v>-41.5</v>
      </c>
      <c r="N1789" s="7"/>
      <c r="O1789" s="132"/>
      <c r="P1789" s="175">
        <v>9425</v>
      </c>
      <c r="Q1789" s="25">
        <v>0.1208</v>
      </c>
      <c r="U1789" s="384">
        <v>0</v>
      </c>
      <c r="V1789" s="207"/>
      <c r="W1789" s="285">
        <f t="shared" si="31"/>
        <v>1138.54</v>
      </c>
    </row>
    <row r="1790" spans="1:23" ht="15" customHeight="1">
      <c r="A1790" s="3">
        <v>38379</v>
      </c>
      <c r="B1790" s="9">
        <v>20600</v>
      </c>
      <c r="C1790" s="5">
        <v>5225</v>
      </c>
      <c r="D1790" s="5" t="e">
        <f>E1790-(#REF!+C1790)</f>
        <v>#REF!</v>
      </c>
      <c r="E1790" s="5">
        <v>36325</v>
      </c>
      <c r="K1790" s="22">
        <v>974</v>
      </c>
      <c r="L1790" s="6">
        <v>922</v>
      </c>
      <c r="M1790" s="125">
        <f t="shared" si="32"/>
        <v>-52</v>
      </c>
      <c r="N1790" s="7"/>
      <c r="O1790" s="132"/>
      <c r="P1790" s="175">
        <v>9350</v>
      </c>
      <c r="Q1790" s="25">
        <v>0.1208</v>
      </c>
      <c r="U1790" s="384">
        <v>0</v>
      </c>
      <c r="V1790" s="207"/>
      <c r="W1790" s="285">
        <f t="shared" si="31"/>
        <v>1129.48</v>
      </c>
    </row>
    <row r="1791" spans="1:23" ht="15" customHeight="1">
      <c r="A1791" s="3">
        <v>38380</v>
      </c>
      <c r="B1791" s="9">
        <v>20400</v>
      </c>
      <c r="C1791" s="5">
        <v>5225</v>
      </c>
      <c r="D1791" s="5" t="e">
        <f>E1791-(#REF!+C1791)</f>
        <v>#REF!</v>
      </c>
      <c r="E1791" s="5">
        <v>36125</v>
      </c>
      <c r="K1791" s="22">
        <v>980</v>
      </c>
      <c r="L1791" s="6">
        <v>935</v>
      </c>
      <c r="M1791" s="125">
        <f t="shared" si="32"/>
        <v>-45</v>
      </c>
      <c r="N1791" s="7"/>
      <c r="O1791" s="132"/>
      <c r="P1791" s="175">
        <v>9350</v>
      </c>
      <c r="Q1791" s="25">
        <v>0.1208</v>
      </c>
      <c r="U1791" s="384">
        <v>0</v>
      </c>
      <c r="V1791" s="207"/>
      <c r="W1791" s="285">
        <f t="shared" si="31"/>
        <v>1129.48</v>
      </c>
    </row>
    <row r="1792" spans="1:23" ht="15" customHeight="1" thickBot="1">
      <c r="A1792" s="11">
        <v>38383</v>
      </c>
      <c r="B1792" s="9">
        <v>20200</v>
      </c>
      <c r="C1792" s="13">
        <v>5075</v>
      </c>
      <c r="D1792" s="13" t="e">
        <f>E1792-(#REF!+C1792)</f>
        <v>#REF!</v>
      </c>
      <c r="E1792" s="13">
        <v>35725</v>
      </c>
      <c r="F1792" s="12"/>
      <c r="G1792" s="13"/>
      <c r="H1792" s="13"/>
      <c r="I1792" s="119"/>
      <c r="J1792" s="119"/>
      <c r="K1792" s="23">
        <v>1010</v>
      </c>
      <c r="L1792" s="14">
        <v>929</v>
      </c>
      <c r="M1792" s="126">
        <f t="shared" si="32"/>
        <v>-81</v>
      </c>
      <c r="N1792" s="19">
        <f>AVERAGE(K1773:K1792)</f>
        <v>953.15</v>
      </c>
      <c r="O1792" s="133"/>
      <c r="P1792" s="176">
        <v>9350</v>
      </c>
      <c r="Q1792" s="27">
        <v>0.1208</v>
      </c>
      <c r="R1792" s="27"/>
      <c r="S1792" s="27"/>
      <c r="T1792" s="27"/>
      <c r="U1792" s="385">
        <v>0</v>
      </c>
      <c r="V1792" s="284">
        <f>AVERAGE(P1773:P1792)</f>
        <v>9415.75</v>
      </c>
      <c r="W1792" s="285">
        <f t="shared" si="31"/>
        <v>1129.48</v>
      </c>
    </row>
    <row r="1793" spans="1:23" ht="15" customHeight="1">
      <c r="A1793" s="3">
        <v>38384</v>
      </c>
      <c r="B1793" s="9">
        <v>19825</v>
      </c>
      <c r="C1793" s="5">
        <v>4925</v>
      </c>
      <c r="D1793" s="5" t="e">
        <f>E1793-(#REF!+C1793)</f>
        <v>#REF!</v>
      </c>
      <c r="E1793" s="5">
        <v>35200</v>
      </c>
      <c r="K1793" s="22">
        <v>984.5</v>
      </c>
      <c r="L1793" s="6">
        <v>930</v>
      </c>
      <c r="M1793" s="125">
        <f t="shared" si="32"/>
        <v>-54.5</v>
      </c>
      <c r="N1793" s="7"/>
      <c r="O1793" s="132"/>
      <c r="P1793" s="175">
        <v>9375</v>
      </c>
      <c r="Q1793" s="25">
        <v>0.1208</v>
      </c>
      <c r="U1793" s="384">
        <v>0</v>
      </c>
      <c r="V1793" s="207"/>
      <c r="W1793" s="285">
        <f t="shared" si="31"/>
        <v>1132.5</v>
      </c>
    </row>
    <row r="1794" spans="1:23" ht="15" customHeight="1">
      <c r="A1794" s="3">
        <v>38385</v>
      </c>
      <c r="B1794" s="9">
        <v>19750</v>
      </c>
      <c r="C1794" s="5">
        <v>4725</v>
      </c>
      <c r="D1794" s="5" t="e">
        <f>E1794-(#REF!+C1794)</f>
        <v>#REF!</v>
      </c>
      <c r="E1794" s="5">
        <v>34875</v>
      </c>
      <c r="K1794" s="22">
        <v>989</v>
      </c>
      <c r="L1794" s="6">
        <v>934</v>
      </c>
      <c r="M1794" s="125">
        <f t="shared" si="32"/>
        <v>-55</v>
      </c>
      <c r="N1794" s="7"/>
      <c r="O1794" s="132"/>
      <c r="P1794" s="175">
        <v>9375</v>
      </c>
      <c r="Q1794" s="25">
        <v>0.1208</v>
      </c>
      <c r="U1794" s="384">
        <v>0</v>
      </c>
      <c r="V1794" s="207"/>
      <c r="W1794" s="285">
        <f t="shared" si="31"/>
        <v>1132.5</v>
      </c>
    </row>
    <row r="1795" spans="1:23" ht="15" customHeight="1">
      <c r="A1795" s="3">
        <v>38386</v>
      </c>
      <c r="B1795" s="9">
        <v>19250</v>
      </c>
      <c r="C1795" s="5">
        <v>4600</v>
      </c>
      <c r="D1795" s="5" t="e">
        <f>E1795-(#REF!+C1795)</f>
        <v>#REF!</v>
      </c>
      <c r="E1795" s="5">
        <v>35550</v>
      </c>
      <c r="K1795" s="22">
        <v>979</v>
      </c>
      <c r="L1795" s="6">
        <v>926</v>
      </c>
      <c r="M1795" s="125">
        <f t="shared" si="32"/>
        <v>-53</v>
      </c>
      <c r="N1795" s="7"/>
      <c r="O1795" s="132"/>
      <c r="P1795" s="175">
        <v>9375</v>
      </c>
      <c r="Q1795" s="25">
        <v>0.1208</v>
      </c>
      <c r="U1795" s="384">
        <v>0</v>
      </c>
      <c r="V1795" s="207"/>
      <c r="W1795" s="285">
        <f t="shared" si="31"/>
        <v>1132.5</v>
      </c>
    </row>
    <row r="1796" spans="1:23" ht="15" customHeight="1">
      <c r="A1796" s="3">
        <v>38387</v>
      </c>
      <c r="B1796" s="9">
        <v>18575</v>
      </c>
      <c r="C1796" s="5">
        <v>4600</v>
      </c>
      <c r="D1796" s="5" t="e">
        <f>E1796-(#REF!+C1796)</f>
        <v>#REF!</v>
      </c>
      <c r="E1796" s="5">
        <v>34825</v>
      </c>
      <c r="K1796" s="22">
        <v>983</v>
      </c>
      <c r="L1796" s="6">
        <v>925</v>
      </c>
      <c r="M1796" s="125">
        <f t="shared" si="32"/>
        <v>-58</v>
      </c>
      <c r="N1796" s="7"/>
      <c r="O1796" s="132"/>
      <c r="P1796" s="177">
        <v>9375</v>
      </c>
      <c r="Q1796" s="25">
        <v>0.1208</v>
      </c>
      <c r="U1796" s="384">
        <v>0</v>
      </c>
      <c r="V1796" s="207"/>
      <c r="W1796" s="285">
        <f t="shared" si="31"/>
        <v>1132.5</v>
      </c>
    </row>
    <row r="1797" spans="1:23" ht="15" customHeight="1">
      <c r="A1797" s="3">
        <v>38390</v>
      </c>
      <c r="B1797" s="9">
        <v>17925</v>
      </c>
      <c r="C1797" s="5">
        <v>4600</v>
      </c>
      <c r="D1797" s="5" t="e">
        <f>E1797-(#REF!+C1797)</f>
        <v>#REF!</v>
      </c>
      <c r="E1797" s="5">
        <v>34150</v>
      </c>
      <c r="K1797" s="22">
        <v>986</v>
      </c>
      <c r="L1797" s="6">
        <v>923</v>
      </c>
      <c r="M1797" s="125">
        <f t="shared" si="32"/>
        <v>-63</v>
      </c>
      <c r="N1797" s="7"/>
      <c r="O1797" s="132"/>
      <c r="P1797" s="177">
        <v>9375</v>
      </c>
      <c r="Q1797" s="25">
        <v>0.1208</v>
      </c>
      <c r="U1797" s="384">
        <v>0</v>
      </c>
      <c r="V1797" s="207"/>
      <c r="W1797" s="285">
        <f t="shared" si="31"/>
        <v>1132.5</v>
      </c>
    </row>
    <row r="1798" spans="1:23" ht="15" customHeight="1">
      <c r="A1798" s="3">
        <v>38391</v>
      </c>
      <c r="B1798" s="9">
        <v>18575</v>
      </c>
      <c r="C1798" s="5">
        <v>4525</v>
      </c>
      <c r="D1798" s="5" t="e">
        <f>E1798-(#REF!+C1798)</f>
        <v>#REF!</v>
      </c>
      <c r="E1798" s="5">
        <v>34700</v>
      </c>
      <c r="K1798" s="22">
        <v>966</v>
      </c>
      <c r="L1798" s="6">
        <v>912.5</v>
      </c>
      <c r="M1798" s="125">
        <f t="shared" si="32"/>
        <v>-53.5</v>
      </c>
      <c r="N1798" s="7"/>
      <c r="O1798" s="132"/>
      <c r="P1798" s="177">
        <v>9375</v>
      </c>
      <c r="Q1798" s="25">
        <v>0.1208</v>
      </c>
      <c r="U1798" s="384">
        <v>0</v>
      </c>
      <c r="V1798" s="207"/>
      <c r="W1798" s="285">
        <f t="shared" si="31"/>
        <v>1132.5</v>
      </c>
    </row>
    <row r="1799" spans="1:23" ht="15" customHeight="1">
      <c r="A1799" s="3">
        <v>38392</v>
      </c>
      <c r="B1799" s="9">
        <v>18575</v>
      </c>
      <c r="C1799" s="5">
        <v>4500</v>
      </c>
      <c r="D1799" s="5" t="e">
        <f>E1799-(#REF!+C1799)</f>
        <v>#REF!</v>
      </c>
      <c r="E1799" s="5">
        <v>34650</v>
      </c>
      <c r="K1799" s="22">
        <v>956</v>
      </c>
      <c r="L1799" s="6">
        <v>906</v>
      </c>
      <c r="M1799" s="125">
        <f t="shared" si="32"/>
        <v>-50</v>
      </c>
      <c r="N1799" s="7"/>
      <c r="O1799" s="132"/>
      <c r="P1799" s="177">
        <v>9375</v>
      </c>
      <c r="Q1799" s="25">
        <v>0.1208</v>
      </c>
      <c r="U1799" s="384">
        <v>0</v>
      </c>
      <c r="V1799" s="207"/>
      <c r="W1799" s="285">
        <f t="shared" si="31"/>
        <v>1132.5</v>
      </c>
    </row>
    <row r="1800" spans="1:23" ht="15" customHeight="1">
      <c r="A1800" s="3">
        <v>38393</v>
      </c>
      <c r="B1800" s="9">
        <v>18575</v>
      </c>
      <c r="C1800" s="5">
        <v>4425</v>
      </c>
      <c r="D1800" s="5" t="e">
        <f>E1800-(#REF!+C1800)</f>
        <v>#REF!</v>
      </c>
      <c r="E1800" s="5">
        <v>34575</v>
      </c>
      <c r="K1800" s="22">
        <v>954.5</v>
      </c>
      <c r="L1800" s="6">
        <v>917</v>
      </c>
      <c r="M1800" s="125">
        <f t="shared" si="32"/>
        <v>-37.5</v>
      </c>
      <c r="N1800" s="7"/>
      <c r="O1800" s="132"/>
      <c r="P1800" s="177">
        <v>9375</v>
      </c>
      <c r="Q1800" s="25">
        <v>0.1208</v>
      </c>
      <c r="U1800" s="384">
        <v>0</v>
      </c>
      <c r="V1800" s="207"/>
      <c r="W1800" s="285">
        <f t="shared" si="31"/>
        <v>1132.5</v>
      </c>
    </row>
    <row r="1801" spans="1:23" ht="15" customHeight="1">
      <c r="A1801" s="3">
        <v>38394</v>
      </c>
      <c r="B1801" s="9">
        <v>18575</v>
      </c>
      <c r="C1801" s="5">
        <v>4375</v>
      </c>
      <c r="D1801" s="5" t="e">
        <f>E1801-(#REF!+C1801)</f>
        <v>#REF!</v>
      </c>
      <c r="E1801" s="5">
        <v>34525</v>
      </c>
      <c r="K1801" s="22">
        <v>946.5</v>
      </c>
      <c r="L1801" s="6">
        <v>909</v>
      </c>
      <c r="M1801" s="125">
        <f t="shared" si="32"/>
        <v>-37.5</v>
      </c>
      <c r="N1801" s="7"/>
      <c r="O1801" s="132"/>
      <c r="P1801" s="177">
        <v>9375</v>
      </c>
      <c r="Q1801" s="25">
        <v>0.1208</v>
      </c>
      <c r="U1801" s="384">
        <v>0</v>
      </c>
      <c r="V1801" s="207"/>
      <c r="W1801" s="285">
        <f t="shared" si="31"/>
        <v>1132.5</v>
      </c>
    </row>
    <row r="1802" spans="1:23" ht="15" customHeight="1">
      <c r="A1802" s="3">
        <v>38397</v>
      </c>
      <c r="B1802" s="9">
        <v>18550</v>
      </c>
      <c r="C1802" s="5">
        <v>4350</v>
      </c>
      <c r="D1802" s="5" t="e">
        <f>E1802-(#REF!+C1802)</f>
        <v>#REF!</v>
      </c>
      <c r="E1802" s="5">
        <v>34450</v>
      </c>
      <c r="K1802" s="22">
        <v>952.5</v>
      </c>
      <c r="L1802" s="6">
        <v>914</v>
      </c>
      <c r="M1802" s="125">
        <f t="shared" si="32"/>
        <v>-38.5</v>
      </c>
      <c r="N1802" s="7"/>
      <c r="O1802" s="132"/>
      <c r="P1802" s="177">
        <v>9375</v>
      </c>
      <c r="Q1802" s="25">
        <v>0.1208</v>
      </c>
      <c r="U1802" s="384">
        <v>0</v>
      </c>
      <c r="V1802" s="207"/>
      <c r="W1802" s="285">
        <f t="shared" si="31"/>
        <v>1132.5</v>
      </c>
    </row>
    <row r="1803" spans="1:23" ht="15" customHeight="1">
      <c r="A1803" s="3">
        <v>38398</v>
      </c>
      <c r="B1803" s="9">
        <v>18550</v>
      </c>
      <c r="C1803" s="5">
        <v>4350</v>
      </c>
      <c r="D1803" s="5" t="e">
        <f>E1803-(#REF!+C1803)</f>
        <v>#REF!</v>
      </c>
      <c r="E1803" s="5">
        <v>34450</v>
      </c>
      <c r="K1803" s="22">
        <v>949</v>
      </c>
      <c r="L1803" s="6">
        <v>919</v>
      </c>
      <c r="M1803" s="125">
        <f t="shared" si="32"/>
        <v>-30</v>
      </c>
      <c r="N1803" s="7"/>
      <c r="O1803" s="132"/>
      <c r="P1803" s="177">
        <v>9375</v>
      </c>
      <c r="Q1803" s="25">
        <v>0.1208</v>
      </c>
      <c r="U1803" s="384">
        <v>0</v>
      </c>
      <c r="V1803" s="207"/>
      <c r="W1803" s="285">
        <f t="shared" si="31"/>
        <v>1132.5</v>
      </c>
    </row>
    <row r="1804" spans="1:23" ht="15" customHeight="1">
      <c r="A1804" s="3">
        <v>38399</v>
      </c>
      <c r="B1804" s="9">
        <v>18475</v>
      </c>
      <c r="C1804" s="5">
        <v>4325</v>
      </c>
      <c r="D1804" s="5" t="e">
        <f>E1804-(#REF!+C1804)</f>
        <v>#REF!</v>
      </c>
      <c r="E1804" s="5">
        <v>34350</v>
      </c>
      <c r="K1804" s="22">
        <v>949.5</v>
      </c>
      <c r="L1804" s="6">
        <v>921</v>
      </c>
      <c r="M1804" s="125">
        <f t="shared" si="32"/>
        <v>-28.5</v>
      </c>
      <c r="N1804" s="7"/>
      <c r="O1804" s="132"/>
      <c r="P1804" s="175">
        <v>9425</v>
      </c>
      <c r="Q1804" s="25">
        <v>0.1208</v>
      </c>
      <c r="U1804" s="384">
        <v>0</v>
      </c>
      <c r="V1804" s="207"/>
      <c r="W1804" s="285">
        <f t="shared" si="31"/>
        <v>1138.54</v>
      </c>
    </row>
    <row r="1805" spans="1:23" ht="15" customHeight="1">
      <c r="A1805" s="3">
        <v>38400</v>
      </c>
      <c r="B1805" s="9">
        <v>18475</v>
      </c>
      <c r="C1805" s="5">
        <v>4275</v>
      </c>
      <c r="D1805" s="5" t="e">
        <f>E1805-(#REF!+C1805)</f>
        <v>#REF!</v>
      </c>
      <c r="E1805" s="5">
        <v>34300</v>
      </c>
      <c r="K1805" s="22">
        <v>960.5</v>
      </c>
      <c r="L1805" s="6">
        <v>922</v>
      </c>
      <c r="M1805" s="125">
        <f t="shared" si="32"/>
        <v>-38.5</v>
      </c>
      <c r="N1805" s="7"/>
      <c r="O1805" s="132"/>
      <c r="P1805" s="175">
        <v>9400</v>
      </c>
      <c r="Q1805" s="25">
        <v>0.1208</v>
      </c>
      <c r="U1805" s="384">
        <v>0</v>
      </c>
      <c r="V1805" s="207"/>
      <c r="W1805" s="285">
        <f t="shared" si="31"/>
        <v>1135.52</v>
      </c>
    </row>
    <row r="1806" spans="1:23" ht="15" customHeight="1">
      <c r="A1806" s="3">
        <v>38401</v>
      </c>
      <c r="B1806" s="9">
        <v>18425</v>
      </c>
      <c r="C1806" s="5">
        <v>4200</v>
      </c>
      <c r="D1806" s="5" t="e">
        <f>E1806-(#REF!+C1806)</f>
        <v>#REF!</v>
      </c>
      <c r="E1806" s="5">
        <v>34150</v>
      </c>
      <c r="K1806" s="22">
        <v>1005</v>
      </c>
      <c r="L1806" s="6">
        <v>960</v>
      </c>
      <c r="M1806" s="125">
        <f t="shared" si="32"/>
        <v>-45</v>
      </c>
      <c r="N1806" s="7"/>
      <c r="O1806" s="132"/>
      <c r="P1806" s="175">
        <v>9400</v>
      </c>
      <c r="Q1806" s="25">
        <v>0.1208</v>
      </c>
      <c r="U1806" s="384">
        <v>0</v>
      </c>
      <c r="V1806" s="207"/>
      <c r="W1806" s="285">
        <f t="shared" si="31"/>
        <v>1135.52</v>
      </c>
    </row>
    <row r="1807" spans="1:23" ht="15" customHeight="1">
      <c r="A1807" s="3">
        <v>38404</v>
      </c>
      <c r="B1807" s="9">
        <v>18400</v>
      </c>
      <c r="C1807" s="5">
        <v>4175</v>
      </c>
      <c r="D1807" s="5" t="e">
        <f>E1807-(#REF!+C1807)</f>
        <v>#REF!</v>
      </c>
      <c r="E1807" s="5">
        <v>34100</v>
      </c>
      <c r="K1807" s="22">
        <v>1003</v>
      </c>
      <c r="L1807" s="6">
        <v>971</v>
      </c>
      <c r="M1807" s="125">
        <f t="shared" si="32"/>
        <v>-32</v>
      </c>
      <c r="N1807" s="7"/>
      <c r="O1807" s="132"/>
      <c r="P1807" s="175">
        <v>9425</v>
      </c>
      <c r="Q1807" s="25">
        <v>0.1208</v>
      </c>
      <c r="U1807" s="384">
        <v>0</v>
      </c>
      <c r="V1807" s="207"/>
      <c r="W1807" s="285">
        <f t="shared" si="31"/>
        <v>1138.54</v>
      </c>
    </row>
    <row r="1808" spans="1:23" ht="15" customHeight="1">
      <c r="A1808" s="3">
        <v>38405</v>
      </c>
      <c r="B1808" s="9">
        <v>18400</v>
      </c>
      <c r="C1808" s="5">
        <v>4175</v>
      </c>
      <c r="D1808" s="5" t="e">
        <f>E1808-(#REF!+C1808)</f>
        <v>#REF!</v>
      </c>
      <c r="E1808" s="5">
        <v>34100</v>
      </c>
      <c r="K1808" s="22">
        <v>1013</v>
      </c>
      <c r="L1808" s="6">
        <v>986</v>
      </c>
      <c r="M1808" s="125">
        <f t="shared" si="32"/>
        <v>-27</v>
      </c>
      <c r="N1808" s="7"/>
      <c r="O1808" s="132"/>
      <c r="P1808" s="175">
        <v>9475</v>
      </c>
      <c r="Q1808" s="25">
        <v>0.1208</v>
      </c>
      <c r="U1808" s="384">
        <v>0</v>
      </c>
      <c r="V1808" s="207"/>
      <c r="W1808" s="285">
        <f t="shared" si="31"/>
        <v>1144.5800000000002</v>
      </c>
    </row>
    <row r="1809" spans="1:23" ht="15" customHeight="1">
      <c r="A1809" s="3">
        <v>38406</v>
      </c>
      <c r="B1809" s="9">
        <v>18150</v>
      </c>
      <c r="C1809" s="5">
        <v>4175</v>
      </c>
      <c r="D1809" s="5" t="e">
        <f>E1809-(#REF!+C1809)</f>
        <v>#REF!</v>
      </c>
      <c r="E1809" s="5">
        <v>33850</v>
      </c>
      <c r="K1809" s="22">
        <v>1009.5</v>
      </c>
      <c r="L1809" s="6">
        <v>966</v>
      </c>
      <c r="M1809" s="125">
        <f t="shared" si="32"/>
        <v>-43.5</v>
      </c>
      <c r="N1809" s="7"/>
      <c r="O1809" s="132"/>
      <c r="P1809" s="175">
        <v>9500</v>
      </c>
      <c r="Q1809" s="25">
        <v>0.1208</v>
      </c>
      <c r="U1809" s="384">
        <v>0</v>
      </c>
      <c r="V1809" s="207"/>
      <c r="W1809" s="285">
        <f t="shared" si="31"/>
        <v>1147.6000000000001</v>
      </c>
    </row>
    <row r="1810" spans="1:23" ht="15" customHeight="1">
      <c r="A1810" s="3">
        <v>38407</v>
      </c>
      <c r="B1810" s="9">
        <v>18150</v>
      </c>
      <c r="C1810" s="5">
        <v>4125</v>
      </c>
      <c r="D1810" s="5" t="e">
        <f>E1810-(#REF!+C1810)</f>
        <v>#REF!</v>
      </c>
      <c r="E1810" s="5">
        <v>33800</v>
      </c>
      <c r="K1810" s="22">
        <v>1010</v>
      </c>
      <c r="L1810" s="6">
        <v>971</v>
      </c>
      <c r="M1810" s="125">
        <f t="shared" si="32"/>
        <v>-39</v>
      </c>
      <c r="N1810" s="7"/>
      <c r="O1810" s="132"/>
      <c r="P1810" s="175">
        <v>9500</v>
      </c>
      <c r="Q1810" s="25">
        <v>0.1208</v>
      </c>
      <c r="U1810" s="384">
        <v>0</v>
      </c>
      <c r="V1810" s="207"/>
      <c r="W1810" s="285">
        <f t="shared" si="31"/>
        <v>1147.6000000000001</v>
      </c>
    </row>
    <row r="1811" spans="1:23" ht="15" customHeight="1">
      <c r="A1811" s="3">
        <v>38408</v>
      </c>
      <c r="B1811" s="9">
        <v>18125</v>
      </c>
      <c r="C1811" s="5">
        <v>4075</v>
      </c>
      <c r="D1811" s="5" t="e">
        <f>E1811-(#REF!+C1811)</f>
        <v>#REF!</v>
      </c>
      <c r="E1811" s="5">
        <v>33725</v>
      </c>
      <c r="K1811" s="22">
        <v>974.5</v>
      </c>
      <c r="L1811" s="6">
        <v>940</v>
      </c>
      <c r="M1811" s="125">
        <f t="shared" si="32"/>
        <v>-34.5</v>
      </c>
      <c r="N1811" s="7"/>
      <c r="O1811" s="132"/>
      <c r="P1811" s="175">
        <v>9440</v>
      </c>
      <c r="Q1811" s="25">
        <v>0.1208</v>
      </c>
      <c r="U1811" s="384">
        <v>0</v>
      </c>
      <c r="V1811" s="207"/>
      <c r="W1811" s="285">
        <f t="shared" si="31"/>
        <v>1140.3520000000001</v>
      </c>
    </row>
    <row r="1812" spans="1:23" ht="15" customHeight="1" thickBot="1">
      <c r="A1812" s="11">
        <v>38411</v>
      </c>
      <c r="B1812" s="9">
        <v>18125</v>
      </c>
      <c r="C1812" s="13">
        <v>3975</v>
      </c>
      <c r="D1812" s="13" t="e">
        <f>E1812-(#REF!+C1812)</f>
        <v>#REF!</v>
      </c>
      <c r="E1812" s="13">
        <v>33625</v>
      </c>
      <c r="F1812" s="12"/>
      <c r="G1812" s="13"/>
      <c r="H1812" s="13"/>
      <c r="I1812" s="119"/>
      <c r="J1812" s="119"/>
      <c r="K1812" s="23">
        <v>980</v>
      </c>
      <c r="L1812" s="14">
        <v>949.5</v>
      </c>
      <c r="M1812" s="126">
        <f t="shared" si="32"/>
        <v>-30.5</v>
      </c>
      <c r="N1812" s="19">
        <f>AVERAGE(K1793:K1812)</f>
        <v>977.55</v>
      </c>
      <c r="O1812" s="133"/>
      <c r="P1812" s="176">
        <v>9450</v>
      </c>
      <c r="Q1812" s="27">
        <v>0.1208</v>
      </c>
      <c r="R1812" s="27"/>
      <c r="S1812" s="27"/>
      <c r="T1812" s="27"/>
      <c r="U1812" s="385">
        <v>0</v>
      </c>
      <c r="V1812" s="284">
        <f>AVERAGE(P1793:P1795,P1804:P1812)</f>
        <v>9428.3333333333339</v>
      </c>
      <c r="W1812" s="285">
        <f t="shared" si="31"/>
        <v>1141.56</v>
      </c>
    </row>
    <row r="1813" spans="1:23" ht="15" customHeight="1">
      <c r="A1813" s="3">
        <v>38412</v>
      </c>
      <c r="B1813" s="9">
        <v>18125</v>
      </c>
      <c r="C1813" s="5">
        <v>3975</v>
      </c>
      <c r="D1813" s="5" t="e">
        <f>E1813-(#REF!+C1813)</f>
        <v>#REF!</v>
      </c>
      <c r="E1813" s="5">
        <v>33625</v>
      </c>
      <c r="K1813" s="22">
        <v>1005</v>
      </c>
      <c r="L1813" s="6">
        <v>965.5</v>
      </c>
      <c r="M1813" s="125">
        <f t="shared" si="32"/>
        <v>-39.5</v>
      </c>
      <c r="N1813" s="7"/>
      <c r="O1813" s="132"/>
      <c r="P1813" s="175">
        <v>9500</v>
      </c>
      <c r="Q1813" s="25">
        <v>0.1208</v>
      </c>
      <c r="U1813" s="384">
        <v>0</v>
      </c>
      <c r="V1813" s="207"/>
      <c r="W1813" s="285">
        <f t="shared" si="31"/>
        <v>1147.6000000000001</v>
      </c>
    </row>
    <row r="1814" spans="1:23" ht="15" customHeight="1">
      <c r="A1814" s="3">
        <v>38413</v>
      </c>
      <c r="B1814" s="9">
        <v>18125</v>
      </c>
      <c r="C1814" s="5">
        <v>3975</v>
      </c>
      <c r="D1814" s="5" t="e">
        <f>E1814-(#REF!+C1814)</f>
        <v>#REF!</v>
      </c>
      <c r="E1814" s="5">
        <v>33625</v>
      </c>
      <c r="K1814" s="22">
        <v>979</v>
      </c>
      <c r="L1814" s="6">
        <v>947</v>
      </c>
      <c r="M1814" s="125">
        <f t="shared" si="32"/>
        <v>-32</v>
      </c>
      <c r="N1814" s="7"/>
      <c r="O1814" s="132"/>
      <c r="P1814" s="175">
        <v>9510</v>
      </c>
      <c r="Q1814" s="25">
        <v>0.1208</v>
      </c>
      <c r="U1814" s="384">
        <v>0</v>
      </c>
      <c r="V1814" s="207"/>
      <c r="W1814" s="285">
        <f t="shared" si="31"/>
        <v>1148.808</v>
      </c>
    </row>
    <row r="1815" spans="1:23" ht="15" customHeight="1">
      <c r="A1815" s="3">
        <v>38414</v>
      </c>
      <c r="B1815" s="9">
        <v>18125</v>
      </c>
      <c r="C1815" s="5">
        <v>3850</v>
      </c>
      <c r="D1815" s="5" t="e">
        <f>E1815-(#REF!+C1815)</f>
        <v>#REF!</v>
      </c>
      <c r="E1815" s="5">
        <v>33500</v>
      </c>
      <c r="K1815" s="22">
        <v>985</v>
      </c>
      <c r="L1815" s="6">
        <v>950</v>
      </c>
      <c r="M1815" s="125">
        <f t="shared" si="32"/>
        <v>-35</v>
      </c>
      <c r="N1815" s="7"/>
      <c r="O1815" s="132"/>
      <c r="P1815" s="175">
        <v>9500</v>
      </c>
      <c r="Q1815" s="25">
        <v>0.1208</v>
      </c>
      <c r="U1815" s="384">
        <v>0</v>
      </c>
      <c r="V1815" s="207"/>
      <c r="W1815" s="285">
        <f t="shared" si="31"/>
        <v>1147.6000000000001</v>
      </c>
    </row>
    <row r="1816" spans="1:23" ht="15" customHeight="1">
      <c r="A1816" s="3">
        <v>38415</v>
      </c>
      <c r="B1816" s="9">
        <v>18425</v>
      </c>
      <c r="C1816" s="5">
        <v>3725</v>
      </c>
      <c r="D1816" s="5" t="e">
        <f>E1816-(#REF!+C1816)</f>
        <v>#REF!</v>
      </c>
      <c r="E1816" s="5">
        <v>33675</v>
      </c>
      <c r="K1816" s="22">
        <v>1008</v>
      </c>
      <c r="L1816" s="6">
        <v>967</v>
      </c>
      <c r="M1816" s="125">
        <f t="shared" si="32"/>
        <v>-41</v>
      </c>
      <c r="N1816" s="7"/>
      <c r="O1816" s="132"/>
      <c r="P1816" s="175">
        <v>9500</v>
      </c>
      <c r="Q1816" s="25">
        <v>0.1208</v>
      </c>
      <c r="U1816" s="384">
        <v>0</v>
      </c>
      <c r="V1816" s="207"/>
      <c r="W1816" s="285">
        <f t="shared" si="31"/>
        <v>1147.6000000000001</v>
      </c>
    </row>
    <row r="1817" spans="1:23" ht="15" customHeight="1">
      <c r="A1817" s="3">
        <v>38418</v>
      </c>
      <c r="B1817" s="9">
        <v>18325</v>
      </c>
      <c r="C1817" s="5">
        <v>3650</v>
      </c>
      <c r="D1817" s="5" t="e">
        <f>E1817-(#REF!+C1817)</f>
        <v>#REF!</v>
      </c>
      <c r="E1817" s="5">
        <v>33500</v>
      </c>
      <c r="K1817" s="22">
        <v>1025.5</v>
      </c>
      <c r="L1817" s="6">
        <v>973</v>
      </c>
      <c r="M1817" s="125">
        <f t="shared" si="32"/>
        <v>-52.5</v>
      </c>
      <c r="N1817" s="7"/>
      <c r="O1817" s="132"/>
      <c r="P1817" s="175">
        <v>9500</v>
      </c>
      <c r="Q1817" s="25">
        <v>0.1208</v>
      </c>
      <c r="U1817" s="384">
        <v>0</v>
      </c>
      <c r="V1817" s="207"/>
      <c r="W1817" s="285">
        <f t="shared" si="31"/>
        <v>1147.6000000000001</v>
      </c>
    </row>
    <row r="1818" spans="1:23" ht="15" customHeight="1">
      <c r="A1818" s="3">
        <v>38419</v>
      </c>
      <c r="B1818" s="9">
        <v>18200</v>
      </c>
      <c r="C1818" s="5">
        <v>3650</v>
      </c>
      <c r="D1818" s="5" t="e">
        <f>E1818-(#REF!+C1818)</f>
        <v>#REF!</v>
      </c>
      <c r="E1818" s="5">
        <v>33375</v>
      </c>
      <c r="K1818" s="22">
        <v>1033.5</v>
      </c>
      <c r="L1818" s="6">
        <v>990</v>
      </c>
      <c r="M1818" s="125">
        <f t="shared" si="32"/>
        <v>-43.5</v>
      </c>
      <c r="N1818" s="7"/>
      <c r="O1818" s="132"/>
      <c r="P1818" s="175">
        <v>9500</v>
      </c>
      <c r="Q1818" s="25">
        <v>0.1208</v>
      </c>
      <c r="U1818" s="384">
        <v>0</v>
      </c>
      <c r="V1818" s="207"/>
      <c r="W1818" s="285">
        <f t="shared" si="31"/>
        <v>1147.6000000000001</v>
      </c>
    </row>
    <row r="1819" spans="1:23" ht="15" customHeight="1">
      <c r="A1819" s="3">
        <v>38420</v>
      </c>
      <c r="B1819" s="9">
        <v>18200</v>
      </c>
      <c r="C1819" s="5">
        <v>3550</v>
      </c>
      <c r="D1819" s="5" t="e">
        <f>E1819-(#REF!+C1819)</f>
        <v>#REF!</v>
      </c>
      <c r="E1819" s="5">
        <v>33275</v>
      </c>
      <c r="K1819" s="22">
        <v>1016</v>
      </c>
      <c r="L1819" s="6">
        <v>975.5</v>
      </c>
      <c r="M1819" s="125">
        <f t="shared" si="32"/>
        <v>-40.5</v>
      </c>
      <c r="N1819" s="7"/>
      <c r="O1819" s="132"/>
      <c r="P1819" s="175">
        <v>9500</v>
      </c>
      <c r="Q1819" s="25">
        <v>0.1208</v>
      </c>
      <c r="U1819" s="384">
        <v>0</v>
      </c>
      <c r="V1819" s="207"/>
      <c r="W1819" s="285">
        <f t="shared" si="31"/>
        <v>1147.6000000000001</v>
      </c>
    </row>
    <row r="1820" spans="1:23" ht="15" customHeight="1">
      <c r="A1820" s="3">
        <v>38421</v>
      </c>
      <c r="B1820" s="9">
        <v>18175</v>
      </c>
      <c r="C1820" s="5">
        <v>3500</v>
      </c>
      <c r="D1820" s="5" t="e">
        <f>E1820-(#REF!+C1820)</f>
        <v>#REF!</v>
      </c>
      <c r="E1820" s="5">
        <v>33200</v>
      </c>
      <c r="K1820" s="22">
        <v>1020</v>
      </c>
      <c r="L1820" s="6">
        <v>971</v>
      </c>
      <c r="M1820" s="125">
        <f t="shared" si="32"/>
        <v>-49</v>
      </c>
      <c r="N1820" s="7"/>
      <c r="O1820" s="132"/>
      <c r="P1820" s="175">
        <v>9500</v>
      </c>
      <c r="Q1820" s="25">
        <v>0.1208</v>
      </c>
      <c r="U1820" s="384">
        <v>0</v>
      </c>
      <c r="V1820" s="207"/>
      <c r="W1820" s="285">
        <f t="shared" si="31"/>
        <v>1147.6000000000001</v>
      </c>
    </row>
    <row r="1821" spans="1:23" ht="15" customHeight="1">
      <c r="A1821" s="3">
        <v>38422</v>
      </c>
      <c r="B1821" s="9">
        <v>18175</v>
      </c>
      <c r="C1821" s="5">
        <v>3350</v>
      </c>
      <c r="D1821" s="5" t="e">
        <f>E1821-(#REF!+C1821)</f>
        <v>#REF!</v>
      </c>
      <c r="E1821" s="5">
        <v>33050</v>
      </c>
      <c r="K1821" s="22">
        <v>1015</v>
      </c>
      <c r="L1821" s="6">
        <v>975</v>
      </c>
      <c r="M1821" s="125">
        <f t="shared" si="32"/>
        <v>-40</v>
      </c>
      <c r="N1821" s="7"/>
      <c r="O1821" s="132"/>
      <c r="P1821" s="175">
        <v>9500</v>
      </c>
      <c r="Q1821" s="25">
        <v>0.1208</v>
      </c>
      <c r="U1821" s="384">
        <v>0</v>
      </c>
      <c r="V1821" s="207"/>
      <c r="W1821" s="285">
        <f t="shared" si="31"/>
        <v>1147.6000000000001</v>
      </c>
    </row>
    <row r="1822" spans="1:23" ht="15" customHeight="1">
      <c r="A1822" s="3">
        <v>38425</v>
      </c>
      <c r="B1822" s="9">
        <v>18175</v>
      </c>
      <c r="C1822" s="5">
        <v>3325</v>
      </c>
      <c r="D1822" s="5" t="e">
        <f>E1822-(#REF!+C1822)</f>
        <v>#REF!</v>
      </c>
      <c r="E1822" s="5">
        <v>33025</v>
      </c>
      <c r="K1822" s="22">
        <v>1009</v>
      </c>
      <c r="L1822" s="6">
        <v>975</v>
      </c>
      <c r="M1822" s="125">
        <f t="shared" si="32"/>
        <v>-34</v>
      </c>
      <c r="N1822" s="7"/>
      <c r="O1822" s="132"/>
      <c r="P1822" s="175">
        <v>9500</v>
      </c>
      <c r="Q1822" s="25">
        <v>0.1208</v>
      </c>
      <c r="U1822" s="384">
        <v>0</v>
      </c>
      <c r="V1822" s="207"/>
      <c r="W1822" s="285">
        <f t="shared" si="31"/>
        <v>1147.6000000000001</v>
      </c>
    </row>
    <row r="1823" spans="1:23" ht="15" customHeight="1">
      <c r="A1823" s="3">
        <v>38426</v>
      </c>
      <c r="B1823" s="9">
        <v>18975</v>
      </c>
      <c r="C1823" s="5">
        <v>3325</v>
      </c>
      <c r="D1823" s="5" t="e">
        <f>E1823-(#REF!+C1823)</f>
        <v>#REF!</v>
      </c>
      <c r="E1823" s="5">
        <v>33725</v>
      </c>
      <c r="K1823" s="22">
        <v>1009</v>
      </c>
      <c r="L1823" s="6">
        <v>974</v>
      </c>
      <c r="M1823" s="125">
        <f t="shared" si="32"/>
        <v>-35</v>
      </c>
      <c r="N1823" s="7"/>
      <c r="O1823" s="132"/>
      <c r="P1823" s="175">
        <v>9475</v>
      </c>
      <c r="Q1823" s="25">
        <v>0.1208</v>
      </c>
      <c r="U1823" s="384">
        <v>0</v>
      </c>
      <c r="V1823" s="207"/>
      <c r="W1823" s="285">
        <f t="shared" si="31"/>
        <v>1144.5800000000002</v>
      </c>
    </row>
    <row r="1824" spans="1:23" ht="15" customHeight="1">
      <c r="A1824" s="3">
        <v>38427</v>
      </c>
      <c r="B1824" s="9">
        <v>18950</v>
      </c>
      <c r="C1824" s="5">
        <v>3000</v>
      </c>
      <c r="D1824" s="5" t="e">
        <f>E1824-(#REF!+C1824)</f>
        <v>#REF!</v>
      </c>
      <c r="E1824" s="5">
        <v>33475</v>
      </c>
      <c r="K1824" s="22">
        <v>1007</v>
      </c>
      <c r="L1824" s="6">
        <v>974</v>
      </c>
      <c r="M1824" s="125">
        <f t="shared" si="32"/>
        <v>-33</v>
      </c>
      <c r="N1824" s="7"/>
      <c r="O1824" s="132"/>
      <c r="P1824" s="175">
        <v>9475</v>
      </c>
      <c r="Q1824" s="25">
        <v>0.1208</v>
      </c>
      <c r="U1824" s="384">
        <v>0</v>
      </c>
      <c r="V1824" s="207"/>
      <c r="W1824" s="285">
        <f t="shared" si="31"/>
        <v>1144.5800000000002</v>
      </c>
    </row>
    <row r="1825" spans="1:23" ht="15" customHeight="1">
      <c r="A1825" s="3">
        <v>38428</v>
      </c>
      <c r="B1825" s="9">
        <v>18950</v>
      </c>
      <c r="C1825" s="5">
        <v>2775</v>
      </c>
      <c r="D1825" s="5" t="e">
        <f>E1825-(#REF!+C1825)</f>
        <v>#REF!</v>
      </c>
      <c r="E1825" s="5">
        <v>33250</v>
      </c>
      <c r="K1825" s="22">
        <v>1002</v>
      </c>
      <c r="L1825" s="6">
        <v>968</v>
      </c>
      <c r="M1825" s="125">
        <f t="shared" si="32"/>
        <v>-34</v>
      </c>
      <c r="N1825" s="7"/>
      <c r="O1825" s="132"/>
      <c r="P1825" s="175">
        <v>9475</v>
      </c>
      <c r="Q1825" s="25">
        <v>0.1208</v>
      </c>
      <c r="U1825" s="384">
        <v>0</v>
      </c>
      <c r="V1825" s="207"/>
      <c r="W1825" s="285">
        <f t="shared" si="31"/>
        <v>1144.5800000000002</v>
      </c>
    </row>
    <row r="1826" spans="1:23" ht="15" customHeight="1">
      <c r="A1826" s="3">
        <v>38429</v>
      </c>
      <c r="B1826" s="9">
        <v>18950</v>
      </c>
      <c r="C1826" s="5">
        <v>2700</v>
      </c>
      <c r="D1826" s="5" t="e">
        <f>E1826-(#REF!+C1826)</f>
        <v>#REF!</v>
      </c>
      <c r="E1826" s="5">
        <v>33150</v>
      </c>
      <c r="K1826" s="22">
        <v>989</v>
      </c>
      <c r="L1826" s="6">
        <v>955</v>
      </c>
      <c r="M1826" s="125">
        <f t="shared" si="32"/>
        <v>-34</v>
      </c>
      <c r="N1826" s="7"/>
      <c r="O1826" s="132"/>
      <c r="P1826" s="175">
        <v>9475</v>
      </c>
      <c r="Q1826" s="25">
        <v>0.1208</v>
      </c>
      <c r="U1826" s="384">
        <v>0</v>
      </c>
      <c r="V1826" s="207"/>
      <c r="W1826" s="285">
        <f t="shared" si="31"/>
        <v>1144.5800000000002</v>
      </c>
    </row>
    <row r="1827" spans="1:23" ht="15" customHeight="1">
      <c r="A1827" s="3">
        <v>38432</v>
      </c>
      <c r="B1827" s="9">
        <v>18825</v>
      </c>
      <c r="C1827" s="5">
        <v>2700</v>
      </c>
      <c r="D1827" s="5" t="e">
        <f>E1827-(#REF!+C1827)</f>
        <v>#REF!</v>
      </c>
      <c r="E1827" s="5">
        <v>33025</v>
      </c>
      <c r="K1827" s="22">
        <v>1008.5</v>
      </c>
      <c r="L1827" s="6">
        <v>970</v>
      </c>
      <c r="M1827" s="125">
        <f t="shared" si="32"/>
        <v>-38.5</v>
      </c>
      <c r="N1827" s="7"/>
      <c r="O1827" s="132"/>
      <c r="P1827" s="175">
        <v>9475</v>
      </c>
      <c r="Q1827" s="25">
        <v>0.1208</v>
      </c>
      <c r="U1827" s="384">
        <v>0</v>
      </c>
      <c r="V1827" s="207"/>
      <c r="W1827" s="285">
        <f t="shared" si="31"/>
        <v>1144.5800000000002</v>
      </c>
    </row>
    <row r="1828" spans="1:23" ht="15" customHeight="1">
      <c r="A1828" s="3">
        <v>38433</v>
      </c>
      <c r="B1828" s="9">
        <v>18700</v>
      </c>
      <c r="C1828" s="5">
        <v>2700</v>
      </c>
      <c r="D1828" s="5" t="e">
        <f>E1828-(#REF!+C1828)</f>
        <v>#REF!</v>
      </c>
      <c r="E1828" s="5">
        <v>32850</v>
      </c>
      <c r="K1828" s="22">
        <v>994</v>
      </c>
      <c r="L1828" s="6">
        <v>965</v>
      </c>
      <c r="M1828" s="125">
        <f t="shared" si="32"/>
        <v>-29</v>
      </c>
      <c r="N1828" s="7"/>
      <c r="O1828" s="132"/>
      <c r="P1828" s="175">
        <v>9425</v>
      </c>
      <c r="Q1828" s="25">
        <v>0.1208</v>
      </c>
      <c r="U1828" s="384">
        <v>0</v>
      </c>
      <c r="V1828" s="207"/>
      <c r="W1828" s="285">
        <f t="shared" si="31"/>
        <v>1138.54</v>
      </c>
    </row>
    <row r="1829" spans="1:23" ht="15" customHeight="1">
      <c r="A1829" s="3">
        <v>38434</v>
      </c>
      <c r="B1829" s="9">
        <v>19150</v>
      </c>
      <c r="C1829" s="5">
        <v>2625</v>
      </c>
      <c r="D1829" s="5" t="e">
        <f>E1829-(#REF!+C1829)</f>
        <v>#REF!</v>
      </c>
      <c r="E1829" s="5">
        <v>33200</v>
      </c>
      <c r="K1829" s="22">
        <v>1005</v>
      </c>
      <c r="L1829" s="6">
        <v>965</v>
      </c>
      <c r="M1829" s="125">
        <f t="shared" si="32"/>
        <v>-40</v>
      </c>
      <c r="N1829" s="7"/>
      <c r="O1829" s="132"/>
      <c r="P1829" s="175">
        <v>9425</v>
      </c>
      <c r="Q1829" s="25">
        <v>0.1208</v>
      </c>
      <c r="U1829" s="384">
        <v>0</v>
      </c>
      <c r="V1829" s="207"/>
      <c r="W1829" s="285">
        <f t="shared" si="31"/>
        <v>1138.54</v>
      </c>
    </row>
    <row r="1830" spans="1:23" ht="15" customHeight="1">
      <c r="A1830" s="3">
        <v>38435</v>
      </c>
      <c r="B1830" s="9">
        <v>19175</v>
      </c>
      <c r="C1830" s="5">
        <v>2600</v>
      </c>
      <c r="D1830" s="5" t="e">
        <f>E1830-(#REF!+C1830)</f>
        <v>#REF!</v>
      </c>
      <c r="E1830" s="5">
        <v>33200</v>
      </c>
      <c r="K1830" s="22">
        <v>992</v>
      </c>
      <c r="L1830" s="6">
        <v>955</v>
      </c>
      <c r="M1830" s="125">
        <f t="shared" si="32"/>
        <v>-37</v>
      </c>
      <c r="N1830" s="7"/>
      <c r="O1830" s="132"/>
      <c r="P1830" s="175">
        <v>9400</v>
      </c>
      <c r="Q1830" s="25">
        <v>0.1208</v>
      </c>
      <c r="U1830" s="384">
        <v>0</v>
      </c>
      <c r="V1830" s="207"/>
      <c r="W1830" s="285">
        <f t="shared" si="31"/>
        <v>1135.52</v>
      </c>
    </row>
    <row r="1831" spans="1:23" ht="15" customHeight="1">
      <c r="A1831" s="3">
        <v>38440</v>
      </c>
      <c r="B1831" s="9">
        <v>19025</v>
      </c>
      <c r="C1831" s="5">
        <v>2550</v>
      </c>
      <c r="D1831" s="5" t="e">
        <f>E1831-(#REF!+C1831)</f>
        <v>#REF!</v>
      </c>
      <c r="E1831" s="5">
        <v>33000</v>
      </c>
      <c r="K1831" s="22">
        <v>999</v>
      </c>
      <c r="L1831" s="6">
        <v>955</v>
      </c>
      <c r="M1831" s="125">
        <f t="shared" si="32"/>
        <v>-44</v>
      </c>
      <c r="N1831" s="7"/>
      <c r="O1831" s="132"/>
      <c r="P1831" s="175">
        <v>9425</v>
      </c>
      <c r="Q1831" s="25">
        <v>0.1208</v>
      </c>
      <c r="U1831" s="384">
        <v>0</v>
      </c>
      <c r="V1831" s="207"/>
      <c r="W1831" s="285">
        <f t="shared" si="31"/>
        <v>1138.54</v>
      </c>
    </row>
    <row r="1832" spans="1:23" ht="15" customHeight="1">
      <c r="A1832" s="3">
        <v>38441</v>
      </c>
      <c r="B1832" s="9">
        <v>19375</v>
      </c>
      <c r="C1832" s="5">
        <v>2525</v>
      </c>
      <c r="D1832" s="5" t="e">
        <f>E1832-(#REF!+C1832)</f>
        <v>#REF!</v>
      </c>
      <c r="E1832" s="5">
        <v>33325</v>
      </c>
      <c r="K1832" s="22">
        <v>998</v>
      </c>
      <c r="L1832" s="6">
        <v>963</v>
      </c>
      <c r="M1832" s="125">
        <f t="shared" si="32"/>
        <v>-35</v>
      </c>
      <c r="N1832" s="7"/>
      <c r="O1832" s="132"/>
      <c r="P1832" s="175">
        <v>9425</v>
      </c>
      <c r="Q1832" s="25">
        <v>0.1208</v>
      </c>
      <c r="U1832" s="384">
        <v>0</v>
      </c>
      <c r="V1832" s="207"/>
      <c r="W1832" s="285">
        <f t="shared" si="31"/>
        <v>1138.54</v>
      </c>
    </row>
    <row r="1833" spans="1:23" ht="15" customHeight="1" thickBot="1">
      <c r="A1833" s="11">
        <v>38442</v>
      </c>
      <c r="B1833" s="9">
        <v>19325</v>
      </c>
      <c r="C1833" s="13">
        <v>2525</v>
      </c>
      <c r="D1833" s="13" t="e">
        <f>E1833-(#REF!+C1833)</f>
        <v>#REF!</v>
      </c>
      <c r="E1833" s="13">
        <v>33275</v>
      </c>
      <c r="F1833" s="12"/>
      <c r="G1833" s="13"/>
      <c r="H1833" s="13"/>
      <c r="I1833" s="119"/>
      <c r="J1833" s="119"/>
      <c r="K1833" s="23">
        <v>1023</v>
      </c>
      <c r="L1833" s="14">
        <v>985</v>
      </c>
      <c r="M1833" s="126">
        <f t="shared" si="32"/>
        <v>-38</v>
      </c>
      <c r="N1833" s="19">
        <f>AVERAGE(K1813:K1833)</f>
        <v>1005.8333333333334</v>
      </c>
      <c r="O1833" s="133"/>
      <c r="P1833" s="176">
        <v>9425</v>
      </c>
      <c r="Q1833" s="27">
        <v>0.1208</v>
      </c>
      <c r="R1833" s="27"/>
      <c r="S1833" s="27"/>
      <c r="T1833" s="27"/>
      <c r="U1833" s="385">
        <v>0</v>
      </c>
      <c r="V1833" s="284">
        <f>AVERAGE(P1813:P1833)</f>
        <v>9471.9047619047615</v>
      </c>
      <c r="W1833" s="285">
        <f t="shared" si="31"/>
        <v>1138.54</v>
      </c>
    </row>
    <row r="1834" spans="1:23" ht="15" customHeight="1">
      <c r="A1834" s="3">
        <v>38443</v>
      </c>
      <c r="B1834" s="9">
        <v>19325</v>
      </c>
      <c r="C1834" s="5">
        <v>2525</v>
      </c>
      <c r="D1834" s="5" t="e">
        <f>E1834-(#REF!+C1834)</f>
        <v>#REF!</v>
      </c>
      <c r="E1834" s="5">
        <v>33275</v>
      </c>
      <c r="K1834" s="22">
        <v>1002</v>
      </c>
      <c r="L1834" s="6">
        <v>967</v>
      </c>
      <c r="M1834" s="125">
        <f t="shared" si="32"/>
        <v>-35</v>
      </c>
      <c r="N1834" s="7"/>
      <c r="O1834" s="132"/>
      <c r="P1834" s="175">
        <v>9425</v>
      </c>
      <c r="Q1834" s="25">
        <v>0.1208</v>
      </c>
      <c r="U1834" s="384">
        <v>0</v>
      </c>
      <c r="V1834" s="207"/>
      <c r="W1834" s="285">
        <f t="shared" si="31"/>
        <v>1138.54</v>
      </c>
    </row>
    <row r="1835" spans="1:23" ht="15" customHeight="1">
      <c r="A1835" s="3">
        <v>38446</v>
      </c>
      <c r="B1835" s="9">
        <v>19225</v>
      </c>
      <c r="C1835" s="5">
        <v>2525</v>
      </c>
      <c r="D1835" s="5" t="e">
        <f>E1835-(#REF!+C1835)</f>
        <v>#REF!</v>
      </c>
      <c r="E1835" s="5">
        <v>33175</v>
      </c>
      <c r="K1835" s="22">
        <v>978.5</v>
      </c>
      <c r="L1835" s="6">
        <v>946</v>
      </c>
      <c r="M1835" s="125">
        <f t="shared" si="32"/>
        <v>-32.5</v>
      </c>
      <c r="N1835" s="7"/>
      <c r="O1835" s="132"/>
      <c r="P1835" s="175">
        <v>9400</v>
      </c>
      <c r="Q1835" s="25">
        <v>0.1208</v>
      </c>
      <c r="U1835" s="384">
        <v>0</v>
      </c>
      <c r="V1835" s="207"/>
      <c r="W1835" s="285">
        <f t="shared" si="31"/>
        <v>1135.52</v>
      </c>
    </row>
    <row r="1836" spans="1:23" ht="15" customHeight="1">
      <c r="A1836" s="3">
        <v>38447</v>
      </c>
      <c r="B1836" s="9">
        <v>18875</v>
      </c>
      <c r="C1836" s="5">
        <v>2425</v>
      </c>
      <c r="D1836" s="5" t="e">
        <f>E1836-(#REF!+C1836)</f>
        <v>#REF!</v>
      </c>
      <c r="E1836" s="5">
        <v>32725</v>
      </c>
      <c r="K1836" s="22">
        <v>970</v>
      </c>
      <c r="L1836" s="6">
        <v>932</v>
      </c>
      <c r="M1836" s="125">
        <f t="shared" si="32"/>
        <v>-38</v>
      </c>
      <c r="N1836" s="7"/>
      <c r="O1836" s="132"/>
      <c r="P1836" s="175">
        <v>9400</v>
      </c>
      <c r="Q1836" s="25">
        <v>0.1208</v>
      </c>
      <c r="U1836" s="384">
        <v>0</v>
      </c>
      <c r="V1836" s="207"/>
      <c r="W1836" s="285">
        <f t="shared" si="31"/>
        <v>1135.52</v>
      </c>
    </row>
    <row r="1837" spans="1:23" ht="15" customHeight="1">
      <c r="A1837" s="3">
        <v>38448</v>
      </c>
      <c r="B1837" s="9">
        <v>18825</v>
      </c>
      <c r="C1837" s="5">
        <v>2325</v>
      </c>
      <c r="D1837" s="5" t="e">
        <f>E1837-(#REF!+C1837)</f>
        <v>#REF!</v>
      </c>
      <c r="E1837" s="5">
        <v>32450</v>
      </c>
      <c r="K1837" s="22">
        <v>983</v>
      </c>
      <c r="L1837" s="6">
        <v>954</v>
      </c>
      <c r="M1837" s="125">
        <f t="shared" si="32"/>
        <v>-29</v>
      </c>
      <c r="N1837" s="7"/>
      <c r="O1837" s="132"/>
      <c r="P1837" s="175">
        <v>9400</v>
      </c>
      <c r="Q1837" s="25">
        <v>0.1208</v>
      </c>
      <c r="U1837" s="384">
        <v>0</v>
      </c>
      <c r="V1837" s="207"/>
      <c r="W1837" s="285">
        <f t="shared" ref="W1837:W1900" si="33">(P1837*Q1837)*(1+U1837)</f>
        <v>1135.52</v>
      </c>
    </row>
    <row r="1838" spans="1:23" ht="15" customHeight="1">
      <c r="A1838" s="3">
        <v>38449</v>
      </c>
      <c r="B1838" s="9">
        <v>19250</v>
      </c>
      <c r="C1838" s="5">
        <v>2050</v>
      </c>
      <c r="D1838" s="5" t="e">
        <f>E1838-(#REF!+C1838)</f>
        <v>#REF!</v>
      </c>
      <c r="E1838" s="5">
        <v>32550</v>
      </c>
      <c r="K1838" s="22">
        <v>997</v>
      </c>
      <c r="L1838" s="6">
        <v>967</v>
      </c>
      <c r="M1838" s="125">
        <f t="shared" si="32"/>
        <v>-30</v>
      </c>
      <c r="N1838" s="7"/>
      <c r="O1838" s="132"/>
      <c r="P1838" s="175">
        <v>9400</v>
      </c>
      <c r="Q1838" s="25">
        <v>0.1208</v>
      </c>
      <c r="U1838" s="384">
        <v>0</v>
      </c>
      <c r="V1838" s="207"/>
      <c r="W1838" s="285">
        <f t="shared" si="33"/>
        <v>1135.52</v>
      </c>
    </row>
    <row r="1839" spans="1:23" ht="16.5" customHeight="1">
      <c r="A1839" s="3">
        <v>38450</v>
      </c>
      <c r="B1839" s="9">
        <v>18925</v>
      </c>
      <c r="C1839" s="5">
        <v>1775</v>
      </c>
      <c r="D1839" s="5" t="e">
        <f>E1839-(#REF!+C1839)</f>
        <v>#REF!</v>
      </c>
      <c r="E1839" s="5">
        <v>31825</v>
      </c>
      <c r="K1839" s="22">
        <v>995</v>
      </c>
      <c r="L1839" s="6">
        <v>962</v>
      </c>
      <c r="M1839" s="125">
        <f t="shared" si="32"/>
        <v>-33</v>
      </c>
      <c r="N1839" s="7"/>
      <c r="O1839" s="132"/>
      <c r="P1839" s="175">
        <v>9400</v>
      </c>
      <c r="Q1839" s="25">
        <v>0.1208</v>
      </c>
      <c r="U1839" s="384">
        <v>0</v>
      </c>
      <c r="V1839" s="207"/>
      <c r="W1839" s="285">
        <f t="shared" si="33"/>
        <v>1135.52</v>
      </c>
    </row>
    <row r="1840" spans="1:23" ht="15" customHeight="1">
      <c r="A1840" s="3">
        <v>38453</v>
      </c>
      <c r="B1840" s="9">
        <v>18925</v>
      </c>
      <c r="C1840" s="5">
        <v>1700</v>
      </c>
      <c r="D1840" s="5" t="e">
        <f>E1840-(#REF!+C1840)</f>
        <v>#REF!</v>
      </c>
      <c r="E1840" s="5">
        <v>31625</v>
      </c>
      <c r="K1840" s="22">
        <v>1005.5</v>
      </c>
      <c r="L1840" s="6">
        <v>976</v>
      </c>
      <c r="M1840" s="125">
        <f t="shared" si="32"/>
        <v>-29.5</v>
      </c>
      <c r="N1840" s="7"/>
      <c r="O1840" s="132"/>
      <c r="P1840" s="175">
        <v>9400</v>
      </c>
      <c r="Q1840" s="25">
        <v>0.1208</v>
      </c>
      <c r="U1840" s="384">
        <v>0</v>
      </c>
      <c r="V1840" s="207"/>
      <c r="W1840" s="285">
        <f t="shared" si="33"/>
        <v>1135.52</v>
      </c>
    </row>
    <row r="1841" spans="1:23" ht="15" customHeight="1">
      <c r="A1841" s="3">
        <v>38454</v>
      </c>
      <c r="B1841" s="9">
        <v>19125</v>
      </c>
      <c r="C1841" s="5">
        <v>1700</v>
      </c>
      <c r="D1841" s="5" t="e">
        <f>E1841-(#REF!+C1841)</f>
        <v>#REF!</v>
      </c>
      <c r="E1841" s="5">
        <v>31825</v>
      </c>
      <c r="K1841" s="22">
        <v>1012.5</v>
      </c>
      <c r="L1841" s="6">
        <v>978</v>
      </c>
      <c r="M1841" s="125">
        <f t="shared" si="32"/>
        <v>-34.5</v>
      </c>
      <c r="N1841" s="7"/>
      <c r="O1841" s="132"/>
      <c r="P1841" s="175">
        <v>9400</v>
      </c>
      <c r="Q1841" s="25">
        <v>0.1208</v>
      </c>
      <c r="U1841" s="384">
        <v>0</v>
      </c>
      <c r="V1841" s="207"/>
      <c r="W1841" s="285">
        <f t="shared" si="33"/>
        <v>1135.52</v>
      </c>
    </row>
    <row r="1842" spans="1:23" ht="15" customHeight="1">
      <c r="A1842" s="3">
        <v>38455</v>
      </c>
      <c r="B1842" s="9">
        <v>18975</v>
      </c>
      <c r="C1842" s="5">
        <v>1625</v>
      </c>
      <c r="D1842" s="5" t="e">
        <f>E1842-(#REF!+C1842)</f>
        <v>#REF!</v>
      </c>
      <c r="E1842" s="5">
        <v>31475</v>
      </c>
      <c r="K1842" s="22">
        <v>986</v>
      </c>
      <c r="L1842" s="6">
        <v>947</v>
      </c>
      <c r="M1842" s="125">
        <f t="shared" si="32"/>
        <v>-39</v>
      </c>
      <c r="N1842" s="7"/>
      <c r="O1842" s="132"/>
      <c r="P1842" s="175">
        <v>9400</v>
      </c>
      <c r="Q1842" s="25">
        <v>0.1208</v>
      </c>
      <c r="U1842" s="384">
        <v>0</v>
      </c>
      <c r="V1842" s="207"/>
      <c r="W1842" s="285">
        <f t="shared" si="33"/>
        <v>1135.52</v>
      </c>
    </row>
    <row r="1843" spans="1:23" ht="15" customHeight="1">
      <c r="A1843" s="3">
        <v>38456</v>
      </c>
      <c r="B1843" s="9">
        <v>18850</v>
      </c>
      <c r="C1843" s="5">
        <v>1625</v>
      </c>
      <c r="D1843" s="5" t="e">
        <f>E1843-(#REF!+C1843)</f>
        <v>#REF!</v>
      </c>
      <c r="E1843" s="5">
        <v>31200</v>
      </c>
      <c r="K1843" s="22">
        <v>955</v>
      </c>
      <c r="L1843" s="6">
        <v>907</v>
      </c>
      <c r="M1843" s="125">
        <f t="shared" si="32"/>
        <v>-48</v>
      </c>
      <c r="N1843" s="7"/>
      <c r="O1843" s="132"/>
      <c r="P1843" s="175">
        <v>9390</v>
      </c>
      <c r="Q1843" s="25">
        <v>0.1208</v>
      </c>
      <c r="U1843" s="384">
        <v>0</v>
      </c>
      <c r="V1843" s="207"/>
      <c r="W1843" s="285">
        <f t="shared" si="33"/>
        <v>1134.3120000000001</v>
      </c>
    </row>
    <row r="1844" spans="1:23" ht="15" customHeight="1">
      <c r="A1844" s="3">
        <v>38457</v>
      </c>
      <c r="B1844" s="9">
        <v>18850</v>
      </c>
      <c r="C1844" s="5">
        <v>1625</v>
      </c>
      <c r="D1844" s="5" t="e">
        <f>E1844-(#REF!+C1844)</f>
        <v>#REF!</v>
      </c>
      <c r="E1844" s="5">
        <v>31000</v>
      </c>
      <c r="K1844" s="22">
        <v>949.5</v>
      </c>
      <c r="L1844" s="6">
        <v>911.5</v>
      </c>
      <c r="M1844" s="125">
        <f t="shared" si="32"/>
        <v>-38</v>
      </c>
      <c r="N1844" s="7"/>
      <c r="O1844" s="132"/>
      <c r="P1844" s="175">
        <v>9390</v>
      </c>
      <c r="Q1844" s="25">
        <v>0.1208</v>
      </c>
      <c r="U1844" s="384">
        <v>0</v>
      </c>
      <c r="V1844" s="207"/>
      <c r="W1844" s="285">
        <f t="shared" si="33"/>
        <v>1134.3120000000001</v>
      </c>
    </row>
    <row r="1845" spans="1:23" ht="15" customHeight="1">
      <c r="A1845" s="3">
        <v>38458</v>
      </c>
      <c r="B1845" s="9">
        <v>19875</v>
      </c>
      <c r="C1845" s="5">
        <v>1625</v>
      </c>
      <c r="D1845" s="5" t="e">
        <f>E1845-(#REF!+C1845)</f>
        <v>#REF!</v>
      </c>
      <c r="E1845" s="5">
        <v>31925</v>
      </c>
      <c r="K1845" s="22">
        <v>955.5</v>
      </c>
      <c r="L1845" s="6">
        <v>914</v>
      </c>
      <c r="M1845" s="125">
        <f t="shared" si="32"/>
        <v>-41.5</v>
      </c>
      <c r="N1845" s="7"/>
      <c r="O1845" s="132"/>
      <c r="P1845" s="177">
        <v>9390</v>
      </c>
      <c r="Q1845" s="25">
        <v>0.1208</v>
      </c>
      <c r="U1845" s="384">
        <v>0</v>
      </c>
      <c r="V1845" s="207"/>
      <c r="W1845" s="285">
        <f t="shared" si="33"/>
        <v>1134.3120000000001</v>
      </c>
    </row>
    <row r="1846" spans="1:23" ht="15" customHeight="1">
      <c r="A1846" s="3">
        <v>38461</v>
      </c>
      <c r="B1846" s="9">
        <v>19850</v>
      </c>
      <c r="C1846" s="5">
        <v>1625</v>
      </c>
      <c r="D1846" s="5" t="e">
        <f>E1846-(#REF!+C1846)</f>
        <v>#REF!</v>
      </c>
      <c r="E1846" s="5">
        <v>31800</v>
      </c>
      <c r="K1846" s="22">
        <v>972</v>
      </c>
      <c r="L1846" s="6">
        <v>929</v>
      </c>
      <c r="M1846" s="125">
        <f t="shared" si="32"/>
        <v>-43</v>
      </c>
      <c r="N1846" s="7"/>
      <c r="O1846" s="132"/>
      <c r="P1846" s="175">
        <v>9400</v>
      </c>
      <c r="Q1846" s="25">
        <v>0.1208</v>
      </c>
      <c r="U1846" s="384">
        <v>0</v>
      </c>
      <c r="V1846" s="207"/>
      <c r="W1846" s="285">
        <f t="shared" si="33"/>
        <v>1135.52</v>
      </c>
    </row>
    <row r="1847" spans="1:23" ht="15" customHeight="1">
      <c r="A1847" s="3">
        <v>38462</v>
      </c>
      <c r="B1847" s="9">
        <v>21800</v>
      </c>
      <c r="C1847" s="5">
        <v>1500</v>
      </c>
      <c r="D1847" s="5" t="e">
        <f>E1847-(#REF!+C1847)</f>
        <v>#REF!</v>
      </c>
      <c r="E1847" s="5">
        <v>33500</v>
      </c>
      <c r="K1847" s="22">
        <v>985</v>
      </c>
      <c r="L1847" s="6">
        <v>943</v>
      </c>
      <c r="M1847" s="125">
        <f t="shared" ref="M1847:M1910" si="34">L1847-K1847</f>
        <v>-42</v>
      </c>
      <c r="N1847" s="7"/>
      <c r="O1847" s="132"/>
      <c r="P1847" s="175">
        <v>9400</v>
      </c>
      <c r="Q1847" s="25">
        <v>0.1208</v>
      </c>
      <c r="U1847" s="384">
        <v>0</v>
      </c>
      <c r="V1847" s="207"/>
      <c r="W1847" s="285">
        <f t="shared" si="33"/>
        <v>1135.52</v>
      </c>
    </row>
    <row r="1848" spans="1:23" ht="15" customHeight="1">
      <c r="A1848" s="3">
        <v>38463</v>
      </c>
      <c r="B1848" s="9">
        <v>21800</v>
      </c>
      <c r="C1848" s="5">
        <v>1275</v>
      </c>
      <c r="D1848" s="5" t="e">
        <f>E1848-(#REF!+C1848)</f>
        <v>#REF!</v>
      </c>
      <c r="E1848" s="5">
        <v>33175</v>
      </c>
      <c r="K1848" s="22">
        <v>980.5</v>
      </c>
      <c r="L1848" s="6">
        <v>940</v>
      </c>
      <c r="M1848" s="125">
        <f t="shared" si="34"/>
        <v>-40.5</v>
      </c>
      <c r="N1848" s="7"/>
      <c r="O1848" s="132"/>
      <c r="P1848" s="175">
        <v>9425</v>
      </c>
      <c r="Q1848" s="25">
        <v>0.1208</v>
      </c>
      <c r="U1848" s="384">
        <v>0</v>
      </c>
      <c r="V1848" s="207"/>
      <c r="W1848" s="285">
        <f t="shared" si="33"/>
        <v>1138.54</v>
      </c>
    </row>
    <row r="1849" spans="1:23" ht="15" customHeight="1">
      <c r="A1849" s="3">
        <v>38464</v>
      </c>
      <c r="B1849" s="9">
        <v>22100</v>
      </c>
      <c r="C1849" s="5">
        <v>1275</v>
      </c>
      <c r="D1849" s="5" t="e">
        <f>E1849-(#REF!+C1849)</f>
        <v>#REF!</v>
      </c>
      <c r="E1849" s="5">
        <v>33350</v>
      </c>
      <c r="K1849" s="22">
        <v>995</v>
      </c>
      <c r="L1849" s="6">
        <v>944</v>
      </c>
      <c r="M1849" s="125">
        <f t="shared" si="34"/>
        <v>-51</v>
      </c>
      <c r="N1849" s="7"/>
      <c r="O1849" s="132"/>
      <c r="P1849" s="175">
        <v>9425</v>
      </c>
      <c r="Q1849" s="25">
        <v>0.1208</v>
      </c>
      <c r="U1849" s="384">
        <v>0</v>
      </c>
      <c r="V1849" s="207"/>
      <c r="W1849" s="285">
        <f t="shared" si="33"/>
        <v>1138.54</v>
      </c>
    </row>
    <row r="1850" spans="1:23" ht="15" customHeight="1">
      <c r="A1850" s="3">
        <v>38467</v>
      </c>
      <c r="B1850" s="9">
        <v>21775</v>
      </c>
      <c r="C1850" s="5">
        <v>1275</v>
      </c>
      <c r="D1850" s="5" t="e">
        <f>E1850-(#REF!+C1850)</f>
        <v>#REF!</v>
      </c>
      <c r="E1850" s="5">
        <v>32900</v>
      </c>
      <c r="K1850" s="22">
        <v>980.5</v>
      </c>
      <c r="L1850" s="6">
        <v>937</v>
      </c>
      <c r="M1850" s="125">
        <f t="shared" si="34"/>
        <v>-43.5</v>
      </c>
      <c r="N1850" s="7"/>
      <c r="O1850" s="132"/>
      <c r="P1850" s="175">
        <v>9425</v>
      </c>
      <c r="Q1850" s="25">
        <v>0.1208</v>
      </c>
      <c r="U1850" s="384">
        <v>0</v>
      </c>
      <c r="V1850" s="207"/>
      <c r="W1850" s="285">
        <f t="shared" si="33"/>
        <v>1138.54</v>
      </c>
    </row>
    <row r="1851" spans="1:23" ht="15" customHeight="1">
      <c r="A1851" s="3">
        <v>38468</v>
      </c>
      <c r="B1851" s="9">
        <v>21750</v>
      </c>
      <c r="C1851" s="5">
        <v>1275</v>
      </c>
      <c r="D1851" s="5" t="e">
        <f>E1851-(#REF!+C1851)</f>
        <v>#REF!</v>
      </c>
      <c r="E1851" s="5">
        <v>32875</v>
      </c>
      <c r="K1851" s="22">
        <v>995</v>
      </c>
      <c r="L1851" s="6">
        <v>948</v>
      </c>
      <c r="M1851" s="125">
        <f t="shared" si="34"/>
        <v>-47</v>
      </c>
      <c r="N1851" s="7"/>
      <c r="O1851" s="132"/>
      <c r="P1851" s="175">
        <v>9400</v>
      </c>
      <c r="Q1851" s="25">
        <v>0.1208</v>
      </c>
      <c r="U1851" s="384">
        <v>0</v>
      </c>
      <c r="V1851" s="207"/>
      <c r="W1851" s="285">
        <f t="shared" si="33"/>
        <v>1135.52</v>
      </c>
    </row>
    <row r="1852" spans="1:23" ht="15" customHeight="1">
      <c r="A1852" s="3">
        <v>38469</v>
      </c>
      <c r="B1852" s="9">
        <v>22725</v>
      </c>
      <c r="C1852" s="5">
        <v>1225</v>
      </c>
      <c r="D1852" s="5" t="e">
        <f>E1852-(#REF!+C1852)</f>
        <v>#REF!</v>
      </c>
      <c r="E1852" s="5">
        <v>33700</v>
      </c>
      <c r="K1852" s="22">
        <v>990.5</v>
      </c>
      <c r="L1852" s="6">
        <v>945</v>
      </c>
      <c r="M1852" s="125">
        <f t="shared" si="34"/>
        <v>-45.5</v>
      </c>
      <c r="N1852" s="7"/>
      <c r="O1852" s="132"/>
      <c r="P1852" s="175">
        <v>9400</v>
      </c>
      <c r="Q1852" s="25">
        <v>0.1208</v>
      </c>
      <c r="U1852" s="384">
        <v>0</v>
      </c>
      <c r="V1852" s="207"/>
      <c r="W1852" s="285">
        <f t="shared" si="33"/>
        <v>1135.52</v>
      </c>
    </row>
    <row r="1853" spans="1:23" ht="15" customHeight="1">
      <c r="A1853" s="3">
        <v>38470</v>
      </c>
      <c r="B1853" s="9">
        <v>22725</v>
      </c>
      <c r="C1853" s="5">
        <v>1225</v>
      </c>
      <c r="D1853" s="5" t="e">
        <f>E1853-(#REF!+C1853)</f>
        <v>#REF!</v>
      </c>
      <c r="E1853" s="5">
        <v>33700</v>
      </c>
      <c r="K1853" s="22">
        <v>993</v>
      </c>
      <c r="L1853" s="6">
        <v>937</v>
      </c>
      <c r="M1853" s="125">
        <f t="shared" si="34"/>
        <v>-56</v>
      </c>
      <c r="N1853" s="18"/>
      <c r="O1853" s="132"/>
      <c r="P1853" s="175">
        <v>9400</v>
      </c>
      <c r="Q1853" s="25">
        <v>0.1208</v>
      </c>
      <c r="U1853" s="384">
        <v>0</v>
      </c>
      <c r="V1853" s="207"/>
      <c r="W1853" s="285">
        <f t="shared" si="33"/>
        <v>1135.52</v>
      </c>
    </row>
    <row r="1854" spans="1:23" ht="15" customHeight="1" thickBot="1">
      <c r="A1854" s="11">
        <v>38471</v>
      </c>
      <c r="B1854" s="9">
        <v>22675</v>
      </c>
      <c r="C1854" s="13">
        <v>1150</v>
      </c>
      <c r="D1854" s="13" t="e">
        <f>E1854-(#REF!+C1854)</f>
        <v>#REF!</v>
      </c>
      <c r="E1854" s="13">
        <v>33550</v>
      </c>
      <c r="F1854" s="12"/>
      <c r="G1854" s="13"/>
      <c r="H1854" s="13"/>
      <c r="I1854" s="119"/>
      <c r="J1854" s="119"/>
      <c r="K1854" s="23">
        <v>1020</v>
      </c>
      <c r="L1854" s="14">
        <v>958.5</v>
      </c>
      <c r="M1854" s="126">
        <f t="shared" si="34"/>
        <v>-61.5</v>
      </c>
      <c r="N1854" s="19">
        <f>AVERAGE(K1834:K1854)</f>
        <v>985.76190476190482</v>
      </c>
      <c r="O1854" s="133"/>
      <c r="P1854" s="176">
        <v>9400</v>
      </c>
      <c r="Q1854" s="27">
        <v>0.1208</v>
      </c>
      <c r="R1854" s="27"/>
      <c r="S1854" s="27"/>
      <c r="T1854" s="27"/>
      <c r="U1854" s="385">
        <v>0</v>
      </c>
      <c r="V1854" s="284">
        <f>AVERAGE(P1834:P1844,P1846:P1854)</f>
        <v>9404</v>
      </c>
      <c r="W1854" s="285">
        <f t="shared" si="33"/>
        <v>1135.52</v>
      </c>
    </row>
    <row r="1855" spans="1:23" ht="15" customHeight="1">
      <c r="A1855" s="3">
        <v>38475</v>
      </c>
      <c r="B1855" s="9">
        <v>21900</v>
      </c>
      <c r="C1855" s="5">
        <v>1150</v>
      </c>
      <c r="D1855" s="5" t="e">
        <f>E1855-(#REF!+C1855)</f>
        <v>#REF!</v>
      </c>
      <c r="E1855" s="5">
        <v>32700</v>
      </c>
      <c r="K1855" s="22">
        <v>991</v>
      </c>
      <c r="L1855" s="6">
        <v>932</v>
      </c>
      <c r="M1855" s="125">
        <f t="shared" si="34"/>
        <v>-59</v>
      </c>
      <c r="N1855" s="18"/>
      <c r="O1855" s="132"/>
      <c r="P1855" s="177">
        <v>9400</v>
      </c>
      <c r="Q1855" s="25">
        <v>0.1208</v>
      </c>
      <c r="U1855" s="384">
        <v>0</v>
      </c>
      <c r="V1855" s="207"/>
      <c r="W1855" s="285">
        <f t="shared" si="33"/>
        <v>1135.52</v>
      </c>
    </row>
    <row r="1856" spans="1:23" ht="15" customHeight="1">
      <c r="A1856" s="3">
        <v>38476</v>
      </c>
      <c r="B1856" s="9">
        <v>21175</v>
      </c>
      <c r="C1856" s="5">
        <v>1150</v>
      </c>
      <c r="D1856" s="5" t="e">
        <f>E1856-(#REF!+C1856)</f>
        <v>#REF!</v>
      </c>
      <c r="E1856" s="5">
        <v>31925</v>
      </c>
      <c r="K1856" s="22">
        <v>969.5</v>
      </c>
      <c r="L1856" s="6">
        <v>924</v>
      </c>
      <c r="M1856" s="125">
        <f t="shared" si="34"/>
        <v>-45.5</v>
      </c>
      <c r="N1856" s="18"/>
      <c r="O1856" s="132"/>
      <c r="P1856" s="177">
        <v>9400</v>
      </c>
      <c r="Q1856" s="25">
        <v>0.1208</v>
      </c>
      <c r="U1856" s="384">
        <v>0</v>
      </c>
      <c r="V1856" s="207"/>
      <c r="W1856" s="285">
        <f t="shared" si="33"/>
        <v>1135.52</v>
      </c>
    </row>
    <row r="1857" spans="1:23" ht="15" customHeight="1">
      <c r="A1857" s="3">
        <v>38477</v>
      </c>
      <c r="B1857" s="9">
        <v>20925</v>
      </c>
      <c r="C1857" s="5">
        <v>1150</v>
      </c>
      <c r="D1857" s="5" t="e">
        <f>E1857-(#REF!+C1857)</f>
        <v>#REF!</v>
      </c>
      <c r="E1857" s="5">
        <v>31675</v>
      </c>
      <c r="K1857" s="22">
        <v>964.5</v>
      </c>
      <c r="L1857" s="6">
        <v>964.5</v>
      </c>
      <c r="M1857" s="125">
        <f t="shared" si="34"/>
        <v>0</v>
      </c>
      <c r="N1857" s="18"/>
      <c r="O1857" s="132"/>
      <c r="P1857" s="177">
        <v>9400</v>
      </c>
      <c r="Q1857" s="25">
        <v>0.1208</v>
      </c>
      <c r="U1857" s="384">
        <v>0</v>
      </c>
      <c r="V1857" s="207"/>
      <c r="W1857" s="285">
        <f t="shared" si="33"/>
        <v>1135.52</v>
      </c>
    </row>
    <row r="1858" spans="1:23" ht="15" customHeight="1">
      <c r="A1858" s="3">
        <v>38478</v>
      </c>
      <c r="B1858" s="9">
        <v>21125</v>
      </c>
      <c r="C1858" s="5">
        <v>1125</v>
      </c>
      <c r="D1858" s="5" t="e">
        <f>E1858-(#REF!+C1858)</f>
        <v>#REF!</v>
      </c>
      <c r="E1858" s="5">
        <v>31800</v>
      </c>
      <c r="K1858" s="22">
        <v>990</v>
      </c>
      <c r="L1858" s="6">
        <v>948</v>
      </c>
      <c r="M1858" s="125">
        <f t="shared" si="34"/>
        <v>-42</v>
      </c>
      <c r="N1858" s="18"/>
      <c r="O1858" s="132"/>
      <c r="P1858" s="177">
        <v>9400</v>
      </c>
      <c r="Q1858" s="25">
        <v>0.1208</v>
      </c>
      <c r="U1858" s="384">
        <v>0</v>
      </c>
      <c r="V1858" s="207"/>
      <c r="W1858" s="285">
        <f t="shared" si="33"/>
        <v>1135.52</v>
      </c>
    </row>
    <row r="1859" spans="1:23" ht="15" customHeight="1">
      <c r="A1859" s="3">
        <v>38481</v>
      </c>
      <c r="B1859" s="9">
        <v>22700</v>
      </c>
      <c r="C1859" s="5">
        <v>1125</v>
      </c>
      <c r="D1859" s="5" t="e">
        <f>E1859-(#REF!+C1859)</f>
        <v>#REF!</v>
      </c>
      <c r="E1859" s="5">
        <v>33250</v>
      </c>
      <c r="K1859" s="22">
        <v>980</v>
      </c>
      <c r="L1859" s="6">
        <v>946</v>
      </c>
      <c r="M1859" s="125">
        <f t="shared" si="34"/>
        <v>-34</v>
      </c>
      <c r="N1859" s="18"/>
      <c r="O1859" s="132"/>
      <c r="P1859" s="175">
        <v>9400</v>
      </c>
      <c r="Q1859" s="25">
        <v>0.1208</v>
      </c>
      <c r="U1859" s="384">
        <v>0</v>
      </c>
      <c r="V1859" s="207"/>
      <c r="W1859" s="285">
        <f t="shared" si="33"/>
        <v>1135.52</v>
      </c>
    </row>
    <row r="1860" spans="1:23" ht="15" customHeight="1">
      <c r="A1860" s="3">
        <v>38482</v>
      </c>
      <c r="B1860" s="9">
        <v>22875</v>
      </c>
      <c r="C1860" s="5">
        <v>1125</v>
      </c>
      <c r="D1860" s="5" t="e">
        <f>E1860-(#REF!+C1860)</f>
        <v>#REF!</v>
      </c>
      <c r="E1860" s="5">
        <v>33400</v>
      </c>
      <c r="K1860" s="22">
        <v>985</v>
      </c>
      <c r="L1860" s="6">
        <v>947</v>
      </c>
      <c r="M1860" s="125">
        <f t="shared" si="34"/>
        <v>-38</v>
      </c>
      <c r="N1860" s="18"/>
      <c r="O1860" s="132"/>
      <c r="P1860" s="175">
        <v>9400</v>
      </c>
      <c r="Q1860" s="25">
        <v>0.1208</v>
      </c>
      <c r="U1860" s="384">
        <v>0</v>
      </c>
      <c r="V1860" s="207"/>
      <c r="W1860" s="285">
        <f t="shared" si="33"/>
        <v>1135.52</v>
      </c>
    </row>
    <row r="1861" spans="1:23" ht="15" customHeight="1">
      <c r="A1861" s="3">
        <v>38483</v>
      </c>
      <c r="B1861" s="9">
        <v>22875</v>
      </c>
      <c r="C1861" s="5">
        <v>1125</v>
      </c>
      <c r="D1861" s="5" t="e">
        <f>E1861-(#REF!+C1861)</f>
        <v>#REF!</v>
      </c>
      <c r="E1861" s="5">
        <v>33300</v>
      </c>
      <c r="K1861" s="22">
        <v>991</v>
      </c>
      <c r="L1861" s="6">
        <v>955</v>
      </c>
      <c r="M1861" s="125">
        <f t="shared" si="34"/>
        <v>-36</v>
      </c>
      <c r="N1861" s="18"/>
      <c r="O1861" s="132"/>
      <c r="P1861" s="175">
        <v>9400</v>
      </c>
      <c r="Q1861" s="25">
        <v>0.1208</v>
      </c>
      <c r="U1861" s="384">
        <v>0</v>
      </c>
      <c r="V1861" s="207"/>
      <c r="W1861" s="285">
        <f t="shared" si="33"/>
        <v>1135.52</v>
      </c>
    </row>
    <row r="1862" spans="1:23" ht="15" customHeight="1">
      <c r="A1862" s="3">
        <v>38484</v>
      </c>
      <c r="B1862" s="9">
        <v>25875</v>
      </c>
      <c r="C1862" s="5">
        <v>1125</v>
      </c>
      <c r="D1862" s="5" t="e">
        <f>E1862-(#REF!+C1862)</f>
        <v>#REF!</v>
      </c>
      <c r="E1862" s="5">
        <v>36150</v>
      </c>
      <c r="K1862" s="22">
        <v>973</v>
      </c>
      <c r="L1862" s="6">
        <v>956</v>
      </c>
      <c r="M1862" s="125">
        <f t="shared" si="34"/>
        <v>-17</v>
      </c>
      <c r="N1862" s="18"/>
      <c r="O1862" s="132"/>
      <c r="P1862" s="175">
        <v>9375</v>
      </c>
      <c r="Q1862" s="25">
        <v>0.1208</v>
      </c>
      <c r="U1862" s="384">
        <v>0</v>
      </c>
      <c r="V1862" s="207"/>
      <c r="W1862" s="285">
        <f t="shared" si="33"/>
        <v>1132.5</v>
      </c>
    </row>
    <row r="1863" spans="1:23" ht="15" customHeight="1">
      <c r="A1863" s="3">
        <v>38485</v>
      </c>
      <c r="B1863" s="9">
        <v>25775</v>
      </c>
      <c r="C1863" s="5">
        <v>1125</v>
      </c>
      <c r="D1863" s="5" t="e">
        <f>E1863-(#REF!+C1863)</f>
        <v>#REF!</v>
      </c>
      <c r="E1863" s="5">
        <v>35975</v>
      </c>
      <c r="K1863" s="22">
        <v>963</v>
      </c>
      <c r="L1863" s="6">
        <v>926</v>
      </c>
      <c r="M1863" s="125">
        <f t="shared" si="34"/>
        <v>-37</v>
      </c>
      <c r="N1863" s="18"/>
      <c r="O1863" s="132"/>
      <c r="P1863" s="175">
        <v>9375</v>
      </c>
      <c r="Q1863" s="25">
        <v>0.1208</v>
      </c>
      <c r="U1863" s="384">
        <v>0</v>
      </c>
      <c r="V1863" s="207"/>
      <c r="W1863" s="285">
        <f t="shared" si="33"/>
        <v>1132.5</v>
      </c>
    </row>
    <row r="1864" spans="1:23" ht="15" customHeight="1">
      <c r="A1864" s="3">
        <v>38488</v>
      </c>
      <c r="B1864" s="9">
        <v>25750</v>
      </c>
      <c r="C1864" s="5">
        <v>1125</v>
      </c>
      <c r="D1864" s="5" t="e">
        <f>E1864-(#REF!+C1864)</f>
        <v>#REF!</v>
      </c>
      <c r="E1864" s="5">
        <v>35850</v>
      </c>
      <c r="K1864" s="22">
        <v>968</v>
      </c>
      <c r="L1864" s="6">
        <v>933</v>
      </c>
      <c r="M1864" s="125">
        <f t="shared" si="34"/>
        <v>-35</v>
      </c>
      <c r="N1864" s="18"/>
      <c r="O1864" s="132"/>
      <c r="P1864" s="175">
        <v>9400</v>
      </c>
      <c r="Q1864" s="25">
        <v>0.1208</v>
      </c>
      <c r="U1864" s="384">
        <v>0</v>
      </c>
      <c r="V1864" s="207"/>
      <c r="W1864" s="285">
        <f t="shared" si="33"/>
        <v>1135.52</v>
      </c>
    </row>
    <row r="1865" spans="1:23" ht="15" customHeight="1">
      <c r="A1865" s="3">
        <v>38489</v>
      </c>
      <c r="B1865" s="9">
        <v>25175</v>
      </c>
      <c r="C1865" s="5">
        <v>1125</v>
      </c>
      <c r="D1865" s="5" t="e">
        <f>E1865-(#REF!+C1865)</f>
        <v>#REF!</v>
      </c>
      <c r="E1865" s="5">
        <v>35150</v>
      </c>
      <c r="K1865" s="22">
        <v>970</v>
      </c>
      <c r="L1865" s="6">
        <v>933</v>
      </c>
      <c r="M1865" s="125">
        <f t="shared" si="34"/>
        <v>-37</v>
      </c>
      <c r="N1865" s="18"/>
      <c r="O1865" s="132"/>
      <c r="P1865" s="175">
        <v>9400</v>
      </c>
      <c r="Q1865" s="25">
        <v>0.1208</v>
      </c>
      <c r="U1865" s="384">
        <v>0</v>
      </c>
      <c r="V1865" s="207"/>
      <c r="W1865" s="285">
        <f t="shared" si="33"/>
        <v>1135.52</v>
      </c>
    </row>
    <row r="1866" spans="1:23" ht="15" customHeight="1">
      <c r="A1866" s="3">
        <v>38490</v>
      </c>
      <c r="B1866" s="9">
        <v>25650</v>
      </c>
      <c r="C1866" s="5">
        <v>1125</v>
      </c>
      <c r="D1866" s="5" t="e">
        <f>E1866-(#REF!+C1866)</f>
        <v>#REF!</v>
      </c>
      <c r="E1866" s="5">
        <v>35575</v>
      </c>
      <c r="K1866" s="22">
        <v>982</v>
      </c>
      <c r="L1866" s="6">
        <v>942</v>
      </c>
      <c r="M1866" s="125">
        <f t="shared" si="34"/>
        <v>-40</v>
      </c>
      <c r="N1866" s="18"/>
      <c r="O1866" s="132"/>
      <c r="P1866" s="175">
        <v>9400</v>
      </c>
      <c r="Q1866" s="25">
        <v>0.1208</v>
      </c>
      <c r="U1866" s="384">
        <v>0</v>
      </c>
      <c r="V1866" s="207"/>
      <c r="W1866" s="285">
        <f t="shared" si="33"/>
        <v>1135.52</v>
      </c>
    </row>
    <row r="1867" spans="1:23" ht="15" customHeight="1">
      <c r="A1867" s="3">
        <v>38491</v>
      </c>
      <c r="B1867" s="9">
        <v>25200</v>
      </c>
      <c r="C1867" s="5">
        <v>1125</v>
      </c>
      <c r="D1867" s="5" t="e">
        <f>E1867-(#REF!+C1867)</f>
        <v>#REF!</v>
      </c>
      <c r="E1867" s="5">
        <v>34975</v>
      </c>
      <c r="K1867" s="22">
        <v>994.5</v>
      </c>
      <c r="L1867" s="6">
        <v>951.5</v>
      </c>
      <c r="M1867" s="125">
        <f t="shared" si="34"/>
        <v>-43</v>
      </c>
      <c r="N1867" s="18"/>
      <c r="O1867" s="132"/>
      <c r="P1867" s="175">
        <v>9400</v>
      </c>
      <c r="Q1867" s="25">
        <v>0.1208</v>
      </c>
      <c r="U1867" s="384">
        <v>0</v>
      </c>
      <c r="V1867" s="207"/>
      <c r="W1867" s="285">
        <f t="shared" si="33"/>
        <v>1135.52</v>
      </c>
    </row>
    <row r="1868" spans="1:23" ht="15" customHeight="1">
      <c r="A1868" s="3">
        <v>38492</v>
      </c>
      <c r="B1868" s="9">
        <v>25200</v>
      </c>
      <c r="C1868" s="5">
        <v>1125</v>
      </c>
      <c r="D1868" s="5" t="e">
        <f>E1868-(#REF!+C1868)</f>
        <v>#REF!</v>
      </c>
      <c r="E1868" s="5">
        <v>34825</v>
      </c>
      <c r="K1868" s="22">
        <v>1003</v>
      </c>
      <c r="L1868" s="6">
        <v>961</v>
      </c>
      <c r="M1868" s="125">
        <f t="shared" si="34"/>
        <v>-42</v>
      </c>
      <c r="N1868" s="18"/>
      <c r="O1868" s="132"/>
      <c r="P1868" s="175">
        <v>9350</v>
      </c>
      <c r="Q1868" s="25">
        <v>0.1208</v>
      </c>
      <c r="U1868" s="384">
        <v>0</v>
      </c>
      <c r="V1868" s="207"/>
      <c r="W1868" s="285">
        <f t="shared" si="33"/>
        <v>1129.48</v>
      </c>
    </row>
    <row r="1869" spans="1:23" ht="15" customHeight="1">
      <c r="A1869" s="3">
        <v>38495</v>
      </c>
      <c r="B1869" s="9">
        <v>25150</v>
      </c>
      <c r="C1869" s="5">
        <v>1125</v>
      </c>
      <c r="D1869" s="5" t="e">
        <f>E1869-(#REF!+C1869)</f>
        <v>#REF!</v>
      </c>
      <c r="E1869" s="5">
        <v>34775</v>
      </c>
      <c r="K1869" s="22">
        <v>1000.5</v>
      </c>
      <c r="L1869" s="6">
        <v>959</v>
      </c>
      <c r="M1869" s="125">
        <f t="shared" si="34"/>
        <v>-41.5</v>
      </c>
      <c r="N1869" s="18"/>
      <c r="O1869" s="132"/>
      <c r="P1869" s="175">
        <v>9350</v>
      </c>
      <c r="Q1869" s="25">
        <v>0.1208</v>
      </c>
      <c r="U1869" s="384">
        <v>0</v>
      </c>
      <c r="V1869" s="207"/>
      <c r="W1869" s="285">
        <f t="shared" si="33"/>
        <v>1129.48</v>
      </c>
    </row>
    <row r="1870" spans="1:23" ht="15" customHeight="1">
      <c r="A1870" s="3">
        <v>38496</v>
      </c>
      <c r="B1870" s="9">
        <v>25150</v>
      </c>
      <c r="C1870" s="5">
        <v>1125</v>
      </c>
      <c r="D1870" s="5" t="e">
        <f>E1870-(#REF!+C1870)</f>
        <v>#REF!</v>
      </c>
      <c r="E1870" s="5">
        <v>34775</v>
      </c>
      <c r="K1870" s="22">
        <v>1018</v>
      </c>
      <c r="L1870" s="6">
        <v>972</v>
      </c>
      <c r="M1870" s="125">
        <f t="shared" si="34"/>
        <v>-46</v>
      </c>
      <c r="N1870" s="18"/>
      <c r="O1870" s="132"/>
      <c r="P1870" s="175">
        <v>9325</v>
      </c>
      <c r="Q1870" s="25">
        <v>0.1208</v>
      </c>
      <c r="U1870" s="384">
        <v>0</v>
      </c>
      <c r="V1870" s="207"/>
      <c r="W1870" s="285">
        <f t="shared" si="33"/>
        <v>1126.46</v>
      </c>
    </row>
    <row r="1871" spans="1:23" ht="15" customHeight="1">
      <c r="A1871" s="3">
        <v>38497</v>
      </c>
      <c r="B1871" s="9">
        <v>24300</v>
      </c>
      <c r="C1871" s="5">
        <v>1125</v>
      </c>
      <c r="D1871" s="5" t="e">
        <f>E1871-(#REF!+C1871)</f>
        <v>#REF!</v>
      </c>
      <c r="E1871" s="5">
        <v>33850</v>
      </c>
      <c r="K1871" s="22">
        <v>1017.5</v>
      </c>
      <c r="L1871" s="6">
        <v>971</v>
      </c>
      <c r="M1871" s="125">
        <f t="shared" si="34"/>
        <v>-46.5</v>
      </c>
      <c r="N1871" s="18"/>
      <c r="O1871" s="132"/>
      <c r="P1871" s="175">
        <v>9325</v>
      </c>
      <c r="Q1871" s="25">
        <v>0.1208</v>
      </c>
      <c r="U1871" s="384">
        <v>0</v>
      </c>
      <c r="V1871" s="207"/>
      <c r="W1871" s="285">
        <f t="shared" si="33"/>
        <v>1126.46</v>
      </c>
    </row>
    <row r="1872" spans="1:23" ht="15" customHeight="1">
      <c r="A1872" s="3">
        <v>38498</v>
      </c>
      <c r="B1872" s="9">
        <v>24150</v>
      </c>
      <c r="C1872" s="5">
        <v>1125</v>
      </c>
      <c r="D1872" s="5" t="e">
        <f>E1872-(#REF!+C1872)</f>
        <v>#REF!</v>
      </c>
      <c r="E1872" s="5">
        <v>33700</v>
      </c>
      <c r="K1872" s="22">
        <v>1002</v>
      </c>
      <c r="L1872" s="6">
        <v>963</v>
      </c>
      <c r="M1872" s="125">
        <f t="shared" si="34"/>
        <v>-39</v>
      </c>
      <c r="N1872" s="18"/>
      <c r="O1872" s="132"/>
      <c r="P1872" s="175">
        <v>9325</v>
      </c>
      <c r="Q1872" s="25">
        <v>0.1208</v>
      </c>
      <c r="U1872" s="384">
        <v>0</v>
      </c>
      <c r="V1872" s="207"/>
      <c r="W1872" s="285">
        <f t="shared" si="33"/>
        <v>1126.46</v>
      </c>
    </row>
    <row r="1873" spans="1:23" ht="15" customHeight="1">
      <c r="A1873" s="3">
        <v>38499</v>
      </c>
      <c r="B1873" s="9">
        <v>23750</v>
      </c>
      <c r="C1873" s="5">
        <v>1125</v>
      </c>
      <c r="D1873" s="5" t="e">
        <f>E1873-(#REF!+C1873)</f>
        <v>#REF!</v>
      </c>
      <c r="E1873" s="5">
        <v>33300</v>
      </c>
      <c r="K1873" s="22">
        <v>1008</v>
      </c>
      <c r="L1873" s="6">
        <v>974</v>
      </c>
      <c r="M1873" s="125">
        <f t="shared" si="34"/>
        <v>-34</v>
      </c>
      <c r="N1873" s="18"/>
      <c r="O1873" s="132"/>
      <c r="P1873" s="175">
        <v>9325</v>
      </c>
      <c r="Q1873" s="25">
        <v>0.1208</v>
      </c>
      <c r="U1873" s="384">
        <v>0</v>
      </c>
      <c r="V1873" s="207"/>
      <c r="W1873" s="285">
        <f t="shared" si="33"/>
        <v>1126.46</v>
      </c>
    </row>
    <row r="1874" spans="1:23" ht="15" customHeight="1" thickBot="1">
      <c r="A1874" s="11">
        <v>38503</v>
      </c>
      <c r="B1874" s="9">
        <v>22700</v>
      </c>
      <c r="C1874" s="13">
        <v>1125</v>
      </c>
      <c r="D1874" s="13" t="e">
        <f>E1874-(#REF!+C1874)</f>
        <v>#REF!</v>
      </c>
      <c r="E1874" s="13">
        <v>33250</v>
      </c>
      <c r="F1874" s="12"/>
      <c r="G1874" s="13"/>
      <c r="H1874" s="13"/>
      <c r="I1874" s="119"/>
      <c r="J1874" s="119"/>
      <c r="K1874" s="23">
        <v>991</v>
      </c>
      <c r="L1874" s="14">
        <v>960</v>
      </c>
      <c r="M1874" s="126">
        <f t="shared" si="34"/>
        <v>-31</v>
      </c>
      <c r="N1874" s="19">
        <f>AVERAGE(K1855:K1874)</f>
        <v>988.07500000000005</v>
      </c>
      <c r="O1874" s="133"/>
      <c r="P1874" s="176">
        <v>9325</v>
      </c>
      <c r="Q1874" s="27">
        <v>0.1208</v>
      </c>
      <c r="R1874" s="27"/>
      <c r="S1874" s="27"/>
      <c r="T1874" s="27"/>
      <c r="U1874" s="385">
        <v>0</v>
      </c>
      <c r="V1874" s="284">
        <f>AVERAGE(P1859:P1874)</f>
        <v>9367.1875</v>
      </c>
      <c r="W1874" s="285">
        <f t="shared" si="33"/>
        <v>1126.46</v>
      </c>
    </row>
    <row r="1875" spans="1:23" ht="15" customHeight="1">
      <c r="A1875" s="3">
        <v>38504</v>
      </c>
      <c r="B1875" s="9">
        <v>20150</v>
      </c>
      <c r="C1875" s="5">
        <v>1125</v>
      </c>
      <c r="D1875" s="5" t="e">
        <f>E1875-(#REF!+C1875)</f>
        <v>#REF!</v>
      </c>
      <c r="E1875" s="5">
        <v>29700</v>
      </c>
      <c r="K1875" s="22">
        <v>996.5</v>
      </c>
      <c r="L1875" s="6">
        <v>966</v>
      </c>
      <c r="M1875" s="125">
        <f t="shared" si="34"/>
        <v>-30.5</v>
      </c>
      <c r="N1875" s="18"/>
      <c r="O1875" s="132"/>
      <c r="P1875" s="175">
        <v>9325</v>
      </c>
      <c r="Q1875" s="25">
        <v>0.1208</v>
      </c>
      <c r="U1875" s="384">
        <v>0</v>
      </c>
      <c r="V1875" s="207"/>
      <c r="W1875" s="285">
        <f t="shared" si="33"/>
        <v>1126.46</v>
      </c>
    </row>
    <row r="1876" spans="1:23" ht="15" customHeight="1">
      <c r="A1876" s="3">
        <v>38505</v>
      </c>
      <c r="B1876" s="9">
        <v>22500</v>
      </c>
      <c r="C1876" s="5">
        <v>1125</v>
      </c>
      <c r="D1876" s="5" t="e">
        <f>E1876-(#REF!+C1876)</f>
        <v>#REF!</v>
      </c>
      <c r="E1876" s="5">
        <v>32050</v>
      </c>
      <c r="K1876" s="22">
        <v>1005</v>
      </c>
      <c r="L1876" s="6">
        <v>970</v>
      </c>
      <c r="M1876" s="125">
        <f t="shared" si="34"/>
        <v>-35</v>
      </c>
      <c r="N1876" s="18"/>
      <c r="O1876" s="132"/>
      <c r="P1876" s="175">
        <v>9325</v>
      </c>
      <c r="Q1876" s="25">
        <v>0.1208</v>
      </c>
      <c r="U1876" s="384">
        <v>0</v>
      </c>
      <c r="V1876" s="207"/>
      <c r="W1876" s="285">
        <f t="shared" si="33"/>
        <v>1126.46</v>
      </c>
    </row>
    <row r="1877" spans="1:23" ht="15" customHeight="1">
      <c r="A1877" s="3">
        <v>38506</v>
      </c>
      <c r="B1877" s="9">
        <v>22500</v>
      </c>
      <c r="C1877" s="5">
        <v>1125</v>
      </c>
      <c r="D1877" s="5" t="e">
        <f>E1877-(#REF!+C1877)</f>
        <v>#REF!</v>
      </c>
      <c r="E1877" s="5">
        <v>32050</v>
      </c>
      <c r="K1877" s="22">
        <v>1014.5</v>
      </c>
      <c r="L1877" s="6">
        <v>976</v>
      </c>
      <c r="M1877" s="125">
        <f t="shared" si="34"/>
        <v>-38.5</v>
      </c>
      <c r="N1877" s="7"/>
      <c r="O1877" s="132"/>
      <c r="P1877" s="175">
        <v>9350</v>
      </c>
      <c r="Q1877" s="25">
        <v>0.1208</v>
      </c>
      <c r="U1877" s="384">
        <v>0</v>
      </c>
      <c r="V1877" s="207"/>
      <c r="W1877" s="285">
        <f t="shared" si="33"/>
        <v>1129.48</v>
      </c>
    </row>
    <row r="1878" spans="1:23" ht="15" customHeight="1">
      <c r="A1878" s="3">
        <v>38509</v>
      </c>
      <c r="B1878" s="9">
        <v>22475</v>
      </c>
      <c r="C1878" s="5">
        <v>1125</v>
      </c>
      <c r="D1878" s="5" t="e">
        <f>E1878-(#REF!+C1878)</f>
        <v>#REF!</v>
      </c>
      <c r="E1878" s="5">
        <v>32025</v>
      </c>
      <c r="K1878" s="22">
        <v>1005</v>
      </c>
      <c r="L1878" s="6">
        <v>969.5</v>
      </c>
      <c r="M1878" s="125">
        <f t="shared" si="34"/>
        <v>-35.5</v>
      </c>
      <c r="N1878" s="18"/>
      <c r="O1878" s="132"/>
      <c r="P1878" s="175">
        <v>9325</v>
      </c>
      <c r="Q1878" s="25">
        <v>0.1208</v>
      </c>
      <c r="U1878" s="384">
        <v>0</v>
      </c>
      <c r="V1878" s="207"/>
      <c r="W1878" s="285">
        <f t="shared" si="33"/>
        <v>1126.46</v>
      </c>
    </row>
    <row r="1879" spans="1:23" ht="15" customHeight="1">
      <c r="A1879" s="3">
        <v>38510</v>
      </c>
      <c r="B1879" s="9">
        <v>22475</v>
      </c>
      <c r="C1879" s="5">
        <v>1125</v>
      </c>
      <c r="D1879" s="5" t="e">
        <f>E1879-(#REF!+C1879)</f>
        <v>#REF!</v>
      </c>
      <c r="E1879" s="5">
        <v>32025</v>
      </c>
      <c r="K1879" s="22">
        <v>1003.5</v>
      </c>
      <c r="L1879" s="6">
        <v>970</v>
      </c>
      <c r="M1879" s="125">
        <f t="shared" si="34"/>
        <v>-33.5</v>
      </c>
      <c r="N1879" s="18"/>
      <c r="O1879" s="132"/>
      <c r="P1879" s="175">
        <v>9300</v>
      </c>
      <c r="Q1879" s="25">
        <v>0.1208</v>
      </c>
      <c r="U1879" s="384">
        <v>0</v>
      </c>
      <c r="V1879" s="207"/>
      <c r="W1879" s="285">
        <f t="shared" si="33"/>
        <v>1123.44</v>
      </c>
    </row>
    <row r="1880" spans="1:23" ht="15" customHeight="1">
      <c r="A1880" s="3">
        <v>38511</v>
      </c>
      <c r="B1880" s="9">
        <v>22350</v>
      </c>
      <c r="C1880" s="5">
        <v>1125</v>
      </c>
      <c r="D1880" s="5" t="e">
        <f>E1880-(#REF!+C1880)</f>
        <v>#REF!</v>
      </c>
      <c r="E1880" s="5">
        <v>31900</v>
      </c>
      <c r="K1880" s="22">
        <v>992</v>
      </c>
      <c r="L1880" s="6">
        <v>964</v>
      </c>
      <c r="M1880" s="125">
        <f t="shared" si="34"/>
        <v>-28</v>
      </c>
      <c r="N1880" s="18"/>
      <c r="O1880" s="132"/>
      <c r="P1880" s="175">
        <v>9300</v>
      </c>
      <c r="Q1880" s="25">
        <v>0.1208</v>
      </c>
      <c r="U1880" s="384">
        <v>0</v>
      </c>
      <c r="V1880" s="207"/>
      <c r="W1880" s="285">
        <f t="shared" si="33"/>
        <v>1123.44</v>
      </c>
    </row>
    <row r="1881" spans="1:23" ht="15" customHeight="1">
      <c r="A1881" s="3">
        <v>38512</v>
      </c>
      <c r="B1881" s="9">
        <v>22350</v>
      </c>
      <c r="C1881" s="5">
        <v>1125</v>
      </c>
      <c r="D1881" s="5" t="e">
        <f>E1881-(#REF!+C1881)</f>
        <v>#REF!</v>
      </c>
      <c r="E1881" s="5">
        <v>31875</v>
      </c>
      <c r="K1881" s="22">
        <v>984</v>
      </c>
      <c r="L1881" s="6">
        <v>960</v>
      </c>
      <c r="M1881" s="125">
        <f t="shared" si="34"/>
        <v>-24</v>
      </c>
      <c r="N1881" s="18"/>
      <c r="O1881" s="132"/>
      <c r="P1881" s="175">
        <v>9300</v>
      </c>
      <c r="Q1881" s="25">
        <v>0.1208</v>
      </c>
      <c r="U1881" s="384">
        <v>0</v>
      </c>
      <c r="V1881" s="207"/>
      <c r="W1881" s="285">
        <f t="shared" si="33"/>
        <v>1123.44</v>
      </c>
    </row>
    <row r="1882" spans="1:23" ht="15" customHeight="1">
      <c r="A1882" s="3">
        <v>38513</v>
      </c>
      <c r="B1882" s="9">
        <v>22400</v>
      </c>
      <c r="C1882" s="5">
        <v>1125</v>
      </c>
      <c r="D1882" s="5" t="e">
        <f>E1882-(#REF!+C1882)</f>
        <v>#REF!</v>
      </c>
      <c r="E1882" s="5">
        <v>31925</v>
      </c>
      <c r="K1882" s="22">
        <v>994.5</v>
      </c>
      <c r="L1882" s="6">
        <v>968</v>
      </c>
      <c r="M1882" s="125">
        <f t="shared" si="34"/>
        <v>-26.5</v>
      </c>
      <c r="N1882" s="18"/>
      <c r="O1882" s="132"/>
      <c r="P1882" s="175">
        <v>9300</v>
      </c>
      <c r="Q1882" s="25">
        <v>0.1208</v>
      </c>
      <c r="U1882" s="384">
        <v>0</v>
      </c>
      <c r="V1882" s="207"/>
      <c r="W1882" s="285">
        <f t="shared" si="33"/>
        <v>1123.44</v>
      </c>
    </row>
    <row r="1883" spans="1:23" ht="15" customHeight="1">
      <c r="A1883" s="3">
        <v>38514</v>
      </c>
      <c r="B1883" s="9">
        <v>22650</v>
      </c>
      <c r="C1883" s="5">
        <v>1125</v>
      </c>
      <c r="D1883" s="5" t="e">
        <f>E1883-(#REF!+C1883)</f>
        <v>#REF!</v>
      </c>
      <c r="E1883" s="5">
        <v>32175</v>
      </c>
      <c r="K1883" s="22">
        <v>995.5</v>
      </c>
      <c r="L1883" s="6">
        <v>966</v>
      </c>
      <c r="M1883" s="125">
        <f t="shared" si="34"/>
        <v>-29.5</v>
      </c>
      <c r="N1883" s="18"/>
      <c r="O1883" s="132"/>
      <c r="P1883" s="175">
        <v>9300</v>
      </c>
      <c r="Q1883" s="25">
        <v>0.1208</v>
      </c>
      <c r="U1883" s="384">
        <v>0</v>
      </c>
      <c r="V1883" s="207"/>
      <c r="W1883" s="285">
        <f t="shared" si="33"/>
        <v>1123.44</v>
      </c>
    </row>
    <row r="1884" spans="1:23" ht="15" customHeight="1">
      <c r="A1884" s="3">
        <v>38517</v>
      </c>
      <c r="B1884" s="9">
        <v>23800</v>
      </c>
      <c r="C1884" s="5">
        <v>1150</v>
      </c>
      <c r="D1884" s="5" t="e">
        <f>E1884-(#REF!+C1884)</f>
        <v>#REF!</v>
      </c>
      <c r="E1884" s="5">
        <v>33325</v>
      </c>
      <c r="K1884" s="22">
        <v>996.5</v>
      </c>
      <c r="L1884" s="6">
        <v>967</v>
      </c>
      <c r="M1884" s="125">
        <f t="shared" si="34"/>
        <v>-29.5</v>
      </c>
      <c r="N1884" s="18"/>
      <c r="O1884" s="132"/>
      <c r="P1884" s="175">
        <v>9325</v>
      </c>
      <c r="Q1884" s="25">
        <v>0.1208</v>
      </c>
      <c r="U1884" s="384">
        <v>0</v>
      </c>
      <c r="V1884" s="207"/>
      <c r="W1884" s="285">
        <f t="shared" si="33"/>
        <v>1126.46</v>
      </c>
    </row>
    <row r="1885" spans="1:23" ht="15" customHeight="1">
      <c r="A1885" s="3">
        <v>38518</v>
      </c>
      <c r="B1885" s="9">
        <v>24075</v>
      </c>
      <c r="C1885" s="5">
        <v>1125</v>
      </c>
      <c r="D1885" s="5" t="e">
        <f>E1885-(#REF!+C1885)</f>
        <v>#REF!</v>
      </c>
      <c r="E1885" s="5">
        <v>33600</v>
      </c>
      <c r="K1885" s="22">
        <v>997</v>
      </c>
      <c r="L1885" s="6">
        <v>968</v>
      </c>
      <c r="M1885" s="125">
        <f t="shared" si="34"/>
        <v>-29</v>
      </c>
      <c r="N1885" s="18"/>
      <c r="O1885" s="132"/>
      <c r="P1885" s="175">
        <v>9300</v>
      </c>
      <c r="Q1885" s="25">
        <v>0.1208</v>
      </c>
      <c r="U1885" s="384">
        <v>0</v>
      </c>
      <c r="V1885" s="207"/>
      <c r="W1885" s="285">
        <f t="shared" si="33"/>
        <v>1123.44</v>
      </c>
    </row>
    <row r="1886" spans="1:23" ht="15" customHeight="1">
      <c r="A1886" s="3">
        <v>38519</v>
      </c>
      <c r="B1886" s="9">
        <v>24875</v>
      </c>
      <c r="C1886" s="5">
        <v>1125</v>
      </c>
      <c r="D1886" s="5" t="e">
        <f>E1886-(#REF!+C1886)</f>
        <v>#REF!</v>
      </c>
      <c r="E1886" s="5">
        <v>34400</v>
      </c>
      <c r="K1886" s="22">
        <v>1000</v>
      </c>
      <c r="L1886" s="6">
        <v>972</v>
      </c>
      <c r="M1886" s="125">
        <f t="shared" si="34"/>
        <v>-28</v>
      </c>
      <c r="N1886" s="18"/>
      <c r="O1886" s="132"/>
      <c r="P1886" s="175">
        <v>9275</v>
      </c>
      <c r="Q1886" s="25">
        <v>0.1208</v>
      </c>
      <c r="U1886" s="384">
        <v>0</v>
      </c>
      <c r="V1886" s="207"/>
      <c r="W1886" s="285">
        <f t="shared" si="33"/>
        <v>1120.42</v>
      </c>
    </row>
    <row r="1887" spans="1:23" ht="15" customHeight="1">
      <c r="A1887" s="3">
        <v>38520</v>
      </c>
      <c r="B1887" s="9">
        <v>25250</v>
      </c>
      <c r="C1887" s="5">
        <v>1125</v>
      </c>
      <c r="D1887" s="5" t="e">
        <f>E1887-(#REF!+C1887)</f>
        <v>#REF!</v>
      </c>
      <c r="E1887" s="5">
        <v>34775</v>
      </c>
      <c r="K1887" s="22">
        <v>1010</v>
      </c>
      <c r="L1887" s="6">
        <v>979</v>
      </c>
      <c r="M1887" s="125">
        <f t="shared" si="34"/>
        <v>-31</v>
      </c>
      <c r="N1887" s="18"/>
      <c r="O1887" s="132"/>
      <c r="P1887" s="175">
        <v>9300</v>
      </c>
      <c r="Q1887" s="25">
        <v>0.1208</v>
      </c>
      <c r="U1887" s="384">
        <v>0</v>
      </c>
      <c r="V1887" s="207"/>
      <c r="W1887" s="285">
        <f t="shared" si="33"/>
        <v>1123.44</v>
      </c>
    </row>
    <row r="1888" spans="1:23" ht="15" customHeight="1">
      <c r="A1888" s="3">
        <v>38523</v>
      </c>
      <c r="B1888" s="9">
        <v>24500</v>
      </c>
      <c r="C1888" s="5">
        <v>1125</v>
      </c>
      <c r="D1888" s="5" t="e">
        <f>E1888-(#REF!+C1888)</f>
        <v>#REF!</v>
      </c>
      <c r="E1888" s="5">
        <v>34025</v>
      </c>
      <c r="K1888" s="22">
        <v>1008</v>
      </c>
      <c r="L1888" s="6">
        <v>978</v>
      </c>
      <c r="M1888" s="125">
        <f t="shared" si="34"/>
        <v>-30</v>
      </c>
      <c r="N1888" s="18"/>
      <c r="O1888" s="132"/>
      <c r="P1888" s="175">
        <v>9300</v>
      </c>
      <c r="Q1888" s="25">
        <v>0.1208</v>
      </c>
      <c r="U1888" s="384">
        <v>0</v>
      </c>
      <c r="V1888" s="207"/>
      <c r="W1888" s="285">
        <f t="shared" si="33"/>
        <v>1123.44</v>
      </c>
    </row>
    <row r="1889" spans="1:23" ht="15" customHeight="1">
      <c r="A1889" s="3">
        <v>38524</v>
      </c>
      <c r="B1889" s="9">
        <v>24900</v>
      </c>
      <c r="C1889" s="5">
        <v>1125</v>
      </c>
      <c r="D1889" s="5" t="e">
        <f>E1889-(#REF!+C1889)</f>
        <v>#REF!</v>
      </c>
      <c r="E1889" s="5">
        <v>34425</v>
      </c>
      <c r="K1889" s="22">
        <v>989</v>
      </c>
      <c r="L1889" s="6">
        <v>961</v>
      </c>
      <c r="M1889" s="125">
        <f t="shared" si="34"/>
        <v>-28</v>
      </c>
      <c r="N1889" s="18"/>
      <c r="O1889" s="132"/>
      <c r="P1889" s="175">
        <v>9300</v>
      </c>
      <c r="Q1889" s="25">
        <v>0.1208</v>
      </c>
      <c r="U1889" s="384">
        <v>0</v>
      </c>
      <c r="V1889" s="207"/>
      <c r="W1889" s="285">
        <f t="shared" si="33"/>
        <v>1123.44</v>
      </c>
    </row>
    <row r="1890" spans="1:23" ht="15" customHeight="1">
      <c r="A1890" s="3">
        <v>38525</v>
      </c>
      <c r="B1890" s="9">
        <v>26175</v>
      </c>
      <c r="C1890" s="5">
        <v>1125</v>
      </c>
      <c r="D1890" s="5" t="e">
        <f>E1890-(#REF!+C1890)</f>
        <v>#REF!</v>
      </c>
      <c r="E1890" s="5">
        <v>35700</v>
      </c>
      <c r="K1890" s="22">
        <v>970.5</v>
      </c>
      <c r="L1890" s="6">
        <v>940</v>
      </c>
      <c r="M1890" s="125">
        <f t="shared" si="34"/>
        <v>-30.5</v>
      </c>
      <c r="N1890" s="18"/>
      <c r="O1890" s="132"/>
      <c r="P1890" s="175">
        <v>9250</v>
      </c>
      <c r="Q1890" s="25">
        <v>0.1208</v>
      </c>
      <c r="U1890" s="384">
        <v>0</v>
      </c>
      <c r="V1890" s="207"/>
      <c r="W1890" s="285">
        <f t="shared" si="33"/>
        <v>1117.4000000000001</v>
      </c>
    </row>
    <row r="1891" spans="1:23" ht="15" customHeight="1">
      <c r="A1891" s="3">
        <v>38526</v>
      </c>
      <c r="B1891" s="9">
        <v>27950</v>
      </c>
      <c r="C1891" s="5">
        <v>1125</v>
      </c>
      <c r="D1891" s="5" t="e">
        <f>E1891-(#REF!+C1891)</f>
        <v>#REF!</v>
      </c>
      <c r="E1891" s="5">
        <v>37425</v>
      </c>
      <c r="K1891" s="22">
        <v>965</v>
      </c>
      <c r="L1891" s="6">
        <v>934</v>
      </c>
      <c r="M1891" s="125">
        <f t="shared" si="34"/>
        <v>-31</v>
      </c>
      <c r="N1891" s="18"/>
      <c r="O1891" s="132"/>
      <c r="P1891" s="175">
        <v>9260</v>
      </c>
      <c r="Q1891" s="25">
        <v>0.1208</v>
      </c>
      <c r="U1891" s="384">
        <v>0</v>
      </c>
      <c r="V1891" s="207"/>
      <c r="W1891" s="285">
        <f t="shared" si="33"/>
        <v>1118.6079999999999</v>
      </c>
    </row>
    <row r="1892" spans="1:23" ht="15" customHeight="1">
      <c r="A1892" s="3">
        <v>38527</v>
      </c>
      <c r="B1892" s="9">
        <v>29175</v>
      </c>
      <c r="C1892" s="5">
        <v>1125</v>
      </c>
      <c r="D1892" s="5" t="e">
        <f>E1892-(#REF!+C1892)</f>
        <v>#REF!</v>
      </c>
      <c r="E1892" s="5">
        <v>38625</v>
      </c>
      <c r="K1892" s="22">
        <v>973</v>
      </c>
      <c r="L1892" s="6">
        <v>945.5</v>
      </c>
      <c r="M1892" s="125">
        <f t="shared" si="34"/>
        <v>-27.5</v>
      </c>
      <c r="N1892" s="18"/>
      <c r="O1892" s="132"/>
      <c r="P1892" s="175">
        <v>9260</v>
      </c>
      <c r="Q1892" s="25">
        <v>0.1208</v>
      </c>
      <c r="U1892" s="384">
        <v>0</v>
      </c>
      <c r="V1892" s="207"/>
      <c r="W1892" s="285">
        <f t="shared" si="33"/>
        <v>1118.6079999999999</v>
      </c>
    </row>
    <row r="1893" spans="1:23" ht="15" customHeight="1">
      <c r="A1893" s="3">
        <v>38530</v>
      </c>
      <c r="B1893" s="9">
        <v>29125</v>
      </c>
      <c r="C1893" s="5">
        <v>1100</v>
      </c>
      <c r="D1893" s="5" t="e">
        <f>E1893-(#REF!+C1893)</f>
        <v>#REF!</v>
      </c>
      <c r="E1893" s="5">
        <v>38500</v>
      </c>
      <c r="K1893" s="22">
        <v>965.5</v>
      </c>
      <c r="L1893" s="6">
        <v>940.5</v>
      </c>
      <c r="M1893" s="125">
        <f t="shared" si="34"/>
        <v>-25</v>
      </c>
      <c r="N1893" s="18"/>
      <c r="O1893" s="132"/>
      <c r="P1893" s="175">
        <v>9350</v>
      </c>
      <c r="Q1893" s="25">
        <v>0.1208</v>
      </c>
      <c r="U1893" s="384">
        <v>0</v>
      </c>
      <c r="V1893" s="207"/>
      <c r="W1893" s="285">
        <f t="shared" si="33"/>
        <v>1129.48</v>
      </c>
    </row>
    <row r="1894" spans="1:23" ht="15" customHeight="1">
      <c r="A1894" s="3">
        <v>38531</v>
      </c>
      <c r="B1894" s="9">
        <v>29025</v>
      </c>
      <c r="C1894" s="5">
        <v>1100</v>
      </c>
      <c r="D1894" s="5" t="e">
        <f>E1894-(#REF!+C1894)</f>
        <v>#REF!</v>
      </c>
      <c r="E1894" s="5">
        <v>38400</v>
      </c>
      <c r="K1894" s="22">
        <v>954</v>
      </c>
      <c r="L1894" s="6">
        <v>934</v>
      </c>
      <c r="M1894" s="125">
        <f t="shared" si="34"/>
        <v>-20</v>
      </c>
      <c r="N1894" s="18"/>
      <c r="O1894" s="132"/>
      <c r="P1894" s="175">
        <v>9250</v>
      </c>
      <c r="Q1894" s="25">
        <v>0.1208</v>
      </c>
      <c r="U1894" s="384">
        <v>0</v>
      </c>
      <c r="V1894" s="207"/>
      <c r="W1894" s="285">
        <f t="shared" si="33"/>
        <v>1117.4000000000001</v>
      </c>
    </row>
    <row r="1895" spans="1:23" ht="15" customHeight="1">
      <c r="A1895" s="3">
        <v>38532</v>
      </c>
      <c r="B1895" s="9">
        <v>28500</v>
      </c>
      <c r="C1895" s="5">
        <v>3600</v>
      </c>
      <c r="D1895" s="5" t="e">
        <f>E1895-(#REF!+C1895)</f>
        <v>#REF!</v>
      </c>
      <c r="E1895" s="5">
        <v>40375</v>
      </c>
      <c r="K1895" s="22">
        <v>947.5</v>
      </c>
      <c r="L1895" s="6">
        <v>928</v>
      </c>
      <c r="M1895" s="125">
        <f t="shared" si="34"/>
        <v>-19.5</v>
      </c>
      <c r="N1895" s="18"/>
      <c r="O1895" s="132"/>
      <c r="P1895" s="175">
        <v>9275</v>
      </c>
      <c r="Q1895" s="25">
        <v>0.1208</v>
      </c>
      <c r="U1895" s="384">
        <v>0</v>
      </c>
      <c r="V1895" s="207"/>
      <c r="W1895" s="285">
        <f t="shared" si="33"/>
        <v>1120.42</v>
      </c>
    </row>
    <row r="1896" spans="1:23" ht="15" customHeight="1" thickBot="1">
      <c r="A1896" s="11">
        <v>38533</v>
      </c>
      <c r="B1896" s="9">
        <v>27675</v>
      </c>
      <c r="C1896" s="13">
        <v>6100</v>
      </c>
      <c r="D1896" s="13" t="e">
        <f>E1896-(#REF!+C1896)</f>
        <v>#REF!</v>
      </c>
      <c r="E1896" s="13">
        <v>42050</v>
      </c>
      <c r="F1896" s="12"/>
      <c r="G1896" s="13"/>
      <c r="H1896" s="13"/>
      <c r="I1896" s="119"/>
      <c r="J1896" s="119"/>
      <c r="K1896" s="23">
        <v>927</v>
      </c>
      <c r="L1896" s="14">
        <v>921.5</v>
      </c>
      <c r="M1896" s="126">
        <f t="shared" si="34"/>
        <v>-5.5</v>
      </c>
      <c r="N1896" s="19">
        <f>AVERAGE(K1875:K1896)</f>
        <v>986.06818181818187</v>
      </c>
      <c r="O1896" s="133"/>
      <c r="P1896" s="176">
        <v>9275</v>
      </c>
      <c r="Q1896" s="27">
        <v>0.1208</v>
      </c>
      <c r="R1896" s="27"/>
      <c r="S1896" s="27"/>
      <c r="T1896" s="27"/>
      <c r="U1896" s="385">
        <v>0</v>
      </c>
      <c r="V1896" s="284">
        <f>AVERAGE(P1875:P1896)</f>
        <v>9297.5</v>
      </c>
      <c r="W1896" s="285">
        <f t="shared" si="33"/>
        <v>1120.42</v>
      </c>
    </row>
    <row r="1897" spans="1:23" ht="15" customHeight="1">
      <c r="A1897" s="3">
        <v>38534</v>
      </c>
      <c r="B1897" s="9">
        <v>29225</v>
      </c>
      <c r="C1897" s="5">
        <v>8100</v>
      </c>
      <c r="D1897" s="5" t="e">
        <f>E1897-(#REF!+C1897)</f>
        <v>#REF!</v>
      </c>
      <c r="E1897" s="5">
        <v>45600</v>
      </c>
      <c r="K1897" s="22">
        <v>870</v>
      </c>
      <c r="L1897" s="6">
        <v>869</v>
      </c>
      <c r="M1897" s="125">
        <f t="shared" si="34"/>
        <v>-1</v>
      </c>
      <c r="N1897" s="20"/>
      <c r="O1897" s="132"/>
      <c r="P1897" s="175">
        <v>9275</v>
      </c>
      <c r="Q1897" s="25">
        <v>0.1208</v>
      </c>
      <c r="U1897" s="384">
        <v>0</v>
      </c>
      <c r="V1897" s="207"/>
      <c r="W1897" s="285">
        <f t="shared" si="33"/>
        <v>1120.42</v>
      </c>
    </row>
    <row r="1898" spans="1:23" ht="15" customHeight="1">
      <c r="A1898" s="3">
        <v>38537</v>
      </c>
      <c r="B1898" s="9">
        <v>29725</v>
      </c>
      <c r="C1898" s="5">
        <v>10100</v>
      </c>
      <c r="D1898" s="5" t="e">
        <f>E1898-(#REF!+C1898)</f>
        <v>#REF!</v>
      </c>
      <c r="E1898" s="5">
        <v>48100</v>
      </c>
      <c r="K1898" s="22">
        <v>865.5</v>
      </c>
      <c r="L1898" s="6">
        <v>865</v>
      </c>
      <c r="M1898" s="125">
        <f t="shared" si="34"/>
        <v>-0.5</v>
      </c>
      <c r="N1898" s="18"/>
      <c r="O1898" s="132"/>
      <c r="P1898" s="175">
        <v>9225</v>
      </c>
      <c r="Q1898" s="25">
        <v>0.1208</v>
      </c>
      <c r="U1898" s="384">
        <v>0</v>
      </c>
      <c r="V1898" s="207"/>
      <c r="W1898" s="285">
        <f t="shared" si="33"/>
        <v>1114.3800000000001</v>
      </c>
    </row>
    <row r="1899" spans="1:23" ht="15" customHeight="1">
      <c r="A1899" s="3">
        <v>38538</v>
      </c>
      <c r="B1899" s="9">
        <v>29475</v>
      </c>
      <c r="C1899" s="5">
        <v>11100</v>
      </c>
      <c r="D1899" s="5" t="e">
        <f>E1899-(#REF!+C1899)</f>
        <v>#REF!</v>
      </c>
      <c r="E1899" s="5">
        <v>48850</v>
      </c>
      <c r="K1899" s="22">
        <v>864</v>
      </c>
      <c r="L1899" s="6">
        <v>860.5</v>
      </c>
      <c r="M1899" s="125">
        <f t="shared" si="34"/>
        <v>-3.5</v>
      </c>
      <c r="N1899" s="18"/>
      <c r="O1899" s="132"/>
      <c r="P1899" s="175">
        <v>9250</v>
      </c>
      <c r="Q1899" s="25">
        <v>0.1208</v>
      </c>
      <c r="U1899" s="384">
        <v>0</v>
      </c>
      <c r="V1899" s="207"/>
      <c r="W1899" s="285">
        <f t="shared" si="33"/>
        <v>1117.4000000000001</v>
      </c>
    </row>
    <row r="1900" spans="1:23" ht="15" customHeight="1">
      <c r="A1900" s="3">
        <v>38539</v>
      </c>
      <c r="B1900" s="9">
        <v>29975</v>
      </c>
      <c r="C1900" s="5">
        <v>11100</v>
      </c>
      <c r="D1900" s="5" t="e">
        <f>E1900-(#REF!+C1900)</f>
        <v>#REF!</v>
      </c>
      <c r="E1900" s="5">
        <v>49225</v>
      </c>
      <c r="K1900" s="22">
        <v>867</v>
      </c>
      <c r="L1900" s="6">
        <v>865</v>
      </c>
      <c r="M1900" s="125">
        <f t="shared" si="34"/>
        <v>-2</v>
      </c>
      <c r="N1900" s="18"/>
      <c r="O1900" s="132"/>
      <c r="P1900" s="175">
        <v>9200</v>
      </c>
      <c r="Q1900" s="25">
        <v>0.1208</v>
      </c>
      <c r="U1900" s="384">
        <v>0</v>
      </c>
      <c r="V1900" s="207"/>
      <c r="W1900" s="285">
        <f t="shared" si="33"/>
        <v>1111.3600000000001</v>
      </c>
    </row>
    <row r="1901" spans="1:23" ht="15" customHeight="1">
      <c r="A1901" s="3">
        <v>38540</v>
      </c>
      <c r="B1901" s="9">
        <v>30950</v>
      </c>
      <c r="C1901" s="5">
        <v>13100</v>
      </c>
      <c r="D1901" s="5" t="e">
        <f>E1901-(#REF!+C1901)</f>
        <v>#REF!</v>
      </c>
      <c r="E1901" s="5">
        <v>52200</v>
      </c>
      <c r="K1901" s="22">
        <v>871</v>
      </c>
      <c r="L1901" s="6">
        <v>868</v>
      </c>
      <c r="M1901" s="125">
        <f t="shared" si="34"/>
        <v>-3</v>
      </c>
      <c r="N1901" s="18"/>
      <c r="O1901" s="132"/>
      <c r="P1901" s="175">
        <v>9200</v>
      </c>
      <c r="Q1901" s="25">
        <v>0.1208</v>
      </c>
      <c r="U1901" s="384">
        <v>0</v>
      </c>
      <c r="V1901" s="207"/>
      <c r="W1901" s="285">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25">
        <f t="shared" si="34"/>
        <v>-7</v>
      </c>
      <c r="N1902" s="18"/>
      <c r="O1902" s="132"/>
      <c r="P1902" s="175">
        <v>9200</v>
      </c>
      <c r="Q1902" s="25">
        <v>0.1208</v>
      </c>
      <c r="U1902" s="384">
        <v>0</v>
      </c>
      <c r="V1902" s="207"/>
      <c r="W1902" s="285">
        <f t="shared" si="35"/>
        <v>1111.3600000000001</v>
      </c>
    </row>
    <row r="1903" spans="1:23" ht="15" customHeight="1">
      <c r="A1903" s="3">
        <v>38544</v>
      </c>
      <c r="B1903" s="9">
        <v>31975</v>
      </c>
      <c r="C1903" s="5">
        <v>13100</v>
      </c>
      <c r="D1903" s="5" t="e">
        <f>E1903-(#REF!+C1903)</f>
        <v>#REF!</v>
      </c>
      <c r="E1903" s="5">
        <v>53225</v>
      </c>
      <c r="K1903" s="22">
        <v>880</v>
      </c>
      <c r="L1903" s="6">
        <v>870.5</v>
      </c>
      <c r="M1903" s="125">
        <f t="shared" si="34"/>
        <v>-9.5</v>
      </c>
      <c r="N1903" s="18"/>
      <c r="O1903" s="132"/>
      <c r="P1903" s="175">
        <v>9200</v>
      </c>
      <c r="Q1903" s="25">
        <v>0.1208</v>
      </c>
      <c r="U1903" s="384">
        <v>0</v>
      </c>
      <c r="V1903" s="207"/>
      <c r="W1903" s="285">
        <f t="shared" si="35"/>
        <v>1111.3600000000001</v>
      </c>
    </row>
    <row r="1904" spans="1:23" ht="15" customHeight="1">
      <c r="A1904" s="3">
        <v>38545</v>
      </c>
      <c r="B1904" s="9">
        <v>31500</v>
      </c>
      <c r="C1904" s="5">
        <v>13100</v>
      </c>
      <c r="D1904" s="5" t="e">
        <f>E1904-(#REF!+C1904)</f>
        <v>#REF!</v>
      </c>
      <c r="E1904" s="5">
        <v>52725</v>
      </c>
      <c r="K1904" s="22">
        <v>877</v>
      </c>
      <c r="L1904" s="6">
        <v>866.5</v>
      </c>
      <c r="M1904" s="125">
        <f t="shared" si="34"/>
        <v>-10.5</v>
      </c>
      <c r="N1904" s="18"/>
      <c r="O1904" s="132"/>
      <c r="P1904" s="175">
        <v>9200</v>
      </c>
      <c r="Q1904" s="25">
        <v>0.1208</v>
      </c>
      <c r="U1904" s="384">
        <v>0</v>
      </c>
      <c r="V1904" s="207"/>
      <c r="W1904" s="285">
        <f t="shared" si="35"/>
        <v>1111.3600000000001</v>
      </c>
    </row>
    <row r="1905" spans="1:23" ht="15" customHeight="1">
      <c r="A1905" s="3">
        <v>38546</v>
      </c>
      <c r="B1905" s="9">
        <v>30625</v>
      </c>
      <c r="C1905" s="5">
        <v>15100</v>
      </c>
      <c r="D1905" s="5" t="e">
        <f>E1905-(#REF!+C1905)</f>
        <v>#REF!</v>
      </c>
      <c r="E1905" s="5">
        <v>53800</v>
      </c>
      <c r="K1905" s="22">
        <v>838.5</v>
      </c>
      <c r="L1905" s="6">
        <v>832.5</v>
      </c>
      <c r="M1905" s="125">
        <f t="shared" si="34"/>
        <v>-6</v>
      </c>
      <c r="N1905" s="18"/>
      <c r="O1905" s="132"/>
      <c r="P1905" s="175">
        <v>9200</v>
      </c>
      <c r="Q1905" s="25">
        <v>0.1208</v>
      </c>
      <c r="U1905" s="384">
        <v>0</v>
      </c>
      <c r="V1905" s="207"/>
      <c r="W1905" s="285">
        <f t="shared" si="35"/>
        <v>1111.3600000000001</v>
      </c>
    </row>
    <row r="1906" spans="1:23" ht="15" customHeight="1">
      <c r="A1906" s="3">
        <v>38547</v>
      </c>
      <c r="B1906" s="9">
        <v>32425</v>
      </c>
      <c r="C1906" s="5">
        <v>15100</v>
      </c>
      <c r="D1906" s="5" t="e">
        <f>E1906-(#REF!+C1906)</f>
        <v>#REF!</v>
      </c>
      <c r="E1906" s="5">
        <v>55575</v>
      </c>
      <c r="K1906" s="22">
        <v>836</v>
      </c>
      <c r="L1906" s="6">
        <v>832</v>
      </c>
      <c r="M1906" s="125">
        <f t="shared" si="34"/>
        <v>-4</v>
      </c>
      <c r="N1906" s="18"/>
      <c r="O1906" s="132"/>
      <c r="P1906" s="175">
        <v>9200</v>
      </c>
      <c r="Q1906" s="25">
        <v>0.1208</v>
      </c>
      <c r="U1906" s="384">
        <v>0</v>
      </c>
      <c r="V1906" s="207"/>
      <c r="W1906" s="285">
        <f t="shared" si="35"/>
        <v>1111.3600000000001</v>
      </c>
    </row>
    <row r="1907" spans="1:23" ht="15" customHeight="1">
      <c r="A1907" s="3">
        <v>38548</v>
      </c>
      <c r="B1907" s="9">
        <v>32175</v>
      </c>
      <c r="C1907" s="5">
        <v>17600</v>
      </c>
      <c r="D1907" s="5" t="e">
        <f>E1907-(#REF!+C1907)</f>
        <v>#REF!</v>
      </c>
      <c r="E1907" s="5">
        <v>57825</v>
      </c>
      <c r="K1907" s="22">
        <v>824</v>
      </c>
      <c r="L1907" s="6">
        <v>827</v>
      </c>
      <c r="M1907" s="125">
        <f t="shared" si="34"/>
        <v>3</v>
      </c>
      <c r="N1907" s="18"/>
      <c r="O1907" s="132"/>
      <c r="P1907" s="175">
        <v>9200</v>
      </c>
      <c r="Q1907" s="25">
        <v>0.1208</v>
      </c>
      <c r="U1907" s="384">
        <v>0</v>
      </c>
      <c r="V1907" s="207"/>
      <c r="W1907" s="285">
        <f t="shared" si="35"/>
        <v>1111.3600000000001</v>
      </c>
    </row>
    <row r="1908" spans="1:23" ht="15" customHeight="1">
      <c r="A1908" s="3">
        <v>38551</v>
      </c>
      <c r="B1908" s="9">
        <v>31825</v>
      </c>
      <c r="C1908" s="5">
        <v>17600</v>
      </c>
      <c r="D1908" s="5" t="e">
        <f>E1908-(#REF!+C1908)</f>
        <v>#REF!</v>
      </c>
      <c r="E1908" s="5">
        <v>57475</v>
      </c>
      <c r="K1908" s="22">
        <v>830</v>
      </c>
      <c r="L1908" s="6">
        <v>830</v>
      </c>
      <c r="M1908" s="125">
        <f t="shared" si="34"/>
        <v>0</v>
      </c>
      <c r="N1908" s="18"/>
      <c r="O1908" s="132"/>
      <c r="P1908" s="175">
        <v>9175</v>
      </c>
      <c r="Q1908" s="25">
        <v>0.1208</v>
      </c>
      <c r="U1908" s="384">
        <v>0</v>
      </c>
      <c r="V1908" s="207"/>
      <c r="W1908" s="285">
        <f t="shared" si="35"/>
        <v>1108.3400000000001</v>
      </c>
    </row>
    <row r="1909" spans="1:23" ht="15" customHeight="1">
      <c r="A1909" s="3">
        <v>38552</v>
      </c>
      <c r="B1909" s="9">
        <v>31575</v>
      </c>
      <c r="C1909" s="5">
        <v>17575</v>
      </c>
      <c r="D1909" s="5" t="e">
        <f>E1909-(#REF!+C1909)</f>
        <v>#REF!</v>
      </c>
      <c r="E1909" s="5">
        <v>57200</v>
      </c>
      <c r="K1909" s="22">
        <v>836</v>
      </c>
      <c r="L1909" s="6">
        <v>832</v>
      </c>
      <c r="M1909" s="125">
        <f t="shared" si="34"/>
        <v>-4</v>
      </c>
      <c r="N1909" s="18"/>
      <c r="O1909" s="132"/>
      <c r="P1909" s="175">
        <v>9175</v>
      </c>
      <c r="Q1909" s="25">
        <v>0.1208</v>
      </c>
      <c r="U1909" s="384">
        <v>0</v>
      </c>
      <c r="V1909" s="207"/>
      <c r="W1909" s="285">
        <f t="shared" si="35"/>
        <v>1108.3400000000001</v>
      </c>
    </row>
    <row r="1910" spans="1:23" ht="15" customHeight="1">
      <c r="A1910" s="3">
        <v>38553</v>
      </c>
      <c r="B1910" s="9">
        <v>33100</v>
      </c>
      <c r="C1910" s="5">
        <v>18675</v>
      </c>
      <c r="D1910" s="5" t="e">
        <f>E1910-(#REF!+C1910)</f>
        <v>#REF!</v>
      </c>
      <c r="E1910" s="5">
        <v>59775</v>
      </c>
      <c r="K1910" s="22">
        <v>840</v>
      </c>
      <c r="L1910" s="6">
        <v>837</v>
      </c>
      <c r="M1910" s="125">
        <f t="shared" si="34"/>
        <v>-3</v>
      </c>
      <c r="N1910" s="18"/>
      <c r="O1910" s="132"/>
      <c r="P1910" s="175">
        <v>9175</v>
      </c>
      <c r="Q1910" s="25">
        <v>0.1208</v>
      </c>
      <c r="U1910" s="384">
        <v>0</v>
      </c>
      <c r="V1910" s="207"/>
      <c r="W1910" s="285">
        <f t="shared" si="35"/>
        <v>1108.3400000000001</v>
      </c>
    </row>
    <row r="1911" spans="1:23" ht="15" customHeight="1">
      <c r="A1911" s="3">
        <v>38554</v>
      </c>
      <c r="B1911" s="9">
        <v>33675</v>
      </c>
      <c r="C1911" s="5">
        <v>18650</v>
      </c>
      <c r="D1911" s="5" t="e">
        <f>E1911-(#REF!+C1911)</f>
        <v>#REF!</v>
      </c>
      <c r="E1911" s="5">
        <v>60250</v>
      </c>
      <c r="K1911" s="22">
        <v>857</v>
      </c>
      <c r="L1911" s="6">
        <v>847</v>
      </c>
      <c r="M1911" s="125">
        <f t="shared" ref="M1911:M1974" si="36">L1911-K1911</f>
        <v>-10</v>
      </c>
      <c r="N1911" s="18"/>
      <c r="O1911" s="132"/>
      <c r="P1911" s="175">
        <v>9175</v>
      </c>
      <c r="Q1911" s="25">
        <v>0.1208</v>
      </c>
      <c r="U1911" s="384">
        <v>0</v>
      </c>
      <c r="V1911" s="207"/>
      <c r="W1911" s="285">
        <f t="shared" si="35"/>
        <v>1108.3400000000001</v>
      </c>
    </row>
    <row r="1912" spans="1:23" ht="15" customHeight="1">
      <c r="A1912" s="3">
        <v>38555</v>
      </c>
      <c r="B1912" s="9">
        <v>33575</v>
      </c>
      <c r="C1912" s="5">
        <v>18625</v>
      </c>
      <c r="D1912" s="5" t="e">
        <f>E1912-(#REF!+C1912)</f>
        <v>#REF!</v>
      </c>
      <c r="E1912" s="5">
        <v>60100</v>
      </c>
      <c r="K1912" s="22">
        <v>834.5</v>
      </c>
      <c r="L1912" s="6">
        <v>823</v>
      </c>
      <c r="M1912" s="125">
        <f t="shared" si="36"/>
        <v>-11.5</v>
      </c>
      <c r="N1912" s="18"/>
      <c r="O1912" s="132"/>
      <c r="P1912" s="175">
        <v>9150</v>
      </c>
      <c r="Q1912" s="25">
        <v>0.12330000000000001</v>
      </c>
      <c r="U1912" s="384">
        <v>0</v>
      </c>
      <c r="V1912" s="207"/>
      <c r="W1912" s="285">
        <f t="shared" si="35"/>
        <v>1128.1950000000002</v>
      </c>
    </row>
    <row r="1913" spans="1:23" ht="15" customHeight="1">
      <c r="A1913" s="3">
        <v>38558</v>
      </c>
      <c r="B1913" s="9">
        <v>34675</v>
      </c>
      <c r="C1913" s="5">
        <v>18625</v>
      </c>
      <c r="D1913" s="5" t="e">
        <f>E1913-(#REF!+C1913)</f>
        <v>#REF!</v>
      </c>
      <c r="E1913" s="5">
        <v>61125</v>
      </c>
      <c r="K1913" s="22">
        <v>845.5</v>
      </c>
      <c r="L1913" s="6">
        <v>823</v>
      </c>
      <c r="M1913" s="125">
        <f t="shared" si="36"/>
        <v>-22.5</v>
      </c>
      <c r="N1913" s="18"/>
      <c r="O1913" s="132"/>
      <c r="P1913" s="175">
        <v>9165</v>
      </c>
      <c r="Q1913" s="25">
        <v>0.12330000000000001</v>
      </c>
      <c r="U1913" s="384">
        <v>0</v>
      </c>
      <c r="V1913" s="207"/>
      <c r="W1913" s="285">
        <f t="shared" si="35"/>
        <v>1130.0445</v>
      </c>
    </row>
    <row r="1914" spans="1:23" ht="15" customHeight="1">
      <c r="A1914" s="3">
        <v>38559</v>
      </c>
      <c r="B1914" s="9">
        <v>34600</v>
      </c>
      <c r="C1914" s="5">
        <v>18625</v>
      </c>
      <c r="D1914" s="5" t="e">
        <f>E1914-(#REF!+C1914)</f>
        <v>#REF!</v>
      </c>
      <c r="E1914" s="5">
        <v>61050</v>
      </c>
      <c r="K1914" s="22">
        <v>844</v>
      </c>
      <c r="L1914" s="6">
        <v>822</v>
      </c>
      <c r="M1914" s="125">
        <f t="shared" si="36"/>
        <v>-22</v>
      </c>
      <c r="N1914" s="18"/>
      <c r="O1914" s="132"/>
      <c r="P1914" s="175">
        <v>9165</v>
      </c>
      <c r="Q1914" s="25">
        <v>0.12330000000000001</v>
      </c>
      <c r="U1914" s="384">
        <v>0</v>
      </c>
      <c r="V1914" s="207"/>
      <c r="W1914" s="285">
        <f t="shared" si="35"/>
        <v>1130.0445</v>
      </c>
    </row>
    <row r="1915" spans="1:23" ht="15" customHeight="1">
      <c r="A1915" s="3">
        <v>38560</v>
      </c>
      <c r="B1915" s="9">
        <v>34250</v>
      </c>
      <c r="C1915" s="5">
        <v>18625</v>
      </c>
      <c r="D1915" s="5" t="e">
        <f>E1915-(#REF!+C1915)</f>
        <v>#REF!</v>
      </c>
      <c r="E1915" s="5">
        <v>60700</v>
      </c>
      <c r="K1915" s="22">
        <v>852</v>
      </c>
      <c r="L1915" s="6">
        <v>835</v>
      </c>
      <c r="M1915" s="125">
        <f t="shared" si="36"/>
        <v>-17</v>
      </c>
      <c r="N1915" s="18"/>
      <c r="O1915" s="132"/>
      <c r="P1915" s="175">
        <v>9160</v>
      </c>
      <c r="Q1915" s="25">
        <v>0.12330000000000001</v>
      </c>
      <c r="U1915" s="384">
        <v>0</v>
      </c>
      <c r="V1915" s="207"/>
      <c r="W1915" s="285">
        <f t="shared" si="35"/>
        <v>1129.4280000000001</v>
      </c>
    </row>
    <row r="1916" spans="1:23" ht="15" customHeight="1">
      <c r="A1916" s="3">
        <v>38561</v>
      </c>
      <c r="B1916" s="9">
        <v>33875</v>
      </c>
      <c r="C1916" s="5">
        <v>18575</v>
      </c>
      <c r="D1916" s="5" t="e">
        <f>E1916-(#REF!+C1916)</f>
        <v>#REF!</v>
      </c>
      <c r="E1916" s="5">
        <v>60150</v>
      </c>
      <c r="K1916" s="22">
        <v>855</v>
      </c>
      <c r="L1916" s="6">
        <v>831.5</v>
      </c>
      <c r="M1916" s="125">
        <f t="shared" si="36"/>
        <v>-23.5</v>
      </c>
      <c r="N1916" s="18"/>
      <c r="O1916" s="132"/>
      <c r="P1916" s="175">
        <v>9125</v>
      </c>
      <c r="Q1916" s="25">
        <v>0.12330000000000001</v>
      </c>
      <c r="U1916" s="384">
        <v>0</v>
      </c>
      <c r="V1916" s="207"/>
      <c r="W1916" s="285">
        <f t="shared" si="35"/>
        <v>1125.1125</v>
      </c>
    </row>
    <row r="1917" spans="1:23" ht="15" customHeight="1" thickBot="1">
      <c r="A1917" s="11">
        <v>38562</v>
      </c>
      <c r="B1917" s="9">
        <v>38500</v>
      </c>
      <c r="C1917" s="13">
        <v>18475</v>
      </c>
      <c r="D1917" s="13" t="e">
        <f>E1917-(#REF!+C1917)</f>
        <v>#REF!</v>
      </c>
      <c r="E1917" s="13">
        <v>64650</v>
      </c>
      <c r="F1917" s="12"/>
      <c r="G1917" s="13"/>
      <c r="H1917" s="13"/>
      <c r="I1917" s="119"/>
      <c r="J1917" s="119"/>
      <c r="K1917" s="23">
        <v>871.5</v>
      </c>
      <c r="L1917" s="14">
        <v>852</v>
      </c>
      <c r="M1917" s="126">
        <f t="shared" si="36"/>
        <v>-19.5</v>
      </c>
      <c r="N1917" s="19">
        <f>AVERAGE(K1897:K1917)</f>
        <v>854.47619047619048</v>
      </c>
      <c r="O1917" s="133"/>
      <c r="P1917" s="176">
        <v>9150</v>
      </c>
      <c r="Q1917" s="27">
        <v>0.12330000000000001</v>
      </c>
      <c r="R1917" s="27"/>
      <c r="S1917" s="27"/>
      <c r="T1917" s="27"/>
      <c r="U1917" s="385">
        <v>0</v>
      </c>
      <c r="V1917" s="284">
        <f>AVERAGE(P1897:P1917)</f>
        <v>9188.8095238095229</v>
      </c>
      <c r="W1917" s="285">
        <f t="shared" si="35"/>
        <v>1128.1950000000002</v>
      </c>
    </row>
    <row r="1918" spans="1:23" ht="15" customHeight="1">
      <c r="A1918" s="3">
        <v>38565</v>
      </c>
      <c r="B1918" s="9">
        <v>38200</v>
      </c>
      <c r="C1918" s="5">
        <v>18550</v>
      </c>
      <c r="D1918" s="5" t="e">
        <f>E1918-(#REF!+C1918)</f>
        <v>#REF!</v>
      </c>
      <c r="E1918" s="5">
        <v>64425</v>
      </c>
      <c r="K1918" s="22">
        <v>872</v>
      </c>
      <c r="L1918" s="6">
        <v>856</v>
      </c>
      <c r="M1918" s="125">
        <f t="shared" si="36"/>
        <v>-16</v>
      </c>
      <c r="N1918" s="18"/>
      <c r="O1918" s="132"/>
      <c r="P1918" s="175">
        <v>9150</v>
      </c>
      <c r="Q1918" s="25">
        <v>0.1234</v>
      </c>
      <c r="U1918" s="384">
        <v>0</v>
      </c>
      <c r="V1918" s="207"/>
      <c r="W1918" s="285">
        <f t="shared" si="35"/>
        <v>1129.1099999999999</v>
      </c>
    </row>
    <row r="1919" spans="1:23" ht="15" customHeight="1">
      <c r="A1919" s="3">
        <v>38566</v>
      </c>
      <c r="B1919" s="9">
        <v>38000</v>
      </c>
      <c r="C1919" s="5">
        <v>18350</v>
      </c>
      <c r="D1919" s="5" t="e">
        <f>E1919-(#REF!+C1919)</f>
        <v>#REF!</v>
      </c>
      <c r="E1919" s="5">
        <v>64025</v>
      </c>
      <c r="K1919" s="22">
        <v>889</v>
      </c>
      <c r="L1919" s="6">
        <v>875</v>
      </c>
      <c r="M1919" s="125">
        <f t="shared" si="36"/>
        <v>-14</v>
      </c>
      <c r="N1919" s="18"/>
      <c r="O1919" s="132"/>
      <c r="P1919" s="175">
        <v>9150</v>
      </c>
      <c r="Q1919" s="25">
        <v>0.1234</v>
      </c>
      <c r="U1919" s="384">
        <v>0</v>
      </c>
      <c r="V1919" s="207"/>
      <c r="W1919" s="285">
        <f t="shared" si="35"/>
        <v>1129.1099999999999</v>
      </c>
    </row>
    <row r="1920" spans="1:23" ht="15" customHeight="1">
      <c r="A1920" s="3">
        <v>38567</v>
      </c>
      <c r="B1920" s="9">
        <v>37950</v>
      </c>
      <c r="C1920" s="5">
        <v>18325</v>
      </c>
      <c r="D1920" s="5" t="e">
        <f>E1920-(#REF!+C1920)</f>
        <v>#REF!</v>
      </c>
      <c r="E1920" s="5">
        <v>63950</v>
      </c>
      <c r="K1920" s="22">
        <v>884</v>
      </c>
      <c r="L1920" s="6">
        <v>869</v>
      </c>
      <c r="M1920" s="125">
        <f t="shared" si="36"/>
        <v>-15</v>
      </c>
      <c r="N1920" s="18"/>
      <c r="O1920" s="132"/>
      <c r="P1920" s="175">
        <v>9200</v>
      </c>
      <c r="Q1920" s="25">
        <v>0.1234</v>
      </c>
      <c r="U1920" s="384">
        <v>0</v>
      </c>
      <c r="V1920" s="207"/>
      <c r="W1920" s="285">
        <f t="shared" si="35"/>
        <v>1135.28</v>
      </c>
    </row>
    <row r="1921" spans="1:23" ht="15" customHeight="1">
      <c r="A1921" s="3">
        <v>38568</v>
      </c>
      <c r="B1921" s="9">
        <v>38150</v>
      </c>
      <c r="C1921" s="5">
        <v>18150</v>
      </c>
      <c r="D1921" s="5" t="e">
        <f>E1921-(#REF!+C1921)</f>
        <v>#REF!</v>
      </c>
      <c r="E1921" s="5">
        <v>63950</v>
      </c>
      <c r="K1921" s="22">
        <v>884</v>
      </c>
      <c r="L1921" s="6">
        <v>864</v>
      </c>
      <c r="M1921" s="125">
        <f t="shared" si="36"/>
        <v>-20</v>
      </c>
      <c r="N1921" s="18"/>
      <c r="O1921" s="132"/>
      <c r="P1921" s="175">
        <v>9175</v>
      </c>
      <c r="Q1921" s="25">
        <v>0.1234</v>
      </c>
      <c r="U1921" s="384">
        <v>0</v>
      </c>
      <c r="V1921" s="207"/>
      <c r="W1921" s="285">
        <f t="shared" si="35"/>
        <v>1132.1949999999999</v>
      </c>
    </row>
    <row r="1922" spans="1:23" ht="15" customHeight="1">
      <c r="A1922" s="3">
        <v>38569</v>
      </c>
      <c r="B1922" s="9">
        <v>37775</v>
      </c>
      <c r="C1922" s="5">
        <v>17900</v>
      </c>
      <c r="D1922" s="5" t="e">
        <f>E1922-(#REF!+C1922)</f>
        <v>#REF!</v>
      </c>
      <c r="E1922" s="5">
        <v>63325</v>
      </c>
      <c r="K1922" s="22">
        <v>878.5</v>
      </c>
      <c r="L1922" s="6">
        <v>863.5</v>
      </c>
      <c r="M1922" s="125">
        <f t="shared" si="36"/>
        <v>-15</v>
      </c>
      <c r="N1922" s="18"/>
      <c r="O1922" s="132"/>
      <c r="P1922" s="175">
        <v>9175</v>
      </c>
      <c r="Q1922" s="25">
        <v>0.1234</v>
      </c>
      <c r="U1922" s="384">
        <v>0</v>
      </c>
      <c r="V1922" s="207"/>
      <c r="W1922" s="285">
        <f t="shared" si="35"/>
        <v>1132.1949999999999</v>
      </c>
    </row>
    <row r="1923" spans="1:23" ht="15" customHeight="1">
      <c r="A1923" s="3">
        <v>38572</v>
      </c>
      <c r="B1923" s="9">
        <v>37000</v>
      </c>
      <c r="C1923" s="5">
        <v>17600</v>
      </c>
      <c r="D1923" s="5" t="e">
        <f>E1923-(#REF!+C1923)</f>
        <v>#REF!</v>
      </c>
      <c r="E1923" s="5">
        <v>62250</v>
      </c>
      <c r="K1923" s="22">
        <v>855.5</v>
      </c>
      <c r="L1923" s="6">
        <v>840</v>
      </c>
      <c r="M1923" s="125">
        <f t="shared" si="36"/>
        <v>-15.5</v>
      </c>
      <c r="N1923" s="18"/>
      <c r="O1923" s="132"/>
      <c r="P1923" s="175">
        <v>9200</v>
      </c>
      <c r="Q1923" s="25">
        <v>0.1234</v>
      </c>
      <c r="U1923" s="384">
        <v>0</v>
      </c>
      <c r="V1923" s="207"/>
      <c r="W1923" s="285">
        <f t="shared" si="35"/>
        <v>1135.28</v>
      </c>
    </row>
    <row r="1924" spans="1:23" ht="15" customHeight="1">
      <c r="A1924" s="3">
        <v>38573</v>
      </c>
      <c r="B1924" s="9">
        <v>37200</v>
      </c>
      <c r="C1924" s="5">
        <v>17275</v>
      </c>
      <c r="D1924" s="5" t="e">
        <f>E1924-(#REF!+C1924)</f>
        <v>#REF!</v>
      </c>
      <c r="E1924" s="5">
        <v>62125</v>
      </c>
      <c r="K1924" s="22">
        <v>844</v>
      </c>
      <c r="L1924" s="6">
        <v>827.5</v>
      </c>
      <c r="M1924" s="125">
        <f t="shared" si="36"/>
        <v>-16.5</v>
      </c>
      <c r="N1924" s="18"/>
      <c r="O1924" s="132"/>
      <c r="P1924" s="175">
        <v>9150</v>
      </c>
      <c r="Q1924" s="25">
        <v>0.12330000000000001</v>
      </c>
      <c r="U1924" s="384">
        <v>0</v>
      </c>
      <c r="V1924" s="207"/>
      <c r="W1924" s="285">
        <f t="shared" si="35"/>
        <v>1128.1950000000002</v>
      </c>
    </row>
    <row r="1925" spans="1:23" ht="15" customHeight="1">
      <c r="A1925" s="3">
        <v>38574</v>
      </c>
      <c r="B1925" s="9">
        <v>37200</v>
      </c>
      <c r="C1925" s="5">
        <v>17075</v>
      </c>
      <c r="D1925" s="5" t="e">
        <f>E1925-(#REF!+C1925)</f>
        <v>#REF!</v>
      </c>
      <c r="E1925" s="5">
        <v>61925</v>
      </c>
      <c r="K1925" s="22">
        <v>874</v>
      </c>
      <c r="L1925" s="6">
        <v>851.5</v>
      </c>
      <c r="M1925" s="125">
        <f t="shared" si="36"/>
        <v>-22.5</v>
      </c>
      <c r="N1925" s="18"/>
      <c r="O1925" s="132"/>
      <c r="P1925" s="175">
        <v>9175</v>
      </c>
      <c r="Q1925" s="25">
        <v>0.12330000000000001</v>
      </c>
      <c r="U1925" s="384">
        <v>0</v>
      </c>
      <c r="V1925" s="207"/>
      <c r="W1925" s="285">
        <f t="shared" si="35"/>
        <v>1131.2775000000001</v>
      </c>
    </row>
    <row r="1926" spans="1:23" ht="15" customHeight="1">
      <c r="A1926" s="3">
        <v>38575</v>
      </c>
      <c r="B1926" s="9">
        <v>36300</v>
      </c>
      <c r="C1926" s="5">
        <v>17000</v>
      </c>
      <c r="D1926" s="5" t="e">
        <f>E1926-(#REF!+C1926)</f>
        <v>#REF!</v>
      </c>
      <c r="E1926" s="5">
        <v>60950</v>
      </c>
      <c r="K1926" s="22">
        <v>867.5</v>
      </c>
      <c r="L1926" s="6">
        <v>847</v>
      </c>
      <c r="M1926" s="125">
        <f t="shared" si="36"/>
        <v>-20.5</v>
      </c>
      <c r="N1926" s="18"/>
      <c r="O1926" s="132"/>
      <c r="P1926" s="175">
        <v>9250</v>
      </c>
      <c r="Q1926" s="25">
        <v>0.1234</v>
      </c>
      <c r="U1926" s="384">
        <v>0</v>
      </c>
      <c r="V1926" s="207"/>
      <c r="W1926" s="285">
        <f t="shared" si="35"/>
        <v>1141.45</v>
      </c>
    </row>
    <row r="1927" spans="1:23" ht="15" customHeight="1">
      <c r="A1927" s="3">
        <v>38576</v>
      </c>
      <c r="B1927" s="9">
        <v>36550</v>
      </c>
      <c r="C1927" s="5">
        <v>16875</v>
      </c>
      <c r="D1927" s="5" t="e">
        <f>E1927-(#REF!+C1927)</f>
        <v>#REF!</v>
      </c>
      <c r="E1927" s="5">
        <v>60950</v>
      </c>
      <c r="K1927" s="22">
        <v>914</v>
      </c>
      <c r="L1927" s="6">
        <v>888</v>
      </c>
      <c r="M1927" s="125">
        <f t="shared" si="36"/>
        <v>-26</v>
      </c>
      <c r="N1927" s="18"/>
      <c r="O1927" s="132"/>
      <c r="P1927" s="175">
        <v>9175</v>
      </c>
      <c r="Q1927" s="25">
        <v>0.1234</v>
      </c>
      <c r="U1927" s="384">
        <v>0</v>
      </c>
      <c r="V1927" s="207"/>
      <c r="W1927" s="285">
        <f t="shared" si="35"/>
        <v>1132.1949999999999</v>
      </c>
    </row>
    <row r="1928" spans="1:23" ht="15" customHeight="1">
      <c r="A1928" s="3">
        <v>38579</v>
      </c>
      <c r="B1928" s="9">
        <v>36275</v>
      </c>
      <c r="C1928" s="5">
        <v>16750</v>
      </c>
      <c r="D1928" s="5" t="e">
        <f>E1928-(#REF!+C1928)</f>
        <v>#REF!</v>
      </c>
      <c r="E1928" s="5">
        <v>60675</v>
      </c>
      <c r="K1928" s="22">
        <v>903</v>
      </c>
      <c r="L1928" s="6">
        <v>880</v>
      </c>
      <c r="M1928" s="125">
        <f t="shared" si="36"/>
        <v>-23</v>
      </c>
      <c r="N1928" s="18"/>
      <c r="O1928" s="132"/>
      <c r="P1928" s="175">
        <v>9250</v>
      </c>
      <c r="Q1928" s="25">
        <v>0.1234</v>
      </c>
      <c r="U1928" s="384">
        <v>0</v>
      </c>
      <c r="V1928" s="207"/>
      <c r="W1928" s="285">
        <f t="shared" si="35"/>
        <v>1141.45</v>
      </c>
    </row>
    <row r="1929" spans="1:23" ht="15" customHeight="1">
      <c r="A1929" s="3">
        <v>38580</v>
      </c>
      <c r="B1929" s="9">
        <v>35900</v>
      </c>
      <c r="C1929" s="5">
        <v>16700</v>
      </c>
      <c r="D1929" s="5" t="e">
        <f>E1929-(#REF!+C1929)</f>
        <v>#REF!</v>
      </c>
      <c r="E1929" s="5">
        <v>60250</v>
      </c>
      <c r="K1929" s="22">
        <v>889</v>
      </c>
      <c r="L1929" s="6">
        <v>868</v>
      </c>
      <c r="M1929" s="125">
        <f t="shared" si="36"/>
        <v>-21</v>
      </c>
      <c r="N1929" s="18"/>
      <c r="O1929" s="132"/>
      <c r="P1929" s="175">
        <v>9250</v>
      </c>
      <c r="Q1929" s="25">
        <v>0.1234</v>
      </c>
      <c r="U1929" s="384">
        <v>0</v>
      </c>
      <c r="V1929" s="207"/>
      <c r="W1929" s="285">
        <f t="shared" si="35"/>
        <v>1141.45</v>
      </c>
    </row>
    <row r="1930" spans="1:23" ht="15" customHeight="1">
      <c r="A1930" s="3">
        <v>38581</v>
      </c>
      <c r="B1930" s="9">
        <v>35275</v>
      </c>
      <c r="C1930" s="5">
        <v>16625</v>
      </c>
      <c r="D1930" s="5" t="e">
        <f>E1930-(#REF!+C1930)</f>
        <v>#REF!</v>
      </c>
      <c r="E1930" s="5">
        <v>59550</v>
      </c>
      <c r="K1930" s="22">
        <v>870</v>
      </c>
      <c r="L1930" s="6">
        <v>855</v>
      </c>
      <c r="M1930" s="125">
        <f t="shared" si="36"/>
        <v>-15</v>
      </c>
      <c r="N1930" s="18"/>
      <c r="O1930" s="132"/>
      <c r="P1930" s="175">
        <v>9225</v>
      </c>
      <c r="Q1930" s="25">
        <v>0.1234</v>
      </c>
      <c r="U1930" s="384">
        <v>0</v>
      </c>
      <c r="V1930" s="207"/>
      <c r="W1930" s="285">
        <f t="shared" si="35"/>
        <v>1138.365</v>
      </c>
    </row>
    <row r="1931" spans="1:23" ht="15" customHeight="1">
      <c r="A1931" s="3">
        <v>38582</v>
      </c>
      <c r="B1931" s="9">
        <v>35075</v>
      </c>
      <c r="C1931" s="5">
        <v>16525</v>
      </c>
      <c r="D1931" s="5" t="e">
        <f>E1931-(#REF!+C1931)</f>
        <v>#REF!</v>
      </c>
      <c r="E1931" s="5">
        <v>59250</v>
      </c>
      <c r="K1931" s="22">
        <v>875</v>
      </c>
      <c r="L1931" s="6">
        <v>850</v>
      </c>
      <c r="M1931" s="125">
        <f t="shared" si="36"/>
        <v>-25</v>
      </c>
      <c r="N1931" s="18"/>
      <c r="O1931" s="132"/>
      <c r="P1931" s="175">
        <v>9225</v>
      </c>
      <c r="Q1931" s="25">
        <v>0.1234</v>
      </c>
      <c r="U1931" s="384">
        <v>0</v>
      </c>
      <c r="V1931" s="207"/>
      <c r="W1931" s="285">
        <f t="shared" si="35"/>
        <v>1138.365</v>
      </c>
    </row>
    <row r="1932" spans="1:23" ht="15" customHeight="1">
      <c r="A1932" s="3">
        <v>38583</v>
      </c>
      <c r="B1932" s="9">
        <v>34675</v>
      </c>
      <c r="C1932" s="5">
        <v>16325</v>
      </c>
      <c r="D1932" s="5" t="e">
        <f>E1932-(#REF!+C1932)</f>
        <v>#REF!</v>
      </c>
      <c r="E1932" s="5">
        <v>58650</v>
      </c>
      <c r="K1932" s="22">
        <v>878.5</v>
      </c>
      <c r="L1932" s="6">
        <v>853</v>
      </c>
      <c r="M1932" s="125">
        <f t="shared" si="36"/>
        <v>-25.5</v>
      </c>
      <c r="N1932" s="18"/>
      <c r="O1932" s="132"/>
      <c r="P1932" s="175">
        <v>9225</v>
      </c>
      <c r="Q1932" s="25">
        <v>0.1234</v>
      </c>
      <c r="U1932" s="384">
        <v>0</v>
      </c>
      <c r="V1932" s="207"/>
      <c r="W1932" s="285">
        <f t="shared" si="35"/>
        <v>1138.365</v>
      </c>
    </row>
    <row r="1933" spans="1:23" ht="15" customHeight="1">
      <c r="A1933" s="3">
        <v>38586</v>
      </c>
      <c r="B1933" s="9">
        <v>34500</v>
      </c>
      <c r="C1933" s="5">
        <v>16125</v>
      </c>
      <c r="D1933" s="5" t="e">
        <f>E1933-(#REF!+C1933)</f>
        <v>#REF!</v>
      </c>
      <c r="E1933" s="5">
        <v>58275</v>
      </c>
      <c r="K1933" s="22">
        <v>905</v>
      </c>
      <c r="L1933" s="6">
        <v>867</v>
      </c>
      <c r="M1933" s="125">
        <f t="shared" si="36"/>
        <v>-38</v>
      </c>
      <c r="N1933" s="18"/>
      <c r="O1933" s="132"/>
      <c r="P1933" s="175">
        <v>9225</v>
      </c>
      <c r="Q1933" s="25">
        <v>0.1234</v>
      </c>
      <c r="U1933" s="384">
        <v>0</v>
      </c>
      <c r="V1933" s="207"/>
      <c r="W1933" s="285">
        <f t="shared" si="35"/>
        <v>1138.365</v>
      </c>
    </row>
    <row r="1934" spans="1:23" ht="15" customHeight="1">
      <c r="A1934" s="3">
        <v>38587</v>
      </c>
      <c r="B1934" s="9">
        <v>33875</v>
      </c>
      <c r="C1934" s="5">
        <v>16050</v>
      </c>
      <c r="D1934" s="5" t="e">
        <f>E1934-(#REF!+C1934)</f>
        <v>#REF!</v>
      </c>
      <c r="E1934" s="5">
        <v>57575</v>
      </c>
      <c r="K1934" s="22">
        <v>908.5</v>
      </c>
      <c r="L1934" s="6">
        <v>869</v>
      </c>
      <c r="M1934" s="125">
        <f t="shared" si="36"/>
        <v>-39.5</v>
      </c>
      <c r="N1934" s="18"/>
      <c r="O1934" s="132"/>
      <c r="P1934" s="175">
        <v>9225</v>
      </c>
      <c r="Q1934" s="25">
        <v>0.1234</v>
      </c>
      <c r="U1934" s="384">
        <v>0</v>
      </c>
      <c r="V1934" s="207"/>
      <c r="W1934" s="285">
        <f t="shared" si="35"/>
        <v>1138.365</v>
      </c>
    </row>
    <row r="1935" spans="1:23" ht="15" customHeight="1">
      <c r="A1935" s="3">
        <v>38588</v>
      </c>
      <c r="B1935" s="9">
        <v>33475</v>
      </c>
      <c r="C1935" s="5">
        <v>15950</v>
      </c>
      <c r="D1935" s="5" t="e">
        <f>E1935-(#REF!+C1935)</f>
        <v>#REF!</v>
      </c>
      <c r="E1935" s="5">
        <v>56975</v>
      </c>
      <c r="K1935" s="22">
        <v>913</v>
      </c>
      <c r="L1935" s="6">
        <v>873</v>
      </c>
      <c r="M1935" s="125">
        <f t="shared" si="36"/>
        <v>-40</v>
      </c>
      <c r="N1935" s="18"/>
      <c r="O1935" s="132"/>
      <c r="P1935" s="175">
        <v>9225</v>
      </c>
      <c r="Q1935" s="25">
        <v>0.1234</v>
      </c>
      <c r="U1935" s="384">
        <v>0</v>
      </c>
      <c r="V1935" s="207"/>
      <c r="W1935" s="285">
        <f t="shared" si="35"/>
        <v>1138.365</v>
      </c>
    </row>
    <row r="1936" spans="1:23" ht="15" customHeight="1">
      <c r="A1936" s="3">
        <v>38589</v>
      </c>
      <c r="B1936" s="9">
        <v>32875</v>
      </c>
      <c r="C1936" s="5">
        <v>15800</v>
      </c>
      <c r="D1936" s="5" t="e">
        <f>E1936-(#REF!+C1936)</f>
        <v>#REF!</v>
      </c>
      <c r="E1936" s="5">
        <v>56225</v>
      </c>
      <c r="K1936" s="22">
        <v>895</v>
      </c>
      <c r="L1936" s="6">
        <v>862</v>
      </c>
      <c r="M1936" s="125">
        <f t="shared" si="36"/>
        <v>-33</v>
      </c>
      <c r="N1936" s="18"/>
      <c r="O1936" s="135"/>
      <c r="P1936" s="175">
        <v>9200</v>
      </c>
      <c r="Q1936" s="25">
        <v>0.1235</v>
      </c>
      <c r="U1936" s="384">
        <v>0</v>
      </c>
      <c r="V1936" s="207"/>
      <c r="W1936" s="285">
        <f t="shared" si="35"/>
        <v>1136.2</v>
      </c>
    </row>
    <row r="1937" spans="1:23" ht="15" customHeight="1">
      <c r="A1937" s="3">
        <v>38590</v>
      </c>
      <c r="B1937" s="9">
        <v>32175</v>
      </c>
      <c r="C1937" s="5">
        <v>15725</v>
      </c>
      <c r="D1937" s="5" t="e">
        <f>E1937-(#REF!+C1937)</f>
        <v>#REF!</v>
      </c>
      <c r="E1937" s="5">
        <v>55450</v>
      </c>
      <c r="K1937" s="22">
        <v>905</v>
      </c>
      <c r="L1937" s="6">
        <v>875</v>
      </c>
      <c r="M1937" s="125">
        <f t="shared" si="36"/>
        <v>-30</v>
      </c>
      <c r="N1937" s="18"/>
      <c r="O1937" s="135"/>
      <c r="P1937" s="175">
        <v>9175</v>
      </c>
      <c r="Q1937" s="25">
        <v>0.1235</v>
      </c>
      <c r="U1937" s="384">
        <v>0</v>
      </c>
      <c r="V1937" s="207"/>
      <c r="W1937" s="285">
        <f t="shared" si="35"/>
        <v>1133.1125</v>
      </c>
    </row>
    <row r="1938" spans="1:23" ht="15" customHeight="1">
      <c r="A1938" s="3">
        <v>38594</v>
      </c>
      <c r="B1938" s="9">
        <v>31825</v>
      </c>
      <c r="C1938" s="5">
        <v>15650</v>
      </c>
      <c r="D1938" s="5" t="e">
        <f>E1938-(#REF!+C1938)</f>
        <v>#REF!</v>
      </c>
      <c r="E1938" s="5">
        <v>55025</v>
      </c>
      <c r="K1938" s="22">
        <v>908</v>
      </c>
      <c r="L1938" s="6">
        <v>860</v>
      </c>
      <c r="M1938" s="125">
        <f t="shared" si="36"/>
        <v>-48</v>
      </c>
      <c r="N1938" s="18"/>
      <c r="O1938" s="135"/>
      <c r="P1938" s="175">
        <v>9175</v>
      </c>
      <c r="Q1938" s="25">
        <v>0.1235</v>
      </c>
      <c r="U1938" s="384">
        <v>0</v>
      </c>
      <c r="V1938" s="207"/>
      <c r="W1938" s="285">
        <f t="shared" si="35"/>
        <v>1133.1125</v>
      </c>
    </row>
    <row r="1939" spans="1:23" ht="15" customHeight="1" thickBot="1">
      <c r="A1939" s="11">
        <v>38595</v>
      </c>
      <c r="B1939" s="9">
        <v>31350</v>
      </c>
      <c r="C1939" s="13">
        <v>15300</v>
      </c>
      <c r="D1939" s="13" t="e">
        <f>E1939-(#REF!+C1939)</f>
        <v>#REF!</v>
      </c>
      <c r="E1939" s="13">
        <v>54200</v>
      </c>
      <c r="F1939" s="12"/>
      <c r="G1939" s="13"/>
      <c r="H1939" s="13"/>
      <c r="I1939" s="119"/>
      <c r="J1939" s="119"/>
      <c r="K1939" s="23">
        <v>902</v>
      </c>
      <c r="L1939" s="14">
        <v>863</v>
      </c>
      <c r="M1939" s="126">
        <f t="shared" si="36"/>
        <v>-39</v>
      </c>
      <c r="N1939" s="19">
        <f>AVERAGE(K1918:K1939)</f>
        <v>887.02272727272725</v>
      </c>
      <c r="O1939" s="136"/>
      <c r="P1939" s="176">
        <v>9175</v>
      </c>
      <c r="Q1939" s="27">
        <v>0.1235</v>
      </c>
      <c r="R1939" s="27"/>
      <c r="S1939" s="27"/>
      <c r="T1939" s="27"/>
      <c r="U1939" s="385">
        <v>0</v>
      </c>
      <c r="V1939" s="284">
        <f>AVERAGE(P1918:P1939)</f>
        <v>9198.863636363636</v>
      </c>
      <c r="W1939" s="285">
        <f t="shared" si="35"/>
        <v>1133.1125</v>
      </c>
    </row>
    <row r="1940" spans="1:23" ht="15" customHeight="1">
      <c r="A1940" s="3">
        <v>38596</v>
      </c>
      <c r="B1940" s="9">
        <v>31350</v>
      </c>
      <c r="C1940" s="5">
        <v>15150</v>
      </c>
      <c r="D1940" s="5" t="e">
        <f>E1940-(#REF!+C1940)</f>
        <v>#REF!</v>
      </c>
      <c r="E1940" s="5">
        <v>54050</v>
      </c>
      <c r="K1940" s="22">
        <v>905.5</v>
      </c>
      <c r="L1940" s="6">
        <v>867.5</v>
      </c>
      <c r="M1940" s="125">
        <f t="shared" si="36"/>
        <v>-38</v>
      </c>
      <c r="N1940" s="18"/>
      <c r="O1940" s="135"/>
      <c r="P1940" s="175">
        <v>9175</v>
      </c>
      <c r="Q1940" s="25">
        <v>0.1235</v>
      </c>
      <c r="U1940" s="384">
        <v>0</v>
      </c>
      <c r="V1940" s="207"/>
      <c r="W1940" s="285">
        <f t="shared" si="35"/>
        <v>1133.1125</v>
      </c>
    </row>
    <row r="1941" spans="1:23" ht="15" customHeight="1">
      <c r="A1941" s="3">
        <v>38597</v>
      </c>
      <c r="B1941" s="9">
        <v>30875</v>
      </c>
      <c r="C1941" s="5">
        <v>15100</v>
      </c>
      <c r="D1941" s="5" t="e">
        <f>E1941-(#REF!+C1941)</f>
        <v>#REF!</v>
      </c>
      <c r="E1941" s="5">
        <v>53525</v>
      </c>
      <c r="K1941" s="22">
        <v>945</v>
      </c>
      <c r="L1941" s="6">
        <v>895</v>
      </c>
      <c r="M1941" s="125">
        <f t="shared" si="36"/>
        <v>-50</v>
      </c>
      <c r="N1941" s="18"/>
      <c r="O1941" s="135"/>
      <c r="P1941" s="175">
        <v>9150</v>
      </c>
      <c r="Q1941" s="25">
        <v>0.1235</v>
      </c>
      <c r="U1941" s="384">
        <v>0</v>
      </c>
      <c r="V1941" s="207"/>
      <c r="W1941" s="285">
        <f t="shared" si="35"/>
        <v>1130.0250000000001</v>
      </c>
    </row>
    <row r="1942" spans="1:23" ht="15" customHeight="1">
      <c r="A1942" s="3">
        <v>38600</v>
      </c>
      <c r="B1942" s="9">
        <v>30375</v>
      </c>
      <c r="C1942" s="5">
        <v>15000</v>
      </c>
      <c r="D1942" s="5" t="e">
        <f>E1942-(#REF!+C1942)</f>
        <v>#REF!</v>
      </c>
      <c r="E1942" s="5">
        <v>52925</v>
      </c>
      <c r="K1942" s="22">
        <v>932</v>
      </c>
      <c r="L1942" s="6">
        <v>889.5</v>
      </c>
      <c r="M1942" s="125">
        <f t="shared" si="36"/>
        <v>-42.5</v>
      </c>
      <c r="N1942" s="18"/>
      <c r="O1942" s="135"/>
      <c r="P1942" s="175">
        <v>9150</v>
      </c>
      <c r="Q1942" s="25">
        <v>0.1236</v>
      </c>
      <c r="U1942" s="384">
        <v>0</v>
      </c>
      <c r="V1942" s="207"/>
      <c r="W1942" s="285">
        <f t="shared" si="35"/>
        <v>1130.94</v>
      </c>
    </row>
    <row r="1943" spans="1:23" ht="15" customHeight="1">
      <c r="A1943" s="3">
        <v>38601</v>
      </c>
      <c r="B1943" s="9">
        <v>30125</v>
      </c>
      <c r="C1943" s="5">
        <v>14800</v>
      </c>
      <c r="D1943" s="5" t="e">
        <f>E1943-(#REF!+C1943)</f>
        <v>#REF!</v>
      </c>
      <c r="E1943" s="5">
        <v>52475</v>
      </c>
      <c r="K1943" s="22">
        <v>936</v>
      </c>
      <c r="L1943" s="6">
        <v>894</v>
      </c>
      <c r="M1943" s="125">
        <f t="shared" si="36"/>
        <v>-42</v>
      </c>
      <c r="N1943" s="18"/>
      <c r="O1943" s="135"/>
      <c r="P1943" s="175">
        <v>9150</v>
      </c>
      <c r="Q1943" s="25">
        <v>0.1236</v>
      </c>
      <c r="U1943" s="384">
        <v>0</v>
      </c>
      <c r="V1943" s="207"/>
      <c r="W1943" s="285">
        <f t="shared" si="35"/>
        <v>1130.94</v>
      </c>
    </row>
    <row r="1944" spans="1:23" ht="15" customHeight="1">
      <c r="A1944" s="3">
        <v>38602</v>
      </c>
      <c r="B1944" s="9">
        <v>30125</v>
      </c>
      <c r="C1944" s="5">
        <v>14800</v>
      </c>
      <c r="D1944" s="5" t="e">
        <f>E1944-(#REF!+C1944)</f>
        <v>#REF!</v>
      </c>
      <c r="E1944" s="5">
        <v>52475</v>
      </c>
      <c r="K1944" s="22">
        <v>921.5</v>
      </c>
      <c r="L1944" s="6">
        <v>880</v>
      </c>
      <c r="M1944" s="125">
        <f t="shared" si="36"/>
        <v>-41.5</v>
      </c>
      <c r="N1944" s="18"/>
      <c r="O1944" s="135"/>
      <c r="P1944" s="175">
        <v>9175</v>
      </c>
      <c r="Q1944" s="25">
        <v>0.1236</v>
      </c>
      <c r="U1944" s="384">
        <v>0</v>
      </c>
      <c r="V1944" s="207"/>
      <c r="W1944" s="285">
        <f t="shared" si="35"/>
        <v>1134.03</v>
      </c>
    </row>
    <row r="1945" spans="1:23" ht="15" customHeight="1">
      <c r="A1945" s="3">
        <v>38603</v>
      </c>
      <c r="B1945" s="9">
        <v>30075</v>
      </c>
      <c r="C1945" s="5">
        <v>14400</v>
      </c>
      <c r="D1945" s="5" t="e">
        <f>E1945-(#REF!+C1945)</f>
        <v>#REF!</v>
      </c>
      <c r="E1945" s="5">
        <v>52025</v>
      </c>
      <c r="K1945" s="22">
        <v>900</v>
      </c>
      <c r="L1945" s="6">
        <v>870</v>
      </c>
      <c r="M1945" s="125">
        <f t="shared" si="36"/>
        <v>-30</v>
      </c>
      <c r="N1945" s="18"/>
      <c r="O1945" s="135"/>
      <c r="P1945" s="175">
        <v>9150</v>
      </c>
      <c r="Q1945" s="25">
        <v>0.1236</v>
      </c>
      <c r="U1945" s="384">
        <v>0</v>
      </c>
      <c r="V1945" s="207"/>
      <c r="W1945" s="285">
        <f t="shared" si="35"/>
        <v>1130.94</v>
      </c>
    </row>
    <row r="1946" spans="1:23" ht="15" customHeight="1">
      <c r="A1946" s="3">
        <v>38604</v>
      </c>
      <c r="B1946" s="9">
        <v>29950</v>
      </c>
      <c r="C1946" s="5">
        <v>14125</v>
      </c>
      <c r="D1946" s="5" t="e">
        <f>E1946-(#REF!+C1946)</f>
        <v>#REF!</v>
      </c>
      <c r="E1946" s="5">
        <v>51625</v>
      </c>
      <c r="K1946" s="22">
        <v>895</v>
      </c>
      <c r="L1946" s="6">
        <v>864</v>
      </c>
      <c r="M1946" s="125">
        <f t="shared" si="36"/>
        <v>-31</v>
      </c>
      <c r="N1946" s="18"/>
      <c r="O1946" s="135"/>
      <c r="P1946" s="175">
        <v>9150</v>
      </c>
      <c r="Q1946" s="25">
        <v>0.1235</v>
      </c>
      <c r="U1946" s="384">
        <v>0</v>
      </c>
      <c r="V1946" s="207"/>
      <c r="W1946" s="285">
        <f t="shared" si="35"/>
        <v>1130.0250000000001</v>
      </c>
    </row>
    <row r="1947" spans="1:23" ht="15" customHeight="1">
      <c r="A1947" s="3">
        <v>38607</v>
      </c>
      <c r="B1947" s="9">
        <v>29200</v>
      </c>
      <c r="C1947" s="5">
        <v>13875</v>
      </c>
      <c r="D1947" s="5" t="e">
        <f>E1947-(#REF!+C1947)</f>
        <v>#REF!</v>
      </c>
      <c r="E1947" s="5">
        <v>50625</v>
      </c>
      <c r="K1947" s="22">
        <v>897.5</v>
      </c>
      <c r="L1947" s="6">
        <v>866.5</v>
      </c>
      <c r="M1947" s="125">
        <f t="shared" si="36"/>
        <v>-31</v>
      </c>
      <c r="N1947" s="18"/>
      <c r="O1947" s="135"/>
      <c r="P1947" s="175">
        <v>9150</v>
      </c>
      <c r="Q1947" s="25">
        <v>0.1235</v>
      </c>
      <c r="U1947" s="384">
        <v>0</v>
      </c>
      <c r="V1947" s="207"/>
      <c r="W1947" s="285">
        <f t="shared" si="35"/>
        <v>1130.0250000000001</v>
      </c>
    </row>
    <row r="1948" spans="1:23" ht="15" customHeight="1">
      <c r="A1948" s="3">
        <v>38608</v>
      </c>
      <c r="B1948" s="9">
        <v>28350</v>
      </c>
      <c r="C1948" s="5">
        <v>13625</v>
      </c>
      <c r="D1948" s="5" t="e">
        <f>E1948-(#REF!+C1948)</f>
        <v>#REF!</v>
      </c>
      <c r="E1948" s="5">
        <v>49525</v>
      </c>
      <c r="K1948" s="22">
        <v>902</v>
      </c>
      <c r="L1948" s="6">
        <v>871</v>
      </c>
      <c r="M1948" s="125">
        <f t="shared" si="36"/>
        <v>-31</v>
      </c>
      <c r="N1948" s="18"/>
      <c r="O1948" s="135"/>
      <c r="P1948" s="175">
        <v>9150</v>
      </c>
      <c r="Q1948" s="25">
        <v>0.1236</v>
      </c>
      <c r="U1948" s="384">
        <v>0</v>
      </c>
      <c r="V1948" s="207"/>
      <c r="W1948" s="285">
        <f t="shared" si="35"/>
        <v>1130.94</v>
      </c>
    </row>
    <row r="1949" spans="1:23" ht="15" customHeight="1">
      <c r="A1949" s="3">
        <v>38609</v>
      </c>
      <c r="B1949" s="9">
        <v>26975</v>
      </c>
      <c r="C1949" s="5">
        <v>13425</v>
      </c>
      <c r="D1949" s="5" t="e">
        <f>E1949-(#REF!+C1949)</f>
        <v>#REF!</v>
      </c>
      <c r="E1949" s="5">
        <v>47950</v>
      </c>
      <c r="K1949" s="22">
        <v>902</v>
      </c>
      <c r="L1949" s="6">
        <v>870</v>
      </c>
      <c r="M1949" s="125">
        <f t="shared" si="36"/>
        <v>-32</v>
      </c>
      <c r="N1949" s="18"/>
      <c r="O1949" s="135"/>
      <c r="P1949" s="175">
        <v>9150</v>
      </c>
      <c r="Q1949" s="25">
        <v>0.1236</v>
      </c>
      <c r="U1949" s="384">
        <v>0</v>
      </c>
      <c r="V1949" s="207"/>
      <c r="W1949" s="285">
        <f t="shared" si="35"/>
        <v>1130.94</v>
      </c>
    </row>
    <row r="1950" spans="1:23" ht="15" customHeight="1">
      <c r="A1950" s="3">
        <v>38610</v>
      </c>
      <c r="B1950" s="9">
        <v>26325</v>
      </c>
      <c r="C1950" s="5">
        <v>13175</v>
      </c>
      <c r="D1950" s="5" t="e">
        <f>E1950-(#REF!+C1950)</f>
        <v>#REF!</v>
      </c>
      <c r="E1950" s="5">
        <v>47950</v>
      </c>
      <c r="K1950" s="22">
        <v>881</v>
      </c>
      <c r="L1950" s="6">
        <v>852</v>
      </c>
      <c r="M1950" s="125">
        <f t="shared" si="36"/>
        <v>-29</v>
      </c>
      <c r="N1950" s="18"/>
      <c r="O1950" s="135"/>
      <c r="P1950" s="175">
        <v>9150</v>
      </c>
      <c r="Q1950" s="25">
        <v>0.1236</v>
      </c>
      <c r="U1950" s="384">
        <v>0</v>
      </c>
      <c r="V1950" s="207"/>
      <c r="W1950" s="285">
        <f t="shared" si="35"/>
        <v>1130.94</v>
      </c>
    </row>
    <row r="1951" spans="1:23" ht="15" customHeight="1">
      <c r="A1951" s="3">
        <v>38611</v>
      </c>
      <c r="B1951" s="9">
        <v>26050</v>
      </c>
      <c r="C1951" s="5">
        <v>13100</v>
      </c>
      <c r="D1951" s="5" t="e">
        <f>E1951-(#REF!+C1951)</f>
        <v>#REF!</v>
      </c>
      <c r="E1951" s="5">
        <v>46700</v>
      </c>
      <c r="K1951" s="22">
        <v>886</v>
      </c>
      <c r="L1951" s="6">
        <v>885</v>
      </c>
      <c r="M1951" s="125">
        <f t="shared" si="36"/>
        <v>-1</v>
      </c>
      <c r="N1951" s="18"/>
      <c r="O1951" s="135"/>
      <c r="P1951" s="175">
        <v>9150</v>
      </c>
      <c r="Q1951" s="25">
        <v>0.1236</v>
      </c>
      <c r="U1951" s="384">
        <v>0</v>
      </c>
      <c r="V1951" s="207"/>
      <c r="W1951" s="285">
        <f t="shared" si="35"/>
        <v>1130.94</v>
      </c>
    </row>
    <row r="1952" spans="1:23" ht="15" customHeight="1">
      <c r="A1952" s="3">
        <v>38614</v>
      </c>
      <c r="B1952" s="9">
        <v>25600</v>
      </c>
      <c r="C1952" s="5">
        <v>13100</v>
      </c>
      <c r="D1952" s="5" t="e">
        <f>E1952-(#REF!+C1952)</f>
        <v>#REF!</v>
      </c>
      <c r="E1952" s="5">
        <v>46250</v>
      </c>
      <c r="K1952" s="22">
        <v>884.5</v>
      </c>
      <c r="L1952" s="6">
        <v>849</v>
      </c>
      <c r="M1952" s="125">
        <f t="shared" si="36"/>
        <v>-35.5</v>
      </c>
      <c r="N1952" s="18"/>
      <c r="O1952" s="135"/>
      <c r="P1952" s="175">
        <v>9175</v>
      </c>
      <c r="Q1952" s="25">
        <v>0.1236</v>
      </c>
      <c r="U1952" s="384">
        <v>0</v>
      </c>
      <c r="V1952" s="207"/>
      <c r="W1952" s="285">
        <f t="shared" si="35"/>
        <v>1134.03</v>
      </c>
    </row>
    <row r="1953" spans="1:23" ht="15" customHeight="1">
      <c r="A1953" s="3">
        <v>38615</v>
      </c>
      <c r="B1953" s="9">
        <v>24925</v>
      </c>
      <c r="C1953" s="5">
        <v>12475</v>
      </c>
      <c r="D1953" s="5" t="e">
        <f>E1953-(#REF!+C1953)</f>
        <v>#REF!</v>
      </c>
      <c r="E1953" s="5">
        <v>44950</v>
      </c>
      <c r="K1953" s="22">
        <v>929</v>
      </c>
      <c r="L1953" s="6">
        <v>895</v>
      </c>
      <c r="M1953" s="125">
        <f t="shared" si="36"/>
        <v>-34</v>
      </c>
      <c r="N1953" s="18"/>
      <c r="O1953" s="135"/>
      <c r="P1953" s="175">
        <v>9175</v>
      </c>
      <c r="Q1953" s="25">
        <v>0.1236</v>
      </c>
      <c r="U1953" s="384">
        <v>0</v>
      </c>
      <c r="V1953" s="207"/>
      <c r="W1953" s="285">
        <f t="shared" si="35"/>
        <v>1134.03</v>
      </c>
    </row>
    <row r="1954" spans="1:23" ht="15" customHeight="1">
      <c r="A1954" s="3">
        <v>38616</v>
      </c>
      <c r="B1954" s="9">
        <v>24100</v>
      </c>
      <c r="C1954" s="5">
        <v>12125</v>
      </c>
      <c r="D1954" s="5" t="e">
        <f>E1954-(#REF!+C1954)</f>
        <v>#REF!</v>
      </c>
      <c r="E1954" s="5">
        <v>43725</v>
      </c>
      <c r="K1954" s="22">
        <v>942</v>
      </c>
      <c r="L1954" s="6">
        <v>907</v>
      </c>
      <c r="M1954" s="125">
        <f t="shared" si="36"/>
        <v>-35</v>
      </c>
      <c r="N1954" s="18"/>
      <c r="O1954" s="135"/>
      <c r="P1954" s="175">
        <v>9175</v>
      </c>
      <c r="Q1954" s="25">
        <v>0.1236</v>
      </c>
      <c r="U1954" s="384">
        <v>0</v>
      </c>
      <c r="V1954" s="207"/>
      <c r="W1954" s="285">
        <f t="shared" si="35"/>
        <v>1134.03</v>
      </c>
    </row>
    <row r="1955" spans="1:23" ht="15" customHeight="1">
      <c r="A1955" s="3">
        <v>38617</v>
      </c>
      <c r="B1955" s="9">
        <v>22825</v>
      </c>
      <c r="C1955" s="5">
        <v>11700</v>
      </c>
      <c r="D1955" s="5" t="e">
        <f>E1955-(#REF!+C1955)</f>
        <v>#REF!</v>
      </c>
      <c r="E1955" s="5">
        <v>42000</v>
      </c>
      <c r="K1955" s="22">
        <v>963</v>
      </c>
      <c r="L1955" s="6">
        <v>922</v>
      </c>
      <c r="M1955" s="125">
        <f t="shared" si="36"/>
        <v>-41</v>
      </c>
      <c r="N1955" s="18"/>
      <c r="O1955" s="135"/>
      <c r="P1955" s="175">
        <v>9175</v>
      </c>
      <c r="Q1955" s="25">
        <v>0.1236</v>
      </c>
      <c r="U1955" s="384">
        <v>0</v>
      </c>
      <c r="V1955" s="207"/>
      <c r="W1955" s="285">
        <f t="shared" si="35"/>
        <v>1134.03</v>
      </c>
    </row>
    <row r="1956" spans="1:23" ht="15" customHeight="1">
      <c r="A1956" s="3">
        <v>38618</v>
      </c>
      <c r="B1956" s="9">
        <v>22550</v>
      </c>
      <c r="C1956" s="5">
        <v>11025</v>
      </c>
      <c r="D1956" s="5" t="e">
        <f>E1956-(#REF!+C1956)</f>
        <v>#REF!</v>
      </c>
      <c r="E1956" s="5">
        <v>41050</v>
      </c>
      <c r="K1956" s="22">
        <v>972.5</v>
      </c>
      <c r="L1956" s="6">
        <v>932</v>
      </c>
      <c r="M1956" s="125">
        <f t="shared" si="36"/>
        <v>-40.5</v>
      </c>
      <c r="N1956" s="18"/>
      <c r="O1956" s="135"/>
      <c r="P1956" s="175">
        <v>9190</v>
      </c>
      <c r="Q1956" s="25">
        <v>0.1236</v>
      </c>
      <c r="U1956" s="384">
        <v>0</v>
      </c>
      <c r="V1956" s="207"/>
      <c r="W1956" s="285">
        <f t="shared" si="35"/>
        <v>1135.884</v>
      </c>
    </row>
    <row r="1957" spans="1:23" ht="15" customHeight="1">
      <c r="A1957" s="3">
        <v>38621</v>
      </c>
      <c r="B1957" s="9">
        <v>21125</v>
      </c>
      <c r="C1957" s="5">
        <v>10775</v>
      </c>
      <c r="D1957" s="5" t="e">
        <f>E1957-(#REF!+C1957)</f>
        <v>#REF!</v>
      </c>
      <c r="E1957" s="5">
        <v>39375</v>
      </c>
      <c r="K1957" s="22">
        <v>975</v>
      </c>
      <c r="L1957" s="6">
        <v>928</v>
      </c>
      <c r="M1957" s="125">
        <f t="shared" si="36"/>
        <v>-47</v>
      </c>
      <c r="N1957" s="18"/>
      <c r="O1957" s="135"/>
      <c r="P1957" s="175">
        <v>9225</v>
      </c>
      <c r="Q1957" s="25">
        <v>0.1236</v>
      </c>
      <c r="U1957" s="384">
        <v>0</v>
      </c>
      <c r="V1957" s="207"/>
      <c r="W1957" s="285">
        <f t="shared" si="35"/>
        <v>1140.21</v>
      </c>
    </row>
    <row r="1958" spans="1:23" ht="15" customHeight="1">
      <c r="A1958" s="3">
        <v>38622</v>
      </c>
      <c r="B1958" s="9">
        <v>22700</v>
      </c>
      <c r="C1958" s="5">
        <v>10575</v>
      </c>
      <c r="D1958" s="5" t="e">
        <f>E1958-(#REF!+C1958)</f>
        <v>#REF!</v>
      </c>
      <c r="E1958" s="5">
        <v>40750</v>
      </c>
      <c r="K1958" s="22">
        <v>993</v>
      </c>
      <c r="L1958" s="6">
        <v>956</v>
      </c>
      <c r="M1958" s="125">
        <f t="shared" si="36"/>
        <v>-37</v>
      </c>
      <c r="N1958" s="18"/>
      <c r="O1958" s="135"/>
      <c r="P1958" s="175">
        <v>9250</v>
      </c>
      <c r="Q1958" s="25">
        <v>0.1236</v>
      </c>
      <c r="U1958" s="384">
        <v>0</v>
      </c>
      <c r="V1958" s="207"/>
      <c r="W1958" s="285">
        <f t="shared" si="35"/>
        <v>1143.3</v>
      </c>
    </row>
    <row r="1959" spans="1:23" ht="15" customHeight="1">
      <c r="A1959" s="3">
        <v>38623</v>
      </c>
      <c r="B1959" s="9">
        <v>22550</v>
      </c>
      <c r="C1959" s="5">
        <v>10275</v>
      </c>
      <c r="D1959" s="5" t="e">
        <f>E1959-(#REF!+C1959)</f>
        <v>#REF!</v>
      </c>
      <c r="E1959" s="5">
        <v>40300</v>
      </c>
      <c r="K1959" s="22">
        <v>1015</v>
      </c>
      <c r="L1959" s="6">
        <v>965</v>
      </c>
      <c r="M1959" s="125">
        <f t="shared" si="36"/>
        <v>-50</v>
      </c>
      <c r="N1959" s="18"/>
      <c r="O1959" s="135"/>
      <c r="P1959" s="175">
        <v>9250</v>
      </c>
      <c r="Q1959" s="25">
        <v>0.1236</v>
      </c>
      <c r="U1959" s="384">
        <v>0</v>
      </c>
      <c r="V1959" s="207"/>
      <c r="W1959" s="285">
        <f t="shared" si="35"/>
        <v>1143.3</v>
      </c>
    </row>
    <row r="1960" spans="1:23" ht="15" customHeight="1">
      <c r="A1960" s="3">
        <v>38624</v>
      </c>
      <c r="B1960" s="9">
        <v>22250</v>
      </c>
      <c r="C1960" s="5">
        <v>10225</v>
      </c>
      <c r="D1960" s="5" t="e">
        <f>E1960-(#REF!+C1960)</f>
        <v>#REF!</v>
      </c>
      <c r="E1960" s="5">
        <v>39950</v>
      </c>
      <c r="K1960" s="22">
        <v>975</v>
      </c>
      <c r="L1960" s="6">
        <v>935</v>
      </c>
      <c r="M1960" s="125">
        <f t="shared" si="36"/>
        <v>-40</v>
      </c>
      <c r="N1960" s="18"/>
      <c r="O1960" s="135"/>
      <c r="P1960" s="175">
        <v>9250</v>
      </c>
      <c r="Q1960" s="25">
        <v>0.1235</v>
      </c>
      <c r="U1960" s="384">
        <v>0</v>
      </c>
      <c r="V1960" s="207"/>
      <c r="W1960" s="285">
        <f t="shared" si="35"/>
        <v>1142.375</v>
      </c>
    </row>
    <row r="1961" spans="1:23" ht="15" customHeight="1" thickBot="1">
      <c r="A1961" s="11">
        <v>38625</v>
      </c>
      <c r="B1961" s="9">
        <v>22175</v>
      </c>
      <c r="C1961" s="13">
        <v>10100</v>
      </c>
      <c r="D1961" s="13" t="e">
        <f>E1961-(#REF!+C1961)</f>
        <v>#REF!</v>
      </c>
      <c r="E1961" s="13">
        <v>39750</v>
      </c>
      <c r="F1961" s="12"/>
      <c r="G1961" s="13"/>
      <c r="H1961" s="13"/>
      <c r="I1961" s="119"/>
      <c r="J1961" s="119"/>
      <c r="K1961" s="23">
        <v>975</v>
      </c>
      <c r="L1961" s="14">
        <v>939</v>
      </c>
      <c r="M1961" s="126">
        <f t="shared" si="36"/>
        <v>-36</v>
      </c>
      <c r="N1961" s="19">
        <f>AVERAGE(K1940:K1961)</f>
        <v>933.06818181818187</v>
      </c>
      <c r="O1961" s="136"/>
      <c r="P1961" s="176">
        <v>9250</v>
      </c>
      <c r="Q1961" s="27">
        <v>0.1236</v>
      </c>
      <c r="R1961" s="27"/>
      <c r="S1961" s="27"/>
      <c r="T1961" s="27"/>
      <c r="U1961" s="385">
        <v>0</v>
      </c>
      <c r="V1961" s="284">
        <f>AVERAGE(P1940:P1961)</f>
        <v>9180.2272727272721</v>
      </c>
      <c r="W1961" s="285">
        <f t="shared" si="35"/>
        <v>1143.3</v>
      </c>
    </row>
    <row r="1962" spans="1:23" ht="15" customHeight="1">
      <c r="A1962" s="3">
        <v>38628</v>
      </c>
      <c r="B1962" s="9">
        <v>21750</v>
      </c>
      <c r="C1962" s="5">
        <v>9775</v>
      </c>
      <c r="D1962" s="5" t="e">
        <f>E1962-(#REF!+C1962)</f>
        <v>#REF!</v>
      </c>
      <c r="E1962" s="5">
        <v>39000</v>
      </c>
      <c r="K1962" s="22">
        <v>970</v>
      </c>
      <c r="L1962" s="6">
        <v>938</v>
      </c>
      <c r="M1962" s="125">
        <f t="shared" si="36"/>
        <v>-32</v>
      </c>
      <c r="N1962" s="18"/>
      <c r="O1962" s="135"/>
      <c r="P1962" s="175">
        <v>9350</v>
      </c>
      <c r="Q1962" s="25">
        <v>0.1236</v>
      </c>
      <c r="U1962" s="384">
        <v>0</v>
      </c>
      <c r="V1962" s="207"/>
      <c r="W1962" s="285">
        <f t="shared" si="35"/>
        <v>1155.6600000000001</v>
      </c>
    </row>
    <row r="1963" spans="1:23" ht="15" customHeight="1">
      <c r="A1963" s="3">
        <v>38629</v>
      </c>
      <c r="B1963" s="9">
        <v>21650</v>
      </c>
      <c r="C1963" s="5">
        <v>9600</v>
      </c>
      <c r="D1963" s="5" t="e">
        <f>E1963-(#REF!+C1963)</f>
        <v>#REF!</v>
      </c>
      <c r="E1963" s="5">
        <v>38725</v>
      </c>
      <c r="K1963" s="22">
        <v>983.5</v>
      </c>
      <c r="L1963" s="6">
        <v>948.5</v>
      </c>
      <c r="M1963" s="125">
        <f t="shared" si="36"/>
        <v>-35</v>
      </c>
      <c r="N1963" s="18"/>
      <c r="O1963" s="135"/>
      <c r="P1963" s="175">
        <v>9350</v>
      </c>
      <c r="Q1963" s="25">
        <v>0.1236</v>
      </c>
      <c r="U1963" s="384">
        <v>0</v>
      </c>
      <c r="V1963" s="207"/>
      <c r="W1963" s="285">
        <f t="shared" si="35"/>
        <v>1155.6600000000001</v>
      </c>
    </row>
    <row r="1964" spans="1:23" ht="15" customHeight="1">
      <c r="A1964" s="3">
        <v>38630</v>
      </c>
      <c r="B1964" s="9">
        <v>21450</v>
      </c>
      <c r="C1964" s="5">
        <v>9275</v>
      </c>
      <c r="D1964" s="5" t="e">
        <f>E1964-(#REF!+C1964)</f>
        <v>#REF!</v>
      </c>
      <c r="E1964" s="5">
        <v>38200</v>
      </c>
      <c r="K1964" s="22">
        <v>996</v>
      </c>
      <c r="L1964" s="6">
        <v>959</v>
      </c>
      <c r="M1964" s="125">
        <f t="shared" si="36"/>
        <v>-37</v>
      </c>
      <c r="N1964" s="18"/>
      <c r="O1964" s="135"/>
      <c r="P1964" s="175">
        <v>9350</v>
      </c>
      <c r="Q1964" s="25">
        <v>0.1236</v>
      </c>
      <c r="U1964" s="384">
        <v>0</v>
      </c>
      <c r="V1964" s="207"/>
      <c r="W1964" s="285">
        <f t="shared" si="35"/>
        <v>1155.6600000000001</v>
      </c>
    </row>
    <row r="1965" spans="1:23" ht="15" customHeight="1">
      <c r="A1965" s="3">
        <v>38631</v>
      </c>
      <c r="B1965" s="9">
        <v>21400</v>
      </c>
      <c r="C1965" s="5">
        <v>9025</v>
      </c>
      <c r="D1965" s="5" t="e">
        <f>E1965-(#REF!+C1965)</f>
        <v>#REF!</v>
      </c>
      <c r="E1965" s="5">
        <v>37900</v>
      </c>
      <c r="K1965" s="22">
        <v>1002</v>
      </c>
      <c r="L1965" s="6">
        <v>966</v>
      </c>
      <c r="M1965" s="125">
        <f t="shared" si="36"/>
        <v>-36</v>
      </c>
      <c r="N1965" s="18"/>
      <c r="O1965" s="135"/>
      <c r="P1965" s="175">
        <v>9350</v>
      </c>
      <c r="Q1965" s="25">
        <v>0.1236</v>
      </c>
      <c r="U1965" s="384">
        <v>0</v>
      </c>
      <c r="V1965" s="207"/>
      <c r="W1965" s="285">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25">
        <f t="shared" si="36"/>
        <v>-41</v>
      </c>
      <c r="N1966" s="18"/>
      <c r="O1966" s="135"/>
      <c r="P1966" s="175">
        <v>9350</v>
      </c>
      <c r="Q1966" s="25">
        <v>0.1236</v>
      </c>
      <c r="U1966" s="384">
        <v>0</v>
      </c>
      <c r="V1966" s="207"/>
      <c r="W1966" s="285">
        <f t="shared" si="37"/>
        <v>1155.6600000000001</v>
      </c>
    </row>
    <row r="1967" spans="1:23" ht="15" customHeight="1">
      <c r="A1967" s="3">
        <v>38635</v>
      </c>
      <c r="B1967" s="9">
        <v>20950</v>
      </c>
      <c r="C1967" s="5">
        <v>8575</v>
      </c>
      <c r="D1967" s="5" t="e">
        <f>E1967-(#REF!+C1967)</f>
        <v>#REF!</v>
      </c>
      <c r="E1967" s="5">
        <v>38900</v>
      </c>
      <c r="K1967" s="22">
        <v>1004</v>
      </c>
      <c r="L1967" s="6">
        <v>967.5</v>
      </c>
      <c r="M1967" s="125">
        <f t="shared" si="36"/>
        <v>-36.5</v>
      </c>
      <c r="N1967" s="18"/>
      <c r="O1967" s="135"/>
      <c r="P1967" s="175">
        <v>9350</v>
      </c>
      <c r="Q1967" s="25">
        <v>0.1236</v>
      </c>
      <c r="U1967" s="384">
        <v>0</v>
      </c>
      <c r="V1967" s="207"/>
      <c r="W1967" s="285">
        <f t="shared" si="37"/>
        <v>1155.6600000000001</v>
      </c>
    </row>
    <row r="1968" spans="1:23" ht="15" customHeight="1">
      <c r="A1968" s="3">
        <v>38636</v>
      </c>
      <c r="B1968" s="9">
        <v>20775</v>
      </c>
      <c r="C1968" s="5">
        <v>8400</v>
      </c>
      <c r="D1968" s="5" t="e">
        <f>E1968-(#REF!+C1968)</f>
        <v>#REF!</v>
      </c>
      <c r="E1968" s="5">
        <v>39550</v>
      </c>
      <c r="K1968" s="22">
        <v>997.5</v>
      </c>
      <c r="L1968" s="6">
        <v>964</v>
      </c>
      <c r="M1968" s="125">
        <f t="shared" si="36"/>
        <v>-33.5</v>
      </c>
      <c r="N1968" s="18"/>
      <c r="O1968" s="135"/>
      <c r="P1968" s="175">
        <v>9325</v>
      </c>
      <c r="Q1968" s="25">
        <v>0.1237</v>
      </c>
      <c r="U1968" s="384">
        <v>0</v>
      </c>
      <c r="V1968" s="207"/>
      <c r="W1968" s="285">
        <f t="shared" si="37"/>
        <v>1153.5025000000001</v>
      </c>
    </row>
    <row r="1969" spans="1:23" ht="15" customHeight="1">
      <c r="A1969" s="3">
        <v>38637</v>
      </c>
      <c r="B1969" s="9">
        <v>20375</v>
      </c>
      <c r="C1969" s="5">
        <v>8250</v>
      </c>
      <c r="D1969" s="5" t="e">
        <f>E1969-(#REF!+C1969)</f>
        <v>#REF!</v>
      </c>
      <c r="E1969" s="5">
        <v>40000</v>
      </c>
      <c r="K1969" s="22">
        <v>992</v>
      </c>
      <c r="L1969" s="6">
        <v>964</v>
      </c>
      <c r="M1969" s="125">
        <f t="shared" si="36"/>
        <v>-28</v>
      </c>
      <c r="N1969" s="18"/>
      <c r="O1969" s="135"/>
      <c r="P1969" s="175">
        <v>9350</v>
      </c>
      <c r="Q1969" s="25">
        <v>0.1236</v>
      </c>
      <c r="U1969" s="384">
        <v>0</v>
      </c>
      <c r="V1969" s="207"/>
      <c r="W1969" s="285">
        <f t="shared" si="37"/>
        <v>1155.6600000000001</v>
      </c>
    </row>
    <row r="1970" spans="1:23" ht="15" customHeight="1">
      <c r="A1970" s="3">
        <v>38638</v>
      </c>
      <c r="B1970" s="9">
        <v>20375</v>
      </c>
      <c r="C1970" s="5">
        <v>8000</v>
      </c>
      <c r="D1970" s="5" t="e">
        <f>E1970-(#REF!+C1970)</f>
        <v>#REF!</v>
      </c>
      <c r="E1970" s="5">
        <v>40725</v>
      </c>
      <c r="K1970" s="22">
        <v>972</v>
      </c>
      <c r="L1970" s="6">
        <v>948</v>
      </c>
      <c r="M1970" s="125">
        <f t="shared" si="36"/>
        <v>-24</v>
      </c>
      <c r="N1970" s="18"/>
      <c r="O1970" s="135"/>
      <c r="P1970" s="175">
        <v>9340</v>
      </c>
      <c r="Q1970" s="25">
        <v>0.1236</v>
      </c>
      <c r="U1970" s="384">
        <v>0</v>
      </c>
      <c r="V1970" s="207"/>
      <c r="W1970" s="285">
        <f t="shared" si="37"/>
        <v>1154.424</v>
      </c>
    </row>
    <row r="1971" spans="1:23" ht="15" customHeight="1">
      <c r="A1971" s="3">
        <v>38639</v>
      </c>
      <c r="B1971" s="9">
        <v>20075</v>
      </c>
      <c r="C1971" s="5">
        <v>7800</v>
      </c>
      <c r="D1971" s="5" t="e">
        <f>E1971-(#REF!+C1971)</f>
        <v>#REF!</v>
      </c>
      <c r="E1971" s="5">
        <v>41225</v>
      </c>
      <c r="K1971" s="22">
        <v>992</v>
      </c>
      <c r="L1971" s="6">
        <v>966</v>
      </c>
      <c r="M1971" s="125">
        <f t="shared" si="36"/>
        <v>-26</v>
      </c>
      <c r="N1971" s="18"/>
      <c r="O1971" s="135"/>
      <c r="P1971" s="175">
        <v>9375</v>
      </c>
      <c r="Q1971" s="25">
        <v>0.1236</v>
      </c>
      <c r="U1971" s="384">
        <v>0</v>
      </c>
      <c r="V1971" s="207"/>
      <c r="W1971" s="285">
        <f t="shared" si="37"/>
        <v>1158.75</v>
      </c>
    </row>
    <row r="1972" spans="1:23" ht="15" customHeight="1">
      <c r="A1972" s="3">
        <v>38642</v>
      </c>
      <c r="B1972" s="9">
        <v>20075</v>
      </c>
      <c r="C1972" s="5">
        <v>7600</v>
      </c>
      <c r="D1972" s="5" t="e">
        <f>E1972-(#REF!+C1972)</f>
        <v>#REF!</v>
      </c>
      <c r="E1972" s="5">
        <v>42025</v>
      </c>
      <c r="K1972" s="22">
        <v>1009</v>
      </c>
      <c r="L1972" s="6">
        <v>971</v>
      </c>
      <c r="M1972" s="125">
        <f t="shared" si="36"/>
        <v>-38</v>
      </c>
      <c r="N1972" s="18"/>
      <c r="O1972" s="135"/>
      <c r="P1972" s="175">
        <v>9375</v>
      </c>
      <c r="Q1972" s="25">
        <v>0.1236</v>
      </c>
      <c r="U1972" s="384">
        <v>0</v>
      </c>
      <c r="V1972" s="207"/>
      <c r="W1972" s="285">
        <f t="shared" si="37"/>
        <v>1158.75</v>
      </c>
    </row>
    <row r="1973" spans="1:23" ht="15" customHeight="1">
      <c r="A1973" s="3">
        <v>38643</v>
      </c>
      <c r="B1973" s="9">
        <v>19775</v>
      </c>
      <c r="C1973" s="5">
        <v>7400</v>
      </c>
      <c r="D1973" s="5" t="e">
        <f>E1973-(#REF!+C1973)</f>
        <v>#REF!</v>
      </c>
      <c r="E1973" s="5">
        <v>42525</v>
      </c>
      <c r="K1973" s="22">
        <v>1030</v>
      </c>
      <c r="L1973" s="6">
        <v>989</v>
      </c>
      <c r="M1973" s="125">
        <f t="shared" si="36"/>
        <v>-41</v>
      </c>
      <c r="N1973" s="18"/>
      <c r="O1973" s="135"/>
      <c r="P1973" s="175">
        <v>9400</v>
      </c>
      <c r="Q1973" s="25">
        <v>0.1236</v>
      </c>
      <c r="U1973" s="384">
        <v>0</v>
      </c>
      <c r="V1973" s="207"/>
      <c r="W1973" s="285">
        <f t="shared" si="37"/>
        <v>1161.8399999999999</v>
      </c>
    </row>
    <row r="1974" spans="1:23" ht="15" customHeight="1">
      <c r="A1974" s="3">
        <v>38644</v>
      </c>
      <c r="B1974" s="9">
        <v>19350</v>
      </c>
      <c r="C1974" s="5">
        <v>7275</v>
      </c>
      <c r="D1974" s="5" t="e">
        <f>E1974-(#REF!+C1974)</f>
        <v>#REF!</v>
      </c>
      <c r="E1974" s="5">
        <v>42950</v>
      </c>
      <c r="K1974" s="22">
        <v>1025</v>
      </c>
      <c r="L1974" s="6">
        <v>983</v>
      </c>
      <c r="M1974" s="125">
        <f t="shared" si="36"/>
        <v>-42</v>
      </c>
      <c r="N1974" s="18"/>
      <c r="O1974" s="135"/>
      <c r="P1974" s="175">
        <v>9400</v>
      </c>
      <c r="Q1974" s="25">
        <v>0.1236</v>
      </c>
      <c r="U1974" s="384">
        <v>0</v>
      </c>
      <c r="V1974" s="207"/>
      <c r="W1974" s="285">
        <f t="shared" si="37"/>
        <v>1161.8399999999999</v>
      </c>
    </row>
    <row r="1975" spans="1:23" ht="15" customHeight="1">
      <c r="A1975" s="3">
        <v>38645</v>
      </c>
      <c r="B1975" s="9">
        <v>19050</v>
      </c>
      <c r="C1975" s="5">
        <v>7125</v>
      </c>
      <c r="D1975" s="5" t="e">
        <f>E1975-(#REF!+C1975)</f>
        <v>#REF!</v>
      </c>
      <c r="E1975" s="5">
        <v>44000</v>
      </c>
      <c r="K1975" s="22">
        <v>1035</v>
      </c>
      <c r="L1975" s="6">
        <v>984</v>
      </c>
      <c r="M1975" s="125">
        <f t="shared" ref="M1975:M2038" si="38">L1975-K1975</f>
        <v>-51</v>
      </c>
      <c r="N1975" s="18"/>
      <c r="O1975" s="135"/>
      <c r="P1975" s="175">
        <v>9350</v>
      </c>
      <c r="Q1975" s="25">
        <v>0.1236</v>
      </c>
      <c r="U1975" s="384">
        <v>0</v>
      </c>
      <c r="V1975" s="207"/>
      <c r="W1975" s="285">
        <f t="shared" si="37"/>
        <v>1155.6600000000001</v>
      </c>
    </row>
    <row r="1976" spans="1:23" ht="15" customHeight="1">
      <c r="A1976" s="3">
        <v>38646</v>
      </c>
      <c r="B1976" s="9">
        <v>18600</v>
      </c>
      <c r="C1976" s="5">
        <v>7000</v>
      </c>
      <c r="D1976" s="5" t="e">
        <f>E1976-(#REF!+C1976)</f>
        <v>#REF!</v>
      </c>
      <c r="E1976" s="5">
        <v>44925</v>
      </c>
      <c r="K1976" s="22">
        <v>1000</v>
      </c>
      <c r="L1976" s="6">
        <v>955</v>
      </c>
      <c r="M1976" s="125">
        <f t="shared" si="38"/>
        <v>-45</v>
      </c>
      <c r="N1976" s="18"/>
      <c r="O1976" s="135"/>
      <c r="P1976" s="175">
        <v>9350</v>
      </c>
      <c r="Q1976" s="25">
        <v>0.1236</v>
      </c>
      <c r="U1976" s="384">
        <v>0</v>
      </c>
      <c r="V1976" s="207"/>
      <c r="W1976" s="285">
        <f t="shared" si="37"/>
        <v>1155.6600000000001</v>
      </c>
    </row>
    <row r="1977" spans="1:23" ht="15" customHeight="1">
      <c r="A1977" s="3">
        <v>38649</v>
      </c>
      <c r="B1977" s="9">
        <v>18475</v>
      </c>
      <c r="C1977" s="5">
        <v>6650</v>
      </c>
      <c r="D1977" s="5" t="e">
        <f>E1977-(#REF!+C1977)</f>
        <v>#REF!</v>
      </c>
      <c r="E1977" s="5">
        <v>45950</v>
      </c>
      <c r="K1977" s="22">
        <v>1005</v>
      </c>
      <c r="L1977" s="6">
        <v>957</v>
      </c>
      <c r="M1977" s="125">
        <f t="shared" si="38"/>
        <v>-48</v>
      </c>
      <c r="N1977" s="18"/>
      <c r="O1977" s="135"/>
      <c r="P1977" s="175">
        <v>9330</v>
      </c>
      <c r="Q1977" s="25">
        <v>0.1236</v>
      </c>
      <c r="U1977" s="384">
        <v>0</v>
      </c>
      <c r="V1977" s="207"/>
      <c r="W1977" s="285">
        <f t="shared" si="37"/>
        <v>1153.1880000000001</v>
      </c>
    </row>
    <row r="1978" spans="1:23" ht="15" customHeight="1">
      <c r="A1978" s="3">
        <v>38650</v>
      </c>
      <c r="B1978" s="9">
        <v>18200</v>
      </c>
      <c r="C1978" s="5">
        <v>6000</v>
      </c>
      <c r="D1978" s="5" t="e">
        <f>E1978-(#REF!+C1978)</f>
        <v>#REF!</v>
      </c>
      <c r="E1978" s="5">
        <v>46525</v>
      </c>
      <c r="K1978" s="22">
        <v>1007</v>
      </c>
      <c r="L1978" s="6">
        <v>970.5</v>
      </c>
      <c r="M1978" s="125">
        <f t="shared" si="38"/>
        <v>-36.5</v>
      </c>
      <c r="N1978" s="18"/>
      <c r="O1978" s="135"/>
      <c r="P1978" s="175">
        <v>9340</v>
      </c>
      <c r="Q1978" s="25">
        <v>0.1236</v>
      </c>
      <c r="U1978" s="384">
        <v>0</v>
      </c>
      <c r="V1978" s="207"/>
      <c r="W1978" s="285">
        <f t="shared" si="37"/>
        <v>1154.424</v>
      </c>
    </row>
    <row r="1979" spans="1:23" ht="15" customHeight="1">
      <c r="A1979" s="3">
        <v>38651</v>
      </c>
      <c r="B1979" s="9">
        <v>17625</v>
      </c>
      <c r="C1979" s="5">
        <v>5725</v>
      </c>
      <c r="D1979" s="5" t="e">
        <f>E1979-(#REF!+C1979)</f>
        <v>#REF!</v>
      </c>
      <c r="E1979" s="5">
        <v>47175</v>
      </c>
      <c r="K1979" s="22">
        <v>1018</v>
      </c>
      <c r="L1979" s="6">
        <v>976</v>
      </c>
      <c r="M1979" s="125">
        <f t="shared" si="38"/>
        <v>-42</v>
      </c>
      <c r="N1979" s="18"/>
      <c r="O1979" s="135"/>
      <c r="P1979" s="175">
        <v>9350</v>
      </c>
      <c r="Q1979" s="25">
        <v>0.1236</v>
      </c>
      <c r="U1979" s="384">
        <v>0</v>
      </c>
      <c r="V1979" s="207"/>
      <c r="W1979" s="285">
        <f t="shared" si="37"/>
        <v>1155.6600000000001</v>
      </c>
    </row>
    <row r="1980" spans="1:23" ht="15" customHeight="1">
      <c r="A1980" s="3">
        <v>38652</v>
      </c>
      <c r="B1980" s="9">
        <v>17000</v>
      </c>
      <c r="C1980" s="5">
        <v>5625</v>
      </c>
      <c r="D1980" s="5" t="e">
        <f>E1980-(#REF!+C1980)</f>
        <v>#REF!</v>
      </c>
      <c r="E1980" s="5">
        <v>47950</v>
      </c>
      <c r="K1980" s="22">
        <v>1007</v>
      </c>
      <c r="L1980" s="6">
        <v>972.5</v>
      </c>
      <c r="M1980" s="125">
        <f t="shared" si="38"/>
        <v>-34.5</v>
      </c>
      <c r="N1980" s="18"/>
      <c r="O1980" s="135"/>
      <c r="P1980" s="175">
        <v>9350</v>
      </c>
      <c r="Q1980" s="25">
        <v>0.1237</v>
      </c>
      <c r="U1980" s="384">
        <v>0</v>
      </c>
      <c r="V1980" s="207"/>
      <c r="W1980" s="285">
        <f t="shared" si="37"/>
        <v>1156.595</v>
      </c>
    </row>
    <row r="1981" spans="1:23" ht="15" customHeight="1">
      <c r="A1981" s="3">
        <v>38653</v>
      </c>
      <c r="B1981" s="9">
        <v>17000</v>
      </c>
      <c r="C1981" s="5">
        <v>5375</v>
      </c>
      <c r="D1981" s="5" t="e">
        <f>E1981-(#REF!+C1981)</f>
        <v>#REF!</v>
      </c>
      <c r="E1981" s="5">
        <v>49200</v>
      </c>
      <c r="K1981" s="22">
        <v>1015</v>
      </c>
      <c r="L1981" s="6">
        <v>951</v>
      </c>
      <c r="M1981" s="125">
        <f t="shared" si="38"/>
        <v>-64</v>
      </c>
      <c r="N1981" s="18"/>
      <c r="O1981" s="135"/>
      <c r="P1981" s="175">
        <v>9350</v>
      </c>
      <c r="Q1981" s="25">
        <v>0.1237</v>
      </c>
      <c r="U1981" s="384">
        <v>0</v>
      </c>
      <c r="V1981" s="207"/>
      <c r="W1981" s="285">
        <f t="shared" si="37"/>
        <v>1156.595</v>
      </c>
    </row>
    <row r="1982" spans="1:23" ht="15" customHeight="1" thickBot="1">
      <c r="A1982" s="11">
        <v>38656</v>
      </c>
      <c r="B1982" s="9">
        <v>17150</v>
      </c>
      <c r="C1982" s="13">
        <v>5075</v>
      </c>
      <c r="D1982" s="13" t="e">
        <f>E1982-(#REF!+C1982)</f>
        <v>#REF!</v>
      </c>
      <c r="E1982" s="13">
        <v>49400</v>
      </c>
      <c r="F1982" s="12"/>
      <c r="G1982" s="13"/>
      <c r="H1982" s="13"/>
      <c r="I1982" s="119"/>
      <c r="J1982" s="119"/>
      <c r="K1982" s="23">
        <v>1035</v>
      </c>
      <c r="L1982" s="14">
        <v>980</v>
      </c>
      <c r="M1982" s="126">
        <f t="shared" si="38"/>
        <v>-55</v>
      </c>
      <c r="N1982" s="19">
        <f>AVERAGE(K1962:K1982)</f>
        <v>1004.7619047619048</v>
      </c>
      <c r="O1982" s="136"/>
      <c r="P1982" s="176">
        <v>9340</v>
      </c>
      <c r="Q1982" s="27">
        <v>0.1237</v>
      </c>
      <c r="R1982" s="27"/>
      <c r="S1982" s="27"/>
      <c r="T1982" s="27"/>
      <c r="U1982" s="385">
        <v>0</v>
      </c>
      <c r="V1982" s="284">
        <f>AVERAGE(P1962:P1982)</f>
        <v>9353.5714285714294</v>
      </c>
      <c r="W1982" s="285">
        <f t="shared" si="37"/>
        <v>1155.3579999999999</v>
      </c>
    </row>
    <row r="1983" spans="1:23" ht="15" customHeight="1">
      <c r="A1983" s="3">
        <v>38657</v>
      </c>
      <c r="B1983" s="9">
        <v>17100</v>
      </c>
      <c r="C1983" s="5">
        <v>4975</v>
      </c>
      <c r="D1983" s="5" t="e">
        <f>E1983-(#REF!+C1983)</f>
        <v>#REF!</v>
      </c>
      <c r="E1983" s="5">
        <v>49250</v>
      </c>
      <c r="K1983" s="22">
        <v>996</v>
      </c>
      <c r="L1983" s="6">
        <v>946.5</v>
      </c>
      <c r="M1983" s="125">
        <f t="shared" si="38"/>
        <v>-49.5</v>
      </c>
      <c r="N1983" s="18"/>
      <c r="O1983" s="135"/>
      <c r="P1983" s="175">
        <v>9340</v>
      </c>
      <c r="Q1983" s="25">
        <v>0.1234</v>
      </c>
      <c r="U1983" s="384">
        <v>0</v>
      </c>
      <c r="V1983" s="207"/>
      <c r="W1983" s="285">
        <f t="shared" si="37"/>
        <v>1152.556</v>
      </c>
    </row>
    <row r="1984" spans="1:23" ht="15" customHeight="1">
      <c r="A1984" s="3">
        <v>38658</v>
      </c>
      <c r="B1984" s="9">
        <v>17100</v>
      </c>
      <c r="C1984" s="5">
        <v>4900</v>
      </c>
      <c r="D1984" s="5" t="e">
        <f>E1984-(#REF!+C1984)</f>
        <v>#REF!</v>
      </c>
      <c r="E1984" s="5">
        <v>49175</v>
      </c>
      <c r="K1984" s="22">
        <v>989</v>
      </c>
      <c r="L1984" s="6">
        <v>942</v>
      </c>
      <c r="M1984" s="125">
        <f t="shared" si="38"/>
        <v>-47</v>
      </c>
      <c r="N1984" s="18"/>
      <c r="O1984" s="135"/>
      <c r="P1984" s="175">
        <v>9340</v>
      </c>
      <c r="Q1984" s="25">
        <v>0.1234</v>
      </c>
      <c r="U1984" s="384">
        <v>0</v>
      </c>
      <c r="V1984" s="207"/>
      <c r="W1984" s="285">
        <f t="shared" si="37"/>
        <v>1152.556</v>
      </c>
    </row>
    <row r="1985" spans="1:23" ht="15" customHeight="1">
      <c r="A1985" s="3">
        <v>38659</v>
      </c>
      <c r="B1985" s="9">
        <v>17500</v>
      </c>
      <c r="C1985" s="5">
        <v>4450</v>
      </c>
      <c r="D1985" s="5" t="e">
        <f>E1985-(#REF!+C1985)</f>
        <v>#REF!</v>
      </c>
      <c r="E1985" s="5">
        <v>49100</v>
      </c>
      <c r="K1985" s="22">
        <v>1010</v>
      </c>
      <c r="L1985" s="6">
        <v>957</v>
      </c>
      <c r="M1985" s="125">
        <f t="shared" si="38"/>
        <v>-53</v>
      </c>
      <c r="N1985" s="18"/>
      <c r="O1985" s="135"/>
      <c r="P1985" s="175">
        <v>9340</v>
      </c>
      <c r="Q1985" s="25">
        <v>0.1234</v>
      </c>
      <c r="U1985" s="384">
        <v>0</v>
      </c>
      <c r="V1985" s="207"/>
      <c r="W1985" s="285">
        <f t="shared" si="37"/>
        <v>1152.556</v>
      </c>
    </row>
    <row r="1986" spans="1:23" ht="15" customHeight="1">
      <c r="A1986" s="3">
        <v>38660</v>
      </c>
      <c r="B1986" s="9">
        <v>17500</v>
      </c>
      <c r="C1986" s="5">
        <v>4250</v>
      </c>
      <c r="D1986" s="5" t="e">
        <f>E1986-(#REF!+C1986)</f>
        <v>#REF!</v>
      </c>
      <c r="E1986" s="5">
        <v>48900</v>
      </c>
      <c r="K1986" s="22">
        <v>1030</v>
      </c>
      <c r="L1986" s="6">
        <v>981</v>
      </c>
      <c r="M1986" s="125">
        <f t="shared" si="38"/>
        <v>-49</v>
      </c>
      <c r="N1986" s="18"/>
      <c r="O1986" s="135"/>
      <c r="P1986" s="175">
        <v>9375</v>
      </c>
      <c r="Q1986" s="25">
        <v>0.1234</v>
      </c>
      <c r="U1986" s="384">
        <v>0</v>
      </c>
      <c r="V1986" s="207"/>
      <c r="W1986" s="285">
        <f t="shared" si="37"/>
        <v>1156.875</v>
      </c>
    </row>
    <row r="1987" spans="1:23" ht="15" customHeight="1">
      <c r="A1987" s="3">
        <v>38663</v>
      </c>
      <c r="B1987" s="9">
        <v>17350</v>
      </c>
      <c r="C1987" s="5">
        <v>4100</v>
      </c>
      <c r="D1987" s="5" t="e">
        <f>E1987-(#REF!+C1987)</f>
        <v>#REF!</v>
      </c>
      <c r="E1987" s="5">
        <v>48600</v>
      </c>
      <c r="K1987" s="22">
        <v>1036</v>
      </c>
      <c r="L1987" s="6">
        <v>980</v>
      </c>
      <c r="M1987" s="125">
        <f t="shared" si="38"/>
        <v>-56</v>
      </c>
      <c r="N1987" s="18"/>
      <c r="O1987" s="135"/>
      <c r="P1987" s="175">
        <v>9365</v>
      </c>
      <c r="Q1987" s="25">
        <v>0.1234</v>
      </c>
      <c r="U1987" s="384">
        <v>0</v>
      </c>
      <c r="V1987" s="207"/>
      <c r="W1987" s="285">
        <f t="shared" si="37"/>
        <v>1155.6409999999998</v>
      </c>
    </row>
    <row r="1988" spans="1:23" ht="15" customHeight="1">
      <c r="A1988" s="3">
        <v>38664</v>
      </c>
      <c r="B1988" s="9">
        <v>17350</v>
      </c>
      <c r="C1988" s="5">
        <v>3950</v>
      </c>
      <c r="D1988" s="5" t="e">
        <f>E1988-(#REF!+C1988)</f>
        <v>#REF!</v>
      </c>
      <c r="E1988" s="5">
        <v>48425</v>
      </c>
      <c r="K1988" s="22">
        <v>1022</v>
      </c>
      <c r="L1988" s="6">
        <v>971</v>
      </c>
      <c r="M1988" s="125">
        <f t="shared" si="38"/>
        <v>-51</v>
      </c>
      <c r="N1988" s="18"/>
      <c r="O1988" s="135"/>
      <c r="P1988" s="175">
        <v>9375</v>
      </c>
      <c r="Q1988" s="25">
        <v>0.1234</v>
      </c>
      <c r="U1988" s="384">
        <v>0</v>
      </c>
      <c r="V1988" s="207"/>
      <c r="W1988" s="285">
        <f t="shared" si="37"/>
        <v>1156.875</v>
      </c>
    </row>
    <row r="1989" spans="1:23" ht="15" customHeight="1">
      <c r="A1989" s="3">
        <v>38665</v>
      </c>
      <c r="B1989" s="9">
        <v>16800</v>
      </c>
      <c r="C1989" s="5">
        <v>3700</v>
      </c>
      <c r="D1989" s="5" t="e">
        <f>E1989-(#REF!+C1989)</f>
        <v>#REF!</v>
      </c>
      <c r="E1989" s="5">
        <v>47625</v>
      </c>
      <c r="K1989" s="22">
        <v>1032</v>
      </c>
      <c r="L1989" s="6">
        <v>985.5</v>
      </c>
      <c r="M1989" s="125">
        <f t="shared" si="38"/>
        <v>-46.5</v>
      </c>
      <c r="N1989" s="18"/>
      <c r="O1989" s="135"/>
      <c r="P1989" s="175">
        <v>9375</v>
      </c>
      <c r="Q1989" s="25">
        <v>0.1234</v>
      </c>
      <c r="U1989" s="384">
        <v>0</v>
      </c>
      <c r="V1989" s="207"/>
      <c r="W1989" s="285">
        <f t="shared" si="37"/>
        <v>1156.875</v>
      </c>
    </row>
    <row r="1990" spans="1:23" ht="15" customHeight="1">
      <c r="A1990" s="3">
        <v>38666</v>
      </c>
      <c r="B1990" s="9">
        <v>16625</v>
      </c>
      <c r="C1990" s="5">
        <v>3700</v>
      </c>
      <c r="D1990" s="5" t="e">
        <f>E1990-(#REF!+C1990)</f>
        <v>#REF!</v>
      </c>
      <c r="E1990" s="5">
        <v>47400</v>
      </c>
      <c r="K1990" s="22">
        <v>1028</v>
      </c>
      <c r="L1990" s="6">
        <v>988</v>
      </c>
      <c r="M1990" s="125">
        <f t="shared" si="38"/>
        <v>-40</v>
      </c>
      <c r="N1990" s="18"/>
      <c r="O1990" s="135"/>
      <c r="P1990" s="175">
        <v>9375</v>
      </c>
      <c r="Q1990" s="25">
        <v>0.1234</v>
      </c>
      <c r="U1990" s="384">
        <v>0</v>
      </c>
      <c r="V1990" s="207"/>
      <c r="W1990" s="285">
        <f t="shared" si="37"/>
        <v>1156.875</v>
      </c>
    </row>
    <row r="1991" spans="1:23" ht="15" customHeight="1">
      <c r="A1991" s="3">
        <v>38667</v>
      </c>
      <c r="B1991" s="9">
        <v>16025</v>
      </c>
      <c r="C1991" s="5">
        <v>3425</v>
      </c>
      <c r="D1991" s="5" t="e">
        <f>E1991-(#REF!+C1991)</f>
        <v>#REF!</v>
      </c>
      <c r="E1991" s="5">
        <v>46500</v>
      </c>
      <c r="K1991" s="22">
        <v>1022</v>
      </c>
      <c r="L1991" s="6">
        <v>987</v>
      </c>
      <c r="M1991" s="125">
        <f t="shared" si="38"/>
        <v>-35</v>
      </c>
      <c r="N1991" s="18"/>
      <c r="O1991" s="135"/>
      <c r="P1991" s="175">
        <v>9350</v>
      </c>
      <c r="Q1991" s="25">
        <v>0.1234</v>
      </c>
      <c r="U1991" s="384">
        <v>0</v>
      </c>
      <c r="V1991" s="207"/>
      <c r="W1991" s="285">
        <f t="shared" si="37"/>
        <v>1153.79</v>
      </c>
    </row>
    <row r="1992" spans="1:23" ht="15" customHeight="1">
      <c r="A1992" s="3">
        <v>38670</v>
      </c>
      <c r="B1992" s="9">
        <v>15700</v>
      </c>
      <c r="C1992" s="5">
        <v>3325</v>
      </c>
      <c r="D1992" s="5" t="e">
        <f>E1992-(#REF!+C1992)</f>
        <v>#REF!</v>
      </c>
      <c r="E1992" s="5">
        <v>46050</v>
      </c>
      <c r="K1992" s="22">
        <v>998.5</v>
      </c>
      <c r="L1992" s="6">
        <v>962</v>
      </c>
      <c r="M1992" s="125">
        <f t="shared" si="38"/>
        <v>-36.5</v>
      </c>
      <c r="N1992" s="18"/>
      <c r="O1992" s="135"/>
      <c r="P1992" s="175">
        <v>9350</v>
      </c>
      <c r="Q1992" s="25">
        <v>0.1234</v>
      </c>
      <c r="U1992" s="384">
        <v>0</v>
      </c>
      <c r="V1992" s="207"/>
      <c r="W1992" s="285">
        <f t="shared" si="37"/>
        <v>1153.79</v>
      </c>
    </row>
    <row r="1993" spans="1:23" ht="15" customHeight="1">
      <c r="A1993" s="3">
        <v>38671</v>
      </c>
      <c r="B1993" s="9">
        <v>15350</v>
      </c>
      <c r="C1993" s="5">
        <v>3325</v>
      </c>
      <c r="D1993" s="5" t="e">
        <f>E1993-(#REF!+C1993)</f>
        <v>#REF!</v>
      </c>
      <c r="E1993" s="5">
        <v>45700</v>
      </c>
      <c r="K1993" s="22">
        <v>1015</v>
      </c>
      <c r="L1993" s="6">
        <v>974</v>
      </c>
      <c r="M1993" s="125">
        <f t="shared" si="38"/>
        <v>-41</v>
      </c>
      <c r="N1993" s="18"/>
      <c r="O1993" s="135"/>
      <c r="P1993" s="175">
        <v>9350</v>
      </c>
      <c r="Q1993" s="25">
        <v>0.1234</v>
      </c>
      <c r="U1993" s="384">
        <v>0</v>
      </c>
      <c r="V1993" s="207"/>
      <c r="W1993" s="285">
        <f t="shared" si="37"/>
        <v>1153.79</v>
      </c>
    </row>
    <row r="1994" spans="1:23" ht="15" customHeight="1">
      <c r="A1994" s="3">
        <v>38672</v>
      </c>
      <c r="B1994" s="9">
        <v>15300</v>
      </c>
      <c r="C1994" s="5">
        <v>3025</v>
      </c>
      <c r="D1994" s="5" t="e">
        <f>E1994-(#REF!+C1994)</f>
        <v>#REF!</v>
      </c>
      <c r="E1994" s="5">
        <v>45350</v>
      </c>
      <c r="K1994" s="22">
        <v>995</v>
      </c>
      <c r="L1994" s="6">
        <v>963.5</v>
      </c>
      <c r="M1994" s="125">
        <f t="shared" si="38"/>
        <v>-31.5</v>
      </c>
      <c r="N1994" s="18"/>
      <c r="O1994" s="135"/>
      <c r="P1994" s="175">
        <v>9350</v>
      </c>
      <c r="Q1994" s="25">
        <v>0.1234</v>
      </c>
      <c r="U1994" s="384">
        <v>0</v>
      </c>
      <c r="V1994" s="207"/>
      <c r="W1994" s="285">
        <f t="shared" si="37"/>
        <v>1153.79</v>
      </c>
    </row>
    <row r="1995" spans="1:23" ht="15" customHeight="1">
      <c r="A1995" s="3">
        <v>38673</v>
      </c>
      <c r="B1995" s="9">
        <v>15025</v>
      </c>
      <c r="C1995" s="5">
        <v>2875</v>
      </c>
      <c r="D1995" s="5" t="e">
        <f>E1995-(#REF!+C1995)</f>
        <v>#REF!</v>
      </c>
      <c r="E1995" s="5">
        <v>44925</v>
      </c>
      <c r="K1995" s="22">
        <v>1030</v>
      </c>
      <c r="L1995" s="6">
        <v>998</v>
      </c>
      <c r="M1995" s="125">
        <f t="shared" si="38"/>
        <v>-32</v>
      </c>
      <c r="N1995" s="18"/>
      <c r="O1995" s="135"/>
      <c r="P1995" s="175">
        <v>9350</v>
      </c>
      <c r="Q1995" s="25">
        <v>0.1234</v>
      </c>
      <c r="U1995" s="384">
        <v>0</v>
      </c>
      <c r="V1995" s="207"/>
      <c r="W1995" s="285">
        <f t="shared" si="37"/>
        <v>1153.79</v>
      </c>
    </row>
    <row r="1996" spans="1:23" ht="15" customHeight="1">
      <c r="A1996" s="3">
        <v>38674</v>
      </c>
      <c r="B1996" s="9">
        <v>15000</v>
      </c>
      <c r="C1996" s="5">
        <v>2700</v>
      </c>
      <c r="D1996" s="5" t="e">
        <f>E1996-(#REF!+C1996)</f>
        <v>#REF!</v>
      </c>
      <c r="E1996" s="5">
        <v>44725</v>
      </c>
      <c r="K1996" s="22">
        <v>1030</v>
      </c>
      <c r="L1996" s="6">
        <v>997</v>
      </c>
      <c r="M1996" s="125">
        <f t="shared" si="38"/>
        <v>-33</v>
      </c>
      <c r="N1996" s="18"/>
      <c r="O1996" s="135"/>
      <c r="P1996" s="175">
        <v>9350</v>
      </c>
      <c r="Q1996" s="25">
        <v>0.1234</v>
      </c>
      <c r="U1996" s="384">
        <v>0</v>
      </c>
      <c r="V1996" s="207"/>
      <c r="W1996" s="285">
        <f t="shared" si="37"/>
        <v>1153.79</v>
      </c>
    </row>
    <row r="1997" spans="1:23" ht="15" customHeight="1">
      <c r="A1997" s="3">
        <v>38677</v>
      </c>
      <c r="B1997" s="9">
        <v>15000</v>
      </c>
      <c r="C1997" s="5">
        <v>2600</v>
      </c>
      <c r="D1997" s="5" t="e">
        <f>E1997-(#REF!+C1997)</f>
        <v>#REF!</v>
      </c>
      <c r="E1997" s="5">
        <v>44575</v>
      </c>
      <c r="K1997" s="22">
        <v>1020</v>
      </c>
      <c r="L1997" s="6">
        <v>995.5</v>
      </c>
      <c r="M1997" s="125">
        <f t="shared" si="38"/>
        <v>-24.5</v>
      </c>
      <c r="N1997" s="18"/>
      <c r="O1997" s="135"/>
      <c r="P1997" s="175">
        <v>9375</v>
      </c>
      <c r="Q1997" s="25">
        <v>0.1234</v>
      </c>
      <c r="U1997" s="384">
        <v>0</v>
      </c>
      <c r="V1997" s="207"/>
      <c r="W1997" s="285">
        <f t="shared" si="37"/>
        <v>1156.875</v>
      </c>
    </row>
    <row r="1998" spans="1:23" ht="15" customHeight="1">
      <c r="A1998" s="3">
        <v>38678</v>
      </c>
      <c r="B1998" s="9">
        <v>14900</v>
      </c>
      <c r="C1998" s="5">
        <v>2475</v>
      </c>
      <c r="D1998" s="5" t="e">
        <f>E1998-(#REF!+C1998)</f>
        <v>#REF!</v>
      </c>
      <c r="E1998" s="5">
        <v>44350</v>
      </c>
      <c r="K1998" s="22">
        <v>1012</v>
      </c>
      <c r="L1998" s="6">
        <v>983</v>
      </c>
      <c r="M1998" s="125">
        <f t="shared" si="38"/>
        <v>-29</v>
      </c>
      <c r="N1998" s="18"/>
      <c r="O1998" s="135"/>
      <c r="P1998" s="175">
        <v>9375</v>
      </c>
      <c r="Q1998" s="25">
        <v>0.1234</v>
      </c>
      <c r="U1998" s="384">
        <v>0</v>
      </c>
      <c r="V1998" s="207"/>
      <c r="W1998" s="285">
        <f t="shared" si="37"/>
        <v>1156.875</v>
      </c>
    </row>
    <row r="1999" spans="1:23" ht="15" customHeight="1">
      <c r="A1999" s="3">
        <v>38679</v>
      </c>
      <c r="B1999" s="9">
        <v>14575</v>
      </c>
      <c r="C1999" s="5">
        <v>2275</v>
      </c>
      <c r="D1999" s="5" t="e">
        <f>E1999-(#REF!+C1999)</f>
        <v>#REF!</v>
      </c>
      <c r="E1999" s="5">
        <v>43825</v>
      </c>
      <c r="K1999" s="22">
        <v>991</v>
      </c>
      <c r="L1999" s="6">
        <v>965</v>
      </c>
      <c r="M1999" s="125">
        <f t="shared" si="38"/>
        <v>-26</v>
      </c>
      <c r="N1999" s="18"/>
      <c r="O1999" s="135"/>
      <c r="P1999" s="175">
        <v>9375</v>
      </c>
      <c r="Q1999" s="25">
        <v>0.1234</v>
      </c>
      <c r="U1999" s="384">
        <v>0</v>
      </c>
      <c r="V1999" s="207"/>
      <c r="W1999" s="285">
        <f t="shared" si="37"/>
        <v>1156.875</v>
      </c>
    </row>
    <row r="2000" spans="1:23" ht="15" customHeight="1">
      <c r="A2000" s="3">
        <v>38680</v>
      </c>
      <c r="B2000" s="9">
        <v>14575</v>
      </c>
      <c r="C2000" s="5">
        <v>2100</v>
      </c>
      <c r="D2000" s="5" t="e">
        <f>E2000-(#REF!+C2000)</f>
        <v>#REF!</v>
      </c>
      <c r="E2000" s="5">
        <v>43600</v>
      </c>
      <c r="K2000" s="22">
        <v>1001</v>
      </c>
      <c r="L2000" s="6">
        <v>986</v>
      </c>
      <c r="M2000" s="125">
        <f t="shared" si="38"/>
        <v>-15</v>
      </c>
      <c r="N2000" s="18"/>
      <c r="O2000" s="135"/>
      <c r="P2000" s="175">
        <v>9375</v>
      </c>
      <c r="Q2000" s="25">
        <v>0.1234</v>
      </c>
      <c r="U2000" s="384">
        <v>0</v>
      </c>
      <c r="V2000" s="207"/>
      <c r="W2000" s="285">
        <f t="shared" si="37"/>
        <v>1156.875</v>
      </c>
    </row>
    <row r="2001" spans="1:23" ht="15" customHeight="1">
      <c r="A2001" s="3">
        <v>38681</v>
      </c>
      <c r="B2001" s="9">
        <v>14575</v>
      </c>
      <c r="C2001" s="5">
        <v>1975</v>
      </c>
      <c r="D2001" s="5" t="e">
        <f>E2001-(#REF!+C2001)</f>
        <v>#REF!</v>
      </c>
      <c r="E2001" s="5">
        <v>43425</v>
      </c>
      <c r="K2001" s="22">
        <v>1016.5</v>
      </c>
      <c r="L2001" s="6">
        <v>992.5</v>
      </c>
      <c r="M2001" s="125">
        <f t="shared" si="38"/>
        <v>-24</v>
      </c>
      <c r="N2001" s="18"/>
      <c r="O2001" s="135"/>
      <c r="P2001" s="175">
        <v>9425</v>
      </c>
      <c r="Q2001" s="25">
        <v>0.12379999999999999</v>
      </c>
      <c r="U2001" s="384">
        <v>0</v>
      </c>
      <c r="V2001" s="207"/>
      <c r="W2001" s="285">
        <f t="shared" si="37"/>
        <v>1166.8149999999998</v>
      </c>
    </row>
    <row r="2002" spans="1:23" ht="15" customHeight="1">
      <c r="A2002" s="3">
        <v>38684</v>
      </c>
      <c r="B2002" s="9">
        <v>14575</v>
      </c>
      <c r="C2002" s="5">
        <v>1975</v>
      </c>
      <c r="D2002" s="5" t="e">
        <f>E2002-(#REF!+C2002)</f>
        <v>#REF!</v>
      </c>
      <c r="E2002" s="5">
        <v>43425</v>
      </c>
      <c r="K2002" s="22">
        <v>1027.5</v>
      </c>
      <c r="L2002" s="6">
        <v>1002</v>
      </c>
      <c r="M2002" s="125">
        <f t="shared" si="38"/>
        <v>-25.5</v>
      </c>
      <c r="N2002" s="18"/>
      <c r="O2002" s="135"/>
      <c r="P2002" s="175">
        <v>9425</v>
      </c>
      <c r="Q2002" s="25">
        <v>0.12379999999999999</v>
      </c>
      <c r="U2002" s="384">
        <v>0</v>
      </c>
      <c r="V2002" s="207"/>
      <c r="W2002" s="285">
        <f t="shared" si="37"/>
        <v>1166.8149999999998</v>
      </c>
    </row>
    <row r="2003" spans="1:23" ht="15" customHeight="1">
      <c r="A2003" s="3">
        <v>38685</v>
      </c>
      <c r="B2003" s="9">
        <v>14575</v>
      </c>
      <c r="C2003" s="5">
        <v>1975</v>
      </c>
      <c r="D2003" s="5" t="e">
        <f>E2003-(#REF!+C2003)</f>
        <v>#REF!</v>
      </c>
      <c r="E2003" s="5">
        <v>43425</v>
      </c>
      <c r="K2003" s="22">
        <v>1039.5</v>
      </c>
      <c r="L2003" s="6">
        <v>1013.5</v>
      </c>
      <c r="M2003" s="125">
        <f t="shared" si="38"/>
        <v>-26</v>
      </c>
      <c r="N2003" s="18"/>
      <c r="O2003" s="135"/>
      <c r="P2003" s="175">
        <v>9425</v>
      </c>
      <c r="Q2003" s="25">
        <v>0.12379999999999999</v>
      </c>
      <c r="U2003" s="384">
        <v>0</v>
      </c>
      <c r="V2003" s="207"/>
      <c r="W2003" s="285">
        <f t="shared" si="37"/>
        <v>1166.8149999999998</v>
      </c>
    </row>
    <row r="2004" spans="1:23" ht="15" customHeight="1" thickBot="1">
      <c r="A2004" s="11">
        <v>38686</v>
      </c>
      <c r="B2004" s="9">
        <v>14200</v>
      </c>
      <c r="C2004" s="13">
        <v>1800</v>
      </c>
      <c r="D2004" s="13" t="e">
        <f>E2004-(#REF!+C2004)</f>
        <v>#REF!</v>
      </c>
      <c r="E2004" s="13">
        <v>42850</v>
      </c>
      <c r="F2004" s="12"/>
      <c r="G2004" s="13"/>
      <c r="H2004" s="13"/>
      <c r="I2004" s="119"/>
      <c r="J2004" s="119"/>
      <c r="K2004" s="23">
        <v>1064</v>
      </c>
      <c r="L2004" s="14">
        <v>1035</v>
      </c>
      <c r="M2004" s="126">
        <f t="shared" si="38"/>
        <v>-29</v>
      </c>
      <c r="N2004" s="19">
        <f>AVERAGE(K1983:K2004)</f>
        <v>1018.4090909090909</v>
      </c>
      <c r="O2004" s="136"/>
      <c r="P2004" s="176">
        <v>9475</v>
      </c>
      <c r="Q2004" s="27">
        <v>0.12379999999999999</v>
      </c>
      <c r="R2004" s="27"/>
      <c r="S2004" s="27"/>
      <c r="T2004" s="27"/>
      <c r="U2004" s="385">
        <v>0</v>
      </c>
      <c r="V2004" s="284">
        <f>AVERAGE(P1983:P2004)</f>
        <v>9374.318181818182</v>
      </c>
      <c r="W2004" s="285">
        <f t="shared" si="37"/>
        <v>1173.0049999999999</v>
      </c>
    </row>
    <row r="2005" spans="1:23" ht="15" customHeight="1">
      <c r="A2005" s="3">
        <v>38687</v>
      </c>
      <c r="B2005" s="9">
        <v>13150</v>
      </c>
      <c r="C2005" s="5">
        <v>1400</v>
      </c>
      <c r="D2005" s="5" t="e">
        <f>E2005-(#REF!+C2005)</f>
        <v>#REF!</v>
      </c>
      <c r="E2005" s="5">
        <v>41350</v>
      </c>
      <c r="K2005" s="22">
        <v>1065.5</v>
      </c>
      <c r="L2005" s="6">
        <v>1037.5</v>
      </c>
      <c r="M2005" s="125">
        <f t="shared" si="38"/>
        <v>-28</v>
      </c>
      <c r="N2005" s="18"/>
      <c r="O2005" s="135"/>
      <c r="P2005" s="175">
        <v>9475</v>
      </c>
      <c r="Q2005" s="25">
        <v>0.12379999999999999</v>
      </c>
      <c r="U2005" s="384">
        <v>0</v>
      </c>
      <c r="V2005" s="207"/>
      <c r="W2005" s="285">
        <f t="shared" si="37"/>
        <v>1173.0049999999999</v>
      </c>
    </row>
    <row r="2006" spans="1:23" ht="15" customHeight="1">
      <c r="A2006" s="3">
        <v>38688</v>
      </c>
      <c r="B2006" s="9">
        <v>12825</v>
      </c>
      <c r="C2006" s="5">
        <v>1225</v>
      </c>
      <c r="D2006" s="5" t="e">
        <f>E2006-(#REF!+C2006)</f>
        <v>#REF!</v>
      </c>
      <c r="E2006" s="5">
        <v>40825</v>
      </c>
      <c r="K2006" s="22">
        <v>1092.5</v>
      </c>
      <c r="L2006" s="6">
        <v>1061</v>
      </c>
      <c r="M2006" s="125">
        <f t="shared" si="38"/>
        <v>-31.5</v>
      </c>
      <c r="N2006" s="18"/>
      <c r="O2006" s="135"/>
      <c r="P2006" s="175">
        <v>9475</v>
      </c>
      <c r="Q2006" s="25">
        <v>0.12379999999999999</v>
      </c>
      <c r="U2006" s="384">
        <v>0</v>
      </c>
      <c r="V2006" s="207"/>
      <c r="W2006" s="285">
        <f t="shared" si="37"/>
        <v>1173.0049999999999</v>
      </c>
    </row>
    <row r="2007" spans="1:23" ht="15" customHeight="1">
      <c r="A2007" s="3">
        <v>38691</v>
      </c>
      <c r="B2007" s="9">
        <v>12125</v>
      </c>
      <c r="C2007" s="5">
        <v>1050</v>
      </c>
      <c r="D2007" s="5" t="e">
        <f>E2007-(#REF!+C2007)</f>
        <v>#REF!</v>
      </c>
      <c r="E2007" s="5">
        <v>39950</v>
      </c>
      <c r="K2007" s="22">
        <v>1126</v>
      </c>
      <c r="L2007" s="6">
        <v>1090</v>
      </c>
      <c r="M2007" s="125">
        <f t="shared" si="38"/>
        <v>-36</v>
      </c>
      <c r="N2007" s="18"/>
      <c r="O2007" s="135"/>
      <c r="P2007" s="175">
        <v>9500</v>
      </c>
      <c r="Q2007" s="25">
        <v>0.12379999999999999</v>
      </c>
      <c r="U2007" s="384">
        <v>0</v>
      </c>
      <c r="V2007" s="207"/>
      <c r="W2007" s="285">
        <f t="shared" si="37"/>
        <v>1176.0999999999999</v>
      </c>
    </row>
    <row r="2008" spans="1:23" ht="15" customHeight="1">
      <c r="A2008" s="3">
        <v>38692</v>
      </c>
      <c r="B2008" s="9">
        <v>11700</v>
      </c>
      <c r="C2008" s="5">
        <v>925</v>
      </c>
      <c r="D2008" s="5" t="e">
        <f>E2008-(#REF!+C2008)</f>
        <v>#REF!</v>
      </c>
      <c r="E2008" s="5">
        <v>39400</v>
      </c>
      <c r="K2008" s="22">
        <v>1132</v>
      </c>
      <c r="L2008" s="6">
        <v>1096</v>
      </c>
      <c r="M2008" s="125">
        <f t="shared" si="38"/>
        <v>-36</v>
      </c>
      <c r="N2008" s="18"/>
      <c r="O2008" s="135"/>
      <c r="P2008" s="175">
        <v>9625</v>
      </c>
      <c r="Q2008" s="25">
        <v>0.12379999999999999</v>
      </c>
      <c r="U2008" s="384">
        <v>0</v>
      </c>
      <c r="V2008" s="207"/>
      <c r="W2008" s="285">
        <f t="shared" si="37"/>
        <v>1191.575</v>
      </c>
    </row>
    <row r="2009" spans="1:23" ht="15" customHeight="1">
      <c r="A2009" s="3">
        <v>38693</v>
      </c>
      <c r="B2009" s="9">
        <v>11700</v>
      </c>
      <c r="C2009" s="5">
        <v>850</v>
      </c>
      <c r="D2009" s="5" t="e">
        <f>E2009-(#REF!+C2009)</f>
        <v>#REF!</v>
      </c>
      <c r="E2009" s="5">
        <v>39325</v>
      </c>
      <c r="K2009" s="22">
        <v>1115</v>
      </c>
      <c r="L2009" s="6">
        <v>1085</v>
      </c>
      <c r="M2009" s="125">
        <f t="shared" si="38"/>
        <v>-30</v>
      </c>
      <c r="N2009" s="18"/>
      <c r="O2009" s="135"/>
      <c r="P2009" s="175">
        <v>9625</v>
      </c>
      <c r="Q2009" s="25">
        <v>0.12379999999999999</v>
      </c>
      <c r="U2009" s="384">
        <v>0</v>
      </c>
      <c r="V2009" s="207"/>
      <c r="W2009" s="285">
        <f t="shared" si="37"/>
        <v>1191.575</v>
      </c>
    </row>
    <row r="2010" spans="1:23" ht="15" customHeight="1">
      <c r="A2010" s="3">
        <v>38694</v>
      </c>
      <c r="B2010" s="9">
        <v>11400</v>
      </c>
      <c r="C2010" s="5">
        <v>850</v>
      </c>
      <c r="D2010" s="5" t="e">
        <f>E2010-(#REF!+C2010)</f>
        <v>#REF!</v>
      </c>
      <c r="E2010" s="5">
        <v>39025</v>
      </c>
      <c r="K2010" s="22">
        <v>1135</v>
      </c>
      <c r="L2010" s="6">
        <v>1096</v>
      </c>
      <c r="M2010" s="125">
        <f t="shared" si="38"/>
        <v>-39</v>
      </c>
      <c r="N2010" s="18"/>
      <c r="O2010" s="135"/>
      <c r="P2010" s="175">
        <v>9675</v>
      </c>
      <c r="Q2010" s="25">
        <v>0.12379999999999999</v>
      </c>
      <c r="U2010" s="384">
        <v>0</v>
      </c>
      <c r="V2010" s="207"/>
      <c r="W2010" s="285">
        <f t="shared" si="37"/>
        <v>1197.7649999999999</v>
      </c>
    </row>
    <row r="2011" spans="1:23" ht="15" customHeight="1">
      <c r="A2011" s="3">
        <v>38695</v>
      </c>
      <c r="B2011" s="9">
        <v>10825</v>
      </c>
      <c r="C2011" s="5">
        <v>675</v>
      </c>
      <c r="D2011" s="5" t="e">
        <f>E2011-(#REF!+C2011)</f>
        <v>#REF!</v>
      </c>
      <c r="E2011" s="5">
        <v>38275</v>
      </c>
      <c r="K2011" s="22">
        <v>1142</v>
      </c>
      <c r="L2011" s="6">
        <v>1112</v>
      </c>
      <c r="M2011" s="125">
        <f t="shared" si="38"/>
        <v>-30</v>
      </c>
      <c r="N2011" s="18"/>
      <c r="O2011" s="135"/>
      <c r="P2011" s="175">
        <v>9675</v>
      </c>
      <c r="Q2011" s="25">
        <v>0.12379999999999999</v>
      </c>
      <c r="U2011" s="384">
        <v>0</v>
      </c>
      <c r="V2011" s="207"/>
      <c r="W2011" s="285">
        <f t="shared" si="37"/>
        <v>1197.7649999999999</v>
      </c>
    </row>
    <row r="2012" spans="1:23" ht="15" customHeight="1">
      <c r="A2012" s="3">
        <v>38698</v>
      </c>
      <c r="B2012" s="9">
        <v>10425</v>
      </c>
      <c r="C2012" s="5">
        <v>550</v>
      </c>
      <c r="D2012" s="5" t="e">
        <f>E2012-(#REF!+C2012)</f>
        <v>#REF!</v>
      </c>
      <c r="E2012" s="5">
        <v>37750</v>
      </c>
      <c r="K2012" s="22">
        <v>1154</v>
      </c>
      <c r="L2012" s="6">
        <v>1186.5</v>
      </c>
      <c r="M2012" s="125">
        <f t="shared" si="38"/>
        <v>32.5</v>
      </c>
      <c r="N2012" s="18"/>
      <c r="O2012" s="135"/>
      <c r="P2012" s="175">
        <v>9725</v>
      </c>
      <c r="Q2012" s="25">
        <v>0.12379999999999999</v>
      </c>
      <c r="U2012" s="384">
        <v>0</v>
      </c>
      <c r="V2012" s="207"/>
      <c r="W2012" s="285">
        <f t="shared" si="37"/>
        <v>1203.9549999999999</v>
      </c>
    </row>
    <row r="2013" spans="1:23" ht="15" customHeight="1">
      <c r="A2013" s="3">
        <v>38699</v>
      </c>
      <c r="B2013" s="9">
        <v>11250</v>
      </c>
      <c r="C2013" s="5">
        <v>450</v>
      </c>
      <c r="D2013" s="5" t="e">
        <f>E2013-(#REF!+C2013)</f>
        <v>#REF!</v>
      </c>
      <c r="E2013" s="5">
        <v>38425</v>
      </c>
      <c r="K2013" s="22">
        <v>1155.5</v>
      </c>
      <c r="L2013" s="6">
        <v>1118</v>
      </c>
      <c r="M2013" s="125">
        <f t="shared" si="38"/>
        <v>-37.5</v>
      </c>
      <c r="N2013" s="18"/>
      <c r="O2013" s="135"/>
      <c r="P2013" s="175">
        <v>9775</v>
      </c>
      <c r="Q2013" s="25">
        <v>0.12379999999999999</v>
      </c>
      <c r="U2013" s="384">
        <v>0</v>
      </c>
      <c r="V2013" s="207"/>
      <c r="W2013" s="285">
        <f t="shared" si="37"/>
        <v>1210.145</v>
      </c>
    </row>
    <row r="2014" spans="1:23" ht="15" customHeight="1">
      <c r="A2014" s="3">
        <v>38700</v>
      </c>
      <c r="B2014" s="9">
        <v>11150</v>
      </c>
      <c r="C2014" s="5">
        <v>450</v>
      </c>
      <c r="D2014" s="5" t="e">
        <f>E2014-(#REF!+C2014)</f>
        <v>#REF!</v>
      </c>
      <c r="E2014" s="5">
        <v>38300</v>
      </c>
      <c r="K2014" s="22">
        <v>1129.5</v>
      </c>
      <c r="L2014" s="6">
        <v>1088</v>
      </c>
      <c r="M2014" s="125">
        <f t="shared" si="38"/>
        <v>-41.5</v>
      </c>
      <c r="N2014" s="18"/>
      <c r="O2014" s="135"/>
      <c r="P2014" s="175">
        <v>9825</v>
      </c>
      <c r="Q2014" s="25">
        <v>0.12379999999999999</v>
      </c>
      <c r="U2014" s="384">
        <v>0</v>
      </c>
      <c r="V2014" s="207"/>
      <c r="W2014" s="285">
        <f t="shared" si="37"/>
        <v>1216.335</v>
      </c>
    </row>
    <row r="2015" spans="1:23" ht="15" customHeight="1">
      <c r="A2015" s="3">
        <v>38701</v>
      </c>
      <c r="B2015" s="9">
        <v>12150</v>
      </c>
      <c r="C2015" s="5">
        <v>350</v>
      </c>
      <c r="D2015" s="5" t="e">
        <f>E2015-(#REF!+C2015)</f>
        <v>#REF!</v>
      </c>
      <c r="E2015" s="5">
        <v>39175</v>
      </c>
      <c r="K2015" s="22">
        <v>1104.5</v>
      </c>
      <c r="L2015" s="6">
        <v>1066</v>
      </c>
      <c r="M2015" s="125">
        <f t="shared" si="38"/>
        <v>-38.5</v>
      </c>
      <c r="N2015" s="18"/>
      <c r="O2015" s="135"/>
      <c r="P2015" s="175">
        <v>9825</v>
      </c>
      <c r="Q2015" s="25">
        <v>0.1239</v>
      </c>
      <c r="U2015" s="384">
        <v>0</v>
      </c>
      <c r="V2015" s="207"/>
      <c r="W2015" s="285">
        <f t="shared" si="37"/>
        <v>1217.3174999999999</v>
      </c>
    </row>
    <row r="2016" spans="1:23" ht="15" customHeight="1">
      <c r="A2016" s="3">
        <v>38702</v>
      </c>
      <c r="B2016" s="9">
        <v>12050</v>
      </c>
      <c r="C2016" s="5">
        <v>350</v>
      </c>
      <c r="D2016" s="5" t="e">
        <f>E2016-(#REF!+C2016)</f>
        <v>#REF!</v>
      </c>
      <c r="E2016" s="5">
        <v>39050</v>
      </c>
      <c r="K2016" s="22">
        <v>1141</v>
      </c>
      <c r="L2016" s="6">
        <v>1095</v>
      </c>
      <c r="M2016" s="125">
        <f t="shared" si="38"/>
        <v>-46</v>
      </c>
      <c r="N2016" s="18"/>
      <c r="O2016" s="135"/>
      <c r="P2016" s="175">
        <v>9825</v>
      </c>
      <c r="Q2016" s="25">
        <v>0.1239</v>
      </c>
      <c r="U2016" s="384">
        <v>0</v>
      </c>
      <c r="V2016" s="207"/>
      <c r="W2016" s="285">
        <f t="shared" si="37"/>
        <v>1217.3174999999999</v>
      </c>
    </row>
    <row r="2017" spans="1:23" ht="15" customHeight="1">
      <c r="A2017" s="3">
        <v>38705</v>
      </c>
      <c r="B2017" s="9">
        <v>12050</v>
      </c>
      <c r="C2017" s="5">
        <v>350</v>
      </c>
      <c r="D2017" s="5" t="e">
        <f>E2017-(#REF!+C2017)</f>
        <v>#REF!</v>
      </c>
      <c r="E2017" s="5">
        <v>39050</v>
      </c>
      <c r="K2017" s="22">
        <v>1145.5</v>
      </c>
      <c r="L2017" s="6">
        <v>1097</v>
      </c>
      <c r="M2017" s="125">
        <f t="shared" si="38"/>
        <v>-48.5</v>
      </c>
      <c r="N2017" s="18"/>
      <c r="O2017" s="135"/>
      <c r="P2017" s="175">
        <v>9825</v>
      </c>
      <c r="Q2017" s="25">
        <v>0.1239</v>
      </c>
      <c r="U2017" s="384">
        <v>0</v>
      </c>
      <c r="V2017" s="207"/>
      <c r="W2017" s="285">
        <f t="shared" si="37"/>
        <v>1217.3174999999999</v>
      </c>
    </row>
    <row r="2018" spans="1:23" ht="15" customHeight="1">
      <c r="A2018" s="3">
        <v>38706</v>
      </c>
      <c r="B2018" s="9">
        <v>12025</v>
      </c>
      <c r="C2018" s="5">
        <v>350</v>
      </c>
      <c r="D2018" s="5" t="e">
        <f>E2018-(#REF!+C2018)</f>
        <v>#REF!</v>
      </c>
      <c r="E2018" s="5">
        <v>39025</v>
      </c>
      <c r="K2018" s="22">
        <v>1132</v>
      </c>
      <c r="L2018" s="6">
        <v>1098</v>
      </c>
      <c r="M2018" s="125">
        <f t="shared" si="38"/>
        <v>-34</v>
      </c>
      <c r="N2018" s="18"/>
      <c r="O2018" s="135"/>
      <c r="P2018" s="175">
        <v>9875</v>
      </c>
      <c r="Q2018" s="25">
        <v>0.1239</v>
      </c>
      <c r="U2018" s="384">
        <v>0</v>
      </c>
      <c r="V2018" s="207"/>
      <c r="W2018" s="285">
        <f t="shared" si="37"/>
        <v>1223.5125</v>
      </c>
    </row>
    <row r="2019" spans="1:23" ht="15" customHeight="1">
      <c r="A2019" s="3">
        <v>38707</v>
      </c>
      <c r="B2019" s="9">
        <v>12125</v>
      </c>
      <c r="C2019" s="5">
        <v>275</v>
      </c>
      <c r="D2019" s="5" t="e">
        <f>E2019-(#REF!+C2019)</f>
        <v>#REF!</v>
      </c>
      <c r="E2019" s="5">
        <v>39400</v>
      </c>
      <c r="K2019" s="22">
        <v>1122</v>
      </c>
      <c r="L2019" s="6">
        <v>1091</v>
      </c>
      <c r="M2019" s="125">
        <f t="shared" si="38"/>
        <v>-31</v>
      </c>
      <c r="N2019" s="18"/>
      <c r="O2019" s="135"/>
      <c r="P2019" s="175">
        <v>9875</v>
      </c>
      <c r="Q2019" s="25">
        <v>0.1239</v>
      </c>
      <c r="U2019" s="384">
        <v>0</v>
      </c>
      <c r="V2019" s="207"/>
      <c r="W2019" s="285">
        <f t="shared" si="37"/>
        <v>1223.5125</v>
      </c>
    </row>
    <row r="2020" spans="1:23" ht="15" customHeight="1">
      <c r="A2020" s="3">
        <v>38708</v>
      </c>
      <c r="B2020" s="9">
        <v>12425</v>
      </c>
      <c r="C2020" s="5">
        <v>150</v>
      </c>
      <c r="D2020" s="5" t="e">
        <f>E2020-(#REF!+C2020)</f>
        <v>#REF!</v>
      </c>
      <c r="E2020" s="5">
        <v>40075</v>
      </c>
      <c r="K2020" s="22">
        <v>1128</v>
      </c>
      <c r="L2020" s="6">
        <v>1104</v>
      </c>
      <c r="M2020" s="125">
        <f t="shared" si="38"/>
        <v>-24</v>
      </c>
      <c r="N2020" s="18"/>
      <c r="O2020" s="135"/>
      <c r="P2020" s="175">
        <v>9875</v>
      </c>
      <c r="Q2020" s="25">
        <v>0.12379999999999999</v>
      </c>
      <c r="U2020" s="384">
        <v>0</v>
      </c>
      <c r="V2020" s="207"/>
      <c r="W2020" s="285">
        <f t="shared" si="37"/>
        <v>1222.5249999999999</v>
      </c>
    </row>
    <row r="2021" spans="1:23" ht="15" customHeight="1">
      <c r="A2021" s="3">
        <v>38709</v>
      </c>
      <c r="B2021" s="9">
        <v>12425</v>
      </c>
      <c r="C2021" s="5">
        <v>150</v>
      </c>
      <c r="D2021" s="5" t="e">
        <f>E2021-(#REF!+C2021)</f>
        <v>#REF!</v>
      </c>
      <c r="E2021" s="5">
        <v>41175</v>
      </c>
      <c r="K2021" s="22">
        <v>1135.5</v>
      </c>
      <c r="L2021" s="6">
        <v>1110</v>
      </c>
      <c r="M2021" s="125">
        <f t="shared" si="38"/>
        <v>-25.5</v>
      </c>
      <c r="N2021" s="18"/>
      <c r="O2021" s="135"/>
      <c r="P2021" s="175">
        <v>9875</v>
      </c>
      <c r="Q2021" s="25">
        <v>0.12379999999999999</v>
      </c>
      <c r="U2021" s="384">
        <v>0</v>
      </c>
      <c r="V2021" s="207"/>
      <c r="W2021" s="285">
        <f t="shared" si="37"/>
        <v>1222.5249999999999</v>
      </c>
    </row>
    <row r="2022" spans="1:23" ht="15" customHeight="1">
      <c r="A2022" s="3">
        <v>38714</v>
      </c>
      <c r="B2022" s="9">
        <v>12425</v>
      </c>
      <c r="C2022" s="5">
        <v>100</v>
      </c>
      <c r="D2022" s="5" t="e">
        <f>E2022-(#REF!+C2022)</f>
        <v>#REF!</v>
      </c>
      <c r="E2022" s="5">
        <v>41875</v>
      </c>
      <c r="K2022" s="22">
        <v>1133</v>
      </c>
      <c r="L2022" s="6">
        <v>1110.5</v>
      </c>
      <c r="M2022" s="125">
        <f t="shared" si="38"/>
        <v>-22.5</v>
      </c>
      <c r="N2022" s="18"/>
      <c r="O2022" s="135"/>
      <c r="P2022" s="175">
        <v>9925</v>
      </c>
      <c r="Q2022" s="25">
        <v>0.1239</v>
      </c>
      <c r="U2022" s="384">
        <v>0</v>
      </c>
      <c r="V2022" s="207"/>
      <c r="W2022" s="285">
        <f t="shared" si="37"/>
        <v>1229.7075</v>
      </c>
    </row>
    <row r="2023" spans="1:23" ht="15" customHeight="1">
      <c r="A2023" s="3">
        <v>38715</v>
      </c>
      <c r="B2023" s="9">
        <v>13050</v>
      </c>
      <c r="C2023" s="5">
        <v>100</v>
      </c>
      <c r="D2023" s="5" t="e">
        <f>E2023-(#REF!+C2023)</f>
        <v>#REF!</v>
      </c>
      <c r="E2023" s="5">
        <v>43475</v>
      </c>
      <c r="K2023" s="22">
        <v>1093</v>
      </c>
      <c r="L2023" s="6">
        <v>1055.5</v>
      </c>
      <c r="M2023" s="125">
        <f t="shared" si="38"/>
        <v>-37.5</v>
      </c>
      <c r="N2023" s="18"/>
      <c r="O2023" s="135"/>
      <c r="P2023" s="175">
        <v>10000</v>
      </c>
      <c r="Q2023" s="25">
        <v>0.1239</v>
      </c>
      <c r="U2023" s="384">
        <v>0</v>
      </c>
      <c r="V2023" s="207"/>
      <c r="W2023" s="285">
        <f t="shared" si="37"/>
        <v>1239</v>
      </c>
    </row>
    <row r="2024" spans="1:23" ht="15" customHeight="1" thickBot="1">
      <c r="A2024" s="11">
        <v>38716</v>
      </c>
      <c r="B2024" s="9">
        <v>12925</v>
      </c>
      <c r="C2024" s="13">
        <v>100</v>
      </c>
      <c r="D2024" s="13" t="e">
        <f>E2024-(#REF!+C2024)</f>
        <v>#REF!</v>
      </c>
      <c r="E2024" s="13">
        <v>43625</v>
      </c>
      <c r="F2024" s="12"/>
      <c r="G2024" s="13"/>
      <c r="H2024" s="13"/>
      <c r="I2024" s="119"/>
      <c r="J2024" s="119"/>
      <c r="K2024" s="23">
        <v>1100</v>
      </c>
      <c r="L2024" s="14">
        <v>1058.5</v>
      </c>
      <c r="M2024" s="126">
        <f t="shared" si="38"/>
        <v>-41.5</v>
      </c>
      <c r="N2024" s="19">
        <f>AVERAGE(K2005:K2024)</f>
        <v>1124.075</v>
      </c>
      <c r="O2024" s="136">
        <f>AVERAGE(K1773:K2024)</f>
        <v>975.65476190476193</v>
      </c>
      <c r="P2024" s="176">
        <v>10000</v>
      </c>
      <c r="Q2024" s="27">
        <v>0.12379999999999999</v>
      </c>
      <c r="R2024" s="27"/>
      <c r="S2024" s="27"/>
      <c r="T2024" s="27"/>
      <c r="U2024" s="385">
        <v>0</v>
      </c>
      <c r="V2024" s="284">
        <f>AVERAGE(P2005:P2024)</f>
        <v>9763.75</v>
      </c>
      <c r="W2024" s="285">
        <f t="shared" si="37"/>
        <v>1238</v>
      </c>
    </row>
    <row r="2025" spans="1:23" ht="15" customHeight="1">
      <c r="A2025" s="3">
        <v>38720</v>
      </c>
      <c r="B2025" s="9">
        <v>12750</v>
      </c>
      <c r="C2025" s="5">
        <v>100</v>
      </c>
      <c r="D2025" s="5" t="e">
        <f>E2025-(#REF!+C2025)</f>
        <v>#REF!</v>
      </c>
      <c r="E2025" s="5">
        <v>43600</v>
      </c>
      <c r="K2025" s="22">
        <v>1101</v>
      </c>
      <c r="L2025" s="6">
        <v>1071</v>
      </c>
      <c r="M2025" s="125">
        <f t="shared" si="38"/>
        <v>-30</v>
      </c>
      <c r="N2025" s="18"/>
      <c r="O2025" s="135"/>
      <c r="P2025" s="175">
        <v>10000</v>
      </c>
      <c r="Q2025" s="25">
        <v>0.1239</v>
      </c>
      <c r="U2025" s="384">
        <v>0</v>
      </c>
      <c r="V2025" s="207"/>
      <c r="W2025" s="285">
        <f t="shared" si="37"/>
        <v>1239</v>
      </c>
    </row>
    <row r="2026" spans="1:23" ht="15" customHeight="1">
      <c r="A2026" s="3">
        <v>38721</v>
      </c>
      <c r="B2026" s="9">
        <v>12450</v>
      </c>
      <c r="C2026" s="5">
        <v>100</v>
      </c>
      <c r="D2026" s="5" t="e">
        <f>E2026-(#REF!+C2026)</f>
        <v>#REF!</v>
      </c>
      <c r="E2026" s="5">
        <v>42000</v>
      </c>
      <c r="K2026" s="22">
        <v>1138</v>
      </c>
      <c r="L2026" s="6">
        <v>1104</v>
      </c>
      <c r="M2026" s="125">
        <f t="shared" si="38"/>
        <v>-34</v>
      </c>
      <c r="N2026" s="18"/>
      <c r="O2026" s="132"/>
      <c r="P2026" s="175">
        <v>10000</v>
      </c>
      <c r="Q2026" s="25">
        <v>0.1239</v>
      </c>
      <c r="U2026" s="384">
        <v>0</v>
      </c>
      <c r="V2026" s="207"/>
      <c r="W2026" s="285">
        <f t="shared" si="37"/>
        <v>1239</v>
      </c>
    </row>
    <row r="2027" spans="1:23" ht="15" customHeight="1">
      <c r="A2027" s="3">
        <v>38722</v>
      </c>
      <c r="B2027" s="9">
        <v>13075</v>
      </c>
      <c r="C2027" s="5">
        <v>100</v>
      </c>
      <c r="D2027" s="5" t="e">
        <f>E2027-(#REF!+C2027)</f>
        <v>#REF!</v>
      </c>
      <c r="E2027" s="5">
        <v>43375</v>
      </c>
      <c r="K2027" s="22">
        <v>1129</v>
      </c>
      <c r="L2027" s="6">
        <v>1099.5</v>
      </c>
      <c r="M2027" s="125">
        <f t="shared" si="38"/>
        <v>-29.5</v>
      </c>
      <c r="N2027" s="18"/>
      <c r="O2027" s="132"/>
      <c r="P2027" s="175">
        <v>10000</v>
      </c>
      <c r="Q2027" s="25">
        <v>0.1239</v>
      </c>
      <c r="U2027" s="384">
        <v>0</v>
      </c>
      <c r="V2027" s="207"/>
      <c r="W2027" s="285">
        <f t="shared" si="37"/>
        <v>1239</v>
      </c>
    </row>
    <row r="2028" spans="1:23" ht="15" customHeight="1">
      <c r="A2028" s="3">
        <v>38723</v>
      </c>
      <c r="B2028" s="9">
        <v>13125</v>
      </c>
      <c r="C2028" s="5">
        <v>100</v>
      </c>
      <c r="D2028" s="5" t="e">
        <f>E2028-(#REF!+C2028)</f>
        <v>#REF!</v>
      </c>
      <c r="E2028" s="5">
        <v>44400</v>
      </c>
      <c r="K2028" s="22">
        <v>1125</v>
      </c>
      <c r="L2028" s="6">
        <v>1085.5</v>
      </c>
      <c r="M2028" s="125">
        <f t="shared" si="38"/>
        <v>-39.5</v>
      </c>
      <c r="N2028" s="18"/>
      <c r="O2028" s="132"/>
      <c r="P2028" s="175">
        <v>10000</v>
      </c>
      <c r="Q2028" s="25">
        <v>0.124</v>
      </c>
      <c r="U2028" s="384">
        <v>0</v>
      </c>
      <c r="V2028" s="207"/>
      <c r="W2028" s="285">
        <f t="shared" si="37"/>
        <v>1240</v>
      </c>
    </row>
    <row r="2029" spans="1:23" ht="15" customHeight="1">
      <c r="A2029" s="3">
        <v>38726</v>
      </c>
      <c r="B2029" s="9">
        <v>13000</v>
      </c>
      <c r="C2029" s="5">
        <v>100</v>
      </c>
      <c r="D2029" s="5" t="e">
        <f>E2029-(#REF!+C2029)</f>
        <v>#REF!</v>
      </c>
      <c r="E2029" s="5">
        <v>44275</v>
      </c>
      <c r="K2029" s="22">
        <v>1140</v>
      </c>
      <c r="L2029" s="6">
        <v>1115.5</v>
      </c>
      <c r="M2029" s="125">
        <f t="shared" si="38"/>
        <v>-24.5</v>
      </c>
      <c r="N2029" s="18"/>
      <c r="O2029" s="132"/>
      <c r="P2029" s="175">
        <v>10025</v>
      </c>
      <c r="Q2029" s="25">
        <v>0.1239</v>
      </c>
      <c r="U2029" s="384">
        <v>0</v>
      </c>
      <c r="V2029" s="207"/>
      <c r="W2029" s="285">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25">
        <f t="shared" si="38"/>
        <v>-27.5</v>
      </c>
      <c r="N2030" s="18"/>
      <c r="O2030" s="132"/>
      <c r="P2030" s="175">
        <v>10025</v>
      </c>
      <c r="Q2030" s="25">
        <v>0.124</v>
      </c>
      <c r="U2030" s="384">
        <v>0</v>
      </c>
      <c r="V2030" s="207"/>
      <c r="W2030" s="285">
        <f t="shared" si="39"/>
        <v>1243.0999999999999</v>
      </c>
    </row>
    <row r="2031" spans="1:23" ht="15" customHeight="1">
      <c r="A2031" s="3">
        <v>38728</v>
      </c>
      <c r="B2031" s="9">
        <v>13875</v>
      </c>
      <c r="C2031" s="5">
        <v>100</v>
      </c>
      <c r="D2031" s="5" t="e">
        <f>E2031-(#REF!+C2031)</f>
        <v>#REF!</v>
      </c>
      <c r="E2031" s="5">
        <v>46500</v>
      </c>
      <c r="K2031" s="22">
        <v>1165</v>
      </c>
      <c r="L2031" s="6">
        <v>1138</v>
      </c>
      <c r="M2031" s="125">
        <f t="shared" si="38"/>
        <v>-27</v>
      </c>
      <c r="N2031" s="18"/>
      <c r="O2031" s="132"/>
      <c r="P2031" s="175">
        <v>10025</v>
      </c>
      <c r="Q2031" s="25">
        <v>0.1239</v>
      </c>
      <c r="U2031" s="384">
        <v>0</v>
      </c>
      <c r="V2031" s="207"/>
      <c r="W2031" s="285">
        <f t="shared" si="39"/>
        <v>1242.0974999999999</v>
      </c>
    </row>
    <row r="2032" spans="1:23" ht="15" customHeight="1">
      <c r="A2032" s="3">
        <v>38729</v>
      </c>
      <c r="B2032" s="9">
        <v>13875</v>
      </c>
      <c r="C2032" s="5">
        <v>100</v>
      </c>
      <c r="D2032" s="5" t="e">
        <f>E2032-(#REF!+C2032)</f>
        <v>#REF!</v>
      </c>
      <c r="E2032" s="5">
        <v>47325</v>
      </c>
      <c r="K2032" s="22">
        <v>1189</v>
      </c>
      <c r="L2032" s="6">
        <v>1155.5</v>
      </c>
      <c r="M2032" s="125">
        <f t="shared" si="38"/>
        <v>-33.5</v>
      </c>
      <c r="N2032" s="18"/>
      <c r="O2032" s="132"/>
      <c r="P2032" s="175">
        <v>10075</v>
      </c>
      <c r="Q2032" s="25">
        <v>0.1239</v>
      </c>
      <c r="U2032" s="384">
        <v>0</v>
      </c>
      <c r="V2032" s="207"/>
      <c r="W2032" s="285">
        <f t="shared" si="39"/>
        <v>1248.2925</v>
      </c>
    </row>
    <row r="2033" spans="1:23" ht="15" customHeight="1">
      <c r="A2033" s="3">
        <v>38730</v>
      </c>
      <c r="B2033" s="9">
        <v>13575</v>
      </c>
      <c r="C2033" s="5">
        <v>100</v>
      </c>
      <c r="D2033" s="5" t="e">
        <f>E2033-(#REF!+C2033)</f>
        <v>#REF!</v>
      </c>
      <c r="E2033" s="5">
        <v>47875</v>
      </c>
      <c r="K2033" s="22">
        <v>1229.5</v>
      </c>
      <c r="L2033" s="6">
        <v>1190</v>
      </c>
      <c r="M2033" s="125">
        <f t="shared" si="38"/>
        <v>-39.5</v>
      </c>
      <c r="N2033" s="18"/>
      <c r="O2033" s="132"/>
      <c r="P2033" s="175">
        <v>10150</v>
      </c>
      <c r="Q2033" s="25">
        <v>0.1239</v>
      </c>
      <c r="U2033" s="384">
        <v>0</v>
      </c>
      <c r="V2033" s="207"/>
      <c r="W2033" s="285">
        <f t="shared" si="39"/>
        <v>1257.585</v>
      </c>
    </row>
    <row r="2034" spans="1:23" ht="15" customHeight="1">
      <c r="A2034" s="3">
        <v>38733</v>
      </c>
      <c r="B2034" s="9">
        <v>14725</v>
      </c>
      <c r="C2034" s="5">
        <v>100</v>
      </c>
      <c r="D2034" s="5" t="e">
        <f>E2034-(#REF!+C2034)</f>
        <v>#REF!</v>
      </c>
      <c r="E2034" s="5">
        <v>49875</v>
      </c>
      <c r="K2034" s="22">
        <v>1265</v>
      </c>
      <c r="L2034" s="6">
        <v>1233</v>
      </c>
      <c r="M2034" s="125">
        <f t="shared" si="38"/>
        <v>-32</v>
      </c>
      <c r="N2034" s="18"/>
      <c r="O2034" s="132"/>
      <c r="P2034" s="175">
        <v>10300</v>
      </c>
      <c r="Q2034" s="25">
        <v>0.1239</v>
      </c>
      <c r="U2034" s="384">
        <v>0</v>
      </c>
      <c r="V2034" s="207"/>
      <c r="W2034" s="285">
        <f t="shared" si="39"/>
        <v>1276.17</v>
      </c>
    </row>
    <row r="2035" spans="1:23" ht="15" customHeight="1">
      <c r="A2035" s="3">
        <v>38734</v>
      </c>
      <c r="B2035" s="9">
        <v>14625</v>
      </c>
      <c r="C2035" s="5">
        <v>100</v>
      </c>
      <c r="D2035" s="5" t="e">
        <f>E2035-(#REF!+C2035)</f>
        <v>#REF!</v>
      </c>
      <c r="E2035" s="5">
        <v>50625</v>
      </c>
      <c r="K2035" s="22">
        <v>1269</v>
      </c>
      <c r="L2035" s="6">
        <v>1234</v>
      </c>
      <c r="M2035" s="125">
        <f t="shared" si="38"/>
        <v>-35</v>
      </c>
      <c r="N2035" s="18"/>
      <c r="O2035" s="132"/>
      <c r="P2035" s="175">
        <v>10350</v>
      </c>
      <c r="Q2035" s="25">
        <v>0.124</v>
      </c>
      <c r="U2035" s="384">
        <v>0</v>
      </c>
      <c r="V2035" s="207"/>
      <c r="W2035" s="285">
        <f t="shared" si="39"/>
        <v>1283.4000000000001</v>
      </c>
    </row>
    <row r="2036" spans="1:23" ht="15" customHeight="1">
      <c r="A2036" s="3">
        <v>38735</v>
      </c>
      <c r="B2036" s="9">
        <v>14550</v>
      </c>
      <c r="C2036" s="5">
        <v>100</v>
      </c>
      <c r="D2036" s="5" t="e">
        <f>E2036-(#REF!+C2036)</f>
        <v>#REF!</v>
      </c>
      <c r="E2036" s="5">
        <v>50625</v>
      </c>
      <c r="K2036" s="22">
        <v>1296</v>
      </c>
      <c r="L2036" s="6">
        <v>1256</v>
      </c>
      <c r="M2036" s="125">
        <f t="shared" si="38"/>
        <v>-40</v>
      </c>
      <c r="N2036" s="18"/>
      <c r="O2036" s="132"/>
      <c r="P2036" s="175">
        <v>10825</v>
      </c>
      <c r="Q2036" s="25">
        <v>0.124</v>
      </c>
      <c r="U2036" s="384">
        <v>0</v>
      </c>
      <c r="V2036" s="207"/>
      <c r="W2036" s="285">
        <f t="shared" si="39"/>
        <v>1342.3</v>
      </c>
    </row>
    <row r="2037" spans="1:23" ht="15" customHeight="1">
      <c r="A2037" s="3">
        <v>38736</v>
      </c>
      <c r="B2037" s="9">
        <v>14850</v>
      </c>
      <c r="C2037" s="5">
        <v>100</v>
      </c>
      <c r="D2037" s="5" t="e">
        <f>E2037-(#REF!+C2037)</f>
        <v>#REF!</v>
      </c>
      <c r="E2037" s="5">
        <v>51500</v>
      </c>
      <c r="K2037" s="22">
        <v>1307</v>
      </c>
      <c r="L2037" s="6">
        <v>1265</v>
      </c>
      <c r="M2037" s="125">
        <f t="shared" si="38"/>
        <v>-42</v>
      </c>
      <c r="N2037" s="18"/>
      <c r="O2037" s="132"/>
      <c r="P2037" s="175">
        <v>11150</v>
      </c>
      <c r="Q2037" s="25">
        <v>0.1239</v>
      </c>
      <c r="U2037" s="384">
        <v>0</v>
      </c>
      <c r="V2037" s="207"/>
      <c r="W2037" s="285">
        <f t="shared" si="39"/>
        <v>1381.4849999999999</v>
      </c>
    </row>
    <row r="2038" spans="1:23" ht="15" customHeight="1">
      <c r="A2038" s="3">
        <v>38737</v>
      </c>
      <c r="B2038" s="9">
        <v>16325</v>
      </c>
      <c r="C2038" s="5">
        <v>100</v>
      </c>
      <c r="D2038" s="5" t="e">
        <f>E2038-(#REF!+C2038)</f>
        <v>#REF!</v>
      </c>
      <c r="E2038" s="5">
        <v>53900</v>
      </c>
      <c r="K2038" s="22">
        <v>1300.5</v>
      </c>
      <c r="L2038" s="6">
        <v>1270</v>
      </c>
      <c r="M2038" s="125">
        <f t="shared" si="38"/>
        <v>-30.5</v>
      </c>
      <c r="N2038" s="18"/>
      <c r="O2038" s="132"/>
      <c r="P2038" s="175">
        <v>11150</v>
      </c>
      <c r="Q2038" s="25">
        <v>0.1239</v>
      </c>
      <c r="U2038" s="384">
        <v>0</v>
      </c>
      <c r="V2038" s="207"/>
      <c r="W2038" s="285">
        <f t="shared" si="39"/>
        <v>1381.4849999999999</v>
      </c>
    </row>
    <row r="2039" spans="1:23" ht="15" customHeight="1">
      <c r="A2039" s="3">
        <v>38740</v>
      </c>
      <c r="B2039" s="9">
        <v>16450</v>
      </c>
      <c r="C2039" s="5">
        <v>100</v>
      </c>
      <c r="D2039" s="5" t="e">
        <f>E2039-(#REF!+C2039)</f>
        <v>#REF!</v>
      </c>
      <c r="E2039" s="5">
        <v>54650</v>
      </c>
      <c r="K2039" s="22">
        <v>1331.5</v>
      </c>
      <c r="L2039" s="6">
        <v>1293</v>
      </c>
      <c r="M2039" s="125">
        <f t="shared" ref="M2039:M2102" si="40">L2039-K2039</f>
        <v>-38.5</v>
      </c>
      <c r="N2039" s="18"/>
      <c r="O2039" s="132"/>
      <c r="P2039" s="175">
        <v>11150</v>
      </c>
      <c r="Q2039" s="25">
        <v>0.124</v>
      </c>
      <c r="U2039" s="384">
        <v>0</v>
      </c>
      <c r="V2039" s="207"/>
      <c r="W2039" s="285">
        <f t="shared" si="39"/>
        <v>1382.6</v>
      </c>
    </row>
    <row r="2040" spans="1:23" ht="15" customHeight="1">
      <c r="A2040" s="3">
        <v>38741</v>
      </c>
      <c r="B2040" s="9">
        <v>17325</v>
      </c>
      <c r="C2040" s="5">
        <v>100</v>
      </c>
      <c r="D2040" s="5" t="e">
        <f>E2040-(#REF!+C2040)</f>
        <v>#REF!</v>
      </c>
      <c r="E2040" s="5">
        <v>56225</v>
      </c>
      <c r="K2040" s="22">
        <v>1345.5</v>
      </c>
      <c r="L2040" s="6">
        <v>1313</v>
      </c>
      <c r="M2040" s="125">
        <f t="shared" si="40"/>
        <v>-32.5</v>
      </c>
      <c r="N2040" s="18"/>
      <c r="O2040" s="132"/>
      <c r="P2040" s="175">
        <v>11050</v>
      </c>
      <c r="Q2040" s="25">
        <v>0.124</v>
      </c>
      <c r="U2040" s="384">
        <v>0</v>
      </c>
      <c r="V2040" s="207"/>
      <c r="W2040" s="285">
        <f t="shared" si="39"/>
        <v>1370.2</v>
      </c>
    </row>
    <row r="2041" spans="1:23" ht="15" customHeight="1">
      <c r="A2041" s="3">
        <v>38742</v>
      </c>
      <c r="B2041" s="9">
        <v>18000</v>
      </c>
      <c r="C2041" s="5">
        <v>100</v>
      </c>
      <c r="D2041" s="5" t="e">
        <f>E2041-(#REF!+C2041)</f>
        <v>#REF!</v>
      </c>
      <c r="E2041" s="5">
        <v>57650</v>
      </c>
      <c r="K2041" s="22">
        <v>1409.5</v>
      </c>
      <c r="L2041" s="6">
        <v>1374</v>
      </c>
      <c r="M2041" s="125">
        <f t="shared" si="40"/>
        <v>-35.5</v>
      </c>
      <c r="N2041" s="18"/>
      <c r="O2041" s="132"/>
      <c r="P2041" s="175">
        <v>11100</v>
      </c>
      <c r="Q2041" s="25">
        <v>0.124</v>
      </c>
      <c r="U2041" s="384">
        <v>0</v>
      </c>
      <c r="V2041" s="207"/>
      <c r="W2041" s="285">
        <f t="shared" si="39"/>
        <v>1376.4</v>
      </c>
    </row>
    <row r="2042" spans="1:23" ht="15" customHeight="1">
      <c r="A2042" s="3">
        <v>38743</v>
      </c>
      <c r="B2042" s="9">
        <v>17350</v>
      </c>
      <c r="C2042" s="5">
        <v>100</v>
      </c>
      <c r="D2042" s="5" t="e">
        <f>E2042-(#REF!+C2042)</f>
        <v>#REF!</v>
      </c>
      <c r="E2042" s="5">
        <v>57600</v>
      </c>
      <c r="K2042" s="22">
        <v>1415</v>
      </c>
      <c r="L2042" s="6">
        <v>1374</v>
      </c>
      <c r="M2042" s="125">
        <f t="shared" si="40"/>
        <v>-41</v>
      </c>
      <c r="N2042" s="18"/>
      <c r="O2042" s="132"/>
      <c r="P2042" s="175">
        <v>11250</v>
      </c>
      <c r="Q2042" s="25">
        <v>0.124</v>
      </c>
      <c r="U2042" s="384">
        <v>0</v>
      </c>
      <c r="V2042" s="207"/>
      <c r="W2042" s="285">
        <f t="shared" si="39"/>
        <v>1395</v>
      </c>
    </row>
    <row r="2043" spans="1:23" ht="15" customHeight="1">
      <c r="A2043" s="3">
        <v>38744</v>
      </c>
      <c r="B2043" s="9">
        <v>17875</v>
      </c>
      <c r="C2043" s="5">
        <v>100</v>
      </c>
      <c r="D2043" s="5" t="e">
        <f>E2043-(#REF!+C2043)</f>
        <v>#REF!</v>
      </c>
      <c r="E2043" s="5">
        <v>59125</v>
      </c>
      <c r="K2043" s="22">
        <v>1330</v>
      </c>
      <c r="L2043" s="6">
        <v>1290</v>
      </c>
      <c r="M2043" s="125">
        <f t="shared" si="40"/>
        <v>-40</v>
      </c>
      <c r="N2043" s="18"/>
      <c r="O2043" s="132"/>
      <c r="P2043" s="175">
        <v>11250</v>
      </c>
      <c r="Q2043" s="25">
        <v>0.124</v>
      </c>
      <c r="U2043" s="384">
        <v>0</v>
      </c>
      <c r="V2043" s="207"/>
      <c r="W2043" s="285">
        <f t="shared" si="39"/>
        <v>1395</v>
      </c>
    </row>
    <row r="2044" spans="1:23" ht="15" customHeight="1">
      <c r="A2044" s="3">
        <v>38747</v>
      </c>
      <c r="B2044" s="9">
        <v>18525</v>
      </c>
      <c r="C2044" s="5">
        <v>100</v>
      </c>
      <c r="D2044" s="5" t="e">
        <f>E2044-(#REF!+C2044)</f>
        <v>#REF!</v>
      </c>
      <c r="E2044" s="5">
        <v>59750</v>
      </c>
      <c r="K2044" s="22">
        <v>1330</v>
      </c>
      <c r="L2044" s="6">
        <v>1279</v>
      </c>
      <c r="M2044" s="125">
        <f t="shared" si="40"/>
        <v>-51</v>
      </c>
      <c r="N2044" s="18"/>
      <c r="O2044" s="132"/>
      <c r="P2044" s="175">
        <v>11250</v>
      </c>
      <c r="Q2044" s="25">
        <v>0.124</v>
      </c>
      <c r="U2044" s="384">
        <v>0</v>
      </c>
      <c r="V2044" s="207"/>
      <c r="W2044" s="285">
        <f t="shared" si="39"/>
        <v>1395</v>
      </c>
    </row>
    <row r="2045" spans="1:23" ht="15" customHeight="1" thickBot="1">
      <c r="A2045" s="11">
        <v>38748</v>
      </c>
      <c r="B2045" s="9">
        <v>18525</v>
      </c>
      <c r="C2045" s="13">
        <v>100</v>
      </c>
      <c r="D2045" s="13" t="e">
        <f>E2045-(#REF!+C2045)</f>
        <v>#REF!</v>
      </c>
      <c r="E2045" s="13">
        <v>59750</v>
      </c>
      <c r="F2045" s="12"/>
      <c r="G2045" s="13"/>
      <c r="H2045" s="13"/>
      <c r="I2045" s="119"/>
      <c r="J2045" s="119"/>
      <c r="K2045" s="23">
        <v>1410</v>
      </c>
      <c r="L2045" s="14">
        <v>1348</v>
      </c>
      <c r="M2045" s="126">
        <f t="shared" si="40"/>
        <v>-62</v>
      </c>
      <c r="N2045" s="19">
        <f>AVERAGE(K2025:K2045)</f>
        <v>1256.3333333333333</v>
      </c>
      <c r="O2045" s="133"/>
      <c r="P2045" s="176">
        <v>11250</v>
      </c>
      <c r="Q2045" s="27">
        <v>0.1241</v>
      </c>
      <c r="R2045" s="27"/>
      <c r="S2045" s="27"/>
      <c r="T2045" s="27"/>
      <c r="U2045" s="385">
        <v>0</v>
      </c>
      <c r="V2045" s="284">
        <f>AVERAGE(P2025:P2045)</f>
        <v>10589.285714285714</v>
      </c>
      <c r="W2045" s="285">
        <f t="shared" si="39"/>
        <v>1396.125</v>
      </c>
    </row>
    <row r="2046" spans="1:23" ht="15" customHeight="1">
      <c r="A2046" s="3">
        <v>38749</v>
      </c>
      <c r="B2046" s="9">
        <v>18525</v>
      </c>
      <c r="C2046" s="5">
        <v>100</v>
      </c>
      <c r="D2046" s="5" t="e">
        <f>E2046-(#REF!+C2046)</f>
        <v>#REF!</v>
      </c>
      <c r="E2046" s="5">
        <v>59750</v>
      </c>
      <c r="K2046" s="22">
        <v>1392</v>
      </c>
      <c r="L2046" s="6">
        <v>1350</v>
      </c>
      <c r="M2046" s="125">
        <f t="shared" si="40"/>
        <v>-42</v>
      </c>
      <c r="N2046" s="18"/>
      <c r="O2046" s="135"/>
      <c r="P2046" s="175">
        <v>11250</v>
      </c>
      <c r="Q2046" s="25">
        <v>0.1241</v>
      </c>
      <c r="U2046" s="384">
        <v>0</v>
      </c>
      <c r="V2046" s="207"/>
      <c r="W2046" s="285">
        <f t="shared" si="39"/>
        <v>1396.125</v>
      </c>
    </row>
    <row r="2047" spans="1:23" ht="15" customHeight="1">
      <c r="A2047" s="3">
        <v>38750</v>
      </c>
      <c r="B2047" s="9">
        <v>18825</v>
      </c>
      <c r="C2047" s="5">
        <v>275</v>
      </c>
      <c r="D2047" s="5" t="e">
        <f>E2047-(#REF!+C2047)</f>
        <v>#REF!</v>
      </c>
      <c r="E2047" s="5">
        <v>60225</v>
      </c>
      <c r="K2047" s="22">
        <v>1448</v>
      </c>
      <c r="L2047" s="6">
        <v>1411</v>
      </c>
      <c r="M2047" s="125">
        <f t="shared" si="40"/>
        <v>-37</v>
      </c>
      <c r="N2047" s="18"/>
      <c r="O2047" s="135"/>
      <c r="P2047" s="175">
        <v>11250</v>
      </c>
      <c r="Q2047" s="25">
        <v>0.1241</v>
      </c>
      <c r="U2047" s="384">
        <v>0</v>
      </c>
      <c r="V2047" s="207"/>
      <c r="W2047" s="285">
        <f t="shared" si="39"/>
        <v>1396.125</v>
      </c>
    </row>
    <row r="2048" spans="1:23" ht="15" customHeight="1">
      <c r="A2048" s="3">
        <v>38751</v>
      </c>
      <c r="B2048" s="9">
        <v>20000</v>
      </c>
      <c r="C2048" s="5">
        <v>400</v>
      </c>
      <c r="D2048" s="5" t="e">
        <f>E2048-(#REF!+C2048)</f>
        <v>#REF!</v>
      </c>
      <c r="E2048" s="5">
        <v>61475</v>
      </c>
      <c r="K2048" s="22">
        <v>1420</v>
      </c>
      <c r="L2048" s="6">
        <v>1393.5</v>
      </c>
      <c r="M2048" s="125">
        <f t="shared" si="40"/>
        <v>-26.5</v>
      </c>
      <c r="N2048" s="18"/>
      <c r="O2048" s="135"/>
      <c r="P2048" s="175">
        <v>11250</v>
      </c>
      <c r="Q2048" s="25">
        <v>0.1241</v>
      </c>
      <c r="U2048" s="384">
        <v>0</v>
      </c>
      <c r="V2048" s="207"/>
      <c r="W2048" s="285">
        <f t="shared" si="39"/>
        <v>1396.125</v>
      </c>
    </row>
    <row r="2049" spans="1:23" ht="15" customHeight="1">
      <c r="A2049" s="3">
        <v>38754</v>
      </c>
      <c r="B2049" s="9">
        <v>20775</v>
      </c>
      <c r="C2049" s="5">
        <v>625</v>
      </c>
      <c r="D2049" s="5" t="e">
        <f>E2049-(#REF!+C2049)</f>
        <v>#REF!</v>
      </c>
      <c r="E2049" s="5">
        <v>62425</v>
      </c>
      <c r="K2049" s="22">
        <v>1363</v>
      </c>
      <c r="L2049" s="6">
        <v>1348</v>
      </c>
      <c r="M2049" s="125">
        <f t="shared" si="40"/>
        <v>-15</v>
      </c>
      <c r="N2049" s="18"/>
      <c r="O2049" s="135"/>
      <c r="P2049" s="175">
        <v>12750</v>
      </c>
      <c r="Q2049" s="25">
        <v>0.1241</v>
      </c>
      <c r="U2049" s="384">
        <v>0</v>
      </c>
      <c r="V2049" s="207"/>
      <c r="W2049" s="285">
        <f t="shared" si="39"/>
        <v>1582.2750000000001</v>
      </c>
    </row>
    <row r="2050" spans="1:23" ht="15" customHeight="1">
      <c r="A2050" s="3">
        <v>38755</v>
      </c>
      <c r="B2050" s="9">
        <v>21550</v>
      </c>
      <c r="C2050" s="5">
        <v>625</v>
      </c>
      <c r="D2050" s="5" t="e">
        <f>E2050-(#REF!+C2050)</f>
        <v>#REF!</v>
      </c>
      <c r="E2050" s="5">
        <v>63225</v>
      </c>
      <c r="K2050" s="22">
        <v>1372.5</v>
      </c>
      <c r="L2050" s="6">
        <v>1355</v>
      </c>
      <c r="M2050" s="125">
        <f t="shared" si="40"/>
        <v>-17.5</v>
      </c>
      <c r="N2050" s="18"/>
      <c r="O2050" s="135"/>
      <c r="P2050" s="175">
        <v>12750</v>
      </c>
      <c r="Q2050" s="25">
        <v>0.1241</v>
      </c>
      <c r="U2050" s="384">
        <v>0</v>
      </c>
      <c r="V2050" s="207"/>
      <c r="W2050" s="285">
        <f t="shared" si="39"/>
        <v>1582.2750000000001</v>
      </c>
    </row>
    <row r="2051" spans="1:23" ht="15" customHeight="1">
      <c r="A2051" s="3">
        <v>38756</v>
      </c>
      <c r="B2051" s="9">
        <v>22625</v>
      </c>
      <c r="C2051" s="5">
        <v>625</v>
      </c>
      <c r="D2051" s="5" t="e">
        <f>E2051-(#REF!+C2051)</f>
        <v>#REF!</v>
      </c>
      <c r="E2051" s="5">
        <v>64200</v>
      </c>
      <c r="K2051" s="22">
        <v>1280</v>
      </c>
      <c r="L2051" s="6">
        <v>1256</v>
      </c>
      <c r="M2051" s="125">
        <f t="shared" si="40"/>
        <v>-24</v>
      </c>
      <c r="N2051" s="18"/>
      <c r="O2051" s="135"/>
      <c r="P2051" s="175">
        <v>12400</v>
      </c>
      <c r="Q2051" s="25">
        <v>0.1241</v>
      </c>
      <c r="U2051" s="384">
        <v>0</v>
      </c>
      <c r="V2051" s="207"/>
      <c r="W2051" s="285">
        <f t="shared" si="39"/>
        <v>1538.84</v>
      </c>
    </row>
    <row r="2052" spans="1:23" ht="15" customHeight="1">
      <c r="A2052" s="3">
        <v>38757</v>
      </c>
      <c r="B2052" s="9">
        <v>23300</v>
      </c>
      <c r="C2052" s="5">
        <v>625</v>
      </c>
      <c r="D2052" s="5" t="e">
        <f>E2052-(#REF!+C2052)</f>
        <v>#REF!</v>
      </c>
      <c r="E2052" s="5">
        <v>64800</v>
      </c>
      <c r="K2052" s="22">
        <v>1336.5</v>
      </c>
      <c r="L2052" s="6">
        <v>1324</v>
      </c>
      <c r="M2052" s="125">
        <f t="shared" si="40"/>
        <v>-12.5</v>
      </c>
      <c r="N2052" s="18"/>
      <c r="O2052" s="135"/>
      <c r="P2052" s="175">
        <v>12400</v>
      </c>
      <c r="Q2052" s="25">
        <v>0.1242</v>
      </c>
      <c r="U2052" s="384">
        <v>0</v>
      </c>
      <c r="V2052" s="207"/>
      <c r="W2052" s="285">
        <f t="shared" si="39"/>
        <v>1540.0800000000002</v>
      </c>
    </row>
    <row r="2053" spans="1:23" ht="15" customHeight="1">
      <c r="A2053" s="3">
        <v>38758</v>
      </c>
      <c r="B2053" s="9">
        <v>23300</v>
      </c>
      <c r="C2053" s="5">
        <v>625</v>
      </c>
      <c r="D2053" s="5" t="e">
        <f>E2053-(#REF!+C2053)</f>
        <v>#REF!</v>
      </c>
      <c r="E2053" s="5">
        <v>64625</v>
      </c>
      <c r="K2053" s="22">
        <v>1285.5</v>
      </c>
      <c r="L2053" s="6">
        <v>1269</v>
      </c>
      <c r="M2053" s="125">
        <f t="shared" si="40"/>
        <v>-16.5</v>
      </c>
      <c r="N2053" s="18"/>
      <c r="O2053" s="135"/>
      <c r="P2053" s="175">
        <v>12500</v>
      </c>
      <c r="Q2053" s="25">
        <v>0.1241</v>
      </c>
      <c r="U2053" s="384">
        <v>0</v>
      </c>
      <c r="V2053" s="207"/>
      <c r="W2053" s="285">
        <f t="shared" si="39"/>
        <v>1551.25</v>
      </c>
    </row>
    <row r="2054" spans="1:23" ht="15" customHeight="1">
      <c r="A2054" s="3">
        <v>38761</v>
      </c>
      <c r="B2054" s="9">
        <v>24050</v>
      </c>
      <c r="C2054" s="5">
        <v>625</v>
      </c>
      <c r="D2054" s="5" t="e">
        <f>E2054-(#REF!+C2054)</f>
        <v>#REF!</v>
      </c>
      <c r="E2054" s="5">
        <v>65450</v>
      </c>
      <c r="K2054" s="22">
        <v>1195</v>
      </c>
      <c r="L2054" s="6">
        <v>1195</v>
      </c>
      <c r="M2054" s="125">
        <f t="shared" si="40"/>
        <v>0</v>
      </c>
      <c r="N2054" s="18"/>
      <c r="O2054" s="135"/>
      <c r="P2054" s="175">
        <v>12350</v>
      </c>
      <c r="Q2054" s="25">
        <v>0.1242</v>
      </c>
      <c r="U2054" s="384">
        <v>0</v>
      </c>
      <c r="V2054" s="207"/>
      <c r="W2054" s="285">
        <f t="shared" si="39"/>
        <v>1533.8700000000001</v>
      </c>
    </row>
    <row r="2055" spans="1:23" ht="15" customHeight="1">
      <c r="A2055" s="3">
        <v>38762</v>
      </c>
      <c r="B2055" s="9">
        <v>25425</v>
      </c>
      <c r="C2055" s="5">
        <v>625</v>
      </c>
      <c r="D2055" s="5" t="e">
        <f>E2055-(#REF!+C2055)</f>
        <v>#REF!</v>
      </c>
      <c r="E2055" s="5">
        <v>66825</v>
      </c>
      <c r="K2055" s="22">
        <v>1294</v>
      </c>
      <c r="L2055" s="6">
        <v>1255</v>
      </c>
      <c r="M2055" s="125">
        <f t="shared" si="40"/>
        <v>-39</v>
      </c>
      <c r="N2055" s="18"/>
      <c r="O2055" s="135"/>
      <c r="P2055" s="175">
        <v>12150</v>
      </c>
      <c r="Q2055" s="25">
        <v>0.12429999999999999</v>
      </c>
      <c r="U2055" s="384">
        <v>0</v>
      </c>
      <c r="V2055" s="207"/>
      <c r="W2055" s="285">
        <f t="shared" si="39"/>
        <v>1510.2449999999999</v>
      </c>
    </row>
    <row r="2056" spans="1:23" ht="15" customHeight="1">
      <c r="A2056" s="3">
        <v>38763</v>
      </c>
      <c r="B2056" s="9">
        <v>26125</v>
      </c>
      <c r="C2056" s="5">
        <v>625</v>
      </c>
      <c r="D2056" s="5" t="e">
        <f>E2056-(#REF!+C2056)</f>
        <v>#REF!</v>
      </c>
      <c r="E2056" s="5">
        <v>67525</v>
      </c>
      <c r="K2056" s="22">
        <v>1240</v>
      </c>
      <c r="L2056" s="6">
        <v>1220.5</v>
      </c>
      <c r="M2056" s="125">
        <f t="shared" si="40"/>
        <v>-19.5</v>
      </c>
      <c r="N2056" s="18"/>
      <c r="O2056" s="135"/>
      <c r="P2056" s="175">
        <v>12150</v>
      </c>
      <c r="Q2056" s="25">
        <v>0.12429999999999999</v>
      </c>
      <c r="U2056" s="384">
        <v>0</v>
      </c>
      <c r="V2056" s="207"/>
      <c r="W2056" s="285">
        <f t="shared" si="39"/>
        <v>1510.2449999999999</v>
      </c>
    </row>
    <row r="2057" spans="1:23" ht="15" customHeight="1">
      <c r="A2057" s="3">
        <v>38764</v>
      </c>
      <c r="B2057" s="9">
        <v>21375</v>
      </c>
      <c r="C2057" s="5">
        <v>700</v>
      </c>
      <c r="D2057" s="5" t="e">
        <f>E2057-(#REF!+C2057)</f>
        <v>#REF!</v>
      </c>
      <c r="E2057" s="5">
        <v>68250</v>
      </c>
      <c r="K2057" s="22">
        <v>1170</v>
      </c>
      <c r="L2057" s="6">
        <v>1155</v>
      </c>
      <c r="M2057" s="125">
        <f t="shared" si="40"/>
        <v>-15</v>
      </c>
      <c r="N2057" s="18"/>
      <c r="O2057" s="135"/>
      <c r="P2057" s="175">
        <v>12150</v>
      </c>
      <c r="Q2057" s="25">
        <v>0.12429999999999999</v>
      </c>
      <c r="U2057" s="384">
        <v>0</v>
      </c>
      <c r="V2057" s="207"/>
      <c r="W2057" s="285">
        <f t="shared" si="39"/>
        <v>1510.2449999999999</v>
      </c>
    </row>
    <row r="2058" spans="1:23" ht="15" customHeight="1">
      <c r="A2058" s="3">
        <v>38765</v>
      </c>
      <c r="B2058" s="9">
        <v>28800</v>
      </c>
      <c r="C2058" s="5">
        <v>825</v>
      </c>
      <c r="D2058" s="5" t="e">
        <f>E2058-(#REF!+C2058)</f>
        <v>#REF!</v>
      </c>
      <c r="E2058" s="5">
        <v>70150</v>
      </c>
      <c r="K2058" s="22">
        <v>1239</v>
      </c>
      <c r="L2058" s="6">
        <v>1215</v>
      </c>
      <c r="M2058" s="125">
        <f t="shared" si="40"/>
        <v>-24</v>
      </c>
      <c r="N2058" s="18"/>
      <c r="O2058" s="135"/>
      <c r="P2058" s="175">
        <v>12100</v>
      </c>
      <c r="Q2058" s="25">
        <v>0.1242</v>
      </c>
      <c r="U2058" s="384">
        <v>0</v>
      </c>
      <c r="V2058" s="207"/>
      <c r="W2058" s="285">
        <f t="shared" si="39"/>
        <v>1502.8200000000002</v>
      </c>
    </row>
    <row r="2059" spans="1:23" ht="15" customHeight="1">
      <c r="A2059" s="3">
        <v>38768</v>
      </c>
      <c r="B2059" s="9">
        <v>29050</v>
      </c>
      <c r="C2059" s="5">
        <v>1125</v>
      </c>
      <c r="D2059" s="5" t="e">
        <f>E2059-(#REF!+C2059)</f>
        <v>#REF!</v>
      </c>
      <c r="E2059" s="5">
        <v>70575</v>
      </c>
      <c r="K2059" s="22">
        <v>1245</v>
      </c>
      <c r="L2059" s="6">
        <v>1226</v>
      </c>
      <c r="M2059" s="125">
        <f t="shared" si="40"/>
        <v>-19</v>
      </c>
      <c r="N2059" s="18"/>
      <c r="O2059" s="135"/>
      <c r="P2059" s="175">
        <v>12000</v>
      </c>
      <c r="Q2059" s="25">
        <v>0.1242</v>
      </c>
      <c r="U2059" s="384">
        <v>0</v>
      </c>
      <c r="V2059" s="207"/>
      <c r="W2059" s="285">
        <f t="shared" si="39"/>
        <v>1490.4</v>
      </c>
    </row>
    <row r="2060" spans="1:23" ht="15" customHeight="1">
      <c r="A2060" s="3">
        <v>38769</v>
      </c>
      <c r="B2060" s="9">
        <v>30450</v>
      </c>
      <c r="C2060" s="5">
        <v>1350</v>
      </c>
      <c r="D2060" s="5" t="e">
        <f>E2060-(#REF!+C2060)</f>
        <v>#REF!</v>
      </c>
      <c r="E2060" s="5">
        <v>72200</v>
      </c>
      <c r="K2060" s="22">
        <v>1250</v>
      </c>
      <c r="L2060" s="6">
        <v>1235</v>
      </c>
      <c r="M2060" s="125">
        <f t="shared" si="40"/>
        <v>-15</v>
      </c>
      <c r="N2060" s="18"/>
      <c r="O2060" s="135"/>
      <c r="P2060" s="175">
        <v>12150</v>
      </c>
      <c r="Q2060" s="25">
        <v>0.1242</v>
      </c>
      <c r="U2060" s="384">
        <v>0</v>
      </c>
      <c r="V2060" s="207"/>
      <c r="W2060" s="285">
        <f t="shared" si="39"/>
        <v>1509.03</v>
      </c>
    </row>
    <row r="2061" spans="1:23" ht="15" customHeight="1">
      <c r="A2061" s="3">
        <v>38770</v>
      </c>
      <c r="B2061" s="9">
        <v>32025</v>
      </c>
      <c r="C2061" s="5">
        <v>1350</v>
      </c>
      <c r="D2061" s="5" t="e">
        <f>E2061-(#REF!+C2061)</f>
        <v>#REF!</v>
      </c>
      <c r="E2061" s="5">
        <v>73775</v>
      </c>
      <c r="K2061" s="22">
        <v>1233</v>
      </c>
      <c r="L2061" s="6">
        <v>1217</v>
      </c>
      <c r="M2061" s="125">
        <f t="shared" si="40"/>
        <v>-16</v>
      </c>
      <c r="N2061" s="18"/>
      <c r="O2061" s="135"/>
      <c r="P2061" s="175">
        <v>12150</v>
      </c>
      <c r="Q2061" s="25">
        <v>0.12429999999999999</v>
      </c>
      <c r="U2061" s="384">
        <v>0</v>
      </c>
      <c r="V2061" s="207"/>
      <c r="W2061" s="285">
        <f t="shared" si="39"/>
        <v>1510.2449999999999</v>
      </c>
    </row>
    <row r="2062" spans="1:23" ht="15" customHeight="1">
      <c r="A2062" s="3">
        <v>38771</v>
      </c>
      <c r="B2062" s="9">
        <v>33500</v>
      </c>
      <c r="C2062" s="5">
        <v>1375</v>
      </c>
      <c r="D2062" s="5" t="e">
        <f>E2062-(#REF!+C2062)</f>
        <v>#REF!</v>
      </c>
      <c r="E2062" s="5">
        <v>75250</v>
      </c>
      <c r="K2062" s="22">
        <v>1198.5</v>
      </c>
      <c r="L2062" s="6">
        <v>1191</v>
      </c>
      <c r="M2062" s="125">
        <f t="shared" si="40"/>
        <v>-7.5</v>
      </c>
      <c r="N2062" s="18"/>
      <c r="O2062" s="135"/>
      <c r="P2062" s="175">
        <v>12150</v>
      </c>
      <c r="Q2062" s="25">
        <v>0.1242</v>
      </c>
      <c r="U2062" s="384">
        <v>0</v>
      </c>
      <c r="V2062" s="207"/>
      <c r="W2062" s="285">
        <f t="shared" si="39"/>
        <v>1509.03</v>
      </c>
    </row>
    <row r="2063" spans="1:23" ht="15" customHeight="1">
      <c r="A2063" s="3">
        <v>38772</v>
      </c>
      <c r="B2063" s="9">
        <v>33950</v>
      </c>
      <c r="C2063" s="5">
        <v>1375</v>
      </c>
      <c r="D2063" s="5" t="e">
        <f>E2063-(#REF!+C2063)</f>
        <v>#REF!</v>
      </c>
      <c r="E2063" s="5">
        <v>75650</v>
      </c>
      <c r="K2063" s="22">
        <v>1190</v>
      </c>
      <c r="L2063" s="6">
        <v>1180.5</v>
      </c>
      <c r="M2063" s="125">
        <f t="shared" si="40"/>
        <v>-9.5</v>
      </c>
      <c r="N2063" s="18"/>
      <c r="O2063" s="135"/>
      <c r="P2063" s="175">
        <v>12000</v>
      </c>
      <c r="Q2063" s="25">
        <v>0.1242</v>
      </c>
      <c r="U2063" s="384">
        <v>0</v>
      </c>
      <c r="V2063" s="207"/>
      <c r="W2063" s="285">
        <f t="shared" si="39"/>
        <v>1490.4</v>
      </c>
    </row>
    <row r="2064" spans="1:23" ht="15" customHeight="1">
      <c r="A2064" s="3">
        <v>38775</v>
      </c>
      <c r="B2064" s="9">
        <v>34700</v>
      </c>
      <c r="C2064" s="5">
        <v>1375</v>
      </c>
      <c r="D2064" s="5" t="e">
        <f>E2064-(#REF!+C2064)</f>
        <v>#REF!</v>
      </c>
      <c r="E2064" s="5">
        <v>76375</v>
      </c>
      <c r="K2064" s="22">
        <v>1196.5</v>
      </c>
      <c r="L2064" s="6">
        <v>1190</v>
      </c>
      <c r="M2064" s="125">
        <f t="shared" si="40"/>
        <v>-6.5</v>
      </c>
      <c r="N2064" s="18"/>
      <c r="O2064" s="135"/>
      <c r="P2064" s="175">
        <v>12000</v>
      </c>
      <c r="Q2064" s="25">
        <v>0.12429999999999999</v>
      </c>
      <c r="U2064" s="384">
        <v>0</v>
      </c>
      <c r="V2064" s="207"/>
      <c r="W2064" s="285">
        <f t="shared" si="39"/>
        <v>1491.6</v>
      </c>
    </row>
    <row r="2065" spans="1:23" ht="15" customHeight="1" thickBot="1">
      <c r="A2065" s="11">
        <v>38776</v>
      </c>
      <c r="B2065" s="9">
        <v>35700</v>
      </c>
      <c r="C2065" s="13">
        <v>1375</v>
      </c>
      <c r="D2065" s="13" t="e">
        <f>E2065-(#REF!+C2065)</f>
        <v>#REF!</v>
      </c>
      <c r="E2065" s="13">
        <v>77375</v>
      </c>
      <c r="F2065" s="12"/>
      <c r="G2065" s="13"/>
      <c r="H2065" s="13"/>
      <c r="I2065" s="119"/>
      <c r="J2065" s="119"/>
      <c r="K2065" s="23">
        <v>1192.5</v>
      </c>
      <c r="L2065" s="14">
        <v>1181</v>
      </c>
      <c r="M2065" s="126">
        <f t="shared" si="40"/>
        <v>-11.5</v>
      </c>
      <c r="N2065" s="19">
        <f>AVERAGE(K2046:K2065)</f>
        <v>1277.05</v>
      </c>
      <c r="O2065" s="136"/>
      <c r="P2065" s="176">
        <v>12000</v>
      </c>
      <c r="Q2065" s="27">
        <v>0.12429999999999999</v>
      </c>
      <c r="R2065" s="27"/>
      <c r="S2065" s="27"/>
      <c r="T2065" s="27"/>
      <c r="U2065" s="385">
        <v>0</v>
      </c>
      <c r="V2065" s="284">
        <f>AVERAGE(P2046:P2065)</f>
        <v>12095</v>
      </c>
      <c r="W2065" s="285">
        <f t="shared" si="39"/>
        <v>1491.6</v>
      </c>
    </row>
    <row r="2066" spans="1:23" ht="15" customHeight="1">
      <c r="A2066" s="3">
        <v>38777</v>
      </c>
      <c r="B2066" s="9">
        <v>36300</v>
      </c>
      <c r="C2066" s="5">
        <v>1375</v>
      </c>
      <c r="D2066" s="5" t="e">
        <f>E2066-(#REF!+C2066)</f>
        <v>#REF!</v>
      </c>
      <c r="E2066" s="5">
        <v>77975</v>
      </c>
      <c r="K2066" s="22">
        <v>1170</v>
      </c>
      <c r="L2066" s="6">
        <v>1169</v>
      </c>
      <c r="M2066" s="125">
        <f t="shared" si="40"/>
        <v>-1</v>
      </c>
      <c r="N2066" s="18"/>
      <c r="O2066" s="135"/>
      <c r="P2066" s="175">
        <v>11850</v>
      </c>
      <c r="Q2066" s="25">
        <v>0.1244</v>
      </c>
      <c r="U2066" s="384">
        <v>0</v>
      </c>
      <c r="V2066" s="207"/>
      <c r="W2066" s="285">
        <f t="shared" si="39"/>
        <v>1474.1399999999999</v>
      </c>
    </row>
    <row r="2067" spans="1:23" ht="15" customHeight="1">
      <c r="A2067" s="3">
        <v>38778</v>
      </c>
      <c r="B2067" s="9">
        <v>36175</v>
      </c>
      <c r="C2067" s="5">
        <v>1375</v>
      </c>
      <c r="D2067" s="5" t="e">
        <f>E2067-(#REF!+C2067)</f>
        <v>#REF!</v>
      </c>
      <c r="E2067" s="5">
        <v>77850</v>
      </c>
      <c r="K2067" s="22">
        <v>1225</v>
      </c>
      <c r="L2067" s="6">
        <v>1215</v>
      </c>
      <c r="M2067" s="125">
        <f t="shared" si="40"/>
        <v>-10</v>
      </c>
      <c r="N2067" s="7"/>
      <c r="O2067" s="132"/>
      <c r="P2067" s="175">
        <v>11750</v>
      </c>
      <c r="Q2067" s="25">
        <v>0.1244</v>
      </c>
      <c r="U2067" s="384">
        <v>0</v>
      </c>
      <c r="V2067" s="207"/>
      <c r="W2067" s="285">
        <f t="shared" si="39"/>
        <v>1461.7</v>
      </c>
    </row>
    <row r="2068" spans="1:23" ht="15" customHeight="1">
      <c r="A2068" s="3">
        <v>38779</v>
      </c>
      <c r="B2068" s="9">
        <v>36150</v>
      </c>
      <c r="C2068" s="5">
        <v>1375</v>
      </c>
      <c r="D2068" s="5" t="e">
        <f>E2068-(#REF!+C2068)</f>
        <v>#REF!</v>
      </c>
      <c r="E2068" s="5">
        <v>77825</v>
      </c>
      <c r="K2068" s="22">
        <v>1232.5</v>
      </c>
      <c r="L2068" s="6">
        <v>1226</v>
      </c>
      <c r="M2068" s="125">
        <f t="shared" si="40"/>
        <v>-6.5</v>
      </c>
      <c r="N2068" s="18"/>
      <c r="O2068" s="135"/>
      <c r="P2068" s="175">
        <v>11750</v>
      </c>
      <c r="Q2068" s="25">
        <v>0.1244</v>
      </c>
      <c r="U2068" s="384">
        <v>0</v>
      </c>
      <c r="V2068" s="207"/>
      <c r="W2068" s="285">
        <f t="shared" si="39"/>
        <v>1461.7</v>
      </c>
    </row>
    <row r="2069" spans="1:23" ht="15" customHeight="1">
      <c r="A2069" s="3">
        <v>38782</v>
      </c>
      <c r="B2069" s="9">
        <v>36125</v>
      </c>
      <c r="C2069" s="5">
        <v>1325</v>
      </c>
      <c r="D2069" s="5" t="e">
        <f>E2069-(#REF!+C2069)</f>
        <v>#REF!</v>
      </c>
      <c r="E2069" s="5">
        <v>76750</v>
      </c>
      <c r="K2069" s="22">
        <v>1218</v>
      </c>
      <c r="L2069" s="6">
        <v>1214</v>
      </c>
      <c r="M2069" s="125">
        <f t="shared" si="40"/>
        <v>-4</v>
      </c>
      <c r="N2069" s="18"/>
      <c r="O2069" s="135"/>
      <c r="P2069" s="175">
        <v>11700</v>
      </c>
      <c r="Q2069" s="25">
        <v>0.1244</v>
      </c>
      <c r="U2069" s="384">
        <v>0</v>
      </c>
      <c r="V2069" s="207"/>
      <c r="W2069" s="285">
        <f t="shared" si="39"/>
        <v>1455.48</v>
      </c>
    </row>
    <row r="2070" spans="1:23" ht="15" customHeight="1">
      <c r="A2070" s="3">
        <v>38783</v>
      </c>
      <c r="B2070" s="9">
        <v>36125</v>
      </c>
      <c r="C2070" s="5">
        <v>1300</v>
      </c>
      <c r="D2070" s="5" t="e">
        <f>E2070-(#REF!+C2070)</f>
        <v>#REF!</v>
      </c>
      <c r="E2070" s="5">
        <v>76300</v>
      </c>
      <c r="K2070" s="22">
        <v>1204</v>
      </c>
      <c r="L2070" s="6">
        <v>1191</v>
      </c>
      <c r="M2070" s="125">
        <f t="shared" si="40"/>
        <v>-13</v>
      </c>
      <c r="N2070" s="18"/>
      <c r="O2070" s="135"/>
      <c r="P2070" s="175">
        <v>11700</v>
      </c>
      <c r="Q2070" s="25">
        <v>0.1244</v>
      </c>
      <c r="U2070" s="384">
        <v>0</v>
      </c>
      <c r="V2070" s="207"/>
      <c r="W2070" s="285">
        <f t="shared" si="39"/>
        <v>1455.48</v>
      </c>
    </row>
    <row r="2071" spans="1:23" ht="15" customHeight="1">
      <c r="A2071" s="3">
        <v>38784</v>
      </c>
      <c r="B2071" s="9">
        <v>36325</v>
      </c>
      <c r="C2071" s="5">
        <v>1250</v>
      </c>
      <c r="D2071" s="5" t="e">
        <f>E2071-(#REF!+C2071)</f>
        <v>#REF!</v>
      </c>
      <c r="E2071" s="5">
        <v>76100</v>
      </c>
      <c r="K2071" s="22">
        <v>1170</v>
      </c>
      <c r="L2071" s="6">
        <v>1160</v>
      </c>
      <c r="M2071" s="125">
        <f t="shared" si="40"/>
        <v>-10</v>
      </c>
      <c r="N2071" s="18"/>
      <c r="O2071" s="135"/>
      <c r="P2071" s="175">
        <v>11675</v>
      </c>
      <c r="Q2071" s="25">
        <v>0.12429999999999999</v>
      </c>
      <c r="U2071" s="384">
        <v>0</v>
      </c>
      <c r="V2071" s="207"/>
      <c r="W2071" s="285">
        <f t="shared" si="39"/>
        <v>1451.2024999999999</v>
      </c>
    </row>
    <row r="2072" spans="1:23" ht="15" customHeight="1">
      <c r="A2072" s="3">
        <v>38785</v>
      </c>
      <c r="B2072" s="9">
        <v>39950</v>
      </c>
      <c r="C2072" s="5">
        <v>1225</v>
      </c>
      <c r="D2072" s="5" t="e">
        <f>E2072-(#REF!+C2072)</f>
        <v>#REF!</v>
      </c>
      <c r="E2072" s="5">
        <v>79475</v>
      </c>
      <c r="K2072" s="22">
        <v>1175.5</v>
      </c>
      <c r="L2072" s="6">
        <v>1171</v>
      </c>
      <c r="M2072" s="125">
        <f t="shared" si="40"/>
        <v>-4.5</v>
      </c>
      <c r="N2072" s="18"/>
      <c r="O2072" s="135"/>
      <c r="P2072" s="175">
        <v>11600</v>
      </c>
      <c r="Q2072" s="25">
        <v>0.12429999999999999</v>
      </c>
      <c r="U2072" s="384">
        <v>0</v>
      </c>
      <c r="V2072" s="207"/>
      <c r="W2072" s="285">
        <f t="shared" si="39"/>
        <v>1441.8799999999999</v>
      </c>
    </row>
    <row r="2073" spans="1:23" ht="15" customHeight="1">
      <c r="A2073" s="3">
        <v>38786</v>
      </c>
      <c r="B2073" s="9">
        <v>40950</v>
      </c>
      <c r="C2073" s="5">
        <v>1325</v>
      </c>
      <c r="D2073" s="5" t="e">
        <f>E2073-(#REF!+C2073)</f>
        <v>#REF!</v>
      </c>
      <c r="E2073" s="5">
        <v>80575</v>
      </c>
      <c r="K2073" s="22">
        <v>1174.5</v>
      </c>
      <c r="L2073" s="6">
        <v>1175</v>
      </c>
      <c r="M2073" s="125">
        <f t="shared" si="40"/>
        <v>0.5</v>
      </c>
      <c r="N2073" s="18"/>
      <c r="O2073" s="135"/>
      <c r="P2073" s="175">
        <v>11600</v>
      </c>
      <c r="Q2073" s="25">
        <v>0.12429999999999999</v>
      </c>
      <c r="U2073" s="384">
        <v>0</v>
      </c>
      <c r="V2073" s="207"/>
      <c r="W2073" s="285">
        <f t="shared" si="39"/>
        <v>1441.8799999999999</v>
      </c>
    </row>
    <row r="2074" spans="1:23" ht="15" customHeight="1">
      <c r="A2074" s="3">
        <v>38789</v>
      </c>
      <c r="B2074" s="9">
        <v>41850</v>
      </c>
      <c r="C2074" s="5">
        <v>1525</v>
      </c>
      <c r="D2074" s="5" t="e">
        <f>E2074-(#REF!+C2074)</f>
        <v>#REF!</v>
      </c>
      <c r="E2074" s="5">
        <v>81650</v>
      </c>
      <c r="K2074" s="22">
        <v>1164.5</v>
      </c>
      <c r="L2074" s="6">
        <v>1168</v>
      </c>
      <c r="M2074" s="125">
        <f t="shared" si="40"/>
        <v>3.5</v>
      </c>
      <c r="N2074" s="18"/>
      <c r="O2074" s="135"/>
      <c r="P2074" s="175">
        <v>11475</v>
      </c>
      <c r="Q2074" s="25">
        <v>0.1242</v>
      </c>
      <c r="U2074" s="384">
        <v>0</v>
      </c>
      <c r="V2074" s="207"/>
      <c r="W2074" s="285">
        <f t="shared" si="39"/>
        <v>1425.1950000000002</v>
      </c>
    </row>
    <row r="2075" spans="1:23" ht="15" customHeight="1">
      <c r="A2075" s="3">
        <v>38790</v>
      </c>
      <c r="B2075" s="9">
        <v>44225</v>
      </c>
      <c r="C2075" s="5">
        <v>1525</v>
      </c>
      <c r="D2075" s="5" t="e">
        <f>E2075-(#REF!+C2075)</f>
        <v>#REF!</v>
      </c>
      <c r="E2075" s="5">
        <v>84025</v>
      </c>
      <c r="K2075" s="22">
        <v>1170</v>
      </c>
      <c r="L2075" s="6">
        <v>1170</v>
      </c>
      <c r="M2075" s="125">
        <f t="shared" si="40"/>
        <v>0</v>
      </c>
      <c r="N2075" s="18"/>
      <c r="O2075" s="135"/>
      <c r="P2075" s="175">
        <v>11425</v>
      </c>
      <c r="Q2075" s="25">
        <v>0.1242</v>
      </c>
      <c r="U2075" s="384">
        <v>0</v>
      </c>
      <c r="V2075" s="207"/>
      <c r="W2075" s="285">
        <f t="shared" si="39"/>
        <v>1418.9850000000001</v>
      </c>
    </row>
    <row r="2076" spans="1:23" ht="15" customHeight="1">
      <c r="A2076" s="3">
        <v>38791</v>
      </c>
      <c r="B2076" s="9">
        <v>45125</v>
      </c>
      <c r="C2076" s="5">
        <v>1475</v>
      </c>
      <c r="D2076" s="5" t="e">
        <f>E2076-(#REF!+C2076)</f>
        <v>#REF!</v>
      </c>
      <c r="E2076" s="5">
        <v>84850</v>
      </c>
      <c r="K2076" s="22">
        <v>1185</v>
      </c>
      <c r="L2076" s="6">
        <v>1187</v>
      </c>
      <c r="M2076" s="125">
        <f t="shared" si="40"/>
        <v>2</v>
      </c>
      <c r="N2076" s="18"/>
      <c r="O2076" s="135"/>
      <c r="P2076" s="175">
        <v>11425</v>
      </c>
      <c r="Q2076" s="25">
        <v>0.12429999999999999</v>
      </c>
      <c r="U2076" s="384">
        <v>0</v>
      </c>
      <c r="V2076" s="207"/>
      <c r="W2076" s="285">
        <f t="shared" si="39"/>
        <v>1420.1274999999998</v>
      </c>
    </row>
    <row r="2077" spans="1:23" ht="15" customHeight="1">
      <c r="A2077" s="3">
        <v>38792</v>
      </c>
      <c r="B2077" s="9">
        <v>45500</v>
      </c>
      <c r="C2077" s="5">
        <v>2375</v>
      </c>
      <c r="D2077" s="5" t="e">
        <f>E2077-(#REF!+C2077)</f>
        <v>#REF!</v>
      </c>
      <c r="E2077" s="5">
        <v>86125</v>
      </c>
      <c r="K2077" s="22">
        <v>1143</v>
      </c>
      <c r="L2077" s="6">
        <v>1147</v>
      </c>
      <c r="M2077" s="125">
        <f t="shared" si="40"/>
        <v>4</v>
      </c>
      <c r="N2077" s="18"/>
      <c r="O2077" s="135"/>
      <c r="P2077" s="175">
        <v>11325</v>
      </c>
      <c r="Q2077" s="25">
        <v>0.1244</v>
      </c>
      <c r="U2077" s="384">
        <v>0</v>
      </c>
      <c r="V2077" s="207"/>
      <c r="W2077" s="285">
        <f t="shared" si="39"/>
        <v>1408.83</v>
      </c>
    </row>
    <row r="2078" spans="1:23" ht="15" customHeight="1">
      <c r="A2078" s="3">
        <v>38793</v>
      </c>
      <c r="B2078" s="9">
        <v>45400</v>
      </c>
      <c r="C2078" s="5">
        <v>2625</v>
      </c>
      <c r="D2078" s="5" t="e">
        <f>E2078-(#REF!+C2078)</f>
        <v>#REF!</v>
      </c>
      <c r="E2078" s="5">
        <v>86150</v>
      </c>
      <c r="K2078" s="22">
        <v>1175.5</v>
      </c>
      <c r="L2078" s="6">
        <v>1184.5</v>
      </c>
      <c r="M2078" s="125">
        <f t="shared" si="40"/>
        <v>9</v>
      </c>
      <c r="N2078" s="18"/>
      <c r="O2078" s="135"/>
      <c r="P2078" s="175">
        <v>11250</v>
      </c>
      <c r="Q2078" s="25">
        <v>0.1245</v>
      </c>
      <c r="U2078" s="384">
        <v>0</v>
      </c>
      <c r="V2078" s="207"/>
      <c r="W2078" s="285">
        <f t="shared" si="39"/>
        <v>1400.625</v>
      </c>
    </row>
    <row r="2079" spans="1:23" ht="15" customHeight="1">
      <c r="A2079" s="3">
        <v>38796</v>
      </c>
      <c r="B2079" s="9">
        <v>45525</v>
      </c>
      <c r="C2079" s="5">
        <v>2700</v>
      </c>
      <c r="D2079" s="5" t="e">
        <f>E2079-(#REF!+C2079)</f>
        <v>#REF!</v>
      </c>
      <c r="E2079" s="5">
        <v>86175</v>
      </c>
      <c r="K2079" s="22">
        <v>1172</v>
      </c>
      <c r="L2079" s="6">
        <v>1175</v>
      </c>
      <c r="M2079" s="125">
        <f t="shared" si="40"/>
        <v>3</v>
      </c>
      <c r="N2079" s="18"/>
      <c r="O2079" s="135"/>
      <c r="P2079" s="175">
        <v>11400</v>
      </c>
      <c r="Q2079" s="25">
        <v>0.1245</v>
      </c>
      <c r="U2079" s="384">
        <v>0</v>
      </c>
      <c r="V2079" s="207"/>
      <c r="W2079" s="285">
        <f t="shared" si="39"/>
        <v>1419.3</v>
      </c>
    </row>
    <row r="2080" spans="1:23" ht="15" customHeight="1">
      <c r="A2080" s="3">
        <v>38797</v>
      </c>
      <c r="B2080" s="9">
        <v>44025</v>
      </c>
      <c r="C2080" s="5">
        <v>2700</v>
      </c>
      <c r="D2080" s="5" t="e">
        <f>E2080-(#REF!+C2080)</f>
        <v>#REF!</v>
      </c>
      <c r="E2080" s="5">
        <v>84425</v>
      </c>
      <c r="K2080" s="22">
        <v>1184</v>
      </c>
      <c r="L2080" s="6">
        <v>1192</v>
      </c>
      <c r="M2080" s="125">
        <f t="shared" si="40"/>
        <v>8</v>
      </c>
      <c r="N2080" s="18"/>
      <c r="O2080" s="135"/>
      <c r="P2080" s="175">
        <v>11400</v>
      </c>
      <c r="Q2080" s="25">
        <v>0.1246</v>
      </c>
      <c r="U2080" s="384">
        <v>0</v>
      </c>
      <c r="V2080" s="207"/>
      <c r="W2080" s="285">
        <f t="shared" si="39"/>
        <v>1420.44</v>
      </c>
    </row>
    <row r="2081" spans="1:23" ht="15" customHeight="1">
      <c r="A2081" s="3">
        <v>38798</v>
      </c>
      <c r="B2081" s="9">
        <v>44425</v>
      </c>
      <c r="C2081" s="5">
        <v>2700</v>
      </c>
      <c r="D2081" s="5" t="e">
        <f>E2081-(#REF!+C2081)</f>
        <v>#REF!</v>
      </c>
      <c r="E2081" s="5">
        <v>84800</v>
      </c>
      <c r="K2081" s="22">
        <v>1170</v>
      </c>
      <c r="L2081" s="6">
        <v>1172</v>
      </c>
      <c r="M2081" s="125">
        <f t="shared" si="40"/>
        <v>2</v>
      </c>
      <c r="N2081" s="18"/>
      <c r="O2081" s="135"/>
      <c r="P2081" s="175">
        <v>11325</v>
      </c>
      <c r="Q2081" s="25">
        <v>0.1246</v>
      </c>
      <c r="U2081" s="384">
        <v>0</v>
      </c>
      <c r="V2081" s="207"/>
      <c r="W2081" s="285">
        <f t="shared" si="39"/>
        <v>1411.095</v>
      </c>
    </row>
    <row r="2082" spans="1:23" ht="15" customHeight="1">
      <c r="A2082" s="3">
        <v>38799</v>
      </c>
      <c r="B2082" s="9">
        <v>44625</v>
      </c>
      <c r="C2082" s="5">
        <v>2800</v>
      </c>
      <c r="D2082" s="5" t="e">
        <f>E2082-(#REF!+C2082)</f>
        <v>#REF!</v>
      </c>
      <c r="E2082" s="5">
        <v>85075</v>
      </c>
      <c r="K2082" s="22">
        <v>1187.5</v>
      </c>
      <c r="L2082" s="6">
        <v>1190</v>
      </c>
      <c r="M2082" s="125">
        <f t="shared" si="40"/>
        <v>2.5</v>
      </c>
      <c r="N2082" s="18"/>
      <c r="O2082" s="135"/>
      <c r="P2082" s="175">
        <v>11400</v>
      </c>
      <c r="Q2082" s="25">
        <v>0.1245</v>
      </c>
      <c r="U2082" s="384">
        <v>0</v>
      </c>
      <c r="V2082" s="207"/>
      <c r="W2082" s="285">
        <f t="shared" si="39"/>
        <v>1419.3</v>
      </c>
    </row>
    <row r="2083" spans="1:23" ht="15" customHeight="1">
      <c r="A2083" s="3">
        <v>38800</v>
      </c>
      <c r="B2083" s="9">
        <v>44575</v>
      </c>
      <c r="C2083" s="5">
        <v>3025</v>
      </c>
      <c r="D2083" s="5" t="e">
        <f>E2083-(#REF!+C2083)</f>
        <v>#REF!</v>
      </c>
      <c r="E2083" s="5">
        <v>85250</v>
      </c>
      <c r="K2083" s="22">
        <v>1229</v>
      </c>
      <c r="L2083" s="6">
        <v>1235</v>
      </c>
      <c r="M2083" s="125">
        <f t="shared" si="40"/>
        <v>6</v>
      </c>
      <c r="N2083" s="18"/>
      <c r="O2083" s="135"/>
      <c r="P2083" s="175">
        <v>11250</v>
      </c>
      <c r="Q2083" s="25">
        <v>0.1245</v>
      </c>
      <c r="U2083" s="384">
        <v>0</v>
      </c>
      <c r="V2083" s="207"/>
      <c r="W2083" s="285">
        <f t="shared" si="39"/>
        <v>1400.625</v>
      </c>
    </row>
    <row r="2084" spans="1:23" ht="15" customHeight="1">
      <c r="A2084" s="3">
        <v>38803</v>
      </c>
      <c r="B2084" s="9">
        <v>45150</v>
      </c>
      <c r="C2084" s="5">
        <v>3575</v>
      </c>
      <c r="D2084" s="5" t="e">
        <f>E2084-(#REF!+C2084)</f>
        <v>#REF!</v>
      </c>
      <c r="E2084" s="5">
        <v>86250</v>
      </c>
      <c r="K2084" s="22">
        <v>1227</v>
      </c>
      <c r="L2084" s="6">
        <v>1230</v>
      </c>
      <c r="M2084" s="125">
        <f t="shared" si="40"/>
        <v>3</v>
      </c>
      <c r="N2084" s="18"/>
      <c r="O2084" s="135"/>
      <c r="P2084" s="175">
        <v>11300</v>
      </c>
      <c r="Q2084" s="25">
        <v>0.1245</v>
      </c>
      <c r="U2084" s="384">
        <v>0</v>
      </c>
      <c r="V2084" s="207"/>
      <c r="W2084" s="285">
        <f t="shared" si="39"/>
        <v>1406.85</v>
      </c>
    </row>
    <row r="2085" spans="1:23" ht="15" customHeight="1">
      <c r="A2085" s="3">
        <v>38804</v>
      </c>
      <c r="B2085" s="9">
        <v>46800</v>
      </c>
      <c r="C2085" s="5">
        <v>3600</v>
      </c>
      <c r="D2085" s="5" t="e">
        <f>E2085-(#REF!+C2085)</f>
        <v>#REF!</v>
      </c>
      <c r="E2085" s="5">
        <v>87925</v>
      </c>
      <c r="K2085" s="22">
        <v>1221.5</v>
      </c>
      <c r="L2085" s="6">
        <v>1230</v>
      </c>
      <c r="M2085" s="125">
        <f t="shared" si="40"/>
        <v>8.5</v>
      </c>
      <c r="N2085" s="18"/>
      <c r="O2085" s="135"/>
      <c r="P2085" s="175">
        <v>11200</v>
      </c>
      <c r="Q2085" s="25">
        <v>0.1246</v>
      </c>
      <c r="U2085" s="384">
        <v>0</v>
      </c>
      <c r="V2085" s="207"/>
      <c r="W2085" s="285">
        <f t="shared" si="39"/>
        <v>1395.52</v>
      </c>
    </row>
    <row r="2086" spans="1:23" ht="15" customHeight="1">
      <c r="A2086" s="3">
        <v>38805</v>
      </c>
      <c r="B2086" s="9">
        <v>46800</v>
      </c>
      <c r="C2086" s="5">
        <v>3975</v>
      </c>
      <c r="D2086" s="5" t="e">
        <f>E2086-(#REF!+C2086)</f>
        <v>#REF!</v>
      </c>
      <c r="E2086" s="5">
        <v>88250</v>
      </c>
      <c r="K2086" s="22">
        <v>1207.5</v>
      </c>
      <c r="L2086" s="6">
        <v>1214</v>
      </c>
      <c r="M2086" s="125">
        <f t="shared" si="40"/>
        <v>6.5</v>
      </c>
      <c r="N2086" s="18"/>
      <c r="O2086" s="135"/>
      <c r="P2086" s="175">
        <v>11200</v>
      </c>
      <c r="Q2086" s="25">
        <v>0.12470000000000001</v>
      </c>
      <c r="U2086" s="384">
        <v>0</v>
      </c>
      <c r="V2086" s="207"/>
      <c r="W2086" s="285">
        <f t="shared" si="39"/>
        <v>1396.64</v>
      </c>
    </row>
    <row r="2087" spans="1:23" ht="15.75" customHeight="1">
      <c r="A2087" s="3">
        <v>38806</v>
      </c>
      <c r="B2087" s="9">
        <v>46700</v>
      </c>
      <c r="C2087" s="5">
        <v>4125</v>
      </c>
      <c r="D2087" s="5" t="e">
        <f>E2087-(#REF!+C2087)</f>
        <v>#REF!</v>
      </c>
      <c r="E2087" s="5">
        <v>88250</v>
      </c>
      <c r="K2087" s="22">
        <v>1202</v>
      </c>
      <c r="L2087" s="6">
        <v>1209</v>
      </c>
      <c r="M2087" s="125">
        <f t="shared" si="40"/>
        <v>7</v>
      </c>
      <c r="N2087" s="18"/>
      <c r="O2087" s="135"/>
      <c r="P2087" s="175">
        <v>11100</v>
      </c>
      <c r="Q2087" s="25">
        <v>0.1246</v>
      </c>
      <c r="U2087" s="384">
        <v>0</v>
      </c>
      <c r="V2087" s="207"/>
      <c r="W2087" s="285">
        <f t="shared" si="39"/>
        <v>1383.06</v>
      </c>
    </row>
    <row r="2088" spans="1:23" ht="15" customHeight="1" thickBot="1">
      <c r="A2088" s="11">
        <v>38807</v>
      </c>
      <c r="B2088" s="9">
        <v>47475</v>
      </c>
      <c r="C2088" s="13">
        <v>4725</v>
      </c>
      <c r="D2088" s="13" t="e">
        <f>E2088-(#REF!+C2088)</f>
        <v>#REF!</v>
      </c>
      <c r="E2088" s="13">
        <v>89625</v>
      </c>
      <c r="F2088" s="12"/>
      <c r="G2088" s="13"/>
      <c r="H2088" s="13"/>
      <c r="I2088" s="119"/>
      <c r="J2088" s="119"/>
      <c r="K2088" s="23">
        <v>1210</v>
      </c>
      <c r="L2088" s="14">
        <v>1215</v>
      </c>
      <c r="M2088" s="126">
        <f t="shared" si="40"/>
        <v>5</v>
      </c>
      <c r="N2088" s="19">
        <f>AVERAGE(K2066:K2088)</f>
        <v>1192.0869565217392</v>
      </c>
      <c r="O2088" s="136"/>
      <c r="P2088" s="176">
        <v>11150</v>
      </c>
      <c r="Q2088" s="27">
        <v>0.1246</v>
      </c>
      <c r="R2088" s="27"/>
      <c r="S2088" s="27"/>
      <c r="T2088" s="27"/>
      <c r="U2088" s="385">
        <v>0</v>
      </c>
      <c r="V2088" s="284">
        <f>AVERAGE(P2066:P2088)</f>
        <v>11445.652173913044</v>
      </c>
      <c r="W2088" s="285">
        <f t="shared" si="39"/>
        <v>1389.29</v>
      </c>
    </row>
    <row r="2089" spans="1:23" ht="15" customHeight="1">
      <c r="A2089" s="3">
        <v>38810</v>
      </c>
      <c r="B2089" s="9">
        <v>47225</v>
      </c>
      <c r="C2089" s="5">
        <v>5100</v>
      </c>
      <c r="D2089" s="5" t="e">
        <f>E2089-(#REF!+C2089)</f>
        <v>#REF!</v>
      </c>
      <c r="E2089" s="5">
        <v>89750</v>
      </c>
      <c r="K2089" s="22">
        <v>1209</v>
      </c>
      <c r="L2089" s="6">
        <v>1207</v>
      </c>
      <c r="M2089" s="125">
        <f t="shared" si="40"/>
        <v>-2</v>
      </c>
      <c r="N2089" s="18"/>
      <c r="O2089" s="135"/>
      <c r="P2089" s="175">
        <v>11150</v>
      </c>
      <c r="Q2089" s="25">
        <v>0.12470000000000001</v>
      </c>
      <c r="U2089" s="384">
        <v>0</v>
      </c>
      <c r="V2089" s="207"/>
      <c r="W2089" s="285">
        <f t="shared" si="39"/>
        <v>1390.405</v>
      </c>
    </row>
    <row r="2090" spans="1:23" ht="15" customHeight="1">
      <c r="A2090" s="3">
        <v>38811</v>
      </c>
      <c r="B2090" s="9">
        <v>47650</v>
      </c>
      <c r="C2090" s="5">
        <v>5425</v>
      </c>
      <c r="D2090" s="5" t="e">
        <f>E2090-(#REF!+C2090)</f>
        <v>#REF!</v>
      </c>
      <c r="E2090" s="5">
        <v>90500</v>
      </c>
      <c r="K2090" s="22">
        <v>1161</v>
      </c>
      <c r="L2090" s="6">
        <v>1164</v>
      </c>
      <c r="M2090" s="125">
        <f t="shared" si="40"/>
        <v>3</v>
      </c>
      <c r="N2090" s="18"/>
      <c r="O2090" s="135"/>
      <c r="P2090" s="175">
        <v>11250</v>
      </c>
      <c r="Q2090" s="25">
        <v>0.12470000000000001</v>
      </c>
      <c r="U2090" s="384">
        <v>0</v>
      </c>
      <c r="V2090" s="207"/>
      <c r="W2090" s="285">
        <f t="shared" si="39"/>
        <v>1402.875</v>
      </c>
    </row>
    <row r="2091" spans="1:23" ht="15" customHeight="1">
      <c r="A2091" s="3">
        <v>38812</v>
      </c>
      <c r="B2091" s="9">
        <v>47650</v>
      </c>
      <c r="C2091" s="5">
        <v>5425</v>
      </c>
      <c r="D2091" s="5" t="e">
        <f>E2091-(#REF!+C2091)</f>
        <v>#REF!</v>
      </c>
      <c r="E2091" s="5">
        <v>90475</v>
      </c>
      <c r="K2091" s="22">
        <v>1162.5</v>
      </c>
      <c r="L2091" s="6">
        <v>1175</v>
      </c>
      <c r="M2091" s="125">
        <f t="shared" si="40"/>
        <v>12.5</v>
      </c>
      <c r="N2091" s="18"/>
      <c r="O2091" s="135"/>
      <c r="P2091" s="175">
        <v>11250</v>
      </c>
      <c r="Q2091" s="25">
        <v>0.12470000000000001</v>
      </c>
      <c r="U2091" s="384">
        <v>0</v>
      </c>
      <c r="V2091" s="207"/>
      <c r="W2091" s="285">
        <f t="shared" si="39"/>
        <v>1402.875</v>
      </c>
    </row>
    <row r="2092" spans="1:23" ht="15" customHeight="1">
      <c r="A2092" s="3">
        <v>38813</v>
      </c>
      <c r="B2092" s="9">
        <v>47650</v>
      </c>
      <c r="C2092" s="5">
        <v>5425</v>
      </c>
      <c r="D2092" s="5" t="e">
        <f>E2092-(#REF!+C2092)</f>
        <v>#REF!</v>
      </c>
      <c r="E2092" s="5">
        <v>90475</v>
      </c>
      <c r="K2092" s="22">
        <v>1155</v>
      </c>
      <c r="L2092" s="6">
        <v>1168</v>
      </c>
      <c r="M2092" s="125">
        <f t="shared" si="40"/>
        <v>13</v>
      </c>
      <c r="N2092" s="18"/>
      <c r="O2092" s="135"/>
      <c r="P2092" s="175">
        <v>11075</v>
      </c>
      <c r="Q2092" s="25">
        <v>0.12479999999999999</v>
      </c>
      <c r="U2092" s="384">
        <v>0</v>
      </c>
      <c r="V2092" s="207"/>
      <c r="W2092" s="285">
        <f t="shared" si="39"/>
        <v>1382.1599999999999</v>
      </c>
    </row>
    <row r="2093" spans="1:23" ht="15" customHeight="1">
      <c r="A2093" s="3">
        <v>38814</v>
      </c>
      <c r="B2093" s="9">
        <v>47500</v>
      </c>
      <c r="C2093" s="5">
        <v>5450</v>
      </c>
      <c r="D2093" s="5" t="e">
        <f>E2093-(#REF!+C2093)</f>
        <v>#REF!</v>
      </c>
      <c r="E2093" s="5">
        <v>90325</v>
      </c>
      <c r="K2093" s="22">
        <v>1166.5</v>
      </c>
      <c r="L2093" s="6">
        <v>1182</v>
      </c>
      <c r="M2093" s="125">
        <f t="shared" si="40"/>
        <v>15.5</v>
      </c>
      <c r="N2093" s="18"/>
      <c r="O2093" s="135"/>
      <c r="P2093" s="175">
        <v>11150</v>
      </c>
      <c r="Q2093" s="25">
        <v>0.1249</v>
      </c>
      <c r="U2093" s="384">
        <v>0</v>
      </c>
      <c r="V2093" s="207"/>
      <c r="W2093" s="285">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25">
        <f t="shared" si="40"/>
        <v>19</v>
      </c>
      <c r="N2094" s="18"/>
      <c r="O2094" s="135"/>
      <c r="P2094" s="175">
        <v>11050</v>
      </c>
      <c r="Q2094" s="25">
        <v>0.12479999999999999</v>
      </c>
      <c r="U2094" s="384">
        <v>0</v>
      </c>
      <c r="V2094" s="207"/>
      <c r="W2094" s="285">
        <f t="shared" si="41"/>
        <v>1379.04</v>
      </c>
    </row>
    <row r="2095" spans="1:23" ht="15" customHeight="1">
      <c r="A2095" s="3">
        <v>38818</v>
      </c>
      <c r="B2095" s="9">
        <v>49300</v>
      </c>
      <c r="C2095" s="5">
        <v>5450</v>
      </c>
      <c r="D2095" s="5" t="e">
        <f>E2095-(#REF!+C2095)</f>
        <v>#REF!</v>
      </c>
      <c r="E2095" s="5">
        <v>92125</v>
      </c>
      <c r="K2095" s="22">
        <v>1149.5</v>
      </c>
      <c r="L2095" s="6">
        <v>1173</v>
      </c>
      <c r="M2095" s="125">
        <f t="shared" si="40"/>
        <v>23.5</v>
      </c>
      <c r="N2095" s="18"/>
      <c r="O2095" s="135"/>
      <c r="P2095" s="175">
        <v>11050</v>
      </c>
      <c r="Q2095" s="25">
        <v>0.1249</v>
      </c>
      <c r="U2095" s="384">
        <v>0</v>
      </c>
      <c r="V2095" s="207"/>
      <c r="W2095" s="285">
        <f t="shared" si="41"/>
        <v>1380.145</v>
      </c>
    </row>
    <row r="2096" spans="1:23" ht="15" customHeight="1">
      <c r="A2096" s="3">
        <v>38819</v>
      </c>
      <c r="B2096" s="9">
        <v>50075</v>
      </c>
      <c r="C2096" s="5">
        <v>5450</v>
      </c>
      <c r="D2096" s="5" t="e">
        <f>E2096-(#REF!+C2096)</f>
        <v>#REF!</v>
      </c>
      <c r="E2096" s="5">
        <v>92850</v>
      </c>
      <c r="K2096" s="22">
        <v>1149</v>
      </c>
      <c r="L2096" s="6">
        <v>1173.5</v>
      </c>
      <c r="M2096" s="125">
        <f t="shared" si="40"/>
        <v>24.5</v>
      </c>
      <c r="N2096" s="18"/>
      <c r="O2096" s="135"/>
      <c r="P2096" s="175">
        <v>11100</v>
      </c>
      <c r="Q2096" s="25">
        <v>0.12479999999999999</v>
      </c>
      <c r="U2096" s="384">
        <v>0</v>
      </c>
      <c r="V2096" s="207"/>
      <c r="W2096" s="285">
        <f t="shared" si="41"/>
        <v>1385.28</v>
      </c>
    </row>
    <row r="2097" spans="1:23" ht="15" customHeight="1">
      <c r="A2097" s="3">
        <v>38820</v>
      </c>
      <c r="B2097" s="9">
        <v>50025</v>
      </c>
      <c r="C2097" s="5">
        <v>5450</v>
      </c>
      <c r="D2097" s="5" t="e">
        <f>E2097-(#REF!+C2097)</f>
        <v>#REF!</v>
      </c>
      <c r="E2097" s="5">
        <v>92775</v>
      </c>
      <c r="K2097" s="22">
        <v>1148.5</v>
      </c>
      <c r="L2097" s="6">
        <v>1177</v>
      </c>
      <c r="M2097" s="125">
        <f t="shared" si="40"/>
        <v>28.5</v>
      </c>
      <c r="N2097" s="18"/>
      <c r="O2097" s="135"/>
      <c r="P2097" s="175">
        <v>11050</v>
      </c>
      <c r="Q2097" s="25">
        <v>0.12479999999999999</v>
      </c>
      <c r="U2097" s="384">
        <v>0</v>
      </c>
      <c r="V2097" s="207"/>
      <c r="W2097" s="285">
        <f t="shared" si="41"/>
        <v>1379.04</v>
      </c>
    </row>
    <row r="2098" spans="1:23" ht="15" customHeight="1">
      <c r="A2098" s="3">
        <v>38825</v>
      </c>
      <c r="B2098" s="9">
        <v>51450</v>
      </c>
      <c r="C2098" s="5">
        <v>5450</v>
      </c>
      <c r="D2098" s="5" t="e">
        <f>E2098-(#REF!+C2098)</f>
        <v>#REF!</v>
      </c>
      <c r="E2098" s="5">
        <v>94200</v>
      </c>
      <c r="K2098" s="22">
        <v>1149.5</v>
      </c>
      <c r="L2098" s="6">
        <v>1177.5</v>
      </c>
      <c r="M2098" s="125">
        <f t="shared" si="40"/>
        <v>28</v>
      </c>
      <c r="N2098" s="18"/>
      <c r="O2098" s="135"/>
      <c r="P2098" s="175">
        <v>10700</v>
      </c>
      <c r="Q2098" s="25">
        <v>0.12479999999999999</v>
      </c>
      <c r="U2098" s="384">
        <v>0</v>
      </c>
      <c r="V2098" s="207"/>
      <c r="W2098" s="285">
        <f t="shared" si="41"/>
        <v>1335.36</v>
      </c>
    </row>
    <row r="2099" spans="1:23" ht="15" customHeight="1">
      <c r="A2099" s="3">
        <v>38826</v>
      </c>
      <c r="B2099" s="9">
        <v>51925</v>
      </c>
      <c r="C2099" s="5">
        <v>5450</v>
      </c>
      <c r="D2099" s="5" t="e">
        <f>E2099-(#REF!+C2099)</f>
        <v>#REF!</v>
      </c>
      <c r="E2099" s="5">
        <v>94675</v>
      </c>
      <c r="K2099" s="22">
        <v>1176</v>
      </c>
      <c r="L2099" s="6">
        <v>1190</v>
      </c>
      <c r="M2099" s="125">
        <f t="shared" si="40"/>
        <v>14</v>
      </c>
      <c r="N2099" s="18"/>
      <c r="O2099" s="135"/>
      <c r="P2099" s="175">
        <v>10700</v>
      </c>
      <c r="Q2099" s="25">
        <v>0.12479999999999999</v>
      </c>
      <c r="U2099" s="384">
        <v>0</v>
      </c>
      <c r="V2099" s="207"/>
      <c r="W2099" s="285">
        <f t="shared" si="41"/>
        <v>1335.36</v>
      </c>
    </row>
    <row r="2100" spans="1:23" ht="15" customHeight="1">
      <c r="A2100" s="3">
        <v>38827</v>
      </c>
      <c r="B2100" s="9">
        <v>51925</v>
      </c>
      <c r="C2100" s="5">
        <v>5450</v>
      </c>
      <c r="D2100" s="5" t="e">
        <f>E2100-(#REF!+C2100)</f>
        <v>#REF!</v>
      </c>
      <c r="E2100" s="5">
        <v>94650</v>
      </c>
      <c r="K2100" s="22">
        <v>1166</v>
      </c>
      <c r="L2100" s="6">
        <v>1190</v>
      </c>
      <c r="M2100" s="125">
        <f t="shared" si="40"/>
        <v>24</v>
      </c>
      <c r="N2100" s="18"/>
      <c r="O2100" s="135"/>
      <c r="P2100" s="175">
        <v>10660</v>
      </c>
      <c r="Q2100" s="25">
        <v>0.12479999999999999</v>
      </c>
      <c r="U2100" s="384">
        <v>0</v>
      </c>
      <c r="V2100" s="207"/>
      <c r="W2100" s="285">
        <f t="shared" si="41"/>
        <v>1330.3679999999999</v>
      </c>
    </row>
    <row r="2101" spans="1:23" ht="15" customHeight="1">
      <c r="A2101" s="3">
        <v>38830</v>
      </c>
      <c r="B2101" s="9">
        <v>51950</v>
      </c>
      <c r="C2101" s="5">
        <v>5450</v>
      </c>
      <c r="D2101" s="5" t="e">
        <f>E2101-(#REF!+C2101)</f>
        <v>#REF!</v>
      </c>
      <c r="E2101" s="5">
        <v>94675</v>
      </c>
      <c r="K2101" s="22">
        <v>1205.5</v>
      </c>
      <c r="L2101" s="6">
        <v>1224</v>
      </c>
      <c r="M2101" s="125">
        <f t="shared" si="40"/>
        <v>18.5</v>
      </c>
      <c r="N2101" s="18"/>
      <c r="O2101" s="135"/>
      <c r="P2101" s="175">
        <v>10550</v>
      </c>
      <c r="Q2101" s="25">
        <v>0.12470000000000001</v>
      </c>
      <c r="U2101" s="384">
        <v>0</v>
      </c>
      <c r="V2101" s="207"/>
      <c r="W2101" s="285">
        <f t="shared" si="41"/>
        <v>1315.585</v>
      </c>
    </row>
    <row r="2102" spans="1:23" ht="15" customHeight="1">
      <c r="A2102" s="3">
        <v>38831</v>
      </c>
      <c r="B2102" s="9">
        <v>51775</v>
      </c>
      <c r="C2102" s="5">
        <v>5450</v>
      </c>
      <c r="D2102" s="5" t="e">
        <f>E2102-(#REF!+C2102)</f>
        <v>#REF!</v>
      </c>
      <c r="E2102" s="5">
        <v>94425</v>
      </c>
      <c r="K2102" s="22">
        <v>1170</v>
      </c>
      <c r="L2102" s="6">
        <v>1209</v>
      </c>
      <c r="M2102" s="125">
        <f t="shared" si="40"/>
        <v>39</v>
      </c>
      <c r="N2102" s="18"/>
      <c r="O2102" s="135"/>
      <c r="P2102" s="175">
        <v>10800</v>
      </c>
      <c r="Q2102" s="25">
        <v>0.12470000000000001</v>
      </c>
      <c r="U2102" s="384">
        <v>0</v>
      </c>
      <c r="V2102" s="207"/>
      <c r="W2102" s="285">
        <f t="shared" si="41"/>
        <v>1346.76</v>
      </c>
    </row>
    <row r="2103" spans="1:23" ht="15" customHeight="1">
      <c r="A2103" s="3">
        <v>38832</v>
      </c>
      <c r="B2103" s="9">
        <v>54000</v>
      </c>
      <c r="C2103" s="5">
        <v>5450</v>
      </c>
      <c r="D2103" s="5" t="e">
        <f>E2103-(#REF!+C2103)</f>
        <v>#REF!</v>
      </c>
      <c r="E2103" s="5">
        <v>96450</v>
      </c>
      <c r="K2103" s="22">
        <v>1185</v>
      </c>
      <c r="L2103" s="6">
        <v>1205</v>
      </c>
      <c r="M2103" s="125">
        <f t="shared" ref="M2103:M2166" si="42">L2103-K2103</f>
        <v>20</v>
      </c>
      <c r="N2103" s="18"/>
      <c r="O2103" s="135"/>
      <c r="P2103" s="175">
        <v>10800</v>
      </c>
      <c r="Q2103" s="25">
        <v>0.12470000000000001</v>
      </c>
      <c r="U2103" s="384">
        <v>0</v>
      </c>
      <c r="V2103" s="207"/>
      <c r="W2103" s="285">
        <f t="shared" si="41"/>
        <v>1346.76</v>
      </c>
    </row>
    <row r="2104" spans="1:23" ht="15" customHeight="1">
      <c r="A2104" s="3">
        <v>38833</v>
      </c>
      <c r="B2104" s="9">
        <v>54600</v>
      </c>
      <c r="C2104" s="5">
        <v>5450</v>
      </c>
      <c r="D2104" s="5" t="e">
        <f>E2104-(#REF!+C2104)</f>
        <v>#REF!</v>
      </c>
      <c r="E2104" s="5">
        <v>96925</v>
      </c>
      <c r="K2104" s="22">
        <v>1169</v>
      </c>
      <c r="L2104" s="6">
        <v>1205</v>
      </c>
      <c r="M2104" s="125">
        <f t="shared" si="42"/>
        <v>36</v>
      </c>
      <c r="N2104" s="18"/>
      <c r="O2104" s="135"/>
      <c r="P2104" s="175">
        <v>10800</v>
      </c>
      <c r="Q2104" s="25">
        <v>0.12470000000000001</v>
      </c>
      <c r="U2104" s="384">
        <v>0</v>
      </c>
      <c r="V2104" s="207"/>
      <c r="W2104" s="285">
        <f t="shared" si="41"/>
        <v>1346.76</v>
      </c>
    </row>
    <row r="2105" spans="1:23" ht="15" customHeight="1">
      <c r="A2105" s="3">
        <v>38834</v>
      </c>
      <c r="B2105" s="9">
        <v>54575</v>
      </c>
      <c r="C2105" s="5">
        <v>5450</v>
      </c>
      <c r="D2105" s="5" t="e">
        <f>E2105-(#REF!+C2105)</f>
        <v>#REF!</v>
      </c>
      <c r="E2105" s="5">
        <v>96825</v>
      </c>
      <c r="K2105" s="22">
        <v>1191.5</v>
      </c>
      <c r="L2105" s="6">
        <v>1203</v>
      </c>
      <c r="M2105" s="125">
        <f t="shared" si="42"/>
        <v>11.5</v>
      </c>
      <c r="N2105" s="18"/>
      <c r="O2105" s="135"/>
      <c r="P2105" s="175">
        <v>10800</v>
      </c>
      <c r="Q2105" s="25">
        <v>0.12470000000000001</v>
      </c>
      <c r="U2105" s="384">
        <v>0</v>
      </c>
      <c r="V2105" s="207"/>
      <c r="W2105" s="285">
        <f t="shared" si="41"/>
        <v>1346.76</v>
      </c>
    </row>
    <row r="2106" spans="1:23" ht="15" customHeight="1" thickBot="1">
      <c r="A2106" s="11">
        <v>38835</v>
      </c>
      <c r="B2106" s="9">
        <v>57575</v>
      </c>
      <c r="C2106" s="13">
        <v>5450</v>
      </c>
      <c r="D2106" s="13" t="e">
        <f>E2106-(#REF!+C2106)</f>
        <v>#REF!</v>
      </c>
      <c r="E2106" s="13">
        <v>99800</v>
      </c>
      <c r="F2106" s="12"/>
      <c r="G2106" s="13"/>
      <c r="H2106" s="13"/>
      <c r="I2106" s="119"/>
      <c r="J2106" s="119"/>
      <c r="K2106" s="23">
        <v>1190</v>
      </c>
      <c r="L2106" s="14">
        <v>1210</v>
      </c>
      <c r="M2106" s="126">
        <f t="shared" si="42"/>
        <v>20</v>
      </c>
      <c r="N2106" s="19">
        <f>AVERAGE(K2089:K2106)</f>
        <v>1170.4166666666667</v>
      </c>
      <c r="O2106" s="136"/>
      <c r="P2106" s="176">
        <v>10800</v>
      </c>
      <c r="Q2106" s="27">
        <v>0.12470000000000001</v>
      </c>
      <c r="R2106" s="27"/>
      <c r="S2106" s="27"/>
      <c r="T2106" s="27"/>
      <c r="U2106" s="385">
        <v>0</v>
      </c>
      <c r="V2106" s="284">
        <f>AVERAGE(P2089:P2106)</f>
        <v>10929.722222222223</v>
      </c>
      <c r="W2106" s="285">
        <f t="shared" si="41"/>
        <v>1346.76</v>
      </c>
    </row>
    <row r="2107" spans="1:23" ht="15" customHeight="1">
      <c r="A2107" s="3">
        <v>38839</v>
      </c>
      <c r="B2107" s="9">
        <v>57375</v>
      </c>
      <c r="C2107" s="5">
        <v>5450</v>
      </c>
      <c r="D2107" s="5" t="e">
        <f>E2107-(#REF!+C2107)</f>
        <v>#REF!</v>
      </c>
      <c r="E2107" s="5">
        <v>99600</v>
      </c>
      <c r="K2107" s="22">
        <v>1196</v>
      </c>
      <c r="L2107" s="6">
        <v>1240</v>
      </c>
      <c r="M2107" s="125">
        <f t="shared" si="42"/>
        <v>44</v>
      </c>
      <c r="N2107" s="18"/>
      <c r="O2107" s="135"/>
      <c r="P2107" s="175">
        <v>10800</v>
      </c>
      <c r="Q2107" s="25">
        <v>0.12470000000000001</v>
      </c>
      <c r="U2107" s="384">
        <v>0</v>
      </c>
      <c r="V2107" s="207"/>
      <c r="W2107" s="285">
        <f t="shared" si="41"/>
        <v>1346.76</v>
      </c>
    </row>
    <row r="2108" spans="1:23" ht="15" customHeight="1">
      <c r="A2108" s="3">
        <v>38840</v>
      </c>
      <c r="B2108" s="9">
        <v>57925</v>
      </c>
      <c r="C2108" s="5">
        <v>5450</v>
      </c>
      <c r="D2108" s="5" t="e">
        <f>E2108-(#REF!+C2108)</f>
        <v>#REF!</v>
      </c>
      <c r="E2108" s="5">
        <v>99650</v>
      </c>
      <c r="K2108" s="22">
        <v>1160.5</v>
      </c>
      <c r="L2108" s="6">
        <v>1195</v>
      </c>
      <c r="M2108" s="125">
        <f t="shared" si="42"/>
        <v>34.5</v>
      </c>
      <c r="N2108" s="18"/>
      <c r="O2108" s="135"/>
      <c r="P2108" s="175">
        <v>10800</v>
      </c>
      <c r="Q2108" s="25">
        <v>0.12470000000000001</v>
      </c>
      <c r="U2108" s="384">
        <v>0</v>
      </c>
      <c r="V2108" s="207"/>
      <c r="W2108" s="285">
        <f t="shared" si="41"/>
        <v>1346.76</v>
      </c>
    </row>
    <row r="2109" spans="1:23" ht="15" customHeight="1">
      <c r="A2109" s="3">
        <v>38841</v>
      </c>
      <c r="B2109" s="9">
        <v>58400</v>
      </c>
      <c r="C2109" s="5">
        <v>5450</v>
      </c>
      <c r="D2109" s="5" t="e">
        <f>E2109-(#REF!+C2109)</f>
        <v>#REF!</v>
      </c>
      <c r="E2109" s="5">
        <v>99150</v>
      </c>
      <c r="K2109" s="22">
        <v>1175</v>
      </c>
      <c r="L2109" s="6">
        <v>1205</v>
      </c>
      <c r="M2109" s="125">
        <f t="shared" si="42"/>
        <v>30</v>
      </c>
      <c r="N2109" s="18"/>
      <c r="O2109" s="135"/>
      <c r="P2109" s="175">
        <v>10800</v>
      </c>
      <c r="Q2109" s="25">
        <v>0.12470000000000001</v>
      </c>
      <c r="U2109" s="384">
        <v>0</v>
      </c>
      <c r="V2109" s="207"/>
      <c r="W2109" s="285">
        <f t="shared" si="41"/>
        <v>1346.76</v>
      </c>
    </row>
    <row r="2110" spans="1:23" ht="15" customHeight="1">
      <c r="A2110" s="3">
        <v>38842</v>
      </c>
      <c r="B2110" s="9">
        <v>58375</v>
      </c>
      <c r="C2110" s="5">
        <v>5450</v>
      </c>
      <c r="D2110" s="5" t="e">
        <f>E2110-(#REF!+C2110)</f>
        <v>#REF!</v>
      </c>
      <c r="E2110" s="5">
        <v>98750</v>
      </c>
      <c r="K2110" s="22">
        <v>1191</v>
      </c>
      <c r="L2110" s="6">
        <v>1225</v>
      </c>
      <c r="M2110" s="125">
        <f t="shared" si="42"/>
        <v>34</v>
      </c>
      <c r="N2110" s="18"/>
      <c r="O2110" s="135"/>
      <c r="P2110" s="175">
        <v>10800</v>
      </c>
      <c r="Q2110" s="25">
        <v>0.12470000000000001</v>
      </c>
      <c r="U2110" s="384">
        <v>0</v>
      </c>
      <c r="V2110" s="207"/>
      <c r="W2110" s="285">
        <f t="shared" si="41"/>
        <v>1346.76</v>
      </c>
    </row>
    <row r="2111" spans="1:23" ht="15" customHeight="1">
      <c r="A2111" s="3">
        <v>38845</v>
      </c>
      <c r="B2111" s="9">
        <v>58275</v>
      </c>
      <c r="C2111" s="5">
        <v>5450</v>
      </c>
      <c r="D2111" s="5" t="e">
        <f>E2111-(#REF!+C2111)</f>
        <v>#REF!</v>
      </c>
      <c r="E2111" s="5">
        <v>98000</v>
      </c>
      <c r="K2111" s="22">
        <v>1170</v>
      </c>
      <c r="L2111" s="6">
        <v>1200.5</v>
      </c>
      <c r="M2111" s="125">
        <f t="shared" si="42"/>
        <v>30.5</v>
      </c>
      <c r="N2111" s="18"/>
      <c r="O2111" s="135"/>
      <c r="P2111" s="175">
        <v>10800</v>
      </c>
      <c r="Q2111" s="25">
        <v>0.12470000000000001</v>
      </c>
      <c r="U2111" s="384">
        <v>0</v>
      </c>
      <c r="V2111" s="207"/>
      <c r="W2111" s="285">
        <f t="shared" si="41"/>
        <v>1346.76</v>
      </c>
    </row>
    <row r="2112" spans="1:23" ht="15" customHeight="1">
      <c r="A2112" s="3">
        <v>38846</v>
      </c>
      <c r="B2112" s="9">
        <v>60625</v>
      </c>
      <c r="C2112" s="5">
        <v>5450</v>
      </c>
      <c r="D2112" s="5" t="e">
        <f>E2112-(#REF!+C2112)</f>
        <v>#REF!</v>
      </c>
      <c r="E2112" s="5">
        <v>100225</v>
      </c>
      <c r="K2112" s="22">
        <v>1205</v>
      </c>
      <c r="L2112" s="6">
        <v>1237.5</v>
      </c>
      <c r="M2112" s="125">
        <f t="shared" si="42"/>
        <v>32.5</v>
      </c>
      <c r="N2112" s="18"/>
      <c r="O2112" s="135"/>
      <c r="P2112" s="175">
        <v>10900</v>
      </c>
      <c r="Q2112" s="25">
        <v>0.1249</v>
      </c>
      <c r="U2112" s="384">
        <v>0</v>
      </c>
      <c r="V2112" s="207"/>
      <c r="W2112" s="285">
        <f t="shared" si="41"/>
        <v>1361.41</v>
      </c>
    </row>
    <row r="2113" spans="1:23" ht="15" customHeight="1">
      <c r="A2113" s="3">
        <v>38847</v>
      </c>
      <c r="B2113" s="9">
        <v>60850</v>
      </c>
      <c r="C2113" s="5">
        <v>5450</v>
      </c>
      <c r="D2113" s="5" t="e">
        <f>E2113-(#REF!+C2113)</f>
        <v>#REF!</v>
      </c>
      <c r="E2113" s="5">
        <v>100125</v>
      </c>
      <c r="K2113" s="22">
        <v>1282.5</v>
      </c>
      <c r="L2113" s="6">
        <v>1304</v>
      </c>
      <c r="M2113" s="125">
        <f t="shared" si="42"/>
        <v>21.5</v>
      </c>
      <c r="N2113" s="18"/>
      <c r="O2113" s="135"/>
      <c r="P2113" s="175">
        <v>11075</v>
      </c>
      <c r="Q2113" s="25">
        <v>0.1249</v>
      </c>
      <c r="U2113" s="384">
        <v>0</v>
      </c>
      <c r="V2113" s="207"/>
      <c r="W2113" s="285">
        <f t="shared" si="41"/>
        <v>1383.2674999999999</v>
      </c>
    </row>
    <row r="2114" spans="1:23" ht="15" customHeight="1">
      <c r="A2114" s="3">
        <v>38848</v>
      </c>
      <c r="B2114" s="9">
        <v>62275</v>
      </c>
      <c r="C2114" s="5">
        <v>5450</v>
      </c>
      <c r="D2114" s="5" t="e">
        <f>E2114-(#REF!+C2114)</f>
        <v>#REF!</v>
      </c>
      <c r="E2114" s="5">
        <v>101475</v>
      </c>
      <c r="K2114" s="22">
        <v>1316</v>
      </c>
      <c r="L2114" s="6">
        <v>1332.5</v>
      </c>
      <c r="M2114" s="125">
        <f t="shared" si="42"/>
        <v>16.5</v>
      </c>
      <c r="N2114" s="18"/>
      <c r="O2114" s="135"/>
      <c r="P2114" s="175">
        <v>11325</v>
      </c>
      <c r="Q2114" s="25">
        <v>0.1249</v>
      </c>
      <c r="U2114" s="384">
        <v>0</v>
      </c>
      <c r="V2114" s="207"/>
      <c r="W2114" s="285">
        <f t="shared" si="41"/>
        <v>1414.4925000000001</v>
      </c>
    </row>
    <row r="2115" spans="1:23" ht="15" customHeight="1">
      <c r="A2115" s="3">
        <v>38849</v>
      </c>
      <c r="B2115" s="9">
        <v>62175</v>
      </c>
      <c r="C2115" s="5">
        <v>5450</v>
      </c>
      <c r="D2115" s="5" t="e">
        <f>E2115-(#REF!+C2115)</f>
        <v>#REF!</v>
      </c>
      <c r="E2115" s="5">
        <v>101375</v>
      </c>
      <c r="K2115" s="22">
        <v>1270</v>
      </c>
      <c r="L2115" s="6">
        <v>1280</v>
      </c>
      <c r="M2115" s="125">
        <f t="shared" si="42"/>
        <v>10</v>
      </c>
      <c r="N2115" s="18"/>
      <c r="O2115" s="135"/>
      <c r="P2115" s="175">
        <v>11400</v>
      </c>
      <c r="Q2115" s="25">
        <v>0.1249</v>
      </c>
      <c r="U2115" s="384">
        <v>0</v>
      </c>
      <c r="V2115" s="207"/>
      <c r="W2115" s="285">
        <f t="shared" si="41"/>
        <v>1423.86</v>
      </c>
    </row>
    <row r="2116" spans="1:23" ht="15" customHeight="1">
      <c r="A2116" s="3">
        <v>38852</v>
      </c>
      <c r="B2116" s="9">
        <v>62175</v>
      </c>
      <c r="C2116" s="5">
        <v>5450</v>
      </c>
      <c r="D2116" s="5" t="e">
        <f>E2116-(#REF!+C2116)</f>
        <v>#REF!</v>
      </c>
      <c r="E2116" s="5">
        <v>101375</v>
      </c>
      <c r="K2116" s="22">
        <v>1172</v>
      </c>
      <c r="L2116" s="6">
        <v>1196</v>
      </c>
      <c r="M2116" s="125">
        <f t="shared" si="42"/>
        <v>24</v>
      </c>
      <c r="N2116" s="18"/>
      <c r="O2116" s="135"/>
      <c r="P2116" s="175">
        <v>11450</v>
      </c>
      <c r="Q2116" s="25">
        <v>0.1249</v>
      </c>
      <c r="U2116" s="384">
        <v>0</v>
      </c>
      <c r="V2116" s="207"/>
      <c r="W2116" s="285">
        <f t="shared" si="41"/>
        <v>1430.105</v>
      </c>
    </row>
    <row r="2117" spans="1:23" ht="15" customHeight="1">
      <c r="A2117" s="3">
        <v>38853</v>
      </c>
      <c r="B2117" s="9">
        <v>63325</v>
      </c>
      <c r="C2117" s="5">
        <v>5450</v>
      </c>
      <c r="D2117" s="5" t="e">
        <f>E2117-(#REF!+C2117)</f>
        <v>#REF!</v>
      </c>
      <c r="E2117" s="5">
        <v>102500</v>
      </c>
      <c r="K2117" s="22">
        <v>1172.5</v>
      </c>
      <c r="L2117" s="6">
        <v>1201</v>
      </c>
      <c r="M2117" s="125">
        <f t="shared" si="42"/>
        <v>28.5</v>
      </c>
      <c r="N2117" s="18"/>
      <c r="O2117" s="135"/>
      <c r="P2117" s="175">
        <v>11450</v>
      </c>
      <c r="Q2117" s="25">
        <v>0.125</v>
      </c>
      <c r="U2117" s="384">
        <v>0</v>
      </c>
      <c r="V2117" s="207"/>
      <c r="W2117" s="285">
        <f t="shared" si="41"/>
        <v>1431.25</v>
      </c>
    </row>
    <row r="2118" spans="1:23" ht="15" customHeight="1">
      <c r="A2118" s="3">
        <v>38854</v>
      </c>
      <c r="B2118" s="9">
        <v>63575</v>
      </c>
      <c r="C2118" s="5">
        <v>5450</v>
      </c>
      <c r="D2118" s="5" t="e">
        <f>E2118-(#REF!+C2118)</f>
        <v>#REF!</v>
      </c>
      <c r="E2118" s="5">
        <v>102750</v>
      </c>
      <c r="K2118" s="22">
        <v>1202.5</v>
      </c>
      <c r="L2118" s="6">
        <v>1232</v>
      </c>
      <c r="M2118" s="125">
        <f t="shared" si="42"/>
        <v>29.5</v>
      </c>
      <c r="N2118" s="18"/>
      <c r="O2118" s="135"/>
      <c r="P2118" s="175">
        <v>11450</v>
      </c>
      <c r="Q2118" s="25">
        <v>0.12479999999999999</v>
      </c>
      <c r="U2118" s="384">
        <v>0</v>
      </c>
      <c r="V2118" s="207"/>
      <c r="W2118" s="285">
        <f t="shared" si="41"/>
        <v>1428.96</v>
      </c>
    </row>
    <row r="2119" spans="1:23" ht="15" customHeight="1">
      <c r="A2119" s="3">
        <v>38855</v>
      </c>
      <c r="B2119" s="9">
        <v>64525</v>
      </c>
      <c r="C2119" s="5">
        <v>5450</v>
      </c>
      <c r="D2119" s="5" t="e">
        <f>E2119-(#REF!+C2119)</f>
        <v>#REF!</v>
      </c>
      <c r="E2119" s="5">
        <v>103700</v>
      </c>
      <c r="K2119" s="22">
        <v>1196</v>
      </c>
      <c r="L2119" s="6">
        <v>1230</v>
      </c>
      <c r="M2119" s="125">
        <f t="shared" si="42"/>
        <v>34</v>
      </c>
      <c r="N2119" s="18"/>
      <c r="O2119" s="135"/>
      <c r="P2119" s="175">
        <v>11450</v>
      </c>
      <c r="Q2119" s="25">
        <v>0.1249</v>
      </c>
      <c r="U2119" s="384">
        <v>0</v>
      </c>
      <c r="V2119" s="207"/>
      <c r="W2119" s="285">
        <f t="shared" si="41"/>
        <v>1430.105</v>
      </c>
    </row>
    <row r="2120" spans="1:23" ht="15" customHeight="1">
      <c r="A2120" s="3">
        <v>38856</v>
      </c>
      <c r="B2120" s="9">
        <v>65225</v>
      </c>
      <c r="C2120" s="5">
        <v>5450</v>
      </c>
      <c r="D2120" s="5" t="e">
        <f>E2120-(#REF!+C2120)</f>
        <v>#REF!</v>
      </c>
      <c r="E2120" s="5">
        <v>104375</v>
      </c>
      <c r="K2120" s="22">
        <v>1162</v>
      </c>
      <c r="L2120" s="6">
        <v>1186</v>
      </c>
      <c r="M2120" s="125">
        <f t="shared" si="42"/>
        <v>24</v>
      </c>
      <c r="N2120" s="18"/>
      <c r="O2120" s="135"/>
      <c r="P2120" s="175">
        <v>11450</v>
      </c>
      <c r="Q2120" s="25">
        <v>0.12470000000000001</v>
      </c>
      <c r="U2120" s="384">
        <v>0</v>
      </c>
      <c r="V2120" s="207"/>
      <c r="W2120" s="285">
        <f t="shared" si="41"/>
        <v>1427.8150000000001</v>
      </c>
    </row>
    <row r="2121" spans="1:23" ht="15" customHeight="1">
      <c r="A2121" s="3">
        <v>38859</v>
      </c>
      <c r="B2121" s="9">
        <v>66625</v>
      </c>
      <c r="C2121" s="5">
        <v>5450</v>
      </c>
      <c r="D2121" s="5" t="e">
        <f>E2121-(#REF!+C2121)</f>
        <v>#REF!</v>
      </c>
      <c r="E2121" s="5">
        <v>105775</v>
      </c>
      <c r="K2121" s="22">
        <v>1130</v>
      </c>
      <c r="L2121" s="6">
        <v>1150</v>
      </c>
      <c r="M2121" s="125">
        <f t="shared" si="42"/>
        <v>20</v>
      </c>
      <c r="N2121" s="18"/>
      <c r="O2121" s="135"/>
      <c r="P2121" s="175">
        <v>11150</v>
      </c>
      <c r="Q2121" s="25">
        <v>0.12479999999999999</v>
      </c>
      <c r="U2121" s="384">
        <v>0</v>
      </c>
      <c r="V2121" s="207"/>
      <c r="W2121" s="285">
        <f t="shared" si="41"/>
        <v>1391.52</v>
      </c>
    </row>
    <row r="2122" spans="1:23" ht="15" customHeight="1">
      <c r="A2122" s="3">
        <v>38860</v>
      </c>
      <c r="B2122" s="9">
        <v>67200</v>
      </c>
      <c r="C2122" s="5">
        <v>5450</v>
      </c>
      <c r="D2122" s="5" t="e">
        <f>E2122-(#REF!+C2122)</f>
        <v>#REF!</v>
      </c>
      <c r="E2122" s="5">
        <v>106350</v>
      </c>
      <c r="K2122" s="22">
        <v>1125</v>
      </c>
      <c r="L2122" s="6">
        <v>1157</v>
      </c>
      <c r="M2122" s="125">
        <f t="shared" si="42"/>
        <v>32</v>
      </c>
      <c r="N2122" s="18"/>
      <c r="O2122" s="135"/>
      <c r="P2122" s="175">
        <v>11000</v>
      </c>
      <c r="Q2122" s="25">
        <v>0.12470000000000001</v>
      </c>
      <c r="U2122" s="384">
        <v>0</v>
      </c>
      <c r="V2122" s="207"/>
      <c r="W2122" s="285">
        <f t="shared" si="41"/>
        <v>1371.7</v>
      </c>
    </row>
    <row r="2123" spans="1:23" ht="15" customHeight="1">
      <c r="A2123" s="3">
        <v>38861</v>
      </c>
      <c r="B2123" s="9">
        <v>68825</v>
      </c>
      <c r="C2123" s="5">
        <v>5450</v>
      </c>
      <c r="D2123" s="5" t="e">
        <f>E2123-(#REF!+C2123)</f>
        <v>#REF!</v>
      </c>
      <c r="E2123" s="5">
        <v>107900</v>
      </c>
      <c r="K2123" s="22">
        <v>1090</v>
      </c>
      <c r="L2123" s="6">
        <v>1111</v>
      </c>
      <c r="M2123" s="125">
        <f t="shared" si="42"/>
        <v>21</v>
      </c>
      <c r="N2123" s="18"/>
      <c r="O2123" s="135"/>
      <c r="P2123" s="175">
        <v>11250</v>
      </c>
      <c r="Q2123" s="25">
        <v>0.12470000000000001</v>
      </c>
      <c r="U2123" s="384">
        <v>0</v>
      </c>
      <c r="V2123" s="207"/>
      <c r="W2123" s="285">
        <f t="shared" si="41"/>
        <v>1402.875</v>
      </c>
    </row>
    <row r="2124" spans="1:23" ht="15" customHeight="1">
      <c r="A2124" s="3">
        <v>38862</v>
      </c>
      <c r="B2124" s="9">
        <v>70050</v>
      </c>
      <c r="C2124" s="5">
        <v>5450</v>
      </c>
      <c r="D2124" s="5" t="e">
        <f>E2124-(#REF!+C2124)</f>
        <v>#REF!</v>
      </c>
      <c r="E2124" s="5">
        <v>108975</v>
      </c>
      <c r="K2124" s="22">
        <v>1076.5</v>
      </c>
      <c r="L2124" s="6">
        <v>1115</v>
      </c>
      <c r="M2124" s="125">
        <f t="shared" si="42"/>
        <v>38.5</v>
      </c>
      <c r="N2124" s="18"/>
      <c r="O2124" s="135"/>
      <c r="P2124" s="175">
        <v>11100</v>
      </c>
      <c r="Q2124" s="25">
        <v>0.1246</v>
      </c>
      <c r="U2124" s="384">
        <v>0</v>
      </c>
      <c r="V2124" s="207"/>
      <c r="W2124" s="285">
        <f t="shared" si="41"/>
        <v>1383.06</v>
      </c>
    </row>
    <row r="2125" spans="1:23" ht="15" customHeight="1">
      <c r="A2125" s="3">
        <v>38863</v>
      </c>
      <c r="B2125" s="9">
        <v>70175</v>
      </c>
      <c r="C2125" s="5">
        <v>5450</v>
      </c>
      <c r="D2125" s="5" t="e">
        <f>E2125-(#REF!+C2125)</f>
        <v>#REF!</v>
      </c>
      <c r="E2125" s="5">
        <v>109100</v>
      </c>
      <c r="K2125" s="22">
        <v>1090</v>
      </c>
      <c r="L2125" s="6">
        <v>1117</v>
      </c>
      <c r="M2125" s="125">
        <f t="shared" si="42"/>
        <v>27</v>
      </c>
      <c r="N2125" s="18"/>
      <c r="O2125" s="135"/>
      <c r="P2125" s="175">
        <v>11050</v>
      </c>
      <c r="Q2125" s="25">
        <v>0.1246</v>
      </c>
      <c r="U2125" s="384">
        <v>0</v>
      </c>
      <c r="V2125" s="207"/>
      <c r="W2125" s="285">
        <f t="shared" si="41"/>
        <v>1376.83</v>
      </c>
    </row>
    <row r="2126" spans="1:23" ht="15" customHeight="1">
      <c r="A2126" s="3">
        <v>38867</v>
      </c>
      <c r="B2126" s="9">
        <v>70900</v>
      </c>
      <c r="C2126" s="5">
        <v>5450</v>
      </c>
      <c r="D2126" s="5" t="e">
        <f>E2126-(#REF!+C2126)</f>
        <v>#REF!</v>
      </c>
      <c r="E2126" s="5">
        <v>109800</v>
      </c>
      <c r="K2126" s="22">
        <v>1070</v>
      </c>
      <c r="L2126" s="6">
        <v>1105</v>
      </c>
      <c r="M2126" s="125">
        <f t="shared" si="42"/>
        <v>35</v>
      </c>
      <c r="N2126" s="18"/>
      <c r="O2126" s="135"/>
      <c r="P2126" s="175">
        <v>11000</v>
      </c>
      <c r="Q2126" s="25">
        <v>0.1246</v>
      </c>
      <c r="U2126" s="384">
        <v>0</v>
      </c>
      <c r="V2126" s="207"/>
      <c r="W2126" s="285">
        <f t="shared" si="41"/>
        <v>1370.6000000000001</v>
      </c>
    </row>
    <row r="2127" spans="1:23" ht="15" customHeight="1" thickBot="1">
      <c r="A2127" s="11">
        <v>38868</v>
      </c>
      <c r="B2127" s="9">
        <v>72325</v>
      </c>
      <c r="C2127" s="13">
        <v>5450</v>
      </c>
      <c r="D2127" s="13" t="e">
        <f>E2127-(#REF!+C2127)</f>
        <v>#REF!</v>
      </c>
      <c r="E2127" s="13">
        <v>111075</v>
      </c>
      <c r="F2127" s="12"/>
      <c r="G2127" s="13"/>
      <c r="H2127" s="13"/>
      <c r="I2127" s="119"/>
      <c r="J2127" s="119"/>
      <c r="K2127" s="23">
        <v>1051.5</v>
      </c>
      <c r="L2127" s="14">
        <v>1085.5</v>
      </c>
      <c r="M2127" s="126">
        <f t="shared" si="42"/>
        <v>34</v>
      </c>
      <c r="N2127" s="19">
        <f>AVERAGE(K2107:K2127)</f>
        <v>1166.8571428571429</v>
      </c>
      <c r="O2127" s="136"/>
      <c r="P2127" s="176">
        <v>11000</v>
      </c>
      <c r="Q2127" s="27">
        <v>0.12470000000000001</v>
      </c>
      <c r="R2127" s="27"/>
      <c r="S2127" s="27"/>
      <c r="T2127" s="27"/>
      <c r="U2127" s="385">
        <v>0</v>
      </c>
      <c r="V2127" s="284">
        <f>AVERAGE(P2107:P2127)</f>
        <v>11119.047619047618</v>
      </c>
      <c r="W2127" s="285">
        <f t="shared" si="41"/>
        <v>1371.7</v>
      </c>
    </row>
    <row r="2128" spans="1:23" ht="15" customHeight="1">
      <c r="A2128" s="3">
        <v>38869</v>
      </c>
      <c r="B2128" s="9">
        <v>73575</v>
      </c>
      <c r="C2128" s="5">
        <v>5450</v>
      </c>
      <c r="D2128" s="5" t="e">
        <f>E2128-(#REF!+C2128)</f>
        <v>#REF!</v>
      </c>
      <c r="E2128" s="5">
        <v>112175</v>
      </c>
      <c r="K2128" s="22">
        <v>1020</v>
      </c>
      <c r="L2128" s="6">
        <v>1055</v>
      </c>
      <c r="M2128" s="125">
        <f t="shared" si="42"/>
        <v>35</v>
      </c>
      <c r="N2128" s="18"/>
      <c r="O2128" s="135"/>
      <c r="P2128" s="175">
        <v>10800</v>
      </c>
      <c r="Q2128" s="25">
        <v>0.12470000000000001</v>
      </c>
      <c r="U2128" s="384">
        <v>0</v>
      </c>
      <c r="V2128" s="207"/>
      <c r="W2128" s="285">
        <f t="shared" si="41"/>
        <v>1346.76</v>
      </c>
    </row>
    <row r="2129" spans="1:23" ht="15" customHeight="1">
      <c r="A2129" s="3">
        <v>38870</v>
      </c>
      <c r="B2129" s="9">
        <v>73875</v>
      </c>
      <c r="C2129" s="5">
        <v>5425</v>
      </c>
      <c r="D2129" s="5" t="e">
        <f>E2129-(#REF!+C2129)</f>
        <v>#REF!</v>
      </c>
      <c r="E2129" s="5">
        <v>112450</v>
      </c>
      <c r="K2129" s="22">
        <v>1025.5</v>
      </c>
      <c r="L2129" s="6">
        <v>1060.5</v>
      </c>
      <c r="M2129" s="125">
        <f t="shared" si="42"/>
        <v>35</v>
      </c>
      <c r="N2129" s="18"/>
      <c r="O2129" s="135"/>
      <c r="P2129" s="175">
        <v>10750</v>
      </c>
      <c r="Q2129" s="25">
        <v>0.12470000000000001</v>
      </c>
      <c r="U2129" s="384">
        <v>0</v>
      </c>
      <c r="V2129" s="207"/>
      <c r="W2129" s="285">
        <f t="shared" si="41"/>
        <v>1340.5250000000001</v>
      </c>
    </row>
    <row r="2130" spans="1:23" ht="15" customHeight="1">
      <c r="A2130" s="3">
        <v>38873</v>
      </c>
      <c r="B2130" s="9">
        <v>74075</v>
      </c>
      <c r="C2130" s="5">
        <v>5425</v>
      </c>
      <c r="D2130" s="5" t="e">
        <f>E2130-(#REF!+C2130)</f>
        <v>#REF!</v>
      </c>
      <c r="E2130" s="5">
        <v>112650</v>
      </c>
      <c r="K2130" s="22">
        <v>1020.5</v>
      </c>
      <c r="L2130" s="6">
        <v>1050</v>
      </c>
      <c r="M2130" s="125">
        <f t="shared" si="42"/>
        <v>29.5</v>
      </c>
      <c r="N2130" s="18"/>
      <c r="O2130" s="135"/>
      <c r="P2130" s="175">
        <v>10750</v>
      </c>
      <c r="Q2130" s="25">
        <v>0.12470000000000001</v>
      </c>
      <c r="U2130" s="384">
        <v>0</v>
      </c>
      <c r="V2130" s="207"/>
      <c r="W2130" s="285">
        <f t="shared" si="41"/>
        <v>1340.5250000000001</v>
      </c>
    </row>
    <row r="2131" spans="1:23" ht="15" customHeight="1">
      <c r="A2131" s="3">
        <v>38874</v>
      </c>
      <c r="B2131" s="9">
        <v>73225</v>
      </c>
      <c r="C2131" s="5">
        <v>5400</v>
      </c>
      <c r="D2131" s="5" t="e">
        <f>E2131-(#REF!+C2131)</f>
        <v>#REF!</v>
      </c>
      <c r="E2131" s="5">
        <v>111750</v>
      </c>
      <c r="K2131" s="22">
        <v>1017</v>
      </c>
      <c r="L2131" s="6">
        <v>1050</v>
      </c>
      <c r="M2131" s="125">
        <f t="shared" si="42"/>
        <v>33</v>
      </c>
      <c r="N2131" s="18"/>
      <c r="O2131" s="135"/>
      <c r="P2131" s="175">
        <v>10600</v>
      </c>
      <c r="Q2131" s="25">
        <v>0.12479999999999999</v>
      </c>
      <c r="U2131" s="384">
        <v>0</v>
      </c>
      <c r="V2131" s="207"/>
      <c r="W2131" s="285">
        <f t="shared" si="41"/>
        <v>1322.8799999999999</v>
      </c>
    </row>
    <row r="2132" spans="1:23" ht="15" customHeight="1">
      <c r="A2132" s="3">
        <v>38875</v>
      </c>
      <c r="B2132" s="9">
        <v>73550</v>
      </c>
      <c r="C2132" s="5">
        <v>5325</v>
      </c>
      <c r="D2132" s="5" t="e">
        <f>E2132-(#REF!+C2132)</f>
        <v>#REF!</v>
      </c>
      <c r="E2132" s="5">
        <v>112000</v>
      </c>
      <c r="K2132" s="22">
        <v>1016</v>
      </c>
      <c r="L2132" s="6">
        <v>1038</v>
      </c>
      <c r="M2132" s="125">
        <f t="shared" si="42"/>
        <v>22</v>
      </c>
      <c r="N2132" s="18"/>
      <c r="O2132" s="135"/>
      <c r="P2132" s="175">
        <v>10600</v>
      </c>
      <c r="Q2132" s="25">
        <v>0.12470000000000001</v>
      </c>
      <c r="U2132" s="384">
        <v>0</v>
      </c>
      <c r="V2132" s="207"/>
      <c r="W2132" s="285">
        <f t="shared" si="41"/>
        <v>1321.8200000000002</v>
      </c>
    </row>
    <row r="2133" spans="1:23" ht="15" customHeight="1">
      <c r="A2133" s="3">
        <v>38876</v>
      </c>
      <c r="B2133" s="9">
        <v>74350</v>
      </c>
      <c r="C2133" s="5">
        <v>5250</v>
      </c>
      <c r="D2133" s="5" t="e">
        <f>E2133-(#REF!+C2133)</f>
        <v>#REF!</v>
      </c>
      <c r="E2133" s="5">
        <v>112725</v>
      </c>
      <c r="K2133" s="22">
        <v>996</v>
      </c>
      <c r="L2133" s="6">
        <v>1028</v>
      </c>
      <c r="M2133" s="125">
        <f t="shared" si="42"/>
        <v>32</v>
      </c>
      <c r="N2133" s="18"/>
      <c r="O2133" s="135"/>
      <c r="P2133" s="175">
        <v>10600</v>
      </c>
      <c r="Q2133" s="25">
        <v>0.12470000000000001</v>
      </c>
      <c r="U2133" s="384">
        <v>0</v>
      </c>
      <c r="V2133" s="207"/>
      <c r="W2133" s="285">
        <f t="shared" si="41"/>
        <v>1321.8200000000002</v>
      </c>
    </row>
    <row r="2134" spans="1:23" ht="15" customHeight="1">
      <c r="A2134" s="3">
        <v>38877</v>
      </c>
      <c r="B2134" s="9">
        <v>73175</v>
      </c>
      <c r="C2134" s="5">
        <v>5225</v>
      </c>
      <c r="D2134" s="5" t="e">
        <f>E2134-(#REF!+C2134)</f>
        <v>#REF!</v>
      </c>
      <c r="E2134" s="5">
        <v>111525</v>
      </c>
      <c r="K2134" s="22">
        <v>980</v>
      </c>
      <c r="L2134" s="6">
        <v>1011</v>
      </c>
      <c r="M2134" s="125">
        <f t="shared" si="42"/>
        <v>31</v>
      </c>
      <c r="N2134" s="18"/>
      <c r="O2134" s="135"/>
      <c r="P2134" s="175">
        <v>10600</v>
      </c>
      <c r="Q2134" s="25">
        <v>0.12470000000000001</v>
      </c>
      <c r="U2134" s="384">
        <v>0</v>
      </c>
      <c r="V2134" s="207"/>
      <c r="W2134" s="285">
        <f t="shared" si="41"/>
        <v>1321.8200000000002</v>
      </c>
    </row>
    <row r="2135" spans="1:23" ht="15" customHeight="1">
      <c r="A2135" s="3">
        <v>38880</v>
      </c>
      <c r="B2135" s="9">
        <v>73650</v>
      </c>
      <c r="C2135" s="5">
        <v>5225</v>
      </c>
      <c r="D2135" s="5" t="e">
        <f>E2135-(#REF!+C2135)</f>
        <v>#REF!</v>
      </c>
      <c r="E2135" s="5">
        <v>112000</v>
      </c>
      <c r="K2135" s="22">
        <v>1015</v>
      </c>
      <c r="L2135" s="6">
        <v>1045</v>
      </c>
      <c r="M2135" s="125">
        <f t="shared" si="42"/>
        <v>30</v>
      </c>
      <c r="N2135" s="18"/>
      <c r="O2135" s="135"/>
      <c r="P2135" s="175">
        <v>10600</v>
      </c>
      <c r="Q2135" s="25">
        <v>0.12470000000000001</v>
      </c>
      <c r="U2135" s="384">
        <v>0</v>
      </c>
      <c r="V2135" s="207"/>
      <c r="W2135" s="285">
        <f t="shared" si="41"/>
        <v>1321.8200000000002</v>
      </c>
    </row>
    <row r="2136" spans="1:23" ht="15" customHeight="1">
      <c r="A2136" s="3">
        <v>38881</v>
      </c>
      <c r="B2136" s="9">
        <v>75100</v>
      </c>
      <c r="C2136" s="5">
        <v>5175</v>
      </c>
      <c r="D2136" s="5" t="e">
        <f>E2136-(#REF!+C2136)</f>
        <v>#REF!</v>
      </c>
      <c r="E2136" s="5">
        <v>113400</v>
      </c>
      <c r="K2136" s="22">
        <v>969</v>
      </c>
      <c r="L2136" s="6">
        <v>968</v>
      </c>
      <c r="M2136" s="125">
        <f t="shared" si="42"/>
        <v>-1</v>
      </c>
      <c r="N2136" s="18"/>
      <c r="O2136" s="135"/>
      <c r="P2136" s="175">
        <v>10525</v>
      </c>
      <c r="Q2136" s="25">
        <v>0.12470000000000001</v>
      </c>
      <c r="U2136" s="384">
        <v>0</v>
      </c>
      <c r="V2136" s="207"/>
      <c r="W2136" s="285">
        <f t="shared" si="41"/>
        <v>1312.4675</v>
      </c>
    </row>
    <row r="2137" spans="1:23" ht="15" customHeight="1">
      <c r="A2137" s="3">
        <v>38882</v>
      </c>
      <c r="B2137" s="9">
        <v>75650</v>
      </c>
      <c r="C2137" s="5">
        <v>5150</v>
      </c>
      <c r="D2137" s="5" t="e">
        <f>E2137-(#REF!+C2137)</f>
        <v>#REF!</v>
      </c>
      <c r="E2137" s="5">
        <v>113325</v>
      </c>
      <c r="K2137" s="22">
        <v>943</v>
      </c>
      <c r="L2137" s="6">
        <v>968</v>
      </c>
      <c r="M2137" s="125">
        <f t="shared" si="42"/>
        <v>25</v>
      </c>
      <c r="N2137" s="18"/>
      <c r="O2137" s="135"/>
      <c r="P2137" s="175">
        <v>10475</v>
      </c>
      <c r="Q2137" s="25">
        <v>0.1249</v>
      </c>
      <c r="U2137" s="384">
        <v>0</v>
      </c>
      <c r="V2137" s="207"/>
      <c r="W2137" s="285">
        <f t="shared" si="41"/>
        <v>1308.3274999999999</v>
      </c>
    </row>
    <row r="2138" spans="1:23" ht="15" customHeight="1">
      <c r="A2138" s="3">
        <v>38883</v>
      </c>
      <c r="B2138" s="9">
        <v>76275</v>
      </c>
      <c r="C2138" s="5">
        <v>5150</v>
      </c>
      <c r="D2138" s="5" t="e">
        <f>E2138-(#REF!+C2138)</f>
        <v>#REF!</v>
      </c>
      <c r="E2138" s="5">
        <v>113300</v>
      </c>
      <c r="K2138" s="22">
        <v>917</v>
      </c>
      <c r="L2138" s="6">
        <v>952</v>
      </c>
      <c r="M2138" s="125">
        <f t="shared" si="42"/>
        <v>35</v>
      </c>
      <c r="N2138" s="18"/>
      <c r="O2138" s="135"/>
      <c r="P2138" s="175">
        <v>10475</v>
      </c>
      <c r="Q2138" s="25">
        <v>0.1249</v>
      </c>
      <c r="U2138" s="384">
        <v>0</v>
      </c>
      <c r="V2138" s="207"/>
      <c r="W2138" s="285">
        <f t="shared" si="41"/>
        <v>1308.3274999999999</v>
      </c>
    </row>
    <row r="2139" spans="1:23" ht="15" customHeight="1">
      <c r="A2139" s="3">
        <v>38884</v>
      </c>
      <c r="B2139" s="9">
        <v>79375</v>
      </c>
      <c r="C2139" s="5">
        <v>5125</v>
      </c>
      <c r="D2139" s="5" t="e">
        <f>E2139-(#REF!+C2139)</f>
        <v>#REF!</v>
      </c>
      <c r="E2139" s="5">
        <v>115550</v>
      </c>
      <c r="K2139" s="22">
        <v>934.5</v>
      </c>
      <c r="L2139" s="6">
        <v>965</v>
      </c>
      <c r="M2139" s="125">
        <f t="shared" si="42"/>
        <v>30.5</v>
      </c>
      <c r="N2139" s="18"/>
      <c r="O2139" s="135"/>
      <c r="P2139" s="175">
        <v>10600</v>
      </c>
      <c r="Q2139" s="25">
        <v>0.125</v>
      </c>
      <c r="U2139" s="384">
        <v>0</v>
      </c>
      <c r="V2139" s="207"/>
      <c r="W2139" s="285">
        <f t="shared" si="41"/>
        <v>1325</v>
      </c>
    </row>
    <row r="2140" spans="1:23" ht="15" customHeight="1">
      <c r="A2140" s="3">
        <v>38887</v>
      </c>
      <c r="B2140" s="9">
        <v>82000</v>
      </c>
      <c r="C2140" s="5">
        <v>5050</v>
      </c>
      <c r="D2140" s="5" t="e">
        <f>E2140-(#REF!+C2140)</f>
        <v>#REF!</v>
      </c>
      <c r="E2140" s="5">
        <v>117275</v>
      </c>
      <c r="K2140" s="22">
        <v>932.5</v>
      </c>
      <c r="L2140" s="6">
        <v>961</v>
      </c>
      <c r="M2140" s="125">
        <f t="shared" si="42"/>
        <v>28.5</v>
      </c>
      <c r="N2140" s="18"/>
      <c r="O2140" s="135"/>
      <c r="P2140" s="175">
        <v>10600</v>
      </c>
      <c r="Q2140" s="25">
        <v>0.125</v>
      </c>
      <c r="U2140" s="384">
        <v>0</v>
      </c>
      <c r="V2140" s="207"/>
      <c r="W2140" s="285">
        <f t="shared" si="41"/>
        <v>1325</v>
      </c>
    </row>
    <row r="2141" spans="1:23" ht="15" customHeight="1">
      <c r="A2141" s="3">
        <v>38888</v>
      </c>
      <c r="B2141" s="9">
        <v>82575</v>
      </c>
      <c r="C2141" s="5">
        <v>5025</v>
      </c>
      <c r="D2141" s="5" t="e">
        <f>E2141-(#REF!+C2141)</f>
        <v>#REF!</v>
      </c>
      <c r="E2141" s="5">
        <v>117650</v>
      </c>
      <c r="K2141" s="22">
        <v>914.5</v>
      </c>
      <c r="L2141" s="6">
        <v>940</v>
      </c>
      <c r="M2141" s="125">
        <f t="shared" si="42"/>
        <v>25.5</v>
      </c>
      <c r="N2141" s="18"/>
      <c r="O2141" s="135"/>
      <c r="P2141" s="175">
        <v>10600</v>
      </c>
      <c r="Q2141" s="25">
        <v>0.125</v>
      </c>
      <c r="U2141" s="384">
        <v>0</v>
      </c>
      <c r="V2141" s="207"/>
      <c r="W2141" s="285">
        <f t="shared" si="41"/>
        <v>1325</v>
      </c>
    </row>
    <row r="2142" spans="1:23" ht="15" customHeight="1">
      <c r="A2142" s="3">
        <v>38889</v>
      </c>
      <c r="B2142" s="9">
        <v>82900</v>
      </c>
      <c r="C2142" s="5">
        <v>5025</v>
      </c>
      <c r="D2142" s="5" t="e">
        <f>E2142-(#REF!+C2142)</f>
        <v>#REF!</v>
      </c>
      <c r="E2142" s="5">
        <v>117900</v>
      </c>
      <c r="K2142" s="22">
        <v>920.5</v>
      </c>
      <c r="L2142" s="6">
        <v>946</v>
      </c>
      <c r="M2142" s="125">
        <f t="shared" si="42"/>
        <v>25.5</v>
      </c>
      <c r="N2142" s="18"/>
      <c r="O2142" s="135"/>
      <c r="P2142" s="175">
        <v>10600</v>
      </c>
      <c r="Q2142" s="25">
        <v>0.125</v>
      </c>
      <c r="U2142" s="384">
        <v>0</v>
      </c>
      <c r="V2142" s="207"/>
      <c r="W2142" s="285">
        <f t="shared" si="41"/>
        <v>1325</v>
      </c>
    </row>
    <row r="2143" spans="1:23" ht="15" customHeight="1">
      <c r="A2143" s="3">
        <v>38890</v>
      </c>
      <c r="B2143" s="9">
        <v>81925</v>
      </c>
      <c r="C2143" s="5">
        <v>5025</v>
      </c>
      <c r="D2143" s="5" t="e">
        <f>E2143-(#REF!+C2143)</f>
        <v>#REF!</v>
      </c>
      <c r="E2143" s="5">
        <v>116900</v>
      </c>
      <c r="K2143" s="22">
        <v>920.5</v>
      </c>
      <c r="L2143" s="6">
        <v>955</v>
      </c>
      <c r="M2143" s="125">
        <f t="shared" si="42"/>
        <v>34.5</v>
      </c>
      <c r="N2143" s="18"/>
      <c r="O2143" s="135"/>
      <c r="P2143" s="175">
        <v>10600</v>
      </c>
      <c r="Q2143" s="25">
        <v>0.125</v>
      </c>
      <c r="U2143" s="384">
        <v>0</v>
      </c>
      <c r="V2143" s="207"/>
      <c r="W2143" s="285">
        <f t="shared" si="41"/>
        <v>1325</v>
      </c>
    </row>
    <row r="2144" spans="1:23" ht="15" customHeight="1">
      <c r="A2144" s="3">
        <v>38891</v>
      </c>
      <c r="B2144" s="9">
        <v>81675</v>
      </c>
      <c r="C2144" s="5">
        <v>5000</v>
      </c>
      <c r="D2144" s="5" t="e">
        <f>E2144-(#REF!+C2144)</f>
        <v>#REF!</v>
      </c>
      <c r="E2144" s="5">
        <v>116475</v>
      </c>
      <c r="K2144" s="22">
        <v>927</v>
      </c>
      <c r="L2144" s="6">
        <v>955</v>
      </c>
      <c r="M2144" s="125">
        <f t="shared" si="42"/>
        <v>28</v>
      </c>
      <c r="N2144" s="18"/>
      <c r="O2144" s="135"/>
      <c r="P2144" s="175">
        <v>10600</v>
      </c>
      <c r="Q2144" s="25">
        <v>0.125</v>
      </c>
      <c r="U2144" s="384">
        <v>0</v>
      </c>
      <c r="V2144" s="207"/>
      <c r="W2144" s="285">
        <f t="shared" si="41"/>
        <v>1325</v>
      </c>
    </row>
    <row r="2145" spans="1:23" ht="15" customHeight="1">
      <c r="A2145" s="3">
        <v>38894</v>
      </c>
      <c r="B2145" s="9">
        <v>80625</v>
      </c>
      <c r="C2145" s="5">
        <v>5000</v>
      </c>
      <c r="D2145" s="5" t="e">
        <f>E2145-(#REF!+C2145)</f>
        <v>#REF!</v>
      </c>
      <c r="E2145" s="5">
        <v>115300</v>
      </c>
      <c r="K2145" s="22">
        <v>946</v>
      </c>
      <c r="L2145" s="6">
        <v>980</v>
      </c>
      <c r="M2145" s="125">
        <f t="shared" si="42"/>
        <v>34</v>
      </c>
      <c r="N2145" s="18"/>
      <c r="O2145" s="135"/>
      <c r="P2145" s="175">
        <v>10600</v>
      </c>
      <c r="Q2145" s="25">
        <v>0.125</v>
      </c>
      <c r="U2145" s="384">
        <v>0</v>
      </c>
      <c r="V2145" s="207"/>
      <c r="W2145" s="285">
        <f t="shared" si="41"/>
        <v>1325</v>
      </c>
    </row>
    <row r="2146" spans="1:23" ht="15" customHeight="1">
      <c r="A2146" s="3">
        <v>38895</v>
      </c>
      <c r="B2146" s="9">
        <v>78875</v>
      </c>
      <c r="C2146" s="5">
        <v>5000</v>
      </c>
      <c r="D2146" s="5" t="e">
        <f>E2146-(#REF!+C2146)</f>
        <v>#REF!</v>
      </c>
      <c r="E2146" s="5">
        <v>113475</v>
      </c>
      <c r="K2146" s="22">
        <v>922.5</v>
      </c>
      <c r="L2146" s="6">
        <v>952.5</v>
      </c>
      <c r="M2146" s="125">
        <f t="shared" si="42"/>
        <v>30</v>
      </c>
      <c r="N2146" s="18"/>
      <c r="O2146" s="135"/>
      <c r="P2146" s="175">
        <v>10500</v>
      </c>
      <c r="Q2146" s="25">
        <v>0.1249</v>
      </c>
      <c r="U2146" s="384">
        <v>0</v>
      </c>
      <c r="V2146" s="207"/>
      <c r="W2146" s="285">
        <f t="shared" si="41"/>
        <v>1311.45</v>
      </c>
    </row>
    <row r="2147" spans="1:23" ht="15" customHeight="1">
      <c r="A2147" s="3">
        <v>38896</v>
      </c>
      <c r="B2147" s="9">
        <v>78775</v>
      </c>
      <c r="C2147" s="5">
        <v>5000</v>
      </c>
      <c r="D2147" s="5" t="e">
        <f>E2147-(#REF!+C2147)</f>
        <v>#REF!</v>
      </c>
      <c r="E2147" s="5">
        <v>113300</v>
      </c>
      <c r="K2147" s="22">
        <v>960</v>
      </c>
      <c r="L2147" s="6">
        <v>978</v>
      </c>
      <c r="M2147" s="125">
        <f t="shared" si="42"/>
        <v>18</v>
      </c>
      <c r="N2147" s="18"/>
      <c r="O2147" s="135"/>
      <c r="P2147" s="175">
        <v>10550</v>
      </c>
      <c r="Q2147" s="25">
        <v>0.125</v>
      </c>
      <c r="U2147" s="384">
        <v>0</v>
      </c>
      <c r="V2147" s="207"/>
      <c r="W2147" s="285">
        <f t="shared" si="41"/>
        <v>1318.75</v>
      </c>
    </row>
    <row r="2148" spans="1:23" ht="15" customHeight="1">
      <c r="A2148" s="3">
        <v>38897</v>
      </c>
      <c r="B2148" s="9">
        <v>78300</v>
      </c>
      <c r="C2148" s="5">
        <v>5000</v>
      </c>
      <c r="D2148" s="5" t="e">
        <f>E2148-(#REF!+C2148)</f>
        <v>#REF!</v>
      </c>
      <c r="E2148" s="5">
        <v>112575</v>
      </c>
      <c r="K2148" s="22">
        <v>953</v>
      </c>
      <c r="L2148" s="6">
        <v>977</v>
      </c>
      <c r="M2148" s="125">
        <f t="shared" si="42"/>
        <v>24</v>
      </c>
      <c r="N2148" s="18"/>
      <c r="O2148" s="135"/>
      <c r="P2148" s="175">
        <v>10575</v>
      </c>
      <c r="Q2148" s="25">
        <v>0.125</v>
      </c>
      <c r="U2148" s="384">
        <v>0</v>
      </c>
      <c r="V2148" s="207"/>
      <c r="W2148" s="285">
        <f t="shared" si="41"/>
        <v>1321.875</v>
      </c>
    </row>
    <row r="2149" spans="1:23" ht="15" customHeight="1" thickBot="1">
      <c r="A2149" s="11">
        <v>38898</v>
      </c>
      <c r="B2149" s="9">
        <v>77375</v>
      </c>
      <c r="C2149" s="13">
        <v>4925</v>
      </c>
      <c r="D2149" s="13" t="e">
        <f>E2149-(#REF!+C2149)</f>
        <v>#REF!</v>
      </c>
      <c r="E2149" s="13">
        <v>111375</v>
      </c>
      <c r="F2149" s="12"/>
      <c r="G2149" s="13"/>
      <c r="H2149" s="13"/>
      <c r="I2149" s="119"/>
      <c r="J2149" s="119"/>
      <c r="K2149" s="23">
        <v>955</v>
      </c>
      <c r="L2149" s="14">
        <v>992</v>
      </c>
      <c r="M2149" s="126">
        <f t="shared" si="42"/>
        <v>37</v>
      </c>
      <c r="N2149" s="19">
        <f>AVERAGE(K2128:K2149)</f>
        <v>963.86363636363637</v>
      </c>
      <c r="O2149" s="137">
        <f>AVERAGE(K2025:K2149)</f>
        <v>1168.9480000000001</v>
      </c>
      <c r="P2149" s="176">
        <v>10575</v>
      </c>
      <c r="Q2149" s="27">
        <v>0.125</v>
      </c>
      <c r="R2149" s="27"/>
      <c r="S2149" s="27"/>
      <c r="T2149" s="27"/>
      <c r="U2149" s="385">
        <v>0</v>
      </c>
      <c r="V2149" s="284">
        <f>AVERAGE(P2128:P2149)</f>
        <v>10598.863636363636</v>
      </c>
      <c r="W2149" s="285">
        <f t="shared" si="41"/>
        <v>1321.875</v>
      </c>
    </row>
    <row r="2150" spans="1:23" ht="13.5" customHeight="1">
      <c r="A2150" s="3">
        <v>38901</v>
      </c>
      <c r="B2150" s="9">
        <v>78025</v>
      </c>
      <c r="C2150" s="5">
        <v>4700</v>
      </c>
      <c r="D2150" s="5" t="e">
        <f>E2150-(#REF!+C2150)</f>
        <v>#REF!</v>
      </c>
      <c r="E2150" s="5">
        <v>111675</v>
      </c>
      <c r="K2150" s="22">
        <v>975.5</v>
      </c>
      <c r="L2150" s="6">
        <v>1003.5</v>
      </c>
      <c r="M2150" s="125">
        <f t="shared" si="42"/>
        <v>28</v>
      </c>
      <c r="N2150" s="18"/>
      <c r="O2150" s="135"/>
      <c r="P2150" s="175">
        <v>10575</v>
      </c>
      <c r="Q2150" s="25">
        <v>0.12509999999999999</v>
      </c>
      <c r="U2150" s="384">
        <v>0</v>
      </c>
      <c r="V2150" s="207"/>
      <c r="W2150" s="285">
        <f t="shared" si="41"/>
        <v>1322.9324999999999</v>
      </c>
    </row>
    <row r="2151" spans="1:23" ht="15" customHeight="1">
      <c r="A2151" s="3">
        <v>38902</v>
      </c>
      <c r="B2151" s="9">
        <v>77350</v>
      </c>
      <c r="C2151" s="5">
        <v>4500</v>
      </c>
      <c r="D2151" s="5" t="e">
        <f>E2151-(#REF!+C2151)</f>
        <v>#REF!</v>
      </c>
      <c r="E2151" s="5">
        <v>110725</v>
      </c>
      <c r="K2151" s="22">
        <v>986</v>
      </c>
      <c r="L2151" s="6">
        <v>1016</v>
      </c>
      <c r="M2151" s="125">
        <f t="shared" si="42"/>
        <v>30</v>
      </c>
      <c r="N2151" s="18"/>
      <c r="O2151" s="135"/>
      <c r="P2151" s="175">
        <v>10575</v>
      </c>
      <c r="Q2151" s="25">
        <v>0.12509999999999999</v>
      </c>
      <c r="U2151" s="384">
        <v>0</v>
      </c>
      <c r="V2151" s="207"/>
      <c r="W2151" s="285">
        <f t="shared" si="41"/>
        <v>1322.9324999999999</v>
      </c>
    </row>
    <row r="2152" spans="1:23" ht="15" customHeight="1">
      <c r="A2152" s="3">
        <v>38903</v>
      </c>
      <c r="B2152" s="9">
        <v>78300</v>
      </c>
      <c r="C2152" s="5">
        <v>4500</v>
      </c>
      <c r="D2152" s="5" t="e">
        <f>E2152-(#REF!+C2152)</f>
        <v>#REF!</v>
      </c>
      <c r="E2152" s="5">
        <v>111625</v>
      </c>
      <c r="K2152" s="22">
        <v>998.5</v>
      </c>
      <c r="L2152" s="6">
        <v>1017</v>
      </c>
      <c r="M2152" s="125">
        <f t="shared" si="42"/>
        <v>18.5</v>
      </c>
      <c r="N2152" s="18"/>
      <c r="O2152" s="135"/>
      <c r="P2152" s="175">
        <v>10600</v>
      </c>
      <c r="Q2152" s="25">
        <v>0.12509999999999999</v>
      </c>
      <c r="U2152" s="384">
        <v>0</v>
      </c>
      <c r="V2152" s="207"/>
      <c r="W2152" s="285">
        <f t="shared" si="41"/>
        <v>1326.06</v>
      </c>
    </row>
    <row r="2153" spans="1:23" ht="15" customHeight="1">
      <c r="A2153" s="3">
        <v>38904</v>
      </c>
      <c r="B2153" s="9">
        <v>78300</v>
      </c>
      <c r="C2153" s="5">
        <v>4500</v>
      </c>
      <c r="D2153" s="5" t="e">
        <f>E2153-(#REF!+C2153)</f>
        <v>#REF!</v>
      </c>
      <c r="E2153" s="5">
        <v>111500</v>
      </c>
      <c r="K2153" s="22">
        <v>981</v>
      </c>
      <c r="L2153" s="6">
        <v>1007</v>
      </c>
      <c r="M2153" s="125">
        <f t="shared" si="42"/>
        <v>26</v>
      </c>
      <c r="N2153" s="7"/>
      <c r="O2153" s="132"/>
      <c r="P2153" s="175">
        <v>10575</v>
      </c>
      <c r="Q2153" s="25">
        <v>0.12509999999999999</v>
      </c>
      <c r="U2153" s="384">
        <v>0</v>
      </c>
      <c r="V2153" s="207"/>
      <c r="W2153" s="285">
        <f t="shared" si="41"/>
        <v>1322.9324999999999</v>
      </c>
    </row>
    <row r="2154" spans="1:23" ht="15" customHeight="1">
      <c r="A2154" s="3">
        <v>38905</v>
      </c>
      <c r="B2154" s="9">
        <v>78025</v>
      </c>
      <c r="C2154" s="5">
        <v>4375</v>
      </c>
      <c r="D2154" s="5" t="e">
        <f>E2154-(#REF!+C2154)</f>
        <v>#REF!</v>
      </c>
      <c r="E2154" s="5">
        <v>110950</v>
      </c>
      <c r="K2154" s="22">
        <v>1010.5</v>
      </c>
      <c r="L2154" s="6">
        <v>1030</v>
      </c>
      <c r="M2154" s="125">
        <f t="shared" si="42"/>
        <v>19.5</v>
      </c>
      <c r="N2154" s="18"/>
      <c r="O2154" s="135"/>
      <c r="P2154" s="175">
        <v>10575</v>
      </c>
      <c r="Q2154" s="25">
        <v>0.12509999999999999</v>
      </c>
      <c r="U2154" s="384">
        <v>0</v>
      </c>
      <c r="V2154" s="207"/>
      <c r="W2154" s="285">
        <f t="shared" si="41"/>
        <v>1322.9324999999999</v>
      </c>
    </row>
    <row r="2155" spans="1:23" ht="15" customHeight="1">
      <c r="A2155" s="3">
        <v>38908</v>
      </c>
      <c r="B2155" s="9">
        <v>77325</v>
      </c>
      <c r="C2155" s="5">
        <v>4175</v>
      </c>
      <c r="D2155" s="5" t="e">
        <f>E2155-(#REF!+C2155)</f>
        <v>#REF!</v>
      </c>
      <c r="E2155" s="5">
        <v>109975</v>
      </c>
      <c r="K2155" s="22">
        <v>1020.5</v>
      </c>
      <c r="L2155" s="6">
        <v>1045.5</v>
      </c>
      <c r="M2155" s="125">
        <f t="shared" si="42"/>
        <v>25</v>
      </c>
      <c r="N2155" s="18"/>
      <c r="O2155" s="135"/>
      <c r="P2155" s="175">
        <v>10575</v>
      </c>
      <c r="Q2155" s="25">
        <v>0.12509999999999999</v>
      </c>
      <c r="U2155" s="384">
        <v>0</v>
      </c>
      <c r="V2155" s="207"/>
      <c r="W2155" s="285">
        <f t="shared" si="41"/>
        <v>1322.9324999999999</v>
      </c>
    </row>
    <row r="2156" spans="1:23" ht="15" customHeight="1">
      <c r="A2156" s="3">
        <v>38909</v>
      </c>
      <c r="B2156" s="9">
        <v>76775</v>
      </c>
      <c r="C2156" s="5">
        <v>4025</v>
      </c>
      <c r="D2156" s="5" t="e">
        <f>E2156-(#REF!+C2156)</f>
        <v>#REF!</v>
      </c>
      <c r="E2156" s="5">
        <v>109275</v>
      </c>
      <c r="K2156" s="22">
        <v>1083</v>
      </c>
      <c r="L2156" s="6">
        <v>1104</v>
      </c>
      <c r="M2156" s="125">
        <f t="shared" si="42"/>
        <v>21</v>
      </c>
      <c r="N2156" s="18"/>
      <c r="O2156" s="135"/>
      <c r="P2156" s="175">
        <v>10575</v>
      </c>
      <c r="Q2156" s="25">
        <v>0.12509999999999999</v>
      </c>
      <c r="U2156" s="384">
        <v>0</v>
      </c>
      <c r="V2156" s="207"/>
      <c r="W2156" s="285">
        <f t="shared" si="41"/>
        <v>1322.9324999999999</v>
      </c>
    </row>
    <row r="2157" spans="1:23" ht="15" customHeight="1">
      <c r="A2157" s="3">
        <v>38910</v>
      </c>
      <c r="B2157" s="9">
        <v>76625</v>
      </c>
      <c r="C2157" s="5">
        <v>3900</v>
      </c>
      <c r="D2157" s="5" t="e">
        <f>E2157-(#REF!+C2157)</f>
        <v>#REF!</v>
      </c>
      <c r="E2157" s="5">
        <v>108875</v>
      </c>
      <c r="K2157" s="22">
        <v>1156</v>
      </c>
      <c r="L2157" s="6">
        <v>1151</v>
      </c>
      <c r="M2157" s="125">
        <f t="shared" si="42"/>
        <v>-5</v>
      </c>
      <c r="N2157" s="18"/>
      <c r="O2157" s="135"/>
      <c r="P2157" s="175">
        <v>10600</v>
      </c>
      <c r="Q2157" s="25">
        <v>0.12509999999999999</v>
      </c>
      <c r="U2157" s="384">
        <v>0</v>
      </c>
      <c r="V2157" s="207"/>
      <c r="W2157" s="285">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25">
        <f t="shared" si="42"/>
        <v>14.5</v>
      </c>
      <c r="N2158" s="18"/>
      <c r="O2158" s="135"/>
      <c r="P2158" s="175">
        <v>10750</v>
      </c>
      <c r="Q2158" s="25">
        <v>0.12509999999999999</v>
      </c>
      <c r="U2158" s="384">
        <v>0</v>
      </c>
      <c r="V2158" s="207"/>
      <c r="W2158" s="285">
        <f t="shared" si="43"/>
        <v>1344.8249999999998</v>
      </c>
    </row>
    <row r="2159" spans="1:23" ht="15" customHeight="1">
      <c r="A2159" s="3">
        <v>38912</v>
      </c>
      <c r="B2159" s="9">
        <v>77075</v>
      </c>
      <c r="C2159" s="5">
        <v>3650</v>
      </c>
      <c r="D2159" s="5" t="e">
        <f>E2159-(#REF!+C2159)</f>
        <v>#REF!</v>
      </c>
      <c r="E2159" s="5">
        <v>108800</v>
      </c>
      <c r="K2159" s="22">
        <v>1145.5</v>
      </c>
      <c r="L2159" s="6">
        <v>1155.5</v>
      </c>
      <c r="M2159" s="125">
        <f t="shared" si="42"/>
        <v>10</v>
      </c>
      <c r="N2159" s="18"/>
      <c r="O2159" s="135"/>
      <c r="P2159" s="175">
        <v>10750</v>
      </c>
      <c r="Q2159" s="25">
        <v>0.12509999999999999</v>
      </c>
      <c r="U2159" s="384">
        <v>0</v>
      </c>
      <c r="V2159" s="207"/>
      <c r="W2159" s="285">
        <f t="shared" si="43"/>
        <v>1344.8249999999998</v>
      </c>
    </row>
    <row r="2160" spans="1:23" ht="15" customHeight="1">
      <c r="A2160" s="3">
        <v>38915</v>
      </c>
      <c r="B2160" s="9">
        <v>77300</v>
      </c>
      <c r="C2160" s="5">
        <v>3575</v>
      </c>
      <c r="D2160" s="5" t="e">
        <f>E2160-(#REF!+C2160)</f>
        <v>#REF!</v>
      </c>
      <c r="E2160" s="5">
        <v>108825</v>
      </c>
      <c r="K2160" s="22">
        <v>1111</v>
      </c>
      <c r="L2160" s="6">
        <v>1125</v>
      </c>
      <c r="M2160" s="125">
        <f t="shared" si="42"/>
        <v>14</v>
      </c>
      <c r="N2160" s="18"/>
      <c r="O2160" s="135"/>
      <c r="P2160" s="175">
        <v>10750</v>
      </c>
      <c r="Q2160" s="25">
        <v>0.12509999999999999</v>
      </c>
      <c r="U2160" s="384">
        <v>0</v>
      </c>
      <c r="V2160" s="207"/>
      <c r="W2160" s="285">
        <f t="shared" si="43"/>
        <v>1344.8249999999998</v>
      </c>
    </row>
    <row r="2161" spans="1:23" ht="15" customHeight="1">
      <c r="A2161" s="3">
        <v>38916</v>
      </c>
      <c r="B2161" s="9">
        <v>77750</v>
      </c>
      <c r="C2161" s="5">
        <v>3525</v>
      </c>
      <c r="D2161" s="5" t="e">
        <f>E2161-(#REF!+C2161)</f>
        <v>#REF!</v>
      </c>
      <c r="E2161" s="5">
        <v>108950</v>
      </c>
      <c r="K2161" s="22">
        <v>1066</v>
      </c>
      <c r="L2161" s="6">
        <v>1085</v>
      </c>
      <c r="M2161" s="125">
        <f t="shared" si="42"/>
        <v>19</v>
      </c>
      <c r="N2161" s="18"/>
      <c r="O2161" s="135"/>
      <c r="P2161" s="175">
        <v>10750</v>
      </c>
      <c r="Q2161" s="25">
        <v>0.125</v>
      </c>
      <c r="U2161" s="384">
        <v>0</v>
      </c>
      <c r="V2161" s="207"/>
      <c r="W2161" s="285">
        <f t="shared" si="43"/>
        <v>1343.75</v>
      </c>
    </row>
    <row r="2162" spans="1:23" ht="15" customHeight="1">
      <c r="A2162" s="3">
        <v>38917</v>
      </c>
      <c r="B2162" s="9">
        <v>76675</v>
      </c>
      <c r="C2162" s="5">
        <v>3525</v>
      </c>
      <c r="D2162" s="5" t="e">
        <f>E2162-(#REF!+C2162)</f>
        <v>#REF!</v>
      </c>
      <c r="E2162" s="5">
        <v>107775</v>
      </c>
      <c r="K2162" s="22">
        <v>1030</v>
      </c>
      <c r="L2162" s="6">
        <v>1043</v>
      </c>
      <c r="M2162" s="125">
        <f t="shared" si="42"/>
        <v>13</v>
      </c>
      <c r="N2162" s="18"/>
      <c r="O2162" s="135"/>
      <c r="P2162" s="175">
        <v>10700</v>
      </c>
      <c r="Q2162" s="25">
        <v>0.125</v>
      </c>
      <c r="U2162" s="384">
        <v>0</v>
      </c>
      <c r="V2162" s="207"/>
      <c r="W2162" s="285">
        <f t="shared" si="43"/>
        <v>1337.5</v>
      </c>
    </row>
    <row r="2163" spans="1:23" ht="15" customHeight="1">
      <c r="A2163" s="3">
        <v>38918</v>
      </c>
      <c r="B2163" s="9">
        <v>76475</v>
      </c>
      <c r="C2163" s="5">
        <v>3425</v>
      </c>
      <c r="D2163" s="5" t="e">
        <f>E2163-(#REF!+C2163)</f>
        <v>#REF!</v>
      </c>
      <c r="E2163" s="5">
        <v>107350</v>
      </c>
      <c r="K2163" s="22">
        <v>1020</v>
      </c>
      <c r="L2163" s="6">
        <v>1050</v>
      </c>
      <c r="M2163" s="125">
        <f t="shared" si="42"/>
        <v>30</v>
      </c>
      <c r="N2163" s="18"/>
      <c r="O2163" s="135"/>
      <c r="P2163" s="175">
        <v>10700</v>
      </c>
      <c r="Q2163" s="25">
        <v>0.125</v>
      </c>
      <c r="U2163" s="384">
        <v>0</v>
      </c>
      <c r="V2163" s="207"/>
      <c r="W2163" s="285">
        <f t="shared" si="43"/>
        <v>1337.5</v>
      </c>
    </row>
    <row r="2164" spans="1:23" ht="15" customHeight="1">
      <c r="A2164" s="3">
        <v>38919</v>
      </c>
      <c r="B2164" s="9">
        <v>76225</v>
      </c>
      <c r="C2164" s="5">
        <v>3375</v>
      </c>
      <c r="D2164" s="5" t="e">
        <f>E2164-(#REF!+C2164)</f>
        <v>#REF!</v>
      </c>
      <c r="E2164" s="5">
        <v>106925</v>
      </c>
      <c r="K2164" s="22">
        <v>1040</v>
      </c>
      <c r="L2164" s="6">
        <v>1055.5</v>
      </c>
      <c r="M2164" s="125">
        <f t="shared" si="42"/>
        <v>15.5</v>
      </c>
      <c r="N2164" s="18"/>
      <c r="O2164" s="135"/>
      <c r="P2164" s="175">
        <v>10875</v>
      </c>
      <c r="Q2164" s="25">
        <v>0.12509999999999999</v>
      </c>
      <c r="U2164" s="384">
        <v>0</v>
      </c>
      <c r="V2164" s="207"/>
      <c r="W2164" s="285">
        <f t="shared" si="43"/>
        <v>1360.4624999999999</v>
      </c>
    </row>
    <row r="2165" spans="1:23" ht="15" customHeight="1">
      <c r="A2165" s="3">
        <v>38922</v>
      </c>
      <c r="B2165" s="9">
        <v>76425</v>
      </c>
      <c r="C2165" s="5">
        <v>3375</v>
      </c>
      <c r="D2165" s="5" t="e">
        <f>E2165-(#REF!+C2165)</f>
        <v>#REF!</v>
      </c>
      <c r="E2165" s="5">
        <v>107100</v>
      </c>
      <c r="K2165" s="22">
        <v>1025</v>
      </c>
      <c r="L2165" s="6">
        <v>1050</v>
      </c>
      <c r="M2165" s="125">
        <f t="shared" si="42"/>
        <v>25</v>
      </c>
      <c r="N2165" s="18"/>
      <c r="O2165" s="135"/>
      <c r="P2165" s="175">
        <v>10875</v>
      </c>
      <c r="Q2165" s="25">
        <v>0.12520000000000001</v>
      </c>
      <c r="U2165" s="384">
        <v>0</v>
      </c>
      <c r="V2165" s="207"/>
      <c r="W2165" s="285">
        <f t="shared" si="43"/>
        <v>1361.55</v>
      </c>
    </row>
    <row r="2166" spans="1:23" ht="15" customHeight="1">
      <c r="A2166" s="3">
        <v>38923</v>
      </c>
      <c r="B2166" s="9">
        <v>75775</v>
      </c>
      <c r="C2166" s="5">
        <v>3150</v>
      </c>
      <c r="D2166" s="5" t="e">
        <f>E2166-(#REF!+C2166)</f>
        <v>#REF!</v>
      </c>
      <c r="E2166" s="5">
        <v>106175</v>
      </c>
      <c r="K2166" s="22">
        <v>1060</v>
      </c>
      <c r="L2166" s="6">
        <v>1075.5</v>
      </c>
      <c r="M2166" s="125">
        <f t="shared" si="42"/>
        <v>15.5</v>
      </c>
      <c r="N2166" s="18"/>
      <c r="O2166" s="135"/>
      <c r="P2166" s="175">
        <v>10875</v>
      </c>
      <c r="Q2166" s="25">
        <v>0.12520000000000001</v>
      </c>
      <c r="U2166" s="384">
        <v>0</v>
      </c>
      <c r="V2166" s="207"/>
      <c r="W2166" s="285">
        <f t="shared" si="43"/>
        <v>1361.55</v>
      </c>
    </row>
    <row r="2167" spans="1:23" ht="15" customHeight="1">
      <c r="A2167" s="3">
        <v>38924</v>
      </c>
      <c r="B2167" s="9">
        <v>75825</v>
      </c>
      <c r="C2167" s="5">
        <v>3050</v>
      </c>
      <c r="D2167" s="5" t="e">
        <f>E2167-(#REF!+C2167)</f>
        <v>#REF!</v>
      </c>
      <c r="E2167" s="5">
        <v>106050</v>
      </c>
      <c r="K2167" s="22">
        <v>1041</v>
      </c>
      <c r="L2167" s="6">
        <v>1061</v>
      </c>
      <c r="M2167" s="125">
        <f t="shared" ref="M2167:M2230" si="44">L2167-K2167</f>
        <v>20</v>
      </c>
      <c r="N2167" s="18"/>
      <c r="O2167" s="135"/>
      <c r="P2167" s="175">
        <v>10900</v>
      </c>
      <c r="Q2167" s="25">
        <v>0.12520000000000001</v>
      </c>
      <c r="U2167" s="384">
        <v>0</v>
      </c>
      <c r="V2167" s="207"/>
      <c r="W2167" s="285">
        <f t="shared" si="43"/>
        <v>1364.68</v>
      </c>
    </row>
    <row r="2168" spans="1:23" ht="15" customHeight="1">
      <c r="A2168" s="3">
        <v>38925</v>
      </c>
      <c r="B2168" s="9">
        <v>74950</v>
      </c>
      <c r="C2168" s="5">
        <v>3025</v>
      </c>
      <c r="D2168" s="5" t="e">
        <f>E2168-(#REF!+C2168)</f>
        <v>#REF!</v>
      </c>
      <c r="E2168" s="5">
        <v>104050</v>
      </c>
      <c r="K2168" s="22">
        <v>1050</v>
      </c>
      <c r="L2168" s="6">
        <v>1070</v>
      </c>
      <c r="M2168" s="125">
        <f t="shared" si="44"/>
        <v>20</v>
      </c>
      <c r="N2168" s="18"/>
      <c r="O2168" s="135"/>
      <c r="P2168" s="175">
        <v>10900</v>
      </c>
      <c r="Q2168" s="25">
        <v>0.12520000000000001</v>
      </c>
      <c r="U2168" s="384">
        <v>0</v>
      </c>
      <c r="V2168" s="207"/>
      <c r="W2168" s="285">
        <f t="shared" si="43"/>
        <v>1364.68</v>
      </c>
    </row>
    <row r="2169" spans="1:23" ht="15" customHeight="1">
      <c r="A2169" s="3">
        <v>38926</v>
      </c>
      <c r="B2169" s="9">
        <v>74625</v>
      </c>
      <c r="C2169" s="5">
        <v>3000</v>
      </c>
      <c r="D2169" s="5" t="e">
        <f>E2169-(#REF!+C2169)</f>
        <v>#REF!</v>
      </c>
      <c r="E2169" s="5">
        <v>103650</v>
      </c>
      <c r="K2169" s="22">
        <v>1069</v>
      </c>
      <c r="L2169" s="6">
        <v>1085</v>
      </c>
      <c r="M2169" s="125">
        <f t="shared" si="44"/>
        <v>16</v>
      </c>
      <c r="N2169" s="18"/>
      <c r="O2169" s="135"/>
      <c r="P2169" s="175">
        <v>10900</v>
      </c>
      <c r="Q2169" s="25">
        <v>0.12520000000000001</v>
      </c>
      <c r="U2169" s="384">
        <v>0</v>
      </c>
      <c r="V2169" s="207"/>
      <c r="W2169" s="285">
        <f t="shared" si="43"/>
        <v>1364.68</v>
      </c>
    </row>
    <row r="2170" spans="1:23" ht="15" customHeight="1" thickBot="1">
      <c r="A2170" s="11">
        <v>38929</v>
      </c>
      <c r="B2170" s="9">
        <v>72875</v>
      </c>
      <c r="C2170" s="13">
        <v>2875</v>
      </c>
      <c r="D2170" s="13" t="e">
        <f>E2170-(#REF!+C2170)</f>
        <v>#REF!</v>
      </c>
      <c r="E2170" s="13">
        <v>101725</v>
      </c>
      <c r="F2170" s="12"/>
      <c r="G2170" s="13"/>
      <c r="H2170" s="13"/>
      <c r="I2170" s="119"/>
      <c r="J2170" s="119"/>
      <c r="K2170" s="23">
        <v>1111</v>
      </c>
      <c r="L2170" s="14">
        <v>1103</v>
      </c>
      <c r="M2170" s="126">
        <f t="shared" si="44"/>
        <v>-8</v>
      </c>
      <c r="N2170" s="19">
        <f>AVERAGE(K2150:K2170)</f>
        <v>1052.3809523809523</v>
      </c>
      <c r="O2170" s="136"/>
      <c r="P2170" s="176">
        <v>10900</v>
      </c>
      <c r="Q2170" s="27">
        <v>0.12529999999999999</v>
      </c>
      <c r="R2170" s="27"/>
      <c r="S2170" s="27"/>
      <c r="T2170" s="27"/>
      <c r="U2170" s="385">
        <v>0</v>
      </c>
      <c r="V2170" s="284">
        <f>AVERAGE(P2150:P2170)</f>
        <v>10727.380952380952</v>
      </c>
      <c r="W2170" s="285">
        <f t="shared" si="43"/>
        <v>1365.77</v>
      </c>
    </row>
    <row r="2171" spans="1:23" ht="15" customHeight="1">
      <c r="A2171" s="3">
        <v>38930</v>
      </c>
      <c r="B2171" s="9">
        <v>70800</v>
      </c>
      <c r="C2171" s="5">
        <v>2800</v>
      </c>
      <c r="D2171" s="5" t="e">
        <f>E2171-(#REF!+C2171)</f>
        <v>#REF!</v>
      </c>
      <c r="E2171" s="5">
        <v>99200</v>
      </c>
      <c r="K2171" s="22">
        <v>1070</v>
      </c>
      <c r="L2171" s="6">
        <v>1090.5</v>
      </c>
      <c r="M2171" s="125">
        <f t="shared" si="44"/>
        <v>20.5</v>
      </c>
      <c r="N2171" s="18"/>
      <c r="O2171" s="135"/>
      <c r="P2171" s="175">
        <v>10875</v>
      </c>
      <c r="Q2171" s="25">
        <v>0.12540000000000001</v>
      </c>
      <c r="U2171" s="384">
        <v>0</v>
      </c>
      <c r="V2171" s="207"/>
      <c r="W2171" s="285">
        <f t="shared" si="43"/>
        <v>1363.7250000000001</v>
      </c>
    </row>
    <row r="2172" spans="1:23" ht="15" customHeight="1">
      <c r="A2172" s="3">
        <v>38931</v>
      </c>
      <c r="B2172" s="9">
        <v>68150</v>
      </c>
      <c r="C2172" s="5">
        <v>2750</v>
      </c>
      <c r="D2172" s="5" t="e">
        <f>E2172-(#REF!+C2172)</f>
        <v>#REF!</v>
      </c>
      <c r="E2172" s="5">
        <v>95900</v>
      </c>
      <c r="K2172" s="22">
        <v>1081</v>
      </c>
      <c r="L2172" s="6">
        <v>1085</v>
      </c>
      <c r="M2172" s="125">
        <f t="shared" si="44"/>
        <v>4</v>
      </c>
      <c r="N2172" s="18"/>
      <c r="O2172" s="135"/>
      <c r="P2172" s="175">
        <v>10875</v>
      </c>
      <c r="Q2172" s="25">
        <v>0.12540000000000001</v>
      </c>
      <c r="U2172" s="384">
        <v>0</v>
      </c>
      <c r="V2172" s="207"/>
      <c r="W2172" s="285">
        <f t="shared" si="43"/>
        <v>1363.7250000000001</v>
      </c>
    </row>
    <row r="2173" spans="1:23" ht="15" customHeight="1">
      <c r="A2173" s="3">
        <v>38932</v>
      </c>
      <c r="B2173" s="9">
        <v>66100</v>
      </c>
      <c r="C2173" s="5">
        <v>2725</v>
      </c>
      <c r="D2173" s="5" t="e">
        <f>E2173-(#REF!+C2173)</f>
        <v>#REF!</v>
      </c>
      <c r="E2173" s="5">
        <v>93375</v>
      </c>
      <c r="K2173" s="22">
        <v>1104</v>
      </c>
      <c r="L2173" s="6">
        <v>1116.5</v>
      </c>
      <c r="M2173" s="125">
        <f t="shared" si="44"/>
        <v>12.5</v>
      </c>
      <c r="N2173" s="18"/>
      <c r="O2173" s="135"/>
      <c r="P2173" s="175">
        <v>10875</v>
      </c>
      <c r="Q2173" s="25">
        <v>0.12540000000000001</v>
      </c>
      <c r="U2173" s="384">
        <v>0</v>
      </c>
      <c r="V2173" s="207"/>
      <c r="W2173" s="285">
        <f t="shared" si="43"/>
        <v>1363.7250000000001</v>
      </c>
    </row>
    <row r="2174" spans="1:23" ht="15" customHeight="1">
      <c r="A2174" s="3">
        <v>38933</v>
      </c>
      <c r="B2174" s="9">
        <v>64500</v>
      </c>
      <c r="C2174" s="5">
        <v>2725</v>
      </c>
      <c r="D2174" s="5" t="e">
        <f>E2174-(#REF!+C2174)</f>
        <v>#REF!</v>
      </c>
      <c r="E2174" s="5">
        <v>91600</v>
      </c>
      <c r="K2174" s="22">
        <v>1135</v>
      </c>
      <c r="L2174" s="6">
        <v>1127</v>
      </c>
      <c r="M2174" s="125">
        <f t="shared" si="44"/>
        <v>-8</v>
      </c>
      <c r="N2174" s="18"/>
      <c r="O2174" s="135"/>
      <c r="P2174" s="175">
        <v>10875</v>
      </c>
      <c r="Q2174" s="25">
        <v>0.12540000000000001</v>
      </c>
      <c r="U2174" s="384">
        <v>0</v>
      </c>
      <c r="V2174" s="207"/>
      <c r="W2174" s="285">
        <f t="shared" si="43"/>
        <v>1363.7250000000001</v>
      </c>
    </row>
    <row r="2175" spans="1:23" ht="15" customHeight="1">
      <c r="A2175" s="3">
        <v>38936</v>
      </c>
      <c r="B2175" s="9">
        <v>64450</v>
      </c>
      <c r="C2175" s="5">
        <v>2725</v>
      </c>
      <c r="D2175" s="5" t="e">
        <f>E2175-(#REF!+C2175)</f>
        <v>#REF!</v>
      </c>
      <c r="E2175" s="5">
        <v>91375</v>
      </c>
      <c r="K2175" s="22">
        <v>1114</v>
      </c>
      <c r="L2175" s="6">
        <v>1115</v>
      </c>
      <c r="M2175" s="125">
        <f t="shared" si="44"/>
        <v>1</v>
      </c>
      <c r="N2175" s="18"/>
      <c r="O2175" s="135"/>
      <c r="P2175" s="175">
        <v>10850</v>
      </c>
      <c r="Q2175" s="25">
        <v>0.12540000000000001</v>
      </c>
      <c r="U2175" s="384">
        <v>0</v>
      </c>
      <c r="V2175" s="207"/>
      <c r="W2175" s="285">
        <f t="shared" si="43"/>
        <v>1360.5900000000001</v>
      </c>
    </row>
    <row r="2176" spans="1:23" ht="15" customHeight="1">
      <c r="A2176" s="3">
        <v>38937</v>
      </c>
      <c r="B2176" s="9">
        <v>62375</v>
      </c>
      <c r="C2176" s="5">
        <v>2725</v>
      </c>
      <c r="D2176" s="5" t="e">
        <f>E2176-(#REF!+C2176)</f>
        <v>#REF!</v>
      </c>
      <c r="E2176" s="5">
        <v>89225</v>
      </c>
      <c r="K2176" s="22">
        <v>1165</v>
      </c>
      <c r="L2176" s="6">
        <v>1175</v>
      </c>
      <c r="M2176" s="125">
        <f t="shared" si="44"/>
        <v>10</v>
      </c>
      <c r="N2176" s="18"/>
      <c r="O2176" s="135"/>
      <c r="P2176" s="175">
        <v>10850</v>
      </c>
      <c r="Q2176" s="25">
        <v>0.1255</v>
      </c>
      <c r="U2176" s="384">
        <v>0</v>
      </c>
      <c r="V2176" s="207"/>
      <c r="W2176" s="285">
        <f t="shared" si="43"/>
        <v>1361.675</v>
      </c>
    </row>
    <row r="2177" spans="1:23" ht="15" customHeight="1">
      <c r="A2177" s="3">
        <v>38938</v>
      </c>
      <c r="B2177" s="9">
        <v>61375</v>
      </c>
      <c r="C2177" s="5">
        <v>2725</v>
      </c>
      <c r="D2177" s="5" t="e">
        <f>E2177-(#REF!+C2177)</f>
        <v>#REF!</v>
      </c>
      <c r="E2177" s="5">
        <v>88150</v>
      </c>
      <c r="K2177" s="22">
        <v>1193</v>
      </c>
      <c r="L2177" s="6">
        <v>1200</v>
      </c>
      <c r="M2177" s="125">
        <f t="shared" si="44"/>
        <v>7</v>
      </c>
      <c r="N2177" s="18"/>
      <c r="O2177" s="135"/>
      <c r="P2177" s="175">
        <v>10850</v>
      </c>
      <c r="Q2177" s="25">
        <v>0.12540000000000001</v>
      </c>
      <c r="U2177" s="384">
        <v>0</v>
      </c>
      <c r="V2177" s="207"/>
      <c r="W2177" s="285">
        <f t="shared" si="43"/>
        <v>1360.5900000000001</v>
      </c>
    </row>
    <row r="2178" spans="1:23" ht="15" customHeight="1">
      <c r="A2178" s="3">
        <v>38939</v>
      </c>
      <c r="B2178" s="9">
        <v>61350</v>
      </c>
      <c r="C2178" s="5">
        <v>2675</v>
      </c>
      <c r="D2178" s="5" t="e">
        <f>E2178-(#REF!+C2178)</f>
        <v>#REF!</v>
      </c>
      <c r="E2178" s="5">
        <v>87475</v>
      </c>
      <c r="K2178" s="22">
        <v>1211</v>
      </c>
      <c r="L2178" s="6">
        <v>1210</v>
      </c>
      <c r="M2178" s="125">
        <f t="shared" si="44"/>
        <v>-1</v>
      </c>
      <c r="N2178" s="18"/>
      <c r="O2178" s="135"/>
      <c r="P2178" s="175">
        <v>11100</v>
      </c>
      <c r="Q2178" s="25">
        <v>0.12540000000000001</v>
      </c>
      <c r="U2178" s="384">
        <v>0</v>
      </c>
      <c r="V2178" s="207"/>
      <c r="W2178" s="285">
        <f t="shared" si="43"/>
        <v>1391.94</v>
      </c>
    </row>
    <row r="2179" spans="1:23" ht="15" customHeight="1">
      <c r="A2179" s="3">
        <v>38940</v>
      </c>
      <c r="B2179" s="9">
        <v>63475</v>
      </c>
      <c r="C2179" s="5">
        <v>2625</v>
      </c>
      <c r="D2179" s="5" t="e">
        <f>E2179-(#REF!+C2179)</f>
        <v>#REF!</v>
      </c>
      <c r="E2179" s="5">
        <v>89550</v>
      </c>
      <c r="K2179" s="22">
        <v>1185</v>
      </c>
      <c r="L2179" s="6">
        <v>1186</v>
      </c>
      <c r="M2179" s="125">
        <f t="shared" si="44"/>
        <v>1</v>
      </c>
      <c r="N2179" s="18"/>
      <c r="O2179" s="135"/>
      <c r="P2179" s="175">
        <v>11100</v>
      </c>
      <c r="Q2179" s="25">
        <v>0.1255</v>
      </c>
      <c r="U2179" s="384">
        <v>0</v>
      </c>
      <c r="V2179" s="207"/>
      <c r="W2179" s="285">
        <f t="shared" si="43"/>
        <v>1393.05</v>
      </c>
    </row>
    <row r="2180" spans="1:23" ht="15" customHeight="1">
      <c r="A2180" s="3">
        <v>38943</v>
      </c>
      <c r="B2180" s="9">
        <v>60300</v>
      </c>
      <c r="C2180" s="5">
        <v>2575</v>
      </c>
      <c r="D2180" s="5" t="e">
        <f>E2180-(#REF!+C2180)</f>
        <v>#REF!</v>
      </c>
      <c r="E2180" s="5">
        <v>86275</v>
      </c>
      <c r="K2180" s="22">
        <v>1156</v>
      </c>
      <c r="L2180" s="6">
        <v>1160</v>
      </c>
      <c r="M2180" s="125">
        <f t="shared" si="44"/>
        <v>4</v>
      </c>
      <c r="N2180" s="18"/>
      <c r="O2180" s="135"/>
      <c r="P2180" s="175">
        <v>11100</v>
      </c>
      <c r="Q2180" s="25">
        <v>0.12540000000000001</v>
      </c>
      <c r="U2180" s="384">
        <v>0</v>
      </c>
      <c r="V2180" s="207"/>
      <c r="W2180" s="285">
        <f t="shared" si="43"/>
        <v>1391.94</v>
      </c>
    </row>
    <row r="2181" spans="1:23" ht="15" customHeight="1">
      <c r="A2181" s="3">
        <v>38944</v>
      </c>
      <c r="B2181" s="9">
        <v>59700</v>
      </c>
      <c r="C2181" s="5">
        <v>2525</v>
      </c>
      <c r="D2181" s="5" t="e">
        <f>E2181-(#REF!+C2181)</f>
        <v>#REF!</v>
      </c>
      <c r="E2181" s="5">
        <v>85625</v>
      </c>
      <c r="K2181" s="22">
        <v>1186</v>
      </c>
      <c r="L2181" s="6">
        <v>1193</v>
      </c>
      <c r="M2181" s="125">
        <f t="shared" si="44"/>
        <v>7</v>
      </c>
      <c r="N2181" s="18"/>
      <c r="O2181" s="135"/>
      <c r="P2181" s="175">
        <v>11100</v>
      </c>
      <c r="Q2181" s="25">
        <v>0.12540000000000001</v>
      </c>
      <c r="U2181" s="384">
        <v>0</v>
      </c>
      <c r="V2181" s="207"/>
      <c r="W2181" s="285">
        <f t="shared" si="43"/>
        <v>1391.94</v>
      </c>
    </row>
    <row r="2182" spans="1:23" ht="15" customHeight="1">
      <c r="A2182" s="3">
        <v>38945</v>
      </c>
      <c r="B2182" s="9">
        <v>59175</v>
      </c>
      <c r="C2182" s="5">
        <v>2525</v>
      </c>
      <c r="D2182" s="5" t="e">
        <f>E2182-(#REF!+C2182)</f>
        <v>#REF!</v>
      </c>
      <c r="E2182" s="5">
        <v>85075</v>
      </c>
      <c r="K2182" s="22">
        <v>1185</v>
      </c>
      <c r="L2182" s="6">
        <v>1195</v>
      </c>
      <c r="M2182" s="125">
        <f t="shared" si="44"/>
        <v>10</v>
      </c>
      <c r="N2182" s="18"/>
      <c r="O2182" s="135"/>
      <c r="P2182" s="175">
        <v>11125</v>
      </c>
      <c r="Q2182" s="25">
        <v>0.12509999999999999</v>
      </c>
      <c r="U2182" s="384">
        <v>0</v>
      </c>
      <c r="V2182" s="207"/>
      <c r="W2182" s="285">
        <f t="shared" si="43"/>
        <v>1391.7375</v>
      </c>
    </row>
    <row r="2183" spans="1:23" ht="15" customHeight="1">
      <c r="A2183" s="3">
        <v>38946</v>
      </c>
      <c r="B2183" s="9">
        <v>57200</v>
      </c>
      <c r="C2183" s="5">
        <v>2475</v>
      </c>
      <c r="D2183" s="5" t="e">
        <f>E2183-(#REF!+C2183)</f>
        <v>#REF!</v>
      </c>
      <c r="E2183" s="5">
        <v>83000</v>
      </c>
      <c r="K2183" s="22">
        <v>1192.5</v>
      </c>
      <c r="L2183" s="6">
        <v>1205</v>
      </c>
      <c r="M2183" s="125">
        <f t="shared" si="44"/>
        <v>12.5</v>
      </c>
      <c r="N2183" s="18"/>
      <c r="O2183" s="135"/>
      <c r="P2183" s="175">
        <v>11150</v>
      </c>
      <c r="Q2183" s="25">
        <v>0.12529999999999999</v>
      </c>
      <c r="U2183" s="384">
        <v>0</v>
      </c>
      <c r="V2183" s="207"/>
      <c r="W2183" s="285">
        <f t="shared" si="43"/>
        <v>1397.095</v>
      </c>
    </row>
    <row r="2184" spans="1:23" ht="15" customHeight="1">
      <c r="A2184" s="3">
        <v>38947</v>
      </c>
      <c r="B2184" s="9">
        <v>56575</v>
      </c>
      <c r="C2184" s="5">
        <v>2375</v>
      </c>
      <c r="D2184" s="5" t="e">
        <f>E2184-(#REF!+C2184)</f>
        <v>#REF!</v>
      </c>
      <c r="E2184" s="5">
        <v>82200</v>
      </c>
      <c r="K2184" s="22">
        <v>1200</v>
      </c>
      <c r="L2184" s="6">
        <v>1204</v>
      </c>
      <c r="M2184" s="125">
        <f t="shared" si="44"/>
        <v>4</v>
      </c>
      <c r="N2184" s="18"/>
      <c r="O2184" s="135"/>
      <c r="P2184" s="175">
        <v>11175</v>
      </c>
      <c r="Q2184" s="25">
        <v>0.12540000000000001</v>
      </c>
      <c r="U2184" s="384">
        <v>0</v>
      </c>
      <c r="V2184" s="207"/>
      <c r="W2184" s="285">
        <f t="shared" si="43"/>
        <v>1401.345</v>
      </c>
    </row>
    <row r="2185" spans="1:23" ht="15" customHeight="1">
      <c r="A2185" s="3">
        <v>38950</v>
      </c>
      <c r="B2185" s="9">
        <v>55875</v>
      </c>
      <c r="C2185" s="5">
        <v>2325</v>
      </c>
      <c r="D2185" s="5" t="e">
        <f>E2185-(#REF!+C2185)</f>
        <v>#REF!</v>
      </c>
      <c r="E2185" s="5">
        <v>81300</v>
      </c>
      <c r="K2185" s="22">
        <v>1190</v>
      </c>
      <c r="L2185" s="6">
        <v>1196.5</v>
      </c>
      <c r="M2185" s="125">
        <f t="shared" si="44"/>
        <v>6.5</v>
      </c>
      <c r="N2185" s="18"/>
      <c r="O2185" s="135"/>
      <c r="P2185" s="175">
        <v>11250</v>
      </c>
      <c r="Q2185" s="25">
        <v>0.12540000000000001</v>
      </c>
      <c r="U2185" s="384">
        <v>0</v>
      </c>
      <c r="V2185" s="207"/>
      <c r="W2185" s="285">
        <f t="shared" si="43"/>
        <v>1410.7500000000002</v>
      </c>
    </row>
    <row r="2186" spans="1:23" ht="15" customHeight="1">
      <c r="A2186" s="3">
        <v>38951</v>
      </c>
      <c r="B2186" s="9">
        <v>57575</v>
      </c>
      <c r="C2186" s="5">
        <v>2300</v>
      </c>
      <c r="D2186" s="5" t="e">
        <f>E2186-(#REF!+C2186)</f>
        <v>#REF!</v>
      </c>
      <c r="E2186" s="5">
        <v>82950</v>
      </c>
      <c r="K2186" s="22">
        <v>1195.5</v>
      </c>
      <c r="L2186" s="6">
        <v>1195</v>
      </c>
      <c r="M2186" s="125">
        <f t="shared" si="44"/>
        <v>-0.5</v>
      </c>
      <c r="N2186" s="18"/>
      <c r="O2186" s="135"/>
      <c r="P2186" s="175">
        <v>11350</v>
      </c>
      <c r="Q2186" s="25">
        <v>0.1255</v>
      </c>
      <c r="U2186" s="384">
        <v>0</v>
      </c>
      <c r="V2186" s="207"/>
      <c r="W2186" s="285">
        <f t="shared" si="43"/>
        <v>1424.425</v>
      </c>
    </row>
    <row r="2187" spans="1:23" ht="15" customHeight="1">
      <c r="A2187" s="3">
        <v>38952</v>
      </c>
      <c r="B2187" s="9">
        <v>57575</v>
      </c>
      <c r="C2187" s="5">
        <v>2300</v>
      </c>
      <c r="D2187" s="5" t="e">
        <f>E2187-(#REF!+C2187)</f>
        <v>#REF!</v>
      </c>
      <c r="E2187" s="5">
        <v>82775</v>
      </c>
      <c r="K2187" s="22">
        <v>1186</v>
      </c>
      <c r="L2187" s="6">
        <v>1200</v>
      </c>
      <c r="M2187" s="125">
        <f t="shared" si="44"/>
        <v>14</v>
      </c>
      <c r="N2187" s="18"/>
      <c r="O2187" s="135"/>
      <c r="P2187" s="175">
        <v>11400</v>
      </c>
      <c r="Q2187" s="25">
        <v>0.1255</v>
      </c>
      <c r="U2187" s="384">
        <v>0</v>
      </c>
      <c r="V2187" s="207"/>
      <c r="W2187" s="285">
        <f t="shared" si="43"/>
        <v>1430.7</v>
      </c>
    </row>
    <row r="2188" spans="1:23" ht="15" customHeight="1">
      <c r="A2188" s="3">
        <v>38953</v>
      </c>
      <c r="B2188" s="9">
        <v>56675</v>
      </c>
      <c r="C2188" s="5">
        <v>2250</v>
      </c>
      <c r="D2188" s="5" t="e">
        <f>E2188-(#REF!+C2188)</f>
        <v>#REF!</v>
      </c>
      <c r="E2188" s="5">
        <v>81650</v>
      </c>
      <c r="K2188" s="22">
        <v>1205.5</v>
      </c>
      <c r="L2188" s="6">
        <v>1220</v>
      </c>
      <c r="M2188" s="125">
        <f t="shared" si="44"/>
        <v>14.5</v>
      </c>
      <c r="N2188" s="18"/>
      <c r="O2188" s="135"/>
      <c r="P2188" s="175">
        <v>11550</v>
      </c>
      <c r="Q2188" s="25">
        <v>0.1255</v>
      </c>
      <c r="U2188" s="384">
        <v>0</v>
      </c>
      <c r="V2188" s="207"/>
      <c r="W2188" s="285">
        <f t="shared" si="43"/>
        <v>1449.5250000000001</v>
      </c>
    </row>
    <row r="2189" spans="1:23" ht="15" customHeight="1">
      <c r="A2189" s="3">
        <v>38954</v>
      </c>
      <c r="B2189" s="9">
        <v>55350</v>
      </c>
      <c r="C2189" s="5">
        <v>2250</v>
      </c>
      <c r="D2189" s="5" t="e">
        <f>E2189-(#REF!+C2189)</f>
        <v>#REF!</v>
      </c>
      <c r="E2189" s="5">
        <v>80325</v>
      </c>
      <c r="K2189" s="22">
        <v>1203</v>
      </c>
      <c r="L2189" s="6">
        <v>1220</v>
      </c>
      <c r="M2189" s="125">
        <f t="shared" si="44"/>
        <v>17</v>
      </c>
      <c r="N2189" s="18"/>
      <c r="O2189" s="135"/>
      <c r="P2189" s="175">
        <v>11625</v>
      </c>
      <c r="Q2189" s="25">
        <v>0.1255</v>
      </c>
      <c r="U2189" s="384">
        <v>0</v>
      </c>
      <c r="V2189" s="207"/>
      <c r="W2189" s="285">
        <f t="shared" si="43"/>
        <v>1458.9375</v>
      </c>
    </row>
    <row r="2190" spans="1:23" ht="15" customHeight="1">
      <c r="A2190" s="3">
        <v>38958</v>
      </c>
      <c r="B2190" s="9">
        <v>54175</v>
      </c>
      <c r="C2190" s="5">
        <v>2250</v>
      </c>
      <c r="D2190" s="5" t="e">
        <f>E2190-(#REF!+C2190)</f>
        <v>#REF!</v>
      </c>
      <c r="E2190" s="5">
        <v>78975</v>
      </c>
      <c r="K2190" s="22">
        <v>1225</v>
      </c>
      <c r="L2190" s="6">
        <v>1233</v>
      </c>
      <c r="M2190" s="125">
        <f t="shared" si="44"/>
        <v>8</v>
      </c>
      <c r="N2190" s="18"/>
      <c r="O2190" s="135"/>
      <c r="P2190" s="175">
        <v>11725</v>
      </c>
      <c r="Q2190" s="25">
        <v>0.12540000000000001</v>
      </c>
      <c r="U2190" s="384">
        <v>0</v>
      </c>
      <c r="V2190" s="207"/>
      <c r="W2190" s="285">
        <f t="shared" si="43"/>
        <v>1470.3150000000001</v>
      </c>
    </row>
    <row r="2191" spans="1:23" ht="15" customHeight="1">
      <c r="A2191" s="3">
        <v>38959</v>
      </c>
      <c r="B2191" s="9">
        <v>54075</v>
      </c>
      <c r="C2191" s="5">
        <v>2250</v>
      </c>
      <c r="D2191" s="5" t="e">
        <f>E2191-(#REF!+C2191)</f>
        <v>#REF!</v>
      </c>
      <c r="E2191" s="5">
        <v>78750</v>
      </c>
      <c r="K2191" s="22">
        <v>1227</v>
      </c>
      <c r="L2191" s="6">
        <v>1225.5</v>
      </c>
      <c r="M2191" s="125">
        <f t="shared" si="44"/>
        <v>-1.5</v>
      </c>
      <c r="N2191" s="18"/>
      <c r="O2191" s="135"/>
      <c r="P2191" s="175">
        <v>11850</v>
      </c>
      <c r="Q2191" s="25">
        <v>0.1255</v>
      </c>
      <c r="U2191" s="384">
        <v>0</v>
      </c>
      <c r="V2191" s="207"/>
      <c r="W2191" s="285">
        <f t="shared" si="43"/>
        <v>1487.175</v>
      </c>
    </row>
    <row r="2192" spans="1:23" ht="15" customHeight="1" thickBot="1">
      <c r="A2192" s="11">
        <v>38960</v>
      </c>
      <c r="B2192" s="9">
        <v>54075</v>
      </c>
      <c r="C2192" s="13">
        <v>2250</v>
      </c>
      <c r="D2192" s="13" t="e">
        <f>E2192-(#REF!+C2192)</f>
        <v>#REF!</v>
      </c>
      <c r="E2192" s="13">
        <v>78650</v>
      </c>
      <c r="F2192" s="12"/>
      <c r="G2192" s="13"/>
      <c r="H2192" s="13"/>
      <c r="I2192" s="119"/>
      <c r="J2192" s="119"/>
      <c r="K2192" s="23">
        <v>1221.5</v>
      </c>
      <c r="L2192" s="14">
        <v>1240</v>
      </c>
      <c r="M2192" s="126">
        <f t="shared" si="44"/>
        <v>18.5</v>
      </c>
      <c r="N2192" s="19">
        <f>AVERAGE(K2171:K2192)</f>
        <v>1174.1363636363637</v>
      </c>
      <c r="O2192" s="136"/>
      <c r="P2192" s="176">
        <v>12100</v>
      </c>
      <c r="Q2192" s="27">
        <v>0.12559999999999999</v>
      </c>
      <c r="R2192" s="27"/>
      <c r="S2192" s="27"/>
      <c r="T2192" s="27"/>
      <c r="U2192" s="385">
        <v>0</v>
      </c>
      <c r="V2192" s="284">
        <f>AVERAGE(P2171:P2192)</f>
        <v>11215.90909090909</v>
      </c>
      <c r="W2192" s="285">
        <f t="shared" si="43"/>
        <v>1519.7599999999998</v>
      </c>
    </row>
    <row r="2193" spans="1:23" ht="15" customHeight="1">
      <c r="A2193" s="3">
        <v>38961</v>
      </c>
      <c r="B2193" s="9">
        <v>53825</v>
      </c>
      <c r="C2193" s="5">
        <v>2250</v>
      </c>
      <c r="D2193" s="5" t="e">
        <f>E2193-(#REF!+C2193)</f>
        <v>#REF!</v>
      </c>
      <c r="E2193" s="5">
        <v>78350</v>
      </c>
      <c r="K2193" s="22">
        <v>1225</v>
      </c>
      <c r="L2193" s="6">
        <v>1232</v>
      </c>
      <c r="M2193" s="125">
        <f t="shared" si="44"/>
        <v>7</v>
      </c>
      <c r="N2193" s="20"/>
      <c r="O2193" s="135"/>
      <c r="P2193" s="175">
        <v>12275</v>
      </c>
      <c r="Q2193" s="25">
        <v>0.12559999999999999</v>
      </c>
      <c r="U2193" s="384">
        <v>0</v>
      </c>
      <c r="V2193" s="207"/>
      <c r="W2193" s="285">
        <f t="shared" si="43"/>
        <v>1541.7399999999998</v>
      </c>
    </row>
    <row r="2194" spans="1:23" ht="15" customHeight="1">
      <c r="A2194" s="3">
        <v>38964</v>
      </c>
      <c r="B2194" s="9">
        <v>53625</v>
      </c>
      <c r="C2194" s="5">
        <v>2250</v>
      </c>
      <c r="D2194" s="5" t="e">
        <f>E2194-(#REF!+C2194)</f>
        <v>#REF!</v>
      </c>
      <c r="E2194" s="5">
        <v>78125</v>
      </c>
      <c r="K2194" s="22">
        <v>1259</v>
      </c>
      <c r="L2194" s="6">
        <v>1255</v>
      </c>
      <c r="M2194" s="125">
        <f t="shared" si="44"/>
        <v>-4</v>
      </c>
      <c r="N2194" s="18"/>
      <c r="O2194" s="135"/>
      <c r="P2194" s="175">
        <v>12750</v>
      </c>
      <c r="Q2194" s="25">
        <v>0.12559999999999999</v>
      </c>
      <c r="U2194" s="384">
        <v>0</v>
      </c>
      <c r="V2194" s="207"/>
      <c r="W2194" s="285">
        <f t="shared" si="43"/>
        <v>1601.3999999999999</v>
      </c>
    </row>
    <row r="2195" spans="1:23" ht="15" customHeight="1">
      <c r="A2195" s="3">
        <v>38965</v>
      </c>
      <c r="B2195" s="9">
        <v>52625</v>
      </c>
      <c r="C2195" s="5">
        <v>2250</v>
      </c>
      <c r="D2195" s="5" t="e">
        <f>E2195-(#REF!+C2195)</f>
        <v>#REF!</v>
      </c>
      <c r="E2195" s="5">
        <v>77050</v>
      </c>
      <c r="K2195" s="22">
        <v>1297</v>
      </c>
      <c r="L2195" s="6">
        <v>1297</v>
      </c>
      <c r="M2195" s="125">
        <f t="shared" si="44"/>
        <v>0</v>
      </c>
      <c r="N2195" s="18"/>
      <c r="O2195" s="135"/>
      <c r="P2195" s="175">
        <v>13300</v>
      </c>
      <c r="Q2195" s="25">
        <v>0.1258</v>
      </c>
      <c r="U2195" s="384">
        <v>0</v>
      </c>
      <c r="V2195" s="207"/>
      <c r="W2195" s="285">
        <f t="shared" si="43"/>
        <v>1673.1399999999999</v>
      </c>
    </row>
    <row r="2196" spans="1:23" ht="15" customHeight="1">
      <c r="A2196" s="3">
        <v>38966</v>
      </c>
      <c r="B2196" s="9">
        <v>51750</v>
      </c>
      <c r="C2196" s="5">
        <v>2250</v>
      </c>
      <c r="D2196" s="5" t="e">
        <f>E2196-(#REF!+C2196)</f>
        <v>#REF!</v>
      </c>
      <c r="E2196" s="5">
        <v>76175</v>
      </c>
      <c r="K2196" s="22">
        <v>1301</v>
      </c>
      <c r="L2196" s="6">
        <v>1295.5</v>
      </c>
      <c r="M2196" s="125">
        <f t="shared" si="44"/>
        <v>-5.5</v>
      </c>
      <c r="N2196" s="18"/>
      <c r="O2196" s="135"/>
      <c r="P2196" s="175">
        <v>13300</v>
      </c>
      <c r="Q2196" s="25">
        <v>0.12590000000000001</v>
      </c>
      <c r="U2196" s="384">
        <v>0</v>
      </c>
      <c r="V2196" s="207"/>
      <c r="W2196" s="285">
        <f t="shared" si="43"/>
        <v>1674.4700000000003</v>
      </c>
    </row>
    <row r="2197" spans="1:23" ht="15" customHeight="1">
      <c r="A2197" s="3">
        <v>38967</v>
      </c>
      <c r="B2197" s="9">
        <v>51450</v>
      </c>
      <c r="C2197" s="5">
        <v>2250</v>
      </c>
      <c r="D2197" s="5" t="e">
        <f>E2197-(#REF!+C2197)</f>
        <v>#REF!</v>
      </c>
      <c r="E2197" s="5">
        <v>75750</v>
      </c>
      <c r="K2197" s="22">
        <v>1330.5</v>
      </c>
      <c r="L2197" s="6">
        <v>1306</v>
      </c>
      <c r="M2197" s="125">
        <f t="shared" si="44"/>
        <v>-24.5</v>
      </c>
      <c r="N2197" s="18"/>
      <c r="O2197" s="135"/>
      <c r="P2197" s="175">
        <v>13500</v>
      </c>
      <c r="Q2197" s="25">
        <v>0.1258</v>
      </c>
      <c r="U2197" s="384">
        <v>0</v>
      </c>
      <c r="V2197" s="207"/>
      <c r="W2197" s="285">
        <f t="shared" si="43"/>
        <v>1698.3</v>
      </c>
    </row>
    <row r="2198" spans="1:23" ht="15" customHeight="1">
      <c r="A2198" s="3">
        <v>38968</v>
      </c>
      <c r="B2198" s="9">
        <v>50650</v>
      </c>
      <c r="C2198" s="5">
        <v>2250</v>
      </c>
      <c r="D2198" s="5" t="e">
        <f>E2198-(#REF!+C2198)</f>
        <v>#REF!</v>
      </c>
      <c r="E2198" s="5">
        <v>74675</v>
      </c>
      <c r="K2198" s="22">
        <v>1327</v>
      </c>
      <c r="L2198" s="6">
        <v>1313</v>
      </c>
      <c r="M2198" s="125">
        <f t="shared" si="44"/>
        <v>-14</v>
      </c>
      <c r="N2198" s="18"/>
      <c r="O2198" s="135"/>
      <c r="P2198" s="175">
        <v>13350</v>
      </c>
      <c r="Q2198" s="25">
        <v>0.1258</v>
      </c>
      <c r="U2198" s="384">
        <v>0</v>
      </c>
      <c r="V2198" s="207"/>
      <c r="W2198" s="285">
        <f t="shared" si="43"/>
        <v>1679.4299999999998</v>
      </c>
    </row>
    <row r="2199" spans="1:23" ht="15" customHeight="1">
      <c r="A2199" s="3">
        <v>38971</v>
      </c>
      <c r="B2199" s="9">
        <v>49125</v>
      </c>
      <c r="C2199" s="5">
        <v>2250</v>
      </c>
      <c r="D2199" s="5" t="e">
        <f>E2199-(#REF!+C2199)</f>
        <v>#REF!</v>
      </c>
      <c r="E2199" s="5">
        <v>73125</v>
      </c>
      <c r="K2199" s="22">
        <v>1328</v>
      </c>
      <c r="L2199" s="6">
        <v>1319</v>
      </c>
      <c r="M2199" s="125">
        <f t="shared" si="44"/>
        <v>-9</v>
      </c>
      <c r="N2199" s="18"/>
      <c r="O2199" s="135"/>
      <c r="P2199" s="175">
        <v>13700</v>
      </c>
      <c r="Q2199" s="25">
        <v>0.1258</v>
      </c>
      <c r="U2199" s="384">
        <v>0</v>
      </c>
      <c r="V2199" s="207"/>
      <c r="W2199" s="285">
        <f t="shared" si="43"/>
        <v>1723.46</v>
      </c>
    </row>
    <row r="2200" spans="1:23" ht="15" customHeight="1">
      <c r="A2200" s="3">
        <v>38972</v>
      </c>
      <c r="B2200" s="9">
        <v>47525</v>
      </c>
      <c r="C2200" s="5">
        <v>2250</v>
      </c>
      <c r="D2200" s="5" t="e">
        <f>E2200-(#REF!+C2200)</f>
        <v>#REF!</v>
      </c>
      <c r="E2200" s="5">
        <v>71500</v>
      </c>
      <c r="K2200" s="22">
        <v>1314</v>
      </c>
      <c r="L2200" s="6">
        <v>1302</v>
      </c>
      <c r="M2200" s="125">
        <f t="shared" si="44"/>
        <v>-12</v>
      </c>
      <c r="N2200" s="18"/>
      <c r="O2200" s="135"/>
      <c r="P2200" s="175">
        <v>13875</v>
      </c>
      <c r="Q2200" s="25">
        <v>0.1258</v>
      </c>
      <c r="U2200" s="384">
        <v>0</v>
      </c>
      <c r="V2200" s="207"/>
      <c r="W2200" s="285">
        <f t="shared" si="43"/>
        <v>1745.4749999999999</v>
      </c>
    </row>
    <row r="2201" spans="1:23" ht="15" customHeight="1">
      <c r="A2201" s="3">
        <v>38973</v>
      </c>
      <c r="B2201" s="9">
        <v>46750</v>
      </c>
      <c r="C2201" s="5">
        <v>2250</v>
      </c>
      <c r="D2201" s="5" t="e">
        <f>E2201-(#REF!+C2201)</f>
        <v>#REF!</v>
      </c>
      <c r="E2201" s="5">
        <v>70675</v>
      </c>
      <c r="K2201" s="22">
        <v>1303</v>
      </c>
      <c r="L2201" s="6">
        <v>1295</v>
      </c>
      <c r="M2201" s="125">
        <f t="shared" si="44"/>
        <v>-8</v>
      </c>
      <c r="N2201" s="18"/>
      <c r="O2201" s="135"/>
      <c r="P2201" s="175">
        <v>13875</v>
      </c>
      <c r="Q2201" s="25">
        <v>0.12570000000000001</v>
      </c>
      <c r="U2201" s="384">
        <v>0</v>
      </c>
      <c r="V2201" s="207"/>
      <c r="W2201" s="285">
        <f t="shared" si="43"/>
        <v>1744.0875000000001</v>
      </c>
    </row>
    <row r="2202" spans="1:23" ht="15" customHeight="1">
      <c r="A2202" s="3">
        <v>38974</v>
      </c>
      <c r="B2202" s="9">
        <v>46225</v>
      </c>
      <c r="C2202" s="5">
        <v>2225</v>
      </c>
      <c r="D2202" s="5" t="e">
        <f>E2202-(#REF!+C2202)</f>
        <v>#REF!</v>
      </c>
      <c r="E2202" s="5">
        <v>70100</v>
      </c>
      <c r="K2202" s="22">
        <v>1325</v>
      </c>
      <c r="L2202" s="6">
        <v>1311</v>
      </c>
      <c r="M2202" s="125">
        <f t="shared" si="44"/>
        <v>-14</v>
      </c>
      <c r="N2202" s="18"/>
      <c r="O2202" s="135"/>
      <c r="P2202" s="175">
        <v>13875</v>
      </c>
      <c r="Q2202" s="25">
        <v>0.12570000000000001</v>
      </c>
      <c r="U2202" s="384">
        <v>0</v>
      </c>
      <c r="V2202" s="207"/>
      <c r="W2202" s="285">
        <f t="shared" si="43"/>
        <v>1744.0875000000001</v>
      </c>
    </row>
    <row r="2203" spans="1:23" ht="15" customHeight="1">
      <c r="A2203" s="3">
        <v>38975</v>
      </c>
      <c r="B2203" s="9">
        <v>47750</v>
      </c>
      <c r="C2203" s="5">
        <v>2225</v>
      </c>
      <c r="D2203" s="5" t="e">
        <f>E2203-(#REF!+C2203)</f>
        <v>#REF!</v>
      </c>
      <c r="E2203" s="5">
        <v>71025</v>
      </c>
      <c r="K2203" s="22">
        <v>1340</v>
      </c>
      <c r="L2203" s="6">
        <v>1315</v>
      </c>
      <c r="M2203" s="125">
        <f t="shared" si="44"/>
        <v>-25</v>
      </c>
      <c r="N2203" s="18"/>
      <c r="O2203" s="135"/>
      <c r="P2203" s="175">
        <v>13800</v>
      </c>
      <c r="Q2203" s="25">
        <v>0.1258</v>
      </c>
      <c r="U2203" s="384">
        <v>0</v>
      </c>
      <c r="V2203" s="207"/>
      <c r="W2203" s="285">
        <f t="shared" si="43"/>
        <v>1736.04</v>
      </c>
    </row>
    <row r="2204" spans="1:23" ht="15" customHeight="1">
      <c r="A2204" s="3">
        <v>38978</v>
      </c>
      <c r="B2204" s="9">
        <v>46750</v>
      </c>
      <c r="C2204" s="5">
        <v>2225</v>
      </c>
      <c r="D2204" s="5" t="e">
        <f>E2204-(#REF!+C2204)</f>
        <v>#REF!</v>
      </c>
      <c r="E2204" s="5">
        <v>69975</v>
      </c>
      <c r="K2204" s="22">
        <v>1347</v>
      </c>
      <c r="L2204" s="6">
        <v>1325.5</v>
      </c>
      <c r="M2204" s="125">
        <f t="shared" si="44"/>
        <v>-21.5</v>
      </c>
      <c r="N2204" s="18"/>
      <c r="O2204" s="135"/>
      <c r="P2204" s="175">
        <v>13775</v>
      </c>
      <c r="Q2204" s="25">
        <v>0.1258</v>
      </c>
      <c r="U2204" s="384">
        <v>0</v>
      </c>
      <c r="V2204" s="207"/>
      <c r="W2204" s="285">
        <f t="shared" si="43"/>
        <v>1732.895</v>
      </c>
    </row>
    <row r="2205" spans="1:23" ht="15" customHeight="1">
      <c r="A2205" s="3">
        <v>38979</v>
      </c>
      <c r="B2205" s="9">
        <v>44350</v>
      </c>
      <c r="C2205" s="5">
        <v>2225</v>
      </c>
      <c r="D2205" s="5" t="e">
        <f>E2205-(#REF!+C2205)</f>
        <v>#REF!</v>
      </c>
      <c r="E2205" s="5">
        <v>67450</v>
      </c>
      <c r="K2205" s="22">
        <v>1356</v>
      </c>
      <c r="L2205" s="6">
        <v>1340</v>
      </c>
      <c r="M2205" s="125">
        <f t="shared" si="44"/>
        <v>-16</v>
      </c>
      <c r="N2205" s="18"/>
      <c r="O2205" s="135"/>
      <c r="P2205" s="175">
        <v>13650</v>
      </c>
      <c r="Q2205" s="25">
        <v>0.12590000000000001</v>
      </c>
      <c r="U2205" s="384">
        <v>0</v>
      </c>
      <c r="V2205" s="207"/>
      <c r="W2205" s="285">
        <f t="shared" si="43"/>
        <v>1718.5350000000001</v>
      </c>
    </row>
    <row r="2206" spans="1:23" ht="15" customHeight="1">
      <c r="A2206" s="3">
        <v>38980</v>
      </c>
      <c r="B2206" s="9">
        <v>44250</v>
      </c>
      <c r="C2206" s="5">
        <v>2225</v>
      </c>
      <c r="D2206" s="5" t="e">
        <f>E2206-(#REF!+C2206)</f>
        <v>#REF!</v>
      </c>
      <c r="E2206" s="5">
        <v>67150</v>
      </c>
      <c r="K2206" s="22">
        <v>1345</v>
      </c>
      <c r="L2206" s="6">
        <v>1325</v>
      </c>
      <c r="M2206" s="125">
        <f t="shared" si="44"/>
        <v>-20</v>
      </c>
      <c r="N2206" s="18"/>
      <c r="O2206" s="135"/>
      <c r="P2206" s="175">
        <v>13550</v>
      </c>
      <c r="Q2206" s="25">
        <v>0.126</v>
      </c>
      <c r="U2206" s="384">
        <v>0</v>
      </c>
      <c r="V2206" s="207"/>
      <c r="W2206" s="285">
        <f t="shared" si="43"/>
        <v>1707.3</v>
      </c>
    </row>
    <row r="2207" spans="1:23" ht="15" customHeight="1">
      <c r="A2207" s="3">
        <v>38981</v>
      </c>
      <c r="B2207" s="9">
        <v>43550</v>
      </c>
      <c r="C2207" s="5">
        <v>2225</v>
      </c>
      <c r="D2207" s="5" t="e">
        <f>E2207-(#REF!+C2207)</f>
        <v>#REF!</v>
      </c>
      <c r="E2207" s="5">
        <v>66200</v>
      </c>
      <c r="K2207" s="22">
        <v>1389.5</v>
      </c>
      <c r="L2207" s="6">
        <v>1365</v>
      </c>
      <c r="M2207" s="125">
        <f t="shared" si="44"/>
        <v>-24.5</v>
      </c>
      <c r="N2207" s="18"/>
      <c r="O2207" s="135"/>
      <c r="P2207" s="175">
        <v>13500</v>
      </c>
      <c r="Q2207" s="25">
        <v>0.12609999999999999</v>
      </c>
      <c r="U2207" s="384">
        <v>0</v>
      </c>
      <c r="V2207" s="207"/>
      <c r="W2207" s="285">
        <f t="shared" si="43"/>
        <v>1702.35</v>
      </c>
    </row>
    <row r="2208" spans="1:23" ht="15" customHeight="1">
      <c r="A2208" s="3">
        <v>38982</v>
      </c>
      <c r="B2208" s="9">
        <v>43450</v>
      </c>
      <c r="C2208" s="5">
        <v>8200</v>
      </c>
      <c r="D2208" s="5" t="e">
        <f>E2208-(#REF!+C2208)</f>
        <v>#REF!</v>
      </c>
      <c r="E2208" s="5">
        <v>65975</v>
      </c>
      <c r="K2208" s="22">
        <v>1413.5</v>
      </c>
      <c r="L2208" s="6">
        <v>1388</v>
      </c>
      <c r="M2208" s="125">
        <f t="shared" si="44"/>
        <v>-25.5</v>
      </c>
      <c r="N2208" s="18"/>
      <c r="O2208" s="135"/>
      <c r="P2208" s="175">
        <v>13225</v>
      </c>
      <c r="Q2208" s="25">
        <v>0.12620000000000001</v>
      </c>
      <c r="U2208" s="384">
        <v>0</v>
      </c>
      <c r="V2208" s="207"/>
      <c r="W2208" s="285">
        <f t="shared" si="43"/>
        <v>1668.9950000000001</v>
      </c>
    </row>
    <row r="2209" spans="1:23" ht="15" customHeight="1">
      <c r="A2209" s="3">
        <v>38985</v>
      </c>
      <c r="B2209" s="9">
        <v>43825</v>
      </c>
      <c r="C2209" s="5">
        <v>8475</v>
      </c>
      <c r="D2209" s="5" t="e">
        <f>E2209-(#REF!+C2209)</f>
        <v>#REF!</v>
      </c>
      <c r="E2209" s="5">
        <v>66250</v>
      </c>
      <c r="K2209" s="22">
        <v>1360</v>
      </c>
      <c r="L2209" s="6">
        <v>1340</v>
      </c>
      <c r="M2209" s="125">
        <f t="shared" si="44"/>
        <v>-20</v>
      </c>
      <c r="N2209" s="18"/>
      <c r="O2209" s="135"/>
      <c r="P2209" s="175">
        <v>13050</v>
      </c>
      <c r="Q2209" s="25">
        <v>0.1263</v>
      </c>
      <c r="U2209" s="384">
        <v>0</v>
      </c>
      <c r="V2209" s="207"/>
      <c r="W2209" s="285">
        <f t="shared" si="43"/>
        <v>1648.2149999999999</v>
      </c>
    </row>
    <row r="2210" spans="1:23" ht="15" customHeight="1">
      <c r="A2210" s="3">
        <v>38986</v>
      </c>
      <c r="B2210" s="9">
        <v>42025</v>
      </c>
      <c r="C2210" s="5">
        <v>6525</v>
      </c>
      <c r="D2210" s="5" t="e">
        <f>E2210-(#REF!+C2210)</f>
        <v>#REF!</v>
      </c>
      <c r="E2210" s="5">
        <v>64300</v>
      </c>
      <c r="K2210" s="22">
        <v>1384.5</v>
      </c>
      <c r="L2210" s="6">
        <v>1366</v>
      </c>
      <c r="M2210" s="125">
        <f t="shared" si="44"/>
        <v>-18.5</v>
      </c>
      <c r="N2210" s="18"/>
      <c r="O2210" s="135"/>
      <c r="P2210" s="175">
        <v>12900</v>
      </c>
      <c r="Q2210" s="25">
        <v>0.1263</v>
      </c>
      <c r="U2210" s="384">
        <v>0</v>
      </c>
      <c r="V2210" s="207"/>
      <c r="W2210" s="285">
        <f t="shared" si="43"/>
        <v>1629.27</v>
      </c>
    </row>
    <row r="2211" spans="1:23" ht="15" customHeight="1">
      <c r="A2211" s="3">
        <v>38987</v>
      </c>
      <c r="B2211" s="9">
        <v>40750</v>
      </c>
      <c r="C2211" s="5">
        <v>5150</v>
      </c>
      <c r="D2211" s="5" t="e">
        <f>E2211-(#REF!+C2211)</f>
        <v>#REF!</v>
      </c>
      <c r="E2211" s="5">
        <v>62925</v>
      </c>
      <c r="K2211" s="22">
        <v>1405</v>
      </c>
      <c r="L2211" s="6">
        <v>1390</v>
      </c>
      <c r="M2211" s="125">
        <f t="shared" si="44"/>
        <v>-15</v>
      </c>
      <c r="N2211" s="18"/>
      <c r="O2211" s="135"/>
      <c r="P2211" s="175">
        <v>12650</v>
      </c>
      <c r="Q2211" s="25">
        <v>0.1263</v>
      </c>
      <c r="U2211" s="384">
        <v>0</v>
      </c>
      <c r="V2211" s="207"/>
      <c r="W2211" s="285">
        <f t="shared" si="43"/>
        <v>1597.6949999999999</v>
      </c>
    </row>
    <row r="2212" spans="1:23" ht="15" customHeight="1">
      <c r="A2212" s="3">
        <v>38988</v>
      </c>
      <c r="B2212" s="9">
        <v>40525</v>
      </c>
      <c r="C2212" s="5">
        <v>4725</v>
      </c>
      <c r="D2212" s="5" t="e">
        <f>E2212-(#REF!+C2212)</f>
        <v>#REF!</v>
      </c>
      <c r="E2212" s="5">
        <v>62500</v>
      </c>
      <c r="K2212" s="22">
        <v>1415</v>
      </c>
      <c r="L2212" s="6">
        <v>1390</v>
      </c>
      <c r="M2212" s="125">
        <f t="shared" si="44"/>
        <v>-25</v>
      </c>
      <c r="N2212" s="18"/>
      <c r="O2212" s="135"/>
      <c r="P2212" s="175">
        <v>12475</v>
      </c>
      <c r="Q2212" s="25">
        <v>0.1265</v>
      </c>
      <c r="U2212" s="384">
        <v>0</v>
      </c>
      <c r="V2212" s="207"/>
      <c r="W2212" s="285">
        <f t="shared" si="43"/>
        <v>1578.0875000000001</v>
      </c>
    </row>
    <row r="2213" spans="1:23" ht="15" customHeight="1" thickBot="1">
      <c r="A2213" s="11">
        <v>38989</v>
      </c>
      <c r="B2213" s="9">
        <v>39275</v>
      </c>
      <c r="C2213" s="13">
        <v>3050</v>
      </c>
      <c r="D2213" s="13" t="e">
        <f>E2213-(#REF!+C2213)</f>
        <v>#REF!</v>
      </c>
      <c r="E2213" s="13">
        <v>60725</v>
      </c>
      <c r="F2213" s="12"/>
      <c r="G2213" s="13"/>
      <c r="H2213" s="13"/>
      <c r="I2213" s="119"/>
      <c r="J2213" s="119"/>
      <c r="K2213" s="23">
        <v>1425</v>
      </c>
      <c r="L2213" s="14">
        <v>1400</v>
      </c>
      <c r="M2213" s="126">
        <f t="shared" si="44"/>
        <v>-25</v>
      </c>
      <c r="N2213" s="19">
        <f>AVERAGE(K2193:K2213)</f>
        <v>1342.3809523809523</v>
      </c>
      <c r="O2213" s="136"/>
      <c r="P2213" s="176">
        <v>12700</v>
      </c>
      <c r="Q2213" s="27">
        <v>0.12659999999999999</v>
      </c>
      <c r="R2213" s="27"/>
      <c r="S2213" s="27"/>
      <c r="T2213" s="27"/>
      <c r="U2213" s="385">
        <v>0</v>
      </c>
      <c r="V2213" s="284">
        <f>AVERAGE(P2193:P2213)</f>
        <v>13289.285714285714</v>
      </c>
      <c r="W2213" s="285">
        <f t="shared" si="43"/>
        <v>1607.82</v>
      </c>
    </row>
    <row r="2214" spans="1:23" ht="15" customHeight="1">
      <c r="A2214" s="3">
        <v>38992</v>
      </c>
      <c r="B2214" s="9">
        <v>38825</v>
      </c>
      <c r="C2214" s="5">
        <v>2375</v>
      </c>
      <c r="D2214" s="5" t="e">
        <f>E2214-(#REF!+C2214)</f>
        <v>#REF!</v>
      </c>
      <c r="E2214" s="5">
        <v>60050</v>
      </c>
      <c r="K2214" s="22">
        <v>1411</v>
      </c>
      <c r="L2214" s="6">
        <v>1392</v>
      </c>
      <c r="M2214" s="125">
        <f t="shared" si="44"/>
        <v>-19</v>
      </c>
      <c r="N2214" s="18"/>
      <c r="O2214" s="135"/>
      <c r="P2214" s="177">
        <v>13000</v>
      </c>
      <c r="Q2214" s="25">
        <v>0.12640000000000001</v>
      </c>
      <c r="U2214" s="384">
        <v>0</v>
      </c>
      <c r="W2214" s="285">
        <f t="shared" si="43"/>
        <v>1643.2000000000003</v>
      </c>
    </row>
    <row r="2215" spans="1:23" ht="15" customHeight="1">
      <c r="A2215" s="3">
        <v>38993</v>
      </c>
      <c r="B2215" s="9">
        <v>36600</v>
      </c>
      <c r="C2215" s="5">
        <v>9750</v>
      </c>
      <c r="D2215" s="5" t="e">
        <f>E2215-(#REF!+C2215)</f>
        <v>#REF!</v>
      </c>
      <c r="E2215" s="5">
        <v>57425</v>
      </c>
      <c r="K2215" s="22">
        <v>1414</v>
      </c>
      <c r="L2215" s="6">
        <v>1390</v>
      </c>
      <c r="M2215" s="125">
        <f t="shared" si="44"/>
        <v>-24</v>
      </c>
      <c r="N2215" s="18"/>
      <c r="O2215" s="135"/>
      <c r="P2215" s="177">
        <v>13000</v>
      </c>
      <c r="Q2215" s="25">
        <v>0.12640000000000001</v>
      </c>
      <c r="U2215" s="384">
        <v>0</v>
      </c>
      <c r="W2215" s="285">
        <f t="shared" si="43"/>
        <v>1643.2000000000003</v>
      </c>
    </row>
    <row r="2216" spans="1:23" ht="15" customHeight="1">
      <c r="A2216" s="3">
        <v>38994</v>
      </c>
      <c r="B2216" s="9">
        <v>36225</v>
      </c>
      <c r="C2216" s="5">
        <v>7275</v>
      </c>
      <c r="D2216" s="5" t="e">
        <f>E2216-(#REF!+C2216)</f>
        <v>#REF!</v>
      </c>
      <c r="E2216" s="5">
        <v>54950</v>
      </c>
      <c r="K2216" s="22">
        <v>1430</v>
      </c>
      <c r="L2216" s="6">
        <v>1398</v>
      </c>
      <c r="M2216" s="125">
        <f t="shared" si="44"/>
        <v>-32</v>
      </c>
      <c r="N2216" s="18"/>
      <c r="O2216" s="135"/>
      <c r="P2216" s="177">
        <v>13000</v>
      </c>
      <c r="Q2216" s="25">
        <v>0.12640000000000001</v>
      </c>
      <c r="U2216" s="384">
        <v>0</v>
      </c>
      <c r="W2216" s="285">
        <f t="shared" si="43"/>
        <v>1643.2000000000003</v>
      </c>
    </row>
    <row r="2217" spans="1:23" ht="15" customHeight="1">
      <c r="A2217" s="3">
        <v>38995</v>
      </c>
      <c r="B2217" s="9">
        <v>34750</v>
      </c>
      <c r="C2217" s="5">
        <v>3425</v>
      </c>
      <c r="D2217" s="5" t="e">
        <f>E2217-(#REF!+C2217)</f>
        <v>#REF!</v>
      </c>
      <c r="E2217" s="5">
        <v>51100</v>
      </c>
      <c r="K2217" s="22">
        <v>1459</v>
      </c>
      <c r="L2217" s="6">
        <v>1401</v>
      </c>
      <c r="M2217" s="125">
        <f t="shared" si="44"/>
        <v>-58</v>
      </c>
      <c r="N2217" s="18"/>
      <c r="O2217" s="135"/>
      <c r="P2217" s="177">
        <v>13000</v>
      </c>
      <c r="Q2217" s="25">
        <v>0.12640000000000001</v>
      </c>
      <c r="U2217" s="384">
        <v>0</v>
      </c>
      <c r="W2217" s="285">
        <f t="shared" si="43"/>
        <v>1643.2000000000003</v>
      </c>
    </row>
    <row r="2218" spans="1:23" ht="15" customHeight="1">
      <c r="A2218" s="3">
        <v>38996</v>
      </c>
      <c r="B2218" s="9">
        <v>34750</v>
      </c>
      <c r="C2218" s="5">
        <v>3425</v>
      </c>
      <c r="D2218" s="5" t="e">
        <f>E2218-(#REF!+C2218)</f>
        <v>#REF!</v>
      </c>
      <c r="E2218" s="5">
        <v>51100</v>
      </c>
      <c r="K2218" s="22">
        <v>1475.5</v>
      </c>
      <c r="L2218" s="6">
        <v>1415</v>
      </c>
      <c r="M2218" s="125">
        <f t="shared" si="44"/>
        <v>-60.5</v>
      </c>
      <c r="N2218" s="18"/>
      <c r="O2218" s="135"/>
      <c r="P2218" s="177">
        <v>13000</v>
      </c>
      <c r="Q2218" s="25">
        <v>0.12640000000000001</v>
      </c>
      <c r="U2218" s="384">
        <v>0</v>
      </c>
      <c r="W2218" s="285">
        <f t="shared" si="43"/>
        <v>1643.2000000000003</v>
      </c>
    </row>
    <row r="2219" spans="1:23" ht="15" customHeight="1">
      <c r="A2219" s="3">
        <v>38999</v>
      </c>
      <c r="B2219" s="9">
        <v>33825</v>
      </c>
      <c r="C2219" s="5">
        <v>12300</v>
      </c>
      <c r="D2219" s="5" t="e">
        <f>E2219-(#REF!+C2219)</f>
        <v>#REF!</v>
      </c>
      <c r="E2219" s="5">
        <v>49975</v>
      </c>
      <c r="K2219" s="22">
        <v>1485.5</v>
      </c>
      <c r="L2219" s="6">
        <v>1430</v>
      </c>
      <c r="M2219" s="125">
        <f t="shared" si="44"/>
        <v>-55.5</v>
      </c>
      <c r="N2219" s="18"/>
      <c r="O2219" s="135"/>
      <c r="P2219" s="175">
        <v>13000</v>
      </c>
      <c r="Q2219" s="25">
        <v>0.12640000000000001</v>
      </c>
      <c r="U2219" s="384">
        <v>0</v>
      </c>
      <c r="W2219" s="285">
        <f t="shared" si="43"/>
        <v>1643.2000000000003</v>
      </c>
    </row>
    <row r="2220" spans="1:23" ht="15" customHeight="1">
      <c r="A2220" s="3">
        <v>39000</v>
      </c>
      <c r="B2220" s="9">
        <v>32100</v>
      </c>
      <c r="C2220" s="5">
        <v>10425</v>
      </c>
      <c r="D2220" s="5" t="e">
        <f>E2220-(#REF!+C2220)</f>
        <v>#REF!</v>
      </c>
      <c r="E2220" s="5">
        <v>48100</v>
      </c>
      <c r="K2220" s="22">
        <v>1482</v>
      </c>
      <c r="L2220" s="6">
        <v>1425</v>
      </c>
      <c r="M2220" s="125">
        <f t="shared" si="44"/>
        <v>-57</v>
      </c>
      <c r="N2220" s="18"/>
      <c r="O2220" s="135"/>
      <c r="P2220" s="175">
        <v>13200</v>
      </c>
      <c r="Q2220" s="25">
        <v>0.12640000000000001</v>
      </c>
      <c r="U2220" s="384">
        <v>0</v>
      </c>
      <c r="W2220" s="285">
        <f t="shared" si="43"/>
        <v>1668.4800000000002</v>
      </c>
    </row>
    <row r="2221" spans="1:23" ht="15" customHeight="1">
      <c r="A2221" s="3">
        <v>39001</v>
      </c>
      <c r="B2221" s="9">
        <v>32000</v>
      </c>
      <c r="C2221" s="5">
        <v>10275</v>
      </c>
      <c r="D2221" s="5" t="e">
        <f>E2221-(#REF!+C2221)</f>
        <v>#REF!</v>
      </c>
      <c r="E2221" s="5">
        <v>47950</v>
      </c>
      <c r="K2221" s="22">
        <v>1510</v>
      </c>
      <c r="L2221" s="6">
        <v>1445</v>
      </c>
      <c r="M2221" s="125">
        <f t="shared" si="44"/>
        <v>-65</v>
      </c>
      <c r="N2221" s="18"/>
      <c r="O2221" s="135"/>
      <c r="P2221" s="175">
        <v>13350</v>
      </c>
      <c r="Q2221" s="25">
        <v>0.12640000000000001</v>
      </c>
      <c r="U2221" s="384">
        <v>0</v>
      </c>
      <c r="W2221" s="285">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25">
        <f t="shared" si="44"/>
        <v>-64</v>
      </c>
      <c r="N2222" s="18"/>
      <c r="O2222" s="135"/>
      <c r="P2222" s="175">
        <v>13550</v>
      </c>
      <c r="Q2222" s="25">
        <v>0.1263</v>
      </c>
      <c r="U2222" s="384">
        <v>0</v>
      </c>
      <c r="W2222" s="285">
        <f t="shared" si="45"/>
        <v>1711.365</v>
      </c>
    </row>
    <row r="2223" spans="1:23" ht="15" customHeight="1">
      <c r="A2223" s="3">
        <v>39003</v>
      </c>
      <c r="B2223" s="9">
        <v>31675</v>
      </c>
      <c r="C2223" s="5">
        <v>9700</v>
      </c>
      <c r="D2223" s="5" t="e">
        <f>E2223-(#REF!+C2223)</f>
        <v>#REF!</v>
      </c>
      <c r="E2223" s="5">
        <v>47375</v>
      </c>
      <c r="K2223" s="22">
        <v>1594</v>
      </c>
      <c r="L2223" s="6">
        <v>1508</v>
      </c>
      <c r="M2223" s="125">
        <f t="shared" si="44"/>
        <v>-86</v>
      </c>
      <c r="N2223" s="18"/>
      <c r="O2223" s="135"/>
      <c r="P2223" s="175">
        <v>14000</v>
      </c>
      <c r="Q2223" s="25">
        <v>0.1263</v>
      </c>
      <c r="U2223" s="384">
        <v>0</v>
      </c>
      <c r="W2223" s="285">
        <f t="shared" si="45"/>
        <v>1768.2</v>
      </c>
    </row>
    <row r="2224" spans="1:23" ht="15" customHeight="1">
      <c r="A2224" s="3">
        <v>39006</v>
      </c>
      <c r="B2224" s="9">
        <v>30950</v>
      </c>
      <c r="C2224" s="5">
        <v>10125</v>
      </c>
      <c r="D2224" s="5" t="e">
        <f>E2224-(#REF!+C2224)</f>
        <v>#REF!</v>
      </c>
      <c r="E2224" s="5">
        <v>47175</v>
      </c>
      <c r="K2224" s="22">
        <v>1550</v>
      </c>
      <c r="L2224" s="6">
        <v>1495</v>
      </c>
      <c r="M2224" s="125">
        <f t="shared" si="44"/>
        <v>-55</v>
      </c>
      <c r="N2224" s="18"/>
      <c r="O2224" s="135"/>
      <c r="P2224" s="175">
        <v>14300</v>
      </c>
      <c r="Q2224" s="25">
        <v>0.12640000000000001</v>
      </c>
      <c r="U2224" s="384">
        <v>0</v>
      </c>
      <c r="W2224" s="285">
        <f t="shared" si="45"/>
        <v>1807.5200000000002</v>
      </c>
    </row>
    <row r="2225" spans="1:23" ht="15" customHeight="1">
      <c r="A2225" s="3">
        <v>39007</v>
      </c>
      <c r="B2225" s="9">
        <v>30825</v>
      </c>
      <c r="C2225" s="5">
        <v>10325</v>
      </c>
      <c r="D2225" s="5" t="e">
        <f>E2225-(#REF!+C2225)</f>
        <v>#REF!</v>
      </c>
      <c r="E2225" s="5">
        <v>47150</v>
      </c>
      <c r="K2225" s="22">
        <v>1580</v>
      </c>
      <c r="L2225" s="6">
        <v>1515</v>
      </c>
      <c r="M2225" s="125">
        <f t="shared" si="44"/>
        <v>-65</v>
      </c>
      <c r="N2225" s="18"/>
      <c r="O2225" s="135"/>
      <c r="P2225" s="175">
        <v>14300</v>
      </c>
      <c r="Q2225" s="25">
        <v>0.1263</v>
      </c>
      <c r="U2225" s="384">
        <v>0</v>
      </c>
      <c r="W2225" s="285">
        <f t="shared" si="45"/>
        <v>1806.09</v>
      </c>
    </row>
    <row r="2226" spans="1:23" ht="15" customHeight="1">
      <c r="A2226" s="3">
        <v>39008</v>
      </c>
      <c r="B2226" s="9">
        <v>31425</v>
      </c>
      <c r="C2226" s="5">
        <v>10375</v>
      </c>
      <c r="D2226" s="5" t="e">
        <f>E2226-(#REF!+C2226)</f>
        <v>#REF!</v>
      </c>
      <c r="E2226" s="5">
        <v>47200</v>
      </c>
      <c r="K2226" s="22">
        <v>1535</v>
      </c>
      <c r="L2226" s="6">
        <v>1483</v>
      </c>
      <c r="M2226" s="125">
        <f t="shared" si="44"/>
        <v>-52</v>
      </c>
      <c r="N2226" s="18"/>
      <c r="O2226" s="135"/>
      <c r="P2226" s="175">
        <v>14300</v>
      </c>
      <c r="Q2226" s="25">
        <v>0.12640000000000001</v>
      </c>
      <c r="U2226" s="384">
        <v>0</v>
      </c>
      <c r="W2226" s="285">
        <f t="shared" si="45"/>
        <v>1807.5200000000002</v>
      </c>
    </row>
    <row r="2227" spans="1:23" ht="15" customHeight="1">
      <c r="A2227" s="3">
        <v>39009</v>
      </c>
      <c r="B2227" s="9">
        <v>31475</v>
      </c>
      <c r="C2227" s="5">
        <v>10500</v>
      </c>
      <c r="D2227" s="5" t="e">
        <f>E2227-(#REF!+C2227)</f>
        <v>#REF!</v>
      </c>
      <c r="E2227" s="5">
        <v>47275</v>
      </c>
      <c r="K2227" s="22">
        <v>1535</v>
      </c>
      <c r="L2227" s="6">
        <v>1502</v>
      </c>
      <c r="M2227" s="125">
        <f t="shared" si="44"/>
        <v>-33</v>
      </c>
      <c r="N2227" s="18"/>
      <c r="O2227" s="135"/>
      <c r="P2227" s="175">
        <v>14250</v>
      </c>
      <c r="Q2227" s="25">
        <v>0.126</v>
      </c>
      <c r="U2227" s="384">
        <v>0</v>
      </c>
      <c r="W2227" s="285">
        <f t="shared" si="45"/>
        <v>1795.5</v>
      </c>
    </row>
    <row r="2228" spans="1:23" ht="15" customHeight="1">
      <c r="A2228" s="3">
        <v>39010</v>
      </c>
      <c r="B2228" s="9">
        <v>31925</v>
      </c>
      <c r="C2228" s="5">
        <v>10925</v>
      </c>
      <c r="D2228" s="5" t="e">
        <f>E2228-(#REF!+C2228)</f>
        <v>#REF!</v>
      </c>
      <c r="E2228" s="5">
        <v>47700</v>
      </c>
      <c r="K2228" s="22">
        <v>1524</v>
      </c>
      <c r="L2228" s="6">
        <v>1499</v>
      </c>
      <c r="M2228" s="125">
        <f t="shared" si="44"/>
        <v>-25</v>
      </c>
      <c r="N2228" s="18"/>
      <c r="O2228" s="135"/>
      <c r="P2228" s="175">
        <v>14150</v>
      </c>
      <c r="Q2228" s="25">
        <v>0.12640000000000001</v>
      </c>
      <c r="U2228" s="384">
        <v>0</v>
      </c>
      <c r="W2228" s="285">
        <f t="shared" si="45"/>
        <v>1788.5600000000002</v>
      </c>
    </row>
    <row r="2229" spans="1:23" ht="15" customHeight="1">
      <c r="A2229" s="3">
        <v>39013</v>
      </c>
      <c r="B2229" s="9">
        <v>31850</v>
      </c>
      <c r="C2229" s="5">
        <v>10075</v>
      </c>
      <c r="D2229" s="5" t="e">
        <f>E2229-(#REF!+C2229)</f>
        <v>#REF!</v>
      </c>
      <c r="E2229" s="5">
        <v>46850</v>
      </c>
      <c r="K2229" s="22">
        <v>1532</v>
      </c>
      <c r="L2229" s="6">
        <v>1515</v>
      </c>
      <c r="M2229" s="125">
        <f t="shared" si="44"/>
        <v>-17</v>
      </c>
      <c r="N2229" s="18"/>
      <c r="O2229" s="135"/>
      <c r="P2229" s="175">
        <v>14000</v>
      </c>
      <c r="Q2229" s="25">
        <v>0.12659999999999999</v>
      </c>
      <c r="U2229" s="384">
        <v>0</v>
      </c>
      <c r="W2229" s="285">
        <f t="shared" si="45"/>
        <v>1772.3999999999999</v>
      </c>
    </row>
    <row r="2230" spans="1:23" ht="15" customHeight="1">
      <c r="A2230" s="3">
        <v>39014</v>
      </c>
      <c r="B2230" s="9">
        <v>31850</v>
      </c>
      <c r="C2230" s="5">
        <v>9350</v>
      </c>
      <c r="D2230" s="5" t="e">
        <f>E2230-(#REF!+C2230)</f>
        <v>#REF!</v>
      </c>
      <c r="E2230" s="5">
        <v>46125</v>
      </c>
      <c r="K2230" s="22">
        <v>1530</v>
      </c>
      <c r="L2230" s="6">
        <v>1515</v>
      </c>
      <c r="M2230" s="125">
        <f t="shared" si="44"/>
        <v>-15</v>
      </c>
      <c r="N2230" s="18"/>
      <c r="O2230" s="135"/>
      <c r="P2230" s="175">
        <v>13875</v>
      </c>
      <c r="Q2230" s="25">
        <v>0.12659999999999999</v>
      </c>
      <c r="U2230" s="384">
        <v>0</v>
      </c>
      <c r="W2230" s="285">
        <f t="shared" si="45"/>
        <v>1756.5749999999998</v>
      </c>
    </row>
    <row r="2231" spans="1:23" ht="15" customHeight="1">
      <c r="A2231" s="3">
        <v>39015</v>
      </c>
      <c r="B2231" s="9">
        <v>31850</v>
      </c>
      <c r="C2231" s="5">
        <v>8550</v>
      </c>
      <c r="D2231" s="5" t="e">
        <f>E2231-(#REF!+C2231)</f>
        <v>#REF!</v>
      </c>
      <c r="E2231" s="5">
        <v>45325</v>
      </c>
      <c r="K2231" s="22">
        <v>1590.5</v>
      </c>
      <c r="L2231" s="6">
        <v>1570</v>
      </c>
      <c r="M2231" s="125">
        <f t="shared" ref="M2231:M2294" si="46">L2231-K2231</f>
        <v>-20.5</v>
      </c>
      <c r="N2231" s="18"/>
      <c r="O2231" s="135"/>
      <c r="P2231" s="175">
        <v>13800</v>
      </c>
      <c r="Q2231" s="25">
        <v>0.1265</v>
      </c>
      <c r="U2231" s="384">
        <v>0</v>
      </c>
      <c r="W2231" s="285">
        <f t="shared" si="45"/>
        <v>1745.7</v>
      </c>
    </row>
    <row r="2232" spans="1:23" ht="15" customHeight="1">
      <c r="A2232" s="3">
        <v>39016</v>
      </c>
      <c r="B2232" s="9">
        <v>31700</v>
      </c>
      <c r="C2232" s="5">
        <v>8175</v>
      </c>
      <c r="D2232" s="5" t="e">
        <f>E2232-(#REF!+C2232)</f>
        <v>#REF!</v>
      </c>
      <c r="E2232" s="5">
        <v>44950</v>
      </c>
      <c r="K2232" s="22">
        <v>1588</v>
      </c>
      <c r="L2232" s="6">
        <v>1570</v>
      </c>
      <c r="M2232" s="125">
        <f t="shared" si="46"/>
        <v>-18</v>
      </c>
      <c r="N2232" s="18"/>
      <c r="O2232" s="135"/>
      <c r="P2232" s="175">
        <v>13700</v>
      </c>
      <c r="Q2232" s="25">
        <v>0.12659999999999999</v>
      </c>
      <c r="U2232" s="384">
        <v>0</v>
      </c>
      <c r="W2232" s="285">
        <f t="shared" si="45"/>
        <v>1734.4199999999998</v>
      </c>
    </row>
    <row r="2233" spans="1:23" ht="15" customHeight="1">
      <c r="A2233" s="3">
        <v>39017</v>
      </c>
      <c r="B2233" s="9">
        <v>32175</v>
      </c>
      <c r="C2233" s="5">
        <v>8750</v>
      </c>
      <c r="D2233" s="5" t="e">
        <f>E2233-(#REF!+C2233)</f>
        <v>#REF!</v>
      </c>
      <c r="E2233" s="5">
        <v>45425</v>
      </c>
      <c r="K2233" s="22">
        <v>1650</v>
      </c>
      <c r="L2233" s="6">
        <v>1620</v>
      </c>
      <c r="M2233" s="125">
        <f t="shared" si="46"/>
        <v>-30</v>
      </c>
      <c r="N2233" s="18"/>
      <c r="O2233" s="135"/>
      <c r="P2233" s="175">
        <v>13875</v>
      </c>
      <c r="Q2233" s="25">
        <v>0.12670000000000001</v>
      </c>
      <c r="U2233" s="384">
        <v>0</v>
      </c>
      <c r="W2233" s="285">
        <f t="shared" si="45"/>
        <v>1757.9625000000001</v>
      </c>
    </row>
    <row r="2234" spans="1:23" ht="15" customHeight="1">
      <c r="A2234" s="3">
        <v>39020</v>
      </c>
      <c r="B2234" s="9">
        <v>31400</v>
      </c>
      <c r="C2234" s="5">
        <v>8150</v>
      </c>
      <c r="D2234" s="5" t="e">
        <f>E2234-(#REF!+C2234)</f>
        <v>#REF!</v>
      </c>
      <c r="E2234" s="5">
        <v>44725</v>
      </c>
      <c r="K2234" s="22">
        <v>1630</v>
      </c>
      <c r="L2234" s="6">
        <v>1589</v>
      </c>
      <c r="M2234" s="125">
        <f t="shared" si="46"/>
        <v>-41</v>
      </c>
      <c r="N2234" s="18"/>
      <c r="O2234" s="135"/>
      <c r="P2234" s="175">
        <v>14350</v>
      </c>
      <c r="Q2234" s="25">
        <v>0.1268</v>
      </c>
      <c r="U2234" s="384">
        <v>0</v>
      </c>
      <c r="W2234" s="285">
        <f t="shared" si="45"/>
        <v>1819.58</v>
      </c>
    </row>
    <row r="2235" spans="1:23" ht="15" customHeight="1" thickBot="1">
      <c r="A2235" s="11">
        <v>39021</v>
      </c>
      <c r="B2235" s="9">
        <v>31925</v>
      </c>
      <c r="C2235" s="13">
        <v>8625</v>
      </c>
      <c r="D2235" s="13" t="e">
        <f>E2235-(#REF!+C2235)</f>
        <v>#REF!</v>
      </c>
      <c r="E2235" s="13">
        <v>45200</v>
      </c>
      <c r="F2235" s="12"/>
      <c r="G2235" s="13"/>
      <c r="H2235" s="13"/>
      <c r="I2235" s="119"/>
      <c r="J2235" s="119"/>
      <c r="K2235" s="23">
        <v>1655.5</v>
      </c>
      <c r="L2235" s="14">
        <v>1625</v>
      </c>
      <c r="M2235" s="126">
        <f t="shared" si="46"/>
        <v>-30.5</v>
      </c>
      <c r="N2235" s="19">
        <f>AVERAGE(K2214:K2235)</f>
        <v>1531.1363636363637</v>
      </c>
      <c r="O2235" s="136"/>
      <c r="P2235" s="176">
        <v>14900</v>
      </c>
      <c r="Q2235" s="27">
        <v>0.12690000000000001</v>
      </c>
      <c r="R2235" s="27"/>
      <c r="S2235" s="27"/>
      <c r="T2235" s="27"/>
      <c r="U2235" s="385">
        <v>0</v>
      </c>
      <c r="V2235" s="38">
        <f>AVERAGE(P2219:P2235)</f>
        <v>13935.294117647059</v>
      </c>
      <c r="W2235" s="285">
        <f t="shared" si="45"/>
        <v>1890.8100000000002</v>
      </c>
    </row>
    <row r="2236" spans="1:23" ht="15" customHeight="1">
      <c r="A2236" s="3">
        <v>39022</v>
      </c>
      <c r="B2236" s="9">
        <v>32550</v>
      </c>
      <c r="C2236" s="5">
        <v>9725</v>
      </c>
      <c r="D2236" s="5" t="e">
        <f>E2236-(#REF!+C2236)</f>
        <v>#REF!</v>
      </c>
      <c r="E2236" s="5">
        <v>46050</v>
      </c>
      <c r="K2236" s="22">
        <v>1675</v>
      </c>
      <c r="L2236" s="6">
        <v>1655</v>
      </c>
      <c r="M2236" s="125">
        <f t="shared" si="46"/>
        <v>-20</v>
      </c>
      <c r="N2236" s="20"/>
      <c r="O2236" s="138"/>
      <c r="P2236" s="175">
        <v>14928</v>
      </c>
      <c r="Q2236" s="25">
        <v>0.12690000000000001</v>
      </c>
      <c r="U2236" s="384">
        <v>0</v>
      </c>
      <c r="W2236" s="285">
        <f t="shared" si="45"/>
        <v>1894.3632000000002</v>
      </c>
    </row>
    <row r="2237" spans="1:23" ht="15" customHeight="1">
      <c r="A2237" s="3">
        <v>39023</v>
      </c>
      <c r="B2237" s="9">
        <v>33450</v>
      </c>
      <c r="C2237" s="5">
        <v>10825</v>
      </c>
      <c r="D2237" s="5" t="e">
        <f>E2237-(#REF!+C2237)</f>
        <v>#REF!</v>
      </c>
      <c r="E2237" s="5">
        <v>47050</v>
      </c>
      <c r="K2237" s="22">
        <v>1685</v>
      </c>
      <c r="L2237" s="6">
        <v>1652</v>
      </c>
      <c r="M2237" s="125">
        <f t="shared" si="46"/>
        <v>-33</v>
      </c>
      <c r="N2237" s="18"/>
      <c r="O2237" s="135"/>
      <c r="P2237" s="175">
        <v>15075</v>
      </c>
      <c r="Q2237" s="25">
        <v>0.127</v>
      </c>
      <c r="U2237" s="384">
        <v>0</v>
      </c>
      <c r="W2237" s="285">
        <f t="shared" si="45"/>
        <v>1914.5250000000001</v>
      </c>
    </row>
    <row r="2238" spans="1:23" ht="15" customHeight="1">
      <c r="A2238" s="3">
        <v>39024</v>
      </c>
      <c r="B2238" s="9">
        <v>34000</v>
      </c>
      <c r="C2238" s="5">
        <v>11675</v>
      </c>
      <c r="D2238" s="5" t="e">
        <f>E2238-(#REF!+C2238)</f>
        <v>#REF!</v>
      </c>
      <c r="E2238" s="5">
        <v>47600</v>
      </c>
      <c r="K2238" s="22">
        <v>1710</v>
      </c>
      <c r="L2238" s="6">
        <v>1681</v>
      </c>
      <c r="M2238" s="125">
        <f t="shared" si="46"/>
        <v>-29</v>
      </c>
      <c r="N2238" s="18"/>
      <c r="O2238" s="135"/>
      <c r="P2238" s="175">
        <v>15075</v>
      </c>
      <c r="Q2238" s="25">
        <v>0.127</v>
      </c>
      <c r="U2238" s="384">
        <v>0</v>
      </c>
      <c r="W2238" s="285">
        <f t="shared" si="45"/>
        <v>1914.5250000000001</v>
      </c>
    </row>
    <row r="2239" spans="1:23" ht="15" customHeight="1">
      <c r="A2239" s="3">
        <v>39027</v>
      </c>
      <c r="B2239" s="9">
        <v>34475</v>
      </c>
      <c r="C2239" s="5">
        <v>11825</v>
      </c>
      <c r="D2239" s="5" t="e">
        <f>E2239-(#REF!+C2239)</f>
        <v>#REF!</v>
      </c>
      <c r="E2239" s="5">
        <v>47975</v>
      </c>
      <c r="K2239" s="22">
        <v>1724.5</v>
      </c>
      <c r="L2239" s="6">
        <v>1705</v>
      </c>
      <c r="M2239" s="125">
        <f t="shared" si="46"/>
        <v>-19.5</v>
      </c>
      <c r="N2239" s="18"/>
      <c r="O2239" s="135"/>
      <c r="P2239" s="175">
        <v>15075</v>
      </c>
      <c r="Q2239" s="25">
        <v>0.12690000000000001</v>
      </c>
      <c r="U2239" s="384">
        <v>0</v>
      </c>
      <c r="W2239" s="285">
        <f t="shared" si="45"/>
        <v>1913.0175000000002</v>
      </c>
    </row>
    <row r="2240" spans="1:23" ht="15" customHeight="1">
      <c r="A2240" s="3">
        <v>39028</v>
      </c>
      <c r="B2240" s="9">
        <v>33700</v>
      </c>
      <c r="C2240" s="5">
        <v>10950</v>
      </c>
      <c r="D2240" s="5" t="e">
        <f>E2240-(#REF!+C2240)</f>
        <v>#REF!</v>
      </c>
      <c r="E2240" s="5">
        <v>47050</v>
      </c>
      <c r="K2240" s="22">
        <v>1765</v>
      </c>
      <c r="L2240" s="6">
        <v>1740</v>
      </c>
      <c r="M2240" s="125">
        <f t="shared" si="46"/>
        <v>-25</v>
      </c>
      <c r="N2240" s="18"/>
      <c r="O2240" s="135"/>
      <c r="P2240" s="175">
        <v>14950</v>
      </c>
      <c r="Q2240" s="25">
        <v>0.12690000000000001</v>
      </c>
      <c r="U2240" s="384">
        <v>0</v>
      </c>
      <c r="W2240" s="285">
        <f t="shared" si="45"/>
        <v>1897.1550000000002</v>
      </c>
    </row>
    <row r="2241" spans="1:23" ht="15" customHeight="1">
      <c r="A2241" s="3">
        <v>39029</v>
      </c>
      <c r="B2241" s="9">
        <v>33025</v>
      </c>
      <c r="C2241" s="5">
        <v>10275</v>
      </c>
      <c r="D2241" s="5" t="e">
        <f>E2241-(#REF!+C2241)</f>
        <v>#REF!</v>
      </c>
      <c r="E2241" s="5">
        <v>46325</v>
      </c>
      <c r="K2241" s="22">
        <v>1764</v>
      </c>
      <c r="L2241" s="6">
        <v>1745</v>
      </c>
      <c r="M2241" s="125">
        <f t="shared" si="46"/>
        <v>-19</v>
      </c>
      <c r="N2241" s="18"/>
      <c r="O2241" s="135"/>
      <c r="P2241" s="175">
        <v>15000</v>
      </c>
      <c r="Q2241" s="25">
        <v>0.127</v>
      </c>
      <c r="U2241" s="384">
        <v>0</v>
      </c>
      <c r="W2241" s="285">
        <f t="shared" si="45"/>
        <v>1905</v>
      </c>
    </row>
    <row r="2242" spans="1:23" ht="15" customHeight="1">
      <c r="A2242" s="3">
        <v>39030</v>
      </c>
      <c r="B2242" s="9">
        <v>33225</v>
      </c>
      <c r="C2242" s="5">
        <v>10400</v>
      </c>
      <c r="D2242" s="5" t="e">
        <f>E2242-(#REF!+C2242)</f>
        <v>#REF!</v>
      </c>
      <c r="E2242" s="5">
        <v>46450</v>
      </c>
      <c r="K2242" s="22">
        <v>1742</v>
      </c>
      <c r="L2242" s="6">
        <v>1731</v>
      </c>
      <c r="M2242" s="125">
        <f t="shared" si="46"/>
        <v>-11</v>
      </c>
      <c r="N2242" s="18"/>
      <c r="O2242" s="135"/>
      <c r="P2242" s="175">
        <v>15000</v>
      </c>
      <c r="Q2242" s="25">
        <v>0.12709999999999999</v>
      </c>
      <c r="U2242" s="384">
        <v>0</v>
      </c>
      <c r="W2242" s="285">
        <f t="shared" si="45"/>
        <v>1906.4999999999998</v>
      </c>
    </row>
    <row r="2243" spans="1:23" ht="15" customHeight="1">
      <c r="A2243" s="3">
        <v>39031</v>
      </c>
      <c r="B2243" s="9">
        <v>32875</v>
      </c>
      <c r="C2243" s="5">
        <v>9900</v>
      </c>
      <c r="D2243" s="5" t="e">
        <f>E2243-(#REF!+C2243)</f>
        <v>#REF!</v>
      </c>
      <c r="E2243" s="5">
        <v>45950</v>
      </c>
      <c r="K2243" s="22">
        <v>1730.5</v>
      </c>
      <c r="L2243" s="6">
        <v>1715</v>
      </c>
      <c r="M2243" s="125">
        <f t="shared" si="46"/>
        <v>-15.5</v>
      </c>
      <c r="N2243" s="18"/>
      <c r="O2243" s="135"/>
      <c r="P2243" s="175">
        <v>15075</v>
      </c>
      <c r="Q2243" s="25">
        <v>0.12709999999999999</v>
      </c>
      <c r="U2243" s="384">
        <v>0</v>
      </c>
      <c r="W2243" s="285">
        <f t="shared" si="45"/>
        <v>1916.0324999999998</v>
      </c>
    </row>
    <row r="2244" spans="1:23" ht="15" customHeight="1">
      <c r="A2244" s="3">
        <v>39034</v>
      </c>
      <c r="B2244" s="9">
        <v>32650</v>
      </c>
      <c r="C2244" s="5">
        <v>9625</v>
      </c>
      <c r="D2244" s="5" t="e">
        <f>E2244-(#REF!+C2244)</f>
        <v>#REF!</v>
      </c>
      <c r="E2244" s="5">
        <v>45675</v>
      </c>
      <c r="K2244" s="22">
        <v>1539.5</v>
      </c>
      <c r="L2244" s="6">
        <v>1535</v>
      </c>
      <c r="M2244" s="125">
        <f t="shared" si="46"/>
        <v>-4.5</v>
      </c>
      <c r="N2244" s="18"/>
      <c r="O2244" s="135"/>
      <c r="P2244" s="175">
        <v>15075</v>
      </c>
      <c r="Q2244" s="25">
        <v>0.12720000000000001</v>
      </c>
      <c r="U2244" s="384">
        <v>0</v>
      </c>
      <c r="W2244" s="285">
        <f t="shared" si="45"/>
        <v>1917.5400000000002</v>
      </c>
    </row>
    <row r="2245" spans="1:23" ht="15" customHeight="1">
      <c r="A2245" s="3">
        <v>39035</v>
      </c>
      <c r="B2245" s="9">
        <v>32225</v>
      </c>
      <c r="C2245" s="5">
        <v>9075</v>
      </c>
      <c r="D2245" s="5" t="e">
        <f>E2245-(#REF!+C2245)</f>
        <v>#REF!</v>
      </c>
      <c r="E2245" s="5">
        <v>45125</v>
      </c>
      <c r="K2245" s="22">
        <v>1537</v>
      </c>
      <c r="L2245" s="6">
        <v>1528</v>
      </c>
      <c r="M2245" s="125">
        <f t="shared" si="46"/>
        <v>-9</v>
      </c>
      <c r="N2245" s="18"/>
      <c r="O2245" s="135"/>
      <c r="P2245" s="175">
        <v>14950</v>
      </c>
      <c r="Q2245" s="25">
        <v>0.12709999999999999</v>
      </c>
      <c r="U2245" s="384">
        <v>0</v>
      </c>
      <c r="W2245" s="285">
        <f t="shared" si="45"/>
        <v>1900.1449999999998</v>
      </c>
    </row>
    <row r="2246" spans="1:23" ht="15" customHeight="1">
      <c r="A2246" s="3">
        <v>39036</v>
      </c>
      <c r="B2246" s="9">
        <v>32825</v>
      </c>
      <c r="C2246" s="5">
        <v>9450</v>
      </c>
      <c r="D2246" s="5" t="e">
        <f>E2246-(#REF!+C2246)</f>
        <v>#REF!</v>
      </c>
      <c r="E2246" s="5">
        <v>45500</v>
      </c>
      <c r="K2246" s="22">
        <v>1470</v>
      </c>
      <c r="L2246" s="6">
        <v>1460</v>
      </c>
      <c r="M2246" s="125">
        <f t="shared" si="46"/>
        <v>-10</v>
      </c>
      <c r="N2246" s="18"/>
      <c r="O2246" s="135"/>
      <c r="P2246" s="175">
        <v>14750</v>
      </c>
      <c r="Q2246" s="25">
        <v>0.127</v>
      </c>
      <c r="U2246" s="384">
        <v>0</v>
      </c>
      <c r="W2246" s="285">
        <f t="shared" si="45"/>
        <v>1873.25</v>
      </c>
    </row>
    <row r="2247" spans="1:23" ht="15" customHeight="1">
      <c r="A2247" s="3">
        <v>39037</v>
      </c>
      <c r="B2247" s="9">
        <v>32800</v>
      </c>
      <c r="C2247" s="5">
        <v>9225</v>
      </c>
      <c r="D2247" s="5" t="e">
        <f>E2247-(#REF!+C2247)</f>
        <v>#REF!</v>
      </c>
      <c r="E2247" s="5">
        <v>45275</v>
      </c>
      <c r="K2247" s="22">
        <v>1559.5</v>
      </c>
      <c r="L2247" s="6">
        <v>1550</v>
      </c>
      <c r="M2247" s="125">
        <f t="shared" si="46"/>
        <v>-9.5</v>
      </c>
      <c r="N2247" s="18"/>
      <c r="O2247" s="135"/>
      <c r="P2247" s="175">
        <v>14700</v>
      </c>
      <c r="Q2247" s="25">
        <v>0.127</v>
      </c>
      <c r="U2247" s="384">
        <v>0</v>
      </c>
      <c r="W2247" s="285">
        <f t="shared" si="45"/>
        <v>1866.9</v>
      </c>
    </row>
    <row r="2248" spans="1:23" ht="15" customHeight="1">
      <c r="A2248" s="3">
        <v>39038</v>
      </c>
      <c r="B2248" s="9">
        <v>32400</v>
      </c>
      <c r="C2248" s="5">
        <v>8550</v>
      </c>
      <c r="D2248" s="5" t="e">
        <f>E2248-(#REF!+C2248)</f>
        <v>#REF!</v>
      </c>
      <c r="E2248" s="5">
        <v>44600</v>
      </c>
      <c r="K2248" s="22">
        <v>1515</v>
      </c>
      <c r="L2248" s="6">
        <v>1495</v>
      </c>
      <c r="M2248" s="125">
        <f t="shared" si="46"/>
        <v>-20</v>
      </c>
      <c r="N2248" s="18"/>
      <c r="O2248" s="135"/>
      <c r="P2248" s="175">
        <v>14700</v>
      </c>
      <c r="Q2248" s="25">
        <v>0.127</v>
      </c>
      <c r="U2248" s="384">
        <v>0</v>
      </c>
      <c r="W2248" s="285">
        <f t="shared" si="45"/>
        <v>1866.9</v>
      </c>
    </row>
    <row r="2249" spans="1:23" ht="15" customHeight="1">
      <c r="A2249" s="3">
        <v>39041</v>
      </c>
      <c r="B2249" s="9">
        <v>32675</v>
      </c>
      <c r="C2249" s="5">
        <v>8525</v>
      </c>
      <c r="D2249" s="5" t="e">
        <f>E2249-(#REF!+C2249)</f>
        <v>#REF!</v>
      </c>
      <c r="E2249" s="5">
        <v>44575</v>
      </c>
      <c r="K2249" s="22">
        <v>1539</v>
      </c>
      <c r="L2249" s="6">
        <v>1525</v>
      </c>
      <c r="M2249" s="125">
        <f t="shared" si="46"/>
        <v>-14</v>
      </c>
      <c r="N2249" s="18"/>
      <c r="O2249" s="135"/>
      <c r="P2249" s="175">
        <v>14525</v>
      </c>
      <c r="Q2249" s="25">
        <v>0.12709999999999999</v>
      </c>
      <c r="U2249" s="384">
        <v>0</v>
      </c>
      <c r="W2249" s="285">
        <f t="shared" si="45"/>
        <v>1846.1274999999998</v>
      </c>
    </row>
    <row r="2250" spans="1:23" ht="15" customHeight="1">
      <c r="A2250" s="3">
        <v>39042</v>
      </c>
      <c r="B2250" s="9">
        <v>32650</v>
      </c>
      <c r="C2250" s="5">
        <v>8275</v>
      </c>
      <c r="D2250" s="5" t="e">
        <f>E2250-(#REF!+C2250)</f>
        <v>#REF!</v>
      </c>
      <c r="E2250" s="5">
        <v>44325</v>
      </c>
      <c r="K2250" s="22">
        <v>1538</v>
      </c>
      <c r="L2250" s="6">
        <v>1525</v>
      </c>
      <c r="M2250" s="125">
        <f t="shared" si="46"/>
        <v>-13</v>
      </c>
      <c r="N2250" s="18"/>
      <c r="O2250" s="135"/>
      <c r="P2250" s="175">
        <v>14425</v>
      </c>
      <c r="Q2250" s="25">
        <v>0.12709999999999999</v>
      </c>
      <c r="U2250" s="384">
        <v>0</v>
      </c>
      <c r="W2250" s="285">
        <f t="shared" si="45"/>
        <v>1833.4174999999998</v>
      </c>
    </row>
    <row r="2251" spans="1:23" ht="15" customHeight="1">
      <c r="A2251" s="3">
        <v>39043</v>
      </c>
      <c r="B2251" s="9">
        <v>33525</v>
      </c>
      <c r="C2251" s="5">
        <v>8900</v>
      </c>
      <c r="D2251" s="5" t="e">
        <f>E2251-(#REF!+C2251)</f>
        <v>#REF!</v>
      </c>
      <c r="E2251" s="5">
        <v>44950</v>
      </c>
      <c r="K2251" s="22">
        <v>1594.5</v>
      </c>
      <c r="L2251" s="6">
        <v>1570</v>
      </c>
      <c r="M2251" s="125">
        <f t="shared" si="46"/>
        <v>-24.5</v>
      </c>
      <c r="N2251" s="18"/>
      <c r="O2251" s="135"/>
      <c r="P2251" s="175">
        <v>14525</v>
      </c>
      <c r="Q2251" s="25">
        <v>0.12709999999999999</v>
      </c>
      <c r="U2251" s="384">
        <v>0</v>
      </c>
      <c r="W2251" s="285">
        <f t="shared" si="45"/>
        <v>1846.1274999999998</v>
      </c>
    </row>
    <row r="2252" spans="1:23" ht="15" customHeight="1">
      <c r="A2252" s="3">
        <v>39044</v>
      </c>
      <c r="B2252" s="9">
        <v>34175</v>
      </c>
      <c r="C2252" s="5">
        <v>9300</v>
      </c>
      <c r="D2252" s="5" t="e">
        <f>E2252-(#REF!+C2252)</f>
        <v>#REF!</v>
      </c>
      <c r="E2252" s="5">
        <v>45350</v>
      </c>
      <c r="K2252" s="22">
        <v>1558</v>
      </c>
      <c r="L2252" s="6">
        <v>1537</v>
      </c>
      <c r="M2252" s="125">
        <f t="shared" si="46"/>
        <v>-21</v>
      </c>
      <c r="N2252" s="18"/>
      <c r="O2252" s="135"/>
      <c r="P2252" s="175">
        <v>14525</v>
      </c>
      <c r="Q2252" s="25">
        <v>0.12720000000000001</v>
      </c>
      <c r="U2252" s="384">
        <v>0</v>
      </c>
      <c r="W2252" s="285">
        <f t="shared" si="45"/>
        <v>1847.5800000000002</v>
      </c>
    </row>
    <row r="2253" spans="1:23" ht="15" customHeight="1">
      <c r="A2253" s="3">
        <v>39045</v>
      </c>
      <c r="B2253" s="9">
        <v>33500</v>
      </c>
      <c r="C2253" s="5">
        <v>8300</v>
      </c>
      <c r="D2253" s="5" t="e">
        <f>E2253-(#REF!+C2253)</f>
        <v>#REF!</v>
      </c>
      <c r="E2253" s="5">
        <v>44350</v>
      </c>
      <c r="K2253" s="22">
        <v>1604.5</v>
      </c>
      <c r="L2253" s="6">
        <v>1580</v>
      </c>
      <c r="M2253" s="125">
        <f t="shared" si="46"/>
        <v>-24.5</v>
      </c>
      <c r="N2253" s="18"/>
      <c r="O2253" s="135"/>
      <c r="P2253" s="175">
        <v>14525</v>
      </c>
      <c r="Q2253" s="25">
        <v>0.1273</v>
      </c>
      <c r="U2253" s="384">
        <v>0</v>
      </c>
      <c r="W2253" s="285">
        <f t="shared" si="45"/>
        <v>1849.0325</v>
      </c>
    </row>
    <row r="2254" spans="1:23" ht="15" customHeight="1">
      <c r="A2254" s="3">
        <v>39048</v>
      </c>
      <c r="B2254" s="9">
        <v>34250</v>
      </c>
      <c r="C2254" s="5">
        <v>8750</v>
      </c>
      <c r="D2254" s="5" t="e">
        <f>E2254-(#REF!+C2254)</f>
        <v>#REF!</v>
      </c>
      <c r="E2254" s="5">
        <v>44800</v>
      </c>
      <c r="K2254" s="22">
        <v>1598</v>
      </c>
      <c r="L2254" s="6">
        <v>1560</v>
      </c>
      <c r="M2254" s="125">
        <f t="shared" si="46"/>
        <v>-38</v>
      </c>
      <c r="N2254" s="18"/>
      <c r="O2254" s="135"/>
      <c r="P2254" s="175">
        <v>14550</v>
      </c>
      <c r="Q2254" s="25">
        <v>0.1275</v>
      </c>
      <c r="U2254" s="384">
        <v>0</v>
      </c>
      <c r="W2254" s="285">
        <f t="shared" si="45"/>
        <v>1855.125</v>
      </c>
    </row>
    <row r="2255" spans="1:23" ht="15" customHeight="1">
      <c r="A2255" s="3">
        <v>39049</v>
      </c>
      <c r="B2255" s="9">
        <v>35150</v>
      </c>
      <c r="C2255" s="5">
        <v>9525</v>
      </c>
      <c r="D2255" s="5" t="e">
        <f>E2255-(#REF!+C2255)</f>
        <v>#REF!</v>
      </c>
      <c r="E2255" s="5">
        <v>45575</v>
      </c>
      <c r="K2255" s="22">
        <v>1582</v>
      </c>
      <c r="L2255" s="6">
        <v>1575</v>
      </c>
      <c r="M2255" s="125">
        <f t="shared" si="46"/>
        <v>-7</v>
      </c>
      <c r="N2255" s="18"/>
      <c r="O2255" s="135"/>
      <c r="P2255" s="175">
        <v>14550</v>
      </c>
      <c r="Q2255" s="25">
        <v>0.12740000000000001</v>
      </c>
      <c r="U2255" s="384">
        <v>0</v>
      </c>
      <c r="W2255" s="285">
        <f t="shared" si="45"/>
        <v>1853.6700000000003</v>
      </c>
    </row>
    <row r="2256" spans="1:23" ht="15" customHeight="1">
      <c r="A2256" s="3">
        <v>39050</v>
      </c>
      <c r="B2256" s="9">
        <v>35250</v>
      </c>
      <c r="C2256" s="5">
        <v>9450</v>
      </c>
      <c r="D2256" s="5" t="e">
        <f>E2256-(#REF!+C2256)</f>
        <v>#REF!</v>
      </c>
      <c r="E2256" s="5">
        <v>45500</v>
      </c>
      <c r="K2256" s="22">
        <v>1634</v>
      </c>
      <c r="L2256" s="6">
        <v>1610</v>
      </c>
      <c r="M2256" s="125">
        <f t="shared" si="46"/>
        <v>-24</v>
      </c>
      <c r="N2256" s="18"/>
      <c r="O2256" s="135"/>
      <c r="P2256" s="175">
        <v>14525</v>
      </c>
      <c r="Q2256" s="25">
        <v>0.12759999999999999</v>
      </c>
      <c r="U2256" s="384">
        <v>0</v>
      </c>
      <c r="W2256" s="285">
        <f t="shared" si="45"/>
        <v>1853.3899999999999</v>
      </c>
    </row>
    <row r="2257" spans="1:23" ht="15" customHeight="1" thickBot="1">
      <c r="A2257" s="3">
        <v>39051</v>
      </c>
      <c r="B2257" s="9">
        <v>34950</v>
      </c>
      <c r="C2257" s="5">
        <v>7750</v>
      </c>
      <c r="D2257" s="5" t="e">
        <f>E2257-(#REF!+C2257)</f>
        <v>#REF!</v>
      </c>
      <c r="E2257" s="5">
        <v>43800</v>
      </c>
      <c r="K2257" s="22">
        <v>1674.5</v>
      </c>
      <c r="L2257" s="6">
        <v>1650</v>
      </c>
      <c r="M2257" s="126">
        <f t="shared" si="46"/>
        <v>-24.5</v>
      </c>
      <c r="N2257" s="18">
        <f>AVERAGE(K2236:K2257)</f>
        <v>1624.5227272727273</v>
      </c>
      <c r="O2257" s="135"/>
      <c r="P2257" s="175">
        <v>14525</v>
      </c>
      <c r="Q2257" s="25">
        <v>0.1275</v>
      </c>
      <c r="U2257" s="385">
        <v>0</v>
      </c>
      <c r="V2257" s="38">
        <f>AVERAGE(P2236:P2257)</f>
        <v>14774</v>
      </c>
      <c r="W2257" s="285">
        <f t="shared" si="45"/>
        <v>1851.9375</v>
      </c>
    </row>
    <row r="2258" spans="1:23" ht="15" customHeight="1">
      <c r="A2258" s="29">
        <v>39052</v>
      </c>
      <c r="B2258" s="9">
        <v>34450</v>
      </c>
      <c r="C2258" s="31">
        <v>7100</v>
      </c>
      <c r="D2258" s="31" t="e">
        <f>E2258-(#REF!+C2258)</f>
        <v>#REF!</v>
      </c>
      <c r="E2258" s="31">
        <v>43150</v>
      </c>
      <c r="F2258" s="30"/>
      <c r="G2258" s="31"/>
      <c r="H2258" s="31"/>
      <c r="I2258" s="123"/>
      <c r="J2258" s="123"/>
      <c r="K2258" s="32">
        <v>1705.5</v>
      </c>
      <c r="L2258" s="33">
        <v>1683</v>
      </c>
      <c r="M2258" s="125">
        <f t="shared" si="46"/>
        <v>-22.5</v>
      </c>
      <c r="N2258" s="20"/>
      <c r="O2258" s="138"/>
      <c r="P2258" s="178">
        <v>14575</v>
      </c>
      <c r="Q2258" s="34">
        <v>0.12770000000000001</v>
      </c>
      <c r="U2258" s="384">
        <v>0</v>
      </c>
      <c r="W2258" s="285">
        <f t="shared" si="45"/>
        <v>1861.2275000000002</v>
      </c>
    </row>
    <row r="2259" spans="1:23" ht="15" customHeight="1">
      <c r="A2259" s="3">
        <v>39055</v>
      </c>
      <c r="B2259" s="9">
        <v>33350</v>
      </c>
      <c r="C2259" s="5">
        <v>5775</v>
      </c>
      <c r="D2259" s="5" t="e">
        <f>E2259-(#REF!+C2259)</f>
        <v>#REF!</v>
      </c>
      <c r="E2259" s="5">
        <v>41825</v>
      </c>
      <c r="K2259" s="22">
        <v>1800</v>
      </c>
      <c r="L2259" s="6">
        <v>1735</v>
      </c>
      <c r="M2259" s="125">
        <f t="shared" si="46"/>
        <v>-65</v>
      </c>
      <c r="N2259" s="18"/>
      <c r="O2259" s="135"/>
      <c r="P2259" s="175">
        <v>14650</v>
      </c>
      <c r="Q2259" s="25">
        <v>0.1278</v>
      </c>
      <c r="U2259" s="384">
        <v>0</v>
      </c>
      <c r="W2259" s="285">
        <f t="shared" si="45"/>
        <v>1872.27</v>
      </c>
    </row>
    <row r="2260" spans="1:23" ht="15" customHeight="1">
      <c r="A2260" s="3">
        <v>39056</v>
      </c>
      <c r="B2260" s="9">
        <v>32800</v>
      </c>
      <c r="C2260" s="5">
        <v>5025</v>
      </c>
      <c r="D2260" s="5" t="e">
        <f>E2260-(#REF!+C2260)</f>
        <v>#REF!</v>
      </c>
      <c r="E2260" s="5">
        <v>41075</v>
      </c>
      <c r="K2260" s="22">
        <v>1786</v>
      </c>
      <c r="L2260" s="6">
        <v>1755</v>
      </c>
      <c r="M2260" s="125">
        <f t="shared" si="46"/>
        <v>-31</v>
      </c>
      <c r="N2260" s="18"/>
      <c r="O2260" s="135"/>
      <c r="P2260" s="175">
        <v>14825</v>
      </c>
      <c r="Q2260" s="25">
        <v>0.12770000000000001</v>
      </c>
      <c r="U2260" s="384">
        <v>0</v>
      </c>
      <c r="W2260" s="285">
        <f t="shared" si="45"/>
        <v>1893.1525000000001</v>
      </c>
    </row>
    <row r="2261" spans="1:23" ht="15" customHeight="1">
      <c r="A2261" s="3">
        <v>39057</v>
      </c>
      <c r="B2261" s="9">
        <v>32500</v>
      </c>
      <c r="C2261" s="5">
        <v>4550</v>
      </c>
      <c r="D2261" s="5" t="e">
        <f>E2261-(#REF!+C2261)</f>
        <v>#REF!</v>
      </c>
      <c r="E2261" s="5">
        <v>40600</v>
      </c>
      <c r="K2261" s="22">
        <v>1759</v>
      </c>
      <c r="L2261" s="6">
        <v>1730</v>
      </c>
      <c r="M2261" s="125">
        <f t="shared" si="46"/>
        <v>-29</v>
      </c>
      <c r="N2261" s="18"/>
      <c r="O2261" s="135"/>
      <c r="P2261" s="175">
        <v>14950</v>
      </c>
      <c r="Q2261" s="25">
        <v>0.1278</v>
      </c>
      <c r="U2261" s="384">
        <v>0</v>
      </c>
      <c r="W2261" s="285">
        <f t="shared" si="45"/>
        <v>1910.61</v>
      </c>
    </row>
    <row r="2262" spans="1:23" ht="15" customHeight="1">
      <c r="A2262" s="3">
        <v>39058</v>
      </c>
      <c r="B2262" s="9">
        <v>31800</v>
      </c>
      <c r="C2262" s="5">
        <v>4312</v>
      </c>
      <c r="D2262" s="5" t="e">
        <f>E2262-(#REF!+C2262)</f>
        <v>#REF!</v>
      </c>
      <c r="E2262" s="5">
        <v>39725</v>
      </c>
      <c r="K2262" s="22">
        <v>1704</v>
      </c>
      <c r="L2262" s="6">
        <v>1675</v>
      </c>
      <c r="M2262" s="125">
        <f t="shared" si="46"/>
        <v>-29</v>
      </c>
      <c r="N2262" s="18"/>
      <c r="O2262" s="135"/>
      <c r="P2262" s="175">
        <v>14950</v>
      </c>
      <c r="Q2262" s="25">
        <v>0.12770000000000001</v>
      </c>
      <c r="U2262" s="384">
        <v>0</v>
      </c>
      <c r="W2262" s="285">
        <f t="shared" si="45"/>
        <v>1909.115</v>
      </c>
    </row>
    <row r="2263" spans="1:23" ht="15" customHeight="1">
      <c r="A2263" s="3">
        <v>39059</v>
      </c>
      <c r="B2263" s="9">
        <v>31625</v>
      </c>
      <c r="C2263" s="5">
        <v>4312</v>
      </c>
      <c r="D2263" s="5" t="e">
        <f>E2263-(#REF!+C2263)</f>
        <v>#REF!</v>
      </c>
      <c r="E2263" s="5">
        <v>39400</v>
      </c>
      <c r="K2263" s="22">
        <v>1762</v>
      </c>
      <c r="L2263" s="6">
        <v>1731.5</v>
      </c>
      <c r="M2263" s="125">
        <f t="shared" si="46"/>
        <v>-30.5</v>
      </c>
      <c r="N2263" s="18"/>
      <c r="O2263" s="135"/>
      <c r="P2263" s="175">
        <v>14900</v>
      </c>
      <c r="Q2263" s="25">
        <v>0.1278</v>
      </c>
      <c r="U2263" s="384">
        <v>0</v>
      </c>
      <c r="W2263" s="285">
        <f t="shared" si="45"/>
        <v>1904.22</v>
      </c>
    </row>
    <row r="2264" spans="1:23" ht="15" customHeight="1">
      <c r="A2264" s="3">
        <v>39062</v>
      </c>
      <c r="B2264" s="9">
        <v>31325</v>
      </c>
      <c r="C2264" s="5">
        <v>4075</v>
      </c>
      <c r="D2264" s="5" t="e">
        <f>E2264-(#REF!+C2264)</f>
        <v>#REF!</v>
      </c>
      <c r="E2264" s="5">
        <v>39225</v>
      </c>
      <c r="K2264" s="22">
        <v>1809</v>
      </c>
      <c r="L2264" s="6">
        <v>1770</v>
      </c>
      <c r="M2264" s="125">
        <f t="shared" si="46"/>
        <v>-39</v>
      </c>
      <c r="N2264" s="18"/>
      <c r="O2264" s="135"/>
      <c r="P2264" s="175">
        <v>14900</v>
      </c>
      <c r="Q2264" s="25">
        <v>0.12759999999999999</v>
      </c>
      <c r="U2264" s="384">
        <v>0</v>
      </c>
      <c r="W2264" s="285">
        <f t="shared" si="45"/>
        <v>1901.2399999999998</v>
      </c>
    </row>
    <row r="2265" spans="1:23" ht="15" customHeight="1">
      <c r="A2265" s="3">
        <v>39063</v>
      </c>
      <c r="B2265" s="9">
        <v>33800</v>
      </c>
      <c r="C2265" s="5">
        <v>4075</v>
      </c>
      <c r="D2265" s="5" t="e">
        <f>E2265-(#REF!+C2265)</f>
        <v>#REF!</v>
      </c>
      <c r="E2265" s="5">
        <v>41350</v>
      </c>
      <c r="K2265" s="22">
        <v>1805</v>
      </c>
      <c r="L2265" s="6">
        <v>1765</v>
      </c>
      <c r="M2265" s="125">
        <f t="shared" si="46"/>
        <v>-40</v>
      </c>
      <c r="N2265" s="18"/>
      <c r="O2265" s="135"/>
      <c r="P2265" s="175">
        <v>14950</v>
      </c>
      <c r="Q2265" s="25">
        <v>0.12770000000000001</v>
      </c>
      <c r="U2265" s="384">
        <v>0</v>
      </c>
      <c r="W2265" s="285">
        <f t="shared" si="45"/>
        <v>1909.115</v>
      </c>
    </row>
    <row r="2266" spans="1:23" ht="15" customHeight="1">
      <c r="A2266" s="3">
        <v>39064</v>
      </c>
      <c r="B2266" s="9">
        <v>34350</v>
      </c>
      <c r="C2266" s="5">
        <v>4150</v>
      </c>
      <c r="D2266" s="5" t="e">
        <f>E2266-(#REF!+C2266)</f>
        <v>#REF!</v>
      </c>
      <c r="E2266" s="5">
        <v>41775</v>
      </c>
      <c r="K2266" s="22">
        <v>1690</v>
      </c>
      <c r="L2266" s="6">
        <v>1631</v>
      </c>
      <c r="M2266" s="125">
        <f t="shared" si="46"/>
        <v>-59</v>
      </c>
      <c r="N2266" s="18"/>
      <c r="O2266" s="135"/>
      <c r="P2266" s="175">
        <v>14850</v>
      </c>
      <c r="Q2266" s="25">
        <v>0.1278</v>
      </c>
      <c r="U2266" s="384">
        <v>0</v>
      </c>
      <c r="W2266" s="285">
        <f t="shared" si="45"/>
        <v>1897.83</v>
      </c>
    </row>
    <row r="2267" spans="1:23" ht="15" customHeight="1">
      <c r="A2267" s="3">
        <v>39065</v>
      </c>
      <c r="B2267" s="9">
        <v>34350</v>
      </c>
      <c r="C2267" s="5">
        <v>4150</v>
      </c>
      <c r="D2267" s="5" t="e">
        <f>E2267-(#REF!+C2267)</f>
        <v>#REF!</v>
      </c>
      <c r="E2267" s="5">
        <v>41525</v>
      </c>
      <c r="K2267" s="22">
        <v>1729.5</v>
      </c>
      <c r="L2267" s="6">
        <v>1661</v>
      </c>
      <c r="M2267" s="125">
        <f t="shared" si="46"/>
        <v>-68.5</v>
      </c>
      <c r="N2267" s="18"/>
      <c r="O2267" s="135"/>
      <c r="P2267" s="175">
        <v>14750</v>
      </c>
      <c r="Q2267" s="25">
        <v>0.12790000000000001</v>
      </c>
      <c r="U2267" s="384">
        <v>0</v>
      </c>
      <c r="W2267" s="285">
        <f t="shared" si="45"/>
        <v>1886.5250000000001</v>
      </c>
    </row>
    <row r="2268" spans="1:23" ht="15" customHeight="1">
      <c r="A2268" s="3">
        <v>39066</v>
      </c>
      <c r="B2268" s="9">
        <v>33825</v>
      </c>
      <c r="C2268" s="5">
        <v>4225</v>
      </c>
      <c r="D2268" s="5" t="e">
        <f>E2268-(#REF!+C2268)</f>
        <v>#REF!</v>
      </c>
      <c r="E2268" s="5">
        <v>40875</v>
      </c>
      <c r="K2268" s="22">
        <v>1725</v>
      </c>
      <c r="L2268" s="6">
        <v>1684.5</v>
      </c>
      <c r="M2268" s="125">
        <f t="shared" si="46"/>
        <v>-40.5</v>
      </c>
      <c r="N2268" s="18"/>
      <c r="O2268" s="135"/>
      <c r="P2268" s="175">
        <v>14750</v>
      </c>
      <c r="Q2268" s="25">
        <v>0.12790000000000001</v>
      </c>
      <c r="U2268" s="384">
        <v>0</v>
      </c>
      <c r="W2268" s="285">
        <f t="shared" si="45"/>
        <v>1886.5250000000001</v>
      </c>
    </row>
    <row r="2269" spans="1:23" ht="15" customHeight="1">
      <c r="A2269" s="3">
        <v>39069</v>
      </c>
      <c r="B2269" s="9">
        <v>33525</v>
      </c>
      <c r="C2269" s="5">
        <v>4375</v>
      </c>
      <c r="D2269" s="5" t="e">
        <f>E2269-(#REF!+C2269)</f>
        <v>#REF!</v>
      </c>
      <c r="E2269" s="5">
        <v>40450</v>
      </c>
      <c r="K2269" s="22">
        <v>1715</v>
      </c>
      <c r="L2269" s="6">
        <v>1680</v>
      </c>
      <c r="M2269" s="125">
        <f t="shared" si="46"/>
        <v>-35</v>
      </c>
      <c r="N2269" s="18"/>
      <c r="O2269" s="135"/>
      <c r="P2269" s="175">
        <v>14750</v>
      </c>
      <c r="Q2269" s="25">
        <v>0.1278</v>
      </c>
      <c r="U2269" s="384">
        <v>0</v>
      </c>
      <c r="W2269" s="285">
        <f t="shared" si="45"/>
        <v>1885.05</v>
      </c>
    </row>
    <row r="2270" spans="1:23" ht="15" customHeight="1">
      <c r="A2270" s="3">
        <v>39070</v>
      </c>
      <c r="B2270" s="9">
        <v>34525</v>
      </c>
      <c r="C2270" s="5">
        <v>4675</v>
      </c>
      <c r="D2270" s="5" t="e">
        <f>E2270-(#REF!+C2270)</f>
        <v>#REF!</v>
      </c>
      <c r="E2270" s="5">
        <v>41425</v>
      </c>
      <c r="K2270" s="22">
        <v>1671</v>
      </c>
      <c r="L2270" s="6">
        <v>1646</v>
      </c>
      <c r="M2270" s="125">
        <f t="shared" si="46"/>
        <v>-25</v>
      </c>
      <c r="N2270" s="18"/>
      <c r="O2270" s="135"/>
      <c r="P2270" s="175">
        <v>14750</v>
      </c>
      <c r="Q2270" s="25">
        <v>0.1278</v>
      </c>
      <c r="U2270" s="384">
        <v>0</v>
      </c>
      <c r="W2270" s="285">
        <f t="shared" si="45"/>
        <v>1885.05</v>
      </c>
    </row>
    <row r="2271" spans="1:23" ht="15" customHeight="1">
      <c r="A2271" s="3">
        <v>39071</v>
      </c>
      <c r="B2271" s="9">
        <v>35075</v>
      </c>
      <c r="C2271" s="5">
        <v>5100</v>
      </c>
      <c r="D2271" s="5" t="e">
        <f>E2271-(#REF!+C2271)</f>
        <v>#REF!</v>
      </c>
      <c r="E2271" s="5">
        <v>42150</v>
      </c>
      <c r="K2271" s="22">
        <v>1670</v>
      </c>
      <c r="L2271" s="6">
        <v>1635</v>
      </c>
      <c r="M2271" s="125">
        <f t="shared" si="46"/>
        <v>-35</v>
      </c>
      <c r="N2271" s="18"/>
      <c r="O2271" s="135"/>
      <c r="P2271" s="175">
        <v>14700</v>
      </c>
      <c r="Q2271" s="25">
        <v>0.12790000000000001</v>
      </c>
      <c r="U2271" s="384">
        <v>0</v>
      </c>
      <c r="W2271" s="285">
        <f t="shared" si="45"/>
        <v>1880.13</v>
      </c>
    </row>
    <row r="2272" spans="1:23" ht="15" customHeight="1">
      <c r="A2272" s="3">
        <v>39072</v>
      </c>
      <c r="B2272" s="9">
        <v>34825</v>
      </c>
      <c r="C2272" s="5">
        <v>5225</v>
      </c>
      <c r="D2272" s="5" t="e">
        <f>E2272-(#REF!+C2272)</f>
        <v>#REF!</v>
      </c>
      <c r="E2272" s="5">
        <v>41675</v>
      </c>
      <c r="K2272" s="22">
        <v>1649</v>
      </c>
      <c r="L2272" s="6">
        <v>1620</v>
      </c>
      <c r="M2272" s="125">
        <f t="shared" si="46"/>
        <v>-29</v>
      </c>
      <c r="N2272" s="18"/>
      <c r="O2272" s="135"/>
      <c r="P2272" s="175">
        <v>14625</v>
      </c>
      <c r="Q2272" s="25">
        <v>0.12790000000000001</v>
      </c>
      <c r="U2272" s="384">
        <v>0</v>
      </c>
      <c r="W2272" s="285">
        <f t="shared" si="45"/>
        <v>1870.5375000000001</v>
      </c>
    </row>
    <row r="2273" spans="1:23" ht="15" customHeight="1">
      <c r="A2273" s="3">
        <v>39073</v>
      </c>
      <c r="B2273" s="9">
        <v>34550</v>
      </c>
      <c r="C2273" s="5">
        <v>5675</v>
      </c>
      <c r="D2273" s="5" t="e">
        <f>E2273-(#REF!+C2273)</f>
        <v>#REF!</v>
      </c>
      <c r="E2273" s="5">
        <v>41525</v>
      </c>
      <c r="K2273" s="22">
        <v>1644.5</v>
      </c>
      <c r="L2273" s="6">
        <v>1620</v>
      </c>
      <c r="M2273" s="125">
        <f t="shared" si="46"/>
        <v>-24.5</v>
      </c>
      <c r="N2273" s="18"/>
      <c r="O2273" s="135"/>
      <c r="P2273" s="175">
        <v>14525</v>
      </c>
      <c r="Q2273" s="25">
        <v>0.1278</v>
      </c>
      <c r="U2273" s="384">
        <v>0</v>
      </c>
      <c r="W2273" s="285">
        <f t="shared" si="45"/>
        <v>1856.2949999999998</v>
      </c>
    </row>
    <row r="2274" spans="1:23" ht="15" customHeight="1">
      <c r="A2274" s="3">
        <v>39078</v>
      </c>
      <c r="B2274" s="9">
        <v>33850</v>
      </c>
      <c r="C2274" s="5">
        <v>5925</v>
      </c>
      <c r="D2274" s="5" t="e">
        <f>E2274-(#REF!+C2274)</f>
        <v>#REF!</v>
      </c>
      <c r="E2274" s="5">
        <v>40850</v>
      </c>
      <c r="K2274" s="22">
        <v>1675</v>
      </c>
      <c r="L2274" s="6">
        <v>1635.5</v>
      </c>
      <c r="M2274" s="125">
        <f t="shared" si="46"/>
        <v>-39.5</v>
      </c>
      <c r="N2274" s="18"/>
      <c r="O2274" s="135"/>
      <c r="P2274" s="175">
        <v>14450</v>
      </c>
      <c r="Q2274" s="25">
        <v>0.12790000000000001</v>
      </c>
      <c r="U2274" s="384">
        <v>0</v>
      </c>
      <c r="W2274" s="285">
        <f t="shared" si="45"/>
        <v>1848.1550000000002</v>
      </c>
    </row>
    <row r="2275" spans="1:23" ht="15" customHeight="1">
      <c r="A2275" s="3">
        <v>39079</v>
      </c>
      <c r="B2275" s="9">
        <v>33650</v>
      </c>
      <c r="C2275" s="5">
        <v>6000</v>
      </c>
      <c r="D2275" s="5" t="e">
        <f>E2275-(#REF!+C2275)</f>
        <v>#REF!</v>
      </c>
      <c r="E2275" s="5">
        <v>40725</v>
      </c>
      <c r="K2275" s="22">
        <v>1710</v>
      </c>
      <c r="L2275" s="6">
        <v>1675</v>
      </c>
      <c r="M2275" s="125">
        <f t="shared" si="46"/>
        <v>-35</v>
      </c>
      <c r="N2275" s="18"/>
      <c r="O2275" s="135"/>
      <c r="P2275" s="175">
        <v>14525</v>
      </c>
      <c r="Q2275" s="25">
        <v>0.128</v>
      </c>
      <c r="U2275" s="384">
        <v>0</v>
      </c>
      <c r="W2275" s="285">
        <f t="shared" si="45"/>
        <v>1859.2</v>
      </c>
    </row>
    <row r="2276" spans="1:23" ht="15" customHeight="1" thickBot="1">
      <c r="A2276" s="11">
        <v>39080</v>
      </c>
      <c r="B2276" s="9">
        <v>34125</v>
      </c>
      <c r="C2276" s="13">
        <v>6050</v>
      </c>
      <c r="D2276" s="13" t="e">
        <f>E2276-(#REF!+C2276)</f>
        <v>#REF!</v>
      </c>
      <c r="E2276" s="13">
        <v>41125</v>
      </c>
      <c r="F2276" s="12"/>
      <c r="G2276" s="13"/>
      <c r="H2276" s="13"/>
      <c r="I2276" s="119"/>
      <c r="J2276" s="119"/>
      <c r="K2276" s="23">
        <v>1775</v>
      </c>
      <c r="L2276" s="14">
        <v>1685</v>
      </c>
      <c r="M2276" s="126">
        <f t="shared" si="46"/>
        <v>-90</v>
      </c>
      <c r="N2276" s="19">
        <f>AVERAGE(K2258:K2276)</f>
        <v>1725.5</v>
      </c>
      <c r="O2276" s="136">
        <f>AVERAGE(K2025:K2276)</f>
        <v>1287.4940476190477</v>
      </c>
      <c r="P2276" s="176">
        <v>14550</v>
      </c>
      <c r="Q2276" s="27">
        <v>0.128</v>
      </c>
      <c r="R2276" s="27"/>
      <c r="S2276" s="27"/>
      <c r="T2276" s="27"/>
      <c r="U2276" s="385">
        <v>0</v>
      </c>
      <c r="V2276" s="38">
        <f>AVERAGE(P2258:P2276)</f>
        <v>14732.894736842105</v>
      </c>
      <c r="W2276" s="285">
        <f t="shared" si="45"/>
        <v>1862.4</v>
      </c>
    </row>
    <row r="2277" spans="1:23" ht="15" customHeight="1">
      <c r="A2277" s="3">
        <v>39084</v>
      </c>
      <c r="B2277" s="9">
        <v>34125</v>
      </c>
      <c r="C2277" s="5">
        <v>6050</v>
      </c>
      <c r="D2277" s="5" t="e">
        <f>E2277-(#REF!+C2277)</f>
        <v>#REF!</v>
      </c>
      <c r="E2277" s="5">
        <v>41050</v>
      </c>
      <c r="K2277" s="22">
        <v>1725</v>
      </c>
      <c r="L2277" s="6">
        <v>1700</v>
      </c>
      <c r="M2277" s="125">
        <f t="shared" si="46"/>
        <v>-25</v>
      </c>
      <c r="N2277" s="20"/>
      <c r="O2277" s="139">
        <f>AVERAGE(K2277:K2534)</f>
        <v>2594.9642857142858</v>
      </c>
      <c r="P2277" s="175">
        <v>14550</v>
      </c>
      <c r="Q2277" s="25">
        <v>0.12809999999999999</v>
      </c>
      <c r="U2277" s="384">
        <v>0</v>
      </c>
      <c r="W2277" s="285">
        <f t="shared" si="45"/>
        <v>1863.8549999999998</v>
      </c>
    </row>
    <row r="2278" spans="1:23" ht="15" customHeight="1">
      <c r="A2278" s="3">
        <v>39085</v>
      </c>
      <c r="B2278" s="9">
        <v>34125</v>
      </c>
      <c r="C2278" s="5">
        <v>6050</v>
      </c>
      <c r="D2278" s="5" t="e">
        <f>E2278-(#REF!+C2278)</f>
        <v>#REF!</v>
      </c>
      <c r="E2278" s="5">
        <v>41050</v>
      </c>
      <c r="K2278" s="22">
        <v>1660</v>
      </c>
      <c r="L2278" s="6">
        <v>1615.5</v>
      </c>
      <c r="M2278" s="125">
        <f t="shared" si="46"/>
        <v>-44.5</v>
      </c>
      <c r="N2278" s="18"/>
      <c r="O2278" s="135"/>
      <c r="P2278" s="175">
        <v>14550</v>
      </c>
      <c r="Q2278" s="25">
        <v>0.12809999999999999</v>
      </c>
      <c r="U2278" s="384">
        <v>0</v>
      </c>
      <c r="W2278" s="285">
        <f t="shared" si="45"/>
        <v>1863.8549999999998</v>
      </c>
    </row>
    <row r="2279" spans="1:23" ht="15" customHeight="1">
      <c r="A2279" s="3">
        <v>39086</v>
      </c>
      <c r="B2279" s="9">
        <v>36275</v>
      </c>
      <c r="C2279" s="5">
        <v>6050</v>
      </c>
      <c r="D2279" s="5" t="e">
        <f>E2279-(#REF!+C2279)</f>
        <v>#REF!</v>
      </c>
      <c r="E2279" s="5">
        <v>43125</v>
      </c>
      <c r="K2279" s="22">
        <v>1722</v>
      </c>
      <c r="L2279" s="6">
        <v>1670</v>
      </c>
      <c r="M2279" s="125">
        <f t="shared" si="46"/>
        <v>-52</v>
      </c>
      <c r="N2279" s="18"/>
      <c r="O2279" s="135"/>
      <c r="P2279" s="175">
        <v>14650</v>
      </c>
      <c r="Q2279" s="25">
        <v>0.12809999999999999</v>
      </c>
      <c r="U2279" s="384">
        <v>0</v>
      </c>
      <c r="W2279" s="285">
        <f t="shared" si="45"/>
        <v>1876.665</v>
      </c>
    </row>
    <row r="2280" spans="1:23" ht="15" customHeight="1">
      <c r="A2280" s="3">
        <v>39087</v>
      </c>
      <c r="B2280" s="9">
        <v>36075</v>
      </c>
      <c r="C2280" s="5">
        <v>6050</v>
      </c>
      <c r="D2280" s="5" t="e">
        <f>E2280-(#REF!+C2280)</f>
        <v>#REF!</v>
      </c>
      <c r="E2280" s="5">
        <v>42850</v>
      </c>
      <c r="K2280" s="22">
        <v>1695</v>
      </c>
      <c r="L2280" s="6">
        <v>1663</v>
      </c>
      <c r="M2280" s="125">
        <f t="shared" si="46"/>
        <v>-32</v>
      </c>
      <c r="N2280" s="18"/>
      <c r="O2280" s="135"/>
      <c r="P2280" s="175">
        <v>14575</v>
      </c>
      <c r="Q2280" s="25">
        <v>0.12809999999999999</v>
      </c>
      <c r="U2280" s="384">
        <v>0</v>
      </c>
      <c r="W2280" s="285">
        <f t="shared" si="45"/>
        <v>1867.0574999999999</v>
      </c>
    </row>
    <row r="2281" spans="1:23" ht="15" customHeight="1">
      <c r="A2281" s="3">
        <v>39090</v>
      </c>
      <c r="B2281" s="9">
        <v>36825</v>
      </c>
      <c r="C2281" s="5">
        <v>6050</v>
      </c>
      <c r="D2281" s="5" t="e">
        <f>E2281-(#REF!+C2281)</f>
        <v>#REF!</v>
      </c>
      <c r="E2281" s="5">
        <v>43550</v>
      </c>
      <c r="K2281" s="22">
        <v>1600</v>
      </c>
      <c r="L2281" s="6">
        <v>1548.5</v>
      </c>
      <c r="M2281" s="125">
        <f t="shared" si="46"/>
        <v>-51.5</v>
      </c>
      <c r="N2281" s="18"/>
      <c r="O2281" s="135"/>
      <c r="P2281" s="175">
        <v>14525</v>
      </c>
      <c r="Q2281" s="25">
        <v>0.128</v>
      </c>
      <c r="U2281" s="384">
        <v>0</v>
      </c>
      <c r="W2281" s="285">
        <f t="shared" si="45"/>
        <v>1859.2</v>
      </c>
    </row>
    <row r="2282" spans="1:23" ht="15" customHeight="1">
      <c r="A2282" s="3">
        <v>39091</v>
      </c>
      <c r="B2282" s="9">
        <v>36575</v>
      </c>
      <c r="C2282" s="5">
        <v>6050</v>
      </c>
      <c r="D2282" s="5" t="e">
        <f>E2282-(#REF!+C2282)</f>
        <v>#REF!</v>
      </c>
      <c r="E2282" s="5">
        <v>43300</v>
      </c>
      <c r="K2282" s="22">
        <v>1596</v>
      </c>
      <c r="L2282" s="6">
        <v>1550.5</v>
      </c>
      <c r="M2282" s="125">
        <f t="shared" si="46"/>
        <v>-45.5</v>
      </c>
      <c r="N2282" s="18"/>
      <c r="O2282" s="135"/>
      <c r="P2282" s="175">
        <v>14525</v>
      </c>
      <c r="Q2282" s="25">
        <v>0.12809999999999999</v>
      </c>
      <c r="U2282" s="384">
        <v>0</v>
      </c>
      <c r="W2282" s="285">
        <f t="shared" si="45"/>
        <v>1860.6524999999999</v>
      </c>
    </row>
    <row r="2283" spans="1:23" ht="15" customHeight="1">
      <c r="A2283" s="3">
        <v>39092</v>
      </c>
      <c r="B2283" s="9">
        <v>35625</v>
      </c>
      <c r="C2283" s="5">
        <v>6100</v>
      </c>
      <c r="D2283" s="5" t="e">
        <f>E2283-(#REF!+C2283)</f>
        <v>#REF!</v>
      </c>
      <c r="E2283" s="5">
        <v>42400</v>
      </c>
      <c r="K2283" s="22">
        <v>1625</v>
      </c>
      <c r="L2283" s="6">
        <v>1590</v>
      </c>
      <c r="M2283" s="125">
        <f t="shared" si="46"/>
        <v>-35</v>
      </c>
      <c r="N2283" s="18"/>
      <c r="O2283" s="135"/>
      <c r="P2283" s="175">
        <v>14500</v>
      </c>
      <c r="Q2283" s="25">
        <v>0.12809999999999999</v>
      </c>
      <c r="U2283" s="384">
        <v>0</v>
      </c>
      <c r="W2283" s="285">
        <f t="shared" si="45"/>
        <v>1857.4499999999998</v>
      </c>
    </row>
    <row r="2284" spans="1:23" ht="15" customHeight="1">
      <c r="A2284" s="3">
        <v>39093</v>
      </c>
      <c r="B2284" s="9">
        <v>34650</v>
      </c>
      <c r="C2284" s="5">
        <v>6200</v>
      </c>
      <c r="D2284" s="5" t="e">
        <f>E2284-(#REF!+C2284)</f>
        <v>#REF!</v>
      </c>
      <c r="E2284" s="5">
        <v>41500</v>
      </c>
      <c r="K2284" s="22">
        <v>1634.5</v>
      </c>
      <c r="L2284" s="6">
        <v>1602</v>
      </c>
      <c r="M2284" s="125">
        <f t="shared" si="46"/>
        <v>-32.5</v>
      </c>
      <c r="N2284" s="18"/>
      <c r="O2284" s="135"/>
      <c r="P2284" s="175">
        <v>14550</v>
      </c>
      <c r="Q2284" s="25">
        <v>0.12820000000000001</v>
      </c>
      <c r="U2284" s="384">
        <v>0</v>
      </c>
      <c r="W2284" s="285">
        <f t="shared" si="45"/>
        <v>1865.3100000000002</v>
      </c>
    </row>
    <row r="2285" spans="1:23" ht="15" customHeight="1">
      <c r="A2285" s="3">
        <v>39094</v>
      </c>
      <c r="B2285" s="9">
        <v>34100</v>
      </c>
      <c r="C2285" s="5">
        <v>6325</v>
      </c>
      <c r="D2285" s="5" t="e">
        <f>E2285-(#REF!+C2285)</f>
        <v>#REF!</v>
      </c>
      <c r="E2285" s="5">
        <v>41050</v>
      </c>
      <c r="K2285" s="22">
        <v>1665</v>
      </c>
      <c r="L2285" s="6">
        <v>1630</v>
      </c>
      <c r="M2285" s="125">
        <f t="shared" si="46"/>
        <v>-35</v>
      </c>
      <c r="N2285" s="18"/>
      <c r="O2285" s="135"/>
      <c r="P2285" s="175">
        <v>14550</v>
      </c>
      <c r="Q2285" s="25">
        <v>0.12820000000000001</v>
      </c>
      <c r="U2285" s="384">
        <v>0</v>
      </c>
      <c r="W2285" s="285">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25">
        <f t="shared" si="46"/>
        <v>-15</v>
      </c>
      <c r="N2286" s="18"/>
      <c r="O2286" s="135"/>
      <c r="P2286" s="175">
        <v>14500</v>
      </c>
      <c r="Q2286" s="25">
        <v>0.1283</v>
      </c>
      <c r="U2286" s="384">
        <v>0</v>
      </c>
      <c r="W2286" s="285">
        <f t="shared" si="47"/>
        <v>1860.35</v>
      </c>
    </row>
    <row r="2287" spans="1:23" ht="15" customHeight="1">
      <c r="A2287" s="3">
        <v>39098</v>
      </c>
      <c r="B2287" s="9">
        <v>33000</v>
      </c>
      <c r="C2287" s="5">
        <v>6750</v>
      </c>
      <c r="D2287" s="5" t="e">
        <f>E2287-(#REF!+C2287)</f>
        <v>#REF!</v>
      </c>
      <c r="E2287" s="5">
        <v>39950</v>
      </c>
      <c r="K2287" s="22">
        <v>1632</v>
      </c>
      <c r="L2287" s="6">
        <v>1590</v>
      </c>
      <c r="M2287" s="125">
        <f t="shared" si="46"/>
        <v>-42</v>
      </c>
      <c r="N2287" s="18"/>
      <c r="O2287" s="135"/>
      <c r="P2287" s="175">
        <v>14500</v>
      </c>
      <c r="Q2287" s="25">
        <v>0.12839999999999999</v>
      </c>
      <c r="U2287" s="384">
        <v>0</v>
      </c>
      <c r="W2287" s="285">
        <f t="shared" si="47"/>
        <v>1861.7999999999997</v>
      </c>
    </row>
    <row r="2288" spans="1:23" ht="15" customHeight="1">
      <c r="A2288" s="3">
        <v>39099</v>
      </c>
      <c r="B2288" s="9">
        <v>33300</v>
      </c>
      <c r="C2288" s="5">
        <v>6900</v>
      </c>
      <c r="D2288" s="5" t="e">
        <f>E2288-(#REF!+C2288)</f>
        <v>#REF!</v>
      </c>
      <c r="E2288" s="5">
        <v>40300</v>
      </c>
      <c r="K2288" s="22">
        <v>1575</v>
      </c>
      <c r="L2288" s="6">
        <v>1546</v>
      </c>
      <c r="M2288" s="125">
        <f t="shared" si="46"/>
        <v>-29</v>
      </c>
      <c r="N2288" s="18"/>
      <c r="O2288" s="135"/>
      <c r="P2288" s="175">
        <v>14425</v>
      </c>
      <c r="Q2288" s="25">
        <v>0.1285</v>
      </c>
      <c r="U2288" s="384">
        <v>0</v>
      </c>
      <c r="W2288" s="285">
        <f t="shared" si="47"/>
        <v>1853.6125</v>
      </c>
    </row>
    <row r="2289" spans="1:23" ht="15" customHeight="1">
      <c r="A2289" s="3">
        <v>39100</v>
      </c>
      <c r="B2289" s="9">
        <v>32975</v>
      </c>
      <c r="C2289" s="5">
        <v>7050</v>
      </c>
      <c r="D2289" s="5" t="e">
        <f>E2289-(#REF!+C2289)</f>
        <v>#REF!</v>
      </c>
      <c r="E2289" s="5">
        <v>40125</v>
      </c>
      <c r="K2289" s="22">
        <v>1600.5</v>
      </c>
      <c r="L2289" s="6">
        <v>1580</v>
      </c>
      <c r="M2289" s="125">
        <f t="shared" si="46"/>
        <v>-20.5</v>
      </c>
      <c r="N2289" s="18"/>
      <c r="O2289" s="135"/>
      <c r="P2289" s="175">
        <v>14325</v>
      </c>
      <c r="Q2289" s="25">
        <v>0.12859999999999999</v>
      </c>
      <c r="U2289" s="384">
        <v>0</v>
      </c>
      <c r="W2289" s="285">
        <f t="shared" si="47"/>
        <v>1842.1949999999999</v>
      </c>
    </row>
    <row r="2290" spans="1:23" ht="15" customHeight="1">
      <c r="A2290" s="3">
        <v>39101</v>
      </c>
      <c r="B2290" s="9">
        <v>33375</v>
      </c>
      <c r="C2290" s="5">
        <v>7500</v>
      </c>
      <c r="D2290" s="5" t="e">
        <f>E2290-(#REF!+C2290)</f>
        <v>#REF!</v>
      </c>
      <c r="E2290" s="5">
        <v>40900</v>
      </c>
      <c r="K2290" s="22">
        <v>1601</v>
      </c>
      <c r="L2290" s="6">
        <v>1580</v>
      </c>
      <c r="M2290" s="125">
        <f t="shared" si="46"/>
        <v>-21</v>
      </c>
      <c r="N2290" s="18"/>
      <c r="O2290" s="135"/>
      <c r="P2290" s="175">
        <v>14325</v>
      </c>
      <c r="Q2290" s="25">
        <v>0.12859999999999999</v>
      </c>
      <c r="U2290" s="384">
        <v>0</v>
      </c>
      <c r="W2290" s="285">
        <f t="shared" si="47"/>
        <v>1842.1949999999999</v>
      </c>
    </row>
    <row r="2291" spans="1:23" ht="15" customHeight="1">
      <c r="A2291" s="3">
        <v>39104</v>
      </c>
      <c r="B2291" s="9">
        <v>32425</v>
      </c>
      <c r="C2291" s="5">
        <v>7775</v>
      </c>
      <c r="D2291" s="5" t="e">
        <f>E2291-(#REF!+C2291)</f>
        <v>#REF!</v>
      </c>
      <c r="E2291" s="5">
        <v>40200</v>
      </c>
      <c r="K2291" s="22">
        <v>1659</v>
      </c>
      <c r="L2291" s="6">
        <v>1635</v>
      </c>
      <c r="M2291" s="125">
        <f t="shared" si="46"/>
        <v>-24</v>
      </c>
      <c r="N2291" s="18"/>
      <c r="O2291" s="135"/>
      <c r="P2291" s="175">
        <v>14325</v>
      </c>
      <c r="Q2291" s="25">
        <v>0.1285</v>
      </c>
      <c r="U2291" s="384">
        <v>0</v>
      </c>
      <c r="W2291" s="285">
        <f t="shared" si="47"/>
        <v>1840.7625</v>
      </c>
    </row>
    <row r="2292" spans="1:23" ht="15" customHeight="1">
      <c r="A2292" s="3">
        <v>39105</v>
      </c>
      <c r="B2292" s="9">
        <v>31900</v>
      </c>
      <c r="C2292" s="5">
        <v>8250</v>
      </c>
      <c r="D2292" s="5" t="e">
        <f>E2292-(#REF!+C2292)</f>
        <v>#REF!</v>
      </c>
      <c r="E2292" s="5">
        <v>40150</v>
      </c>
      <c r="K2292" s="22">
        <v>1695</v>
      </c>
      <c r="L2292" s="6">
        <v>1674</v>
      </c>
      <c r="M2292" s="125">
        <f t="shared" si="46"/>
        <v>-21</v>
      </c>
      <c r="N2292" s="18"/>
      <c r="O2292" s="135"/>
      <c r="P2292" s="175">
        <v>14325</v>
      </c>
      <c r="Q2292" s="25">
        <v>0.1285</v>
      </c>
      <c r="U2292" s="384">
        <v>0</v>
      </c>
      <c r="W2292" s="285">
        <f t="shared" si="47"/>
        <v>1840.7625</v>
      </c>
    </row>
    <row r="2293" spans="1:23" ht="15" customHeight="1">
      <c r="A2293" s="3">
        <v>39106</v>
      </c>
      <c r="B2293" s="9">
        <v>31375</v>
      </c>
      <c r="C2293" s="5">
        <v>8825</v>
      </c>
      <c r="D2293" s="5" t="e">
        <f>E2293-(#REF!+C2293)</f>
        <v>#REF!</v>
      </c>
      <c r="E2293" s="5">
        <v>40200</v>
      </c>
      <c r="K2293" s="22">
        <v>1736.5</v>
      </c>
      <c r="L2293" s="6">
        <v>1705</v>
      </c>
      <c r="M2293" s="125">
        <f t="shared" si="46"/>
        <v>-31.5</v>
      </c>
      <c r="N2293" s="18"/>
      <c r="O2293" s="135"/>
      <c r="P2293" s="175">
        <v>14325</v>
      </c>
      <c r="Q2293" s="25">
        <v>0.12859999999999999</v>
      </c>
      <c r="U2293" s="384">
        <v>0</v>
      </c>
      <c r="W2293" s="285">
        <f t="shared" si="47"/>
        <v>1842.1949999999999</v>
      </c>
    </row>
    <row r="2294" spans="1:23" ht="15" customHeight="1">
      <c r="A2294" s="3">
        <v>39107</v>
      </c>
      <c r="B2294" s="9">
        <v>30750</v>
      </c>
      <c r="C2294" s="5">
        <v>9100</v>
      </c>
      <c r="D2294" s="5" t="e">
        <f>E2294-(#REF!+C2294)</f>
        <v>#REF!</v>
      </c>
      <c r="E2294" s="5">
        <v>39850</v>
      </c>
      <c r="K2294" s="22">
        <v>1749</v>
      </c>
      <c r="L2294" s="6">
        <v>1707</v>
      </c>
      <c r="M2294" s="125">
        <f t="shared" si="46"/>
        <v>-42</v>
      </c>
      <c r="N2294" s="18"/>
      <c r="O2294" s="135"/>
      <c r="P2294" s="175">
        <v>14325</v>
      </c>
      <c r="Q2294" s="25">
        <v>0.12859999999999999</v>
      </c>
      <c r="U2294" s="384">
        <v>0</v>
      </c>
      <c r="W2294" s="285">
        <f t="shared" si="47"/>
        <v>1842.1949999999999</v>
      </c>
    </row>
    <row r="2295" spans="1:23" ht="15" customHeight="1">
      <c r="A2295" s="3">
        <v>39108</v>
      </c>
      <c r="B2295" s="9">
        <v>30175</v>
      </c>
      <c r="C2295" s="5">
        <v>9550</v>
      </c>
      <c r="D2295" s="5" t="e">
        <f>E2295-(#REF!+C2295)</f>
        <v>#REF!</v>
      </c>
      <c r="E2295" s="5">
        <v>39725</v>
      </c>
      <c r="K2295" s="22">
        <v>1718</v>
      </c>
      <c r="L2295" s="6">
        <v>1686</v>
      </c>
      <c r="M2295" s="125">
        <f t="shared" ref="M2295:M2317" si="48">L2295-K2295</f>
        <v>-32</v>
      </c>
      <c r="N2295" s="18"/>
      <c r="O2295" s="135"/>
      <c r="P2295" s="175">
        <v>14350</v>
      </c>
      <c r="Q2295" s="25">
        <v>0.1285</v>
      </c>
      <c r="U2295" s="384">
        <v>0</v>
      </c>
      <c r="W2295" s="285">
        <f t="shared" si="47"/>
        <v>1843.9750000000001</v>
      </c>
    </row>
    <row r="2296" spans="1:23" ht="15" customHeight="1">
      <c r="A2296" s="3">
        <v>39111</v>
      </c>
      <c r="B2296" s="9">
        <v>29225</v>
      </c>
      <c r="C2296" s="5">
        <v>9875</v>
      </c>
      <c r="D2296" s="5" t="e">
        <f>E2296-(#REF!+C2296)</f>
        <v>#REF!</v>
      </c>
      <c r="E2296" s="5">
        <v>39100</v>
      </c>
      <c r="K2296" s="22">
        <v>1675</v>
      </c>
      <c r="L2296" s="6">
        <v>1647.5</v>
      </c>
      <c r="M2296" s="125">
        <f t="shared" si="48"/>
        <v>-27.5</v>
      </c>
      <c r="N2296" s="18"/>
      <c r="O2296" s="135"/>
      <c r="P2296" s="175">
        <v>14350</v>
      </c>
      <c r="Q2296" s="25">
        <v>0.1285</v>
      </c>
      <c r="U2296" s="384">
        <v>0</v>
      </c>
      <c r="W2296" s="285">
        <f t="shared" si="47"/>
        <v>1843.9750000000001</v>
      </c>
    </row>
    <row r="2297" spans="1:23" ht="15" customHeight="1">
      <c r="A2297" s="3">
        <v>39112</v>
      </c>
      <c r="B2297" s="9">
        <v>28475</v>
      </c>
      <c r="C2297" s="5">
        <v>10125</v>
      </c>
      <c r="D2297" s="5" t="e">
        <f>E2297-(#REF!+C2297)</f>
        <v>#REF!</v>
      </c>
      <c r="E2297" s="5">
        <v>38600</v>
      </c>
      <c r="K2297" s="22">
        <v>1711</v>
      </c>
      <c r="L2297" s="6">
        <v>1671</v>
      </c>
      <c r="M2297" s="125">
        <f t="shared" si="48"/>
        <v>-40</v>
      </c>
      <c r="N2297" s="18"/>
      <c r="O2297" s="135"/>
      <c r="P2297" s="175">
        <v>14325</v>
      </c>
      <c r="Q2297" s="25">
        <v>0.12809999999999999</v>
      </c>
      <c r="U2297" s="384">
        <v>0</v>
      </c>
      <c r="W2297" s="285">
        <f t="shared" si="47"/>
        <v>1835.0324999999998</v>
      </c>
    </row>
    <row r="2298" spans="1:23" ht="15" customHeight="1" thickBot="1">
      <c r="A2298" s="11">
        <v>39113</v>
      </c>
      <c r="B2298" s="9">
        <v>28475</v>
      </c>
      <c r="C2298" s="13">
        <v>10575</v>
      </c>
      <c r="D2298" s="13" t="e">
        <f>E2298-(#REF!+C2298)</f>
        <v>#REF!</v>
      </c>
      <c r="E2298" s="13">
        <v>39050</v>
      </c>
      <c r="F2298" s="12"/>
      <c r="G2298" s="13"/>
      <c r="H2298" s="13"/>
      <c r="I2298" s="119"/>
      <c r="J2298" s="119"/>
      <c r="K2298" s="23">
        <v>1729.5</v>
      </c>
      <c r="L2298" s="14">
        <v>1695</v>
      </c>
      <c r="M2298" s="126">
        <f t="shared" si="48"/>
        <v>-34.5</v>
      </c>
      <c r="N2298" s="19">
        <f>AVERAGE(K2277:K2298)</f>
        <v>1666.090909090909</v>
      </c>
      <c r="O2298" s="136"/>
      <c r="P2298" s="176">
        <v>14325</v>
      </c>
      <c r="Q2298" s="27">
        <v>0.12859999999999999</v>
      </c>
      <c r="R2298" s="27"/>
      <c r="S2298" s="27"/>
      <c r="T2298" s="27"/>
      <c r="U2298" s="385">
        <v>0</v>
      </c>
      <c r="V2298" s="38">
        <f>AVERAGE(P2277:P2298)</f>
        <v>14440.90909090909</v>
      </c>
      <c r="W2298" s="285">
        <f t="shared" si="47"/>
        <v>1842.1949999999999</v>
      </c>
    </row>
    <row r="2299" spans="1:23" ht="15" customHeight="1">
      <c r="A2299" s="3">
        <v>39114</v>
      </c>
      <c r="B2299" s="9">
        <v>28475</v>
      </c>
      <c r="C2299" s="5">
        <v>10775</v>
      </c>
      <c r="D2299" s="5" t="e">
        <f>E2299-(#REF!+C2299)</f>
        <v>#REF!</v>
      </c>
      <c r="E2299" s="5">
        <v>39250</v>
      </c>
      <c r="K2299" s="22">
        <v>1736</v>
      </c>
      <c r="L2299" s="6">
        <v>1699</v>
      </c>
      <c r="M2299" s="125">
        <f t="shared" si="48"/>
        <v>-37</v>
      </c>
      <c r="N2299" s="20"/>
      <c r="O2299" s="138"/>
      <c r="P2299" s="175">
        <v>14350</v>
      </c>
      <c r="Q2299" s="25">
        <v>0.1288</v>
      </c>
      <c r="U2299" s="384">
        <v>0</v>
      </c>
      <c r="W2299" s="285">
        <f t="shared" si="47"/>
        <v>1848.28</v>
      </c>
    </row>
    <row r="2300" spans="1:23" ht="15" customHeight="1">
      <c r="A2300" s="3">
        <v>39115</v>
      </c>
      <c r="B2300" s="9">
        <v>28175</v>
      </c>
      <c r="C2300" s="5">
        <v>10900</v>
      </c>
      <c r="D2300" s="5" t="e">
        <f>E2300-(#REF!+C2300)</f>
        <v>#REF!</v>
      </c>
      <c r="E2300" s="5">
        <v>39075</v>
      </c>
      <c r="K2300" s="22">
        <v>1697</v>
      </c>
      <c r="L2300" s="6">
        <v>1670</v>
      </c>
      <c r="M2300" s="125">
        <f t="shared" si="48"/>
        <v>-27</v>
      </c>
      <c r="N2300" s="18"/>
      <c r="O2300" s="135"/>
      <c r="P2300" s="175">
        <v>14325</v>
      </c>
      <c r="Q2300" s="25">
        <v>0.1288</v>
      </c>
      <c r="U2300" s="384">
        <v>0</v>
      </c>
      <c r="W2300" s="285">
        <f t="shared" si="47"/>
        <v>1845.06</v>
      </c>
    </row>
    <row r="2301" spans="1:23" ht="15" customHeight="1">
      <c r="A2301" s="3">
        <v>39118</v>
      </c>
      <c r="B2301" s="9">
        <v>27850</v>
      </c>
      <c r="C2301" s="5">
        <v>11125</v>
      </c>
      <c r="D2301" s="5" t="e">
        <f>E2301-(#REF!+C2301)</f>
        <v>#REF!</v>
      </c>
      <c r="E2301" s="5">
        <v>38975</v>
      </c>
      <c r="K2301" s="22">
        <v>1674</v>
      </c>
      <c r="L2301" s="6">
        <v>1631</v>
      </c>
      <c r="M2301" s="125">
        <f t="shared" si="48"/>
        <v>-43</v>
      </c>
      <c r="N2301" s="18"/>
      <c r="O2301" s="135"/>
      <c r="P2301" s="175">
        <v>14300</v>
      </c>
      <c r="Q2301" s="25">
        <v>0.1288</v>
      </c>
      <c r="U2301" s="384">
        <v>0</v>
      </c>
      <c r="W2301" s="285">
        <f t="shared" si="47"/>
        <v>1841.84</v>
      </c>
    </row>
    <row r="2302" spans="1:23" ht="15" customHeight="1">
      <c r="A2302" s="3">
        <v>39119</v>
      </c>
      <c r="B2302" s="9">
        <v>26700</v>
      </c>
      <c r="C2302" s="5">
        <v>11250</v>
      </c>
      <c r="D2302" s="5" t="e">
        <f>E2302-(#REF!+C2302)</f>
        <v>#REF!</v>
      </c>
      <c r="E2302" s="5">
        <v>37950</v>
      </c>
      <c r="K2302" s="22">
        <v>1615</v>
      </c>
      <c r="L2302" s="6">
        <v>1576</v>
      </c>
      <c r="M2302" s="125">
        <f t="shared" si="48"/>
        <v>-39</v>
      </c>
      <c r="N2302" s="18"/>
      <c r="O2302" s="135"/>
      <c r="P2302" s="175">
        <v>14300</v>
      </c>
      <c r="Q2302" s="25">
        <v>0.12889999999999999</v>
      </c>
      <c r="U2302" s="384">
        <v>0</v>
      </c>
      <c r="W2302" s="285">
        <f t="shared" si="47"/>
        <v>1843.2699999999998</v>
      </c>
    </row>
    <row r="2303" spans="1:23" ht="15" customHeight="1">
      <c r="A2303" s="3">
        <v>39120</v>
      </c>
      <c r="B2303" s="9">
        <v>26450</v>
      </c>
      <c r="C2303" s="5">
        <v>11250</v>
      </c>
      <c r="D2303" s="5" t="e">
        <f>E2303-(#REF!+C2303)</f>
        <v>#REF!</v>
      </c>
      <c r="E2303" s="5">
        <v>37950</v>
      </c>
      <c r="K2303" s="22">
        <v>1585</v>
      </c>
      <c r="L2303" s="6">
        <v>1550</v>
      </c>
      <c r="M2303" s="125">
        <f t="shared" si="48"/>
        <v>-35</v>
      </c>
      <c r="N2303" s="18"/>
      <c r="O2303" s="135"/>
      <c r="P2303" s="175">
        <v>14300</v>
      </c>
      <c r="Q2303" s="25">
        <v>0.129</v>
      </c>
      <c r="U2303" s="384">
        <v>0</v>
      </c>
      <c r="W2303" s="285">
        <f t="shared" si="47"/>
        <v>1844.7</v>
      </c>
    </row>
    <row r="2304" spans="1:23" ht="15" customHeight="1">
      <c r="A2304" s="3">
        <v>39121</v>
      </c>
      <c r="B2304" s="9">
        <v>26300</v>
      </c>
      <c r="C2304" s="5">
        <v>11325</v>
      </c>
      <c r="D2304" s="5" t="e">
        <f>E2304-(#REF!+C2304)</f>
        <v>#REF!</v>
      </c>
      <c r="E2304" s="5">
        <v>37625</v>
      </c>
      <c r="K2304" s="22">
        <v>1580</v>
      </c>
      <c r="L2304" s="6">
        <v>1536</v>
      </c>
      <c r="M2304" s="125">
        <f t="shared" si="48"/>
        <v>-44</v>
      </c>
      <c r="N2304" s="18"/>
      <c r="O2304" s="135"/>
      <c r="P2304" s="175">
        <v>14325</v>
      </c>
      <c r="Q2304" s="25">
        <v>0.129</v>
      </c>
      <c r="U2304" s="384">
        <v>0</v>
      </c>
      <c r="W2304" s="285">
        <f t="shared" si="47"/>
        <v>1847.925</v>
      </c>
    </row>
    <row r="2305" spans="1:23" ht="15" customHeight="1">
      <c r="A2305" s="3">
        <v>39122</v>
      </c>
      <c r="B2305" s="9">
        <v>25300</v>
      </c>
      <c r="C2305" s="5">
        <v>11325</v>
      </c>
      <c r="D2305" s="5" t="e">
        <f>E2305-(#REF!+C2305)</f>
        <v>#REF!</v>
      </c>
      <c r="E2305" s="5">
        <v>36625</v>
      </c>
      <c r="K2305" s="22">
        <v>1645</v>
      </c>
      <c r="L2305" s="6">
        <v>1610</v>
      </c>
      <c r="M2305" s="125">
        <f t="shared" si="48"/>
        <v>-35</v>
      </c>
      <c r="N2305" s="18"/>
      <c r="O2305" s="135"/>
      <c r="P2305" s="175">
        <v>14325</v>
      </c>
      <c r="Q2305" s="25">
        <v>0.12889999999999999</v>
      </c>
      <c r="U2305" s="384">
        <v>0</v>
      </c>
      <c r="W2305" s="285">
        <f t="shared" si="47"/>
        <v>1846.4924999999998</v>
      </c>
    </row>
    <row r="2306" spans="1:23" ht="15" customHeight="1">
      <c r="A2306" s="3">
        <v>39125</v>
      </c>
      <c r="B2306" s="9">
        <v>24975</v>
      </c>
      <c r="C2306" s="5">
        <v>11750</v>
      </c>
      <c r="D2306" s="5" t="e">
        <f>E2306-(#REF!+C2306)</f>
        <v>#REF!</v>
      </c>
      <c r="E2306" s="5">
        <v>36725</v>
      </c>
      <c r="K2306" s="22">
        <v>1710</v>
      </c>
      <c r="L2306" s="6">
        <v>1660</v>
      </c>
      <c r="M2306" s="125">
        <f t="shared" si="48"/>
        <v>-50</v>
      </c>
      <c r="N2306" s="18"/>
      <c r="O2306" s="135"/>
      <c r="P2306" s="175">
        <v>14350</v>
      </c>
      <c r="Q2306" s="25">
        <v>0.1288</v>
      </c>
      <c r="U2306" s="384">
        <v>0</v>
      </c>
      <c r="W2306" s="285">
        <f t="shared" si="47"/>
        <v>1848.28</v>
      </c>
    </row>
    <row r="2307" spans="1:23" ht="15" customHeight="1">
      <c r="A2307" s="3">
        <v>39126</v>
      </c>
      <c r="B2307" s="9">
        <v>23925</v>
      </c>
      <c r="C2307" s="5">
        <v>11950</v>
      </c>
      <c r="D2307" s="5" t="e">
        <f>E2307-(#REF!+C2307)</f>
        <v>#REF!</v>
      </c>
      <c r="E2307" s="5">
        <v>35875</v>
      </c>
      <c r="K2307" s="22">
        <v>1745</v>
      </c>
      <c r="L2307" s="6">
        <v>1690</v>
      </c>
      <c r="M2307" s="125">
        <f t="shared" si="48"/>
        <v>-55</v>
      </c>
      <c r="N2307" s="18"/>
      <c r="O2307" s="135"/>
      <c r="P2307" s="175">
        <v>14350</v>
      </c>
      <c r="Q2307" s="25">
        <v>0.1288</v>
      </c>
      <c r="U2307" s="384">
        <v>0</v>
      </c>
      <c r="W2307" s="285">
        <f t="shared" si="47"/>
        <v>1848.28</v>
      </c>
    </row>
    <row r="2308" spans="1:23" ht="15" customHeight="1">
      <c r="A2308" s="3">
        <v>39127</v>
      </c>
      <c r="B2308" s="9">
        <v>22950</v>
      </c>
      <c r="C2308" s="5">
        <v>12050</v>
      </c>
      <c r="D2308" s="5" t="e">
        <f>E2308-(#REF!+C2308)</f>
        <v>#REF!</v>
      </c>
      <c r="E2308" s="5">
        <v>35000</v>
      </c>
      <c r="K2308" s="22">
        <v>1730</v>
      </c>
      <c r="L2308" s="6">
        <v>1680</v>
      </c>
      <c r="M2308" s="125">
        <f t="shared" si="48"/>
        <v>-50</v>
      </c>
      <c r="N2308" s="18"/>
      <c r="O2308" s="135"/>
      <c r="P2308" s="175">
        <v>14350</v>
      </c>
      <c r="Q2308" s="25">
        <v>0.12889999999999999</v>
      </c>
      <c r="U2308" s="384">
        <v>0</v>
      </c>
      <c r="W2308" s="285">
        <f t="shared" si="47"/>
        <v>1849.7149999999999</v>
      </c>
    </row>
    <row r="2309" spans="1:23" ht="15" customHeight="1">
      <c r="A2309" s="3">
        <v>39128</v>
      </c>
      <c r="B2309" s="9">
        <v>22000</v>
      </c>
      <c r="C2309" s="5">
        <v>12200</v>
      </c>
      <c r="D2309" s="5" t="e">
        <f>E2309-(#REF!+C2309)</f>
        <v>#REF!</v>
      </c>
      <c r="E2309" s="5">
        <v>34200</v>
      </c>
      <c r="K2309" s="22">
        <v>1780</v>
      </c>
      <c r="L2309" s="6">
        <v>1730</v>
      </c>
      <c r="M2309" s="125">
        <f t="shared" si="48"/>
        <v>-50</v>
      </c>
      <c r="N2309" s="18"/>
      <c r="O2309" s="135"/>
      <c r="P2309" s="175">
        <v>14350</v>
      </c>
      <c r="Q2309" s="25">
        <v>0.129</v>
      </c>
      <c r="U2309" s="384">
        <v>0</v>
      </c>
      <c r="W2309" s="285">
        <f t="shared" si="47"/>
        <v>1851.15</v>
      </c>
    </row>
    <row r="2310" spans="1:23" ht="15" customHeight="1">
      <c r="A2310" s="3">
        <v>39129</v>
      </c>
      <c r="B2310" s="9">
        <v>20975</v>
      </c>
      <c r="C2310" s="5">
        <v>12325</v>
      </c>
      <c r="D2310" s="5" t="e">
        <f>E2310-(#REF!+C2310)</f>
        <v>#REF!</v>
      </c>
      <c r="E2310" s="5">
        <v>33300</v>
      </c>
      <c r="K2310" s="22">
        <v>1807.5</v>
      </c>
      <c r="L2310" s="6">
        <v>1766</v>
      </c>
      <c r="M2310" s="125">
        <f t="shared" si="48"/>
        <v>-41.5</v>
      </c>
      <c r="N2310" s="18"/>
      <c r="O2310" s="135"/>
      <c r="P2310" s="175"/>
      <c r="Q2310" s="1379" t="s">
        <v>23</v>
      </c>
      <c r="R2310" s="1379"/>
      <c r="S2310" s="1379"/>
      <c r="T2310" s="1379"/>
      <c r="U2310" s="1379"/>
      <c r="V2310" s="185"/>
      <c r="W2310" s="285" t="e">
        <f t="shared" si="47"/>
        <v>#VALUE!</v>
      </c>
    </row>
    <row r="2311" spans="1:23" ht="15" customHeight="1">
      <c r="A2311" s="3">
        <v>39132</v>
      </c>
      <c r="B2311" s="9">
        <v>20025</v>
      </c>
      <c r="C2311" s="5">
        <v>12450</v>
      </c>
      <c r="D2311" s="5" t="e">
        <f>E2311-(#REF!+C2311)</f>
        <v>#REF!</v>
      </c>
      <c r="E2311" s="5">
        <v>32475</v>
      </c>
      <c r="K2311" s="22">
        <v>1861</v>
      </c>
      <c r="L2311" s="6">
        <v>1820</v>
      </c>
      <c r="M2311" s="125">
        <f t="shared" si="48"/>
        <v>-41</v>
      </c>
      <c r="N2311" s="18"/>
      <c r="O2311" s="135"/>
      <c r="P2311" s="201"/>
      <c r="Q2311" s="1379"/>
      <c r="R2311" s="1379"/>
      <c r="S2311" s="1379"/>
      <c r="T2311" s="1379"/>
      <c r="U2311" s="1379"/>
      <c r="V2311" s="185"/>
      <c r="W2311" s="285">
        <f t="shared" si="47"/>
        <v>0</v>
      </c>
    </row>
    <row r="2312" spans="1:23" ht="15" customHeight="1">
      <c r="A2312" s="3">
        <v>39133</v>
      </c>
      <c r="B2312" s="9">
        <v>20025</v>
      </c>
      <c r="C2312" s="5">
        <v>12500</v>
      </c>
      <c r="D2312" s="5" t="e">
        <f>E2312-(#REF!+C2312)</f>
        <v>#REF!</v>
      </c>
      <c r="E2312" s="5">
        <v>32525</v>
      </c>
      <c r="K2312" s="22">
        <v>1844.5</v>
      </c>
      <c r="L2312" s="6">
        <v>1795</v>
      </c>
      <c r="M2312" s="125">
        <f t="shared" si="48"/>
        <v>-49.5</v>
      </c>
      <c r="N2312" s="18"/>
      <c r="O2312" s="135"/>
      <c r="P2312" s="201"/>
      <c r="Q2312" s="1379"/>
      <c r="R2312" s="1379"/>
      <c r="S2312" s="1379"/>
      <c r="T2312" s="1379"/>
      <c r="U2312" s="1379"/>
      <c r="V2312" s="185"/>
      <c r="W2312" s="285">
        <f t="shared" si="47"/>
        <v>0</v>
      </c>
    </row>
    <row r="2313" spans="1:23" ht="15" customHeight="1">
      <c r="A2313" s="3">
        <v>39134</v>
      </c>
      <c r="B2313" s="9">
        <v>20025</v>
      </c>
      <c r="C2313" s="5">
        <v>12500</v>
      </c>
      <c r="D2313" s="5" t="e">
        <f>E2313-(#REF!+C2313)</f>
        <v>#REF!</v>
      </c>
      <c r="E2313" s="5">
        <v>32525</v>
      </c>
      <c r="K2313" s="22">
        <v>1870</v>
      </c>
      <c r="L2313" s="6">
        <v>1820</v>
      </c>
      <c r="M2313" s="125">
        <f t="shared" si="48"/>
        <v>-50</v>
      </c>
      <c r="N2313" s="18"/>
      <c r="O2313" s="135"/>
      <c r="P2313" s="201"/>
      <c r="Q2313" s="1379"/>
      <c r="R2313" s="1379"/>
      <c r="S2313" s="1379"/>
      <c r="T2313" s="1379"/>
      <c r="U2313" s="1379"/>
      <c r="V2313" s="185"/>
      <c r="W2313" s="285">
        <f t="shared" si="47"/>
        <v>0</v>
      </c>
    </row>
    <row r="2314" spans="1:23" ht="15" customHeight="1">
      <c r="A2314" s="3">
        <v>39135</v>
      </c>
      <c r="B2314" s="9">
        <v>19825</v>
      </c>
      <c r="C2314" s="5">
        <v>12550</v>
      </c>
      <c r="D2314" s="5" t="e">
        <f>E2314-(#REF!+C2314)</f>
        <v>#REF!</v>
      </c>
      <c r="E2314" s="5">
        <v>32375</v>
      </c>
      <c r="K2314" s="22">
        <v>1899</v>
      </c>
      <c r="L2314" s="6">
        <v>1860</v>
      </c>
      <c r="M2314" s="125">
        <f t="shared" si="48"/>
        <v>-39</v>
      </c>
      <c r="N2314" s="18"/>
      <c r="O2314" s="135"/>
      <c r="P2314" s="201"/>
      <c r="Q2314" s="1379"/>
      <c r="R2314" s="1379"/>
      <c r="S2314" s="1379"/>
      <c r="T2314" s="1379"/>
      <c r="U2314" s="1379"/>
      <c r="V2314" s="185"/>
      <c r="W2314" s="285">
        <f t="shared" si="47"/>
        <v>0</v>
      </c>
    </row>
    <row r="2315" spans="1:23" ht="15" customHeight="1">
      <c r="A2315" s="3">
        <v>39136</v>
      </c>
      <c r="B2315" s="9">
        <v>19225</v>
      </c>
      <c r="C2315" s="5">
        <v>12775</v>
      </c>
      <c r="D2315" s="5" t="e">
        <f>E2315-(#REF!+C2315)</f>
        <v>#REF!</v>
      </c>
      <c r="E2315" s="5">
        <v>32000</v>
      </c>
      <c r="K2315" s="22">
        <v>1960</v>
      </c>
      <c r="L2315" s="6">
        <v>1915</v>
      </c>
      <c r="M2315" s="125">
        <f t="shared" si="48"/>
        <v>-45</v>
      </c>
      <c r="N2315" s="18"/>
      <c r="O2315" s="135"/>
      <c r="P2315" s="201"/>
      <c r="Q2315" s="1379"/>
      <c r="R2315" s="1379"/>
      <c r="S2315" s="1379"/>
      <c r="T2315" s="1379"/>
      <c r="U2315" s="1379"/>
      <c r="V2315" s="185"/>
      <c r="W2315" s="285">
        <f t="shared" si="47"/>
        <v>0</v>
      </c>
    </row>
    <row r="2316" spans="1:23" ht="15" customHeight="1">
      <c r="A2316" s="3">
        <v>39139</v>
      </c>
      <c r="B2316" s="9">
        <v>18950</v>
      </c>
      <c r="C2316" s="5">
        <v>12950</v>
      </c>
      <c r="D2316" s="5" t="e">
        <f>E2316-(#REF!+C2316)</f>
        <v>#REF!</v>
      </c>
      <c r="E2316" s="5">
        <v>31900</v>
      </c>
      <c r="K2316" s="22">
        <v>2000</v>
      </c>
      <c r="L2316" s="6">
        <v>1950</v>
      </c>
      <c r="M2316" s="125">
        <f t="shared" si="48"/>
        <v>-50</v>
      </c>
      <c r="N2316" s="18"/>
      <c r="O2316" s="135"/>
      <c r="P2316" s="175">
        <v>14900</v>
      </c>
      <c r="Q2316" s="25">
        <v>0.129</v>
      </c>
      <c r="U2316" s="384">
        <v>0</v>
      </c>
      <c r="W2316" s="285">
        <f t="shared" si="47"/>
        <v>1922.1000000000001</v>
      </c>
    </row>
    <row r="2317" spans="1:23" ht="15" customHeight="1">
      <c r="A2317" s="3">
        <v>39140</v>
      </c>
      <c r="B2317" s="9">
        <v>18725</v>
      </c>
      <c r="C2317" s="5">
        <v>13350</v>
      </c>
      <c r="D2317" s="5" t="e">
        <f>E2317-(#REF!+C2317)</f>
        <v>#REF!</v>
      </c>
      <c r="E2317" s="5">
        <v>32075</v>
      </c>
      <c r="K2317" s="22">
        <v>1943</v>
      </c>
      <c r="L2317" s="6">
        <v>1900</v>
      </c>
      <c r="M2317" s="125">
        <f t="shared" si="48"/>
        <v>-43</v>
      </c>
      <c r="N2317" s="18"/>
      <c r="O2317" s="135"/>
      <c r="P2317" s="175">
        <v>14950</v>
      </c>
      <c r="Q2317" s="25">
        <v>0.12920000000000001</v>
      </c>
      <c r="U2317" s="384">
        <v>0</v>
      </c>
      <c r="W2317" s="285">
        <f t="shared" si="47"/>
        <v>1931.5400000000002</v>
      </c>
    </row>
    <row r="2318" spans="1:23" ht="15" customHeight="1" thickBot="1">
      <c r="A2318" s="11">
        <v>39141</v>
      </c>
      <c r="B2318" s="9">
        <v>18225</v>
      </c>
      <c r="C2318" s="13">
        <v>13875</v>
      </c>
      <c r="D2318" s="13" t="e">
        <f>E2318-(#REF!+C2318)</f>
        <v>#REF!</v>
      </c>
      <c r="E2318" s="13">
        <v>32100</v>
      </c>
      <c r="F2318" s="12"/>
      <c r="G2318" s="13"/>
      <c r="H2318" s="13"/>
      <c r="I2318" s="119"/>
      <c r="J2318" s="119"/>
      <c r="K2318" s="23">
        <v>1910</v>
      </c>
      <c r="L2318" s="14">
        <v>1855</v>
      </c>
      <c r="M2318" s="126">
        <f>L2318-K2318</f>
        <v>-55</v>
      </c>
      <c r="N2318" s="19">
        <f>AVERAGE(K2299:K2318)</f>
        <v>1779.6</v>
      </c>
      <c r="O2318" s="136">
        <f>AVERAGE(K2277:K2318)</f>
        <v>1720.1428571428571</v>
      </c>
      <c r="P2318" s="176">
        <v>14950</v>
      </c>
      <c r="Q2318" s="27">
        <v>0.12909999999999999</v>
      </c>
      <c r="R2318" s="27"/>
      <c r="S2318" s="27"/>
      <c r="T2318" s="27"/>
      <c r="U2318" s="385">
        <v>0</v>
      </c>
      <c r="V2318" s="38">
        <f>AVERAGE(P2299:P2318)</f>
        <v>14458.928571428571</v>
      </c>
      <c r="W2318" s="285">
        <f t="shared" si="47"/>
        <v>1930.0449999999998</v>
      </c>
    </row>
    <row r="2319" spans="1:23" ht="15" customHeight="1">
      <c r="A2319" s="3">
        <v>39142</v>
      </c>
      <c r="B2319" s="9">
        <v>17475</v>
      </c>
      <c r="C2319" s="5">
        <v>14150</v>
      </c>
      <c r="D2319" s="5" t="e">
        <f>E2319-(#REF!+C2319)</f>
        <v>#REF!</v>
      </c>
      <c r="E2319" s="5">
        <v>31625</v>
      </c>
      <c r="K2319" s="22">
        <v>1980</v>
      </c>
      <c r="L2319" s="6">
        <v>1928</v>
      </c>
      <c r="M2319" s="125">
        <f t="shared" ref="M2319:M2344" si="49">L2319-K2319</f>
        <v>-52</v>
      </c>
      <c r="N2319" s="18"/>
      <c r="O2319" s="135"/>
      <c r="P2319" s="178">
        <v>14950</v>
      </c>
      <c r="Q2319" s="25">
        <v>0.12909999999999999</v>
      </c>
      <c r="U2319" s="384">
        <v>0</v>
      </c>
      <c r="W2319" s="285">
        <f t="shared" si="47"/>
        <v>1930.0449999999998</v>
      </c>
    </row>
    <row r="2320" spans="1:23" ht="15" customHeight="1">
      <c r="A2320" s="3">
        <v>39143</v>
      </c>
      <c r="B2320" s="9">
        <v>17300</v>
      </c>
      <c r="C2320" s="5">
        <v>15000</v>
      </c>
      <c r="D2320" s="5" t="e">
        <f>E2320-(#REF!+C2320)</f>
        <v>#REF!</v>
      </c>
      <c r="E2320" s="5">
        <v>32300</v>
      </c>
      <c r="K2320" s="22">
        <v>1909</v>
      </c>
      <c r="L2320" s="6">
        <v>1875</v>
      </c>
      <c r="M2320" s="125">
        <f t="shared" si="49"/>
        <v>-34</v>
      </c>
      <c r="N2320" s="18"/>
      <c r="O2320" s="135"/>
      <c r="P2320" s="175">
        <v>15050</v>
      </c>
      <c r="Q2320" s="25">
        <v>0.12909999999999999</v>
      </c>
      <c r="U2320" s="384">
        <v>0</v>
      </c>
      <c r="W2320" s="285">
        <f t="shared" si="47"/>
        <v>1942.9549999999999</v>
      </c>
    </row>
    <row r="2321" spans="1:23" ht="15" customHeight="1">
      <c r="A2321" s="3">
        <v>39146</v>
      </c>
      <c r="B2321" s="9">
        <v>15300</v>
      </c>
      <c r="C2321" s="5">
        <v>17000</v>
      </c>
      <c r="D2321" s="5" t="e">
        <f>E2321-(#REF!+C2321)</f>
        <v>#REF!</v>
      </c>
      <c r="E2321" s="5">
        <v>32300</v>
      </c>
      <c r="K2321" s="22">
        <v>1840</v>
      </c>
      <c r="L2321" s="6">
        <v>1795</v>
      </c>
      <c r="M2321" s="125">
        <f t="shared" si="49"/>
        <v>-45</v>
      </c>
      <c r="N2321" s="18"/>
      <c r="O2321" s="135"/>
      <c r="P2321" s="175">
        <v>15025</v>
      </c>
      <c r="Q2321" s="25">
        <v>0.12920000000000001</v>
      </c>
      <c r="U2321" s="384">
        <v>0</v>
      </c>
      <c r="W2321" s="285">
        <f t="shared" si="47"/>
        <v>1941.2300000000002</v>
      </c>
    </row>
    <row r="2322" spans="1:23" ht="15" customHeight="1">
      <c r="A2322" s="3">
        <v>39147</v>
      </c>
      <c r="B2322" s="9">
        <v>15300</v>
      </c>
      <c r="C2322" s="5">
        <v>16675</v>
      </c>
      <c r="D2322" s="5" t="e">
        <f>E2322-(#REF!+C2322)</f>
        <v>#REF!</v>
      </c>
      <c r="E2322" s="5">
        <v>31975</v>
      </c>
      <c r="K2322" s="22">
        <v>1900</v>
      </c>
      <c r="L2322" s="6">
        <v>1871</v>
      </c>
      <c r="M2322" s="125">
        <f t="shared" si="49"/>
        <v>-29</v>
      </c>
      <c r="N2322" s="18"/>
      <c r="O2322" s="135"/>
      <c r="P2322" s="175">
        <v>14975</v>
      </c>
      <c r="Q2322" s="25">
        <v>0.12909999999999999</v>
      </c>
      <c r="U2322" s="384">
        <v>0</v>
      </c>
      <c r="W2322" s="285">
        <f t="shared" si="47"/>
        <v>1933.2724999999998</v>
      </c>
    </row>
    <row r="2323" spans="1:23" ht="15" customHeight="1">
      <c r="A2323" s="3">
        <v>39148</v>
      </c>
      <c r="B2323" s="9">
        <v>15400</v>
      </c>
      <c r="C2323" s="5">
        <v>16325</v>
      </c>
      <c r="D2323" s="5" t="e">
        <f>E2323-(#REF!+C2323)</f>
        <v>#REF!</v>
      </c>
      <c r="E2323" s="5">
        <v>31725</v>
      </c>
      <c r="K2323" s="22">
        <v>1884</v>
      </c>
      <c r="L2323" s="6">
        <v>1850</v>
      </c>
      <c r="M2323" s="125">
        <f t="shared" si="49"/>
        <v>-34</v>
      </c>
      <c r="N2323" s="18"/>
      <c r="O2323" s="135"/>
      <c r="P2323" s="175">
        <v>14975</v>
      </c>
      <c r="Q2323" s="25">
        <v>0.12909999999999999</v>
      </c>
      <c r="U2323" s="384">
        <v>0</v>
      </c>
      <c r="W2323" s="285">
        <f t="shared" si="47"/>
        <v>1933.2724999999998</v>
      </c>
    </row>
    <row r="2324" spans="1:23" ht="15" customHeight="1">
      <c r="A2324" s="3">
        <v>39149</v>
      </c>
      <c r="B2324" s="9">
        <v>15500</v>
      </c>
      <c r="C2324" s="5">
        <v>16325</v>
      </c>
      <c r="D2324" s="5" t="e">
        <f>E2324-(#REF!+C2324)</f>
        <v>#REF!</v>
      </c>
      <c r="E2324" s="5">
        <v>31825</v>
      </c>
      <c r="K2324" s="22">
        <v>1871</v>
      </c>
      <c r="L2324" s="6">
        <v>1845</v>
      </c>
      <c r="M2324" s="125">
        <f t="shared" si="49"/>
        <v>-26</v>
      </c>
      <c r="N2324" s="18"/>
      <c r="O2324" s="135"/>
      <c r="P2324" s="175">
        <v>14975</v>
      </c>
      <c r="Q2324" s="25">
        <v>0.12920000000000001</v>
      </c>
      <c r="U2324" s="384">
        <v>0</v>
      </c>
      <c r="W2324" s="285">
        <f t="shared" si="47"/>
        <v>1934.7700000000002</v>
      </c>
    </row>
    <row r="2325" spans="1:23" ht="15" customHeight="1">
      <c r="A2325" s="3">
        <v>39150</v>
      </c>
      <c r="B2325" s="9">
        <v>15825</v>
      </c>
      <c r="C2325" s="5">
        <v>15775</v>
      </c>
      <c r="D2325" s="5" t="e">
        <f>E2325-(#REF!+C2325)</f>
        <v>#REF!</v>
      </c>
      <c r="E2325" s="5">
        <v>31600</v>
      </c>
      <c r="K2325" s="22">
        <v>1833</v>
      </c>
      <c r="L2325" s="6">
        <v>1804</v>
      </c>
      <c r="M2325" s="125">
        <f t="shared" si="49"/>
        <v>-29</v>
      </c>
      <c r="N2325" s="18"/>
      <c r="O2325" s="135"/>
      <c r="P2325" s="175">
        <v>14800</v>
      </c>
      <c r="Q2325" s="25">
        <v>0.12909999999999999</v>
      </c>
      <c r="U2325" s="384">
        <v>0</v>
      </c>
      <c r="W2325" s="285">
        <f t="shared" si="47"/>
        <v>1910.6799999999998</v>
      </c>
    </row>
    <row r="2326" spans="1:23" ht="15" customHeight="1">
      <c r="A2326" s="3">
        <v>39153</v>
      </c>
      <c r="B2326" s="9">
        <v>15600</v>
      </c>
      <c r="C2326" s="5">
        <v>15950</v>
      </c>
      <c r="D2326" s="5" t="e">
        <f>E2326-(#REF!+C2326)</f>
        <v>#REF!</v>
      </c>
      <c r="E2326" s="5">
        <v>31550</v>
      </c>
      <c r="K2326" s="22">
        <v>1880.5</v>
      </c>
      <c r="L2326" s="6">
        <v>1846</v>
      </c>
      <c r="M2326" s="125">
        <f t="shared" si="49"/>
        <v>-34.5</v>
      </c>
      <c r="N2326" s="18"/>
      <c r="O2326" s="135"/>
      <c r="P2326" s="175">
        <v>14700</v>
      </c>
      <c r="Q2326" s="25">
        <v>0.12909999999999999</v>
      </c>
      <c r="U2326" s="384">
        <v>0</v>
      </c>
      <c r="W2326" s="285">
        <f t="shared" si="47"/>
        <v>1897.77</v>
      </c>
    </row>
    <row r="2327" spans="1:23" ht="15" customHeight="1">
      <c r="A2327" s="3">
        <v>39154</v>
      </c>
      <c r="B2327" s="9">
        <v>14700</v>
      </c>
      <c r="C2327" s="5">
        <v>16200</v>
      </c>
      <c r="D2327" s="5" t="e">
        <f>E2327-(#REF!+C2327)</f>
        <v>#REF!</v>
      </c>
      <c r="E2327" s="5">
        <v>30900</v>
      </c>
      <c r="K2327" s="22">
        <v>1916</v>
      </c>
      <c r="L2327" s="6">
        <v>1885</v>
      </c>
      <c r="M2327" s="125">
        <f t="shared" si="49"/>
        <v>-31</v>
      </c>
      <c r="N2327" s="18"/>
      <c r="O2327" s="135"/>
      <c r="P2327" s="175">
        <v>14800</v>
      </c>
      <c r="Q2327" s="25">
        <v>0.12920000000000001</v>
      </c>
      <c r="U2327" s="384">
        <v>0</v>
      </c>
      <c r="W2327" s="285">
        <f t="shared" si="47"/>
        <v>1912.16</v>
      </c>
    </row>
    <row r="2328" spans="1:23" ht="15" customHeight="1">
      <c r="A2328" s="3">
        <v>39155</v>
      </c>
      <c r="B2328" s="9">
        <v>14600</v>
      </c>
      <c r="C2328" s="5">
        <v>16650</v>
      </c>
      <c r="D2328" s="5" t="e">
        <f>E2328-(#REF!+C2328)</f>
        <v>#REF!</v>
      </c>
      <c r="E2328" s="5">
        <v>31250</v>
      </c>
      <c r="K2328" s="22">
        <v>1900</v>
      </c>
      <c r="L2328" s="6">
        <v>1870</v>
      </c>
      <c r="M2328" s="125">
        <f t="shared" si="49"/>
        <v>-30</v>
      </c>
      <c r="N2328" s="18"/>
      <c r="O2328" s="135"/>
      <c r="P2328" s="175">
        <v>14775</v>
      </c>
      <c r="Q2328" s="25">
        <v>0.12920000000000001</v>
      </c>
      <c r="U2328" s="384">
        <v>0</v>
      </c>
      <c r="W2328" s="285">
        <f t="shared" si="47"/>
        <v>1908.93</v>
      </c>
    </row>
    <row r="2329" spans="1:23" ht="15" customHeight="1">
      <c r="A2329" s="3">
        <v>39156</v>
      </c>
      <c r="B2329" s="9">
        <v>14275</v>
      </c>
      <c r="C2329" s="5">
        <v>16800</v>
      </c>
      <c r="D2329" s="5" t="e">
        <f>E2329-(#REF!+C2329)</f>
        <v>#REF!</v>
      </c>
      <c r="E2329" s="5">
        <v>31075</v>
      </c>
      <c r="K2329" s="22">
        <v>1945</v>
      </c>
      <c r="L2329" s="6">
        <v>1909</v>
      </c>
      <c r="M2329" s="125">
        <f t="shared" si="49"/>
        <v>-36</v>
      </c>
      <c r="N2329" s="18"/>
      <c r="O2329" s="135"/>
      <c r="P2329" s="175">
        <v>14775</v>
      </c>
      <c r="Q2329" s="25">
        <v>0.12920000000000001</v>
      </c>
      <c r="U2329" s="384">
        <v>0</v>
      </c>
      <c r="W2329" s="285">
        <f t="shared" si="47"/>
        <v>1908.93</v>
      </c>
    </row>
    <row r="2330" spans="1:23" ht="15" customHeight="1">
      <c r="A2330" s="3">
        <v>39157</v>
      </c>
      <c r="B2330" s="9">
        <v>14075</v>
      </c>
      <c r="C2330" s="5">
        <v>16875</v>
      </c>
      <c r="D2330" s="5" t="e">
        <f>E2330-(#REF!+C2330)</f>
        <v>#REF!</v>
      </c>
      <c r="E2330" s="5">
        <v>30950</v>
      </c>
      <c r="K2330" s="22">
        <v>1912</v>
      </c>
      <c r="L2330" s="6">
        <v>1885</v>
      </c>
      <c r="M2330" s="125">
        <f t="shared" si="49"/>
        <v>-27</v>
      </c>
      <c r="N2330" s="18"/>
      <c r="O2330" s="135"/>
      <c r="P2330" s="175">
        <v>14900</v>
      </c>
      <c r="Q2330" s="25">
        <v>0.1293</v>
      </c>
      <c r="U2330" s="384">
        <v>0</v>
      </c>
      <c r="W2330" s="285">
        <f t="shared" si="47"/>
        <v>1926.57</v>
      </c>
    </row>
    <row r="2331" spans="1:23" ht="15" customHeight="1">
      <c r="A2331" s="3">
        <v>39160</v>
      </c>
      <c r="B2331" s="9">
        <v>14075</v>
      </c>
      <c r="C2331" s="5">
        <v>17150</v>
      </c>
      <c r="D2331" s="5" t="e">
        <f>E2331-(#REF!+C2331)</f>
        <v>#REF!</v>
      </c>
      <c r="E2331" s="5">
        <v>31225</v>
      </c>
      <c r="K2331" s="22">
        <v>1963</v>
      </c>
      <c r="L2331" s="6">
        <v>1920</v>
      </c>
      <c r="M2331" s="125">
        <f t="shared" si="49"/>
        <v>-43</v>
      </c>
      <c r="N2331" s="18"/>
      <c r="O2331" s="135"/>
      <c r="P2331" s="175">
        <v>14900</v>
      </c>
      <c r="Q2331" s="25">
        <v>0.1293</v>
      </c>
      <c r="U2331" s="384">
        <v>0</v>
      </c>
      <c r="W2331" s="285">
        <f t="shared" si="47"/>
        <v>1926.57</v>
      </c>
    </row>
    <row r="2332" spans="1:23" ht="15" customHeight="1">
      <c r="A2332" s="3">
        <v>39161</v>
      </c>
      <c r="B2332" s="9">
        <v>13875</v>
      </c>
      <c r="C2332" s="5">
        <v>17200</v>
      </c>
      <c r="D2332" s="5" t="e">
        <f>E2332-(#REF!+C2332)</f>
        <v>#REF!</v>
      </c>
      <c r="E2332" s="5">
        <v>31075</v>
      </c>
      <c r="K2332" s="22">
        <v>1950</v>
      </c>
      <c r="L2332" s="6">
        <v>1921.5</v>
      </c>
      <c r="M2332" s="125">
        <f>L2332-K2332</f>
        <v>-28.5</v>
      </c>
      <c r="N2332" s="18"/>
      <c r="O2332" s="135"/>
      <c r="P2332" s="175">
        <v>14900</v>
      </c>
      <c r="Q2332" s="25">
        <v>0.12920000000000001</v>
      </c>
      <c r="U2332" s="384">
        <v>0</v>
      </c>
      <c r="W2332" s="285">
        <f t="shared" si="47"/>
        <v>1925.0800000000002</v>
      </c>
    </row>
    <row r="2333" spans="1:23" ht="15" customHeight="1">
      <c r="A2333" s="3">
        <v>39162</v>
      </c>
      <c r="B2333" s="9">
        <v>13875</v>
      </c>
      <c r="C2333" s="5">
        <v>17250</v>
      </c>
      <c r="D2333" s="5" t="e">
        <f>E2333-(#REF!+C2333)</f>
        <v>#REF!</v>
      </c>
      <c r="E2333" s="5">
        <v>31125</v>
      </c>
      <c r="K2333" s="22">
        <v>1941</v>
      </c>
      <c r="L2333" s="6">
        <v>1915</v>
      </c>
      <c r="M2333" s="125">
        <f t="shared" si="49"/>
        <v>-26</v>
      </c>
      <c r="N2333" s="18"/>
      <c r="O2333" s="135"/>
      <c r="P2333" s="175">
        <v>14900</v>
      </c>
      <c r="Q2333" s="25">
        <v>0.1293</v>
      </c>
      <c r="U2333" s="384">
        <v>0</v>
      </c>
      <c r="W2333" s="285">
        <f t="shared" si="47"/>
        <v>1926.57</v>
      </c>
    </row>
    <row r="2334" spans="1:23" ht="15" customHeight="1">
      <c r="A2334" s="3">
        <v>39163</v>
      </c>
      <c r="B2334" s="9">
        <v>13825</v>
      </c>
      <c r="C2334" s="5">
        <v>17375</v>
      </c>
      <c r="D2334" s="5" t="e">
        <f>E2334-(#REF!+C2334)</f>
        <v>#REF!</v>
      </c>
      <c r="E2334" s="5">
        <v>31200</v>
      </c>
      <c r="K2334" s="22">
        <v>1939.5</v>
      </c>
      <c r="L2334" s="6">
        <v>1910</v>
      </c>
      <c r="M2334" s="125">
        <f t="shared" si="49"/>
        <v>-29.5</v>
      </c>
      <c r="N2334" s="18"/>
      <c r="O2334" s="135"/>
      <c r="P2334" s="175">
        <v>14900</v>
      </c>
      <c r="Q2334" s="25">
        <v>0.1293</v>
      </c>
      <c r="U2334" s="384">
        <v>0</v>
      </c>
      <c r="W2334" s="285">
        <f t="shared" si="47"/>
        <v>1926.57</v>
      </c>
    </row>
    <row r="2335" spans="1:23" ht="15" customHeight="1">
      <c r="A2335" s="3">
        <v>39164</v>
      </c>
      <c r="B2335" s="9">
        <v>13825</v>
      </c>
      <c r="C2335" s="5">
        <v>17450</v>
      </c>
      <c r="D2335" s="5" t="e">
        <f>E2335-(#REF!+C2335)</f>
        <v>#REF!</v>
      </c>
      <c r="E2335" s="5">
        <v>31275</v>
      </c>
      <c r="K2335" s="22">
        <v>1945</v>
      </c>
      <c r="L2335" s="6">
        <v>1926</v>
      </c>
      <c r="M2335" s="125">
        <f t="shared" si="49"/>
        <v>-19</v>
      </c>
      <c r="N2335" s="18"/>
      <c r="O2335" s="135"/>
      <c r="P2335" s="175">
        <v>14900</v>
      </c>
      <c r="Q2335" s="25">
        <v>0.1293</v>
      </c>
      <c r="U2335" s="384">
        <v>0</v>
      </c>
      <c r="W2335" s="285">
        <f t="shared" si="47"/>
        <v>1926.57</v>
      </c>
    </row>
    <row r="2336" spans="1:23" ht="15" customHeight="1">
      <c r="A2336" s="3">
        <v>39167</v>
      </c>
      <c r="B2336" s="9">
        <v>14325</v>
      </c>
      <c r="C2336" s="5">
        <v>17600</v>
      </c>
      <c r="D2336" s="5" t="e">
        <f>E2336-(#REF!+C2336)</f>
        <v>#REF!</v>
      </c>
      <c r="E2336" s="5">
        <v>31925</v>
      </c>
      <c r="K2336" s="22">
        <v>1910</v>
      </c>
      <c r="L2336" s="6">
        <v>1895</v>
      </c>
      <c r="M2336" s="125">
        <f t="shared" si="49"/>
        <v>-15</v>
      </c>
      <c r="N2336" s="18"/>
      <c r="O2336" s="135"/>
      <c r="P2336" s="175">
        <v>14900</v>
      </c>
      <c r="Q2336" s="25">
        <v>0.12920000000000001</v>
      </c>
      <c r="U2336" s="384">
        <v>0</v>
      </c>
      <c r="W2336" s="285">
        <f t="shared" si="47"/>
        <v>1925.0800000000002</v>
      </c>
    </row>
    <row r="2337" spans="1:23" ht="15" customHeight="1">
      <c r="A2337" s="3">
        <v>39168</v>
      </c>
      <c r="B2337" s="9">
        <v>15275</v>
      </c>
      <c r="C2337" s="5">
        <v>17775</v>
      </c>
      <c r="D2337" s="5" t="e">
        <f>E2337-(#REF!+C2337)</f>
        <v>#REF!</v>
      </c>
      <c r="E2337" s="5">
        <v>33050</v>
      </c>
      <c r="K2337" s="22">
        <v>1904</v>
      </c>
      <c r="L2337" s="6">
        <v>1889.5</v>
      </c>
      <c r="M2337" s="125">
        <f t="shared" si="49"/>
        <v>-14.5</v>
      </c>
      <c r="N2337" s="18"/>
      <c r="O2337" s="135"/>
      <c r="P2337" s="175">
        <v>14900</v>
      </c>
      <c r="Q2337" s="25">
        <v>0.1293</v>
      </c>
      <c r="U2337" s="384">
        <v>0</v>
      </c>
      <c r="W2337" s="285">
        <f t="shared" si="47"/>
        <v>1926.57</v>
      </c>
    </row>
    <row r="2338" spans="1:23" ht="15" customHeight="1">
      <c r="A2338" s="3">
        <v>39169</v>
      </c>
      <c r="B2338" s="9">
        <v>15200</v>
      </c>
      <c r="C2338" s="5">
        <v>18025</v>
      </c>
      <c r="D2338" s="5" t="e">
        <f>E2338-(#REF!+C2338)</f>
        <v>#REF!</v>
      </c>
      <c r="E2338" s="5">
        <v>33225</v>
      </c>
      <c r="K2338" s="22">
        <v>1938</v>
      </c>
      <c r="L2338" s="6">
        <v>1920</v>
      </c>
      <c r="M2338" s="125">
        <f t="shared" si="49"/>
        <v>-18</v>
      </c>
      <c r="N2338" s="18"/>
      <c r="O2338" s="135"/>
      <c r="P2338" s="175">
        <v>14900</v>
      </c>
      <c r="Q2338" s="25">
        <v>0.12939999999999999</v>
      </c>
      <c r="U2338" s="384">
        <v>0</v>
      </c>
      <c r="W2338" s="285">
        <f t="shared" si="47"/>
        <v>1928.0599999999997</v>
      </c>
    </row>
    <row r="2339" spans="1:23" ht="15" customHeight="1">
      <c r="A2339" s="3">
        <v>39170</v>
      </c>
      <c r="B2339" s="9">
        <v>15100</v>
      </c>
      <c r="C2339" s="5">
        <v>18025</v>
      </c>
      <c r="D2339" s="5" t="e">
        <f>E2339-(#REF!+C2339)</f>
        <v>#REF!</v>
      </c>
      <c r="E2339" s="5">
        <v>33125</v>
      </c>
      <c r="K2339" s="22">
        <v>1912</v>
      </c>
      <c r="L2339" s="6">
        <v>1905</v>
      </c>
      <c r="M2339" s="125">
        <f t="shared" si="49"/>
        <v>-7</v>
      </c>
      <c r="N2339" s="18"/>
      <c r="O2339" s="135"/>
      <c r="P2339" s="175">
        <v>14950</v>
      </c>
      <c r="Q2339" s="25">
        <v>0.12939999999999999</v>
      </c>
      <c r="U2339" s="384">
        <v>0</v>
      </c>
      <c r="W2339" s="285">
        <f t="shared" si="47"/>
        <v>1934.5299999999997</v>
      </c>
    </row>
    <row r="2340" spans="1:23" ht="15" customHeight="1" thickBot="1">
      <c r="A2340" s="11">
        <v>39171</v>
      </c>
      <c r="B2340" s="9">
        <v>14950</v>
      </c>
      <c r="C2340" s="13">
        <v>18300</v>
      </c>
      <c r="D2340" s="13" t="e">
        <f>E2340-(#REF!+C2340)</f>
        <v>#REF!</v>
      </c>
      <c r="E2340" s="13">
        <v>33250</v>
      </c>
      <c r="F2340" s="12"/>
      <c r="G2340" s="13"/>
      <c r="H2340" s="13"/>
      <c r="I2340" s="119"/>
      <c r="J2340" s="119"/>
      <c r="K2340" s="23">
        <v>1936</v>
      </c>
      <c r="L2340" s="14">
        <v>1926</v>
      </c>
      <c r="M2340" s="126">
        <f t="shared" si="49"/>
        <v>-10</v>
      </c>
      <c r="N2340" s="19">
        <f>AVERAGE(K2319:K2340)</f>
        <v>1914.0454545454545</v>
      </c>
      <c r="O2340" s="136">
        <f>AVERAGE(K2277:K2340)</f>
        <v>1786.796875</v>
      </c>
      <c r="P2340" s="176">
        <v>14950</v>
      </c>
      <c r="Q2340" s="27">
        <v>0.12939999999999999</v>
      </c>
      <c r="R2340" s="27"/>
      <c r="S2340" s="27"/>
      <c r="T2340" s="27"/>
      <c r="U2340" s="385">
        <v>0</v>
      </c>
      <c r="V2340" s="38">
        <f>AVERAGE(P2319:P2340)</f>
        <v>14900</v>
      </c>
      <c r="W2340" s="285">
        <f t="shared" si="47"/>
        <v>1934.5299999999997</v>
      </c>
    </row>
    <row r="2341" spans="1:23" ht="15" customHeight="1">
      <c r="A2341" s="3">
        <v>39174</v>
      </c>
      <c r="B2341" s="9">
        <v>15250</v>
      </c>
      <c r="C2341" s="5">
        <v>18425</v>
      </c>
      <c r="D2341" s="5" t="e">
        <f>E2341-(#REF!+C2341)</f>
        <v>#REF!</v>
      </c>
      <c r="E2341" s="5">
        <v>33675</v>
      </c>
      <c r="K2341" s="22">
        <v>1945</v>
      </c>
      <c r="L2341" s="6">
        <v>1930</v>
      </c>
      <c r="M2341" s="125">
        <f t="shared" si="49"/>
        <v>-15</v>
      </c>
      <c r="N2341" s="20"/>
      <c r="O2341" s="138"/>
      <c r="P2341" s="175">
        <v>14950</v>
      </c>
      <c r="Q2341" s="25">
        <v>0.12939999999999999</v>
      </c>
      <c r="U2341" s="384">
        <v>0</v>
      </c>
      <c r="W2341" s="285">
        <f t="shared" si="47"/>
        <v>1934.5299999999997</v>
      </c>
    </row>
    <row r="2342" spans="1:23" ht="15" customHeight="1">
      <c r="A2342" s="3">
        <v>39175</v>
      </c>
      <c r="B2342" s="9">
        <v>15850</v>
      </c>
      <c r="C2342" s="5">
        <v>18775</v>
      </c>
      <c r="D2342" s="5" t="e">
        <f>E2342-(#REF!+C2342)</f>
        <v>#REF!</v>
      </c>
      <c r="E2342" s="5">
        <v>34625</v>
      </c>
      <c r="K2342" s="22">
        <v>1979</v>
      </c>
      <c r="L2342" s="6">
        <v>1965</v>
      </c>
      <c r="M2342" s="125">
        <f t="shared" si="49"/>
        <v>-14</v>
      </c>
      <c r="N2342" s="18"/>
      <c r="O2342" s="135"/>
      <c r="P2342" s="175">
        <v>14950</v>
      </c>
      <c r="Q2342" s="25">
        <v>0.1293</v>
      </c>
      <c r="U2342" s="384">
        <v>0</v>
      </c>
      <c r="W2342" s="285">
        <f t="shared" si="47"/>
        <v>1933.0350000000001</v>
      </c>
    </row>
    <row r="2343" spans="1:23" ht="15" customHeight="1">
      <c r="A2343" s="3">
        <v>39176</v>
      </c>
      <c r="B2343" s="9">
        <v>15825</v>
      </c>
      <c r="C2343" s="5">
        <v>19125</v>
      </c>
      <c r="D2343" s="5" t="e">
        <f>E2343-(#REF!+C2343)</f>
        <v>#REF!</v>
      </c>
      <c r="E2343" s="5">
        <v>34950</v>
      </c>
      <c r="K2343" s="22">
        <v>2018</v>
      </c>
      <c r="L2343" s="6">
        <v>1995</v>
      </c>
      <c r="M2343" s="125">
        <f t="shared" si="49"/>
        <v>-23</v>
      </c>
      <c r="N2343" s="18"/>
      <c r="O2343" s="135"/>
      <c r="P2343" s="175">
        <v>15000</v>
      </c>
      <c r="Q2343" s="25">
        <v>0.1293</v>
      </c>
      <c r="U2343" s="384">
        <v>0</v>
      </c>
      <c r="W2343" s="285">
        <f t="shared" si="47"/>
        <v>1939.5</v>
      </c>
    </row>
    <row r="2344" spans="1:23" ht="15" customHeight="1">
      <c r="A2344" s="3">
        <v>39177</v>
      </c>
      <c r="B2344" s="9">
        <v>15525</v>
      </c>
      <c r="C2344" s="5">
        <v>19450</v>
      </c>
      <c r="D2344" s="5" t="e">
        <f>E2344-(#REF!+C2344)</f>
        <v>#REF!</v>
      </c>
      <c r="E2344" s="5">
        <v>34975</v>
      </c>
      <c r="K2344" s="22">
        <v>2021</v>
      </c>
      <c r="L2344" s="6">
        <v>1990</v>
      </c>
      <c r="M2344" s="125">
        <f t="shared" si="49"/>
        <v>-31</v>
      </c>
      <c r="N2344" s="18"/>
      <c r="O2344" s="135"/>
      <c r="P2344" s="175">
        <v>15075</v>
      </c>
      <c r="Q2344" s="25">
        <v>0.12939999999999999</v>
      </c>
      <c r="U2344" s="384">
        <v>0</v>
      </c>
      <c r="W2344" s="285">
        <f t="shared" si="47"/>
        <v>1950.7049999999997</v>
      </c>
    </row>
    <row r="2345" spans="1:23" ht="15" customHeight="1">
      <c r="A2345" s="3">
        <v>39178</v>
      </c>
      <c r="B2345" s="9">
        <v>0</v>
      </c>
      <c r="C2345" s="186"/>
      <c r="D2345" s="186"/>
      <c r="E2345" s="186"/>
      <c r="F2345" s="1379" t="s">
        <v>24</v>
      </c>
      <c r="G2345" s="1379"/>
      <c r="H2345" s="1379"/>
      <c r="I2345" s="1379"/>
      <c r="J2345" s="325"/>
      <c r="K2345" s="186"/>
      <c r="L2345" s="186"/>
      <c r="M2345" s="186"/>
      <c r="N2345" s="18"/>
      <c r="O2345" s="135"/>
      <c r="P2345" s="175">
        <v>15075</v>
      </c>
      <c r="Q2345" s="25">
        <v>0.12939999999999999</v>
      </c>
      <c r="U2345" s="384">
        <v>0</v>
      </c>
      <c r="W2345" s="285">
        <f t="shared" si="47"/>
        <v>1950.7049999999997</v>
      </c>
    </row>
    <row r="2346" spans="1:23" ht="15" customHeight="1">
      <c r="A2346" s="3">
        <v>39181</v>
      </c>
      <c r="B2346" s="9">
        <v>0</v>
      </c>
      <c r="C2346" s="186"/>
      <c r="D2346" s="186"/>
      <c r="E2346" s="186"/>
      <c r="F2346" s="1379"/>
      <c r="G2346" s="1379"/>
      <c r="H2346" s="1379"/>
      <c r="I2346" s="1379"/>
      <c r="J2346" s="325"/>
      <c r="K2346" s="186"/>
      <c r="L2346" s="186"/>
      <c r="M2346" s="186"/>
      <c r="N2346" s="18"/>
      <c r="O2346" s="135"/>
      <c r="P2346" s="175">
        <v>15225</v>
      </c>
      <c r="Q2346" s="25">
        <v>0.1295</v>
      </c>
      <c r="U2346" s="384">
        <v>0</v>
      </c>
      <c r="W2346" s="285">
        <f t="shared" si="47"/>
        <v>1971.6375</v>
      </c>
    </row>
    <row r="2347" spans="1:23" ht="15" customHeight="1">
      <c r="A2347" s="3">
        <v>39182</v>
      </c>
      <c r="B2347" s="9">
        <v>14450</v>
      </c>
      <c r="C2347" s="5">
        <v>19575</v>
      </c>
      <c r="D2347" s="5" t="e">
        <f>E2347-(#REF!+C2347)</f>
        <v>#REF!</v>
      </c>
      <c r="E2347" s="5">
        <v>34025</v>
      </c>
      <c r="K2347" s="22">
        <v>2041</v>
      </c>
      <c r="L2347" s="6">
        <v>2030.5</v>
      </c>
      <c r="M2347" s="125">
        <f t="shared" ref="M2347:M2379" si="50">L2347-K2347</f>
        <v>-10.5</v>
      </c>
      <c r="N2347" s="18"/>
      <c r="O2347" s="135"/>
      <c r="P2347" s="175">
        <v>15300</v>
      </c>
      <c r="Q2347" s="25">
        <v>0.1293</v>
      </c>
      <c r="U2347" s="384">
        <v>0</v>
      </c>
      <c r="W2347" s="285">
        <f t="shared" si="47"/>
        <v>1978.29</v>
      </c>
    </row>
    <row r="2348" spans="1:23" ht="15" customHeight="1">
      <c r="A2348" s="3">
        <v>39183</v>
      </c>
      <c r="B2348" s="9">
        <v>15425</v>
      </c>
      <c r="C2348" s="5">
        <v>19925</v>
      </c>
      <c r="D2348" s="5" t="e">
        <f>E2348-(#REF!+C2348)</f>
        <v>#REF!</v>
      </c>
      <c r="E2348" s="5">
        <v>35350</v>
      </c>
      <c r="K2348" s="22">
        <v>2047</v>
      </c>
      <c r="L2348" s="6">
        <v>2031</v>
      </c>
      <c r="M2348" s="125">
        <f t="shared" si="50"/>
        <v>-16</v>
      </c>
      <c r="N2348" s="18"/>
      <c r="O2348" s="135"/>
      <c r="P2348" s="175">
        <v>15425</v>
      </c>
      <c r="Q2348" s="25">
        <v>0.12939999999999999</v>
      </c>
      <c r="U2348" s="384">
        <v>0</v>
      </c>
      <c r="W2348" s="285">
        <f t="shared" si="47"/>
        <v>1995.9949999999999</v>
      </c>
    </row>
    <row r="2349" spans="1:23" ht="15" customHeight="1">
      <c r="A2349" s="3">
        <v>39184</v>
      </c>
      <c r="B2349" s="9">
        <v>15625</v>
      </c>
      <c r="C2349" s="5">
        <v>19975</v>
      </c>
      <c r="D2349" s="5" t="e">
        <f>E2349-(#REF!+C2349)</f>
        <v>#REF!</v>
      </c>
      <c r="E2349" s="5">
        <v>35600</v>
      </c>
      <c r="K2349" s="22">
        <v>2030</v>
      </c>
      <c r="L2349" s="6">
        <v>2000</v>
      </c>
      <c r="M2349" s="125">
        <f t="shared" si="50"/>
        <v>-30</v>
      </c>
      <c r="N2349" s="18"/>
      <c r="O2349" s="135"/>
      <c r="P2349" s="175">
        <v>15425</v>
      </c>
      <c r="Q2349" s="25">
        <v>0.12939999999999999</v>
      </c>
      <c r="U2349" s="384">
        <v>0</v>
      </c>
      <c r="W2349" s="285">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25">
        <f t="shared" si="50"/>
        <v>-15</v>
      </c>
      <c r="N2350" s="18"/>
      <c r="O2350" s="135"/>
      <c r="P2350" s="175">
        <v>15425</v>
      </c>
      <c r="Q2350" s="25">
        <v>0.1295</v>
      </c>
      <c r="U2350" s="384">
        <v>0</v>
      </c>
      <c r="W2350" s="285">
        <f t="shared" si="51"/>
        <v>1997.5375000000001</v>
      </c>
    </row>
    <row r="2351" spans="1:23" ht="15" customHeight="1">
      <c r="A2351" s="3">
        <v>39188</v>
      </c>
      <c r="B2351" s="9">
        <v>16075</v>
      </c>
      <c r="C2351" s="5">
        <v>20125</v>
      </c>
      <c r="D2351" s="5" t="e">
        <f>E2351-(#REF!+C2351)</f>
        <v>#REF!</v>
      </c>
      <c r="E2351" s="5">
        <v>36200</v>
      </c>
      <c r="K2351" s="22">
        <v>2050</v>
      </c>
      <c r="L2351" s="6">
        <v>2035</v>
      </c>
      <c r="M2351" s="125">
        <f t="shared" si="50"/>
        <v>-15</v>
      </c>
      <c r="N2351" s="18"/>
      <c r="O2351" s="135"/>
      <c r="P2351" s="175">
        <v>15425</v>
      </c>
      <c r="Q2351" s="25">
        <v>0.12939999999999999</v>
      </c>
      <c r="U2351" s="384">
        <v>0</v>
      </c>
      <c r="W2351" s="285">
        <f t="shared" si="51"/>
        <v>1995.9949999999999</v>
      </c>
    </row>
    <row r="2352" spans="1:23" ht="15" customHeight="1">
      <c r="A2352" s="3">
        <v>39189</v>
      </c>
      <c r="B2352" s="9">
        <v>17275</v>
      </c>
      <c r="C2352" s="5">
        <v>20525</v>
      </c>
      <c r="D2352" s="5" t="e">
        <f>E2352-(#REF!+C2352)</f>
        <v>#REF!</v>
      </c>
      <c r="E2352" s="5">
        <v>37800</v>
      </c>
      <c r="K2352" s="22">
        <v>2001</v>
      </c>
      <c r="L2352" s="6">
        <v>1986</v>
      </c>
      <c r="M2352" s="125">
        <f t="shared" si="50"/>
        <v>-15</v>
      </c>
      <c r="N2352" s="18"/>
      <c r="O2352" s="135"/>
      <c r="P2352" s="175">
        <v>15550</v>
      </c>
      <c r="Q2352" s="25">
        <v>0.1293</v>
      </c>
      <c r="U2352" s="384">
        <v>0</v>
      </c>
      <c r="W2352" s="285">
        <f t="shared" si="51"/>
        <v>2010.615</v>
      </c>
    </row>
    <row r="2353" spans="1:23" ht="15" customHeight="1">
      <c r="A2353" s="3">
        <v>39190</v>
      </c>
      <c r="B2353" s="9">
        <v>17275</v>
      </c>
      <c r="C2353" s="5">
        <v>20650</v>
      </c>
      <c r="D2353" s="5" t="e">
        <f>E2353-(#REF!+C2353)</f>
        <v>#REF!</v>
      </c>
      <c r="E2353" s="5">
        <v>37950</v>
      </c>
      <c r="K2353" s="22">
        <v>2000</v>
      </c>
      <c r="L2353" s="6">
        <v>1985</v>
      </c>
      <c r="M2353" s="125">
        <f t="shared" si="50"/>
        <v>-15</v>
      </c>
      <c r="N2353" s="18"/>
      <c r="O2353" s="135"/>
      <c r="P2353" s="175">
        <v>15700</v>
      </c>
      <c r="Q2353" s="25">
        <v>0.1295</v>
      </c>
      <c r="U2353" s="384">
        <v>0</v>
      </c>
      <c r="W2353" s="285">
        <f t="shared" si="51"/>
        <v>2033.15</v>
      </c>
    </row>
    <row r="2354" spans="1:23" ht="15" customHeight="1">
      <c r="A2354" s="3">
        <v>39191</v>
      </c>
      <c r="B2354" s="9">
        <v>17725</v>
      </c>
      <c r="C2354" s="5">
        <v>20675</v>
      </c>
      <c r="D2354" s="5" t="e">
        <f>E2354-(#REF!+C2354)</f>
        <v>#REF!</v>
      </c>
      <c r="E2354" s="5">
        <v>38525</v>
      </c>
      <c r="K2354" s="22">
        <v>1975</v>
      </c>
      <c r="L2354" s="6">
        <v>1990</v>
      </c>
      <c r="M2354" s="125">
        <f t="shared" si="50"/>
        <v>15</v>
      </c>
      <c r="N2354" s="18"/>
      <c r="O2354" s="135"/>
      <c r="P2354" s="175">
        <v>15800</v>
      </c>
      <c r="Q2354" s="25">
        <v>0.12959999999999999</v>
      </c>
      <c r="U2354" s="384">
        <v>0</v>
      </c>
      <c r="W2354" s="285">
        <f t="shared" si="51"/>
        <v>2047.6799999999998</v>
      </c>
    </row>
    <row r="2355" spans="1:23" ht="15" customHeight="1">
      <c r="A2355" s="3">
        <v>39192</v>
      </c>
      <c r="B2355" s="9">
        <v>18650</v>
      </c>
      <c r="C2355" s="5">
        <v>21250</v>
      </c>
      <c r="D2355" s="5" t="e">
        <f>E2355-(#REF!+C2355)</f>
        <v>#REF!</v>
      </c>
      <c r="E2355" s="5">
        <v>40025</v>
      </c>
      <c r="K2355" s="22">
        <v>1980</v>
      </c>
      <c r="L2355" s="6">
        <v>1976</v>
      </c>
      <c r="M2355" s="125">
        <f t="shared" si="50"/>
        <v>-4</v>
      </c>
      <c r="N2355" s="18"/>
      <c r="O2355" s="135"/>
      <c r="P2355" s="175">
        <v>15800</v>
      </c>
      <c r="Q2355" s="25">
        <v>0.12959999999999999</v>
      </c>
      <c r="U2355" s="384">
        <v>0</v>
      </c>
      <c r="W2355" s="285">
        <f t="shared" si="51"/>
        <v>2047.6799999999998</v>
      </c>
    </row>
    <row r="2356" spans="1:23" ht="15" customHeight="1">
      <c r="A2356" s="3">
        <v>39195</v>
      </c>
      <c r="B2356" s="9">
        <v>18800</v>
      </c>
      <c r="C2356" s="5">
        <v>21425</v>
      </c>
      <c r="D2356" s="5" t="e">
        <f>E2356-(#REF!+C2356)</f>
        <v>#REF!</v>
      </c>
      <c r="E2356" s="5">
        <v>40350</v>
      </c>
      <c r="K2356" s="22">
        <v>1960</v>
      </c>
      <c r="L2356" s="6">
        <v>1960</v>
      </c>
      <c r="M2356" s="125">
        <f t="shared" si="50"/>
        <v>0</v>
      </c>
      <c r="N2356" s="18"/>
      <c r="O2356" s="135"/>
      <c r="P2356" s="175">
        <v>15825</v>
      </c>
      <c r="Q2356" s="25">
        <v>0.1295</v>
      </c>
      <c r="U2356" s="384">
        <v>0</v>
      </c>
      <c r="W2356" s="285">
        <f t="shared" si="51"/>
        <v>2049.3375000000001</v>
      </c>
    </row>
    <row r="2357" spans="1:23" ht="15" customHeight="1">
      <c r="A2357" s="3">
        <v>39196</v>
      </c>
      <c r="B2357" s="9">
        <v>19225</v>
      </c>
      <c r="C2357" s="5">
        <v>21525</v>
      </c>
      <c r="D2357" s="5" t="e">
        <f>E2357-(#REF!+C2357)</f>
        <v>#REF!</v>
      </c>
      <c r="E2357" s="5">
        <v>40925</v>
      </c>
      <c r="K2357" s="22">
        <v>2015</v>
      </c>
      <c r="L2357" s="6">
        <v>2024</v>
      </c>
      <c r="M2357" s="125">
        <f t="shared" si="50"/>
        <v>9</v>
      </c>
      <c r="N2357" s="18"/>
      <c r="O2357" s="135"/>
      <c r="P2357" s="175">
        <v>15900</v>
      </c>
      <c r="Q2357" s="25">
        <v>0.12939999999999999</v>
      </c>
      <c r="U2357" s="384">
        <v>0</v>
      </c>
      <c r="W2357" s="285">
        <f t="shared" si="51"/>
        <v>2057.4599999999996</v>
      </c>
    </row>
    <row r="2358" spans="1:23" ht="15" customHeight="1">
      <c r="A2358" s="3">
        <v>39197</v>
      </c>
      <c r="B2358" s="9">
        <v>19550</v>
      </c>
      <c r="C2358" s="5">
        <v>21525</v>
      </c>
      <c r="D2358" s="5" t="e">
        <f>E2358-(#REF!+C2358)</f>
        <v>#REF!</v>
      </c>
      <c r="E2358" s="5">
        <v>41350</v>
      </c>
      <c r="K2358" s="22">
        <v>1980</v>
      </c>
      <c r="L2358" s="6">
        <v>1990</v>
      </c>
      <c r="M2358" s="125">
        <f t="shared" si="50"/>
        <v>10</v>
      </c>
      <c r="N2358" s="18"/>
      <c r="O2358" s="135"/>
      <c r="P2358" s="175">
        <v>15950</v>
      </c>
      <c r="Q2358" s="25">
        <v>0.12939999999999999</v>
      </c>
      <c r="U2358" s="384">
        <v>0</v>
      </c>
      <c r="W2358" s="285">
        <f t="shared" si="51"/>
        <v>2063.9299999999998</v>
      </c>
    </row>
    <row r="2359" spans="1:23" ht="15" customHeight="1">
      <c r="A2359" s="3">
        <v>39198</v>
      </c>
      <c r="B2359" s="9">
        <v>19500</v>
      </c>
      <c r="C2359" s="5">
        <v>21675</v>
      </c>
      <c r="D2359" s="5" t="e">
        <f>E2359-(#REF!+C2359)</f>
        <v>#REF!</v>
      </c>
      <c r="E2359" s="5">
        <v>41450</v>
      </c>
      <c r="K2359" s="22">
        <v>1951</v>
      </c>
      <c r="L2359" s="6">
        <v>1975</v>
      </c>
      <c r="M2359" s="125">
        <f t="shared" si="50"/>
        <v>24</v>
      </c>
      <c r="N2359" s="18"/>
      <c r="O2359" s="135"/>
      <c r="P2359" s="175">
        <v>16050</v>
      </c>
      <c r="Q2359" s="25">
        <v>0.12939999999999999</v>
      </c>
      <c r="U2359" s="384">
        <v>0</v>
      </c>
      <c r="W2359" s="285">
        <f t="shared" si="51"/>
        <v>2076.87</v>
      </c>
    </row>
    <row r="2360" spans="1:23" ht="15" customHeight="1">
      <c r="A2360" s="3">
        <v>39199</v>
      </c>
      <c r="B2360" s="9">
        <v>19200</v>
      </c>
      <c r="C2360" s="5">
        <v>21875</v>
      </c>
      <c r="D2360" s="5" t="e">
        <f>E2360-(#REF!+C2360)</f>
        <v>#REF!</v>
      </c>
      <c r="E2360" s="5">
        <v>41350</v>
      </c>
      <c r="K2360" s="22">
        <v>2000</v>
      </c>
      <c r="L2360" s="6">
        <v>1991.5</v>
      </c>
      <c r="M2360" s="125">
        <f t="shared" si="50"/>
        <v>-8.5</v>
      </c>
      <c r="N2360" s="18"/>
      <c r="O2360" s="135"/>
      <c r="P2360" s="175">
        <v>16150</v>
      </c>
      <c r="Q2360" s="25">
        <v>0.1295</v>
      </c>
      <c r="U2360" s="384">
        <v>0</v>
      </c>
      <c r="W2360" s="285">
        <f t="shared" si="51"/>
        <v>2091.4250000000002</v>
      </c>
    </row>
    <row r="2361" spans="1:23" ht="15" customHeight="1" thickBot="1">
      <c r="A2361" s="11">
        <v>39202</v>
      </c>
      <c r="B2361" s="9">
        <v>19350</v>
      </c>
      <c r="C2361" s="13">
        <v>21875</v>
      </c>
      <c r="D2361" s="13" t="e">
        <f>E2361-(#REF!+C2361)</f>
        <v>#REF!</v>
      </c>
      <c r="E2361" s="13">
        <v>41575</v>
      </c>
      <c r="F2361" s="12"/>
      <c r="G2361" s="13"/>
      <c r="H2361" s="13"/>
      <c r="I2361" s="119"/>
      <c r="J2361" s="119"/>
      <c r="K2361" s="23">
        <v>2000</v>
      </c>
      <c r="L2361" s="14">
        <v>2010</v>
      </c>
      <c r="M2361" s="126">
        <f t="shared" si="50"/>
        <v>10</v>
      </c>
      <c r="N2361" s="19">
        <f>AVERAGE(K2341:K2361)</f>
        <v>2000.9473684210527</v>
      </c>
      <c r="O2361" s="136">
        <f>AVERAGE(K2277:K2361)</f>
        <v>1835.8192771084337</v>
      </c>
      <c r="P2361" s="176">
        <v>16250</v>
      </c>
      <c r="Q2361" s="27">
        <v>0.1298</v>
      </c>
      <c r="U2361" s="385">
        <v>0</v>
      </c>
      <c r="V2361" s="38">
        <f>AVERAGE(P2341:P2361)</f>
        <v>15535.714285714286</v>
      </c>
      <c r="W2361" s="285">
        <f t="shared" si="51"/>
        <v>2109.25</v>
      </c>
    </row>
    <row r="2362" spans="1:23" ht="15" customHeight="1">
      <c r="A2362" s="3">
        <v>39203</v>
      </c>
      <c r="B2362" s="9">
        <v>20175</v>
      </c>
      <c r="C2362" s="5">
        <v>21875</v>
      </c>
      <c r="D2362" s="5" t="e">
        <f>E2362-(#REF!+C2362)</f>
        <v>#REF!</v>
      </c>
      <c r="E2362" s="5">
        <v>42475</v>
      </c>
      <c r="K2362" s="22">
        <v>1995</v>
      </c>
      <c r="L2362" s="6">
        <v>2015</v>
      </c>
      <c r="M2362" s="125">
        <f t="shared" si="50"/>
        <v>20</v>
      </c>
      <c r="N2362" s="20"/>
      <c r="O2362" s="138"/>
      <c r="P2362" s="187"/>
      <c r="Q2362" s="1362" t="s">
        <v>23</v>
      </c>
      <c r="R2362" s="1362"/>
      <c r="S2362" s="1362"/>
      <c r="T2362" s="1362"/>
      <c r="U2362" s="1362"/>
      <c r="V2362" s="187"/>
      <c r="W2362" s="285" t="e">
        <f t="shared" si="51"/>
        <v>#VALUE!</v>
      </c>
    </row>
    <row r="2363" spans="1:23" ht="15" customHeight="1">
      <c r="A2363" s="3">
        <v>39204</v>
      </c>
      <c r="B2363" s="9">
        <v>20175</v>
      </c>
      <c r="C2363" s="5">
        <v>22150</v>
      </c>
      <c r="D2363" s="5" t="e">
        <f>E2363-(#REF!+C2363)</f>
        <v>#REF!</v>
      </c>
      <c r="E2363" s="5">
        <v>42750</v>
      </c>
      <c r="K2363" s="22">
        <v>2025</v>
      </c>
      <c r="L2363" s="6">
        <v>2030.5</v>
      </c>
      <c r="M2363" s="125">
        <f t="shared" si="50"/>
        <v>5.5</v>
      </c>
      <c r="N2363" s="18"/>
      <c r="O2363" s="135"/>
      <c r="P2363" s="189"/>
      <c r="Q2363" s="1363"/>
      <c r="R2363" s="1363"/>
      <c r="S2363" s="1363"/>
      <c r="T2363" s="1363"/>
      <c r="U2363" s="1363"/>
      <c r="V2363" s="189"/>
      <c r="W2363" s="285">
        <f t="shared" si="51"/>
        <v>0</v>
      </c>
    </row>
    <row r="2364" spans="1:23" ht="15" customHeight="1">
      <c r="A2364" s="3">
        <v>39205</v>
      </c>
      <c r="B2364" s="9">
        <v>20175</v>
      </c>
      <c r="C2364" s="5">
        <v>22425</v>
      </c>
      <c r="D2364" s="5" t="e">
        <f>E2364-(#REF!+C2364)</f>
        <v>#REF!</v>
      </c>
      <c r="E2364" s="5">
        <v>43025</v>
      </c>
      <c r="K2364" s="22">
        <v>2063</v>
      </c>
      <c r="L2364" s="6">
        <v>2070</v>
      </c>
      <c r="M2364" s="125">
        <f t="shared" si="50"/>
        <v>7</v>
      </c>
      <c r="N2364" s="18"/>
      <c r="O2364" s="135"/>
      <c r="P2364" s="189"/>
      <c r="Q2364" s="1363"/>
      <c r="R2364" s="1363"/>
      <c r="S2364" s="1363"/>
      <c r="T2364" s="1363"/>
      <c r="U2364" s="1363"/>
      <c r="V2364" s="189"/>
      <c r="W2364" s="285">
        <f t="shared" si="51"/>
        <v>0</v>
      </c>
    </row>
    <row r="2365" spans="1:23" ht="15" customHeight="1">
      <c r="A2365" s="3">
        <v>39206</v>
      </c>
      <c r="B2365" s="9">
        <v>20975</v>
      </c>
      <c r="C2365" s="5">
        <v>22425</v>
      </c>
      <c r="D2365" s="5" t="e">
        <f>E2365-(#REF!+C2365)</f>
        <v>#REF!</v>
      </c>
      <c r="E2365" s="5">
        <v>43825</v>
      </c>
      <c r="K2365" s="22">
        <v>2080</v>
      </c>
      <c r="L2365" s="6">
        <v>2080</v>
      </c>
      <c r="M2365" s="125">
        <f t="shared" si="50"/>
        <v>0</v>
      </c>
      <c r="N2365" s="18"/>
      <c r="O2365" s="135"/>
      <c r="P2365" s="189"/>
      <c r="Q2365" s="1363"/>
      <c r="R2365" s="1363"/>
      <c r="S2365" s="1363"/>
      <c r="T2365" s="1363"/>
      <c r="U2365" s="1363"/>
      <c r="V2365" s="189"/>
      <c r="W2365" s="285">
        <f t="shared" si="51"/>
        <v>0</v>
      </c>
    </row>
    <row r="2366" spans="1:23" ht="15" customHeight="1">
      <c r="A2366" s="3">
        <v>39210</v>
      </c>
      <c r="B2366" s="9">
        <v>20850</v>
      </c>
      <c r="C2366" s="5">
        <v>22425</v>
      </c>
      <c r="D2366" s="5" t="e">
        <f>E2366-(#REF!+C2366)</f>
        <v>#REF!</v>
      </c>
      <c r="E2366" s="5">
        <v>43800</v>
      </c>
      <c r="K2366" s="22">
        <v>2065.5</v>
      </c>
      <c r="L2366" s="6">
        <v>2075</v>
      </c>
      <c r="M2366" s="125">
        <f t="shared" si="50"/>
        <v>9.5</v>
      </c>
      <c r="N2366" s="18"/>
      <c r="O2366" s="135"/>
      <c r="P2366" s="175">
        <v>16900</v>
      </c>
      <c r="Q2366" s="25">
        <v>0.12989999999999999</v>
      </c>
      <c r="U2366" s="384">
        <v>0</v>
      </c>
      <c r="W2366" s="285">
        <f t="shared" si="51"/>
        <v>2195.31</v>
      </c>
    </row>
    <row r="2367" spans="1:23" ht="15" customHeight="1">
      <c r="A2367" s="3">
        <v>39211</v>
      </c>
      <c r="B2367" s="9">
        <v>21675</v>
      </c>
      <c r="C2367" s="5">
        <v>22625</v>
      </c>
      <c r="D2367" s="5" t="e">
        <f>E2367-(#REF!+C2367)</f>
        <v>#REF!</v>
      </c>
      <c r="E2367" s="5">
        <v>44650</v>
      </c>
      <c r="K2367" s="22">
        <v>2070</v>
      </c>
      <c r="L2367" s="6">
        <v>2076</v>
      </c>
      <c r="M2367" s="125">
        <f t="shared" si="50"/>
        <v>6</v>
      </c>
      <c r="N2367" s="18"/>
      <c r="O2367" s="135"/>
      <c r="P2367" s="175">
        <v>17000</v>
      </c>
      <c r="Q2367" s="25">
        <v>0.13</v>
      </c>
      <c r="U2367" s="384">
        <v>0</v>
      </c>
      <c r="W2367" s="285">
        <f t="shared" si="51"/>
        <v>2210</v>
      </c>
    </row>
    <row r="2368" spans="1:23" ht="15" customHeight="1">
      <c r="A2368" s="3">
        <v>39212</v>
      </c>
      <c r="B2368" s="9">
        <v>21600</v>
      </c>
      <c r="C2368" s="5">
        <v>22575</v>
      </c>
      <c r="D2368" s="5" t="e">
        <f>E2368-(#REF!+C2368)</f>
        <v>#REF!</v>
      </c>
      <c r="E2368" s="5">
        <v>44450</v>
      </c>
      <c r="K2368" s="22">
        <v>2060.5</v>
      </c>
      <c r="L2368" s="6">
        <v>2075</v>
      </c>
      <c r="M2368" s="125">
        <f t="shared" si="50"/>
        <v>14.5</v>
      </c>
      <c r="N2368" s="18"/>
      <c r="O2368" s="135"/>
      <c r="P2368" s="175">
        <v>17100</v>
      </c>
      <c r="Q2368" s="25">
        <v>0.13</v>
      </c>
      <c r="U2368" s="384">
        <v>0</v>
      </c>
      <c r="W2368" s="285">
        <f t="shared" si="51"/>
        <v>2223</v>
      </c>
    </row>
    <row r="2369" spans="1:23" ht="15" customHeight="1">
      <c r="A2369" s="3">
        <v>39213</v>
      </c>
      <c r="B2369" s="9">
        <v>21950</v>
      </c>
      <c r="C2369" s="5">
        <v>22500</v>
      </c>
      <c r="D2369" s="5" t="e">
        <f>E2369-(#REF!+C2369)</f>
        <v>#REF!</v>
      </c>
      <c r="E2369" s="5">
        <v>44700</v>
      </c>
      <c r="K2369" s="22">
        <v>2068</v>
      </c>
      <c r="L2369" s="6">
        <v>2070</v>
      </c>
      <c r="M2369" s="125">
        <f t="shared" si="50"/>
        <v>2</v>
      </c>
      <c r="N2369" s="18"/>
      <c r="O2369" s="135"/>
      <c r="P2369" s="175">
        <v>17100</v>
      </c>
      <c r="Q2369" s="25">
        <v>0.1303</v>
      </c>
      <c r="U2369" s="384">
        <v>0</v>
      </c>
      <c r="W2369" s="285">
        <f t="shared" si="51"/>
        <v>2228.13</v>
      </c>
    </row>
    <row r="2370" spans="1:23" ht="15" customHeight="1">
      <c r="A2370" s="3">
        <v>39216</v>
      </c>
      <c r="B2370" s="9">
        <v>21700</v>
      </c>
      <c r="C2370" s="5">
        <v>22725</v>
      </c>
      <c r="D2370" s="5" t="e">
        <f>E2370-(#REF!+C2370)</f>
        <v>#REF!</v>
      </c>
      <c r="E2370" s="5">
        <v>44525</v>
      </c>
      <c r="K2370" s="22">
        <v>2060</v>
      </c>
      <c r="L2370" s="6">
        <v>2065</v>
      </c>
      <c r="M2370" s="125">
        <f t="shared" si="50"/>
        <v>5</v>
      </c>
      <c r="N2370" s="18"/>
      <c r="O2370" s="135"/>
      <c r="P2370" s="175">
        <v>17100</v>
      </c>
      <c r="Q2370" s="25">
        <v>0.13020000000000001</v>
      </c>
      <c r="U2370" s="384">
        <v>0</v>
      </c>
      <c r="W2370" s="285">
        <f t="shared" si="51"/>
        <v>2226.42</v>
      </c>
    </row>
    <row r="2371" spans="1:23" ht="15" customHeight="1">
      <c r="A2371" s="3">
        <v>39217</v>
      </c>
      <c r="B2371" s="9">
        <v>21875</v>
      </c>
      <c r="C2371" s="5">
        <v>22975</v>
      </c>
      <c r="D2371" s="5" t="e">
        <f>E2371-(#REF!+C2371)</f>
        <v>#REF!</v>
      </c>
      <c r="E2371" s="5">
        <v>44950</v>
      </c>
      <c r="K2371" s="22">
        <v>2085.5</v>
      </c>
      <c r="L2371" s="6">
        <v>2085</v>
      </c>
      <c r="M2371" s="125">
        <f t="shared" si="50"/>
        <v>-0.5</v>
      </c>
      <c r="N2371" s="18"/>
      <c r="O2371" s="135"/>
      <c r="P2371" s="175">
        <v>16950</v>
      </c>
      <c r="Q2371" s="25">
        <v>0.13009999999999999</v>
      </c>
      <c r="U2371" s="384">
        <v>0</v>
      </c>
      <c r="W2371" s="285">
        <f t="shared" si="51"/>
        <v>2205.1949999999997</v>
      </c>
    </row>
    <row r="2372" spans="1:23" ht="15" customHeight="1">
      <c r="A2372" s="3">
        <v>39218</v>
      </c>
      <c r="B2372" s="9">
        <v>21950</v>
      </c>
      <c r="C2372" s="5">
        <v>22950</v>
      </c>
      <c r="D2372" s="5" t="e">
        <f>E2372-(#REF!+C2372)</f>
        <v>#REF!</v>
      </c>
      <c r="E2372" s="5">
        <v>45000</v>
      </c>
      <c r="K2372" s="22">
        <v>2075</v>
      </c>
      <c r="L2372" s="6">
        <v>2081.5</v>
      </c>
      <c r="M2372" s="125">
        <f t="shared" si="50"/>
        <v>6.5</v>
      </c>
      <c r="N2372" s="18"/>
      <c r="O2372" s="135"/>
      <c r="P2372" s="175">
        <v>16900</v>
      </c>
      <c r="Q2372" s="25">
        <v>0.13020000000000001</v>
      </c>
      <c r="U2372" s="384">
        <v>0</v>
      </c>
      <c r="W2372" s="285">
        <f t="shared" si="51"/>
        <v>2200.38</v>
      </c>
    </row>
    <row r="2373" spans="1:23" ht="15" customHeight="1">
      <c r="A2373" s="3">
        <v>39219</v>
      </c>
      <c r="B2373" s="9">
        <v>24750</v>
      </c>
      <c r="C2373" s="5">
        <v>22950</v>
      </c>
      <c r="D2373" s="5" t="e">
        <f>E2373-(#REF!+C2373)</f>
        <v>#REF!</v>
      </c>
      <c r="E2373" s="5">
        <v>47875</v>
      </c>
      <c r="K2373" s="22">
        <v>2005</v>
      </c>
      <c r="L2373" s="6">
        <v>2015</v>
      </c>
      <c r="M2373" s="125">
        <f t="shared" si="50"/>
        <v>10</v>
      </c>
      <c r="N2373" s="18"/>
      <c r="O2373" s="135"/>
      <c r="P2373" s="175">
        <v>16900</v>
      </c>
      <c r="Q2373" s="25">
        <v>0.13039999999999999</v>
      </c>
      <c r="U2373" s="384">
        <v>0</v>
      </c>
      <c r="W2373" s="285">
        <f t="shared" si="51"/>
        <v>2203.7599999999998</v>
      </c>
    </row>
    <row r="2374" spans="1:23" ht="15" customHeight="1">
      <c r="A2374" s="3">
        <v>39220</v>
      </c>
      <c r="B2374" s="9">
        <v>25600</v>
      </c>
      <c r="C2374" s="5">
        <v>22950</v>
      </c>
      <c r="D2374" s="5" t="e">
        <f>E2374-(#REF!+C2374)</f>
        <v>#REF!</v>
      </c>
      <c r="E2374" s="5">
        <v>48725</v>
      </c>
      <c r="K2374" s="22">
        <v>1995</v>
      </c>
      <c r="L2374" s="6">
        <v>2020</v>
      </c>
      <c r="M2374" s="125">
        <f t="shared" si="50"/>
        <v>25</v>
      </c>
      <c r="N2374" s="18"/>
      <c r="O2374" s="135"/>
      <c r="P2374" s="175">
        <v>16750</v>
      </c>
      <c r="Q2374" s="25">
        <v>0.13039999999999999</v>
      </c>
      <c r="U2374" s="384">
        <v>0</v>
      </c>
      <c r="W2374" s="285">
        <f t="shared" si="51"/>
        <v>2184.1999999999998</v>
      </c>
    </row>
    <row r="2375" spans="1:23" ht="15" customHeight="1">
      <c r="A2375" s="3">
        <v>39223</v>
      </c>
      <c r="B2375" s="9">
        <v>25500</v>
      </c>
      <c r="C2375" s="5">
        <v>22950</v>
      </c>
      <c r="D2375" s="5" t="e">
        <f>E2375-(#REF!+C2375)</f>
        <v>#REF!</v>
      </c>
      <c r="E2375" s="5">
        <v>48625</v>
      </c>
      <c r="K2375" s="22">
        <v>2060.5</v>
      </c>
      <c r="L2375" s="6">
        <v>2075</v>
      </c>
      <c r="M2375" s="125">
        <f t="shared" si="50"/>
        <v>14.5</v>
      </c>
      <c r="N2375" s="18"/>
      <c r="O2375" s="135"/>
      <c r="P2375" s="175">
        <v>16750</v>
      </c>
      <c r="Q2375" s="25">
        <v>0.1305</v>
      </c>
      <c r="U2375" s="384">
        <v>0</v>
      </c>
      <c r="W2375" s="285">
        <f t="shared" si="51"/>
        <v>2185.875</v>
      </c>
    </row>
    <row r="2376" spans="1:23" ht="15" customHeight="1">
      <c r="A2376" s="3">
        <v>39224</v>
      </c>
      <c r="B2376" s="9">
        <v>25075</v>
      </c>
      <c r="C2376" s="5">
        <v>22950</v>
      </c>
      <c r="D2376" s="5" t="e">
        <f>E2376-(#REF!+C2376)</f>
        <v>#REF!</v>
      </c>
      <c r="E2376" s="5">
        <v>48200</v>
      </c>
      <c r="K2376" s="22">
        <v>2155.5</v>
      </c>
      <c r="L2376" s="6">
        <v>2170.5</v>
      </c>
      <c r="M2376" s="125">
        <f t="shared" si="50"/>
        <v>15</v>
      </c>
      <c r="N2376" s="18"/>
      <c r="O2376" s="135"/>
      <c r="P2376" s="175">
        <v>16700</v>
      </c>
      <c r="Q2376" s="25">
        <v>0.13059999999999999</v>
      </c>
      <c r="U2376" s="384">
        <v>0</v>
      </c>
      <c r="W2376" s="285">
        <f t="shared" si="51"/>
        <v>2181.02</v>
      </c>
    </row>
    <row r="2377" spans="1:23" ht="15" customHeight="1">
      <c r="A2377" s="3">
        <v>39225</v>
      </c>
      <c r="B2377" s="9">
        <v>25375</v>
      </c>
      <c r="C2377" s="5">
        <v>22850</v>
      </c>
      <c r="D2377" s="5" t="e">
        <f>E2377-(#REF!+C2377)</f>
        <v>#REF!</v>
      </c>
      <c r="E2377" s="5">
        <v>48400</v>
      </c>
      <c r="K2377" s="22">
        <v>2095</v>
      </c>
      <c r="L2377" s="6">
        <v>2100</v>
      </c>
      <c r="M2377" s="125">
        <f t="shared" si="50"/>
        <v>5</v>
      </c>
      <c r="N2377" s="18"/>
      <c r="O2377" s="135"/>
      <c r="P2377" s="175">
        <v>16650</v>
      </c>
      <c r="Q2377" s="25">
        <v>0.13070000000000001</v>
      </c>
      <c r="U2377" s="384">
        <v>0</v>
      </c>
      <c r="W2377" s="285">
        <f t="shared" si="51"/>
        <v>2176.1550000000002</v>
      </c>
    </row>
    <row r="2378" spans="1:23" ht="15" customHeight="1">
      <c r="A2378" s="3">
        <v>39226</v>
      </c>
      <c r="B2378" s="9">
        <v>24975</v>
      </c>
      <c r="C2378" s="5">
        <v>22775</v>
      </c>
      <c r="D2378" s="5" t="e">
        <f>E2378-(#REF!+C2378)</f>
        <v>#REF!</v>
      </c>
      <c r="E2378" s="5">
        <v>47925</v>
      </c>
      <c r="K2378" s="22">
        <v>2165</v>
      </c>
      <c r="L2378" s="6">
        <v>2175.5</v>
      </c>
      <c r="M2378" s="125">
        <f t="shared" si="50"/>
        <v>10.5</v>
      </c>
      <c r="N2378" s="18"/>
      <c r="O2378" s="135"/>
      <c r="P2378" s="175">
        <v>16600</v>
      </c>
      <c r="Q2378" s="25">
        <v>0.13070000000000001</v>
      </c>
      <c r="U2378" s="384">
        <v>0</v>
      </c>
      <c r="W2378" s="285">
        <f t="shared" si="51"/>
        <v>2169.6200000000003</v>
      </c>
    </row>
    <row r="2379" spans="1:23" ht="15" customHeight="1">
      <c r="A2379" s="3">
        <v>39227</v>
      </c>
      <c r="B2379" s="9">
        <v>23925</v>
      </c>
      <c r="C2379" s="5">
        <v>22800</v>
      </c>
      <c r="D2379" s="5" t="e">
        <f>E2379-(#REF!+C2379)</f>
        <v>#REF!</v>
      </c>
      <c r="E2379" s="5">
        <v>46900</v>
      </c>
      <c r="K2379" s="22">
        <v>2156</v>
      </c>
      <c r="L2379" s="6">
        <v>2175</v>
      </c>
      <c r="M2379" s="125">
        <f t="shared" si="50"/>
        <v>19</v>
      </c>
      <c r="N2379" s="18"/>
      <c r="O2379" s="135"/>
      <c r="P2379" s="175">
        <v>16525</v>
      </c>
      <c r="Q2379" s="25">
        <v>0.13070000000000001</v>
      </c>
      <c r="U2379" s="384">
        <v>0</v>
      </c>
      <c r="W2379" s="285">
        <f t="shared" si="51"/>
        <v>2159.8175000000001</v>
      </c>
    </row>
    <row r="2380" spans="1:23" ht="15" customHeight="1">
      <c r="B2380" s="9">
        <v>0</v>
      </c>
      <c r="C2380" s="190"/>
      <c r="D2380" s="190"/>
      <c r="E2380" s="190"/>
      <c r="F2380" s="1369" t="s">
        <v>25</v>
      </c>
      <c r="G2380" s="1369"/>
      <c r="H2380" s="1369"/>
      <c r="I2380" s="1369"/>
      <c r="J2380" s="3"/>
      <c r="K2380" s="190"/>
      <c r="L2380" s="190"/>
      <c r="M2380" s="190"/>
      <c r="N2380" s="18"/>
      <c r="O2380" s="135"/>
      <c r="P2380" s="175">
        <v>16575</v>
      </c>
      <c r="Q2380" s="25">
        <v>0.1308</v>
      </c>
      <c r="U2380" s="384">
        <v>0</v>
      </c>
      <c r="W2380" s="285">
        <f t="shared" si="51"/>
        <v>2168.0100000000002</v>
      </c>
    </row>
    <row r="2381" spans="1:23" ht="15" customHeight="1">
      <c r="A2381" s="3">
        <v>39231</v>
      </c>
      <c r="B2381" s="9">
        <v>23775</v>
      </c>
      <c r="C2381" s="5">
        <v>22825</v>
      </c>
      <c r="D2381" s="5" t="e">
        <f>E2381-(#REF!+C2381)</f>
        <v>#REF!</v>
      </c>
      <c r="E2381" s="5">
        <v>46700</v>
      </c>
      <c r="K2381" s="22">
        <v>2205</v>
      </c>
      <c r="L2381" s="6">
        <v>2220</v>
      </c>
      <c r="M2381" s="125">
        <f>L2381-K2381</f>
        <v>15</v>
      </c>
      <c r="N2381" s="18"/>
      <c r="O2381" s="135"/>
      <c r="P2381" s="175">
        <v>16650</v>
      </c>
      <c r="Q2381" s="25">
        <v>0.13070000000000001</v>
      </c>
      <c r="U2381" s="384">
        <v>0</v>
      </c>
      <c r="W2381" s="285">
        <f t="shared" si="51"/>
        <v>2176.1550000000002</v>
      </c>
    </row>
    <row r="2382" spans="1:23" ht="15" customHeight="1">
      <c r="A2382" s="3">
        <v>39232</v>
      </c>
      <c r="B2382" s="9">
        <v>23450</v>
      </c>
      <c r="C2382" s="5">
        <v>23300</v>
      </c>
      <c r="D2382" s="5" t="e">
        <f>E2382-(#REF!+C2382)</f>
        <v>#REF!</v>
      </c>
      <c r="E2382" s="5">
        <v>46800</v>
      </c>
      <c r="K2382" s="22">
        <v>2280</v>
      </c>
      <c r="L2382" s="6">
        <v>2285</v>
      </c>
      <c r="M2382" s="125">
        <f t="shared" ref="M2382:M2445" si="52">L2382-K2382</f>
        <v>5</v>
      </c>
      <c r="N2382" s="18"/>
      <c r="O2382" s="135"/>
      <c r="P2382" s="175">
        <v>16700</v>
      </c>
      <c r="Q2382" s="25">
        <v>0.1308</v>
      </c>
      <c r="U2382" s="384">
        <v>0</v>
      </c>
      <c r="W2382" s="285">
        <f t="shared" si="51"/>
        <v>2184.36</v>
      </c>
    </row>
    <row r="2383" spans="1:23" ht="15" customHeight="1" thickBot="1">
      <c r="A2383" s="11">
        <v>39233</v>
      </c>
      <c r="B2383" s="9">
        <v>24250</v>
      </c>
      <c r="C2383" s="13">
        <v>23325</v>
      </c>
      <c r="D2383" s="13" t="e">
        <f>E2383-(#REF!+C2383)</f>
        <v>#REF!</v>
      </c>
      <c r="E2383" s="13">
        <v>47625</v>
      </c>
      <c r="F2383" s="12"/>
      <c r="G2383" s="13"/>
      <c r="H2383" s="13"/>
      <c r="I2383" s="119"/>
      <c r="J2383" s="119"/>
      <c r="K2383" s="23">
        <v>2349</v>
      </c>
      <c r="L2383" s="14">
        <v>2321</v>
      </c>
      <c r="M2383" s="126">
        <f t="shared" si="52"/>
        <v>-28</v>
      </c>
      <c r="N2383" s="19">
        <f>AVERAGE(K2362:K2383)</f>
        <v>2100.6428571428573</v>
      </c>
      <c r="O2383" s="136">
        <f>AVERAGE(K2277:K2383)</f>
        <v>1889.2932692307693</v>
      </c>
      <c r="P2383" s="176">
        <v>16750</v>
      </c>
      <c r="Q2383" s="27">
        <v>0.1308</v>
      </c>
      <c r="R2383" s="27"/>
      <c r="S2383" s="27"/>
      <c r="T2383" s="27"/>
      <c r="U2383" s="385">
        <v>0</v>
      </c>
      <c r="V2383" s="38">
        <f>AVERAGE(P2362:P2383)</f>
        <v>16811.111111111109</v>
      </c>
      <c r="W2383" s="285">
        <f t="shared" si="51"/>
        <v>2190.9</v>
      </c>
    </row>
    <row r="2384" spans="1:23" ht="15" customHeight="1">
      <c r="A2384" s="3">
        <v>39234</v>
      </c>
      <c r="B2384" s="9">
        <v>24250</v>
      </c>
      <c r="C2384" s="5">
        <v>23325</v>
      </c>
      <c r="D2384" s="5" t="e">
        <f>E2384-(#REF!+C2384)</f>
        <v>#REF!</v>
      </c>
      <c r="E2384" s="5">
        <v>47600</v>
      </c>
      <c r="K2384" s="22">
        <v>2351</v>
      </c>
      <c r="L2384" s="6">
        <v>2355</v>
      </c>
      <c r="M2384" s="125">
        <f t="shared" si="52"/>
        <v>4</v>
      </c>
      <c r="N2384" s="20"/>
      <c r="O2384" s="138"/>
      <c r="P2384" s="178">
        <v>16850</v>
      </c>
      <c r="Q2384" s="34">
        <v>0.1308</v>
      </c>
      <c r="U2384" s="384">
        <v>0.1</v>
      </c>
      <c r="W2384" s="285">
        <f t="shared" si="51"/>
        <v>2424.3780000000002</v>
      </c>
    </row>
    <row r="2385" spans="1:23" ht="15" customHeight="1">
      <c r="A2385" s="3">
        <v>39237</v>
      </c>
      <c r="B2385" s="9">
        <v>24250</v>
      </c>
      <c r="C2385" s="5">
        <v>23400</v>
      </c>
      <c r="D2385" s="5" t="e">
        <f>E2385-(#REF!+C2385)</f>
        <v>#REF!</v>
      </c>
      <c r="E2385" s="5">
        <v>47650</v>
      </c>
      <c r="K2385" s="22">
        <v>2336</v>
      </c>
      <c r="L2385" s="6">
        <v>2350</v>
      </c>
      <c r="M2385" s="125">
        <f t="shared" si="52"/>
        <v>14</v>
      </c>
      <c r="N2385" s="18"/>
      <c r="O2385" s="135"/>
      <c r="P2385" s="175">
        <v>16825</v>
      </c>
      <c r="Q2385" s="25">
        <v>0.13070000000000001</v>
      </c>
      <c r="U2385" s="384">
        <v>0.1</v>
      </c>
      <c r="W2385" s="285">
        <f t="shared" si="51"/>
        <v>2418.9302500000003</v>
      </c>
    </row>
    <row r="2386" spans="1:23" ht="15" customHeight="1">
      <c r="A2386" s="3">
        <v>39238</v>
      </c>
      <c r="B2386" s="9">
        <v>24800</v>
      </c>
      <c r="C2386" s="5">
        <v>23450</v>
      </c>
      <c r="D2386" s="5" t="e">
        <f>E2386-(#REF!+C2386)</f>
        <v>#REF!</v>
      </c>
      <c r="E2386" s="5">
        <v>48250</v>
      </c>
      <c r="K2386" s="22">
        <v>2325.5</v>
      </c>
      <c r="L2386" s="6">
        <v>2328</v>
      </c>
      <c r="M2386" s="125">
        <f t="shared" si="52"/>
        <v>2.5</v>
      </c>
      <c r="N2386" s="18"/>
      <c r="O2386" s="135"/>
      <c r="P2386" s="175">
        <v>16825</v>
      </c>
      <c r="Q2386" s="25">
        <v>0.13100000000000001</v>
      </c>
      <c r="U2386" s="384">
        <v>0.1</v>
      </c>
      <c r="W2386" s="285">
        <f t="shared" si="51"/>
        <v>2424.4825000000005</v>
      </c>
    </row>
    <row r="2387" spans="1:23" ht="15" customHeight="1">
      <c r="A2387" s="3">
        <v>39239</v>
      </c>
      <c r="B2387" s="9">
        <v>24325</v>
      </c>
      <c r="C2387" s="5">
        <v>23450</v>
      </c>
      <c r="D2387" s="5" t="e">
        <f>E2387-(#REF!+C2387)</f>
        <v>#REF!</v>
      </c>
      <c r="E2387" s="5">
        <v>47775</v>
      </c>
      <c r="K2387" s="22">
        <v>2315.5</v>
      </c>
      <c r="L2387" s="6">
        <v>2311</v>
      </c>
      <c r="M2387" s="125">
        <f t="shared" si="52"/>
        <v>-4.5</v>
      </c>
      <c r="N2387" s="18"/>
      <c r="O2387" s="135"/>
      <c r="P2387" s="175">
        <v>16800</v>
      </c>
      <c r="Q2387" s="25">
        <v>0.13100000000000001</v>
      </c>
      <c r="U2387" s="384">
        <v>0.1</v>
      </c>
      <c r="W2387" s="285">
        <f t="shared" si="51"/>
        <v>2420.8800000000006</v>
      </c>
    </row>
    <row r="2388" spans="1:23" ht="15" customHeight="1">
      <c r="A2388" s="3">
        <v>39240</v>
      </c>
      <c r="B2388" s="9">
        <v>23575</v>
      </c>
      <c r="C2388" s="5">
        <v>23500</v>
      </c>
      <c r="D2388" s="5" t="e">
        <f>E2388-(#REF!+C2388)</f>
        <v>#REF!</v>
      </c>
      <c r="E2388" s="5">
        <v>47075</v>
      </c>
      <c r="K2388" s="22">
        <v>2305</v>
      </c>
      <c r="L2388" s="6">
        <v>2303.5</v>
      </c>
      <c r="M2388" s="125">
        <f t="shared" si="52"/>
        <v>-1.5</v>
      </c>
      <c r="N2388" s="18"/>
      <c r="O2388" s="135"/>
      <c r="P2388" s="175">
        <v>16775</v>
      </c>
      <c r="Q2388" s="25">
        <v>0.1308</v>
      </c>
      <c r="U2388" s="384">
        <v>0.1</v>
      </c>
      <c r="W2388" s="285">
        <f t="shared" si="51"/>
        <v>2413.5870000000004</v>
      </c>
    </row>
    <row r="2389" spans="1:23" ht="15" customHeight="1">
      <c r="A2389" s="3">
        <v>39241</v>
      </c>
      <c r="B2389" s="9">
        <v>22800</v>
      </c>
      <c r="C2389" s="5">
        <v>23475</v>
      </c>
      <c r="D2389" s="5" t="e">
        <f>E2389-(#REF!+C2389)</f>
        <v>#REF!</v>
      </c>
      <c r="E2389" s="5">
        <v>46275</v>
      </c>
      <c r="K2389" s="22">
        <v>2255</v>
      </c>
      <c r="L2389" s="6">
        <v>2257</v>
      </c>
      <c r="M2389" s="125">
        <f t="shared" si="52"/>
        <v>2</v>
      </c>
      <c r="N2389" s="18"/>
      <c r="O2389" s="135"/>
      <c r="P2389" s="175">
        <v>16725</v>
      </c>
      <c r="Q2389" s="25">
        <v>0.13059999999999999</v>
      </c>
      <c r="U2389" s="384">
        <v>0.1</v>
      </c>
      <c r="W2389" s="285">
        <f t="shared" si="51"/>
        <v>2402.7134999999998</v>
      </c>
    </row>
    <row r="2390" spans="1:23" ht="15" customHeight="1">
      <c r="A2390" s="3">
        <v>39244</v>
      </c>
      <c r="B2390" s="9">
        <v>21775</v>
      </c>
      <c r="C2390" s="5">
        <v>23500</v>
      </c>
      <c r="D2390" s="5" t="e">
        <f>E2390-(#REF!+C2390)</f>
        <v>#REF!</v>
      </c>
      <c r="E2390" s="5">
        <v>45275</v>
      </c>
      <c r="K2390" s="22">
        <v>2315</v>
      </c>
      <c r="L2390" s="6">
        <v>2315</v>
      </c>
      <c r="M2390" s="125">
        <f t="shared" si="52"/>
        <v>0</v>
      </c>
      <c r="N2390" s="18"/>
      <c r="O2390" s="135"/>
      <c r="P2390" s="175">
        <v>16725</v>
      </c>
      <c r="Q2390" s="25">
        <v>0.1305</v>
      </c>
      <c r="U2390" s="384">
        <v>0.1</v>
      </c>
      <c r="W2390" s="285">
        <f t="shared" si="51"/>
        <v>2400.8737500000002</v>
      </c>
    </row>
    <row r="2391" spans="1:23" ht="15" customHeight="1">
      <c r="A2391" s="3">
        <v>39245</v>
      </c>
      <c r="B2391" s="9">
        <v>20675</v>
      </c>
      <c r="C2391" s="5">
        <v>23500</v>
      </c>
      <c r="D2391" s="5" t="e">
        <f>E2391-(#REF!+C2391)</f>
        <v>#REF!</v>
      </c>
      <c r="E2391" s="5">
        <v>44175</v>
      </c>
      <c r="K2391" s="22">
        <v>2315</v>
      </c>
      <c r="L2391" s="6">
        <v>2324.5</v>
      </c>
      <c r="M2391" s="125">
        <f t="shared" si="52"/>
        <v>9.5</v>
      </c>
      <c r="N2391" s="18"/>
      <c r="O2391" s="135"/>
      <c r="P2391" s="175">
        <v>16825</v>
      </c>
      <c r="Q2391" s="25">
        <v>0.1308</v>
      </c>
      <c r="U2391" s="384">
        <v>0.1</v>
      </c>
      <c r="W2391" s="285">
        <f t="shared" si="51"/>
        <v>2420.7810000000004</v>
      </c>
    </row>
    <row r="2392" spans="1:23" ht="15" customHeight="1">
      <c r="A2392" s="3">
        <v>39246</v>
      </c>
      <c r="B2392" s="9">
        <v>19850</v>
      </c>
      <c r="C2392" s="5">
        <v>23450</v>
      </c>
      <c r="D2392" s="5" t="e">
        <f>E2392-(#REF!+C2392)</f>
        <v>#REF!</v>
      </c>
      <c r="E2392" s="5">
        <v>43300</v>
      </c>
      <c r="K2392" s="22">
        <v>2288.5</v>
      </c>
      <c r="L2392" s="6">
        <v>2290</v>
      </c>
      <c r="M2392" s="125">
        <f t="shared" si="52"/>
        <v>1.5</v>
      </c>
      <c r="N2392" s="18"/>
      <c r="O2392" s="135"/>
      <c r="P2392" s="175">
        <v>16875</v>
      </c>
      <c r="Q2392" s="25">
        <v>0.13100000000000001</v>
      </c>
      <c r="U2392" s="384">
        <v>0.1</v>
      </c>
      <c r="W2392" s="285">
        <f t="shared" si="51"/>
        <v>2431.6875</v>
      </c>
    </row>
    <row r="2393" spans="1:23" ht="15" customHeight="1">
      <c r="A2393" s="3">
        <v>39247</v>
      </c>
      <c r="B2393" s="9">
        <v>19525</v>
      </c>
      <c r="C2393" s="5">
        <v>23450</v>
      </c>
      <c r="D2393" s="5" t="e">
        <f>E2393-(#REF!+C2393)</f>
        <v>#REF!</v>
      </c>
      <c r="E2393" s="5">
        <v>42975</v>
      </c>
      <c r="K2393" s="22">
        <v>2335.5</v>
      </c>
      <c r="L2393" s="6">
        <v>2339</v>
      </c>
      <c r="M2393" s="125">
        <f t="shared" si="52"/>
        <v>3.5</v>
      </c>
      <c r="N2393" s="18"/>
      <c r="O2393" s="135"/>
      <c r="P2393" s="175">
        <v>17000</v>
      </c>
      <c r="Q2393" s="25">
        <v>0.13109999999999999</v>
      </c>
      <c r="U2393" s="384">
        <v>0.1</v>
      </c>
      <c r="W2393" s="285">
        <f t="shared" si="51"/>
        <v>2451.5700000000002</v>
      </c>
    </row>
    <row r="2394" spans="1:23" ht="15" customHeight="1">
      <c r="A2394" s="3">
        <v>39248</v>
      </c>
      <c r="B2394" s="9">
        <v>19275</v>
      </c>
      <c r="C2394" s="5">
        <v>23450</v>
      </c>
      <c r="D2394" s="5" t="e">
        <f>E2394-(#REF!+C2394)</f>
        <v>#REF!</v>
      </c>
      <c r="E2394" s="5">
        <v>42725</v>
      </c>
      <c r="K2394" s="22">
        <v>2360</v>
      </c>
      <c r="L2394" s="6">
        <v>2353</v>
      </c>
      <c r="M2394" s="125">
        <f t="shared" si="52"/>
        <v>-7</v>
      </c>
      <c r="N2394" s="18"/>
      <c r="O2394" s="135"/>
      <c r="P2394" s="175">
        <v>17150</v>
      </c>
      <c r="Q2394" s="25">
        <v>0.13109999999999999</v>
      </c>
      <c r="U2394" s="384">
        <v>0.1</v>
      </c>
      <c r="W2394" s="285">
        <f t="shared" si="51"/>
        <v>2473.2015000000001</v>
      </c>
    </row>
    <row r="2395" spans="1:23" ht="15" customHeight="1">
      <c r="A2395" s="3">
        <v>39251</v>
      </c>
      <c r="B2395" s="9">
        <v>19025</v>
      </c>
      <c r="C2395" s="5">
        <v>23325</v>
      </c>
      <c r="D2395" s="5" t="e">
        <f>E2395-(#REF!+C2395)</f>
        <v>#REF!</v>
      </c>
      <c r="E2395" s="5">
        <v>42725</v>
      </c>
      <c r="K2395" s="22">
        <v>2410.5</v>
      </c>
      <c r="L2395" s="6">
        <v>2391</v>
      </c>
      <c r="M2395" s="125">
        <f t="shared" si="52"/>
        <v>-19.5</v>
      </c>
      <c r="N2395" s="18"/>
      <c r="O2395" s="135"/>
      <c r="P2395" s="175">
        <v>17150</v>
      </c>
      <c r="Q2395" s="25">
        <v>0.13109999999999999</v>
      </c>
      <c r="U2395" s="384">
        <v>0.1</v>
      </c>
      <c r="W2395" s="285">
        <f t="shared" si="51"/>
        <v>2473.2015000000001</v>
      </c>
    </row>
    <row r="2396" spans="1:23" ht="15" customHeight="1">
      <c r="A2396" s="3">
        <v>39252</v>
      </c>
      <c r="B2396" s="9">
        <v>18425</v>
      </c>
      <c r="C2396" s="5">
        <v>23300</v>
      </c>
      <c r="D2396" s="5" t="e">
        <f>E2396-(#REF!+C2396)</f>
        <v>#REF!</v>
      </c>
      <c r="E2396" s="5">
        <v>41725</v>
      </c>
      <c r="K2396" s="22">
        <v>2400</v>
      </c>
      <c r="L2396" s="6">
        <v>2390</v>
      </c>
      <c r="M2396" s="125">
        <f t="shared" si="52"/>
        <v>-10</v>
      </c>
      <c r="N2396" s="18"/>
      <c r="O2396" s="135"/>
      <c r="P2396" s="175">
        <v>17275</v>
      </c>
      <c r="Q2396" s="25">
        <v>0.1313</v>
      </c>
      <c r="U2396" s="384">
        <v>0.1</v>
      </c>
      <c r="W2396" s="285">
        <f t="shared" si="51"/>
        <v>2495.0282500000003</v>
      </c>
    </row>
    <row r="2397" spans="1:23" ht="15" customHeight="1">
      <c r="A2397" s="3">
        <v>39253</v>
      </c>
      <c r="B2397" s="9">
        <v>19800</v>
      </c>
      <c r="C2397" s="5">
        <v>23375</v>
      </c>
      <c r="D2397" s="5" t="e">
        <f>E2397-(#REF!+C2397)</f>
        <v>#REF!</v>
      </c>
      <c r="E2397" s="5">
        <v>43175</v>
      </c>
      <c r="K2397" s="22">
        <v>2477</v>
      </c>
      <c r="L2397" s="6">
        <v>2477</v>
      </c>
      <c r="M2397" s="125">
        <f t="shared" si="52"/>
        <v>0</v>
      </c>
      <c r="N2397" s="18"/>
      <c r="O2397" s="135"/>
      <c r="P2397" s="175">
        <v>17425</v>
      </c>
      <c r="Q2397" s="25">
        <v>0.1313</v>
      </c>
      <c r="U2397" s="384">
        <v>0.1</v>
      </c>
      <c r="W2397" s="285">
        <f t="shared" si="51"/>
        <v>2516.6927500000002</v>
      </c>
    </row>
    <row r="2398" spans="1:23" ht="15" customHeight="1">
      <c r="A2398" s="3">
        <v>39254</v>
      </c>
      <c r="B2398" s="9">
        <v>19400</v>
      </c>
      <c r="C2398" s="5">
        <v>23500</v>
      </c>
      <c r="D2398" s="5" t="e">
        <f>E2398-(#REF!+C2398)</f>
        <v>#REF!</v>
      </c>
      <c r="E2398" s="5">
        <v>42900</v>
      </c>
      <c r="K2398" s="22">
        <v>2523</v>
      </c>
      <c r="L2398" s="6">
        <v>2511</v>
      </c>
      <c r="M2398" s="125">
        <f t="shared" si="52"/>
        <v>-12</v>
      </c>
      <c r="N2398" s="18"/>
      <c r="O2398" s="135"/>
      <c r="P2398" s="175">
        <v>17600</v>
      </c>
      <c r="Q2398" s="25">
        <v>0.13100000000000001</v>
      </c>
      <c r="U2398" s="384">
        <v>0.1</v>
      </c>
      <c r="W2398" s="285">
        <f t="shared" si="51"/>
        <v>2536.1600000000003</v>
      </c>
    </row>
    <row r="2399" spans="1:23" ht="15" customHeight="1">
      <c r="A2399" s="3">
        <v>39255</v>
      </c>
      <c r="B2399" s="9">
        <v>21325</v>
      </c>
      <c r="C2399" s="5">
        <v>23500</v>
      </c>
      <c r="D2399" s="5" t="e">
        <f>E2399-(#REF!+C2399)</f>
        <v>#REF!</v>
      </c>
      <c r="E2399" s="5">
        <v>44825</v>
      </c>
      <c r="K2399" s="22">
        <v>2530</v>
      </c>
      <c r="L2399" s="6">
        <v>2505</v>
      </c>
      <c r="M2399" s="125">
        <f t="shared" si="52"/>
        <v>-25</v>
      </c>
      <c r="N2399" s="18"/>
      <c r="O2399" s="135"/>
      <c r="P2399" s="175">
        <v>17800</v>
      </c>
      <c r="Q2399" s="25">
        <v>0.13120000000000001</v>
      </c>
      <c r="U2399" s="384">
        <v>0.1</v>
      </c>
      <c r="W2399" s="285">
        <f t="shared" si="51"/>
        <v>2568.8960000000002</v>
      </c>
    </row>
    <row r="2400" spans="1:23" ht="15" customHeight="1">
      <c r="A2400" s="3">
        <v>39258</v>
      </c>
      <c r="B2400" s="9">
        <v>22525</v>
      </c>
      <c r="C2400" s="5">
        <v>23500</v>
      </c>
      <c r="D2400" s="5" t="e">
        <f>E2400-(#REF!+C2400)</f>
        <v>#REF!</v>
      </c>
      <c r="E2400" s="5">
        <v>46025</v>
      </c>
      <c r="K2400" s="22">
        <v>2600</v>
      </c>
      <c r="L2400" s="6">
        <v>2601</v>
      </c>
      <c r="M2400" s="125">
        <f t="shared" si="52"/>
        <v>1</v>
      </c>
      <c r="N2400" s="18"/>
      <c r="O2400" s="135"/>
      <c r="P2400" s="175">
        <v>18100</v>
      </c>
      <c r="Q2400" s="25">
        <v>0.13120000000000001</v>
      </c>
      <c r="U2400" s="384">
        <v>0.1</v>
      </c>
      <c r="W2400" s="285">
        <f t="shared" si="51"/>
        <v>2612.1920000000005</v>
      </c>
    </row>
    <row r="2401" spans="1:23" ht="15" customHeight="1">
      <c r="A2401" s="3">
        <v>39259</v>
      </c>
      <c r="B2401" s="9">
        <v>22725</v>
      </c>
      <c r="C2401" s="5">
        <v>23675</v>
      </c>
      <c r="D2401" s="5" t="e">
        <f>E2401-(#REF!+C2401)</f>
        <v>#REF!</v>
      </c>
      <c r="E2401" s="5">
        <v>46400</v>
      </c>
      <c r="K2401" s="22">
        <v>2677</v>
      </c>
      <c r="L2401" s="6">
        <v>2679</v>
      </c>
      <c r="M2401" s="125">
        <f t="shared" si="52"/>
        <v>2</v>
      </c>
      <c r="N2401" s="18"/>
      <c r="O2401" s="135"/>
      <c r="P2401" s="175">
        <v>18650</v>
      </c>
      <c r="Q2401" s="25">
        <v>0.1313</v>
      </c>
      <c r="U2401" s="384">
        <v>0.1</v>
      </c>
      <c r="W2401" s="285">
        <f t="shared" si="51"/>
        <v>2693.6195000000002</v>
      </c>
    </row>
    <row r="2402" spans="1:23" ht="15" customHeight="1">
      <c r="A2402" s="3">
        <v>39260</v>
      </c>
      <c r="B2402" s="9">
        <v>22075</v>
      </c>
      <c r="C2402" s="5">
        <v>23675</v>
      </c>
      <c r="D2402" s="5" t="e">
        <f>E2402-(#REF!+C2402)</f>
        <v>#REF!</v>
      </c>
      <c r="E2402" s="5">
        <v>45750</v>
      </c>
      <c r="K2402" s="22">
        <v>2519</v>
      </c>
      <c r="L2402" s="6">
        <v>2501</v>
      </c>
      <c r="M2402" s="125">
        <f t="shared" si="52"/>
        <v>-18</v>
      </c>
      <c r="N2402" s="18"/>
      <c r="O2402" s="135"/>
      <c r="P2402" s="175">
        <v>19000</v>
      </c>
      <c r="Q2402" s="25">
        <v>0.1313</v>
      </c>
      <c r="U2402" s="384">
        <v>0.1</v>
      </c>
      <c r="W2402" s="285">
        <f t="shared" si="51"/>
        <v>2744.17</v>
      </c>
    </row>
    <row r="2403" spans="1:23" ht="15" customHeight="1">
      <c r="A2403" s="3">
        <v>39261</v>
      </c>
      <c r="B2403" s="9">
        <v>21425</v>
      </c>
      <c r="C2403" s="5">
        <v>23675</v>
      </c>
      <c r="D2403" s="5" t="e">
        <f>E2403-(#REF!+C2403)</f>
        <v>#REF!</v>
      </c>
      <c r="E2403" s="5">
        <v>45100</v>
      </c>
      <c r="K2403" s="22">
        <v>2660</v>
      </c>
      <c r="L2403" s="6">
        <v>2651</v>
      </c>
      <c r="M2403" s="125">
        <f t="shared" si="52"/>
        <v>-9</v>
      </c>
      <c r="N2403" s="18"/>
      <c r="O2403" s="135"/>
      <c r="P2403" s="175">
        <v>19100</v>
      </c>
      <c r="Q2403" s="25">
        <v>0.1313</v>
      </c>
      <c r="U2403" s="384">
        <v>0.1</v>
      </c>
      <c r="W2403" s="285">
        <f t="shared" si="51"/>
        <v>2758.6130000000003</v>
      </c>
    </row>
    <row r="2404" spans="1:23" ht="15" customHeight="1" thickBot="1">
      <c r="A2404" s="11">
        <v>39262</v>
      </c>
      <c r="B2404" s="9">
        <v>21275</v>
      </c>
      <c r="C2404" s="13">
        <v>23800</v>
      </c>
      <c r="D2404" s="13" t="e">
        <f>E2404-(#REF!+C2404)</f>
        <v>#REF!</v>
      </c>
      <c r="E2404" s="13">
        <v>45075</v>
      </c>
      <c r="F2404" s="12"/>
      <c r="G2404" s="13"/>
      <c r="H2404" s="13"/>
      <c r="I2404" s="119"/>
      <c r="J2404" s="119"/>
      <c r="K2404" s="23">
        <v>2647</v>
      </c>
      <c r="L2404" s="14">
        <v>2645</v>
      </c>
      <c r="M2404" s="126">
        <f t="shared" si="52"/>
        <v>-2</v>
      </c>
      <c r="N2404" s="19">
        <f>AVERAGE(K2384:K2404)</f>
        <v>2425.9761904761904</v>
      </c>
      <c r="O2404" s="136">
        <f>AVERAGE(K2277:K2404)</f>
        <v>1979.4559999999999</v>
      </c>
      <c r="P2404" s="176">
        <v>19200</v>
      </c>
      <c r="Q2404" s="27">
        <v>0.1313</v>
      </c>
      <c r="R2404" s="27"/>
      <c r="S2404" s="27"/>
      <c r="T2404" s="27"/>
      <c r="U2404" s="385">
        <v>0.1</v>
      </c>
      <c r="V2404" s="38">
        <f>AVERAGE(P2384:P2404)</f>
        <v>17460.714285714286</v>
      </c>
      <c r="W2404" s="285">
        <f t="shared" si="51"/>
        <v>2773.056</v>
      </c>
    </row>
    <row r="2405" spans="1:23" ht="15" customHeight="1">
      <c r="A2405" s="3">
        <v>39265</v>
      </c>
      <c r="B2405" s="9">
        <v>21225</v>
      </c>
      <c r="C2405" s="5">
        <v>23800</v>
      </c>
      <c r="D2405" s="5" t="e">
        <f>E2405-(#REF!+C2405)</f>
        <v>#REF!</v>
      </c>
      <c r="E2405" s="5">
        <v>45125</v>
      </c>
      <c r="K2405" s="22">
        <v>2730</v>
      </c>
      <c r="L2405" s="6">
        <v>2730</v>
      </c>
      <c r="M2405" s="125">
        <f t="shared" si="52"/>
        <v>0</v>
      </c>
      <c r="N2405" s="20"/>
      <c r="O2405" s="138"/>
      <c r="P2405" s="175">
        <v>19200</v>
      </c>
      <c r="Q2405" s="25">
        <v>0.1313</v>
      </c>
      <c r="U2405" s="384">
        <v>0.1</v>
      </c>
      <c r="W2405" s="285">
        <f t="shared" si="51"/>
        <v>2773.056</v>
      </c>
    </row>
    <row r="2406" spans="1:23" ht="15" customHeight="1">
      <c r="A2406" s="3">
        <v>39266</v>
      </c>
      <c r="B2406" s="9">
        <v>20950</v>
      </c>
      <c r="C2406" s="5">
        <v>23800</v>
      </c>
      <c r="D2406" s="5" t="e">
        <f>E2406-(#REF!+C2406)</f>
        <v>#REF!</v>
      </c>
      <c r="E2406" s="5">
        <v>44850</v>
      </c>
      <c r="K2406" s="22">
        <v>2780</v>
      </c>
      <c r="L2406" s="6">
        <v>2780</v>
      </c>
      <c r="M2406" s="125">
        <f t="shared" si="52"/>
        <v>0</v>
      </c>
      <c r="N2406" s="18"/>
      <c r="O2406" s="135"/>
      <c r="P2406" s="175">
        <v>19900</v>
      </c>
      <c r="Q2406" s="25">
        <v>0.13150000000000001</v>
      </c>
      <c r="U2406" s="384">
        <v>0.1</v>
      </c>
      <c r="W2406" s="285">
        <f t="shared" si="51"/>
        <v>2878.5350000000003</v>
      </c>
    </row>
    <row r="2407" spans="1:23" ht="15" customHeight="1">
      <c r="A2407" s="3">
        <v>39267</v>
      </c>
      <c r="B2407" s="9">
        <v>20950</v>
      </c>
      <c r="C2407" s="5">
        <v>24000</v>
      </c>
      <c r="D2407" s="5" t="e">
        <f>E2407-(#REF!+C2407)</f>
        <v>#REF!</v>
      </c>
      <c r="E2407" s="5">
        <v>45050</v>
      </c>
      <c r="K2407" s="22">
        <v>2857</v>
      </c>
      <c r="L2407" s="6">
        <v>2850</v>
      </c>
      <c r="M2407" s="125">
        <f t="shared" si="52"/>
        <v>-7</v>
      </c>
      <c r="N2407" s="18"/>
      <c r="O2407" s="135"/>
      <c r="P2407" s="175">
        <v>20400</v>
      </c>
      <c r="Q2407" s="25">
        <v>0.13170000000000001</v>
      </c>
      <c r="U2407" s="384">
        <v>0.1</v>
      </c>
      <c r="W2407" s="285">
        <f t="shared" si="51"/>
        <v>2955.3480000000004</v>
      </c>
    </row>
    <row r="2408" spans="1:23" ht="15" customHeight="1">
      <c r="A2408" s="3">
        <v>39268</v>
      </c>
      <c r="B2408" s="9">
        <v>20450</v>
      </c>
      <c r="C2408" s="5">
        <v>24000</v>
      </c>
      <c r="D2408" s="5" t="e">
        <f>E2408-(#REF!+C2408)</f>
        <v>#REF!</v>
      </c>
      <c r="E2408" s="5">
        <v>44800</v>
      </c>
      <c r="K2408" s="22">
        <v>2858</v>
      </c>
      <c r="L2408" s="6">
        <v>2862</v>
      </c>
      <c r="M2408" s="125">
        <f t="shared" si="52"/>
        <v>4</v>
      </c>
      <c r="N2408" s="18"/>
      <c r="O2408" s="135"/>
      <c r="P2408" s="175">
        <v>21250</v>
      </c>
      <c r="Q2408" s="25">
        <v>0.13170000000000001</v>
      </c>
      <c r="U2408" s="384">
        <v>0.1</v>
      </c>
      <c r="W2408" s="285">
        <f t="shared" si="51"/>
        <v>3078.4875000000006</v>
      </c>
    </row>
    <row r="2409" spans="1:23" ht="15" customHeight="1">
      <c r="A2409" s="3">
        <v>39269</v>
      </c>
      <c r="B2409" s="9">
        <v>19800</v>
      </c>
      <c r="C2409" s="5">
        <v>24000</v>
      </c>
      <c r="D2409" s="5" t="e">
        <f>E2409-(#REF!+C2409)</f>
        <v>#REF!</v>
      </c>
      <c r="E2409" s="5">
        <v>44150</v>
      </c>
      <c r="K2409" s="22">
        <v>2846</v>
      </c>
      <c r="L2409" s="6">
        <v>2835</v>
      </c>
      <c r="M2409" s="125">
        <f t="shared" si="52"/>
        <v>-11</v>
      </c>
      <c r="N2409" s="18"/>
      <c r="O2409" s="135"/>
      <c r="P2409" s="175">
        <v>22550</v>
      </c>
      <c r="Q2409" s="25">
        <v>0.13159999999999999</v>
      </c>
      <c r="U2409" s="384">
        <v>0.1</v>
      </c>
      <c r="W2409" s="285">
        <f t="shared" si="51"/>
        <v>3264.3380000000002</v>
      </c>
    </row>
    <row r="2410" spans="1:23" ht="15" customHeight="1">
      <c r="A2410" s="3">
        <v>39272</v>
      </c>
      <c r="B2410" s="9">
        <v>19050</v>
      </c>
      <c r="C2410" s="5">
        <v>24000</v>
      </c>
      <c r="D2410" s="5" t="e">
        <f>E2410-(#REF!+C2410)</f>
        <v>#REF!</v>
      </c>
      <c r="E2410" s="5">
        <v>43400</v>
      </c>
      <c r="K2410" s="22">
        <v>2945</v>
      </c>
      <c r="L2410" s="6">
        <v>2931</v>
      </c>
      <c r="M2410" s="125">
        <f t="shared" si="52"/>
        <v>-14</v>
      </c>
      <c r="N2410" s="18"/>
      <c r="O2410" s="135"/>
      <c r="P2410" s="175">
        <v>23250</v>
      </c>
      <c r="Q2410" s="25">
        <v>0.13159999999999999</v>
      </c>
      <c r="U2410" s="384">
        <v>0.1</v>
      </c>
      <c r="W2410" s="285">
        <f t="shared" si="51"/>
        <v>3365.67</v>
      </c>
    </row>
    <row r="2411" spans="1:23" ht="15" customHeight="1">
      <c r="A2411" s="3">
        <v>39273</v>
      </c>
      <c r="B2411" s="9">
        <v>18625</v>
      </c>
      <c r="C2411" s="5">
        <v>24000</v>
      </c>
      <c r="D2411" s="5" t="e">
        <f>E2411-(#REF!+C2411)</f>
        <v>#REF!</v>
      </c>
      <c r="E2411" s="5">
        <v>43050</v>
      </c>
      <c r="K2411" s="22">
        <v>2934</v>
      </c>
      <c r="L2411" s="6">
        <v>2930</v>
      </c>
      <c r="M2411" s="125">
        <f t="shared" si="52"/>
        <v>-4</v>
      </c>
      <c r="N2411" s="18"/>
      <c r="O2411" s="135"/>
      <c r="P2411" s="175">
        <v>23750</v>
      </c>
      <c r="Q2411" s="25">
        <v>0.13159999999999999</v>
      </c>
      <c r="U2411" s="384">
        <v>0.1</v>
      </c>
      <c r="W2411" s="285">
        <f t="shared" si="51"/>
        <v>3438.05</v>
      </c>
    </row>
    <row r="2412" spans="1:23" ht="15" customHeight="1">
      <c r="A2412" s="3">
        <v>39274</v>
      </c>
      <c r="B2412" s="9">
        <v>18450</v>
      </c>
      <c r="C2412" s="5">
        <v>24000</v>
      </c>
      <c r="D2412" s="5" t="e">
        <f>E2412-(#REF!+C2412)</f>
        <v>#REF!</v>
      </c>
      <c r="E2412" s="5">
        <v>42925</v>
      </c>
      <c r="K2412" s="22">
        <v>3016</v>
      </c>
      <c r="L2412" s="6">
        <v>3001</v>
      </c>
      <c r="M2412" s="125">
        <f t="shared" si="52"/>
        <v>-15</v>
      </c>
      <c r="N2412" s="18"/>
      <c r="O2412" s="135"/>
      <c r="P2412" s="175">
        <v>23600</v>
      </c>
      <c r="Q2412" s="25">
        <v>0.13189999999999999</v>
      </c>
      <c r="U2412" s="384">
        <v>0.1</v>
      </c>
      <c r="W2412" s="285">
        <f t="shared" si="51"/>
        <v>3424.1239999999998</v>
      </c>
    </row>
    <row r="2413" spans="1:23" ht="15" customHeight="1">
      <c r="A2413" s="3">
        <v>39275</v>
      </c>
      <c r="B2413" s="9">
        <v>17450</v>
      </c>
      <c r="C2413" s="5">
        <v>24000</v>
      </c>
      <c r="D2413" s="5" t="e">
        <f>E2413-(#REF!+C2413)</f>
        <v>#REF!</v>
      </c>
      <c r="E2413" s="5">
        <v>41950</v>
      </c>
      <c r="K2413" s="22">
        <v>3036</v>
      </c>
      <c r="L2413" s="6">
        <v>3011</v>
      </c>
      <c r="M2413" s="125">
        <f t="shared" si="52"/>
        <v>-25</v>
      </c>
      <c r="N2413" s="18"/>
      <c r="O2413" s="135"/>
      <c r="P2413" s="175">
        <v>23300</v>
      </c>
      <c r="Q2413" s="25">
        <v>0.13220000000000001</v>
      </c>
      <c r="U2413" s="384">
        <v>0.1</v>
      </c>
      <c r="W2413" s="285">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25">
        <f t="shared" si="52"/>
        <v>-18.5</v>
      </c>
      <c r="N2414" s="18"/>
      <c r="O2414" s="135"/>
      <c r="P2414" s="175">
        <v>23000</v>
      </c>
      <c r="Q2414" s="25">
        <v>0.13220000000000001</v>
      </c>
      <c r="U2414" s="384">
        <v>0.1</v>
      </c>
      <c r="W2414" s="285">
        <f t="shared" si="53"/>
        <v>3344.6600000000008</v>
      </c>
    </row>
    <row r="2415" spans="1:23" ht="15" customHeight="1">
      <c r="A2415" s="3">
        <v>39279</v>
      </c>
      <c r="B2415" s="9">
        <v>17000</v>
      </c>
      <c r="C2415" s="5">
        <v>24075</v>
      </c>
      <c r="D2415" s="5" t="e">
        <f>E2415-(#REF!+C2415)</f>
        <v>#REF!</v>
      </c>
      <c r="E2415" s="5">
        <v>41575</v>
      </c>
      <c r="K2415" s="22">
        <v>3125</v>
      </c>
      <c r="L2415" s="6">
        <v>3100</v>
      </c>
      <c r="M2415" s="125">
        <f t="shared" si="52"/>
        <v>-25</v>
      </c>
      <c r="N2415" s="18"/>
      <c r="O2415" s="135"/>
      <c r="P2415" s="175">
        <v>23050</v>
      </c>
      <c r="Q2415" s="25">
        <v>0.1321</v>
      </c>
      <c r="U2415" s="384">
        <v>0.1</v>
      </c>
      <c r="W2415" s="285">
        <f t="shared" si="53"/>
        <v>3349.3955000000001</v>
      </c>
    </row>
    <row r="2416" spans="1:23" ht="15" customHeight="1">
      <c r="A2416" s="3">
        <v>39280</v>
      </c>
      <c r="B2416" s="9">
        <v>16875</v>
      </c>
      <c r="C2416" s="5">
        <v>24575</v>
      </c>
      <c r="D2416" s="5" t="e">
        <f>E2416-(#REF!+C2416)</f>
        <v>#REF!</v>
      </c>
      <c r="E2416" s="5">
        <v>41950</v>
      </c>
      <c r="K2416" s="22">
        <v>3170</v>
      </c>
      <c r="L2416" s="6">
        <v>3131</v>
      </c>
      <c r="M2416" s="125">
        <f t="shared" si="52"/>
        <v>-39</v>
      </c>
      <c r="N2416" s="18"/>
      <c r="O2416" s="135"/>
      <c r="P2416" s="175">
        <v>23300</v>
      </c>
      <c r="Q2416" s="25">
        <v>0.1321</v>
      </c>
      <c r="U2416" s="384">
        <v>0.1</v>
      </c>
      <c r="W2416" s="285">
        <f t="shared" si="53"/>
        <v>3385.723</v>
      </c>
    </row>
    <row r="2417" spans="1:23" ht="15" customHeight="1">
      <c r="A2417" s="3">
        <v>39281</v>
      </c>
      <c r="B2417" s="9">
        <v>16150</v>
      </c>
      <c r="C2417" s="5">
        <v>24575</v>
      </c>
      <c r="D2417" s="5" t="e">
        <f>E2417-(#REF!+C2417)</f>
        <v>#REF!</v>
      </c>
      <c r="E2417" s="5">
        <v>41225</v>
      </c>
      <c r="K2417" s="22">
        <v>3224</v>
      </c>
      <c r="L2417" s="6">
        <v>3205</v>
      </c>
      <c r="M2417" s="125">
        <f t="shared" si="52"/>
        <v>-19</v>
      </c>
      <c r="N2417" s="18"/>
      <c r="O2417" s="135"/>
      <c r="P2417" s="175">
        <v>23700</v>
      </c>
      <c r="Q2417" s="25">
        <v>0.13220000000000001</v>
      </c>
      <c r="U2417" s="384">
        <v>0.1</v>
      </c>
      <c r="W2417" s="285">
        <f t="shared" si="53"/>
        <v>3446.4540000000006</v>
      </c>
    </row>
    <row r="2418" spans="1:23" ht="15" customHeight="1">
      <c r="A2418" s="3">
        <v>39282</v>
      </c>
      <c r="B2418" s="9">
        <v>15700</v>
      </c>
      <c r="C2418" s="5">
        <v>24575</v>
      </c>
      <c r="D2418" s="5" t="e">
        <f>E2418-(#REF!+C2418)</f>
        <v>#REF!</v>
      </c>
      <c r="E2418" s="5">
        <v>40775</v>
      </c>
      <c r="K2418" s="22">
        <v>3314.5</v>
      </c>
      <c r="L2418" s="6">
        <v>3290</v>
      </c>
      <c r="M2418" s="125">
        <f t="shared" si="52"/>
        <v>-24.5</v>
      </c>
      <c r="N2418" s="18"/>
      <c r="O2418" s="135"/>
      <c r="P2418" s="175">
        <v>24050</v>
      </c>
      <c r="Q2418" s="25">
        <v>0.13220000000000001</v>
      </c>
      <c r="U2418" s="384">
        <v>0.1</v>
      </c>
      <c r="W2418" s="285">
        <f t="shared" si="53"/>
        <v>3497.3510000000006</v>
      </c>
    </row>
    <row r="2419" spans="1:23" ht="15" customHeight="1">
      <c r="A2419" s="3">
        <v>39283</v>
      </c>
      <c r="B2419" s="9">
        <v>15500</v>
      </c>
      <c r="C2419" s="5">
        <v>24575</v>
      </c>
      <c r="D2419" s="5" t="e">
        <f>E2419-(#REF!+C2419)</f>
        <v>#REF!</v>
      </c>
      <c r="E2419" s="5">
        <v>40575</v>
      </c>
      <c r="K2419" s="22">
        <v>3465</v>
      </c>
      <c r="L2419" s="6">
        <v>3430</v>
      </c>
      <c r="M2419" s="125">
        <f t="shared" si="52"/>
        <v>-35</v>
      </c>
      <c r="N2419" s="18"/>
      <c r="O2419" s="135"/>
      <c r="P2419" s="175">
        <v>24700</v>
      </c>
      <c r="Q2419" s="25">
        <v>0.13220000000000001</v>
      </c>
      <c r="U2419" s="384">
        <v>0.1</v>
      </c>
      <c r="W2419" s="285">
        <f t="shared" si="53"/>
        <v>3591.8740000000003</v>
      </c>
    </row>
    <row r="2420" spans="1:23" ht="15" customHeight="1">
      <c r="A2420" s="3">
        <v>39286</v>
      </c>
      <c r="B2420" s="9">
        <v>15250</v>
      </c>
      <c r="C2420" s="5">
        <v>24575</v>
      </c>
      <c r="D2420" s="5" t="e">
        <f>E2420-(#REF!+C2420)</f>
        <v>#REF!</v>
      </c>
      <c r="E2420" s="5">
        <v>40325</v>
      </c>
      <c r="K2420" s="22">
        <v>3480</v>
      </c>
      <c r="L2420" s="6">
        <v>3475</v>
      </c>
      <c r="M2420" s="125">
        <f t="shared" si="52"/>
        <v>-5</v>
      </c>
      <c r="N2420" s="18"/>
      <c r="O2420" s="135"/>
      <c r="P2420" s="175">
        <v>25650</v>
      </c>
      <c r="Q2420" s="25">
        <v>0.1321</v>
      </c>
      <c r="U2420" s="384">
        <v>0.1</v>
      </c>
      <c r="W2420" s="285">
        <f t="shared" si="53"/>
        <v>3727.2015000000001</v>
      </c>
    </row>
    <row r="2421" spans="1:23" ht="15" customHeight="1">
      <c r="A2421" s="3">
        <v>39287</v>
      </c>
      <c r="B2421" s="9">
        <v>15025</v>
      </c>
      <c r="C2421" s="5">
        <v>24575</v>
      </c>
      <c r="D2421" s="5" t="e">
        <f>E2421-(#REF!+C2421)</f>
        <v>#REF!</v>
      </c>
      <c r="E2421" s="5">
        <v>40100</v>
      </c>
      <c r="K2421" s="22">
        <v>3455</v>
      </c>
      <c r="L2421" s="6">
        <v>3444</v>
      </c>
      <c r="M2421" s="125">
        <f t="shared" si="52"/>
        <v>-11</v>
      </c>
      <c r="N2421" s="18"/>
      <c r="O2421" s="135"/>
      <c r="P2421" s="175">
        <v>25650</v>
      </c>
      <c r="Q2421" s="25">
        <v>0.13220000000000001</v>
      </c>
      <c r="U2421" s="384">
        <v>0.1</v>
      </c>
      <c r="W2421" s="285">
        <f t="shared" si="53"/>
        <v>3730.0230000000006</v>
      </c>
    </row>
    <row r="2422" spans="1:23" ht="15" customHeight="1">
      <c r="A2422" s="3">
        <v>39288</v>
      </c>
      <c r="B2422" s="9">
        <v>14375</v>
      </c>
      <c r="C2422" s="5">
        <v>24575</v>
      </c>
      <c r="D2422" s="5" t="e">
        <f>E2422-(#REF!+C2422)</f>
        <v>#REF!</v>
      </c>
      <c r="E2422" s="5">
        <v>39450</v>
      </c>
      <c r="K2422" s="22">
        <v>3300</v>
      </c>
      <c r="L2422" s="6">
        <v>3305</v>
      </c>
      <c r="M2422" s="125">
        <f t="shared" si="52"/>
        <v>5</v>
      </c>
      <c r="N2422" s="18"/>
      <c r="O2422" s="135"/>
      <c r="P2422" s="175">
        <v>25550</v>
      </c>
      <c r="Q2422" s="25">
        <v>0.13220000000000001</v>
      </c>
      <c r="U2422" s="384">
        <v>0.1</v>
      </c>
      <c r="W2422" s="285">
        <f t="shared" si="53"/>
        <v>3715.4810000000007</v>
      </c>
    </row>
    <row r="2423" spans="1:23" ht="15" customHeight="1">
      <c r="A2423" s="3">
        <v>39289</v>
      </c>
      <c r="B2423" s="9">
        <v>14375</v>
      </c>
      <c r="C2423" s="5">
        <v>24575</v>
      </c>
      <c r="D2423" s="5" t="e">
        <f>E2423-(#REF!+C2423)</f>
        <v>#REF!</v>
      </c>
      <c r="E2423" s="5">
        <v>39450</v>
      </c>
      <c r="K2423" s="22">
        <v>3169</v>
      </c>
      <c r="L2423" s="6">
        <v>3169</v>
      </c>
      <c r="M2423" s="125">
        <f t="shared" si="52"/>
        <v>0</v>
      </c>
      <c r="N2423" s="18"/>
      <c r="O2423" s="135"/>
      <c r="P2423" s="175">
        <v>25100</v>
      </c>
      <c r="Q2423" s="25">
        <v>0.1323</v>
      </c>
      <c r="U2423" s="384">
        <v>0.1</v>
      </c>
      <c r="W2423" s="285">
        <f t="shared" si="53"/>
        <v>3652.8030000000003</v>
      </c>
    </row>
    <row r="2424" spans="1:23" ht="15" customHeight="1">
      <c r="A2424" s="3">
        <v>39290</v>
      </c>
      <c r="B2424" s="9">
        <v>13925</v>
      </c>
      <c r="C2424" s="5">
        <v>24575</v>
      </c>
      <c r="D2424" s="5" t="e">
        <f>E2424-(#REF!+C2424)</f>
        <v>#REF!</v>
      </c>
      <c r="E2424" s="5">
        <v>39000</v>
      </c>
      <c r="K2424" s="22">
        <v>3045</v>
      </c>
      <c r="L2424" s="6">
        <v>3040</v>
      </c>
      <c r="M2424" s="125">
        <f t="shared" si="52"/>
        <v>-5</v>
      </c>
      <c r="N2424" s="18"/>
      <c r="O2424" s="135"/>
      <c r="P2424" s="175">
        <v>24650</v>
      </c>
      <c r="Q2424" s="25">
        <v>0.13220000000000001</v>
      </c>
      <c r="U2424" s="384">
        <v>0.1</v>
      </c>
      <c r="W2424" s="285">
        <f t="shared" si="53"/>
        <v>3584.603000000001</v>
      </c>
    </row>
    <row r="2425" spans="1:23" ht="15" customHeight="1">
      <c r="A2425" s="3">
        <v>39293</v>
      </c>
      <c r="B2425" s="9">
        <v>13925</v>
      </c>
      <c r="C2425" s="5">
        <v>24575</v>
      </c>
      <c r="D2425" s="5" t="e">
        <f>E2425-(#REF!+C2425)</f>
        <v>#REF!</v>
      </c>
      <c r="E2425" s="5">
        <v>39000</v>
      </c>
      <c r="K2425" s="22">
        <v>2951</v>
      </c>
      <c r="L2425" s="6">
        <v>2956</v>
      </c>
      <c r="M2425" s="125">
        <f t="shared" si="52"/>
        <v>5</v>
      </c>
      <c r="N2425" s="18"/>
      <c r="O2425" s="135"/>
      <c r="P2425" s="175">
        <v>24300</v>
      </c>
      <c r="Q2425" s="25">
        <v>0.1323</v>
      </c>
      <c r="U2425" s="384">
        <v>0.1</v>
      </c>
      <c r="W2425" s="285">
        <f t="shared" si="53"/>
        <v>3536.3790000000004</v>
      </c>
    </row>
    <row r="2426" spans="1:23" ht="15" customHeight="1" thickBot="1">
      <c r="A2426" s="11">
        <v>39294</v>
      </c>
      <c r="B2426" s="9">
        <v>12500</v>
      </c>
      <c r="C2426" s="13">
        <v>24575</v>
      </c>
      <c r="D2426" s="13" t="e">
        <f>E2426-(#REF!+C2426)</f>
        <v>#REF!</v>
      </c>
      <c r="E2426" s="13">
        <v>37575</v>
      </c>
      <c r="F2426" s="12"/>
      <c r="G2426" s="13"/>
      <c r="H2426" s="13"/>
      <c r="I2426" s="119"/>
      <c r="J2426" s="119"/>
      <c r="K2426" s="23">
        <v>3119</v>
      </c>
      <c r="L2426" s="14">
        <v>3097</v>
      </c>
      <c r="M2426" s="126">
        <f t="shared" si="52"/>
        <v>-22</v>
      </c>
      <c r="N2426" s="19">
        <f>AVERAGE(K2405:K2426)</f>
        <v>3083.5454545454545</v>
      </c>
      <c r="O2426" s="136">
        <f>AVERAGE(K2277:K2426)</f>
        <v>2144.6938775510203</v>
      </c>
      <c r="P2426" s="176">
        <v>23650</v>
      </c>
      <c r="Q2426" s="27">
        <v>0.1321</v>
      </c>
      <c r="R2426" s="27"/>
      <c r="S2426" s="27"/>
      <c r="T2426" s="27"/>
      <c r="U2426" s="385">
        <v>0.1</v>
      </c>
      <c r="V2426" s="38">
        <f>AVERAGE(P2405:P2426)</f>
        <v>23343.18181818182</v>
      </c>
      <c r="W2426" s="285">
        <f t="shared" si="53"/>
        <v>3436.5815000000002</v>
      </c>
    </row>
    <row r="2427" spans="1:23" ht="15" customHeight="1">
      <c r="A2427" s="3">
        <v>39295</v>
      </c>
      <c r="B2427" s="9">
        <v>11875</v>
      </c>
      <c r="C2427" s="5">
        <v>24575</v>
      </c>
      <c r="D2427" s="5" t="e">
        <f>E2427-(#REF!+C2427)</f>
        <v>#REF!</v>
      </c>
      <c r="E2427" s="5">
        <v>37050</v>
      </c>
      <c r="K2427" s="22">
        <v>3075</v>
      </c>
      <c r="L2427" s="6">
        <v>3067</v>
      </c>
      <c r="M2427" s="125">
        <f t="shared" si="52"/>
        <v>-8</v>
      </c>
      <c r="N2427" s="7"/>
      <c r="O2427" s="140"/>
      <c r="P2427" s="175">
        <v>24600</v>
      </c>
      <c r="Q2427" s="25">
        <v>0.1321</v>
      </c>
      <c r="U2427" s="384">
        <v>0.1</v>
      </c>
      <c r="W2427" s="285">
        <f t="shared" si="53"/>
        <v>3574.6260000000002</v>
      </c>
    </row>
    <row r="2428" spans="1:23" ht="15" customHeight="1">
      <c r="A2428" s="3">
        <v>39296</v>
      </c>
      <c r="B2428" s="9">
        <v>11300</v>
      </c>
      <c r="C2428" s="5">
        <v>24850</v>
      </c>
      <c r="D2428" s="5" t="e">
        <f>E2428-(#REF!+C2428)</f>
        <v>#REF!</v>
      </c>
      <c r="E2428" s="5">
        <v>36750</v>
      </c>
      <c r="K2428" s="22">
        <v>3266</v>
      </c>
      <c r="L2428" s="6">
        <v>3242</v>
      </c>
      <c r="M2428" s="125">
        <f t="shared" si="52"/>
        <v>-24</v>
      </c>
      <c r="N2428" s="18"/>
      <c r="O2428" s="135"/>
      <c r="P2428" s="175">
        <v>25050</v>
      </c>
      <c r="Q2428" s="25">
        <v>0.1321</v>
      </c>
      <c r="U2428" s="384">
        <v>0.1</v>
      </c>
      <c r="W2428" s="285">
        <f t="shared" si="53"/>
        <v>3640.0155000000004</v>
      </c>
    </row>
    <row r="2429" spans="1:23" ht="15" customHeight="1">
      <c r="A2429" s="3">
        <v>39297</v>
      </c>
      <c r="B2429" s="9">
        <v>10100</v>
      </c>
      <c r="C2429" s="5">
        <v>24850</v>
      </c>
      <c r="D2429" s="5" t="e">
        <f>E2429-(#REF!+C2429)</f>
        <v>#REF!</v>
      </c>
      <c r="E2429" s="5">
        <v>35550</v>
      </c>
      <c r="K2429" s="22">
        <v>3390</v>
      </c>
      <c r="L2429" s="6">
        <v>3330</v>
      </c>
      <c r="M2429" s="125">
        <f t="shared" si="52"/>
        <v>-60</v>
      </c>
      <c r="N2429" s="18"/>
      <c r="O2429" s="135"/>
      <c r="P2429" s="175">
        <v>25500</v>
      </c>
      <c r="Q2429" s="25">
        <v>0.1321</v>
      </c>
      <c r="U2429" s="384">
        <v>0.1</v>
      </c>
      <c r="W2429" s="285">
        <f t="shared" si="53"/>
        <v>3705.4050000000002</v>
      </c>
    </row>
    <row r="2430" spans="1:23" ht="15" customHeight="1">
      <c r="A2430" s="3">
        <v>39300</v>
      </c>
      <c r="B2430" s="9">
        <v>9800</v>
      </c>
      <c r="C2430" s="5">
        <v>24925</v>
      </c>
      <c r="D2430" s="5" t="e">
        <f>E2430-(#REF!+C2430)</f>
        <v>#REF!</v>
      </c>
      <c r="E2430" s="5">
        <v>35325</v>
      </c>
      <c r="K2430" s="22">
        <v>3251</v>
      </c>
      <c r="L2430" s="6">
        <v>3211</v>
      </c>
      <c r="M2430" s="125">
        <f t="shared" si="52"/>
        <v>-40</v>
      </c>
      <c r="N2430" s="18"/>
      <c r="O2430" s="135"/>
      <c r="P2430" s="175">
        <v>25700</v>
      </c>
      <c r="Q2430" s="25">
        <v>0.13220000000000001</v>
      </c>
      <c r="U2430" s="384">
        <v>0.1</v>
      </c>
      <c r="W2430" s="285">
        <f t="shared" si="53"/>
        <v>3737.2940000000008</v>
      </c>
    </row>
    <row r="2431" spans="1:23" ht="15" customHeight="1">
      <c r="A2431" s="3">
        <v>39301</v>
      </c>
      <c r="B2431" s="9">
        <v>9000</v>
      </c>
      <c r="C2431" s="5">
        <v>25700</v>
      </c>
      <c r="D2431" s="5" t="e">
        <f>E2431-(#REF!+C2431)</f>
        <v>#REF!</v>
      </c>
      <c r="E2431" s="5">
        <v>35300</v>
      </c>
      <c r="K2431" s="22">
        <v>3174</v>
      </c>
      <c r="L2431" s="6">
        <v>3090</v>
      </c>
      <c r="M2431" s="125">
        <f t="shared" si="52"/>
        <v>-84</v>
      </c>
      <c r="N2431" s="18"/>
      <c r="O2431" s="135"/>
      <c r="P2431" s="175">
        <v>25050</v>
      </c>
      <c r="Q2431" s="25">
        <v>0.1323</v>
      </c>
      <c r="U2431" s="384">
        <v>0.1</v>
      </c>
      <c r="W2431" s="285">
        <f t="shared" si="53"/>
        <v>3645.5265000000004</v>
      </c>
    </row>
    <row r="2432" spans="1:23" ht="15" customHeight="1">
      <c r="A2432" s="3">
        <v>39302</v>
      </c>
      <c r="B2432" s="9">
        <v>7675</v>
      </c>
      <c r="C2432" s="5">
        <v>25700</v>
      </c>
      <c r="D2432" s="5" t="e">
        <f>E2432-(#REF!+C2432)</f>
        <v>#REF!</v>
      </c>
      <c r="E2432" s="5">
        <v>33975</v>
      </c>
      <c r="K2432" s="22">
        <v>3179</v>
      </c>
      <c r="L2432" s="6">
        <v>3125</v>
      </c>
      <c r="M2432" s="125">
        <f t="shared" si="52"/>
        <v>-54</v>
      </c>
      <c r="N2432" s="18"/>
      <c r="O2432" s="135"/>
      <c r="P2432" s="175">
        <v>25050</v>
      </c>
      <c r="Q2432" s="25">
        <v>0.1321</v>
      </c>
      <c r="U2432" s="384">
        <v>0.1</v>
      </c>
      <c r="W2432" s="285">
        <f t="shared" si="53"/>
        <v>3640.0155000000004</v>
      </c>
    </row>
    <row r="2433" spans="1:23" ht="15" customHeight="1">
      <c r="A2433" s="3">
        <v>39303</v>
      </c>
      <c r="B2433" s="9">
        <v>6750</v>
      </c>
      <c r="C2433" s="5">
        <v>25500</v>
      </c>
      <c r="D2433" s="5" t="e">
        <f>E2433-(#REF!+C2433)</f>
        <v>#REF!</v>
      </c>
      <c r="E2433" s="5">
        <v>32750</v>
      </c>
      <c r="K2433" s="22">
        <v>3045</v>
      </c>
      <c r="L2433" s="6">
        <v>2980</v>
      </c>
      <c r="M2433" s="125">
        <f t="shared" si="52"/>
        <v>-65</v>
      </c>
      <c r="N2433" s="18"/>
      <c r="O2433" s="135"/>
      <c r="P2433" s="175">
        <v>24800</v>
      </c>
      <c r="Q2433" s="25">
        <v>0.13200000000000001</v>
      </c>
      <c r="U2433" s="384">
        <v>0.1</v>
      </c>
      <c r="W2433" s="285">
        <f t="shared" si="53"/>
        <v>3600.9600000000005</v>
      </c>
    </row>
    <row r="2434" spans="1:23" ht="15" customHeight="1">
      <c r="A2434" s="3">
        <v>39304</v>
      </c>
      <c r="B2434" s="9">
        <v>6750</v>
      </c>
      <c r="C2434" s="5">
        <v>25275</v>
      </c>
      <c r="D2434" s="5" t="e">
        <f>E2434-(#REF!+C2434)</f>
        <v>#REF!</v>
      </c>
      <c r="E2434" s="5">
        <v>32575</v>
      </c>
      <c r="K2434" s="22">
        <v>2873</v>
      </c>
      <c r="L2434" s="6">
        <v>2800</v>
      </c>
      <c r="M2434" s="125">
        <f t="shared" si="52"/>
        <v>-73</v>
      </c>
      <c r="N2434" s="18"/>
      <c r="O2434" s="135"/>
      <c r="P2434" s="175">
        <v>24200</v>
      </c>
      <c r="Q2434" s="25">
        <v>0.13220000000000001</v>
      </c>
      <c r="U2434" s="384">
        <v>0.1</v>
      </c>
      <c r="W2434" s="285">
        <f t="shared" si="53"/>
        <v>3519.1640000000007</v>
      </c>
    </row>
    <row r="2435" spans="1:23" ht="15" customHeight="1">
      <c r="A2435" s="3">
        <v>39307</v>
      </c>
      <c r="B2435" s="9">
        <v>5800</v>
      </c>
      <c r="C2435" s="5">
        <v>25150</v>
      </c>
      <c r="D2435" s="5" t="e">
        <f>E2435-(#REF!+C2435)</f>
        <v>#REF!</v>
      </c>
      <c r="E2435" s="5">
        <v>31550</v>
      </c>
      <c r="K2435" s="22">
        <v>3048</v>
      </c>
      <c r="L2435" s="6">
        <v>3040</v>
      </c>
      <c r="M2435" s="125">
        <f t="shared" si="52"/>
        <v>-8</v>
      </c>
      <c r="N2435" s="18"/>
      <c r="O2435" s="135"/>
      <c r="P2435" s="175">
        <v>24200</v>
      </c>
      <c r="Q2435" s="25">
        <v>0.13200000000000001</v>
      </c>
      <c r="U2435" s="384">
        <v>0.1</v>
      </c>
      <c r="W2435" s="285">
        <f t="shared" si="53"/>
        <v>3513.8400000000006</v>
      </c>
    </row>
    <row r="2436" spans="1:23" ht="15" customHeight="1">
      <c r="A2436" s="3">
        <v>39308</v>
      </c>
      <c r="B2436" s="9">
        <v>5200</v>
      </c>
      <c r="C2436" s="5">
        <v>25050</v>
      </c>
      <c r="D2436" s="5" t="e">
        <f>E2436-(#REF!+C2436)</f>
        <v>#REF!</v>
      </c>
      <c r="E2436" s="5">
        <v>30850</v>
      </c>
      <c r="K2436" s="22">
        <v>3121</v>
      </c>
      <c r="L2436" s="6">
        <v>3056</v>
      </c>
      <c r="M2436" s="125">
        <f t="shared" si="52"/>
        <v>-65</v>
      </c>
      <c r="N2436" s="18"/>
      <c r="O2436" s="135"/>
      <c r="P2436" s="175">
        <v>24600</v>
      </c>
      <c r="Q2436" s="25">
        <v>0.13189999999999999</v>
      </c>
      <c r="U2436" s="384">
        <v>0.1</v>
      </c>
      <c r="W2436" s="285">
        <f t="shared" si="53"/>
        <v>3569.2139999999999</v>
      </c>
    </row>
    <row r="2437" spans="1:23" ht="15" customHeight="1">
      <c r="A2437" s="3">
        <v>39309</v>
      </c>
      <c r="B2437" s="9">
        <v>3850</v>
      </c>
      <c r="C2437" s="5">
        <v>24800</v>
      </c>
      <c r="D2437" s="5" t="e">
        <f>E2437-(#REF!+C2437)</f>
        <v>#REF!</v>
      </c>
      <c r="E2437" s="5">
        <v>29350</v>
      </c>
      <c r="K2437" s="22">
        <v>2940</v>
      </c>
      <c r="L2437" s="6">
        <v>2876</v>
      </c>
      <c r="M2437" s="125">
        <f t="shared" si="52"/>
        <v>-64</v>
      </c>
      <c r="N2437" s="18"/>
      <c r="O2437" s="135"/>
      <c r="P2437" s="175">
        <v>24800</v>
      </c>
      <c r="Q2437" s="25">
        <v>0.13189999999999999</v>
      </c>
      <c r="U2437" s="384">
        <v>0.1</v>
      </c>
      <c r="W2437" s="285">
        <f t="shared" si="53"/>
        <v>3598.232</v>
      </c>
    </row>
    <row r="2438" spans="1:23" ht="15" customHeight="1">
      <c r="A2438" s="3">
        <v>39310</v>
      </c>
      <c r="B2438" s="9">
        <v>3675</v>
      </c>
      <c r="C2438" s="5">
        <v>24575</v>
      </c>
      <c r="D2438" s="5" t="e">
        <f>E2438-(#REF!+C2438)</f>
        <v>#REF!</v>
      </c>
      <c r="E2438" s="5">
        <v>28950</v>
      </c>
      <c r="K2438" s="22">
        <v>2925</v>
      </c>
      <c r="L2438" s="6">
        <v>2861</v>
      </c>
      <c r="M2438" s="125">
        <f t="shared" si="52"/>
        <v>-64</v>
      </c>
      <c r="N2438" s="18"/>
      <c r="O2438" s="135"/>
      <c r="P2438" s="175">
        <v>24600</v>
      </c>
      <c r="Q2438" s="25">
        <v>0.1318</v>
      </c>
      <c r="U2438" s="384">
        <v>0.1</v>
      </c>
      <c r="W2438" s="285">
        <f t="shared" si="53"/>
        <v>3566.5080000000007</v>
      </c>
    </row>
    <row r="2439" spans="1:23" ht="15" customHeight="1">
      <c r="A2439" s="3">
        <v>39311</v>
      </c>
      <c r="B2439" s="9">
        <v>3475</v>
      </c>
      <c r="C2439" s="5">
        <v>24225</v>
      </c>
      <c r="D2439" s="5" t="e">
        <f>E2439-(#REF!+C2439)</f>
        <v>#REF!</v>
      </c>
      <c r="E2439" s="5">
        <v>28250</v>
      </c>
      <c r="K2439" s="22">
        <v>2895</v>
      </c>
      <c r="L2439" s="6">
        <v>2840</v>
      </c>
      <c r="M2439" s="125">
        <f t="shared" si="52"/>
        <v>-55</v>
      </c>
      <c r="N2439" s="18"/>
      <c r="O2439" s="135"/>
      <c r="P2439" s="175">
        <v>23900</v>
      </c>
      <c r="Q2439" s="25">
        <v>0.13150000000000001</v>
      </c>
      <c r="U2439" s="384">
        <v>0.1</v>
      </c>
      <c r="W2439" s="285">
        <f t="shared" si="53"/>
        <v>3457.1350000000007</v>
      </c>
    </row>
    <row r="2440" spans="1:23" ht="15" customHeight="1">
      <c r="A2440" s="3">
        <v>39314</v>
      </c>
      <c r="B2440" s="9">
        <v>3375</v>
      </c>
      <c r="C2440" s="5">
        <v>23825</v>
      </c>
      <c r="D2440" s="5" t="e">
        <f>E2440-(#REF!+C2440)</f>
        <v>#REF!</v>
      </c>
      <c r="E2440" s="5">
        <v>27750</v>
      </c>
      <c r="K2440" s="22">
        <v>3015</v>
      </c>
      <c r="L2440" s="6">
        <v>2960</v>
      </c>
      <c r="M2440" s="125">
        <f t="shared" si="52"/>
        <v>-55</v>
      </c>
      <c r="N2440" s="18"/>
      <c r="O2440" s="135"/>
      <c r="P2440" s="175">
        <v>24200</v>
      </c>
      <c r="Q2440" s="25">
        <v>0.13170000000000001</v>
      </c>
      <c r="U2440" s="384">
        <v>0.1</v>
      </c>
      <c r="W2440" s="285">
        <f t="shared" si="53"/>
        <v>3505.8540000000007</v>
      </c>
    </row>
    <row r="2441" spans="1:23" ht="15" customHeight="1">
      <c r="A2441" s="3">
        <v>39315</v>
      </c>
      <c r="B2441" s="9">
        <v>2975</v>
      </c>
      <c r="C2441" s="5">
        <v>23675</v>
      </c>
      <c r="D2441" s="5" t="e">
        <f>E2441-(#REF!+C2441)</f>
        <v>#REF!</v>
      </c>
      <c r="E2441" s="5">
        <v>27200</v>
      </c>
      <c r="K2441" s="22">
        <v>2940</v>
      </c>
      <c r="L2441" s="6">
        <v>2886</v>
      </c>
      <c r="M2441" s="125">
        <f t="shared" si="52"/>
        <v>-54</v>
      </c>
      <c r="N2441" s="18"/>
      <c r="O2441" s="135"/>
      <c r="P2441" s="175">
        <v>24600</v>
      </c>
      <c r="Q2441" s="25">
        <v>0.1318</v>
      </c>
      <c r="U2441" s="384">
        <v>0.1</v>
      </c>
      <c r="W2441" s="285">
        <f t="shared" si="53"/>
        <v>3566.5080000000007</v>
      </c>
    </row>
    <row r="2442" spans="1:23" ht="15" customHeight="1">
      <c r="A2442" s="3">
        <v>39316</v>
      </c>
      <c r="B2442" s="9">
        <v>2650</v>
      </c>
      <c r="C2442" s="5">
        <v>23475</v>
      </c>
      <c r="D2442" s="5" t="e">
        <f>E2442-(#REF!+C2442)</f>
        <v>#REF!</v>
      </c>
      <c r="E2442" s="5">
        <v>26675</v>
      </c>
      <c r="K2442" s="22">
        <v>3055</v>
      </c>
      <c r="L2442" s="6">
        <v>3000</v>
      </c>
      <c r="M2442" s="125">
        <f t="shared" si="52"/>
        <v>-55</v>
      </c>
      <c r="N2442" s="18"/>
      <c r="O2442" s="135"/>
      <c r="P2442" s="175">
        <v>24450</v>
      </c>
      <c r="Q2442" s="25">
        <v>0.13170000000000001</v>
      </c>
      <c r="U2442" s="384">
        <v>0.1</v>
      </c>
      <c r="W2442" s="285">
        <f t="shared" si="53"/>
        <v>3542.0715000000005</v>
      </c>
    </row>
    <row r="2443" spans="1:23" ht="15" customHeight="1">
      <c r="A2443" s="3">
        <v>39317</v>
      </c>
      <c r="B2443" s="9">
        <v>2650</v>
      </c>
      <c r="C2443" s="5">
        <v>23200</v>
      </c>
      <c r="D2443" s="5" t="e">
        <f>E2443-(#REF!+C2443)</f>
        <v>#REF!</v>
      </c>
      <c r="E2443" s="5">
        <v>26400</v>
      </c>
      <c r="K2443" s="22">
        <v>3200</v>
      </c>
      <c r="L2443" s="6">
        <v>3145</v>
      </c>
      <c r="M2443" s="125">
        <f t="shared" si="52"/>
        <v>-55</v>
      </c>
      <c r="N2443" s="18"/>
      <c r="O2443" s="135"/>
      <c r="P2443" s="175">
        <v>24600</v>
      </c>
      <c r="Q2443" s="25">
        <v>0.13150000000000001</v>
      </c>
      <c r="U2443" s="384">
        <v>0.1</v>
      </c>
      <c r="W2443" s="285">
        <f t="shared" si="53"/>
        <v>3558.3900000000003</v>
      </c>
    </row>
    <row r="2444" spans="1:23" ht="15" customHeight="1">
      <c r="A2444" s="3">
        <v>39318</v>
      </c>
      <c r="B2444" s="9">
        <v>2350</v>
      </c>
      <c r="C2444" s="5">
        <v>23125</v>
      </c>
      <c r="D2444" s="5" t="e">
        <f>E2444-(#REF!+C2444)</f>
        <v>#REF!</v>
      </c>
      <c r="E2444" s="5">
        <v>26025</v>
      </c>
      <c r="K2444" s="22">
        <v>3265</v>
      </c>
      <c r="L2444" s="6">
        <v>3190</v>
      </c>
      <c r="M2444" s="125">
        <f t="shared" si="52"/>
        <v>-75</v>
      </c>
      <c r="N2444" s="18"/>
      <c r="O2444" s="135"/>
      <c r="P2444" s="175">
        <v>24850</v>
      </c>
      <c r="Q2444" s="25">
        <v>0.13189999999999999</v>
      </c>
      <c r="U2444" s="384">
        <v>0.1</v>
      </c>
      <c r="W2444" s="285">
        <f t="shared" si="53"/>
        <v>3605.4865</v>
      </c>
    </row>
    <row r="2445" spans="1:23" ht="15" customHeight="1">
      <c r="A2445" s="3">
        <v>39322</v>
      </c>
      <c r="B2445" s="9">
        <v>2150</v>
      </c>
      <c r="C2445" s="5">
        <v>23050</v>
      </c>
      <c r="D2445" s="5" t="e">
        <f>E2445-(#REF!+C2445)</f>
        <v>#REF!</v>
      </c>
      <c r="E2445" s="5">
        <v>25750</v>
      </c>
      <c r="K2445" s="22">
        <v>3308</v>
      </c>
      <c r="L2445" s="6">
        <v>3225</v>
      </c>
      <c r="M2445" s="125">
        <f t="shared" si="52"/>
        <v>-83</v>
      </c>
      <c r="N2445" s="18"/>
      <c r="O2445" s="135"/>
      <c r="P2445" s="175">
        <v>24800</v>
      </c>
      <c r="Q2445" s="25">
        <v>0.1323</v>
      </c>
      <c r="U2445" s="384">
        <v>0.1</v>
      </c>
      <c r="W2445" s="285">
        <f t="shared" si="53"/>
        <v>3609.1440000000002</v>
      </c>
    </row>
    <row r="2446" spans="1:23" ht="15" customHeight="1">
      <c r="A2446" s="3">
        <v>39323</v>
      </c>
      <c r="B2446" s="9">
        <v>2000</v>
      </c>
      <c r="C2446" s="5">
        <v>22975</v>
      </c>
      <c r="D2446" s="5" t="e">
        <f>E2446-(#REF!+C2446)</f>
        <v>#REF!</v>
      </c>
      <c r="E2446" s="5">
        <v>25525</v>
      </c>
      <c r="K2446" s="22">
        <v>3188</v>
      </c>
      <c r="L2446" s="6">
        <v>3106</v>
      </c>
      <c r="M2446" s="125">
        <f t="shared" ref="M2446:M2509" si="54">L2446-K2446</f>
        <v>-82</v>
      </c>
      <c r="N2446" s="18"/>
      <c r="O2446" s="135"/>
      <c r="P2446" s="175">
        <v>24500</v>
      </c>
      <c r="Q2446" s="25">
        <v>0.13239999999999999</v>
      </c>
      <c r="U2446" s="384">
        <v>0.1</v>
      </c>
      <c r="W2446" s="285">
        <f t="shared" si="53"/>
        <v>3568.18</v>
      </c>
    </row>
    <row r="2447" spans="1:23" ht="15" customHeight="1">
      <c r="A2447" s="3">
        <v>39324</v>
      </c>
      <c r="B2447" s="9">
        <v>2000</v>
      </c>
      <c r="C2447" s="5">
        <v>22975</v>
      </c>
      <c r="D2447" s="5" t="e">
        <f>E2447-(#REF!+C2447)</f>
        <v>#REF!</v>
      </c>
      <c r="E2447" s="5">
        <v>25525</v>
      </c>
      <c r="K2447" s="22">
        <v>3190</v>
      </c>
      <c r="L2447" s="6">
        <v>3120</v>
      </c>
      <c r="M2447" s="125">
        <f t="shared" si="54"/>
        <v>-70</v>
      </c>
      <c r="N2447" s="18"/>
      <c r="O2447" s="135"/>
      <c r="P2447" s="175">
        <v>24200</v>
      </c>
      <c r="Q2447" s="25">
        <v>0.13250000000000001</v>
      </c>
      <c r="U2447" s="384">
        <v>0.1</v>
      </c>
      <c r="W2447" s="285">
        <f t="shared" si="53"/>
        <v>3527.15</v>
      </c>
    </row>
    <row r="2448" spans="1:23" ht="15" customHeight="1" thickBot="1">
      <c r="A2448" s="11">
        <v>39325</v>
      </c>
      <c r="B2448" s="9">
        <v>2000</v>
      </c>
      <c r="C2448" s="13">
        <v>22825</v>
      </c>
      <c r="D2448" s="13" t="e">
        <f>E2448-(#REF!+C2448)</f>
        <v>#REF!</v>
      </c>
      <c r="E2448" s="13">
        <v>25375</v>
      </c>
      <c r="F2448" s="12"/>
      <c r="G2448" s="13"/>
      <c r="H2448" s="13"/>
      <c r="I2448" s="119"/>
      <c r="J2448" s="119"/>
      <c r="K2448" s="23">
        <v>3285</v>
      </c>
      <c r="L2448" s="14">
        <v>3206</v>
      </c>
      <c r="M2448" s="126">
        <f t="shared" si="54"/>
        <v>-79</v>
      </c>
      <c r="N2448" s="19">
        <f>AVERAGE(K2427:K2448)</f>
        <v>3119.4545454545455</v>
      </c>
      <c r="O2448" s="136">
        <f>AVERAGE(K2277:K2448)</f>
        <v>2271.5857988165681</v>
      </c>
      <c r="P2448" s="176">
        <v>24050</v>
      </c>
      <c r="Q2448" s="27">
        <v>0.13250000000000001</v>
      </c>
      <c r="R2448" s="27"/>
      <c r="S2448" s="27"/>
      <c r="T2448" s="27"/>
      <c r="U2448" s="385">
        <v>0.1</v>
      </c>
      <c r="V2448" s="38">
        <f>AVERAGE(P2427:P2448)</f>
        <v>24650</v>
      </c>
      <c r="W2448" s="285">
        <f t="shared" si="53"/>
        <v>3505.2875000000004</v>
      </c>
    </row>
    <row r="2449" spans="1:23" ht="15" customHeight="1">
      <c r="A2449" s="3">
        <v>39328</v>
      </c>
      <c r="B2449" s="9">
        <v>1900</v>
      </c>
      <c r="C2449" s="5">
        <v>22750</v>
      </c>
      <c r="D2449" s="5" t="e">
        <f>E2449-(#REF!+C2449)</f>
        <v>#REF!</v>
      </c>
      <c r="E2449" s="5">
        <v>25200</v>
      </c>
      <c r="K2449" s="22">
        <v>3091</v>
      </c>
      <c r="L2449" s="6">
        <v>3045</v>
      </c>
      <c r="M2449" s="125">
        <f t="shared" si="54"/>
        <v>-46</v>
      </c>
      <c r="N2449" s="20"/>
      <c r="O2449" s="138"/>
      <c r="P2449" s="175">
        <v>23600</v>
      </c>
      <c r="Q2449" s="25">
        <v>0.13250000000000001</v>
      </c>
      <c r="U2449" s="384">
        <v>0.1</v>
      </c>
      <c r="W2449" s="285">
        <f t="shared" si="53"/>
        <v>3439.7000000000003</v>
      </c>
    </row>
    <row r="2450" spans="1:23" ht="15" customHeight="1">
      <c r="A2450" s="3">
        <v>39329</v>
      </c>
      <c r="B2450" s="9">
        <v>1775</v>
      </c>
      <c r="D2450" s="65" t="s">
        <v>26</v>
      </c>
      <c r="K2450" s="22">
        <v>2991</v>
      </c>
      <c r="L2450" s="6">
        <v>2995</v>
      </c>
      <c r="M2450" s="125">
        <f t="shared" si="54"/>
        <v>4</v>
      </c>
      <c r="N2450" s="18"/>
      <c r="O2450" s="135"/>
      <c r="P2450" s="175">
        <v>23550</v>
      </c>
      <c r="Q2450" s="25">
        <v>0.13250000000000001</v>
      </c>
      <c r="U2450" s="384">
        <v>0.1</v>
      </c>
      <c r="W2450" s="285">
        <f t="shared" si="53"/>
        <v>3432.4125000000004</v>
      </c>
    </row>
    <row r="2451" spans="1:23" ht="15" customHeight="1">
      <c r="A2451" s="3">
        <v>39330</v>
      </c>
      <c r="B2451" s="9">
        <v>1225</v>
      </c>
      <c r="C2451" s="5">
        <v>22975</v>
      </c>
      <c r="D2451" s="5" t="e">
        <f>E2451-(#REF!+C2451)</f>
        <v>#REF!</v>
      </c>
      <c r="E2451" s="5">
        <v>24750</v>
      </c>
      <c r="K2451" s="22">
        <v>3090</v>
      </c>
      <c r="L2451" s="6">
        <v>3040</v>
      </c>
      <c r="M2451" s="125">
        <f t="shared" si="54"/>
        <v>-50</v>
      </c>
      <c r="N2451" s="18"/>
      <c r="O2451" s="135"/>
      <c r="P2451" s="175">
        <v>23400</v>
      </c>
      <c r="Q2451" s="25">
        <v>0.13250000000000001</v>
      </c>
      <c r="U2451" s="384">
        <v>0.1</v>
      </c>
      <c r="W2451" s="285">
        <f t="shared" si="53"/>
        <v>3410.55</v>
      </c>
    </row>
    <row r="2452" spans="1:23" ht="15" customHeight="1">
      <c r="A2452" s="3">
        <v>39331</v>
      </c>
      <c r="B2452" s="9">
        <v>1225</v>
      </c>
      <c r="C2452" s="5">
        <v>22900</v>
      </c>
      <c r="D2452" s="5" t="e">
        <f>E2452-(#REF!+C2452)</f>
        <v>#REF!</v>
      </c>
      <c r="E2452" s="5">
        <v>24675</v>
      </c>
      <c r="K2452" s="22">
        <v>2940</v>
      </c>
      <c r="L2452" s="6">
        <v>2892</v>
      </c>
      <c r="M2452" s="125">
        <f t="shared" si="54"/>
        <v>-48</v>
      </c>
      <c r="N2452" s="18"/>
      <c r="O2452" s="135"/>
      <c r="P2452" s="175">
        <v>23050</v>
      </c>
      <c r="Q2452" s="25">
        <v>0.13239999999999999</v>
      </c>
      <c r="U2452" s="384">
        <v>0.1</v>
      </c>
      <c r="W2452" s="285">
        <f t="shared" si="53"/>
        <v>3357.002</v>
      </c>
    </row>
    <row r="2453" spans="1:23" ht="15" customHeight="1">
      <c r="A2453" s="3">
        <v>39332</v>
      </c>
      <c r="B2453" s="9">
        <v>1225</v>
      </c>
      <c r="C2453" s="5">
        <v>22700</v>
      </c>
      <c r="D2453" s="5" t="e">
        <f>E2453-(#REF!+C2453)</f>
        <v>#REF!</v>
      </c>
      <c r="E2453" s="5">
        <v>24475</v>
      </c>
      <c r="K2453" s="22">
        <v>3010.5</v>
      </c>
      <c r="L2453" s="6">
        <v>2959</v>
      </c>
      <c r="M2453" s="125">
        <f t="shared" si="54"/>
        <v>-51.5</v>
      </c>
      <c r="N2453" s="7"/>
      <c r="O2453" s="132"/>
      <c r="P2453" s="175">
        <v>22850</v>
      </c>
      <c r="Q2453" s="25">
        <v>0.13270000000000001</v>
      </c>
      <c r="U2453" s="384">
        <v>0.1</v>
      </c>
      <c r="W2453" s="285">
        <f t="shared" si="53"/>
        <v>3335.4145000000003</v>
      </c>
    </row>
    <row r="2454" spans="1:23" ht="15" customHeight="1">
      <c r="A2454" s="3">
        <v>39335</v>
      </c>
      <c r="B2454" s="9">
        <v>1075</v>
      </c>
      <c r="C2454" s="5">
        <v>22550</v>
      </c>
      <c r="D2454" s="5" t="e">
        <f>E2454-(#REF!+C2454)</f>
        <v>#REF!</v>
      </c>
      <c r="E2454" s="5">
        <v>24175</v>
      </c>
      <c r="K2454" s="22">
        <v>2915</v>
      </c>
      <c r="L2454" s="6">
        <v>2868</v>
      </c>
      <c r="M2454" s="125">
        <f t="shared" si="54"/>
        <v>-47</v>
      </c>
      <c r="N2454" s="18"/>
      <c r="O2454" s="135"/>
      <c r="P2454" s="175">
        <v>22750</v>
      </c>
      <c r="Q2454" s="25">
        <v>0.13270000000000001</v>
      </c>
      <c r="U2454" s="384">
        <v>0.1</v>
      </c>
      <c r="W2454" s="285">
        <f t="shared" si="53"/>
        <v>3320.8175000000006</v>
      </c>
    </row>
    <row r="2455" spans="1:23" ht="15" customHeight="1">
      <c r="A2455" s="3">
        <v>39336</v>
      </c>
      <c r="B2455" s="9">
        <v>1050</v>
      </c>
      <c r="C2455" s="5">
        <v>22300</v>
      </c>
      <c r="D2455" s="5" t="e">
        <f>E2455-(#REF!+C2455)</f>
        <v>#REF!</v>
      </c>
      <c r="E2455" s="5">
        <v>23900</v>
      </c>
      <c r="K2455" s="22">
        <v>3020</v>
      </c>
      <c r="L2455" s="6">
        <v>2990</v>
      </c>
      <c r="M2455" s="125">
        <f t="shared" si="54"/>
        <v>-30</v>
      </c>
      <c r="N2455" s="18"/>
      <c r="O2455" s="135"/>
      <c r="P2455" s="175">
        <v>22650</v>
      </c>
      <c r="Q2455" s="25">
        <v>0.13300000000000001</v>
      </c>
      <c r="U2455" s="384">
        <v>0.1</v>
      </c>
      <c r="W2455" s="285">
        <f t="shared" si="53"/>
        <v>3313.6950000000006</v>
      </c>
    </row>
    <row r="2456" spans="1:23" ht="15" customHeight="1">
      <c r="A2456" s="3">
        <v>39337</v>
      </c>
      <c r="B2456" s="9">
        <v>950</v>
      </c>
      <c r="C2456" s="5">
        <v>22275</v>
      </c>
      <c r="D2456" s="5" t="e">
        <f>E2456-(#REF!+C2456)</f>
        <v>#REF!</v>
      </c>
      <c r="E2456" s="5">
        <v>23775</v>
      </c>
      <c r="K2456" s="22">
        <v>3065.5</v>
      </c>
      <c r="L2456" s="6">
        <v>2995</v>
      </c>
      <c r="M2456" s="125">
        <f t="shared" si="54"/>
        <v>-70.5</v>
      </c>
      <c r="N2456" s="18"/>
      <c r="O2456" s="135"/>
      <c r="P2456" s="175">
        <v>22750</v>
      </c>
      <c r="Q2456" s="25">
        <v>0.13289999999999999</v>
      </c>
      <c r="U2456" s="384">
        <v>0.1</v>
      </c>
      <c r="W2456" s="285">
        <f t="shared" si="53"/>
        <v>3325.8225000000002</v>
      </c>
    </row>
    <row r="2457" spans="1:23" ht="15" customHeight="1">
      <c r="A2457" s="3">
        <v>39338</v>
      </c>
      <c r="B2457" s="9">
        <v>950</v>
      </c>
      <c r="C2457" s="5">
        <v>22375</v>
      </c>
      <c r="D2457" s="5" t="e">
        <f>E2457-(#REF!+C2457)</f>
        <v>#REF!</v>
      </c>
      <c r="E2457" s="5">
        <v>23875</v>
      </c>
      <c r="K2457" s="22">
        <v>3101</v>
      </c>
      <c r="L2457" s="6">
        <v>3045</v>
      </c>
      <c r="M2457" s="125">
        <f t="shared" si="54"/>
        <v>-56</v>
      </c>
      <c r="N2457" s="18"/>
      <c r="O2457" s="135"/>
      <c r="P2457" s="175">
        <v>22750</v>
      </c>
      <c r="Q2457" s="25">
        <v>0.13289999999999999</v>
      </c>
      <c r="U2457" s="384">
        <v>0.1</v>
      </c>
      <c r="W2457" s="285">
        <f t="shared" si="53"/>
        <v>3325.8225000000002</v>
      </c>
    </row>
    <row r="2458" spans="1:23" ht="15" customHeight="1">
      <c r="A2458" s="3">
        <v>39339</v>
      </c>
      <c r="B2458" s="9">
        <v>950</v>
      </c>
      <c r="C2458" s="5">
        <v>21925</v>
      </c>
      <c r="D2458" s="5" t="e">
        <f>E2458-(#REF!+C2458)</f>
        <v>#REF!</v>
      </c>
      <c r="E2458" s="5">
        <v>23425</v>
      </c>
      <c r="K2458" s="22">
        <v>3200.5</v>
      </c>
      <c r="L2458" s="6">
        <v>3145</v>
      </c>
      <c r="M2458" s="125">
        <f t="shared" si="54"/>
        <v>-55.5</v>
      </c>
      <c r="N2458" s="18"/>
      <c r="O2458" s="135"/>
      <c r="P2458" s="175">
        <v>22850</v>
      </c>
      <c r="Q2458" s="25">
        <v>0.1331</v>
      </c>
      <c r="U2458" s="384">
        <v>0.1</v>
      </c>
      <c r="W2458" s="285">
        <f t="shared" si="53"/>
        <v>3345.4685000000004</v>
      </c>
    </row>
    <row r="2459" spans="1:23" ht="15" customHeight="1">
      <c r="A2459" s="3">
        <v>39342</v>
      </c>
      <c r="B2459" s="9">
        <v>925</v>
      </c>
      <c r="C2459" s="5">
        <v>21275</v>
      </c>
      <c r="D2459" s="5" t="e">
        <f>E2459-(#REF!+C2459)</f>
        <v>#REF!</v>
      </c>
      <c r="E2459" s="5">
        <v>22750</v>
      </c>
      <c r="K2459" s="22">
        <v>3253</v>
      </c>
      <c r="L2459" s="6">
        <v>3180</v>
      </c>
      <c r="M2459" s="125">
        <f t="shared" si="54"/>
        <v>-73</v>
      </c>
      <c r="N2459" s="18"/>
      <c r="O2459" s="135"/>
      <c r="P2459" s="175">
        <v>22900</v>
      </c>
      <c r="Q2459" s="25">
        <v>0.1331</v>
      </c>
      <c r="U2459" s="384">
        <v>0.1</v>
      </c>
      <c r="W2459" s="285">
        <f t="shared" si="53"/>
        <v>3352.7890000000002</v>
      </c>
    </row>
    <row r="2460" spans="1:23" ht="15" customHeight="1">
      <c r="A2460" s="3">
        <v>39343</v>
      </c>
      <c r="B2460" s="9">
        <v>925</v>
      </c>
      <c r="C2460" s="5">
        <v>20700</v>
      </c>
      <c r="D2460" s="5" t="e">
        <f>E2460-(#REF!+C2460)</f>
        <v>#REF!</v>
      </c>
      <c r="E2460" s="5">
        <v>22175</v>
      </c>
      <c r="K2460" s="22">
        <v>3181</v>
      </c>
      <c r="L2460" s="6">
        <v>3120</v>
      </c>
      <c r="M2460" s="125">
        <f t="shared" si="54"/>
        <v>-61</v>
      </c>
      <c r="N2460" s="18"/>
      <c r="O2460" s="135"/>
      <c r="P2460" s="175">
        <v>22750</v>
      </c>
      <c r="Q2460" s="25">
        <v>0.13289999999999999</v>
      </c>
      <c r="U2460" s="384">
        <v>0.1</v>
      </c>
      <c r="W2460" s="285">
        <f t="shared" si="53"/>
        <v>3325.8225000000002</v>
      </c>
    </row>
    <row r="2461" spans="1:23" ht="15" customHeight="1">
      <c r="A2461" s="3">
        <v>39344</v>
      </c>
      <c r="B2461" s="9">
        <v>875</v>
      </c>
      <c r="C2461" s="5">
        <v>20250</v>
      </c>
      <c r="D2461" s="5" t="e">
        <f>E2461-(#REF!+C2461)</f>
        <v>#REF!</v>
      </c>
      <c r="E2461" s="5">
        <v>21675</v>
      </c>
      <c r="K2461" s="22">
        <v>3290</v>
      </c>
      <c r="L2461" s="6">
        <v>3210</v>
      </c>
      <c r="M2461" s="125">
        <f t="shared" si="54"/>
        <v>-80</v>
      </c>
      <c r="N2461" s="18"/>
      <c r="O2461" s="135"/>
      <c r="P2461" s="175">
        <v>22800</v>
      </c>
      <c r="Q2461" s="25">
        <v>0.13289999999999999</v>
      </c>
      <c r="U2461" s="384">
        <v>0.1</v>
      </c>
      <c r="W2461" s="285">
        <f t="shared" si="53"/>
        <v>3333.1320000000001</v>
      </c>
    </row>
    <row r="2462" spans="1:23" ht="15" customHeight="1">
      <c r="A2462" s="3">
        <v>39345</v>
      </c>
      <c r="B2462" s="9">
        <v>875</v>
      </c>
      <c r="C2462" s="5">
        <v>20000</v>
      </c>
      <c r="D2462" s="5" t="e">
        <f>E2462-(#REF!+C2462)</f>
        <v>#REF!</v>
      </c>
      <c r="E2462" s="5">
        <v>21425</v>
      </c>
      <c r="K2462" s="22">
        <v>3314.5</v>
      </c>
      <c r="L2462" s="6">
        <v>3260</v>
      </c>
      <c r="M2462" s="125">
        <f t="shared" si="54"/>
        <v>-54.5</v>
      </c>
      <c r="N2462" s="18"/>
      <c r="O2462" s="135"/>
      <c r="P2462" s="175">
        <v>23100</v>
      </c>
      <c r="Q2462" s="25">
        <v>0.1331</v>
      </c>
      <c r="U2462" s="384">
        <v>0.1</v>
      </c>
      <c r="W2462" s="285">
        <f t="shared" si="53"/>
        <v>3382.0710000000004</v>
      </c>
    </row>
    <row r="2463" spans="1:23" ht="15" customHeight="1">
      <c r="A2463" s="3">
        <v>39346</v>
      </c>
      <c r="B2463" s="9">
        <v>875</v>
      </c>
      <c r="C2463" s="5">
        <v>19775</v>
      </c>
      <c r="D2463" s="5" t="e">
        <f>E2463-(#REF!+C2463)</f>
        <v>#REF!</v>
      </c>
      <c r="E2463" s="5">
        <v>21200</v>
      </c>
      <c r="K2463" s="22">
        <v>3450</v>
      </c>
      <c r="L2463" s="6">
        <v>3355.5</v>
      </c>
      <c r="M2463" s="125">
        <f t="shared" si="54"/>
        <v>-94.5</v>
      </c>
      <c r="N2463" s="18"/>
      <c r="O2463" s="135"/>
      <c r="P2463" s="175">
        <v>23250</v>
      </c>
      <c r="Q2463" s="25">
        <v>0.1331</v>
      </c>
      <c r="U2463" s="384">
        <v>0.1</v>
      </c>
      <c r="W2463" s="285">
        <f t="shared" si="53"/>
        <v>3404.0325000000003</v>
      </c>
    </row>
    <row r="2464" spans="1:23" ht="15" customHeight="1">
      <c r="A2464" s="3">
        <v>39349</v>
      </c>
      <c r="B2464" s="9">
        <v>975</v>
      </c>
      <c r="C2464" s="5">
        <v>19525</v>
      </c>
      <c r="D2464" s="5" t="e">
        <f>E2464-(#REF!+C2464)</f>
        <v>#REF!</v>
      </c>
      <c r="E2464" s="5">
        <v>21050</v>
      </c>
      <c r="K2464" s="22">
        <v>3542</v>
      </c>
      <c r="L2464" s="6">
        <v>3460</v>
      </c>
      <c r="M2464" s="125">
        <f t="shared" si="54"/>
        <v>-82</v>
      </c>
      <c r="N2464" s="18"/>
      <c r="O2464" s="135"/>
      <c r="P2464" s="175">
        <v>23450</v>
      </c>
      <c r="Q2464" s="25">
        <v>0.1331</v>
      </c>
      <c r="U2464" s="384">
        <v>0.1</v>
      </c>
      <c r="W2464" s="285">
        <f t="shared" si="53"/>
        <v>3433.3145</v>
      </c>
    </row>
    <row r="2465" spans="1:23" ht="15" customHeight="1">
      <c r="A2465" s="3">
        <v>39350</v>
      </c>
      <c r="B2465" s="9">
        <v>975</v>
      </c>
      <c r="C2465" s="5">
        <v>19325</v>
      </c>
      <c r="D2465" s="5" t="e">
        <f>E2465-(#REF!+C2465)</f>
        <v>#REF!</v>
      </c>
      <c r="E2465" s="5">
        <v>20850</v>
      </c>
      <c r="K2465" s="22">
        <v>3460</v>
      </c>
      <c r="L2465" s="6">
        <v>3390</v>
      </c>
      <c r="M2465" s="125">
        <f t="shared" si="54"/>
        <v>-70</v>
      </c>
      <c r="N2465" s="18"/>
      <c r="O2465" s="135"/>
      <c r="P2465" s="175">
        <v>23900</v>
      </c>
      <c r="Q2465" s="25">
        <v>0.1331</v>
      </c>
      <c r="U2465" s="384">
        <v>0.1</v>
      </c>
      <c r="W2465" s="285">
        <f t="shared" si="53"/>
        <v>3499.1990000000001</v>
      </c>
    </row>
    <row r="2466" spans="1:23" ht="15" customHeight="1">
      <c r="A2466" s="3">
        <v>39351</v>
      </c>
      <c r="B2466" s="9">
        <v>975</v>
      </c>
      <c r="C2466" s="5">
        <v>19325</v>
      </c>
      <c r="D2466" s="5" t="e">
        <f>E2466-(#REF!+C2466)</f>
        <v>#REF!</v>
      </c>
      <c r="E2466" s="5">
        <v>20850</v>
      </c>
      <c r="K2466" s="22">
        <v>3565</v>
      </c>
      <c r="L2466" s="6">
        <v>3471</v>
      </c>
      <c r="M2466" s="125">
        <f t="shared" si="54"/>
        <v>-94</v>
      </c>
      <c r="N2466" s="7"/>
      <c r="O2466" s="132"/>
      <c r="P2466" s="175">
        <v>24400</v>
      </c>
      <c r="Q2466" s="25">
        <v>0.1331</v>
      </c>
      <c r="U2466" s="384">
        <v>0.1</v>
      </c>
      <c r="W2466" s="285">
        <f t="shared" si="53"/>
        <v>3572.404</v>
      </c>
    </row>
    <row r="2467" spans="1:23" ht="15" customHeight="1">
      <c r="A2467" s="3">
        <v>39352</v>
      </c>
      <c r="B2467" s="9">
        <v>975</v>
      </c>
      <c r="C2467" s="5">
        <v>19325</v>
      </c>
      <c r="D2467" s="5" t="e">
        <f>E2467-(#REF!+C2467)</f>
        <v>#REF!</v>
      </c>
      <c r="E2467" s="5">
        <v>22000</v>
      </c>
      <c r="K2467" s="22">
        <v>3600</v>
      </c>
      <c r="L2467" s="6">
        <v>3476</v>
      </c>
      <c r="M2467" s="125">
        <f t="shared" si="54"/>
        <v>-124</v>
      </c>
      <c r="N2467" s="18"/>
      <c r="O2467" s="135"/>
      <c r="P2467" s="175">
        <v>24625</v>
      </c>
      <c r="Q2467" s="25">
        <v>0.1331</v>
      </c>
      <c r="U2467" s="384">
        <v>0.1</v>
      </c>
      <c r="W2467" s="285">
        <f t="shared" si="53"/>
        <v>3605.3462500000005</v>
      </c>
    </row>
    <row r="2468" spans="1:23" ht="15" customHeight="1" thickBot="1">
      <c r="A2468" s="11">
        <v>39353</v>
      </c>
      <c r="B2468" s="9">
        <v>975</v>
      </c>
      <c r="C2468" s="13">
        <v>19325</v>
      </c>
      <c r="D2468" s="13" t="e">
        <f>E2468-(#REF!+C2468)</f>
        <v>#REF!</v>
      </c>
      <c r="E2468" s="13">
        <v>22150</v>
      </c>
      <c r="F2468" s="12"/>
      <c r="G2468" s="13"/>
      <c r="H2468" s="13"/>
      <c r="I2468" s="119"/>
      <c r="J2468" s="119"/>
      <c r="K2468" s="23">
        <v>3451</v>
      </c>
      <c r="L2468" s="14">
        <v>3386</v>
      </c>
      <c r="M2468" s="126">
        <f t="shared" si="54"/>
        <v>-65</v>
      </c>
      <c r="N2468" s="19">
        <f>AVERAGE(K2449:K2468)</f>
        <v>3226.55</v>
      </c>
      <c r="O2468" s="136">
        <f>AVERAGE(K2277:K2468)</f>
        <v>2372.6402116402114</v>
      </c>
      <c r="P2468" s="176">
        <v>24525</v>
      </c>
      <c r="Q2468" s="27">
        <v>0.1331</v>
      </c>
      <c r="U2468" s="384">
        <v>0.1</v>
      </c>
      <c r="V2468" s="38">
        <f>AVERAGE(P2449:P2468)</f>
        <v>23295</v>
      </c>
      <c r="W2468" s="285">
        <f t="shared" si="53"/>
        <v>3590.70525</v>
      </c>
    </row>
    <row r="2469" spans="1:23" ht="15" customHeight="1">
      <c r="A2469" s="3">
        <v>39356</v>
      </c>
      <c r="B2469" s="9">
        <v>975</v>
      </c>
      <c r="C2469" s="5">
        <v>19725</v>
      </c>
      <c r="D2469" s="5" t="e">
        <f>E2469-(#REF!+C2469)</f>
        <v>#REF!</v>
      </c>
      <c r="E2469" s="5">
        <v>22550</v>
      </c>
      <c r="K2469" s="22">
        <v>3445</v>
      </c>
      <c r="L2469" s="6">
        <v>3366</v>
      </c>
      <c r="M2469" s="125">
        <f t="shared" si="54"/>
        <v>-79</v>
      </c>
      <c r="N2469" s="20"/>
      <c r="O2469" s="138"/>
      <c r="P2469" s="187"/>
      <c r="Q2469" s="1362" t="s">
        <v>23</v>
      </c>
      <c r="R2469" s="1362"/>
      <c r="S2469" s="1362"/>
      <c r="T2469" s="1362"/>
      <c r="U2469" s="1362"/>
      <c r="V2469" s="187"/>
      <c r="W2469" s="285" t="e">
        <f t="shared" si="53"/>
        <v>#VALUE!</v>
      </c>
    </row>
    <row r="2470" spans="1:23" ht="15" customHeight="1">
      <c r="A2470" s="3">
        <v>39357</v>
      </c>
      <c r="B2470" s="9">
        <v>750</v>
      </c>
      <c r="C2470" s="5">
        <v>19725</v>
      </c>
      <c r="D2470" s="5" t="e">
        <f>E2470-(#REF!+C2470)</f>
        <v>#REF!</v>
      </c>
      <c r="E2470" s="5">
        <v>22325</v>
      </c>
      <c r="K2470" s="22">
        <v>3529</v>
      </c>
      <c r="L2470" s="6">
        <v>3435</v>
      </c>
      <c r="M2470" s="125">
        <f t="shared" si="54"/>
        <v>-94</v>
      </c>
      <c r="N2470" s="18"/>
      <c r="O2470" s="135"/>
      <c r="P2470" s="189"/>
      <c r="Q2470" s="1363"/>
      <c r="R2470" s="1363"/>
      <c r="S2470" s="1363"/>
      <c r="T2470" s="1363"/>
      <c r="U2470" s="1363"/>
      <c r="V2470" s="189"/>
      <c r="W2470" s="285">
        <f t="shared" si="53"/>
        <v>0</v>
      </c>
    </row>
    <row r="2471" spans="1:23" ht="15" customHeight="1">
      <c r="A2471" s="3">
        <v>39358</v>
      </c>
      <c r="B2471" s="9">
        <v>750</v>
      </c>
      <c r="C2471" s="5">
        <v>19750</v>
      </c>
      <c r="D2471" s="5" t="e">
        <f>E2471-(#REF!+C2471)</f>
        <v>#REF!</v>
      </c>
      <c r="E2471" s="5">
        <v>22350</v>
      </c>
      <c r="K2471" s="22">
        <v>3677</v>
      </c>
      <c r="L2471" s="6">
        <v>3580</v>
      </c>
      <c r="M2471" s="125">
        <f t="shared" si="54"/>
        <v>-97</v>
      </c>
      <c r="N2471" s="18"/>
      <c r="O2471" s="135"/>
      <c r="P2471" s="189"/>
      <c r="Q2471" s="1363"/>
      <c r="R2471" s="1363"/>
      <c r="S2471" s="1363"/>
      <c r="T2471" s="1363"/>
      <c r="U2471" s="1363"/>
      <c r="V2471" s="189"/>
      <c r="W2471" s="285">
        <f t="shared" si="53"/>
        <v>0</v>
      </c>
    </row>
    <row r="2472" spans="1:23" ht="15" customHeight="1">
      <c r="A2472" s="3">
        <v>39359</v>
      </c>
      <c r="B2472" s="9">
        <v>750</v>
      </c>
      <c r="C2472" s="5">
        <v>19700</v>
      </c>
      <c r="D2472" s="5" t="e">
        <f>E2472-(#REF!+C2472)</f>
        <v>#REF!</v>
      </c>
      <c r="E2472" s="5">
        <v>22300</v>
      </c>
      <c r="K2472" s="22">
        <v>3661</v>
      </c>
      <c r="L2472" s="6">
        <v>3585</v>
      </c>
      <c r="M2472" s="125">
        <f t="shared" si="54"/>
        <v>-76</v>
      </c>
      <c r="N2472" s="18"/>
      <c r="O2472" s="135"/>
      <c r="P2472" s="189"/>
      <c r="Q2472" s="1363"/>
      <c r="R2472" s="1363"/>
      <c r="S2472" s="1363"/>
      <c r="T2472" s="1363"/>
      <c r="U2472" s="1363"/>
      <c r="V2472" s="189"/>
      <c r="W2472" s="285">
        <f t="shared" si="53"/>
        <v>0</v>
      </c>
    </row>
    <row r="2473" spans="1:23" ht="15" customHeight="1">
      <c r="A2473" s="3">
        <v>39360</v>
      </c>
      <c r="B2473" s="9">
        <v>750</v>
      </c>
      <c r="C2473" s="5">
        <v>19675</v>
      </c>
      <c r="D2473" s="5" t="e">
        <f>E2473-(#REF!+C2473)</f>
        <v>#REF!</v>
      </c>
      <c r="E2473" s="5">
        <v>22275</v>
      </c>
      <c r="K2473" s="22">
        <v>3804</v>
      </c>
      <c r="L2473" s="6">
        <v>3684</v>
      </c>
      <c r="M2473" s="125">
        <f t="shared" si="54"/>
        <v>-120</v>
      </c>
      <c r="N2473" s="18"/>
      <c r="O2473" s="135"/>
      <c r="P2473" s="189"/>
      <c r="Q2473" s="1363"/>
      <c r="R2473" s="1363"/>
      <c r="S2473" s="1363"/>
      <c r="T2473" s="1363"/>
      <c r="U2473" s="1363"/>
      <c r="V2473" s="189"/>
      <c r="W2473" s="285">
        <f t="shared" si="53"/>
        <v>0</v>
      </c>
    </row>
    <row r="2474" spans="1:23" ht="15" customHeight="1">
      <c r="A2474" s="3">
        <v>39363</v>
      </c>
      <c r="B2474" s="9">
        <v>750</v>
      </c>
      <c r="C2474" s="5">
        <v>19600</v>
      </c>
      <c r="D2474" s="5" t="e">
        <f>E2474-(#REF!+C2474)</f>
        <v>#REF!</v>
      </c>
      <c r="E2474" s="5">
        <v>22200</v>
      </c>
      <c r="K2474" s="22">
        <v>3740</v>
      </c>
      <c r="L2474" s="6">
        <v>3630</v>
      </c>
      <c r="M2474" s="125">
        <f t="shared" si="54"/>
        <v>-110</v>
      </c>
      <c r="N2474" s="18"/>
      <c r="O2474" s="135"/>
      <c r="P2474" s="175">
        <v>25800</v>
      </c>
      <c r="Q2474" s="25">
        <v>0.13320000000000001</v>
      </c>
      <c r="U2474" s="384">
        <v>0.1</v>
      </c>
      <c r="W2474" s="285">
        <f t="shared" si="53"/>
        <v>3780.2160000000008</v>
      </c>
    </row>
    <row r="2475" spans="1:23" ht="15" customHeight="1">
      <c r="A2475" s="3">
        <v>39364</v>
      </c>
      <c r="B2475" s="9">
        <v>700</v>
      </c>
      <c r="C2475" s="5">
        <v>19575</v>
      </c>
      <c r="D2475" s="5" t="e">
        <f>E2475-(#REF!+C2475)</f>
        <v>#REF!</v>
      </c>
      <c r="E2475" s="5">
        <v>22125</v>
      </c>
      <c r="K2475" s="22">
        <v>3855</v>
      </c>
      <c r="L2475" s="6">
        <v>3751</v>
      </c>
      <c r="M2475" s="125">
        <f t="shared" si="54"/>
        <v>-104</v>
      </c>
      <c r="N2475" s="18"/>
      <c r="O2475" s="135"/>
      <c r="P2475" s="175">
        <v>25700</v>
      </c>
      <c r="Q2475" s="25">
        <v>0.1333</v>
      </c>
      <c r="U2475" s="384">
        <v>0.1</v>
      </c>
      <c r="W2475" s="285">
        <f t="shared" si="53"/>
        <v>3768.3910000000001</v>
      </c>
    </row>
    <row r="2476" spans="1:23" ht="15" customHeight="1">
      <c r="A2476" s="3">
        <v>39365</v>
      </c>
      <c r="B2476" s="9">
        <v>1050</v>
      </c>
      <c r="C2476" s="5">
        <v>19525</v>
      </c>
      <c r="D2476" s="5" t="e">
        <f>E2476-(#REF!+C2476)</f>
        <v>#REF!</v>
      </c>
      <c r="E2476" s="5">
        <v>22425</v>
      </c>
      <c r="K2476" s="22">
        <v>3975</v>
      </c>
      <c r="L2476" s="6">
        <v>3860</v>
      </c>
      <c r="M2476" s="125">
        <f t="shared" si="54"/>
        <v>-115</v>
      </c>
      <c r="N2476" s="18"/>
      <c r="O2476" s="135"/>
      <c r="P2476" s="175">
        <v>26400</v>
      </c>
      <c r="Q2476" s="25">
        <v>0.13300000000000001</v>
      </c>
      <c r="U2476" s="384">
        <v>0.1</v>
      </c>
      <c r="W2476" s="285">
        <f t="shared" si="53"/>
        <v>3862.3200000000006</v>
      </c>
    </row>
    <row r="2477" spans="1:23" ht="15" customHeight="1">
      <c r="A2477" s="3">
        <v>39366</v>
      </c>
      <c r="B2477" s="9">
        <v>1050</v>
      </c>
      <c r="C2477" s="5">
        <v>19525</v>
      </c>
      <c r="D2477" s="5" t="e">
        <f>E2477-(#REF!+C2477)</f>
        <v>#REF!</v>
      </c>
      <c r="E2477" s="5">
        <v>22475</v>
      </c>
      <c r="K2477" s="22">
        <v>3959</v>
      </c>
      <c r="L2477" s="6">
        <v>3855</v>
      </c>
      <c r="M2477" s="125">
        <f t="shared" si="54"/>
        <v>-104</v>
      </c>
      <c r="N2477" s="18"/>
      <c r="O2477" s="135"/>
      <c r="P2477" s="175">
        <v>26400</v>
      </c>
      <c r="Q2477" s="25">
        <v>0.1331</v>
      </c>
      <c r="U2477" s="384">
        <v>0.1</v>
      </c>
      <c r="W2477" s="285">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25">
        <f t="shared" si="54"/>
        <v>-103.5</v>
      </c>
      <c r="N2478" s="18"/>
      <c r="O2478" s="135"/>
      <c r="P2478" s="175">
        <v>26200</v>
      </c>
      <c r="Q2478" s="25">
        <v>0.13320000000000001</v>
      </c>
      <c r="U2478" s="384">
        <v>0.1</v>
      </c>
      <c r="W2478" s="285">
        <f t="shared" si="55"/>
        <v>3838.8240000000005</v>
      </c>
    </row>
    <row r="2479" spans="1:23" ht="15" customHeight="1">
      <c r="A2479" s="3">
        <v>39370</v>
      </c>
      <c r="B2479" s="9">
        <v>1050</v>
      </c>
      <c r="C2479" s="5">
        <v>19525</v>
      </c>
      <c r="D2479" s="5" t="e">
        <f>E2479-(#REF!+C2479)</f>
        <v>#REF!</v>
      </c>
      <c r="E2479" s="5">
        <v>22550</v>
      </c>
      <c r="K2479" s="22">
        <v>3980</v>
      </c>
      <c r="L2479" s="6">
        <v>3880</v>
      </c>
      <c r="M2479" s="125">
        <f t="shared" si="54"/>
        <v>-100</v>
      </c>
      <c r="N2479" s="18"/>
      <c r="O2479" s="135"/>
      <c r="P2479" s="175">
        <v>26000</v>
      </c>
      <c r="Q2479" s="25">
        <v>0.1331</v>
      </c>
      <c r="U2479" s="384">
        <v>0.1</v>
      </c>
      <c r="W2479" s="285">
        <f t="shared" si="55"/>
        <v>3806.6600000000003</v>
      </c>
    </row>
    <row r="2480" spans="1:23" ht="15" customHeight="1">
      <c r="A2480" s="3">
        <v>39371</v>
      </c>
      <c r="B2480" s="9">
        <v>1400</v>
      </c>
      <c r="C2480" s="5">
        <v>19525</v>
      </c>
      <c r="D2480" s="5" t="e">
        <f>E2480-(#REF!+C2480)</f>
        <v>#REF!</v>
      </c>
      <c r="E2480" s="5">
        <v>25925</v>
      </c>
      <c r="K2480" s="22">
        <v>3799</v>
      </c>
      <c r="L2480" s="6">
        <v>3718.5</v>
      </c>
      <c r="M2480" s="125">
        <f t="shared" si="54"/>
        <v>-80.5</v>
      </c>
      <c r="N2480" s="18"/>
      <c r="O2480" s="135"/>
      <c r="P2480" s="175">
        <v>25800</v>
      </c>
      <c r="Q2480" s="25">
        <v>0.1328</v>
      </c>
      <c r="U2480" s="384">
        <v>0.1</v>
      </c>
      <c r="W2480" s="285">
        <f t="shared" si="55"/>
        <v>3768.8640000000005</v>
      </c>
    </row>
    <row r="2481" spans="1:23" ht="15" customHeight="1">
      <c r="A2481" s="3">
        <v>39372</v>
      </c>
      <c r="B2481" s="9">
        <v>1600</v>
      </c>
      <c r="C2481" s="5">
        <v>19525</v>
      </c>
      <c r="D2481" s="5" t="e">
        <f>E2481-(#REF!+C2481)</f>
        <v>#REF!</v>
      </c>
      <c r="E2481" s="5">
        <v>29700</v>
      </c>
      <c r="K2481" s="22">
        <v>3620</v>
      </c>
      <c r="L2481" s="6">
        <v>3560</v>
      </c>
      <c r="M2481" s="125">
        <f t="shared" si="54"/>
        <v>-60</v>
      </c>
      <c r="N2481" s="18"/>
      <c r="O2481" s="135"/>
      <c r="P2481" s="175">
        <v>25500</v>
      </c>
      <c r="Q2481" s="25">
        <v>0.13300000000000001</v>
      </c>
      <c r="U2481" s="384">
        <v>0.1</v>
      </c>
      <c r="W2481" s="285">
        <f t="shared" si="55"/>
        <v>3730.65</v>
      </c>
    </row>
    <row r="2482" spans="1:23" ht="15" customHeight="1">
      <c r="A2482" s="3">
        <v>39373</v>
      </c>
      <c r="B2482" s="9">
        <v>1600</v>
      </c>
      <c r="C2482" s="5">
        <v>19275</v>
      </c>
      <c r="D2482" s="5" t="e">
        <f>E2482-(#REF!+C2482)</f>
        <v>#REF!</v>
      </c>
      <c r="E2482" s="5">
        <v>31450</v>
      </c>
      <c r="K2482" s="22">
        <v>3655</v>
      </c>
      <c r="L2482" s="6">
        <v>3605</v>
      </c>
      <c r="M2482" s="125">
        <f t="shared" si="54"/>
        <v>-50</v>
      </c>
      <c r="N2482" s="18"/>
      <c r="O2482" s="135"/>
      <c r="P2482" s="175">
        <v>25100</v>
      </c>
      <c r="Q2482" s="25">
        <v>0.1331</v>
      </c>
      <c r="U2482" s="384">
        <v>0.1</v>
      </c>
      <c r="W2482" s="285">
        <f t="shared" si="55"/>
        <v>3674.8910000000001</v>
      </c>
    </row>
    <row r="2483" spans="1:23" ht="15" customHeight="1">
      <c r="A2483" s="3">
        <v>39374</v>
      </c>
      <c r="B2483" s="9">
        <v>1600</v>
      </c>
      <c r="C2483" s="5">
        <v>19275</v>
      </c>
      <c r="D2483" s="5" t="e">
        <f>E2483-(#REF!+C2483)</f>
        <v>#REF!</v>
      </c>
      <c r="E2483" s="5">
        <v>33450</v>
      </c>
      <c r="K2483" s="22">
        <v>3830</v>
      </c>
      <c r="L2483" s="6">
        <v>3755</v>
      </c>
      <c r="M2483" s="125">
        <f t="shared" si="54"/>
        <v>-75</v>
      </c>
      <c r="N2483" s="18"/>
      <c r="O2483" s="135"/>
      <c r="P2483" s="175">
        <v>25100</v>
      </c>
      <c r="Q2483" s="25">
        <v>0.1331</v>
      </c>
      <c r="U2483" s="384">
        <v>0.1</v>
      </c>
      <c r="W2483" s="285">
        <f t="shared" si="55"/>
        <v>3674.8910000000001</v>
      </c>
    </row>
    <row r="2484" spans="1:23" ht="15" customHeight="1">
      <c r="A2484" s="3">
        <v>39377</v>
      </c>
      <c r="B2484" s="9">
        <v>1600</v>
      </c>
      <c r="C2484" s="5">
        <v>19275</v>
      </c>
      <c r="D2484" s="5" t="e">
        <f>E2484-(#REF!+C2484)</f>
        <v>#REF!</v>
      </c>
      <c r="E2484" s="5">
        <v>36450</v>
      </c>
      <c r="K2484" s="22">
        <v>3585</v>
      </c>
      <c r="L2484" s="6">
        <v>3535</v>
      </c>
      <c r="M2484" s="125">
        <f t="shared" si="54"/>
        <v>-50</v>
      </c>
      <c r="N2484" s="18"/>
      <c r="O2484" s="135"/>
      <c r="P2484" s="175">
        <v>25100</v>
      </c>
      <c r="Q2484" s="25">
        <v>0.13320000000000001</v>
      </c>
      <c r="U2484" s="384">
        <v>0.1</v>
      </c>
      <c r="W2484" s="285">
        <f t="shared" si="55"/>
        <v>3677.6520000000005</v>
      </c>
    </row>
    <row r="2485" spans="1:23" ht="15" customHeight="1">
      <c r="A2485" s="3">
        <v>39378</v>
      </c>
      <c r="B2485" s="9">
        <v>1600</v>
      </c>
      <c r="C2485" s="5">
        <v>19275</v>
      </c>
      <c r="D2485" s="5" t="e">
        <f>E2485-(#REF!+C2485)</f>
        <v>#REF!</v>
      </c>
      <c r="E2485" s="5">
        <v>37375</v>
      </c>
      <c r="K2485" s="22">
        <v>3704.5</v>
      </c>
      <c r="L2485" s="6">
        <v>3655</v>
      </c>
      <c r="M2485" s="125">
        <f t="shared" si="54"/>
        <v>-49.5</v>
      </c>
      <c r="N2485" s="18"/>
      <c r="O2485" s="135"/>
      <c r="P2485" s="175">
        <v>24550</v>
      </c>
      <c r="Q2485" s="25">
        <v>0.13320000000000001</v>
      </c>
      <c r="U2485" s="384">
        <v>0.1</v>
      </c>
      <c r="W2485" s="285">
        <f t="shared" si="55"/>
        <v>3597.0660000000007</v>
      </c>
    </row>
    <row r="2486" spans="1:23" ht="15" customHeight="1">
      <c r="A2486" s="3">
        <v>39379</v>
      </c>
      <c r="B2486" s="9">
        <v>1600</v>
      </c>
      <c r="C2486" s="5">
        <v>19250</v>
      </c>
      <c r="D2486" s="5" t="e">
        <f>E2486-(#REF!+C2486)</f>
        <v>#REF!</v>
      </c>
      <c r="E2486" s="5">
        <v>38300</v>
      </c>
      <c r="K2486" s="22">
        <v>3580</v>
      </c>
      <c r="L2486" s="6">
        <v>3542</v>
      </c>
      <c r="M2486" s="125">
        <f t="shared" si="54"/>
        <v>-38</v>
      </c>
      <c r="N2486" s="18"/>
      <c r="O2486" s="135"/>
      <c r="P2486" s="175">
        <v>24550</v>
      </c>
      <c r="Q2486" s="25">
        <v>0.1333</v>
      </c>
      <c r="U2486" s="384">
        <v>0.1</v>
      </c>
      <c r="W2486" s="285">
        <f t="shared" si="55"/>
        <v>3599.7665000000002</v>
      </c>
    </row>
    <row r="2487" spans="1:23" ht="15" customHeight="1">
      <c r="A2487" s="3">
        <v>39380</v>
      </c>
      <c r="B2487" s="9">
        <v>1800</v>
      </c>
      <c r="C2487" s="5">
        <v>19275</v>
      </c>
      <c r="D2487" s="5" t="e">
        <f>E2487-(#REF!+C2487)</f>
        <v>#REF!</v>
      </c>
      <c r="E2487" s="5">
        <v>38550</v>
      </c>
      <c r="K2487" s="22">
        <v>3615</v>
      </c>
      <c r="L2487" s="6">
        <v>3590</v>
      </c>
      <c r="M2487" s="125">
        <f t="shared" si="54"/>
        <v>-25</v>
      </c>
      <c r="N2487" s="18"/>
      <c r="O2487" s="135"/>
      <c r="P2487" s="175">
        <v>24350</v>
      </c>
      <c r="Q2487" s="25">
        <v>0.13339999999999999</v>
      </c>
      <c r="U2487" s="384">
        <v>0.1</v>
      </c>
      <c r="W2487" s="285">
        <f t="shared" si="55"/>
        <v>3573.1190000000001</v>
      </c>
    </row>
    <row r="2488" spans="1:23" ht="15" customHeight="1">
      <c r="A2488" s="3">
        <v>39381</v>
      </c>
      <c r="B2488" s="9">
        <v>1800</v>
      </c>
      <c r="C2488" s="5">
        <v>19250</v>
      </c>
      <c r="D2488" s="5" t="e">
        <f>E2488-(#REF!+C2488)</f>
        <v>#REF!</v>
      </c>
      <c r="E2488" s="5">
        <v>38800</v>
      </c>
      <c r="K2488" s="22">
        <v>3704.5</v>
      </c>
      <c r="L2488" s="6">
        <v>3674</v>
      </c>
      <c r="M2488" s="125">
        <f t="shared" si="54"/>
        <v>-30.5</v>
      </c>
      <c r="N2488" s="18"/>
      <c r="O2488" s="135"/>
      <c r="P2488" s="175">
        <v>24500</v>
      </c>
      <c r="Q2488" s="25">
        <v>0.13370000000000001</v>
      </c>
      <c r="U2488" s="384">
        <v>0.1</v>
      </c>
      <c r="W2488" s="285">
        <f t="shared" si="55"/>
        <v>3603.2150000000011</v>
      </c>
    </row>
    <row r="2489" spans="1:23" ht="15" customHeight="1">
      <c r="A2489" s="3">
        <v>39384</v>
      </c>
      <c r="B2489" s="9">
        <v>2225</v>
      </c>
      <c r="C2489" s="5">
        <v>19250</v>
      </c>
      <c r="D2489" s="5" t="e">
        <f>E2489-(#REF!+C2489)</f>
        <v>#REF!</v>
      </c>
      <c r="E2489" s="5">
        <v>39225</v>
      </c>
      <c r="K2489" s="22">
        <v>3710</v>
      </c>
      <c r="L2489" s="6">
        <v>3670</v>
      </c>
      <c r="M2489" s="125">
        <f t="shared" si="54"/>
        <v>-40</v>
      </c>
      <c r="N2489" s="18"/>
      <c r="O2489" s="135"/>
      <c r="P2489" s="175">
        <v>24550</v>
      </c>
      <c r="Q2489" s="25">
        <v>0.1336</v>
      </c>
      <c r="U2489" s="384">
        <v>0.1</v>
      </c>
      <c r="W2489" s="285">
        <f t="shared" si="55"/>
        <v>3607.8680000000004</v>
      </c>
    </row>
    <row r="2490" spans="1:23" ht="15" customHeight="1">
      <c r="A2490" s="3">
        <v>39385</v>
      </c>
      <c r="B2490" s="9">
        <v>2200</v>
      </c>
      <c r="C2490" s="5">
        <v>19525</v>
      </c>
      <c r="D2490" s="5" t="e">
        <f>E2490-(#REF!+C2490)</f>
        <v>#REF!</v>
      </c>
      <c r="E2490" s="5">
        <v>39475</v>
      </c>
      <c r="K2490" s="22">
        <v>3540</v>
      </c>
      <c r="L2490" s="6">
        <v>3525</v>
      </c>
      <c r="M2490" s="125">
        <f t="shared" si="54"/>
        <v>-15</v>
      </c>
      <c r="N2490" s="18"/>
      <c r="O2490" s="135"/>
      <c r="P2490" s="175">
        <v>24550</v>
      </c>
      <c r="Q2490" s="25">
        <v>0.1338</v>
      </c>
      <c r="U2490" s="384">
        <v>0.1</v>
      </c>
      <c r="W2490" s="285">
        <f t="shared" si="55"/>
        <v>3613.2690000000002</v>
      </c>
    </row>
    <row r="2491" spans="1:23" ht="15" customHeight="1" thickBot="1">
      <c r="A2491" s="11">
        <v>39386</v>
      </c>
      <c r="B2491" s="9">
        <v>2125</v>
      </c>
      <c r="C2491" s="13">
        <v>19525</v>
      </c>
      <c r="D2491" s="13" t="e">
        <f>E2491-(#REF!+C2491)</f>
        <v>#REF!</v>
      </c>
      <c r="E2491" s="13">
        <v>39400</v>
      </c>
      <c r="F2491" s="12"/>
      <c r="G2491" s="13"/>
      <c r="H2491" s="13"/>
      <c r="I2491" s="119"/>
      <c r="J2491" s="119"/>
      <c r="K2491" s="23">
        <v>3691</v>
      </c>
      <c r="L2491" s="14">
        <v>3666</v>
      </c>
      <c r="M2491" s="126">
        <f t="shared" si="54"/>
        <v>-25</v>
      </c>
      <c r="N2491" s="19">
        <f>AVERAGE(K2469:K2491)</f>
        <v>3719.717391304348</v>
      </c>
      <c r="O2491" s="136">
        <f>AVERAGE(K2277:K2491)</f>
        <v>2518.7853773584907</v>
      </c>
      <c r="P2491" s="176">
        <v>24400</v>
      </c>
      <c r="Q2491" s="27">
        <v>0.1338</v>
      </c>
      <c r="R2491" s="27"/>
      <c r="S2491" s="27"/>
      <c r="T2491" s="27"/>
      <c r="U2491" s="385">
        <v>0.1</v>
      </c>
      <c r="V2491" s="38">
        <f>AVERAGE(P2469:P2491)</f>
        <v>25252.777777777777</v>
      </c>
      <c r="W2491" s="285">
        <f t="shared" si="55"/>
        <v>3591.1920000000005</v>
      </c>
    </row>
    <row r="2492" spans="1:23" ht="15" customHeight="1">
      <c r="A2492" s="3">
        <v>39387</v>
      </c>
      <c r="B2492" s="9">
        <v>2825</v>
      </c>
      <c r="C2492" s="5">
        <v>19525</v>
      </c>
      <c r="D2492" s="5" t="e">
        <f>E2492-(#REF!+C2492)</f>
        <v>#REF!</v>
      </c>
      <c r="E2492" s="5">
        <v>40100</v>
      </c>
      <c r="K2492" s="22">
        <v>3626</v>
      </c>
      <c r="L2492" s="6">
        <v>3610.5</v>
      </c>
      <c r="M2492" s="125">
        <f t="shared" si="54"/>
        <v>-15.5</v>
      </c>
      <c r="N2492" s="20"/>
      <c r="O2492" s="138"/>
      <c r="P2492" s="175">
        <v>24500</v>
      </c>
      <c r="Q2492" s="25">
        <v>0.1338</v>
      </c>
      <c r="U2492" s="384">
        <v>0.1</v>
      </c>
      <c r="W2492" s="285">
        <f t="shared" si="55"/>
        <v>3605.9100000000003</v>
      </c>
    </row>
    <row r="2493" spans="1:23" ht="15" customHeight="1">
      <c r="A2493" s="3">
        <v>39388</v>
      </c>
      <c r="B2493" s="9">
        <v>2825</v>
      </c>
      <c r="C2493" s="5">
        <v>19725</v>
      </c>
      <c r="D2493" s="5" t="e">
        <f>E2493-(#REF!+C2493)</f>
        <v>#REF!</v>
      </c>
      <c r="E2493" s="5">
        <v>40300</v>
      </c>
      <c r="K2493" s="22">
        <v>3765</v>
      </c>
      <c r="L2493" s="6">
        <v>3700</v>
      </c>
      <c r="M2493" s="125">
        <f t="shared" si="54"/>
        <v>-65</v>
      </c>
      <c r="N2493" s="18"/>
      <c r="O2493" s="135"/>
      <c r="P2493" s="175">
        <v>24400</v>
      </c>
      <c r="Q2493" s="25">
        <v>0.13400000000000001</v>
      </c>
      <c r="U2493" s="384">
        <v>0.1</v>
      </c>
      <c r="W2493" s="285">
        <f t="shared" si="55"/>
        <v>3596.5600000000009</v>
      </c>
    </row>
    <row r="2494" spans="1:23" ht="15" customHeight="1">
      <c r="A2494" s="3">
        <v>39389</v>
      </c>
      <c r="B2494" s="9">
        <v>2825</v>
      </c>
      <c r="C2494" s="5">
        <v>19725</v>
      </c>
      <c r="D2494" s="5" t="e">
        <f>E2494-(#REF!+C2494)</f>
        <v>#REF!</v>
      </c>
      <c r="E2494" s="5">
        <v>40525</v>
      </c>
      <c r="K2494" s="22">
        <v>3762</v>
      </c>
      <c r="L2494" s="6">
        <v>3710.5</v>
      </c>
      <c r="M2494" s="125">
        <f t="shared" si="54"/>
        <v>-51.5</v>
      </c>
      <c r="N2494" s="18"/>
      <c r="O2494" s="135"/>
      <c r="P2494" s="175">
        <v>24600</v>
      </c>
      <c r="Q2494" s="25">
        <v>0.1341</v>
      </c>
      <c r="U2494" s="384">
        <v>0.1</v>
      </c>
      <c r="W2494" s="285">
        <f t="shared" si="55"/>
        <v>3628.7460000000005</v>
      </c>
    </row>
    <row r="2495" spans="1:23" ht="15" customHeight="1">
      <c r="A2495" s="3">
        <v>39392</v>
      </c>
      <c r="B2495" s="9">
        <v>2800</v>
      </c>
      <c r="C2495" s="5">
        <v>19725</v>
      </c>
      <c r="D2495" s="5" t="e">
        <f>E2495-(#REF!+C2495)</f>
        <v>#REF!</v>
      </c>
      <c r="E2495" s="5">
        <v>40500</v>
      </c>
      <c r="K2495" s="22">
        <v>3790</v>
      </c>
      <c r="L2495" s="6">
        <v>3750</v>
      </c>
      <c r="M2495" s="125">
        <f t="shared" si="54"/>
        <v>-40</v>
      </c>
      <c r="N2495" s="18"/>
      <c r="O2495" s="135"/>
      <c r="P2495" s="175">
        <v>24400</v>
      </c>
      <c r="Q2495" s="25">
        <v>0.13420000000000001</v>
      </c>
      <c r="U2495" s="384">
        <v>0.1</v>
      </c>
      <c r="W2495" s="285">
        <f t="shared" si="55"/>
        <v>3601.9280000000008</v>
      </c>
    </row>
    <row r="2496" spans="1:23" ht="15" customHeight="1">
      <c r="A2496" s="3">
        <v>39393</v>
      </c>
      <c r="B2496" s="9">
        <v>3775</v>
      </c>
      <c r="C2496" s="5">
        <v>19675</v>
      </c>
      <c r="D2496" s="5" t="e">
        <f>E2496-(#REF!+C2496)</f>
        <v>#REF!</v>
      </c>
      <c r="E2496" s="5">
        <v>40500</v>
      </c>
      <c r="K2496" s="22">
        <v>3680</v>
      </c>
      <c r="L2496" s="6">
        <v>3616</v>
      </c>
      <c r="M2496" s="125">
        <f t="shared" si="54"/>
        <v>-64</v>
      </c>
      <c r="N2496" s="18"/>
      <c r="O2496" s="135"/>
      <c r="P2496" s="175">
        <v>24500</v>
      </c>
      <c r="Q2496" s="25">
        <v>0.13420000000000001</v>
      </c>
      <c r="U2496" s="384">
        <v>0.1</v>
      </c>
      <c r="W2496" s="285">
        <f t="shared" si="55"/>
        <v>3616.690000000001</v>
      </c>
    </row>
    <row r="2497" spans="1:23" ht="15" customHeight="1">
      <c r="A2497" s="3">
        <v>39394</v>
      </c>
      <c r="B2497" s="9">
        <v>3775</v>
      </c>
      <c r="C2497" s="5">
        <v>19650</v>
      </c>
      <c r="D2497" s="5" t="e">
        <f>E2497-(#REF!+C2497)</f>
        <v>#REF!</v>
      </c>
      <c r="E2497" s="5">
        <v>41400</v>
      </c>
      <c r="K2497" s="22">
        <v>3492</v>
      </c>
      <c r="L2497" s="6">
        <v>3476</v>
      </c>
      <c r="M2497" s="125">
        <f t="shared" si="54"/>
        <v>-16</v>
      </c>
      <c r="N2497" s="18"/>
      <c r="O2497" s="135"/>
      <c r="P2497" s="175">
        <v>24300</v>
      </c>
      <c r="Q2497" s="25">
        <v>0.13439999999999999</v>
      </c>
      <c r="U2497" s="384">
        <v>0.1</v>
      </c>
      <c r="W2497" s="285">
        <f t="shared" si="55"/>
        <v>3592.5119999999997</v>
      </c>
    </row>
    <row r="2498" spans="1:23" ht="15" customHeight="1">
      <c r="A2498" s="3">
        <v>39395</v>
      </c>
      <c r="B2498" s="9">
        <v>3775</v>
      </c>
      <c r="C2498" s="5">
        <v>19600</v>
      </c>
      <c r="D2498" s="5" t="e">
        <f>E2498-(#REF!+C2498)</f>
        <v>#REF!</v>
      </c>
      <c r="E2498" s="5">
        <v>41400</v>
      </c>
      <c r="K2498" s="22">
        <v>3504.5</v>
      </c>
      <c r="L2498" s="6">
        <v>3466</v>
      </c>
      <c r="M2498" s="125">
        <f t="shared" si="54"/>
        <v>-38.5</v>
      </c>
      <c r="N2498" s="18"/>
      <c r="O2498" s="135"/>
      <c r="P2498" s="175">
        <v>24100</v>
      </c>
      <c r="Q2498" s="25">
        <v>0.1348</v>
      </c>
      <c r="U2498" s="384">
        <v>0.1</v>
      </c>
      <c r="W2498" s="285">
        <f t="shared" si="55"/>
        <v>3573.5480000000007</v>
      </c>
    </row>
    <row r="2499" spans="1:23" ht="15" customHeight="1">
      <c r="A2499" s="3">
        <v>39398</v>
      </c>
      <c r="B2499" s="9">
        <v>3775</v>
      </c>
      <c r="C2499" s="5">
        <v>19600</v>
      </c>
      <c r="D2499" s="5" t="e">
        <f>E2499-(#REF!+C2499)</f>
        <v>#REF!</v>
      </c>
      <c r="E2499" s="5">
        <v>41350</v>
      </c>
      <c r="K2499" s="22">
        <v>3487</v>
      </c>
      <c r="L2499" s="6">
        <v>3455</v>
      </c>
      <c r="M2499" s="125">
        <f t="shared" si="54"/>
        <v>-32</v>
      </c>
      <c r="N2499" s="18"/>
      <c r="O2499" s="135"/>
      <c r="P2499" s="175">
        <v>24300</v>
      </c>
      <c r="Q2499" s="25">
        <v>0.13489999999999999</v>
      </c>
      <c r="U2499" s="384">
        <v>0.1</v>
      </c>
      <c r="W2499" s="285">
        <f t="shared" si="55"/>
        <v>3605.877</v>
      </c>
    </row>
    <row r="2500" spans="1:23" ht="15" customHeight="1">
      <c r="A2500" s="3">
        <v>39399</v>
      </c>
      <c r="B2500" s="9">
        <v>4300</v>
      </c>
      <c r="C2500" s="5">
        <v>19600</v>
      </c>
      <c r="D2500" s="5" t="e">
        <f>E2500-(#REF!+C2500)</f>
        <v>#REF!</v>
      </c>
      <c r="E2500" s="5">
        <v>41875</v>
      </c>
      <c r="K2500" s="22">
        <v>3540</v>
      </c>
      <c r="L2500" s="6">
        <v>3501</v>
      </c>
      <c r="M2500" s="125">
        <f t="shared" si="54"/>
        <v>-39</v>
      </c>
      <c r="N2500" s="18"/>
      <c r="O2500" s="135"/>
      <c r="P2500" s="175">
        <v>24200</v>
      </c>
      <c r="Q2500" s="25">
        <v>0.13489999999999999</v>
      </c>
      <c r="U2500" s="384">
        <v>0.1</v>
      </c>
      <c r="W2500" s="285">
        <f t="shared" si="55"/>
        <v>3591.038</v>
      </c>
    </row>
    <row r="2501" spans="1:23" ht="15" customHeight="1">
      <c r="A2501" s="3">
        <v>39400</v>
      </c>
      <c r="B2501" s="9">
        <v>5225</v>
      </c>
      <c r="C2501" s="5">
        <v>19600</v>
      </c>
      <c r="D2501" s="5" t="e">
        <f>E2501-(#REF!+C2501)</f>
        <v>#REF!</v>
      </c>
      <c r="E2501" s="5">
        <v>42800</v>
      </c>
      <c r="K2501" s="22">
        <v>3580</v>
      </c>
      <c r="L2501" s="6">
        <v>3535</v>
      </c>
      <c r="M2501" s="125">
        <f t="shared" si="54"/>
        <v>-45</v>
      </c>
      <c r="N2501" s="18"/>
      <c r="O2501" s="135"/>
      <c r="P2501" s="175">
        <v>24200</v>
      </c>
      <c r="Q2501" s="25">
        <v>0.13450000000000001</v>
      </c>
      <c r="U2501" s="384">
        <v>0.1</v>
      </c>
      <c r="W2501" s="285">
        <f t="shared" si="55"/>
        <v>3580.3900000000003</v>
      </c>
    </row>
    <row r="2502" spans="1:23" ht="15" customHeight="1">
      <c r="A2502" s="3">
        <v>39401</v>
      </c>
      <c r="B2502" s="9">
        <v>5225</v>
      </c>
      <c r="C2502" s="5">
        <v>19600</v>
      </c>
      <c r="D2502" s="5" t="e">
        <f>E2502-(#REF!+C2502)</f>
        <v>#REF!</v>
      </c>
      <c r="E2502" s="5">
        <v>42800</v>
      </c>
      <c r="K2502" s="22">
        <v>3530</v>
      </c>
      <c r="L2502" s="6">
        <v>3495</v>
      </c>
      <c r="M2502" s="125">
        <f t="shared" si="54"/>
        <v>-35</v>
      </c>
      <c r="N2502" s="18"/>
      <c r="O2502" s="135"/>
      <c r="P2502" s="175">
        <v>24300</v>
      </c>
      <c r="Q2502" s="25">
        <v>0.13469999999999999</v>
      </c>
      <c r="U2502" s="384">
        <v>0.1</v>
      </c>
      <c r="W2502" s="285">
        <f t="shared" si="55"/>
        <v>3600.5309999999999</v>
      </c>
    </row>
    <row r="2503" spans="1:23" ht="15" customHeight="1">
      <c r="A2503" s="3">
        <v>39402</v>
      </c>
      <c r="B2503" s="9">
        <v>5225</v>
      </c>
      <c r="C2503" s="5">
        <v>19550</v>
      </c>
      <c r="D2503" s="5" t="e">
        <f>E2503-(#REF!+C2503)</f>
        <v>#REF!</v>
      </c>
      <c r="E2503" s="5">
        <v>42750</v>
      </c>
      <c r="K2503" s="22">
        <v>3380</v>
      </c>
      <c r="L2503" s="6">
        <v>3340</v>
      </c>
      <c r="M2503" s="125">
        <f t="shared" si="54"/>
        <v>-40</v>
      </c>
      <c r="N2503" s="18"/>
      <c r="O2503" s="135"/>
      <c r="P2503" s="175">
        <v>24200</v>
      </c>
      <c r="Q2503" s="25">
        <v>0.13469999999999999</v>
      </c>
      <c r="U2503" s="384">
        <v>0.1</v>
      </c>
      <c r="W2503" s="285">
        <f t="shared" si="55"/>
        <v>3585.7139999999999</v>
      </c>
    </row>
    <row r="2504" spans="1:23" ht="15" customHeight="1">
      <c r="A2504" s="3">
        <v>39405</v>
      </c>
      <c r="B2504" s="9">
        <v>5500</v>
      </c>
      <c r="C2504" s="5">
        <v>19500</v>
      </c>
      <c r="D2504" s="5" t="e">
        <f>E2504-(#REF!+C2504)</f>
        <v>#REF!</v>
      </c>
      <c r="E2504" s="5">
        <v>42975</v>
      </c>
      <c r="K2504" s="22">
        <v>3155</v>
      </c>
      <c r="L2504" s="6">
        <v>3150</v>
      </c>
      <c r="M2504" s="125">
        <f t="shared" si="54"/>
        <v>-5</v>
      </c>
      <c r="N2504" s="18"/>
      <c r="O2504" s="135"/>
      <c r="P2504" s="175">
        <v>23900</v>
      </c>
      <c r="Q2504" s="25">
        <v>0.13469999999999999</v>
      </c>
      <c r="U2504" s="384">
        <v>0.1</v>
      </c>
      <c r="W2504" s="285">
        <f t="shared" si="55"/>
        <v>3541.2629999999999</v>
      </c>
    </row>
    <row r="2505" spans="1:23" ht="15" customHeight="1">
      <c r="A2505" s="3">
        <v>39406</v>
      </c>
      <c r="B2505" s="9">
        <v>5425</v>
      </c>
      <c r="C2505" s="5">
        <v>19400</v>
      </c>
      <c r="D2505" s="5" t="e">
        <f>E2505-(#REF!+C2505)</f>
        <v>#REF!</v>
      </c>
      <c r="E2505" s="5">
        <v>42500</v>
      </c>
      <c r="K2505" s="22">
        <v>3056</v>
      </c>
      <c r="L2505" s="6">
        <v>3032</v>
      </c>
      <c r="M2505" s="125">
        <f t="shared" si="54"/>
        <v>-24</v>
      </c>
      <c r="N2505" s="18"/>
      <c r="O2505" s="135"/>
      <c r="P2505" s="175">
        <v>22750</v>
      </c>
      <c r="Q2505" s="25">
        <v>0.13469999999999999</v>
      </c>
      <c r="U2505" s="384">
        <v>0.1</v>
      </c>
      <c r="W2505" s="285">
        <f t="shared" si="55"/>
        <v>3370.8674999999998</v>
      </c>
    </row>
    <row r="2506" spans="1:23" ht="15" customHeight="1">
      <c r="A2506" s="3">
        <v>39407</v>
      </c>
      <c r="B2506" s="9">
        <v>5725</v>
      </c>
      <c r="C2506" s="5">
        <v>19400</v>
      </c>
      <c r="D2506" s="5" t="e">
        <f>E2506-(#REF!+C2506)</f>
        <v>#REF!</v>
      </c>
      <c r="E2506" s="5">
        <v>42700</v>
      </c>
      <c r="K2506" s="22">
        <v>2980</v>
      </c>
      <c r="L2506" s="6">
        <v>2985</v>
      </c>
      <c r="M2506" s="125">
        <f t="shared" si="54"/>
        <v>5</v>
      </c>
      <c r="N2506" s="18"/>
      <c r="O2506" s="135"/>
      <c r="P2506" s="175">
        <v>22500</v>
      </c>
      <c r="Q2506" s="25">
        <v>0.13469999999999999</v>
      </c>
      <c r="U2506" s="384">
        <v>0.1</v>
      </c>
      <c r="W2506" s="285">
        <f t="shared" si="55"/>
        <v>3333.8249999999998</v>
      </c>
    </row>
    <row r="2507" spans="1:23" ht="15" customHeight="1">
      <c r="A2507" s="3">
        <v>39408</v>
      </c>
      <c r="B2507" s="9">
        <v>6200</v>
      </c>
      <c r="C2507" s="5">
        <v>19625</v>
      </c>
      <c r="D2507" s="5" t="e">
        <f>E2507-(#REF!+C2507)</f>
        <v>#REF!</v>
      </c>
      <c r="E2507" s="5">
        <v>43275</v>
      </c>
      <c r="K2507" s="22">
        <v>2876</v>
      </c>
      <c r="L2507" s="6">
        <v>2870</v>
      </c>
      <c r="M2507" s="125">
        <f t="shared" si="54"/>
        <v>-6</v>
      </c>
      <c r="N2507" s="18"/>
      <c r="O2507" s="135"/>
      <c r="P2507" s="175">
        <v>21600</v>
      </c>
      <c r="Q2507" s="25">
        <v>0.13489999999999999</v>
      </c>
      <c r="U2507" s="384">
        <v>0.1</v>
      </c>
      <c r="W2507" s="285">
        <f t="shared" si="55"/>
        <v>3205.2239999999997</v>
      </c>
    </row>
    <row r="2508" spans="1:23" ht="15" customHeight="1">
      <c r="A2508" s="3">
        <v>39409</v>
      </c>
      <c r="B2508" s="9">
        <v>6025</v>
      </c>
      <c r="C2508" s="5">
        <v>19600</v>
      </c>
      <c r="D2508" s="5" t="e">
        <f>E2508-(#REF!+C2508)</f>
        <v>#REF!</v>
      </c>
      <c r="E2508" s="5">
        <v>43025</v>
      </c>
      <c r="K2508" s="22">
        <v>2911</v>
      </c>
      <c r="L2508" s="6">
        <v>2910</v>
      </c>
      <c r="M2508" s="125">
        <f t="shared" si="54"/>
        <v>-1</v>
      </c>
      <c r="N2508" s="18"/>
      <c r="O2508" s="135"/>
      <c r="P2508" s="175">
        <v>21300</v>
      </c>
      <c r="Q2508" s="25">
        <v>0.13489999999999999</v>
      </c>
      <c r="U2508" s="384">
        <v>0.1</v>
      </c>
      <c r="W2508" s="285">
        <f t="shared" si="55"/>
        <v>3160.7070000000003</v>
      </c>
    </row>
    <row r="2509" spans="1:23" ht="15" customHeight="1">
      <c r="A2509" s="3">
        <v>39412</v>
      </c>
      <c r="B2509" s="9">
        <v>6000</v>
      </c>
      <c r="C2509" s="5">
        <v>19600</v>
      </c>
      <c r="D2509" s="5" t="e">
        <f>E2509-(#REF!+C2509)</f>
        <v>#REF!</v>
      </c>
      <c r="E2509" s="5">
        <v>42625</v>
      </c>
      <c r="K2509" s="22">
        <v>3046</v>
      </c>
      <c r="L2509" s="6">
        <v>3031</v>
      </c>
      <c r="M2509" s="125">
        <f t="shared" si="54"/>
        <v>-15</v>
      </c>
      <c r="N2509" s="18"/>
      <c r="O2509" s="135"/>
      <c r="P2509" s="175">
        <v>21500</v>
      </c>
      <c r="Q2509" s="25">
        <v>0.13519999999999999</v>
      </c>
      <c r="U2509" s="384">
        <v>0.1</v>
      </c>
      <c r="W2509" s="285">
        <f t="shared" si="55"/>
        <v>3197.48</v>
      </c>
    </row>
    <row r="2510" spans="1:23" ht="15" customHeight="1">
      <c r="A2510" s="3">
        <v>39413</v>
      </c>
      <c r="B2510" s="9">
        <v>7100</v>
      </c>
      <c r="C2510" s="5">
        <v>19600</v>
      </c>
      <c r="D2510" s="5" t="e">
        <f>E2510-(#REF!+C2510)</f>
        <v>#REF!</v>
      </c>
      <c r="E2510" s="5">
        <v>43725</v>
      </c>
      <c r="K2510" s="22">
        <v>2990</v>
      </c>
      <c r="L2510" s="6">
        <v>2995</v>
      </c>
      <c r="M2510" s="125">
        <f t="shared" ref="M2510:M2528" si="56">L2510-K2510</f>
        <v>5</v>
      </c>
      <c r="N2510" s="18"/>
      <c r="O2510" s="135"/>
      <c r="P2510" s="175">
        <v>21600</v>
      </c>
      <c r="Q2510" s="25">
        <v>0.13519999999999999</v>
      </c>
      <c r="U2510" s="384">
        <v>0.1</v>
      </c>
      <c r="W2510" s="285">
        <f t="shared" si="55"/>
        <v>3212.3519999999999</v>
      </c>
    </row>
    <row r="2511" spans="1:23" ht="15" customHeight="1">
      <c r="A2511" s="3">
        <v>39414</v>
      </c>
      <c r="B2511" s="9">
        <v>7500</v>
      </c>
      <c r="C2511" s="5">
        <v>19550</v>
      </c>
      <c r="D2511" s="5" t="e">
        <f>E2511-(#REF!+C2511)</f>
        <v>#REF!</v>
      </c>
      <c r="E2511" s="5">
        <v>44025</v>
      </c>
      <c r="K2511" s="22">
        <v>2960</v>
      </c>
      <c r="L2511" s="6">
        <v>2956</v>
      </c>
      <c r="M2511" s="125">
        <f t="shared" si="56"/>
        <v>-4</v>
      </c>
      <c r="N2511" s="18"/>
      <c r="O2511" s="135"/>
      <c r="P2511" s="175">
        <v>21700</v>
      </c>
      <c r="Q2511" s="25">
        <v>0.13539999999999999</v>
      </c>
      <c r="U2511" s="384">
        <v>0.1</v>
      </c>
      <c r="W2511" s="285">
        <f t="shared" si="55"/>
        <v>3231.998</v>
      </c>
    </row>
    <row r="2512" spans="1:23" ht="15" customHeight="1">
      <c r="A2512" s="3">
        <v>39415</v>
      </c>
      <c r="B2512" s="9">
        <v>7700</v>
      </c>
      <c r="C2512" s="5">
        <v>19475</v>
      </c>
      <c r="D2512" s="5" t="e">
        <f>E2512-(#REF!+C2512)</f>
        <v>#REF!</v>
      </c>
      <c r="E2512" s="5">
        <v>43900</v>
      </c>
      <c r="K2512" s="22">
        <v>3059.5</v>
      </c>
      <c r="L2512" s="6">
        <v>3057</v>
      </c>
      <c r="M2512" s="125">
        <f t="shared" si="56"/>
        <v>-2.5</v>
      </c>
      <c r="N2512" s="18"/>
      <c r="O2512" s="135"/>
      <c r="P2512" s="175">
        <v>21950</v>
      </c>
      <c r="Q2512" s="25">
        <v>0.13519999999999999</v>
      </c>
      <c r="U2512" s="384">
        <v>0.1</v>
      </c>
      <c r="W2512" s="285">
        <f t="shared" si="55"/>
        <v>3264.404</v>
      </c>
    </row>
    <row r="2513" spans="1:23" ht="15" customHeight="1" thickBot="1">
      <c r="A2513" s="11">
        <v>39416</v>
      </c>
      <c r="B2513" s="9">
        <v>8075</v>
      </c>
      <c r="C2513" s="13">
        <v>19475</v>
      </c>
      <c r="D2513" s="13" t="e">
        <f>E2513-(#REF!+C2513)</f>
        <v>#REF!</v>
      </c>
      <c r="E2513" s="13">
        <v>44025</v>
      </c>
      <c r="F2513" s="12"/>
      <c r="G2513" s="13"/>
      <c r="H2513" s="13"/>
      <c r="I2513" s="119"/>
      <c r="J2513" s="119"/>
      <c r="K2513" s="23">
        <v>3050</v>
      </c>
      <c r="L2513" s="14">
        <v>3025</v>
      </c>
      <c r="M2513" s="126">
        <f t="shared" si="56"/>
        <v>-25</v>
      </c>
      <c r="N2513" s="19">
        <f>AVERAGE(K2492:K2513)</f>
        <v>3328.181818181818</v>
      </c>
      <c r="O2513" s="136">
        <f>AVERAGE(K2277:K2513)</f>
        <v>2594.8824786324785</v>
      </c>
      <c r="P2513" s="176">
        <v>22025</v>
      </c>
      <c r="Q2513" s="27">
        <v>0.13550000000000001</v>
      </c>
      <c r="R2513" s="27"/>
      <c r="S2513" s="27"/>
      <c r="T2513" s="27"/>
      <c r="U2513" s="385">
        <v>0.1</v>
      </c>
      <c r="V2513" s="38">
        <f>AVERAGE(P2492:P2513)</f>
        <v>23310.227272727272</v>
      </c>
      <c r="W2513" s="285">
        <f t="shared" si="55"/>
        <v>3282.8262500000005</v>
      </c>
    </row>
    <row r="2514" spans="1:23" ht="15" customHeight="1">
      <c r="A2514" s="3">
        <v>39419</v>
      </c>
      <c r="B2514" s="9">
        <v>8375</v>
      </c>
      <c r="C2514" s="5">
        <v>19500</v>
      </c>
      <c r="D2514" s="5" t="e">
        <f>E2514-(#REF!+C2514)</f>
        <v>#REF!</v>
      </c>
      <c r="E2514" s="5">
        <v>44350</v>
      </c>
      <c r="K2514" s="22">
        <v>2991</v>
      </c>
      <c r="L2514" s="6">
        <v>2971</v>
      </c>
      <c r="M2514" s="125">
        <f t="shared" si="56"/>
        <v>-20</v>
      </c>
      <c r="N2514" s="20"/>
      <c r="O2514" s="138"/>
      <c r="P2514" s="175">
        <v>22025</v>
      </c>
      <c r="Q2514" s="25">
        <v>0.13519999999999999</v>
      </c>
      <c r="U2514" s="384">
        <v>0.1</v>
      </c>
      <c r="W2514" s="285">
        <f t="shared" si="55"/>
        <v>3275.558</v>
      </c>
    </row>
    <row r="2515" spans="1:23" ht="15" customHeight="1">
      <c r="A2515" s="3">
        <v>39420</v>
      </c>
      <c r="B2515" s="9">
        <v>8300</v>
      </c>
      <c r="C2515" s="5">
        <v>19500</v>
      </c>
      <c r="D2515" s="5" t="e">
        <f>E2515-(#REF!+C2515)</f>
        <v>#REF!</v>
      </c>
      <c r="E2515" s="5">
        <v>43775</v>
      </c>
      <c r="K2515" s="22">
        <v>2825</v>
      </c>
      <c r="L2515" s="6">
        <v>2826</v>
      </c>
      <c r="M2515" s="125">
        <f t="shared" si="56"/>
        <v>1</v>
      </c>
      <c r="N2515" s="18"/>
      <c r="O2515" s="135"/>
      <c r="P2515" s="175">
        <v>21700</v>
      </c>
      <c r="Q2515" s="25">
        <v>0.1351</v>
      </c>
      <c r="U2515" s="384">
        <v>0.1</v>
      </c>
      <c r="W2515" s="285">
        <f t="shared" si="55"/>
        <v>3224.8370000000004</v>
      </c>
    </row>
    <row r="2516" spans="1:23" ht="15" customHeight="1">
      <c r="A2516" s="3">
        <v>39421</v>
      </c>
      <c r="B2516" s="9">
        <v>8225</v>
      </c>
      <c r="C2516" s="5">
        <v>19750</v>
      </c>
      <c r="D2516" s="5" t="e">
        <f>E2516-(#REF!+C2516)</f>
        <v>#REF!</v>
      </c>
      <c r="E2516" s="5">
        <v>44000</v>
      </c>
      <c r="K2516" s="22">
        <v>2804</v>
      </c>
      <c r="L2516" s="6">
        <v>2806</v>
      </c>
      <c r="M2516" s="125">
        <f t="shared" si="56"/>
        <v>2</v>
      </c>
      <c r="N2516" s="18"/>
      <c r="O2516" s="135"/>
      <c r="P2516" s="175">
        <v>21500</v>
      </c>
      <c r="Q2516" s="25">
        <v>0.13519999999999999</v>
      </c>
      <c r="U2516" s="384">
        <v>0.1</v>
      </c>
      <c r="W2516" s="285">
        <f t="shared" si="55"/>
        <v>3197.48</v>
      </c>
    </row>
    <row r="2517" spans="1:23" ht="15" customHeight="1">
      <c r="A2517" s="3">
        <v>39422</v>
      </c>
      <c r="B2517" s="9">
        <v>8675</v>
      </c>
      <c r="C2517" s="5">
        <v>19875</v>
      </c>
      <c r="D2517" s="5" t="e">
        <f>E2517-(#REF!+C2517)</f>
        <v>#REF!</v>
      </c>
      <c r="E2517" s="5">
        <v>44600</v>
      </c>
      <c r="K2517" s="22">
        <v>2605.5</v>
      </c>
      <c r="L2517" s="6">
        <v>2625</v>
      </c>
      <c r="M2517" s="125">
        <f t="shared" si="56"/>
        <v>19.5</v>
      </c>
      <c r="N2517" s="18"/>
      <c r="O2517" s="135"/>
      <c r="P2517" s="175">
        <v>21300</v>
      </c>
      <c r="Q2517" s="25">
        <v>0.1353</v>
      </c>
      <c r="U2517" s="384">
        <v>0.1</v>
      </c>
      <c r="W2517" s="285">
        <f t="shared" si="55"/>
        <v>3170.0790000000002</v>
      </c>
    </row>
    <row r="2518" spans="1:23" ht="15" customHeight="1">
      <c r="A2518" s="3">
        <v>39423</v>
      </c>
      <c r="B2518" s="9">
        <v>8250</v>
      </c>
      <c r="C2518" s="5">
        <v>19875</v>
      </c>
      <c r="D2518" s="5" t="e">
        <f>E2518-(#REF!+C2518)</f>
        <v>#REF!</v>
      </c>
      <c r="E2518" s="5">
        <v>44150</v>
      </c>
      <c r="K2518" s="22">
        <v>2675</v>
      </c>
      <c r="L2518" s="6">
        <v>2665</v>
      </c>
      <c r="M2518" s="125">
        <f t="shared" si="56"/>
        <v>-10</v>
      </c>
      <c r="N2518" s="18"/>
      <c r="O2518" s="135"/>
      <c r="P2518" s="175">
        <v>20900</v>
      </c>
      <c r="Q2518" s="25">
        <v>0.13489999999999999</v>
      </c>
      <c r="U2518" s="384">
        <v>0.1</v>
      </c>
      <c r="W2518" s="285">
        <f t="shared" si="55"/>
        <v>3101.3510000000001</v>
      </c>
    </row>
    <row r="2519" spans="1:23" ht="15" customHeight="1">
      <c r="A2519" s="3">
        <v>39426</v>
      </c>
      <c r="B2519" s="9">
        <v>7725</v>
      </c>
      <c r="C2519" s="5">
        <v>19775</v>
      </c>
      <c r="D2519" s="5" t="e">
        <f>E2519-(#REF!+C2519)</f>
        <v>#REF!</v>
      </c>
      <c r="E2519" s="5">
        <v>43200</v>
      </c>
      <c r="K2519" s="22">
        <v>2520.5</v>
      </c>
      <c r="L2519" s="6">
        <v>2545</v>
      </c>
      <c r="M2519" s="125">
        <f t="shared" si="56"/>
        <v>24.5</v>
      </c>
      <c r="N2519" s="18"/>
      <c r="O2519" s="135"/>
      <c r="P2519" s="175">
        <v>20500</v>
      </c>
      <c r="Q2519" s="25">
        <v>0.1351</v>
      </c>
      <c r="U2519" s="384">
        <v>0.1</v>
      </c>
      <c r="W2519" s="285">
        <f t="shared" si="55"/>
        <v>3046.5050000000006</v>
      </c>
    </row>
    <row r="2520" spans="1:23" ht="15" customHeight="1">
      <c r="A2520" s="3">
        <v>39427</v>
      </c>
      <c r="B2520" s="9">
        <v>8275</v>
      </c>
      <c r="C2520" s="5">
        <v>19650</v>
      </c>
      <c r="D2520" s="5" t="e">
        <f>E2520-(#REF!+C2520)</f>
        <v>#REF!</v>
      </c>
      <c r="E2520" s="5">
        <v>43625</v>
      </c>
      <c r="K2520" s="22">
        <v>2420</v>
      </c>
      <c r="L2520" s="6">
        <v>2416</v>
      </c>
      <c r="M2520" s="125">
        <f t="shared" si="56"/>
        <v>-4</v>
      </c>
      <c r="N2520" s="18"/>
      <c r="O2520" s="135"/>
      <c r="P2520" s="175">
        <v>19700</v>
      </c>
      <c r="Q2520" s="25">
        <v>0.13519999999999999</v>
      </c>
      <c r="U2520" s="384">
        <v>0.1</v>
      </c>
      <c r="W2520" s="285">
        <f t="shared" si="55"/>
        <v>2929.7839999999997</v>
      </c>
    </row>
    <row r="2521" spans="1:23" ht="15" customHeight="1">
      <c r="A2521" s="3">
        <v>39428</v>
      </c>
      <c r="B2521" s="9">
        <v>7725</v>
      </c>
      <c r="C2521" s="5">
        <v>19550</v>
      </c>
      <c r="D2521" s="5" t="e">
        <f>E2521-(#REF!+C2521)</f>
        <v>#REF!</v>
      </c>
      <c r="E2521" s="5">
        <v>42975</v>
      </c>
      <c r="K2521" s="22">
        <v>2530.5</v>
      </c>
      <c r="L2521" s="6">
        <v>2525</v>
      </c>
      <c r="M2521" s="125">
        <f t="shared" si="56"/>
        <v>-5.5</v>
      </c>
      <c r="N2521" s="18"/>
      <c r="O2521" s="135"/>
      <c r="P2521" s="175">
        <v>19500</v>
      </c>
      <c r="Q2521" s="25">
        <v>0.13550000000000001</v>
      </c>
      <c r="U2521" s="384">
        <v>0.1</v>
      </c>
      <c r="W2521" s="285">
        <f t="shared" si="55"/>
        <v>2906.4750000000004</v>
      </c>
    </row>
    <row r="2522" spans="1:23" ht="15" customHeight="1">
      <c r="A2522" s="3">
        <v>39429</v>
      </c>
      <c r="B2522" s="9">
        <v>7025</v>
      </c>
      <c r="C2522" s="5">
        <v>19425</v>
      </c>
      <c r="D2522" s="5" t="e">
        <f>E2522-(#REF!+C2522)</f>
        <v>#REF!</v>
      </c>
      <c r="E2522" s="5">
        <v>42275</v>
      </c>
      <c r="K2522" s="22">
        <v>2535</v>
      </c>
      <c r="L2522" s="6">
        <v>2510.5</v>
      </c>
      <c r="M2522" s="125">
        <f t="shared" si="56"/>
        <v>-24.5</v>
      </c>
      <c r="N2522" s="18"/>
      <c r="O2522" s="135"/>
      <c r="P2522" s="175">
        <v>19400</v>
      </c>
      <c r="Q2522" s="25">
        <v>0.1356</v>
      </c>
      <c r="U2522" s="384">
        <v>0.1</v>
      </c>
      <c r="W2522" s="285">
        <f t="shared" si="55"/>
        <v>2893.7040000000002</v>
      </c>
    </row>
    <row r="2523" spans="1:23" ht="15" customHeight="1">
      <c r="A2523" s="3">
        <v>39430</v>
      </c>
      <c r="B2523" s="9">
        <v>6625</v>
      </c>
      <c r="C2523" s="5">
        <v>19200</v>
      </c>
      <c r="D2523" s="5" t="e">
        <f>E2523-(#REF!+C2523)</f>
        <v>#REF!</v>
      </c>
      <c r="E2523" s="5">
        <v>41650</v>
      </c>
      <c r="K2523" s="22">
        <v>2461</v>
      </c>
      <c r="L2523" s="6">
        <v>2450.5</v>
      </c>
      <c r="M2523" s="125">
        <f t="shared" si="56"/>
        <v>-10.5</v>
      </c>
      <c r="N2523" s="18"/>
      <c r="O2523" s="135"/>
      <c r="P2523" s="175">
        <v>18900</v>
      </c>
      <c r="Q2523" s="25">
        <v>0.13569999999999999</v>
      </c>
      <c r="U2523" s="384">
        <v>0.1</v>
      </c>
      <c r="W2523" s="285">
        <f t="shared" si="55"/>
        <v>2821.203</v>
      </c>
    </row>
    <row r="2524" spans="1:23" ht="15" customHeight="1">
      <c r="A2524" s="3">
        <v>39433</v>
      </c>
      <c r="B2524" s="9">
        <v>6850</v>
      </c>
      <c r="C2524" s="5">
        <v>19200</v>
      </c>
      <c r="D2524" s="5" t="e">
        <f>E2524-(#REF!+C2524)</f>
        <v>#REF!</v>
      </c>
      <c r="E2524" s="5">
        <v>41775</v>
      </c>
      <c r="K2524" s="22">
        <v>2412</v>
      </c>
      <c r="L2524" s="6">
        <v>2382</v>
      </c>
      <c r="M2524" s="125">
        <f t="shared" si="56"/>
        <v>-30</v>
      </c>
      <c r="N2524" s="18"/>
      <c r="O2524" s="135"/>
      <c r="P2524" s="175">
        <v>18700</v>
      </c>
      <c r="Q2524" s="25">
        <v>0.13569999999999999</v>
      </c>
      <c r="U2524" s="384">
        <v>0.1</v>
      </c>
      <c r="W2524" s="285">
        <f t="shared" si="55"/>
        <v>2791.3489999999997</v>
      </c>
    </row>
    <row r="2525" spans="1:23" ht="15" customHeight="1">
      <c r="A2525" s="3">
        <v>39434</v>
      </c>
      <c r="B2525" s="9">
        <v>5850</v>
      </c>
      <c r="C2525" s="5">
        <v>18875</v>
      </c>
      <c r="D2525" s="5" t="e">
        <f>E2525-(#REF!+C2525)</f>
        <v>#REF!</v>
      </c>
      <c r="E2525" s="5">
        <v>43425</v>
      </c>
      <c r="K2525" s="22">
        <v>2432</v>
      </c>
      <c r="L2525" s="6">
        <v>2430</v>
      </c>
      <c r="M2525" s="125">
        <f t="shared" si="56"/>
        <v>-2</v>
      </c>
      <c r="N2525" s="18"/>
      <c r="O2525" s="135"/>
      <c r="P2525" s="175">
        <v>18550</v>
      </c>
      <c r="Q2525" s="25">
        <v>0.13550000000000001</v>
      </c>
      <c r="U2525" s="384">
        <v>0.1</v>
      </c>
      <c r="W2525" s="285">
        <f t="shared" si="55"/>
        <v>2764.8775000000005</v>
      </c>
    </row>
    <row r="2526" spans="1:23" ht="15" customHeight="1">
      <c r="A2526" s="3">
        <v>39435</v>
      </c>
      <c r="B2526" s="9">
        <v>6175</v>
      </c>
      <c r="C2526" s="5">
        <v>18725</v>
      </c>
      <c r="D2526" s="5" t="e">
        <f>E2526-(#REF!+C2526)</f>
        <v>#REF!</v>
      </c>
      <c r="E2526" s="5">
        <v>43600</v>
      </c>
      <c r="K2526" s="22">
        <v>2471</v>
      </c>
      <c r="L2526" s="6">
        <v>2485.5</v>
      </c>
      <c r="M2526" s="125">
        <f t="shared" si="56"/>
        <v>14.5</v>
      </c>
      <c r="N2526" s="18"/>
      <c r="O2526" s="135"/>
      <c r="P2526" s="175">
        <v>18400</v>
      </c>
      <c r="Q2526" s="25">
        <v>0.13550000000000001</v>
      </c>
      <c r="U2526" s="384">
        <v>0.1</v>
      </c>
      <c r="W2526" s="285">
        <f t="shared" si="55"/>
        <v>2742.5200000000004</v>
      </c>
    </row>
    <row r="2527" spans="1:23" ht="15" customHeight="1">
      <c r="A2527" s="3">
        <v>39436</v>
      </c>
      <c r="B2527" s="9">
        <v>6150</v>
      </c>
      <c r="C2527" s="5">
        <v>18600</v>
      </c>
      <c r="D2527" s="5" t="e">
        <f>E2527-(#REF!+C2527)</f>
        <v>#REF!</v>
      </c>
      <c r="E2527" s="5">
        <v>43425</v>
      </c>
      <c r="K2527" s="22">
        <v>2648</v>
      </c>
      <c r="L2527" s="6">
        <v>2640</v>
      </c>
      <c r="M2527" s="125">
        <f t="shared" si="56"/>
        <v>-8</v>
      </c>
      <c r="N2527" s="18"/>
      <c r="O2527" s="135"/>
      <c r="P2527" s="175">
        <v>18500</v>
      </c>
      <c r="Q2527" s="25">
        <v>0.1356</v>
      </c>
      <c r="U2527" s="384">
        <v>0.1</v>
      </c>
      <c r="W2527" s="285">
        <f t="shared" si="55"/>
        <v>2759.46</v>
      </c>
    </row>
    <row r="2528" spans="1:23" ht="15" customHeight="1">
      <c r="A2528" s="3">
        <v>39437</v>
      </c>
      <c r="B2528" s="9">
        <v>6150</v>
      </c>
      <c r="C2528" s="5">
        <v>18575</v>
      </c>
      <c r="D2528" s="5" t="e">
        <f>E2528-(#REF!+C2528)</f>
        <v>#REF!</v>
      </c>
      <c r="E2528" s="5">
        <v>43325</v>
      </c>
      <c r="K2528" s="22">
        <v>2655</v>
      </c>
      <c r="L2528" s="6">
        <v>2626</v>
      </c>
      <c r="M2528" s="125">
        <f t="shared" si="56"/>
        <v>-29</v>
      </c>
      <c r="N2528" s="18"/>
      <c r="O2528" s="135"/>
      <c r="P2528" s="175">
        <v>18900</v>
      </c>
      <c r="Q2528" s="25">
        <v>0.13569999999999999</v>
      </c>
      <c r="U2528" s="384">
        <v>0.1</v>
      </c>
      <c r="W2528" s="285">
        <f t="shared" si="55"/>
        <v>2821.203</v>
      </c>
    </row>
    <row r="2529" spans="1:23" ht="15" customHeight="1">
      <c r="B2529" s="9">
        <v>0</v>
      </c>
      <c r="C2529" s="191"/>
      <c r="D2529" s="191"/>
      <c r="E2529" s="191"/>
      <c r="F2529" s="1378" t="s">
        <v>23</v>
      </c>
      <c r="G2529" s="1378"/>
      <c r="H2529" s="1378"/>
      <c r="I2529" s="1378"/>
      <c r="J2529" s="326"/>
      <c r="K2529" s="191"/>
      <c r="L2529" s="191"/>
      <c r="M2529" s="191"/>
      <c r="N2529" s="191"/>
      <c r="O2529" s="202"/>
      <c r="P2529" s="175">
        <v>19150</v>
      </c>
      <c r="Q2529" s="25">
        <v>0.1358</v>
      </c>
      <c r="U2529" s="384">
        <v>0.1</v>
      </c>
      <c r="W2529" s="285">
        <f t="shared" si="55"/>
        <v>2860.6270000000004</v>
      </c>
    </row>
    <row r="2530" spans="1:23" ht="15" customHeight="1">
      <c r="A2530" s="191"/>
      <c r="B2530" s="9">
        <v>0</v>
      </c>
      <c r="C2530" s="191"/>
      <c r="D2530" s="191"/>
      <c r="E2530" s="191"/>
      <c r="F2530" s="1378"/>
      <c r="G2530" s="1378"/>
      <c r="H2530" s="1378"/>
      <c r="I2530" s="1378"/>
      <c r="J2530" s="326"/>
      <c r="K2530" s="191"/>
      <c r="L2530" s="191"/>
      <c r="M2530" s="191"/>
      <c r="N2530" s="191"/>
      <c r="O2530" s="202"/>
      <c r="P2530" s="175">
        <v>19500</v>
      </c>
      <c r="Q2530" s="25">
        <v>0.13639999999999999</v>
      </c>
      <c r="U2530" s="384">
        <v>0.1</v>
      </c>
      <c r="W2530" s="285">
        <f t="shared" si="55"/>
        <v>2925.7799999999997</v>
      </c>
    </row>
    <row r="2531" spans="1:23" ht="15" customHeight="1">
      <c r="A2531" s="191"/>
      <c r="B2531" s="9">
        <v>0</v>
      </c>
      <c r="C2531" s="191"/>
      <c r="D2531" s="191"/>
      <c r="E2531" s="191"/>
      <c r="F2531" s="1378"/>
      <c r="G2531" s="1378"/>
      <c r="H2531" s="1378"/>
      <c r="I2531" s="1378"/>
      <c r="J2531" s="326"/>
      <c r="K2531" s="191"/>
      <c r="L2531" s="191"/>
      <c r="M2531" s="191"/>
      <c r="N2531" s="191"/>
      <c r="O2531" s="202"/>
      <c r="P2531" s="175">
        <v>19500</v>
      </c>
      <c r="Q2531" s="25">
        <v>0.1358</v>
      </c>
      <c r="U2531" s="384">
        <v>0.1</v>
      </c>
      <c r="W2531" s="285">
        <f t="shared" si="55"/>
        <v>2912.9100000000003</v>
      </c>
    </row>
    <row r="2532" spans="1:23" ht="15" customHeight="1">
      <c r="A2532" s="3">
        <v>39443</v>
      </c>
      <c r="B2532" s="9">
        <v>6150</v>
      </c>
      <c r="C2532" s="5">
        <v>18550</v>
      </c>
      <c r="D2532" s="5" t="e">
        <f>E2532-(#REF!+C2532)</f>
        <v>#REF!</v>
      </c>
      <c r="E2532" s="5">
        <v>43250</v>
      </c>
      <c r="F2532" s="404"/>
      <c r="G2532" s="191"/>
      <c r="H2532" s="191"/>
      <c r="I2532" s="191"/>
      <c r="J2532" s="191"/>
      <c r="K2532" s="22">
        <v>2650</v>
      </c>
      <c r="L2532" s="6">
        <v>2635</v>
      </c>
      <c r="M2532" s="125">
        <f t="shared" ref="M2532:M2591" si="57">L2532-K2532</f>
        <v>-15</v>
      </c>
      <c r="N2532" s="18"/>
      <c r="O2532" s="135"/>
      <c r="P2532" s="175">
        <v>19500</v>
      </c>
      <c r="Q2532" s="25">
        <v>0.1358</v>
      </c>
      <c r="U2532" s="384">
        <v>0.1</v>
      </c>
      <c r="W2532" s="285">
        <f t="shared" si="55"/>
        <v>2912.9100000000003</v>
      </c>
    </row>
    <row r="2533" spans="1:23" ht="15" customHeight="1">
      <c r="A2533" s="3">
        <v>39444</v>
      </c>
      <c r="B2533" s="9">
        <v>8450</v>
      </c>
      <c r="C2533" s="5">
        <v>18825</v>
      </c>
      <c r="D2533" s="5" t="e">
        <f>E2533-(#REF!+C2533)</f>
        <v>#REF!</v>
      </c>
      <c r="E2533" s="5">
        <v>45500</v>
      </c>
      <c r="K2533" s="22">
        <v>2561</v>
      </c>
      <c r="L2533" s="6">
        <v>2557</v>
      </c>
      <c r="M2533" s="125">
        <f t="shared" si="57"/>
        <v>-4</v>
      </c>
      <c r="N2533" s="18"/>
      <c r="O2533" s="135"/>
      <c r="P2533" s="175">
        <v>19500</v>
      </c>
      <c r="Q2533" s="25">
        <v>0.1366</v>
      </c>
      <c r="U2533" s="384">
        <v>0.1</v>
      </c>
      <c r="W2533" s="285">
        <f t="shared" si="55"/>
        <v>2930.07</v>
      </c>
    </row>
    <row r="2534" spans="1:23" ht="15" customHeight="1" thickBot="1">
      <c r="A2534" s="11">
        <v>39447</v>
      </c>
      <c r="B2534" s="9">
        <v>8650</v>
      </c>
      <c r="C2534" s="13">
        <v>18975</v>
      </c>
      <c r="D2534" s="13" t="e">
        <f>E2534-(#REF!+C2534)</f>
        <v>#REF!</v>
      </c>
      <c r="E2534" s="13">
        <v>45475</v>
      </c>
      <c r="F2534" s="12"/>
      <c r="G2534" s="13"/>
      <c r="H2534" s="13"/>
      <c r="I2534" s="119"/>
      <c r="J2534" s="119"/>
      <c r="K2534" s="23">
        <v>2532</v>
      </c>
      <c r="L2534" s="14">
        <v>2532</v>
      </c>
      <c r="M2534" s="126">
        <f t="shared" si="57"/>
        <v>0</v>
      </c>
      <c r="N2534" s="19">
        <f>AVERAGE(K2514:K2534)</f>
        <v>2596.0277777777778</v>
      </c>
      <c r="O2534" s="141">
        <f>AVERAGE(K2277:K2534)</f>
        <v>2594.9642857142858</v>
      </c>
      <c r="P2534" s="197"/>
      <c r="Q2534" s="1364" t="s">
        <v>23</v>
      </c>
      <c r="R2534" s="1365"/>
      <c r="S2534" s="1365"/>
      <c r="T2534" s="1365"/>
      <c r="U2534" s="1365"/>
      <c r="V2534" s="38">
        <f>AVERAGE(P2514:P2533)</f>
        <v>19781.25</v>
      </c>
      <c r="W2534" s="285" t="e">
        <f t="shared" si="55"/>
        <v>#VALUE!</v>
      </c>
    </row>
    <row r="2535" spans="1:23" ht="15" customHeight="1">
      <c r="A2535" s="3">
        <v>39449</v>
      </c>
      <c r="B2535" s="9">
        <v>8600</v>
      </c>
      <c r="C2535" s="5">
        <v>18975</v>
      </c>
      <c r="D2535" s="5" t="e">
        <f>E2535-(#REF!+C2535)</f>
        <v>#REF!</v>
      </c>
      <c r="E2535" s="5">
        <v>45350</v>
      </c>
      <c r="K2535" s="22">
        <v>2580</v>
      </c>
      <c r="L2535" s="6">
        <v>2580</v>
      </c>
      <c r="M2535" s="125">
        <f t="shared" si="57"/>
        <v>0</v>
      </c>
      <c r="N2535" s="20"/>
      <c r="O2535" s="139">
        <f>AVERAGE(K2535:K2795)</f>
        <v>2084.7637795275591</v>
      </c>
      <c r="P2535" s="175">
        <v>19300</v>
      </c>
      <c r="Q2535" s="25">
        <v>0.13689999999999999</v>
      </c>
      <c r="U2535" s="384">
        <v>0.1</v>
      </c>
      <c r="W2535" s="285">
        <f t="shared" si="55"/>
        <v>2906.3870000000002</v>
      </c>
    </row>
    <row r="2536" spans="1:23" ht="15" customHeight="1">
      <c r="A2536" s="3">
        <v>39450</v>
      </c>
      <c r="B2536" s="9">
        <v>10000</v>
      </c>
      <c r="C2536" s="5">
        <v>18975</v>
      </c>
      <c r="D2536" s="5" t="e">
        <f>E2536-(#REF!+C2536)</f>
        <v>#REF!</v>
      </c>
      <c r="E2536" s="5">
        <v>46750</v>
      </c>
      <c r="K2536" s="22">
        <v>2593</v>
      </c>
      <c r="L2536" s="6">
        <v>2601</v>
      </c>
      <c r="M2536" s="125">
        <f t="shared" si="57"/>
        <v>8</v>
      </c>
      <c r="N2536" s="18"/>
      <c r="O2536" s="135"/>
      <c r="P2536" s="175">
        <v>19200</v>
      </c>
      <c r="Q2536" s="25">
        <v>0.13689999999999999</v>
      </c>
      <c r="U2536" s="384">
        <v>0.1</v>
      </c>
      <c r="W2536" s="285">
        <f t="shared" si="55"/>
        <v>2891.3280000000004</v>
      </c>
    </row>
    <row r="2537" spans="1:23" ht="15" customHeight="1">
      <c r="A2537" s="3">
        <v>39451</v>
      </c>
      <c r="B2537" s="9">
        <v>10175</v>
      </c>
      <c r="C2537" s="5">
        <v>18900</v>
      </c>
      <c r="D2537" s="5" t="e">
        <f>E2537-(#REF!+C2537)</f>
        <v>#REF!</v>
      </c>
      <c r="E2537" s="5">
        <v>46850</v>
      </c>
      <c r="K2537" s="22">
        <v>2665</v>
      </c>
      <c r="L2537" s="6">
        <v>2670</v>
      </c>
      <c r="M2537" s="125">
        <f t="shared" si="57"/>
        <v>5</v>
      </c>
      <c r="N2537" s="18"/>
      <c r="O2537" s="135"/>
      <c r="P2537" s="175">
        <v>19400</v>
      </c>
      <c r="Q2537" s="25">
        <v>0.13750000000000001</v>
      </c>
      <c r="U2537" s="384">
        <v>0.1</v>
      </c>
      <c r="W2537" s="285">
        <f t="shared" si="55"/>
        <v>2934.2500000000005</v>
      </c>
    </row>
    <row r="2538" spans="1:23" ht="15" customHeight="1">
      <c r="A2538" s="3">
        <v>39454</v>
      </c>
      <c r="B2538" s="9">
        <v>10125</v>
      </c>
      <c r="C2538" s="5">
        <v>19325</v>
      </c>
      <c r="D2538" s="5" t="e">
        <f>E2538-(#REF!+C2538)</f>
        <v>#REF!</v>
      </c>
      <c r="E2538" s="5">
        <v>48900</v>
      </c>
      <c r="K2538" s="22">
        <v>2601</v>
      </c>
      <c r="L2538" s="6">
        <v>2611</v>
      </c>
      <c r="M2538" s="125">
        <f t="shared" si="57"/>
        <v>10</v>
      </c>
      <c r="N2538" s="18"/>
      <c r="O2538" s="135"/>
      <c r="P2538" s="175">
        <v>19300</v>
      </c>
      <c r="Q2538" s="25">
        <v>0.13750000000000001</v>
      </c>
      <c r="U2538" s="384">
        <v>0.1</v>
      </c>
      <c r="W2538" s="285">
        <f t="shared" si="55"/>
        <v>2919.1250000000005</v>
      </c>
    </row>
    <row r="2539" spans="1:23" ht="15" customHeight="1">
      <c r="A2539" s="3">
        <v>39455</v>
      </c>
      <c r="B2539" s="9">
        <v>10625</v>
      </c>
      <c r="C2539" s="5">
        <v>19150</v>
      </c>
      <c r="D2539" s="5" t="e">
        <f>E2539-(#REF!+C2539)</f>
        <v>#REF!</v>
      </c>
      <c r="E2539" s="5">
        <v>49200</v>
      </c>
      <c r="K2539" s="22">
        <v>2580.5</v>
      </c>
      <c r="L2539" s="6">
        <v>2600</v>
      </c>
      <c r="M2539" s="125">
        <f t="shared" si="57"/>
        <v>19.5</v>
      </c>
      <c r="N2539" s="18"/>
      <c r="O2539" s="135"/>
      <c r="P2539" s="175">
        <v>19450</v>
      </c>
      <c r="Q2539" s="25">
        <v>0.1376</v>
      </c>
      <c r="U2539" s="384">
        <v>0.1</v>
      </c>
      <c r="W2539" s="285">
        <f t="shared" si="55"/>
        <v>2943.9520000000002</v>
      </c>
    </row>
    <row r="2540" spans="1:23" ht="15" customHeight="1">
      <c r="A2540" s="3">
        <v>39456</v>
      </c>
      <c r="B2540" s="9">
        <v>10625</v>
      </c>
      <c r="C2540" s="5">
        <v>19275</v>
      </c>
      <c r="D2540" s="5" t="e">
        <f>E2540-(#REF!+C2540)</f>
        <v>#REF!</v>
      </c>
      <c r="E2540" s="5">
        <v>49300</v>
      </c>
      <c r="K2540" s="22">
        <v>2630</v>
      </c>
      <c r="L2540" s="6">
        <v>2620.5</v>
      </c>
      <c r="M2540" s="125">
        <f t="shared" si="57"/>
        <v>-9.5</v>
      </c>
      <c r="N2540" s="18"/>
      <c r="O2540" s="135"/>
      <c r="P2540" s="175">
        <v>19500</v>
      </c>
      <c r="Q2540" s="25">
        <v>0.1376</v>
      </c>
      <c r="U2540" s="384">
        <v>0.1</v>
      </c>
      <c r="W2540" s="285">
        <f t="shared" si="55"/>
        <v>2951.52</v>
      </c>
    </row>
    <row r="2541" spans="1:23" ht="15" customHeight="1">
      <c r="A2541" s="3">
        <v>39457</v>
      </c>
      <c r="B2541" s="9">
        <v>10600</v>
      </c>
      <c r="C2541" s="5">
        <v>19325</v>
      </c>
      <c r="D2541" s="5" t="e">
        <f>E2541-(#REF!+C2541)</f>
        <v>#REF!</v>
      </c>
      <c r="E2541" s="5">
        <v>49325</v>
      </c>
      <c r="K2541" s="22">
        <v>2525.5</v>
      </c>
      <c r="L2541" s="6">
        <v>2535.5</v>
      </c>
      <c r="M2541" s="125">
        <f t="shared" si="57"/>
        <v>10</v>
      </c>
      <c r="N2541" s="18"/>
      <c r="O2541" s="135"/>
      <c r="P2541" s="175">
        <v>19450</v>
      </c>
      <c r="Q2541" s="25">
        <v>0.13769999999999999</v>
      </c>
      <c r="U2541" s="384">
        <v>0.1</v>
      </c>
      <c r="W2541" s="285">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25">
        <f t="shared" si="57"/>
        <v>14</v>
      </c>
      <c r="N2542" s="18"/>
      <c r="O2542" s="135"/>
      <c r="P2542" s="175">
        <v>19400</v>
      </c>
      <c r="Q2542" s="25">
        <v>0.13750000000000001</v>
      </c>
      <c r="U2542" s="384">
        <v>0.1</v>
      </c>
      <c r="W2542" s="285">
        <f t="shared" si="58"/>
        <v>2934.2500000000005</v>
      </c>
    </row>
    <row r="2543" spans="1:23" ht="15" customHeight="1">
      <c r="A2543" s="3">
        <v>39461</v>
      </c>
      <c r="B2543" s="9">
        <v>10675</v>
      </c>
      <c r="C2543" s="5">
        <v>18875</v>
      </c>
      <c r="D2543" s="5" t="e">
        <f>E2543-(#REF!+C2543)</f>
        <v>#REF!</v>
      </c>
      <c r="E2543" s="5">
        <v>48950</v>
      </c>
      <c r="K2543" s="22">
        <v>2640</v>
      </c>
      <c r="L2543" s="6">
        <v>2661</v>
      </c>
      <c r="M2543" s="125">
        <f t="shared" si="57"/>
        <v>21</v>
      </c>
      <c r="N2543" s="18"/>
      <c r="O2543" s="135"/>
      <c r="P2543" s="175">
        <v>19500</v>
      </c>
      <c r="Q2543" s="25">
        <v>0.13769999999999999</v>
      </c>
      <c r="U2543" s="384">
        <v>0.1</v>
      </c>
      <c r="W2543" s="285">
        <f t="shared" si="58"/>
        <v>2953.665</v>
      </c>
    </row>
    <row r="2544" spans="1:23" ht="15" customHeight="1">
      <c r="A2544" s="3">
        <v>39462</v>
      </c>
      <c r="B2544" s="9">
        <v>11375</v>
      </c>
      <c r="C2544" s="5">
        <v>18500</v>
      </c>
      <c r="D2544" s="5" t="e">
        <f>E2544-(#REF!+C2544)</f>
        <v>#REF!</v>
      </c>
      <c r="E2544" s="5">
        <v>49325</v>
      </c>
      <c r="K2544" s="22">
        <v>2680</v>
      </c>
      <c r="L2544" s="6">
        <v>2685.5</v>
      </c>
      <c r="M2544" s="125">
        <f t="shared" si="57"/>
        <v>5.5</v>
      </c>
      <c r="N2544" s="18"/>
      <c r="O2544" s="135"/>
      <c r="P2544" s="175">
        <v>19700</v>
      </c>
      <c r="Q2544" s="25">
        <v>0.13789999999999999</v>
      </c>
      <c r="U2544" s="384">
        <v>0.1</v>
      </c>
      <c r="W2544" s="285">
        <f t="shared" si="58"/>
        <v>2988.2930000000006</v>
      </c>
    </row>
    <row r="2545" spans="1:23" ht="15" customHeight="1">
      <c r="A2545" s="3">
        <v>39463</v>
      </c>
      <c r="B2545" s="9">
        <v>11375</v>
      </c>
      <c r="C2545" s="5">
        <v>18575</v>
      </c>
      <c r="D2545" s="5" t="e">
        <f>E2545-(#REF!+C2545)</f>
        <v>#REF!</v>
      </c>
      <c r="E2545" s="5">
        <v>49300</v>
      </c>
      <c r="K2545" s="22">
        <v>2610</v>
      </c>
      <c r="L2545" s="6">
        <v>2611</v>
      </c>
      <c r="M2545" s="125">
        <f t="shared" si="57"/>
        <v>1</v>
      </c>
      <c r="N2545" s="18"/>
      <c r="O2545" s="135"/>
      <c r="P2545" s="175">
        <v>19800</v>
      </c>
      <c r="Q2545" s="25">
        <v>0.1381</v>
      </c>
      <c r="U2545" s="384">
        <v>0.1</v>
      </c>
      <c r="W2545" s="285">
        <f t="shared" si="58"/>
        <v>3007.8180000000002</v>
      </c>
    </row>
    <row r="2546" spans="1:23" ht="15" customHeight="1">
      <c r="A2546" s="3">
        <v>39464</v>
      </c>
      <c r="B2546" s="9">
        <v>11175</v>
      </c>
      <c r="C2546" s="5">
        <v>18175</v>
      </c>
      <c r="D2546" s="5" t="e">
        <f>E2546-(#REF!+C2546)</f>
        <v>#REF!</v>
      </c>
      <c r="E2546" s="5">
        <v>48650</v>
      </c>
      <c r="K2546" s="22">
        <v>2610</v>
      </c>
      <c r="L2546" s="6">
        <v>2619.5</v>
      </c>
      <c r="M2546" s="125">
        <f t="shared" si="57"/>
        <v>9.5</v>
      </c>
      <c r="N2546" s="18"/>
      <c r="O2546" s="135"/>
      <c r="P2546" s="175">
        <v>19700</v>
      </c>
      <c r="Q2546" s="25">
        <v>0.13830000000000001</v>
      </c>
      <c r="U2546" s="384">
        <v>0.1</v>
      </c>
      <c r="W2546" s="285">
        <f t="shared" si="58"/>
        <v>2996.9610000000007</v>
      </c>
    </row>
    <row r="2547" spans="1:23" ht="15" customHeight="1">
      <c r="A2547" s="3">
        <v>39465</v>
      </c>
      <c r="B2547" s="9">
        <v>10850</v>
      </c>
      <c r="C2547" s="5">
        <v>17825</v>
      </c>
      <c r="D2547" s="5" t="e">
        <f>E2547-(#REF!+C2547)</f>
        <v>#REF!</v>
      </c>
      <c r="E2547" s="5">
        <v>48050</v>
      </c>
      <c r="K2547" s="22">
        <v>2550</v>
      </c>
      <c r="L2547" s="6">
        <v>2540</v>
      </c>
      <c r="M2547" s="125">
        <f t="shared" si="57"/>
        <v>-10</v>
      </c>
      <c r="N2547" s="18"/>
      <c r="O2547" s="135"/>
      <c r="P2547" s="175">
        <v>19700</v>
      </c>
      <c r="Q2547" s="25">
        <v>0.13800000000000001</v>
      </c>
      <c r="U2547" s="384">
        <v>0.1</v>
      </c>
      <c r="W2547" s="285">
        <f t="shared" si="58"/>
        <v>2990.4600000000005</v>
      </c>
    </row>
    <row r="2548" spans="1:23" ht="15" customHeight="1">
      <c r="A2548" s="3">
        <v>39468</v>
      </c>
      <c r="B2548" s="9">
        <v>10850</v>
      </c>
      <c r="C2548" s="5">
        <v>17700</v>
      </c>
      <c r="D2548" s="5" t="e">
        <f>E2548-(#REF!+C2548)</f>
        <v>#REF!</v>
      </c>
      <c r="E2548" s="5">
        <v>47925</v>
      </c>
      <c r="K2548" s="22">
        <v>2513.5</v>
      </c>
      <c r="L2548" s="6">
        <v>2516.5</v>
      </c>
      <c r="M2548" s="125">
        <f t="shared" si="57"/>
        <v>3</v>
      </c>
      <c r="N2548" s="18"/>
      <c r="O2548" s="135"/>
      <c r="P2548" s="175">
        <v>19900</v>
      </c>
      <c r="Q2548" s="25">
        <v>0.1381</v>
      </c>
      <c r="U2548" s="384">
        <v>0.1</v>
      </c>
      <c r="W2548" s="285">
        <f t="shared" si="58"/>
        <v>3023.0090000000005</v>
      </c>
    </row>
    <row r="2549" spans="1:23" ht="15" customHeight="1">
      <c r="A2549" s="3">
        <v>39469</v>
      </c>
      <c r="B2549" s="9">
        <v>11150</v>
      </c>
      <c r="C2549" s="5">
        <v>17520</v>
      </c>
      <c r="D2549" s="5" t="e">
        <f>E2549-(#REF!+C2549)</f>
        <v>#REF!</v>
      </c>
      <c r="E2549" s="5">
        <v>48100</v>
      </c>
      <c r="K2549" s="22">
        <v>2480</v>
      </c>
      <c r="L2549" s="6">
        <v>2482</v>
      </c>
      <c r="M2549" s="125">
        <f t="shared" si="57"/>
        <v>2</v>
      </c>
      <c r="N2549" s="18"/>
      <c r="O2549" s="135"/>
      <c r="P2549" s="175">
        <v>20300</v>
      </c>
      <c r="Q2549" s="25">
        <v>0.1381</v>
      </c>
      <c r="U2549" s="384">
        <v>0.1</v>
      </c>
      <c r="W2549" s="285">
        <f t="shared" si="58"/>
        <v>3083.7730000000001</v>
      </c>
    </row>
    <row r="2550" spans="1:23" ht="15" customHeight="1">
      <c r="A2550" s="3">
        <v>39470</v>
      </c>
      <c r="B2550" s="9">
        <v>11150</v>
      </c>
      <c r="C2550" s="5">
        <v>17525</v>
      </c>
      <c r="D2550" s="5" t="e">
        <f>E2550-(#REF!+C2550)</f>
        <v>#REF!</v>
      </c>
      <c r="E2550" s="5">
        <v>48075</v>
      </c>
      <c r="K2550" s="22">
        <v>2540.5</v>
      </c>
      <c r="L2550" s="6">
        <v>2555</v>
      </c>
      <c r="M2550" s="125">
        <f t="shared" si="57"/>
        <v>14.5</v>
      </c>
      <c r="N2550" s="18"/>
      <c r="O2550" s="135"/>
      <c r="P2550" s="175">
        <v>20600</v>
      </c>
      <c r="Q2550" s="25">
        <v>0.1381</v>
      </c>
      <c r="U2550" s="384">
        <v>0.1</v>
      </c>
      <c r="W2550" s="285">
        <f t="shared" si="58"/>
        <v>3129.3460000000005</v>
      </c>
    </row>
    <row r="2551" spans="1:23" ht="15" customHeight="1">
      <c r="A2551" s="3">
        <v>39471</v>
      </c>
      <c r="B2551" s="9">
        <v>11150</v>
      </c>
      <c r="C2551" s="5">
        <v>17275</v>
      </c>
      <c r="D2551" s="5" t="e">
        <f>E2551-(#REF!+C2551)</f>
        <v>#REF!</v>
      </c>
      <c r="E2551" s="5">
        <v>47900</v>
      </c>
      <c r="K2551" s="22">
        <v>2579.5</v>
      </c>
      <c r="L2551" s="6">
        <v>2590</v>
      </c>
      <c r="M2551" s="125">
        <f t="shared" si="57"/>
        <v>10.5</v>
      </c>
      <c r="N2551" s="18"/>
      <c r="O2551" s="135"/>
      <c r="P2551" s="175">
        <v>20600</v>
      </c>
      <c r="Q2551" s="25">
        <v>0.13830000000000001</v>
      </c>
      <c r="U2551" s="384">
        <v>0.1</v>
      </c>
      <c r="W2551" s="285">
        <f t="shared" si="58"/>
        <v>3133.8780000000002</v>
      </c>
    </row>
    <row r="2552" spans="1:23" ht="15" customHeight="1">
      <c r="A2552" s="3">
        <v>39472</v>
      </c>
      <c r="B2552" s="9">
        <v>11150</v>
      </c>
      <c r="C2552" s="5">
        <v>17100</v>
      </c>
      <c r="D2552" s="5" t="e">
        <f>E2552-(#REF!+C2552)</f>
        <v>#REF!</v>
      </c>
      <c r="E2552" s="5">
        <v>47800</v>
      </c>
      <c r="K2552" s="22">
        <v>2650.5</v>
      </c>
      <c r="L2552" s="6">
        <v>2670</v>
      </c>
      <c r="M2552" s="125">
        <f t="shared" si="57"/>
        <v>19.5</v>
      </c>
      <c r="N2552" s="18"/>
      <c r="O2552" s="135"/>
      <c r="P2552" s="175">
        <v>20750</v>
      </c>
      <c r="Q2552" s="25">
        <v>0.1384</v>
      </c>
      <c r="U2552" s="384">
        <v>0.1</v>
      </c>
      <c r="W2552" s="285">
        <f t="shared" si="58"/>
        <v>3158.98</v>
      </c>
    </row>
    <row r="2553" spans="1:23" ht="15" customHeight="1">
      <c r="A2553" s="3">
        <v>39475</v>
      </c>
      <c r="B2553" s="9">
        <v>10625</v>
      </c>
      <c r="C2553" s="5">
        <v>16975</v>
      </c>
      <c r="D2553" s="5" t="e">
        <f>E2553-(#REF!+C2553)</f>
        <v>#REF!</v>
      </c>
      <c r="E2553" s="5">
        <v>47075</v>
      </c>
      <c r="K2553" s="22">
        <v>2586.5</v>
      </c>
      <c r="L2553" s="6">
        <v>2605</v>
      </c>
      <c r="M2553" s="125">
        <f t="shared" si="57"/>
        <v>18.5</v>
      </c>
      <c r="N2553" s="18"/>
      <c r="O2553" s="135"/>
      <c r="P2553" s="175">
        <v>20750</v>
      </c>
      <c r="Q2553" s="25">
        <v>0.13869999999999999</v>
      </c>
      <c r="U2553" s="384">
        <v>0.1</v>
      </c>
      <c r="W2553" s="285">
        <f t="shared" si="58"/>
        <v>3165.8274999999999</v>
      </c>
    </row>
    <row r="2554" spans="1:23" ht="15" customHeight="1">
      <c r="A2554" s="3">
        <v>39476</v>
      </c>
      <c r="B2554" s="9">
        <v>10575</v>
      </c>
      <c r="C2554" s="5">
        <v>16775</v>
      </c>
      <c r="D2554" s="5" t="e">
        <f>E2554-(#REF!+C2554)</f>
        <v>#REF!</v>
      </c>
      <c r="E2554" s="5">
        <v>48900</v>
      </c>
      <c r="K2554" s="22">
        <v>2730</v>
      </c>
      <c r="L2554" s="6">
        <v>2740</v>
      </c>
      <c r="M2554" s="125">
        <f t="shared" si="57"/>
        <v>10</v>
      </c>
      <c r="N2554" s="18"/>
      <c r="O2554" s="135"/>
      <c r="P2554" s="175">
        <v>20950</v>
      </c>
      <c r="Q2554" s="25">
        <v>0.13900000000000001</v>
      </c>
      <c r="U2554" s="384">
        <v>0.1</v>
      </c>
      <c r="W2554" s="285">
        <f t="shared" si="58"/>
        <v>3203.2550000000006</v>
      </c>
    </row>
    <row r="2555" spans="1:23" ht="15" customHeight="1">
      <c r="A2555" s="3">
        <v>39477</v>
      </c>
      <c r="B2555" s="9">
        <v>10925</v>
      </c>
      <c r="C2555" s="5">
        <v>16575</v>
      </c>
      <c r="D2555" s="5" t="e">
        <f>E2555-(#REF!+C2555)</f>
        <v>#REF!</v>
      </c>
      <c r="E2555" s="5">
        <v>49100</v>
      </c>
      <c r="K2555" s="22">
        <v>2741</v>
      </c>
      <c r="L2555" s="6">
        <v>2755</v>
      </c>
      <c r="M2555" s="125">
        <f t="shared" si="57"/>
        <v>14</v>
      </c>
      <c r="N2555" s="18"/>
      <c r="O2555" s="135"/>
      <c r="P2555" s="175">
        <v>21200</v>
      </c>
      <c r="Q2555" s="25">
        <v>0.13900000000000001</v>
      </c>
      <c r="U2555" s="384">
        <v>0.1</v>
      </c>
      <c r="W2555" s="285">
        <f t="shared" si="58"/>
        <v>3241.4800000000005</v>
      </c>
    </row>
    <row r="2556" spans="1:23" ht="15" customHeight="1" thickBot="1">
      <c r="A2556" s="11">
        <v>39478</v>
      </c>
      <c r="B2556" s="9">
        <v>10900</v>
      </c>
      <c r="C2556" s="13">
        <v>16225</v>
      </c>
      <c r="D2556" s="13" t="e">
        <f>E2556-(#REF!+C2556)</f>
        <v>#REF!</v>
      </c>
      <c r="E2556" s="13">
        <v>48700</v>
      </c>
      <c r="F2556" s="12"/>
      <c r="G2556" s="13"/>
      <c r="H2556" s="13"/>
      <c r="I2556" s="119"/>
      <c r="J2556" s="119"/>
      <c r="K2556" s="23">
        <v>2741.5</v>
      </c>
      <c r="L2556" s="14">
        <v>2751</v>
      </c>
      <c r="M2556" s="126">
        <f t="shared" si="57"/>
        <v>9.5</v>
      </c>
      <c r="N2556" s="19">
        <f>AVERAGE(K2535:K2556)</f>
        <v>2608.1363636363635</v>
      </c>
      <c r="O2556" s="136">
        <f>AVERAGE(K2535:K2556)</f>
        <v>2608.1363636363635</v>
      </c>
      <c r="P2556" s="176">
        <v>21600</v>
      </c>
      <c r="Q2556" s="27">
        <v>0.1391</v>
      </c>
      <c r="R2556" s="27"/>
      <c r="S2556" s="27"/>
      <c r="T2556" s="27"/>
      <c r="U2556" s="385">
        <v>0.1</v>
      </c>
      <c r="V2556" s="38">
        <f>AVERAGE(P2535:P2556)</f>
        <v>20002.272727272728</v>
      </c>
      <c r="W2556" s="285">
        <f t="shared" si="58"/>
        <v>3305.0160000000001</v>
      </c>
    </row>
    <row r="2557" spans="1:23" ht="15" customHeight="1">
      <c r="A2557" s="3">
        <v>39479</v>
      </c>
      <c r="B2557" s="9">
        <v>10900</v>
      </c>
      <c r="C2557" s="5">
        <v>16100</v>
      </c>
      <c r="D2557" s="5" t="e">
        <f>E2557-(#REF!+C2557)</f>
        <v>#REF!</v>
      </c>
      <c r="E2557" s="5">
        <v>48525</v>
      </c>
      <c r="K2557" s="22">
        <v>2845</v>
      </c>
      <c r="L2557" s="6">
        <v>2855</v>
      </c>
      <c r="M2557" s="125">
        <f t="shared" si="57"/>
        <v>10</v>
      </c>
      <c r="N2557" s="20"/>
      <c r="O2557" s="138"/>
      <c r="P2557" s="178">
        <v>21900</v>
      </c>
      <c r="Q2557" s="34">
        <v>0.13919999999999999</v>
      </c>
      <c r="U2557" s="384">
        <v>0.1</v>
      </c>
      <c r="W2557" s="285">
        <f t="shared" si="58"/>
        <v>3353.328</v>
      </c>
    </row>
    <row r="2558" spans="1:23" ht="15" customHeight="1">
      <c r="A2558" s="3">
        <v>39482</v>
      </c>
      <c r="B2558" s="9">
        <v>10900</v>
      </c>
      <c r="C2558" s="5">
        <v>16275</v>
      </c>
      <c r="D2558" s="5" t="e">
        <f>E2558-(#REF!+C2558)</f>
        <v>#REF!</v>
      </c>
      <c r="E2558" s="5">
        <v>48700</v>
      </c>
      <c r="K2558" s="22">
        <v>2865</v>
      </c>
      <c r="L2558" s="6">
        <v>2851</v>
      </c>
      <c r="M2558" s="125">
        <f t="shared" si="57"/>
        <v>-14</v>
      </c>
      <c r="N2558" s="18"/>
      <c r="O2558" s="135"/>
      <c r="P2558" s="175">
        <v>22200</v>
      </c>
      <c r="Q2558" s="25">
        <v>0.13919999999999999</v>
      </c>
      <c r="U2558" s="384">
        <v>0.1</v>
      </c>
      <c r="W2558" s="285">
        <f t="shared" si="58"/>
        <v>3399.2640000000001</v>
      </c>
    </row>
    <row r="2559" spans="1:23" ht="15" customHeight="1">
      <c r="A2559" s="3">
        <v>39483</v>
      </c>
      <c r="B2559" s="9">
        <v>11200</v>
      </c>
      <c r="C2559" s="5">
        <v>16350</v>
      </c>
      <c r="D2559" s="5" t="e">
        <f>E2559-(#REF!+C2559)</f>
        <v>#REF!</v>
      </c>
      <c r="E2559" s="5">
        <v>49075</v>
      </c>
      <c r="K2559" s="22">
        <v>2770</v>
      </c>
      <c r="L2559" s="6">
        <v>2770</v>
      </c>
      <c r="M2559" s="125">
        <f t="shared" si="57"/>
        <v>0</v>
      </c>
      <c r="N2559" s="18"/>
      <c r="O2559" s="135"/>
      <c r="P2559" s="189"/>
      <c r="Q2559" s="1363" t="s">
        <v>23</v>
      </c>
      <c r="R2559" s="1363"/>
      <c r="S2559" s="1363"/>
      <c r="T2559" s="1363"/>
      <c r="U2559" s="1363"/>
      <c r="V2559" s="189"/>
      <c r="W2559" s="285" t="e">
        <f t="shared" si="58"/>
        <v>#VALUE!</v>
      </c>
    </row>
    <row r="2560" spans="1:23" ht="15" customHeight="1">
      <c r="A2560" s="3">
        <v>39484</v>
      </c>
      <c r="B2560" s="9">
        <v>11200</v>
      </c>
      <c r="C2560" s="5">
        <v>16275</v>
      </c>
      <c r="D2560" s="5" t="e">
        <f>E2560-(#REF!+C2560)</f>
        <v>#REF!</v>
      </c>
      <c r="E2560" s="5">
        <v>49000</v>
      </c>
      <c r="K2560" s="22">
        <v>2800</v>
      </c>
      <c r="L2560" s="6">
        <v>2796</v>
      </c>
      <c r="M2560" s="125">
        <f t="shared" si="57"/>
        <v>-4</v>
      </c>
      <c r="N2560" s="18"/>
      <c r="O2560" s="135"/>
      <c r="P2560" s="189"/>
      <c r="Q2560" s="1363"/>
      <c r="R2560" s="1363"/>
      <c r="S2560" s="1363"/>
      <c r="T2560" s="1363"/>
      <c r="U2560" s="1363"/>
      <c r="V2560" s="189"/>
      <c r="W2560" s="285">
        <f t="shared" si="58"/>
        <v>0</v>
      </c>
    </row>
    <row r="2561" spans="1:23" ht="15" customHeight="1">
      <c r="A2561" s="3">
        <v>39485</v>
      </c>
      <c r="B2561" s="9">
        <v>11200</v>
      </c>
      <c r="C2561" s="5">
        <v>16275</v>
      </c>
      <c r="D2561" s="5" t="e">
        <f>E2561-(#REF!+C2561)</f>
        <v>#REF!</v>
      </c>
      <c r="E2561" s="5">
        <v>49000</v>
      </c>
      <c r="K2561" s="22">
        <v>2786</v>
      </c>
      <c r="L2561" s="6">
        <v>2775.5</v>
      </c>
      <c r="M2561" s="125">
        <f t="shared" si="57"/>
        <v>-10.5</v>
      </c>
      <c r="N2561" s="18"/>
      <c r="O2561" s="135"/>
      <c r="P2561" s="189"/>
      <c r="Q2561" s="1363"/>
      <c r="R2561" s="1363"/>
      <c r="S2561" s="1363"/>
      <c r="T2561" s="1363"/>
      <c r="U2561" s="1363"/>
      <c r="V2561" s="189"/>
      <c r="W2561" s="285">
        <f t="shared" si="58"/>
        <v>0</v>
      </c>
    </row>
    <row r="2562" spans="1:23" ht="15" customHeight="1">
      <c r="A2562" s="3">
        <v>39486</v>
      </c>
      <c r="B2562" s="9">
        <v>11200</v>
      </c>
      <c r="C2562" s="5">
        <v>16275</v>
      </c>
      <c r="D2562" s="5" t="e">
        <f>E2562-(#REF!+C2562)</f>
        <v>#REF!</v>
      </c>
      <c r="E2562" s="5">
        <v>49000</v>
      </c>
      <c r="K2562" s="22">
        <v>2880</v>
      </c>
      <c r="L2562" s="6">
        <v>2885</v>
      </c>
      <c r="M2562" s="125">
        <f t="shared" si="57"/>
        <v>5</v>
      </c>
      <c r="N2562" s="18"/>
      <c r="O2562" s="135"/>
      <c r="P2562" s="189"/>
      <c r="Q2562" s="1363"/>
      <c r="R2562" s="1363"/>
      <c r="S2562" s="1363"/>
      <c r="T2562" s="1363"/>
      <c r="U2562" s="1363"/>
      <c r="V2562" s="189"/>
      <c r="W2562" s="285">
        <f t="shared" si="58"/>
        <v>0</v>
      </c>
    </row>
    <row r="2563" spans="1:23" ht="15" customHeight="1">
      <c r="A2563" s="3">
        <v>39489</v>
      </c>
      <c r="B2563" s="9">
        <v>11200</v>
      </c>
      <c r="C2563" s="5">
        <v>16225</v>
      </c>
      <c r="D2563" s="5" t="e">
        <f>E2563-(#REF!+C2563)</f>
        <v>#REF!</v>
      </c>
      <c r="E2563" s="5">
        <v>49050</v>
      </c>
      <c r="K2563" s="22">
        <v>3012</v>
      </c>
      <c r="L2563" s="6">
        <v>3005</v>
      </c>
      <c r="M2563" s="125">
        <f t="shared" si="57"/>
        <v>-7</v>
      </c>
      <c r="N2563" s="18"/>
      <c r="O2563" s="135"/>
      <c r="P2563" s="189"/>
      <c r="Q2563" s="1363"/>
      <c r="R2563" s="1363"/>
      <c r="S2563" s="1363"/>
      <c r="T2563" s="1363"/>
      <c r="U2563" s="1363"/>
      <c r="V2563" s="189"/>
      <c r="W2563" s="285">
        <f t="shared" si="58"/>
        <v>0</v>
      </c>
    </row>
    <row r="2564" spans="1:23" ht="15" customHeight="1">
      <c r="A2564" s="3">
        <v>39490</v>
      </c>
      <c r="B2564" s="9">
        <v>10975</v>
      </c>
      <c r="C2564" s="5">
        <v>16050</v>
      </c>
      <c r="D2564" s="5" t="e">
        <f>E2564-(#REF!+C2564)</f>
        <v>#REF!</v>
      </c>
      <c r="E2564" s="5">
        <v>48650</v>
      </c>
      <c r="K2564" s="22">
        <v>3032</v>
      </c>
      <c r="L2564" s="6">
        <v>3021.5</v>
      </c>
      <c r="M2564" s="125">
        <f t="shared" si="57"/>
        <v>-10.5</v>
      </c>
      <c r="N2564" s="18"/>
      <c r="O2564" s="135"/>
      <c r="P2564" s="189"/>
      <c r="Q2564" s="1363"/>
      <c r="R2564" s="1363"/>
      <c r="S2564" s="1363"/>
      <c r="T2564" s="1363"/>
      <c r="U2564" s="1363"/>
      <c r="V2564" s="189"/>
      <c r="W2564" s="285">
        <f t="shared" si="58"/>
        <v>0</v>
      </c>
    </row>
    <row r="2565" spans="1:23" ht="15" customHeight="1">
      <c r="A2565" s="3">
        <v>39491</v>
      </c>
      <c r="B2565" s="9">
        <v>10475</v>
      </c>
      <c r="C2565" s="5">
        <v>15625</v>
      </c>
      <c r="D2565" s="5" t="e">
        <f>E2565-(#REF!+C2565)</f>
        <v>#REF!</v>
      </c>
      <c r="E2565" s="5">
        <v>47800</v>
      </c>
      <c r="K2565" s="22">
        <v>3020</v>
      </c>
      <c r="L2565" s="6">
        <v>3020</v>
      </c>
      <c r="M2565" s="125">
        <f t="shared" si="57"/>
        <v>0</v>
      </c>
      <c r="N2565" s="18"/>
      <c r="O2565" s="135"/>
      <c r="P2565" s="175">
        <v>22900</v>
      </c>
      <c r="Q2565" s="25">
        <v>0.1391</v>
      </c>
      <c r="U2565" s="384">
        <v>0.1</v>
      </c>
      <c r="W2565" s="285">
        <f t="shared" si="58"/>
        <v>3503.9290000000001</v>
      </c>
    </row>
    <row r="2566" spans="1:23" ht="15" customHeight="1">
      <c r="A2566" s="3">
        <v>39492</v>
      </c>
      <c r="B2566" s="9">
        <v>10450</v>
      </c>
      <c r="C2566" s="5">
        <v>15375</v>
      </c>
      <c r="D2566" s="5" t="e">
        <f>E2566-(#REF!+C2566)</f>
        <v>#REF!</v>
      </c>
      <c r="E2566" s="5">
        <v>47675</v>
      </c>
      <c r="K2566" s="22">
        <v>3071</v>
      </c>
      <c r="L2566" s="6">
        <v>3061</v>
      </c>
      <c r="M2566" s="125">
        <f t="shared" si="57"/>
        <v>-10</v>
      </c>
      <c r="N2566" s="18"/>
      <c r="O2566" s="135"/>
      <c r="P2566" s="175">
        <v>23100</v>
      </c>
      <c r="Q2566" s="25">
        <v>0.1389</v>
      </c>
      <c r="U2566" s="384">
        <v>0.1</v>
      </c>
      <c r="W2566" s="285">
        <f t="shared" si="58"/>
        <v>3529.4490000000001</v>
      </c>
    </row>
    <row r="2567" spans="1:23" ht="15" customHeight="1">
      <c r="A2567" s="3">
        <v>39493</v>
      </c>
      <c r="B2567" s="9">
        <v>9950</v>
      </c>
      <c r="C2567" s="5">
        <v>15250</v>
      </c>
      <c r="D2567" s="5" t="e">
        <f>E2567-(#REF!+C2567)</f>
        <v>#REF!</v>
      </c>
      <c r="E2567" s="5">
        <v>47125</v>
      </c>
      <c r="K2567" s="22">
        <v>3045</v>
      </c>
      <c r="L2567" s="6">
        <v>3032</v>
      </c>
      <c r="M2567" s="125">
        <f t="shared" si="57"/>
        <v>-13</v>
      </c>
      <c r="N2567" s="18"/>
      <c r="O2567" s="135"/>
      <c r="P2567" s="175">
        <v>23000</v>
      </c>
      <c r="Q2567" s="25">
        <v>0.1391</v>
      </c>
      <c r="U2567" s="384">
        <v>0.1</v>
      </c>
      <c r="W2567" s="285">
        <f t="shared" si="58"/>
        <v>3519.2300000000005</v>
      </c>
    </row>
    <row r="2568" spans="1:23" ht="15" customHeight="1">
      <c r="A2568" s="3">
        <v>39496</v>
      </c>
      <c r="B2568" s="9">
        <v>9950</v>
      </c>
      <c r="C2568" s="5">
        <v>14925</v>
      </c>
      <c r="D2568" s="5" t="e">
        <f>E2568-(#REF!+C2568)</f>
        <v>#REF!</v>
      </c>
      <c r="E2568" s="5">
        <v>46850</v>
      </c>
      <c r="K2568" s="22">
        <v>3020</v>
      </c>
      <c r="L2568" s="6">
        <v>3010.5</v>
      </c>
      <c r="M2568" s="125">
        <f t="shared" si="57"/>
        <v>-9.5</v>
      </c>
      <c r="N2568" s="18"/>
      <c r="O2568" s="135"/>
      <c r="P2568" s="175">
        <v>22900</v>
      </c>
      <c r="Q2568" s="25">
        <v>0.13930000000000001</v>
      </c>
      <c r="U2568" s="384">
        <v>0.1</v>
      </c>
      <c r="W2568" s="285">
        <f t="shared" si="58"/>
        <v>3508.9670000000006</v>
      </c>
    </row>
    <row r="2569" spans="1:23" ht="15" customHeight="1">
      <c r="A2569" s="3">
        <v>39497</v>
      </c>
      <c r="B2569" s="9">
        <v>9625</v>
      </c>
      <c r="C2569" s="5">
        <v>14650</v>
      </c>
      <c r="D2569" s="5" t="e">
        <f>E2569-(#REF!+C2569)</f>
        <v>#REF!</v>
      </c>
      <c r="E2569" s="5">
        <v>46325</v>
      </c>
      <c r="K2569" s="22">
        <v>3110</v>
      </c>
      <c r="L2569" s="6">
        <v>3091</v>
      </c>
      <c r="M2569" s="125">
        <f t="shared" si="57"/>
        <v>-19</v>
      </c>
      <c r="N2569" s="18"/>
      <c r="O2569" s="135"/>
      <c r="P2569" s="175">
        <v>22900</v>
      </c>
      <c r="Q2569" s="25">
        <v>0.1396</v>
      </c>
      <c r="U2569" s="384">
        <v>0.1</v>
      </c>
      <c r="W2569" s="285">
        <f t="shared" si="58"/>
        <v>3516.5240000000003</v>
      </c>
    </row>
    <row r="2570" spans="1:23" ht="15" customHeight="1">
      <c r="A2570" s="3">
        <v>39498</v>
      </c>
      <c r="B2570" s="9">
        <v>9625</v>
      </c>
      <c r="C2570" s="5">
        <v>14650</v>
      </c>
      <c r="D2570" s="5" t="e">
        <f>E2570-(#REF!+C2570)</f>
        <v>#REF!</v>
      </c>
      <c r="E2570" s="5">
        <v>46375</v>
      </c>
      <c r="K2570" s="22">
        <v>3170</v>
      </c>
      <c r="L2570" s="6">
        <v>3141</v>
      </c>
      <c r="M2570" s="125">
        <f t="shared" si="57"/>
        <v>-29</v>
      </c>
      <c r="N2570" s="18"/>
      <c r="O2570" s="135"/>
      <c r="P2570" s="175">
        <v>22700</v>
      </c>
      <c r="Q2570" s="25">
        <v>0.1399</v>
      </c>
      <c r="U2570" s="384">
        <v>0.1</v>
      </c>
      <c r="W2570" s="285">
        <f t="shared" si="58"/>
        <v>3493.3030000000003</v>
      </c>
    </row>
    <row r="2571" spans="1:23" ht="15" customHeight="1">
      <c r="A2571" s="3">
        <v>39499</v>
      </c>
      <c r="B2571" s="9">
        <v>9075</v>
      </c>
      <c r="C2571" s="5">
        <v>14450</v>
      </c>
      <c r="D2571" s="5" t="e">
        <f>E2571-(#REF!+C2571)</f>
        <v>#REF!</v>
      </c>
      <c r="E2571" s="5">
        <v>45825</v>
      </c>
      <c r="K2571" s="22">
        <v>3315</v>
      </c>
      <c r="L2571" s="6">
        <v>3286</v>
      </c>
      <c r="M2571" s="125">
        <f t="shared" si="57"/>
        <v>-29</v>
      </c>
      <c r="N2571" s="18"/>
      <c r="O2571" s="135"/>
      <c r="P2571" s="175">
        <v>22800</v>
      </c>
      <c r="Q2571" s="25">
        <v>0.14000000000000001</v>
      </c>
      <c r="U2571" s="384">
        <v>0.1</v>
      </c>
      <c r="W2571" s="285">
        <f t="shared" si="58"/>
        <v>3511.2000000000007</v>
      </c>
    </row>
    <row r="2572" spans="1:23" ht="15" customHeight="1">
      <c r="A2572" s="3">
        <v>39500</v>
      </c>
      <c r="B2572" s="9">
        <v>7975</v>
      </c>
      <c r="C2572" s="5">
        <v>14450</v>
      </c>
      <c r="D2572" s="5" t="e">
        <f>E2572-(#REF!+C2572)</f>
        <v>#REF!</v>
      </c>
      <c r="E2572" s="5">
        <v>44875</v>
      </c>
      <c r="K2572" s="22">
        <v>3284</v>
      </c>
      <c r="L2572" s="6">
        <v>3265</v>
      </c>
      <c r="M2572" s="125">
        <f t="shared" si="57"/>
        <v>-19</v>
      </c>
      <c r="N2572" s="18"/>
      <c r="O2572" s="135"/>
      <c r="P2572" s="175">
        <v>23000</v>
      </c>
      <c r="Q2572" s="25">
        <v>0.14000000000000001</v>
      </c>
      <c r="U2572" s="384">
        <v>0.1</v>
      </c>
      <c r="W2572" s="285">
        <f t="shared" si="58"/>
        <v>3542.0000000000009</v>
      </c>
    </row>
    <row r="2573" spans="1:23" ht="15" customHeight="1">
      <c r="A2573" s="3">
        <v>39503</v>
      </c>
      <c r="B2573" s="9">
        <v>7825</v>
      </c>
      <c r="C2573" s="5">
        <v>14625</v>
      </c>
      <c r="D2573" s="5" t="e">
        <f>E2573-(#REF!+C2573)</f>
        <v>#REF!</v>
      </c>
      <c r="E2573" s="5">
        <v>44950</v>
      </c>
      <c r="K2573" s="22">
        <v>3266</v>
      </c>
      <c r="L2573" s="6">
        <v>3260</v>
      </c>
      <c r="M2573" s="125">
        <f t="shared" si="57"/>
        <v>-6</v>
      </c>
      <c r="N2573" s="18"/>
      <c r="O2573" s="135"/>
      <c r="P2573" s="175">
        <v>23000</v>
      </c>
      <c r="Q2573" s="25">
        <v>0.14000000000000001</v>
      </c>
      <c r="U2573" s="384">
        <v>0.1</v>
      </c>
      <c r="W2573" s="285">
        <f t="shared" si="58"/>
        <v>3542.0000000000009</v>
      </c>
    </row>
    <row r="2574" spans="1:23" ht="15" customHeight="1">
      <c r="A2574" s="3">
        <v>39504</v>
      </c>
      <c r="B2574" s="9">
        <v>7825</v>
      </c>
      <c r="C2574" s="5">
        <v>14875</v>
      </c>
      <c r="D2574" s="5" t="e">
        <f>E2574-(#REF!+C2574)</f>
        <v>#REF!</v>
      </c>
      <c r="E2574" s="5">
        <v>45200</v>
      </c>
      <c r="K2574" s="22">
        <v>3253.5</v>
      </c>
      <c r="L2574" s="6">
        <v>3241</v>
      </c>
      <c r="M2574" s="125">
        <f t="shared" si="57"/>
        <v>-12.5</v>
      </c>
      <c r="N2574" s="18"/>
      <c r="O2574" s="135"/>
      <c r="P2574" s="175">
        <v>22950</v>
      </c>
      <c r="Q2574" s="25">
        <v>0.13980000000000001</v>
      </c>
      <c r="U2574" s="384">
        <v>0.1</v>
      </c>
      <c r="W2574" s="285">
        <f t="shared" si="58"/>
        <v>3529.2510000000007</v>
      </c>
    </row>
    <row r="2575" spans="1:23" ht="15" customHeight="1">
      <c r="A2575" s="3">
        <v>39505</v>
      </c>
      <c r="B2575" s="9">
        <v>7825</v>
      </c>
      <c r="C2575" s="5">
        <v>14900</v>
      </c>
      <c r="D2575" s="5" t="e">
        <f>E2575-(#REF!+C2575)</f>
        <v>#REF!</v>
      </c>
      <c r="E2575" s="5">
        <v>45375</v>
      </c>
      <c r="K2575" s="22">
        <v>3400</v>
      </c>
      <c r="L2575" s="6">
        <v>3379</v>
      </c>
      <c r="M2575" s="125">
        <f t="shared" si="57"/>
        <v>-21</v>
      </c>
      <c r="N2575" s="18"/>
      <c r="O2575" s="135"/>
      <c r="P2575" s="175">
        <v>22850</v>
      </c>
      <c r="Q2575" s="25">
        <v>0.13969999999999999</v>
      </c>
      <c r="U2575" s="384">
        <v>0.1</v>
      </c>
      <c r="W2575" s="285">
        <f t="shared" si="58"/>
        <v>3511.3595000000005</v>
      </c>
    </row>
    <row r="2576" spans="1:23" ht="15" customHeight="1">
      <c r="A2576" s="3">
        <v>39506</v>
      </c>
      <c r="B2576" s="9">
        <v>7825</v>
      </c>
      <c r="C2576" s="5">
        <v>14925</v>
      </c>
      <c r="D2576" s="5" t="e">
        <f>E2576-(#REF!+C2576)</f>
        <v>#REF!</v>
      </c>
      <c r="E2576" s="5">
        <v>45600</v>
      </c>
      <c r="K2576" s="22">
        <v>3339</v>
      </c>
      <c r="L2576" s="6">
        <v>3325</v>
      </c>
      <c r="M2576" s="125">
        <f t="shared" si="57"/>
        <v>-14</v>
      </c>
      <c r="N2576" s="18"/>
      <c r="O2576" s="135"/>
      <c r="P2576" s="175">
        <v>22950</v>
      </c>
      <c r="Q2576" s="25">
        <v>0.14000000000000001</v>
      </c>
      <c r="U2576" s="384">
        <v>0.1</v>
      </c>
      <c r="W2576" s="285">
        <f t="shared" si="58"/>
        <v>3534.3000000000006</v>
      </c>
    </row>
    <row r="2577" spans="1:23" ht="15" customHeight="1" thickBot="1">
      <c r="A2577" s="11">
        <v>39507</v>
      </c>
      <c r="B2577" s="9">
        <v>7825</v>
      </c>
      <c r="C2577" s="13">
        <v>14925</v>
      </c>
      <c r="D2577" s="13" t="e">
        <f>E2577-(#REF!+C2577)</f>
        <v>#REF!</v>
      </c>
      <c r="E2577" s="13">
        <v>45750</v>
      </c>
      <c r="F2577" s="12"/>
      <c r="G2577" s="13"/>
      <c r="H2577" s="13"/>
      <c r="I2577" s="119"/>
      <c r="J2577" s="119"/>
      <c r="K2577" s="23">
        <v>3394</v>
      </c>
      <c r="L2577" s="14">
        <v>3381</v>
      </c>
      <c r="M2577" s="126">
        <f t="shared" si="57"/>
        <v>-13</v>
      </c>
      <c r="N2577" s="19">
        <f>AVERAGE(K2557:K2577)</f>
        <v>3079.8809523809523</v>
      </c>
      <c r="O2577" s="136">
        <f>AVERAGE(K2535:K2577)</f>
        <v>2838.5232558139537</v>
      </c>
      <c r="P2577" s="176">
        <v>22950</v>
      </c>
      <c r="Q2577" s="27">
        <v>0.1406</v>
      </c>
      <c r="R2577" s="27"/>
      <c r="S2577" s="27"/>
      <c r="T2577" s="27"/>
      <c r="U2577" s="385">
        <v>0.1</v>
      </c>
      <c r="V2577" s="38">
        <f>AVERAGE(P2557:P2577)</f>
        <v>22806.666666666668</v>
      </c>
      <c r="W2577" s="285">
        <f t="shared" si="58"/>
        <v>3549.4470000000001</v>
      </c>
    </row>
    <row r="2578" spans="1:23" ht="15" customHeight="1">
      <c r="A2578" s="3">
        <v>39510</v>
      </c>
      <c r="B2578" s="9">
        <v>7825</v>
      </c>
      <c r="C2578" s="31">
        <v>15000</v>
      </c>
      <c r="D2578" s="31" t="e">
        <f>E2578-(#REF!+C2578)</f>
        <v>#REF!</v>
      </c>
      <c r="E2578" s="31">
        <v>45825</v>
      </c>
      <c r="F2578" s="30"/>
      <c r="G2578" s="31"/>
      <c r="H2578" s="31"/>
      <c r="I2578" s="123"/>
      <c r="J2578" s="123"/>
      <c r="K2578" s="32">
        <v>3390</v>
      </c>
      <c r="L2578" s="33">
        <v>3381</v>
      </c>
      <c r="M2578" s="125">
        <f t="shared" si="57"/>
        <v>-9</v>
      </c>
      <c r="N2578" s="20"/>
      <c r="O2578" s="138"/>
      <c r="P2578" s="175">
        <v>22800</v>
      </c>
      <c r="Q2578" s="25">
        <v>0.1406</v>
      </c>
      <c r="U2578" s="384">
        <v>0.1</v>
      </c>
      <c r="W2578" s="285">
        <f t="shared" si="58"/>
        <v>3526.248</v>
      </c>
    </row>
    <row r="2579" spans="1:23" ht="15" customHeight="1">
      <c r="A2579" s="3">
        <v>39511</v>
      </c>
      <c r="B2579" s="9">
        <v>7825</v>
      </c>
      <c r="C2579" s="5">
        <v>15250</v>
      </c>
      <c r="D2579" s="5" t="e">
        <f>E2579-(#REF!+C2579)</f>
        <v>#REF!</v>
      </c>
      <c r="E2579" s="5">
        <v>46075</v>
      </c>
      <c r="K2579" s="22">
        <v>3460</v>
      </c>
      <c r="L2579" s="6">
        <v>3461</v>
      </c>
      <c r="M2579" s="125">
        <f t="shared" si="57"/>
        <v>1</v>
      </c>
      <c r="N2579" s="18"/>
      <c r="O2579" s="135"/>
      <c r="P2579" s="175">
        <v>22800</v>
      </c>
      <c r="Q2579" s="25">
        <v>0.14607000000000001</v>
      </c>
      <c r="U2579" s="384">
        <v>0.1</v>
      </c>
      <c r="W2579" s="285">
        <f t="shared" si="58"/>
        <v>3663.4356000000007</v>
      </c>
    </row>
    <row r="2580" spans="1:23" ht="15" customHeight="1">
      <c r="A2580" s="3">
        <v>39512</v>
      </c>
      <c r="B2580" s="9">
        <v>7825</v>
      </c>
      <c r="C2580" s="5">
        <v>15250</v>
      </c>
      <c r="D2580" s="5" t="e">
        <f>E2580-(#REF!+C2580)</f>
        <v>#REF!</v>
      </c>
      <c r="E2580" s="5">
        <v>46175</v>
      </c>
      <c r="K2580" s="22">
        <v>3200</v>
      </c>
      <c r="L2580" s="6">
        <v>3195</v>
      </c>
      <c r="M2580" s="125">
        <f t="shared" si="57"/>
        <v>-5</v>
      </c>
      <c r="N2580" s="18"/>
      <c r="O2580" s="135"/>
      <c r="P2580" s="175">
        <v>22600</v>
      </c>
      <c r="Q2580" s="25">
        <v>0.13059999999999999</v>
      </c>
      <c r="U2580" s="384">
        <v>0.1</v>
      </c>
      <c r="W2580" s="285">
        <f t="shared" si="58"/>
        <v>3246.7160000000003</v>
      </c>
    </row>
    <row r="2581" spans="1:23" ht="15" customHeight="1">
      <c r="A2581" s="3">
        <v>39513</v>
      </c>
      <c r="B2581" s="9">
        <v>7800</v>
      </c>
      <c r="C2581" s="5">
        <v>15000</v>
      </c>
      <c r="D2581" s="5" t="e">
        <f>E2581-(#REF!+C2581)</f>
        <v>#REF!</v>
      </c>
      <c r="E2581" s="5">
        <v>45900</v>
      </c>
      <c r="K2581" s="22">
        <v>3380</v>
      </c>
      <c r="L2581" s="6">
        <v>3373</v>
      </c>
      <c r="M2581" s="125">
        <f t="shared" si="57"/>
        <v>-7</v>
      </c>
      <c r="N2581" s="18"/>
      <c r="O2581" s="135"/>
      <c r="P2581" s="175">
        <v>22600</v>
      </c>
      <c r="Q2581" s="25">
        <v>0.1406</v>
      </c>
      <c r="U2581" s="384">
        <v>0.1</v>
      </c>
      <c r="W2581" s="285">
        <f t="shared" si="58"/>
        <v>3495.3160000000003</v>
      </c>
    </row>
    <row r="2582" spans="1:23" ht="15" customHeight="1">
      <c r="A2582" s="3">
        <v>39514</v>
      </c>
      <c r="B2582" s="9">
        <v>7800</v>
      </c>
      <c r="C2582" s="5">
        <v>14950</v>
      </c>
      <c r="D2582" s="5" t="e">
        <f>E2582-(#REF!+C2582)</f>
        <v>#REF!</v>
      </c>
      <c r="E2582" s="5">
        <v>46050</v>
      </c>
      <c r="K2582" s="22">
        <v>3160</v>
      </c>
      <c r="L2582" s="6">
        <v>3140</v>
      </c>
      <c r="M2582" s="125">
        <f t="shared" si="57"/>
        <v>-20</v>
      </c>
      <c r="N2582" s="18"/>
      <c r="O2582" s="135"/>
      <c r="P2582" s="175">
        <v>22300</v>
      </c>
      <c r="Q2582" s="25">
        <v>0.14069999999999999</v>
      </c>
      <c r="U2582" s="384">
        <v>0.1</v>
      </c>
      <c r="W2582" s="285">
        <f t="shared" si="58"/>
        <v>3451.3710000000001</v>
      </c>
    </row>
    <row r="2583" spans="1:23" ht="15" customHeight="1">
      <c r="A2583" s="3">
        <v>39517</v>
      </c>
      <c r="B2583" s="9">
        <v>7775</v>
      </c>
      <c r="C2583" s="5">
        <v>14975</v>
      </c>
      <c r="D2583" s="5" t="e">
        <f>E2583-(#REF!+C2583)</f>
        <v>#REF!</v>
      </c>
      <c r="E2583" s="5">
        <v>46050</v>
      </c>
      <c r="K2583" s="22">
        <v>3035</v>
      </c>
      <c r="L2583" s="6">
        <v>3015</v>
      </c>
      <c r="M2583" s="125">
        <f t="shared" si="57"/>
        <v>-20</v>
      </c>
      <c r="N2583" s="18"/>
      <c r="O2583" s="135"/>
      <c r="P2583" s="175">
        <v>22000</v>
      </c>
      <c r="Q2583" s="25">
        <v>0.1406</v>
      </c>
      <c r="U2583" s="384">
        <v>0.1</v>
      </c>
      <c r="W2583" s="285">
        <f t="shared" si="58"/>
        <v>3402.5200000000004</v>
      </c>
    </row>
    <row r="2584" spans="1:23" ht="15" customHeight="1">
      <c r="A2584" s="3">
        <v>39518</v>
      </c>
      <c r="B2584" s="9">
        <v>7775</v>
      </c>
      <c r="C2584" s="5">
        <v>15075</v>
      </c>
      <c r="D2584" s="5" t="e">
        <f>E2584-(#REF!+C2584)</f>
        <v>#REF!</v>
      </c>
      <c r="E2584" s="5">
        <v>46150</v>
      </c>
      <c r="K2584" s="22">
        <v>3050</v>
      </c>
      <c r="L2584" s="6">
        <v>3050</v>
      </c>
      <c r="M2584" s="125">
        <f t="shared" si="57"/>
        <v>0</v>
      </c>
      <c r="N2584" s="18"/>
      <c r="O2584" s="135"/>
      <c r="P2584" s="175">
        <v>21700</v>
      </c>
      <c r="Q2584" s="25">
        <v>0.14069999999999999</v>
      </c>
      <c r="U2584" s="384">
        <v>0.1</v>
      </c>
      <c r="W2584" s="285">
        <f t="shared" si="58"/>
        <v>3358.509</v>
      </c>
    </row>
    <row r="2585" spans="1:23" ht="15" customHeight="1">
      <c r="A2585" s="3">
        <v>39519</v>
      </c>
      <c r="B2585" s="9">
        <v>7775</v>
      </c>
      <c r="C2585" s="5">
        <v>15075</v>
      </c>
      <c r="D2585" s="5" t="e">
        <f>E2585-(#REF!+C2585)</f>
        <v>#REF!</v>
      </c>
      <c r="E2585" s="5">
        <v>46150</v>
      </c>
      <c r="K2585" s="22">
        <v>3015</v>
      </c>
      <c r="L2585" s="6">
        <v>3001</v>
      </c>
      <c r="M2585" s="125">
        <f t="shared" si="57"/>
        <v>-14</v>
      </c>
      <c r="N2585" s="18"/>
      <c r="O2585" s="135"/>
      <c r="P2585" s="175">
        <v>21700</v>
      </c>
      <c r="Q2585" s="25">
        <v>0.1406</v>
      </c>
      <c r="U2585" s="384">
        <v>0.1</v>
      </c>
      <c r="W2585" s="285">
        <f t="shared" si="58"/>
        <v>3356.1220000000003</v>
      </c>
    </row>
    <row r="2586" spans="1:23" ht="15" customHeight="1">
      <c r="A2586" s="3">
        <v>39520</v>
      </c>
      <c r="B2586" s="9">
        <v>7750</v>
      </c>
      <c r="C2586" s="5">
        <v>15075</v>
      </c>
      <c r="D2586" s="5" t="e">
        <f>E2586-(#REF!+C2586)</f>
        <v>#REF!</v>
      </c>
      <c r="E2586" s="5">
        <v>46125</v>
      </c>
      <c r="K2586" s="22">
        <v>3142</v>
      </c>
      <c r="L2586" s="6">
        <v>3145</v>
      </c>
      <c r="M2586" s="125">
        <f t="shared" si="57"/>
        <v>3</v>
      </c>
      <c r="N2586" s="18"/>
      <c r="O2586" s="135"/>
      <c r="P2586" s="175">
        <v>21700</v>
      </c>
      <c r="Q2586" s="25">
        <v>0.14080000000000001</v>
      </c>
      <c r="U2586" s="384">
        <v>0.1</v>
      </c>
      <c r="W2586" s="285">
        <f t="shared" si="58"/>
        <v>3360.8960000000002</v>
      </c>
    </row>
    <row r="2587" spans="1:23" ht="15" customHeight="1">
      <c r="A2587" s="3">
        <v>39521</v>
      </c>
      <c r="B2587" s="9">
        <v>7750</v>
      </c>
      <c r="C2587" s="5">
        <v>15075</v>
      </c>
      <c r="D2587" s="5" t="e">
        <f>E2587-(#REF!+C2587)</f>
        <v>#REF!</v>
      </c>
      <c r="E2587" s="5">
        <v>46375</v>
      </c>
      <c r="K2587" s="22">
        <v>3111</v>
      </c>
      <c r="L2587" s="6">
        <v>3102</v>
      </c>
      <c r="M2587" s="125">
        <f t="shared" si="57"/>
        <v>-9</v>
      </c>
      <c r="N2587" s="18"/>
      <c r="O2587" s="135"/>
      <c r="P2587" s="175">
        <v>21700</v>
      </c>
      <c r="Q2587" s="25">
        <v>0.14099999999999999</v>
      </c>
      <c r="U2587" s="384">
        <v>0.1</v>
      </c>
      <c r="W2587" s="285">
        <f t="shared" si="58"/>
        <v>3365.67</v>
      </c>
    </row>
    <row r="2588" spans="1:23" ht="15" customHeight="1">
      <c r="A2588" s="3">
        <v>39524</v>
      </c>
      <c r="B2588" s="9">
        <v>7750</v>
      </c>
      <c r="C2588" s="5">
        <v>15075</v>
      </c>
      <c r="D2588" s="5" t="e">
        <f>E2588-(#REF!+C2588)</f>
        <v>#REF!</v>
      </c>
      <c r="E2588" s="5">
        <v>46575</v>
      </c>
      <c r="K2588" s="22">
        <v>2921</v>
      </c>
      <c r="L2588" s="6">
        <v>2910</v>
      </c>
      <c r="M2588" s="125">
        <f t="shared" si="57"/>
        <v>-11</v>
      </c>
      <c r="N2588" s="18"/>
      <c r="O2588" s="135"/>
      <c r="P2588" s="175">
        <v>21600</v>
      </c>
      <c r="Q2588" s="25">
        <v>0.14099999999999999</v>
      </c>
      <c r="U2588" s="384">
        <v>0.1</v>
      </c>
      <c r="W2588" s="285">
        <f t="shared" si="58"/>
        <v>3350.1600000000003</v>
      </c>
    </row>
    <row r="2589" spans="1:23" ht="15" customHeight="1">
      <c r="A2589" s="3">
        <v>39525</v>
      </c>
      <c r="B2589" s="9">
        <v>7750</v>
      </c>
      <c r="C2589" s="5">
        <v>15050</v>
      </c>
      <c r="D2589" s="5" t="e">
        <f>E2589-(#REF!+C2589)</f>
        <v>#REF!</v>
      </c>
      <c r="E2589" s="5">
        <v>46650</v>
      </c>
      <c r="K2589" s="22">
        <v>2871</v>
      </c>
      <c r="L2589" s="6">
        <v>2862</v>
      </c>
      <c r="M2589" s="125">
        <f t="shared" si="57"/>
        <v>-9</v>
      </c>
      <c r="N2589" s="18"/>
      <c r="O2589" s="135"/>
      <c r="P2589" s="175">
        <v>21300</v>
      </c>
      <c r="Q2589" s="25">
        <v>0.14119999999999999</v>
      </c>
      <c r="U2589" s="384">
        <v>0.1</v>
      </c>
      <c r="W2589" s="285">
        <f t="shared" si="58"/>
        <v>3308.3160000000003</v>
      </c>
    </row>
    <row r="2590" spans="1:23" ht="15" customHeight="1">
      <c r="A2590" s="3">
        <v>39526</v>
      </c>
      <c r="B2590" s="9">
        <v>7750</v>
      </c>
      <c r="C2590" s="5">
        <v>15100</v>
      </c>
      <c r="D2590" s="5" t="e">
        <f>E2590-(#REF!+C2590)</f>
        <v>#REF!</v>
      </c>
      <c r="E2590" s="5">
        <v>46700</v>
      </c>
      <c r="K2590" s="22">
        <v>2820</v>
      </c>
      <c r="L2590" s="6">
        <v>2828</v>
      </c>
      <c r="M2590" s="125">
        <f t="shared" si="57"/>
        <v>8</v>
      </c>
      <c r="N2590" s="18"/>
      <c r="O2590" s="135"/>
      <c r="P2590" s="175">
        <v>21200</v>
      </c>
      <c r="Q2590" s="25">
        <v>0.14119999999999999</v>
      </c>
      <c r="U2590" s="384">
        <v>0.1</v>
      </c>
      <c r="W2590" s="285">
        <f t="shared" si="58"/>
        <v>3292.7840000000001</v>
      </c>
    </row>
    <row r="2591" spans="1:23" ht="15" customHeight="1">
      <c r="A2591" s="3">
        <v>39527</v>
      </c>
      <c r="B2591" s="9">
        <v>7750</v>
      </c>
      <c r="C2591" s="5">
        <v>15125</v>
      </c>
      <c r="D2591" s="5" t="e">
        <f>E2591-(#REF!+C2591)</f>
        <v>#REF!</v>
      </c>
      <c r="E2591" s="5">
        <v>46725</v>
      </c>
      <c r="K2591" s="22">
        <v>2650</v>
      </c>
      <c r="L2591" s="6">
        <v>2664</v>
      </c>
      <c r="M2591" s="125">
        <f t="shared" si="57"/>
        <v>14</v>
      </c>
      <c r="N2591" s="18"/>
      <c r="O2591" s="135"/>
      <c r="P2591" s="175">
        <v>21100</v>
      </c>
      <c r="Q2591" s="25">
        <v>0.14149999999999999</v>
      </c>
      <c r="U2591" s="384">
        <v>0.1</v>
      </c>
      <c r="W2591" s="285">
        <f t="shared" si="58"/>
        <v>3284.2149999999997</v>
      </c>
    </row>
    <row r="2592" spans="1:23" ht="15" customHeight="1">
      <c r="A2592" s="3">
        <v>39528</v>
      </c>
      <c r="B2592" s="9">
        <v>0</v>
      </c>
      <c r="C2592" s="24"/>
      <c r="D2592" s="24"/>
      <c r="E2592" s="24"/>
      <c r="F2592" s="1333" t="s">
        <v>27</v>
      </c>
      <c r="G2592" s="1333"/>
      <c r="H2592" s="1333"/>
      <c r="I2592" s="1333"/>
      <c r="J2592" s="65"/>
      <c r="K2592" s="24"/>
      <c r="L2592" s="24"/>
      <c r="M2592" s="24"/>
      <c r="N2592" s="24"/>
      <c r="O2592" s="194"/>
      <c r="P2592" s="175">
        <v>21000</v>
      </c>
      <c r="Q2592" s="25">
        <v>0.14180000000000001</v>
      </c>
      <c r="U2592" s="384">
        <v>0.1</v>
      </c>
      <c r="W2592" s="285">
        <f t="shared" si="58"/>
        <v>3275.5800000000004</v>
      </c>
    </row>
    <row r="2593" spans="1:23" ht="15" customHeight="1">
      <c r="A2593" s="3">
        <v>39531</v>
      </c>
      <c r="B2593" s="9">
        <v>0</v>
      </c>
      <c r="C2593" s="24"/>
      <c r="D2593" s="24"/>
      <c r="E2593" s="24"/>
      <c r="F2593" s="1333"/>
      <c r="G2593" s="1333"/>
      <c r="H2593" s="1333"/>
      <c r="I2593" s="1333"/>
      <c r="J2593" s="65"/>
      <c r="K2593" s="24"/>
      <c r="L2593" s="24"/>
      <c r="M2593" s="24"/>
      <c r="N2593" s="24"/>
      <c r="O2593" s="194"/>
      <c r="P2593" s="175">
        <v>21000</v>
      </c>
      <c r="Q2593" s="25">
        <v>0.14180000000000001</v>
      </c>
      <c r="U2593" s="384">
        <v>0.1</v>
      </c>
      <c r="W2593" s="285">
        <f t="shared" si="58"/>
        <v>3275.5800000000004</v>
      </c>
    </row>
    <row r="2594" spans="1:23" ht="15" customHeight="1">
      <c r="A2594" s="3">
        <v>39532</v>
      </c>
      <c r="B2594" s="9">
        <v>7750</v>
      </c>
      <c r="C2594" s="5">
        <v>15350</v>
      </c>
      <c r="D2594" s="5" t="e">
        <f>E2594-(#REF!+C2594)</f>
        <v>#REF!</v>
      </c>
      <c r="E2594" s="5">
        <v>46950</v>
      </c>
      <c r="K2594" s="22">
        <v>2815</v>
      </c>
      <c r="L2594" s="6">
        <v>2810</v>
      </c>
      <c r="M2594" s="125">
        <f t="shared" ref="M2594:M2657" si="59">L2594-K2594</f>
        <v>-5</v>
      </c>
      <c r="N2594" s="18"/>
      <c r="O2594" s="135"/>
      <c r="P2594" s="175">
        <v>21000</v>
      </c>
      <c r="Q2594" s="25">
        <v>0.14169999999999999</v>
      </c>
      <c r="U2594" s="384">
        <v>0.1</v>
      </c>
      <c r="W2594" s="285">
        <f t="shared" si="58"/>
        <v>3273.27</v>
      </c>
    </row>
    <row r="2595" spans="1:23" ht="15" customHeight="1">
      <c r="A2595" s="3">
        <v>39533</v>
      </c>
      <c r="B2595" s="9">
        <v>7525</v>
      </c>
      <c r="C2595" s="5">
        <v>15825</v>
      </c>
      <c r="D2595" s="5" t="e">
        <f>E2595-(#REF!+C2595)</f>
        <v>#REF!</v>
      </c>
      <c r="E2595" s="5">
        <v>47200</v>
      </c>
      <c r="K2595" s="22">
        <v>2725</v>
      </c>
      <c r="L2595" s="6">
        <v>2770</v>
      </c>
      <c r="M2595" s="125">
        <f t="shared" si="59"/>
        <v>45</v>
      </c>
      <c r="N2595" s="18"/>
      <c r="O2595" s="135"/>
      <c r="P2595" s="175">
        <v>21100</v>
      </c>
      <c r="Q2595" s="25">
        <v>0.14180000000000001</v>
      </c>
      <c r="U2595" s="384">
        <v>0.1</v>
      </c>
      <c r="W2595" s="285">
        <f t="shared" si="58"/>
        <v>3291.1780000000003</v>
      </c>
    </row>
    <row r="2596" spans="1:23" ht="15" customHeight="1">
      <c r="A2596" s="3">
        <v>39534</v>
      </c>
      <c r="B2596" s="9">
        <v>7500</v>
      </c>
      <c r="C2596" s="5">
        <v>16175</v>
      </c>
      <c r="D2596" s="5" t="e">
        <f>E2596-(#REF!+C2596)</f>
        <v>#REF!</v>
      </c>
      <c r="E2596" s="5">
        <v>47775</v>
      </c>
      <c r="K2596" s="22">
        <v>2752.5</v>
      </c>
      <c r="L2596" s="6">
        <v>2761</v>
      </c>
      <c r="M2596" s="125">
        <f t="shared" si="59"/>
        <v>8.5</v>
      </c>
      <c r="N2596" s="18"/>
      <c r="O2596" s="135"/>
      <c r="P2596" s="175">
        <v>21100</v>
      </c>
      <c r="Q2596" s="25">
        <v>0.14230000000000001</v>
      </c>
      <c r="U2596" s="384">
        <v>0.1</v>
      </c>
      <c r="W2596" s="285">
        <f t="shared" si="58"/>
        <v>3302.7830000000004</v>
      </c>
    </row>
    <row r="2597" spans="1:23" ht="15" customHeight="1">
      <c r="A2597" s="3">
        <v>39535</v>
      </c>
      <c r="B2597" s="9">
        <v>7500</v>
      </c>
      <c r="C2597" s="5">
        <v>16675</v>
      </c>
      <c r="D2597" s="5" t="e">
        <f>E2597-(#REF!+C2597)</f>
        <v>#REF!</v>
      </c>
      <c r="E2597" s="5">
        <v>48275</v>
      </c>
      <c r="K2597" s="22">
        <v>2872.5</v>
      </c>
      <c r="L2597" s="6">
        <v>2886</v>
      </c>
      <c r="M2597" s="125">
        <f t="shared" si="59"/>
        <v>13.5</v>
      </c>
      <c r="N2597" s="18"/>
      <c r="O2597" s="135"/>
      <c r="P2597" s="175">
        <v>21200</v>
      </c>
      <c r="Q2597" s="25">
        <v>0.1426</v>
      </c>
      <c r="U2597" s="384">
        <v>0.1</v>
      </c>
      <c r="W2597" s="285">
        <f t="shared" si="58"/>
        <v>3325.4320000000002</v>
      </c>
    </row>
    <row r="2598" spans="1:23" ht="15" customHeight="1" thickBot="1">
      <c r="A2598" s="11">
        <v>39538</v>
      </c>
      <c r="B2598" s="9">
        <v>7500</v>
      </c>
      <c r="C2598" s="13">
        <v>17350</v>
      </c>
      <c r="D2598" s="13" t="e">
        <f>E2598-(#REF!+C2598)</f>
        <v>#REF!</v>
      </c>
      <c r="E2598" s="13">
        <v>49050</v>
      </c>
      <c r="F2598" s="12"/>
      <c r="G2598" s="13"/>
      <c r="H2598" s="13"/>
      <c r="I2598" s="119"/>
      <c r="J2598" s="119"/>
      <c r="K2598" s="23">
        <v>2793</v>
      </c>
      <c r="L2598" s="14">
        <v>2805</v>
      </c>
      <c r="M2598" s="126">
        <f t="shared" si="59"/>
        <v>12</v>
      </c>
      <c r="N2598" s="19">
        <f>AVERAGE(K2578:K2598)</f>
        <v>3008.5789473684213</v>
      </c>
      <c r="O2598" s="136">
        <f>AVERAGE(K2535:K2598)</f>
        <v>2890.6370967741937</v>
      </c>
      <c r="P2598" s="176">
        <v>21100</v>
      </c>
      <c r="Q2598" s="27">
        <v>0.1426</v>
      </c>
      <c r="R2598" s="27"/>
      <c r="S2598" s="27"/>
      <c r="T2598" s="27"/>
      <c r="U2598" s="385">
        <v>0.1</v>
      </c>
      <c r="V2598" s="38">
        <f>AVERAGE(P2578:P2598)</f>
        <v>21647.619047619046</v>
      </c>
      <c r="W2598" s="285">
        <f t="shared" si="58"/>
        <v>3309.7460000000005</v>
      </c>
    </row>
    <row r="2599" spans="1:23" ht="15" customHeight="1">
      <c r="A2599" s="3">
        <v>39539</v>
      </c>
      <c r="B2599" s="9">
        <v>7500</v>
      </c>
      <c r="C2599" s="5">
        <v>17625</v>
      </c>
      <c r="D2599" s="5" t="e">
        <f>E2599-(#REF!+C2599)</f>
        <v>#REF!</v>
      </c>
      <c r="E2599" s="5">
        <v>49325</v>
      </c>
      <c r="K2599" s="22">
        <v>2747</v>
      </c>
      <c r="L2599" s="6">
        <v>2771</v>
      </c>
      <c r="M2599" s="125">
        <f t="shared" si="59"/>
        <v>24</v>
      </c>
      <c r="N2599" s="20"/>
      <c r="O2599" s="138"/>
      <c r="P2599" s="178">
        <v>21000</v>
      </c>
      <c r="Q2599" s="34">
        <v>0.1426</v>
      </c>
      <c r="U2599" s="384">
        <v>0.1</v>
      </c>
      <c r="W2599" s="285">
        <f t="shared" si="58"/>
        <v>3294.06</v>
      </c>
    </row>
    <row r="2600" spans="1:23" ht="15" customHeight="1">
      <c r="A2600" s="3">
        <v>39540</v>
      </c>
      <c r="B2600" s="9">
        <v>7175</v>
      </c>
      <c r="C2600" s="5">
        <v>18025</v>
      </c>
      <c r="D2600" s="5" t="e">
        <f>E2600-(#REF!+C2600)</f>
        <v>#REF!</v>
      </c>
      <c r="E2600" s="5">
        <v>49400</v>
      </c>
      <c r="K2600" s="22">
        <v>2783</v>
      </c>
      <c r="L2600" s="6">
        <v>2791</v>
      </c>
      <c r="M2600" s="125">
        <f t="shared" si="59"/>
        <v>8</v>
      </c>
      <c r="N2600" s="18"/>
      <c r="O2600" s="135"/>
      <c r="P2600" s="175">
        <v>21000</v>
      </c>
      <c r="Q2600" s="25">
        <v>0.1426</v>
      </c>
      <c r="U2600" s="384">
        <v>0.1</v>
      </c>
      <c r="W2600" s="285">
        <f t="shared" si="58"/>
        <v>3294.06</v>
      </c>
    </row>
    <row r="2601" spans="1:23" ht="15" customHeight="1">
      <c r="A2601" s="3">
        <v>39541</v>
      </c>
      <c r="B2601" s="9">
        <v>7175</v>
      </c>
      <c r="C2601" s="5">
        <v>18700</v>
      </c>
      <c r="D2601" s="5" t="e">
        <f>E2601-(#REF!+C2601)</f>
        <v>#REF!</v>
      </c>
      <c r="E2601" s="5">
        <v>50025</v>
      </c>
      <c r="K2601" s="22">
        <v>2811</v>
      </c>
      <c r="L2601" s="6">
        <v>2830.5</v>
      </c>
      <c r="M2601" s="125">
        <f t="shared" si="59"/>
        <v>19.5</v>
      </c>
      <c r="N2601" s="18"/>
      <c r="O2601" s="135"/>
      <c r="P2601" s="175">
        <v>21000</v>
      </c>
      <c r="Q2601" s="25">
        <v>0.14249999999999999</v>
      </c>
      <c r="U2601" s="384">
        <v>0.1</v>
      </c>
      <c r="W2601" s="285">
        <f t="shared" si="58"/>
        <v>3291.7499999999995</v>
      </c>
    </row>
    <row r="2602" spans="1:23" ht="15" customHeight="1">
      <c r="A2602" s="3">
        <v>39542</v>
      </c>
      <c r="B2602" s="9">
        <v>7175</v>
      </c>
      <c r="C2602" s="5">
        <v>18850</v>
      </c>
      <c r="D2602" s="5" t="e">
        <f>E2602-(#REF!+C2602)</f>
        <v>#REF!</v>
      </c>
      <c r="E2602" s="5">
        <v>50150</v>
      </c>
      <c r="K2602" s="22">
        <v>2906</v>
      </c>
      <c r="L2602" s="6">
        <v>2916</v>
      </c>
      <c r="M2602" s="125">
        <f t="shared" si="59"/>
        <v>10</v>
      </c>
      <c r="N2602" s="18"/>
      <c r="O2602" s="135"/>
      <c r="P2602" s="195"/>
      <c r="Q2602" s="1363" t="s">
        <v>28</v>
      </c>
      <c r="R2602" s="1363"/>
      <c r="S2602" s="1363"/>
      <c r="T2602" s="1363"/>
      <c r="U2602" s="1363"/>
      <c r="W2602" s="285" t="e">
        <f t="shared" si="58"/>
        <v>#VALUE!</v>
      </c>
    </row>
    <row r="2603" spans="1:23" ht="15" customHeight="1">
      <c r="A2603" s="3">
        <v>39545</v>
      </c>
      <c r="B2603" s="9">
        <v>7075</v>
      </c>
      <c r="C2603" s="5">
        <v>19275</v>
      </c>
      <c r="D2603" s="5" t="e">
        <f>E2603-(#REF!+C2603)</f>
        <v>#REF!</v>
      </c>
      <c r="E2603" s="5">
        <v>50475</v>
      </c>
      <c r="K2603" s="22">
        <v>2955</v>
      </c>
      <c r="L2603" s="6">
        <v>2960</v>
      </c>
      <c r="M2603" s="125">
        <f t="shared" si="59"/>
        <v>5</v>
      </c>
      <c r="N2603" s="18"/>
      <c r="O2603" s="135"/>
      <c r="P2603" s="175">
        <v>21100</v>
      </c>
      <c r="Q2603" s="25">
        <v>0.14249999999999999</v>
      </c>
      <c r="U2603" s="384">
        <v>0.1</v>
      </c>
      <c r="W2603" s="285">
        <f t="shared" si="58"/>
        <v>3307.4249999999997</v>
      </c>
    </row>
    <row r="2604" spans="1:23" ht="15" customHeight="1">
      <c r="A2604" s="3">
        <v>39546</v>
      </c>
      <c r="B2604" s="9">
        <v>7075</v>
      </c>
      <c r="C2604" s="5">
        <v>19250</v>
      </c>
      <c r="D2604" s="5" t="e">
        <f>E2604-(#REF!+C2604)</f>
        <v>#REF!</v>
      </c>
      <c r="E2604" s="5">
        <v>50425</v>
      </c>
      <c r="K2604" s="22">
        <v>2866</v>
      </c>
      <c r="L2604" s="6">
        <v>2895.5</v>
      </c>
      <c r="M2604" s="125">
        <f t="shared" si="59"/>
        <v>29.5</v>
      </c>
      <c r="N2604" s="18"/>
      <c r="O2604" s="135"/>
      <c r="P2604" s="175">
        <v>21100</v>
      </c>
      <c r="Q2604" s="25">
        <v>0.14280000000000001</v>
      </c>
      <c r="U2604" s="384">
        <v>0.1</v>
      </c>
      <c r="W2604" s="285">
        <f t="shared" si="58"/>
        <v>3314.3880000000008</v>
      </c>
    </row>
    <row r="2605" spans="1:23" ht="15" customHeight="1">
      <c r="A2605" s="3">
        <v>39547</v>
      </c>
      <c r="B2605" s="9">
        <v>6875</v>
      </c>
      <c r="C2605" s="5">
        <v>19450</v>
      </c>
      <c r="D2605" s="5" t="e">
        <f>E2605-(#REF!+C2605)</f>
        <v>#REF!</v>
      </c>
      <c r="E2605" s="5">
        <v>50725</v>
      </c>
      <c r="K2605" s="22">
        <v>2895</v>
      </c>
      <c r="L2605" s="6">
        <v>2891</v>
      </c>
      <c r="M2605" s="125">
        <f t="shared" si="59"/>
        <v>-4</v>
      </c>
      <c r="N2605" s="18"/>
      <c r="O2605" s="135"/>
      <c r="P2605" s="175">
        <v>20900</v>
      </c>
      <c r="Q2605" s="25">
        <v>0.14280000000000001</v>
      </c>
      <c r="U2605" s="384">
        <v>0.1</v>
      </c>
      <c r="W2605" s="285">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25">
        <f t="shared" si="59"/>
        <v>9.5</v>
      </c>
      <c r="N2606" s="18"/>
      <c r="O2606" s="135"/>
      <c r="P2606" s="175">
        <v>20900</v>
      </c>
      <c r="Q2606" s="25">
        <v>0.14280000000000001</v>
      </c>
      <c r="U2606" s="384">
        <v>0.1</v>
      </c>
      <c r="W2606" s="285">
        <f t="shared" si="60"/>
        <v>3282.9720000000007</v>
      </c>
    </row>
    <row r="2607" spans="1:23" ht="15" customHeight="1">
      <c r="A2607" s="3">
        <v>39549</v>
      </c>
      <c r="B2607" s="9">
        <v>6875</v>
      </c>
      <c r="C2607" s="5">
        <v>19450</v>
      </c>
      <c r="D2607" s="5" t="e">
        <f>E2607-(#REF!+C2607)</f>
        <v>#REF!</v>
      </c>
      <c r="E2607" s="5">
        <v>50725</v>
      </c>
      <c r="K2607" s="22">
        <v>2948</v>
      </c>
      <c r="L2607" s="6">
        <v>2945</v>
      </c>
      <c r="M2607" s="125">
        <f t="shared" si="59"/>
        <v>-3</v>
      </c>
      <c r="N2607" s="18"/>
      <c r="O2607" s="135"/>
      <c r="P2607" s="175">
        <v>20800</v>
      </c>
      <c r="Q2607" s="25">
        <v>0.14269999999999999</v>
      </c>
      <c r="U2607" s="384">
        <v>0.1</v>
      </c>
      <c r="W2607" s="285">
        <f t="shared" si="60"/>
        <v>3264.9760000000001</v>
      </c>
    </row>
    <row r="2608" spans="1:23" ht="15" customHeight="1">
      <c r="A2608" s="3">
        <v>39552</v>
      </c>
      <c r="B2608" s="9">
        <v>6875</v>
      </c>
      <c r="C2608" s="5">
        <v>19450</v>
      </c>
      <c r="D2608" s="5" t="e">
        <f>E2608-(#REF!+C2608)</f>
        <v>#REF!</v>
      </c>
      <c r="E2608" s="5">
        <v>50875</v>
      </c>
      <c r="K2608" s="22">
        <v>2900</v>
      </c>
      <c r="L2608" s="6">
        <v>2910.5</v>
      </c>
      <c r="M2608" s="125">
        <f t="shared" si="59"/>
        <v>10.5</v>
      </c>
      <c r="N2608" s="18"/>
      <c r="O2608" s="135"/>
      <c r="P2608" s="175">
        <v>20800</v>
      </c>
      <c r="Q2608" s="25">
        <v>0.14269999999999999</v>
      </c>
      <c r="U2608" s="384">
        <v>0.1</v>
      </c>
      <c r="W2608" s="285">
        <f t="shared" si="60"/>
        <v>3264.9760000000001</v>
      </c>
    </row>
    <row r="2609" spans="1:23" ht="15" customHeight="1">
      <c r="A2609" s="3">
        <v>39553</v>
      </c>
      <c r="B2609" s="9">
        <v>6800</v>
      </c>
      <c r="C2609" s="5">
        <v>19600</v>
      </c>
      <c r="D2609" s="5" t="e">
        <f>E2609-(#REF!+C2609)</f>
        <v>#REF!</v>
      </c>
      <c r="E2609" s="5">
        <v>51150</v>
      </c>
      <c r="K2609" s="22">
        <v>2891</v>
      </c>
      <c r="L2609" s="6">
        <v>2895</v>
      </c>
      <c r="M2609" s="125">
        <f t="shared" si="59"/>
        <v>4</v>
      </c>
      <c r="N2609" s="18"/>
      <c r="O2609" s="135"/>
      <c r="P2609" s="175">
        <v>20600</v>
      </c>
      <c r="Q2609" s="25">
        <v>0.1429</v>
      </c>
      <c r="U2609" s="384">
        <v>0.1</v>
      </c>
      <c r="W2609" s="285">
        <f t="shared" si="60"/>
        <v>3238.114</v>
      </c>
    </row>
    <row r="2610" spans="1:23" ht="15" customHeight="1">
      <c r="A2610" s="3">
        <v>39554</v>
      </c>
      <c r="B2610" s="9">
        <v>8075</v>
      </c>
      <c r="C2610" s="5">
        <v>19700</v>
      </c>
      <c r="D2610" s="5" t="e">
        <f>E2610-(#REF!+C2610)</f>
        <v>#REF!</v>
      </c>
      <c r="E2610" s="5">
        <v>52525</v>
      </c>
      <c r="K2610" s="22">
        <v>2825</v>
      </c>
      <c r="L2610" s="6">
        <v>2831</v>
      </c>
      <c r="M2610" s="125">
        <f t="shared" si="59"/>
        <v>6</v>
      </c>
      <c r="N2610" s="18"/>
      <c r="O2610" s="135"/>
      <c r="P2610" s="175">
        <v>20500</v>
      </c>
      <c r="Q2610" s="25">
        <v>0.14299999999999999</v>
      </c>
      <c r="U2610" s="384">
        <v>0.1</v>
      </c>
      <c r="W2610" s="285">
        <f t="shared" si="60"/>
        <v>3224.6499999999996</v>
      </c>
    </row>
    <row r="2611" spans="1:23" ht="15" customHeight="1">
      <c r="A2611" s="3">
        <v>39555</v>
      </c>
      <c r="B2611" s="9">
        <v>8450</v>
      </c>
      <c r="C2611" s="5">
        <v>19700</v>
      </c>
      <c r="D2611" s="5" t="e">
        <f>E2611-(#REF!+C2611)</f>
        <v>#REF!</v>
      </c>
      <c r="E2611" s="5">
        <v>53200</v>
      </c>
      <c r="K2611" s="22">
        <v>2841</v>
      </c>
      <c r="L2611" s="6">
        <v>2856</v>
      </c>
      <c r="M2611" s="125">
        <f t="shared" si="59"/>
        <v>15</v>
      </c>
      <c r="N2611" s="18"/>
      <c r="O2611" s="135"/>
      <c r="P2611" s="175">
        <v>20500</v>
      </c>
      <c r="Q2611" s="25">
        <v>0.14319999999999999</v>
      </c>
      <c r="U2611" s="384">
        <v>0.1</v>
      </c>
      <c r="W2611" s="285">
        <f t="shared" si="60"/>
        <v>3229.1600000000003</v>
      </c>
    </row>
    <row r="2612" spans="1:23" ht="15" customHeight="1">
      <c r="A2612" s="3">
        <v>39556</v>
      </c>
      <c r="B2612" s="9">
        <v>8250</v>
      </c>
      <c r="C2612" s="5">
        <v>19700</v>
      </c>
      <c r="D2612" s="5" t="e">
        <f>E2612-(#REF!+C2612)</f>
        <v>#REF!</v>
      </c>
      <c r="E2612" s="5">
        <v>53000</v>
      </c>
      <c r="K2612" s="22">
        <v>2814.5</v>
      </c>
      <c r="L2612" s="6">
        <v>2811</v>
      </c>
      <c r="M2612" s="125">
        <f t="shared" si="59"/>
        <v>-3.5</v>
      </c>
      <c r="N2612" s="18"/>
      <c r="O2612" s="135"/>
      <c r="P2612" s="175">
        <v>20400</v>
      </c>
      <c r="Q2612" s="25">
        <v>0.14319999999999999</v>
      </c>
      <c r="U2612" s="384">
        <v>0.1</v>
      </c>
      <c r="W2612" s="285">
        <f t="shared" si="60"/>
        <v>3213.4079999999999</v>
      </c>
    </row>
    <row r="2613" spans="1:23" ht="15" customHeight="1">
      <c r="A2613" s="3">
        <v>39559</v>
      </c>
      <c r="B2613" s="9">
        <v>8150</v>
      </c>
      <c r="C2613" s="5">
        <v>19925</v>
      </c>
      <c r="D2613" s="5" t="e">
        <f>E2613-(#REF!+C2613)</f>
        <v>#REF!</v>
      </c>
      <c r="E2613" s="5">
        <v>53125</v>
      </c>
      <c r="K2613" s="22">
        <v>2805</v>
      </c>
      <c r="L2613" s="6">
        <v>2816</v>
      </c>
      <c r="M2613" s="125">
        <f t="shared" si="59"/>
        <v>11</v>
      </c>
      <c r="N2613" s="18"/>
      <c r="O2613" s="135"/>
      <c r="P2613" s="175">
        <v>20400</v>
      </c>
      <c r="Q2613" s="25">
        <v>0.14299999999999999</v>
      </c>
      <c r="U2613" s="384">
        <v>0.1</v>
      </c>
      <c r="W2613" s="285">
        <f t="shared" si="60"/>
        <v>3208.92</v>
      </c>
    </row>
    <row r="2614" spans="1:23" ht="15" customHeight="1">
      <c r="A2614" s="3">
        <v>39560</v>
      </c>
      <c r="B2614" s="9">
        <v>7850</v>
      </c>
      <c r="C2614" s="5">
        <v>20025</v>
      </c>
      <c r="D2614" s="5" t="e">
        <f>E2614-(#REF!+C2614)</f>
        <v>#REF!</v>
      </c>
      <c r="E2614" s="5">
        <v>52925</v>
      </c>
      <c r="K2614" s="22">
        <v>2801</v>
      </c>
      <c r="L2614" s="6">
        <v>2811</v>
      </c>
      <c r="M2614" s="125">
        <f t="shared" si="59"/>
        <v>10</v>
      </c>
      <c r="N2614" s="18"/>
      <c r="O2614" s="135"/>
      <c r="P2614" s="175">
        <v>20300</v>
      </c>
      <c r="Q2614" s="25">
        <v>0.1429</v>
      </c>
      <c r="U2614" s="384">
        <v>0.1</v>
      </c>
      <c r="W2614" s="285">
        <f t="shared" si="60"/>
        <v>3190.9570000000003</v>
      </c>
    </row>
    <row r="2615" spans="1:23" ht="15" customHeight="1">
      <c r="A2615" s="3">
        <v>39561</v>
      </c>
      <c r="B2615" s="9">
        <v>7850</v>
      </c>
      <c r="C2615" s="5">
        <v>20350</v>
      </c>
      <c r="D2615" s="5" t="e">
        <f>E2615-(#REF!+C2615)</f>
        <v>#REF!</v>
      </c>
      <c r="E2615" s="5">
        <v>53650</v>
      </c>
      <c r="K2615" s="22">
        <v>2760</v>
      </c>
      <c r="L2615" s="6">
        <v>2776</v>
      </c>
      <c r="M2615" s="125">
        <f t="shared" si="59"/>
        <v>16</v>
      </c>
      <c r="N2615" s="18"/>
      <c r="O2615" s="135"/>
      <c r="P2615" s="175">
        <v>20300</v>
      </c>
      <c r="Q2615" s="25">
        <v>0.1431</v>
      </c>
      <c r="U2615" s="384">
        <v>0.1</v>
      </c>
      <c r="W2615" s="285">
        <f t="shared" si="60"/>
        <v>3195.4230000000007</v>
      </c>
    </row>
    <row r="2616" spans="1:23" ht="15" customHeight="1">
      <c r="A2616" s="3">
        <v>39562</v>
      </c>
      <c r="B2616" s="9">
        <v>8125</v>
      </c>
      <c r="C2616" s="5">
        <v>20600</v>
      </c>
      <c r="D2616" s="5" t="e">
        <f>E2616-(#REF!+C2616)</f>
        <v>#REF!</v>
      </c>
      <c r="E2616" s="5">
        <v>54750</v>
      </c>
      <c r="K2616" s="22">
        <v>2740.5</v>
      </c>
      <c r="L2616" s="6">
        <v>2761</v>
      </c>
      <c r="M2616" s="125">
        <f t="shared" si="59"/>
        <v>20.5</v>
      </c>
      <c r="N2616" s="18"/>
      <c r="O2616" s="135"/>
      <c r="P2616" s="175">
        <v>20100</v>
      </c>
      <c r="Q2616" s="25">
        <v>0.14319999999999999</v>
      </c>
      <c r="U2616" s="384">
        <v>0.1</v>
      </c>
      <c r="W2616" s="285">
        <f t="shared" si="60"/>
        <v>3166.152</v>
      </c>
    </row>
    <row r="2617" spans="1:23" ht="15" customHeight="1">
      <c r="A2617" s="3">
        <v>39563</v>
      </c>
      <c r="B2617" s="9">
        <v>8125</v>
      </c>
      <c r="C2617" s="5">
        <v>20700</v>
      </c>
      <c r="D2617" s="5" t="e">
        <f>E2617-(#REF!+C2617)</f>
        <v>#REF!</v>
      </c>
      <c r="E2617" s="5">
        <v>54850</v>
      </c>
      <c r="K2617" s="22">
        <v>2725</v>
      </c>
      <c r="L2617" s="6">
        <v>2740</v>
      </c>
      <c r="M2617" s="125">
        <f t="shared" si="59"/>
        <v>15</v>
      </c>
      <c r="N2617" s="18"/>
      <c r="O2617" s="135"/>
      <c r="P2617" s="175">
        <v>19900</v>
      </c>
      <c r="Q2617" s="25">
        <v>0.1431</v>
      </c>
      <c r="U2617" s="384">
        <v>0.1</v>
      </c>
      <c r="W2617" s="285">
        <f t="shared" si="60"/>
        <v>3132.4590000000003</v>
      </c>
    </row>
    <row r="2618" spans="1:23" ht="15" customHeight="1">
      <c r="A2618" s="3">
        <v>39566</v>
      </c>
      <c r="B2618" s="9">
        <v>8800</v>
      </c>
      <c r="C2618" s="5">
        <v>20725</v>
      </c>
      <c r="D2618" s="5" t="e">
        <f>E2618-(#REF!+C2618)</f>
        <v>#REF!</v>
      </c>
      <c r="E2618" s="5">
        <v>55850</v>
      </c>
      <c r="K2618" s="22">
        <v>2755</v>
      </c>
      <c r="L2618" s="6">
        <v>2765.5</v>
      </c>
      <c r="M2618" s="125">
        <f t="shared" si="59"/>
        <v>10.5</v>
      </c>
      <c r="N2618" s="18"/>
      <c r="O2618" s="135"/>
      <c r="P2618" s="175">
        <v>19900</v>
      </c>
      <c r="Q2618" s="25">
        <v>0.14269999999999999</v>
      </c>
      <c r="U2618" s="384">
        <v>0.1</v>
      </c>
      <c r="W2618" s="285">
        <f t="shared" si="60"/>
        <v>3123.7030000000004</v>
      </c>
    </row>
    <row r="2619" spans="1:23" ht="15" customHeight="1">
      <c r="A2619" s="3">
        <v>39567</v>
      </c>
      <c r="B2619" s="9">
        <v>8775</v>
      </c>
      <c r="C2619" s="5">
        <v>21000</v>
      </c>
      <c r="D2619" s="5" t="e">
        <f>E2619-(#REF!+C2619)</f>
        <v>#REF!</v>
      </c>
      <c r="E2619" s="5">
        <v>56150</v>
      </c>
      <c r="K2619" s="22">
        <v>2720</v>
      </c>
      <c r="L2619" s="6">
        <v>2735</v>
      </c>
      <c r="M2619" s="125">
        <f t="shared" si="59"/>
        <v>15</v>
      </c>
      <c r="N2619" s="18"/>
      <c r="O2619" s="135"/>
      <c r="P2619" s="175">
        <v>19600</v>
      </c>
      <c r="Q2619" s="25">
        <v>0.14319999999999999</v>
      </c>
      <c r="U2619" s="384">
        <v>0.1</v>
      </c>
      <c r="W2619" s="285">
        <f t="shared" si="60"/>
        <v>3087.3919999999998</v>
      </c>
    </row>
    <row r="2620" spans="1:23" ht="15" customHeight="1" thickBot="1">
      <c r="A2620" s="11">
        <v>39568</v>
      </c>
      <c r="B2620" s="9">
        <v>0</v>
      </c>
      <c r="C2620" s="13"/>
      <c r="D2620" s="13" t="e">
        <f>E2620-(#REF!+C2620)</f>
        <v>#REF!</v>
      </c>
      <c r="E2620" s="13"/>
      <c r="F2620" s="12"/>
      <c r="G2620" s="13"/>
      <c r="H2620" s="13"/>
      <c r="I2620" s="119"/>
      <c r="J2620" s="119"/>
      <c r="K2620" s="23">
        <v>2680.5</v>
      </c>
      <c r="L2620" s="14">
        <v>2700</v>
      </c>
      <c r="M2620" s="126">
        <f t="shared" si="59"/>
        <v>19.5</v>
      </c>
      <c r="N2620" s="19">
        <f>AVERAGE(K2599:K2620)</f>
        <v>2822.75</v>
      </c>
      <c r="O2620" s="136">
        <f>AVERAGE(K2535:K2620)</f>
        <v>2872.8571428571427</v>
      </c>
      <c r="P2620" s="176">
        <v>19250</v>
      </c>
      <c r="Q2620" s="27">
        <v>0.14319999999999999</v>
      </c>
      <c r="U2620" s="384">
        <v>0.1</v>
      </c>
      <c r="V2620" s="38">
        <f>AVERAGE(P2599:P2620)</f>
        <v>20492.857142857141</v>
      </c>
      <c r="W2620" s="285">
        <f t="shared" si="60"/>
        <v>3032.26</v>
      </c>
    </row>
    <row r="2621" spans="1:23" ht="15" customHeight="1">
      <c r="A2621" s="3">
        <v>39569</v>
      </c>
      <c r="B2621" s="9">
        <v>8425</v>
      </c>
      <c r="C2621" s="5">
        <v>21850</v>
      </c>
      <c r="D2621" s="5" t="e">
        <f>E2621-(#REF!+C2621)</f>
        <v>#REF!</v>
      </c>
      <c r="E2621" s="5">
        <v>56850</v>
      </c>
      <c r="K2621" s="22">
        <v>2650.5</v>
      </c>
      <c r="L2621" s="6">
        <v>2670</v>
      </c>
      <c r="M2621" s="125">
        <f t="shared" si="59"/>
        <v>19.5</v>
      </c>
      <c r="N2621" s="20"/>
      <c r="O2621" s="138"/>
      <c r="P2621" s="187"/>
      <c r="Q2621" s="1362" t="s">
        <v>23</v>
      </c>
      <c r="R2621" s="1362"/>
      <c r="S2621" s="1362"/>
      <c r="T2621" s="1362"/>
      <c r="U2621" s="1362"/>
      <c r="V2621" s="187"/>
      <c r="W2621" s="285" t="e">
        <f t="shared" si="60"/>
        <v>#VALUE!</v>
      </c>
    </row>
    <row r="2622" spans="1:23" ht="15" customHeight="1">
      <c r="A2622" s="3">
        <v>39570</v>
      </c>
      <c r="B2622" s="9">
        <v>8425</v>
      </c>
      <c r="C2622" s="5">
        <v>22575</v>
      </c>
      <c r="D2622" s="5" t="e">
        <f>E2622-(#REF!+C2622)</f>
        <v>#REF!</v>
      </c>
      <c r="E2622" s="5">
        <v>57575</v>
      </c>
      <c r="K2622" s="22">
        <v>2530</v>
      </c>
      <c r="L2622" s="6">
        <v>2559.5</v>
      </c>
      <c r="M2622" s="125">
        <f t="shared" si="59"/>
        <v>29.5</v>
      </c>
      <c r="N2622" s="7"/>
      <c r="O2622" s="132"/>
      <c r="P2622" s="189"/>
      <c r="Q2622" s="1363"/>
      <c r="R2622" s="1363"/>
      <c r="S2622" s="1363"/>
      <c r="T2622" s="1363"/>
      <c r="U2622" s="1363"/>
      <c r="V2622" s="189"/>
      <c r="W2622" s="285">
        <f t="shared" si="60"/>
        <v>0</v>
      </c>
    </row>
    <row r="2623" spans="1:23" ht="15" customHeight="1">
      <c r="A2623" s="3">
        <v>39573</v>
      </c>
      <c r="B2623" s="9">
        <v>0</v>
      </c>
      <c r="C2623" s="193"/>
      <c r="D2623" s="193"/>
      <c r="E2623" s="193"/>
      <c r="F2623" s="1333" t="s">
        <v>23</v>
      </c>
      <c r="G2623" s="1333"/>
      <c r="H2623" s="1333"/>
      <c r="I2623" s="1333"/>
      <c r="J2623" s="65"/>
      <c r="K2623" s="193"/>
      <c r="L2623" s="193"/>
      <c r="M2623" s="193"/>
      <c r="N2623" s="18"/>
      <c r="O2623" s="135"/>
      <c r="P2623" s="175">
        <v>19100</v>
      </c>
      <c r="Q2623" s="25">
        <v>0.1431</v>
      </c>
      <c r="U2623" s="384">
        <v>0.1</v>
      </c>
      <c r="W2623" s="285">
        <f t="shared" si="60"/>
        <v>3006.5310000000004</v>
      </c>
    </row>
    <row r="2624" spans="1:23" ht="15" customHeight="1">
      <c r="A2624" s="3">
        <v>39574</v>
      </c>
      <c r="B2624" s="9">
        <v>8425</v>
      </c>
      <c r="C2624" s="5">
        <v>23200</v>
      </c>
      <c r="D2624" s="5" t="e">
        <f>E2624-(#REF!+C2624)</f>
        <v>#REF!</v>
      </c>
      <c r="E2624" s="5">
        <v>58200</v>
      </c>
      <c r="K2624" s="22">
        <v>2581</v>
      </c>
      <c r="L2624" s="6">
        <v>2591</v>
      </c>
      <c r="M2624" s="125">
        <f t="shared" si="59"/>
        <v>10</v>
      </c>
      <c r="N2624" s="18"/>
      <c r="O2624" s="135"/>
      <c r="P2624" s="175">
        <v>18700</v>
      </c>
      <c r="Q2624" s="25">
        <v>0.1431</v>
      </c>
      <c r="U2624" s="384">
        <v>0.1</v>
      </c>
      <c r="W2624" s="285">
        <f t="shared" si="60"/>
        <v>2943.5670000000005</v>
      </c>
    </row>
    <row r="2625" spans="1:23" ht="15" customHeight="1">
      <c r="A2625" s="3">
        <v>39575</v>
      </c>
      <c r="B2625" s="9">
        <v>8225</v>
      </c>
      <c r="C2625" s="5">
        <v>23825</v>
      </c>
      <c r="D2625" s="5" t="e">
        <f>E2625-(#REF!+C2625)</f>
        <v>#REF!</v>
      </c>
      <c r="E2625" s="5">
        <v>58825</v>
      </c>
      <c r="K2625" s="22">
        <v>2481</v>
      </c>
      <c r="L2625" s="6">
        <v>2497</v>
      </c>
      <c r="M2625" s="125">
        <f t="shared" si="59"/>
        <v>16</v>
      </c>
      <c r="N2625" s="18"/>
      <c r="O2625" s="135"/>
      <c r="P2625" s="175">
        <v>18600</v>
      </c>
      <c r="Q2625" s="25">
        <v>0.1431</v>
      </c>
      <c r="U2625" s="384">
        <v>0.1</v>
      </c>
      <c r="W2625" s="285">
        <f t="shared" si="60"/>
        <v>2927.8260000000005</v>
      </c>
    </row>
    <row r="2626" spans="1:23" ht="15" customHeight="1">
      <c r="A2626" s="3">
        <v>39576</v>
      </c>
      <c r="B2626" s="9">
        <v>7350</v>
      </c>
      <c r="C2626" s="5">
        <v>24200</v>
      </c>
      <c r="D2626" s="5" t="e">
        <f>E2626-(#REF!+C2626)</f>
        <v>#REF!</v>
      </c>
      <c r="E2626" s="5">
        <v>58425</v>
      </c>
      <c r="K2626" s="22">
        <v>2410.5</v>
      </c>
      <c r="L2626" s="6">
        <v>2421</v>
      </c>
      <c r="M2626" s="125">
        <f t="shared" si="59"/>
        <v>10.5</v>
      </c>
      <c r="N2626" s="18"/>
      <c r="O2626" s="135"/>
      <c r="P2626" s="175">
        <v>17800</v>
      </c>
      <c r="Q2626" s="25">
        <v>0.1431</v>
      </c>
      <c r="U2626" s="384">
        <v>0.1</v>
      </c>
      <c r="W2626" s="285">
        <f t="shared" si="60"/>
        <v>2801.8980000000006</v>
      </c>
    </row>
    <row r="2627" spans="1:23" ht="15" customHeight="1">
      <c r="A2627" s="3">
        <v>39577</v>
      </c>
      <c r="B2627" s="9">
        <v>7300</v>
      </c>
      <c r="C2627" s="5">
        <v>24325</v>
      </c>
      <c r="D2627" s="5" t="e">
        <f>E2627-(#REF!+C2627)</f>
        <v>#REF!</v>
      </c>
      <c r="E2627" s="5">
        <v>58600</v>
      </c>
      <c r="K2627" s="22">
        <v>2285.5</v>
      </c>
      <c r="L2627" s="6">
        <v>2305.5</v>
      </c>
      <c r="M2627" s="125">
        <f t="shared" si="59"/>
        <v>20</v>
      </c>
      <c r="N2627" s="18"/>
      <c r="O2627" s="135"/>
      <c r="P2627" s="175">
        <v>17300</v>
      </c>
      <c r="Q2627" s="25">
        <v>0.14280000000000001</v>
      </c>
      <c r="U2627" s="384">
        <v>0.1</v>
      </c>
      <c r="W2627" s="285">
        <f t="shared" si="60"/>
        <v>2717.4840000000004</v>
      </c>
    </row>
    <row r="2628" spans="1:23" ht="15" customHeight="1">
      <c r="A2628" s="3">
        <v>39580</v>
      </c>
      <c r="B2628" s="9">
        <v>7300</v>
      </c>
      <c r="C2628" s="5">
        <v>24325</v>
      </c>
      <c r="D2628" s="5" t="e">
        <f>E2628-(#REF!+C2628)</f>
        <v>#REF!</v>
      </c>
      <c r="E2628" s="5">
        <v>58600</v>
      </c>
      <c r="K2628" s="22">
        <v>2232</v>
      </c>
      <c r="L2628" s="6">
        <v>2245</v>
      </c>
      <c r="M2628" s="125">
        <f t="shared" si="59"/>
        <v>13</v>
      </c>
      <c r="N2628" s="18"/>
      <c r="O2628" s="135"/>
      <c r="P2628" s="175">
        <v>17100</v>
      </c>
      <c r="Q2628" s="25">
        <v>0.14280000000000001</v>
      </c>
      <c r="U2628" s="384">
        <v>0.1</v>
      </c>
      <c r="W2628" s="285">
        <f t="shared" si="60"/>
        <v>2686.0680000000002</v>
      </c>
    </row>
    <row r="2629" spans="1:23" ht="15" customHeight="1">
      <c r="A2629" s="3">
        <v>39581</v>
      </c>
      <c r="B2629" s="9">
        <v>7050</v>
      </c>
      <c r="C2629" s="5">
        <v>24600</v>
      </c>
      <c r="D2629" s="5" t="e">
        <f>E2629-(#REF!+C2629)</f>
        <v>#REF!</v>
      </c>
      <c r="E2629" s="5">
        <v>61075</v>
      </c>
      <c r="K2629" s="22">
        <v>2283</v>
      </c>
      <c r="L2629" s="6">
        <v>2305</v>
      </c>
      <c r="M2629" s="125">
        <f t="shared" si="59"/>
        <v>22</v>
      </c>
      <c r="N2629" s="18"/>
      <c r="O2629" s="135"/>
      <c r="P2629" s="175">
        <v>17200</v>
      </c>
      <c r="Q2629" s="25">
        <v>0.1431</v>
      </c>
      <c r="U2629" s="384">
        <v>0.1</v>
      </c>
      <c r="W2629" s="285">
        <f t="shared" si="60"/>
        <v>2707.4520000000002</v>
      </c>
    </row>
    <row r="2630" spans="1:23" ht="15" customHeight="1">
      <c r="A2630" s="3">
        <v>39582</v>
      </c>
      <c r="B2630" s="9">
        <v>7050</v>
      </c>
      <c r="C2630" s="5">
        <v>25225</v>
      </c>
      <c r="D2630" s="5" t="e">
        <f>E2630-(#REF!+C2630)</f>
        <v>#REF!</v>
      </c>
      <c r="E2630" s="5">
        <v>61900</v>
      </c>
      <c r="K2630" s="22">
        <v>2203</v>
      </c>
      <c r="L2630" s="6">
        <v>2210</v>
      </c>
      <c r="M2630" s="125">
        <f t="shared" si="59"/>
        <v>7</v>
      </c>
      <c r="N2630" s="7"/>
      <c r="O2630" s="132"/>
      <c r="P2630" s="175">
        <v>17200</v>
      </c>
      <c r="Q2630" s="25">
        <v>0.1431</v>
      </c>
      <c r="U2630" s="384">
        <v>0.1</v>
      </c>
      <c r="W2630" s="285">
        <f t="shared" si="60"/>
        <v>2707.4520000000002</v>
      </c>
    </row>
    <row r="2631" spans="1:23" ht="15" customHeight="1">
      <c r="A2631" s="3">
        <v>39583</v>
      </c>
      <c r="B2631" s="9">
        <v>6850</v>
      </c>
      <c r="C2631" s="5">
        <v>25575</v>
      </c>
      <c r="D2631" s="5" t="e">
        <f>E2631-(#REF!+C2631)</f>
        <v>#REF!</v>
      </c>
      <c r="E2631" s="5">
        <v>62150</v>
      </c>
      <c r="K2631" s="22">
        <v>2246</v>
      </c>
      <c r="L2631" s="6">
        <v>2260.5</v>
      </c>
      <c r="M2631" s="125">
        <f t="shared" si="59"/>
        <v>14.5</v>
      </c>
      <c r="N2631" s="7"/>
      <c r="O2631" s="132"/>
      <c r="P2631" s="175">
        <v>17200</v>
      </c>
      <c r="Q2631" s="25">
        <v>0.14280000000000001</v>
      </c>
      <c r="U2631" s="384">
        <v>0.1</v>
      </c>
      <c r="W2631" s="285">
        <f t="shared" si="60"/>
        <v>2701.7760000000007</v>
      </c>
    </row>
    <row r="2632" spans="1:23" ht="15" customHeight="1">
      <c r="A2632" s="3">
        <v>39584</v>
      </c>
      <c r="B2632" s="9">
        <v>7675</v>
      </c>
      <c r="C2632" s="5">
        <v>25800</v>
      </c>
      <c r="D2632" s="5" t="e">
        <f>E2632-(#REF!+C2632)</f>
        <v>#REF!</v>
      </c>
      <c r="E2632" s="5">
        <v>63200</v>
      </c>
      <c r="K2632" s="22">
        <v>2300.5</v>
      </c>
      <c r="L2632" s="6">
        <v>2315</v>
      </c>
      <c r="M2632" s="125">
        <f t="shared" si="59"/>
        <v>14.5</v>
      </c>
      <c r="N2632" s="18"/>
      <c r="O2632" s="135"/>
      <c r="P2632" s="175">
        <v>17300</v>
      </c>
      <c r="Q2632" s="25">
        <v>0.14299999999999999</v>
      </c>
      <c r="U2632" s="384">
        <v>0.1</v>
      </c>
      <c r="W2632" s="285">
        <f t="shared" si="60"/>
        <v>2721.29</v>
      </c>
    </row>
    <row r="2633" spans="1:23" ht="15" customHeight="1">
      <c r="A2633" s="3">
        <v>39587</v>
      </c>
      <c r="B2633" s="9">
        <v>7850</v>
      </c>
      <c r="C2633" s="5">
        <v>26225</v>
      </c>
      <c r="D2633" s="5" t="e">
        <f>E2633-(#REF!+C2633)</f>
        <v>#REF!</v>
      </c>
      <c r="E2633" s="5">
        <v>64350</v>
      </c>
      <c r="K2633" s="22">
        <v>2262</v>
      </c>
      <c r="L2633" s="6">
        <v>2280</v>
      </c>
      <c r="M2633" s="125">
        <f t="shared" si="59"/>
        <v>18</v>
      </c>
      <c r="N2633" s="18"/>
      <c r="O2633" s="135"/>
      <c r="P2633" s="175">
        <v>17400</v>
      </c>
      <c r="Q2633" s="25">
        <v>0.14299999999999999</v>
      </c>
      <c r="U2633" s="384">
        <v>0.1</v>
      </c>
      <c r="W2633" s="285">
        <f t="shared" si="60"/>
        <v>2737.02</v>
      </c>
    </row>
    <row r="2634" spans="1:23" ht="15" customHeight="1">
      <c r="A2634" s="3">
        <v>39588</v>
      </c>
      <c r="B2634" s="9">
        <v>7850</v>
      </c>
      <c r="C2634" s="5">
        <v>26325</v>
      </c>
      <c r="D2634" s="5" t="e">
        <f>E2634-(#REF!+C2634)</f>
        <v>#REF!</v>
      </c>
      <c r="E2634" s="5">
        <v>64450</v>
      </c>
      <c r="K2634" s="22">
        <v>2137</v>
      </c>
      <c r="L2634" s="6">
        <v>2151</v>
      </c>
      <c r="M2634" s="125">
        <f t="shared" si="59"/>
        <v>14</v>
      </c>
      <c r="N2634" s="18"/>
      <c r="O2634" s="135"/>
      <c r="P2634" s="175">
        <v>17400</v>
      </c>
      <c r="Q2634" s="25">
        <v>0.1434</v>
      </c>
      <c r="U2634" s="384">
        <v>0.1</v>
      </c>
      <c r="W2634" s="285">
        <f t="shared" si="60"/>
        <v>2744.6759999999999</v>
      </c>
    </row>
    <row r="2635" spans="1:23" ht="15" customHeight="1">
      <c r="A2635" s="3">
        <v>39589</v>
      </c>
      <c r="B2635" s="9">
        <v>6800</v>
      </c>
      <c r="C2635" s="5">
        <v>26625</v>
      </c>
      <c r="D2635" s="5" t="e">
        <f>E2635-(#REF!+C2635)</f>
        <v>#REF!</v>
      </c>
      <c r="E2635" s="5">
        <v>63850</v>
      </c>
      <c r="K2635" s="22">
        <v>2133</v>
      </c>
      <c r="L2635" s="6">
        <v>2165</v>
      </c>
      <c r="M2635" s="125">
        <f t="shared" si="59"/>
        <v>32</v>
      </c>
      <c r="N2635" s="18"/>
      <c r="O2635" s="135"/>
      <c r="P2635" s="175">
        <v>17400</v>
      </c>
      <c r="Q2635" s="25">
        <v>0.1434</v>
      </c>
      <c r="U2635" s="384">
        <v>0.1</v>
      </c>
      <c r="W2635" s="285">
        <f t="shared" si="60"/>
        <v>2744.6759999999999</v>
      </c>
    </row>
    <row r="2636" spans="1:23" ht="15" customHeight="1">
      <c r="A2636" s="3">
        <v>39590</v>
      </c>
      <c r="B2636" s="9">
        <v>6800</v>
      </c>
      <c r="C2636" s="5">
        <v>26675</v>
      </c>
      <c r="D2636" s="5" t="e">
        <f>E2636-(#REF!+C2636)</f>
        <v>#REF!</v>
      </c>
      <c r="E2636" s="5">
        <v>63900</v>
      </c>
      <c r="K2636" s="22">
        <v>2097.5</v>
      </c>
      <c r="L2636" s="6">
        <v>2110</v>
      </c>
      <c r="M2636" s="125">
        <f t="shared" si="59"/>
        <v>12.5</v>
      </c>
      <c r="N2636" s="18"/>
      <c r="O2636" s="135"/>
      <c r="P2636" s="175">
        <v>17400</v>
      </c>
      <c r="Q2636" s="25">
        <v>0.14369999999999999</v>
      </c>
      <c r="U2636" s="384">
        <v>0.1</v>
      </c>
      <c r="W2636" s="285">
        <f t="shared" si="60"/>
        <v>2750.4180000000001</v>
      </c>
    </row>
    <row r="2637" spans="1:23" ht="15" customHeight="1">
      <c r="A2637" s="3">
        <v>39591</v>
      </c>
      <c r="B2637" s="9">
        <v>6800</v>
      </c>
      <c r="C2637" s="5">
        <v>26775</v>
      </c>
      <c r="D2637" s="5" t="e">
        <f>E2637-(#REF!+C2637)</f>
        <v>#REF!</v>
      </c>
      <c r="E2637" s="5">
        <v>64000</v>
      </c>
      <c r="K2637" s="22">
        <v>1998</v>
      </c>
      <c r="L2637" s="6">
        <v>2020</v>
      </c>
      <c r="M2637" s="125">
        <f t="shared" si="59"/>
        <v>22</v>
      </c>
      <c r="N2637" s="18"/>
      <c r="O2637" s="135"/>
      <c r="P2637" s="175">
        <v>17300</v>
      </c>
      <c r="Q2637" s="25">
        <v>0.14399999999999999</v>
      </c>
      <c r="U2637" s="384">
        <v>0.1</v>
      </c>
      <c r="W2637" s="285">
        <f t="shared" si="60"/>
        <v>2740.32</v>
      </c>
    </row>
    <row r="2638" spans="1:23" ht="15" customHeight="1">
      <c r="A2638" s="3">
        <v>39594</v>
      </c>
      <c r="B2638" s="9">
        <v>0</v>
      </c>
      <c r="C2638" s="24"/>
      <c r="D2638" s="24"/>
      <c r="E2638" s="24"/>
      <c r="F2638" s="1333" t="s">
        <v>29</v>
      </c>
      <c r="G2638" s="1333"/>
      <c r="H2638" s="1333"/>
      <c r="I2638" s="1333"/>
      <c r="J2638" s="65"/>
      <c r="K2638" s="24"/>
      <c r="L2638" s="24"/>
      <c r="M2638" s="24"/>
      <c r="N2638" s="7"/>
      <c r="O2638" s="132"/>
      <c r="P2638" s="175">
        <v>17300</v>
      </c>
      <c r="Q2638" s="25">
        <v>0.14410000000000001</v>
      </c>
      <c r="U2638" s="384">
        <v>0.1</v>
      </c>
      <c r="W2638" s="285">
        <f t="shared" si="60"/>
        <v>2742.2230000000004</v>
      </c>
    </row>
    <row r="2639" spans="1:23" ht="15" customHeight="1">
      <c r="A2639" s="3">
        <v>39595</v>
      </c>
      <c r="B2639" s="9">
        <v>6125</v>
      </c>
      <c r="C2639" s="5">
        <v>26850</v>
      </c>
      <c r="D2639" s="5" t="e">
        <f>E2639-(#REF!+C2639)</f>
        <v>#REF!</v>
      </c>
      <c r="E2639" s="5">
        <v>63600</v>
      </c>
      <c r="K2639" s="22">
        <v>2011</v>
      </c>
      <c r="L2639" s="6">
        <v>2028.5</v>
      </c>
      <c r="M2639" s="125">
        <f t="shared" si="59"/>
        <v>17.5</v>
      </c>
      <c r="N2639" s="18"/>
      <c r="O2639" s="135"/>
      <c r="P2639" s="175">
        <v>17300</v>
      </c>
      <c r="Q2639" s="25">
        <v>0.14419999999999999</v>
      </c>
      <c r="U2639" s="384">
        <v>0.1</v>
      </c>
      <c r="W2639" s="285">
        <f t="shared" si="60"/>
        <v>2744.1260000000002</v>
      </c>
    </row>
    <row r="2640" spans="1:23" ht="15" customHeight="1">
      <c r="A2640" s="3">
        <v>39596</v>
      </c>
      <c r="B2640" s="9">
        <v>5825</v>
      </c>
      <c r="C2640" s="5">
        <v>27125</v>
      </c>
      <c r="D2640" s="5" t="e">
        <f>E2640-(#REF!+C2640)</f>
        <v>#REF!</v>
      </c>
      <c r="E2640" s="5">
        <v>63575</v>
      </c>
      <c r="K2640" s="22">
        <v>1990</v>
      </c>
      <c r="L2640" s="6">
        <v>2013</v>
      </c>
      <c r="M2640" s="125">
        <f t="shared" si="59"/>
        <v>23</v>
      </c>
      <c r="N2640" s="7"/>
      <c r="O2640" s="132"/>
      <c r="P2640" s="175">
        <v>17300</v>
      </c>
      <c r="Q2640" s="25">
        <v>0.1439</v>
      </c>
      <c r="U2640" s="384">
        <v>0.1</v>
      </c>
      <c r="W2640" s="285">
        <f t="shared" si="60"/>
        <v>2738.4169999999999</v>
      </c>
    </row>
    <row r="2641" spans="1:23" ht="15" customHeight="1">
      <c r="A2641" s="3">
        <v>39597</v>
      </c>
      <c r="B2641" s="9">
        <v>7050</v>
      </c>
      <c r="C2641" s="5">
        <v>27300</v>
      </c>
      <c r="D2641" s="5" t="e">
        <f>E2641-(#REF!+C2641)</f>
        <v>#REF!</v>
      </c>
      <c r="E2641" s="5">
        <v>65125</v>
      </c>
      <c r="K2641" s="22">
        <v>1921</v>
      </c>
      <c r="L2641" s="6">
        <v>1932</v>
      </c>
      <c r="M2641" s="125">
        <f t="shared" si="59"/>
        <v>11</v>
      </c>
      <c r="N2641" s="7"/>
      <c r="O2641" s="132"/>
      <c r="P2641" s="175">
        <v>17300</v>
      </c>
      <c r="Q2641" s="25">
        <v>0.14399999999999999</v>
      </c>
      <c r="U2641" s="384">
        <v>0.1</v>
      </c>
      <c r="W2641" s="285">
        <f t="shared" si="60"/>
        <v>2740.32</v>
      </c>
    </row>
    <row r="2642" spans="1:23" ht="15" customHeight="1" thickBot="1">
      <c r="A2642" s="11">
        <v>39598</v>
      </c>
      <c r="B2642" s="9">
        <v>8000</v>
      </c>
      <c r="C2642" s="13">
        <v>27350</v>
      </c>
      <c r="D2642" s="13" t="e">
        <f>E2642-(#REF!+C2642)</f>
        <v>#REF!</v>
      </c>
      <c r="E2642" s="13">
        <v>65125</v>
      </c>
      <c r="F2642" s="12"/>
      <c r="G2642" s="13"/>
      <c r="H2642" s="13"/>
      <c r="I2642" s="119"/>
      <c r="J2642" s="119"/>
      <c r="K2642" s="23">
        <v>1940</v>
      </c>
      <c r="L2642" s="14">
        <v>1951</v>
      </c>
      <c r="M2642" s="126">
        <f t="shared" si="59"/>
        <v>11</v>
      </c>
      <c r="N2642" s="19">
        <f>AVERAGE(K2621:K2642)</f>
        <v>2234.625</v>
      </c>
      <c r="O2642" s="136">
        <f>AVERAGE(K2535:K2642)</f>
        <v>2750.1201923076924</v>
      </c>
      <c r="P2642" s="176">
        <v>17300</v>
      </c>
      <c r="Q2642" s="27">
        <v>0.14410000000000001</v>
      </c>
      <c r="R2642" s="27"/>
      <c r="S2642" s="27"/>
      <c r="T2642" s="27"/>
      <c r="U2642" s="385">
        <v>0.1</v>
      </c>
      <c r="V2642" s="38">
        <f>AVERAGE(P2621:P2642)</f>
        <v>17545</v>
      </c>
      <c r="W2642" s="285">
        <f t="shared" si="60"/>
        <v>2742.2230000000004</v>
      </c>
    </row>
    <row r="2643" spans="1:23" ht="15" customHeight="1">
      <c r="A2643" s="3">
        <v>39601</v>
      </c>
      <c r="B2643" s="9">
        <v>8700</v>
      </c>
      <c r="C2643" s="5">
        <v>27525</v>
      </c>
      <c r="D2643" s="5" t="e">
        <f>E2643-(#REF!+C2643)</f>
        <v>#REF!</v>
      </c>
      <c r="E2643" s="5">
        <v>67300</v>
      </c>
      <c r="K2643" s="22">
        <v>1960</v>
      </c>
      <c r="L2643" s="6">
        <v>1968.5</v>
      </c>
      <c r="M2643" s="125">
        <f t="shared" si="59"/>
        <v>8.5</v>
      </c>
      <c r="N2643" s="20"/>
      <c r="O2643" s="138"/>
      <c r="P2643" s="178">
        <v>17300</v>
      </c>
      <c r="Q2643" s="34">
        <v>0.14399999999999999</v>
      </c>
      <c r="U2643" s="384">
        <v>0.1</v>
      </c>
      <c r="W2643" s="285">
        <f t="shared" si="60"/>
        <v>2740.32</v>
      </c>
    </row>
    <row r="2644" spans="1:23" ht="15" customHeight="1">
      <c r="A2644" s="3">
        <v>39602</v>
      </c>
      <c r="B2644" s="9">
        <v>9800</v>
      </c>
      <c r="C2644" s="5">
        <v>27725</v>
      </c>
      <c r="D2644" s="5" t="e">
        <f>E2644-(#REF!+C2644)</f>
        <v>#REF!</v>
      </c>
      <c r="E2644" s="5">
        <v>68600</v>
      </c>
      <c r="K2644" s="22">
        <v>2030.5</v>
      </c>
      <c r="L2644" s="6">
        <v>2046.5</v>
      </c>
      <c r="M2644" s="125">
        <f t="shared" si="59"/>
        <v>16</v>
      </c>
      <c r="N2644" s="18"/>
      <c r="O2644" s="135"/>
      <c r="P2644" s="175">
        <v>17300</v>
      </c>
      <c r="Q2644" s="25">
        <v>0.14419999999999999</v>
      </c>
      <c r="U2644" s="384">
        <v>0.1</v>
      </c>
      <c r="W2644" s="285">
        <f t="shared" si="60"/>
        <v>2744.1260000000002</v>
      </c>
    </row>
    <row r="2645" spans="1:23" ht="15" customHeight="1">
      <c r="A2645" s="3">
        <v>39603</v>
      </c>
      <c r="B2645" s="9">
        <v>11350</v>
      </c>
      <c r="C2645" s="5">
        <v>28075</v>
      </c>
      <c r="D2645" s="5" t="e">
        <f>E2645-(#REF!+C2645)</f>
        <v>#REF!</v>
      </c>
      <c r="E2645" s="5">
        <v>71525</v>
      </c>
      <c r="K2645" s="22">
        <v>2003</v>
      </c>
      <c r="L2645" s="6">
        <v>2005</v>
      </c>
      <c r="M2645" s="125">
        <f t="shared" si="59"/>
        <v>2</v>
      </c>
      <c r="N2645" s="18"/>
      <c r="O2645" s="135"/>
      <c r="P2645" s="175">
        <v>17400</v>
      </c>
      <c r="Q2645" s="25">
        <v>0.1444</v>
      </c>
      <c r="U2645" s="384">
        <v>0.1</v>
      </c>
      <c r="W2645" s="285">
        <f t="shared" si="60"/>
        <v>2763.8160000000003</v>
      </c>
    </row>
    <row r="2646" spans="1:23" ht="15" customHeight="1">
      <c r="A2646" s="3">
        <v>39604</v>
      </c>
      <c r="B2646" s="9">
        <v>12100</v>
      </c>
      <c r="C2646" s="5">
        <v>28350</v>
      </c>
      <c r="D2646" s="5" t="e">
        <f>E2646-(#REF!+C2646)</f>
        <v>#REF!</v>
      </c>
      <c r="E2646" s="5">
        <v>72550</v>
      </c>
      <c r="K2646" s="22">
        <v>1942</v>
      </c>
      <c r="L2646" s="6">
        <v>1961</v>
      </c>
      <c r="M2646" s="125">
        <f t="shared" si="59"/>
        <v>19</v>
      </c>
      <c r="N2646" s="18"/>
      <c r="O2646" s="135"/>
      <c r="P2646" s="175">
        <v>17400</v>
      </c>
      <c r="Q2646" s="25">
        <v>0.14410000000000001</v>
      </c>
      <c r="U2646" s="384">
        <v>0.1</v>
      </c>
      <c r="W2646" s="285">
        <f t="shared" si="60"/>
        <v>2758.0740000000005</v>
      </c>
    </row>
    <row r="2647" spans="1:23" ht="15" customHeight="1">
      <c r="A2647" s="3">
        <v>39605</v>
      </c>
      <c r="B2647" s="9">
        <v>12700</v>
      </c>
      <c r="C2647" s="5">
        <v>28750</v>
      </c>
      <c r="D2647" s="5" t="e">
        <f>E2647-(#REF!+C2647)</f>
        <v>#REF!</v>
      </c>
      <c r="E2647" s="5">
        <v>73525</v>
      </c>
      <c r="K2647" s="22">
        <v>1935.5</v>
      </c>
      <c r="L2647" s="6">
        <v>1955</v>
      </c>
      <c r="M2647" s="125">
        <f t="shared" si="59"/>
        <v>19.5</v>
      </c>
      <c r="N2647" s="18"/>
      <c r="O2647" s="135"/>
      <c r="P2647" s="175">
        <v>17350</v>
      </c>
      <c r="Q2647" s="25">
        <v>0.14410000000000001</v>
      </c>
      <c r="U2647" s="384">
        <v>0.1</v>
      </c>
      <c r="W2647" s="285">
        <f t="shared" si="60"/>
        <v>2750.1485000000002</v>
      </c>
    </row>
    <row r="2648" spans="1:23" ht="15" customHeight="1">
      <c r="A2648" s="3">
        <v>39608</v>
      </c>
      <c r="B2648" s="9">
        <v>11800</v>
      </c>
      <c r="C2648" s="5">
        <v>28825</v>
      </c>
      <c r="D2648" s="5" t="e">
        <f>E2648-(#REF!+C2648)</f>
        <v>#REF!</v>
      </c>
      <c r="E2648" s="5">
        <v>72600</v>
      </c>
      <c r="K2648" s="22">
        <v>1935</v>
      </c>
      <c r="L2648" s="6">
        <v>1951</v>
      </c>
      <c r="M2648" s="125">
        <f t="shared" si="59"/>
        <v>16</v>
      </c>
      <c r="N2648" s="18"/>
      <c r="O2648" s="135"/>
      <c r="P2648" s="189"/>
      <c r="Q2648" s="1363" t="s">
        <v>23</v>
      </c>
      <c r="R2648" s="1363"/>
      <c r="S2648" s="1363"/>
      <c r="T2648" s="1363"/>
      <c r="U2648" s="1363"/>
      <c r="W2648" s="285" t="e">
        <f t="shared" si="60"/>
        <v>#VALUE!</v>
      </c>
    </row>
    <row r="2649" spans="1:23" ht="15" customHeight="1">
      <c r="A2649" s="3">
        <v>39609</v>
      </c>
      <c r="B2649" s="9">
        <v>11475</v>
      </c>
      <c r="C2649" s="5">
        <v>28975</v>
      </c>
      <c r="D2649" s="5" t="e">
        <f>E2649-(#REF!+C2649)</f>
        <v>#REF!</v>
      </c>
      <c r="E2649" s="5">
        <v>72375</v>
      </c>
      <c r="K2649" s="22">
        <v>1950</v>
      </c>
      <c r="L2649" s="6">
        <v>1974</v>
      </c>
      <c r="M2649" s="125">
        <f t="shared" si="59"/>
        <v>24</v>
      </c>
      <c r="N2649" s="18"/>
      <c r="O2649" s="135"/>
      <c r="P2649" s="175">
        <v>17250</v>
      </c>
      <c r="Q2649" s="25">
        <v>0.1444</v>
      </c>
      <c r="U2649" s="384">
        <v>0.1</v>
      </c>
      <c r="W2649" s="285">
        <f t="shared" si="60"/>
        <v>2739.9900000000002</v>
      </c>
    </row>
    <row r="2650" spans="1:23" ht="15" customHeight="1">
      <c r="A2650" s="3">
        <v>39610</v>
      </c>
      <c r="B2650" s="9">
        <v>12425</v>
      </c>
      <c r="C2650" s="5">
        <v>28975</v>
      </c>
      <c r="D2650" s="5" t="e">
        <f>E2650-(#REF!+C2650)</f>
        <v>#REF!</v>
      </c>
      <c r="E2650" s="5">
        <v>74475</v>
      </c>
      <c r="K2650" s="22">
        <v>1901</v>
      </c>
      <c r="L2650" s="6">
        <v>1901.5</v>
      </c>
      <c r="M2650" s="125">
        <f t="shared" si="59"/>
        <v>0.5</v>
      </c>
      <c r="N2650" s="18"/>
      <c r="O2650" s="135"/>
      <c r="P2650" s="175">
        <v>17250</v>
      </c>
      <c r="Q2650" s="25">
        <v>0.14449999999999999</v>
      </c>
      <c r="U2650" s="384">
        <v>0.1</v>
      </c>
      <c r="W2650" s="285">
        <f t="shared" si="60"/>
        <v>2741.8875000000003</v>
      </c>
    </row>
    <row r="2651" spans="1:23" ht="15" customHeight="1">
      <c r="A2651" s="3">
        <v>39611</v>
      </c>
      <c r="B2651" s="9">
        <v>12100</v>
      </c>
      <c r="C2651" s="5">
        <v>29050</v>
      </c>
      <c r="D2651" s="5" t="e">
        <f>E2651-(#REF!+C2651)</f>
        <v>#REF!</v>
      </c>
      <c r="E2651" s="5">
        <v>74175</v>
      </c>
      <c r="K2651" s="22">
        <v>1837</v>
      </c>
      <c r="L2651" s="6">
        <v>1855</v>
      </c>
      <c r="M2651" s="125">
        <f t="shared" si="59"/>
        <v>18</v>
      </c>
      <c r="N2651" s="18"/>
      <c r="O2651" s="135"/>
      <c r="P2651" s="175">
        <v>17225</v>
      </c>
      <c r="Q2651" s="25">
        <v>0.14460000000000001</v>
      </c>
      <c r="U2651" s="384">
        <v>0.1</v>
      </c>
      <c r="W2651" s="285">
        <f t="shared" si="60"/>
        <v>2739.8085000000005</v>
      </c>
    </row>
    <row r="2652" spans="1:23" ht="15" customHeight="1">
      <c r="A2652" s="3">
        <v>39612</v>
      </c>
      <c r="B2652" s="9">
        <v>17375</v>
      </c>
      <c r="C2652" s="5">
        <v>29050</v>
      </c>
      <c r="D2652" s="5" t="e">
        <f>E2652-(#REF!+C2652)</f>
        <v>#REF!</v>
      </c>
      <c r="E2652" s="5">
        <v>79300</v>
      </c>
      <c r="K2652" s="22">
        <v>1800.5</v>
      </c>
      <c r="L2652" s="6">
        <v>1825</v>
      </c>
      <c r="M2652" s="125">
        <f t="shared" si="59"/>
        <v>24.5</v>
      </c>
      <c r="N2652" s="18"/>
      <c r="O2652" s="135"/>
      <c r="P2652" s="175">
        <v>17100</v>
      </c>
      <c r="Q2652" s="25">
        <v>0.1449</v>
      </c>
      <c r="U2652" s="384">
        <v>0.1</v>
      </c>
      <c r="W2652" s="285">
        <f t="shared" si="60"/>
        <v>2725.569</v>
      </c>
    </row>
    <row r="2653" spans="1:23" ht="15" customHeight="1">
      <c r="A2653" s="3">
        <v>39615</v>
      </c>
      <c r="B2653" s="9">
        <v>21350</v>
      </c>
      <c r="C2653" s="5">
        <v>29100</v>
      </c>
      <c r="D2653" s="5" t="e">
        <f>E2653-(#REF!+C2653)</f>
        <v>#REF!</v>
      </c>
      <c r="E2653" s="5">
        <v>79300</v>
      </c>
      <c r="K2653" s="22">
        <v>1738</v>
      </c>
      <c r="L2653" s="6">
        <v>1746</v>
      </c>
      <c r="M2653" s="125">
        <f t="shared" si="59"/>
        <v>8</v>
      </c>
      <c r="N2653" s="18"/>
      <c r="O2653" s="135"/>
      <c r="P2653" s="175">
        <v>17000</v>
      </c>
      <c r="Q2653" s="25">
        <v>0.1449</v>
      </c>
      <c r="U2653" s="384">
        <v>0.1</v>
      </c>
      <c r="W2653" s="285">
        <f t="shared" si="60"/>
        <v>2709.6300000000006</v>
      </c>
    </row>
    <row r="2654" spans="1:23" ht="15" customHeight="1">
      <c r="A2654" s="3">
        <v>39616</v>
      </c>
      <c r="B2654" s="9">
        <v>26700</v>
      </c>
      <c r="C2654" s="5">
        <v>29300</v>
      </c>
      <c r="D2654" s="5" t="e">
        <f>E2654-(#REF!+C2654)</f>
        <v>#REF!</v>
      </c>
      <c r="E2654" s="5">
        <v>94875</v>
      </c>
      <c r="K2654" s="22">
        <v>1802</v>
      </c>
      <c r="L2654" s="6">
        <v>1825</v>
      </c>
      <c r="M2654" s="125">
        <f t="shared" si="59"/>
        <v>23</v>
      </c>
      <c r="N2654" s="18"/>
      <c r="O2654" s="135"/>
      <c r="P2654" s="175">
        <v>17000</v>
      </c>
      <c r="Q2654" s="25">
        <v>0.1449</v>
      </c>
      <c r="U2654" s="384">
        <v>0.1</v>
      </c>
      <c r="W2654" s="285">
        <f t="shared" si="60"/>
        <v>2709.6300000000006</v>
      </c>
    </row>
    <row r="2655" spans="1:23" ht="15" customHeight="1">
      <c r="A2655" s="3">
        <v>39617</v>
      </c>
      <c r="B2655" s="9">
        <v>28450</v>
      </c>
      <c r="C2655" s="5">
        <v>29325</v>
      </c>
      <c r="D2655" s="5" t="e">
        <f>E2655-(#REF!+C2655)</f>
        <v>#REF!</v>
      </c>
      <c r="E2655" s="5">
        <v>96775</v>
      </c>
      <c r="K2655" s="22">
        <v>1886</v>
      </c>
      <c r="L2655" s="6">
        <v>1906</v>
      </c>
      <c r="M2655" s="125">
        <f t="shared" si="59"/>
        <v>20</v>
      </c>
      <c r="N2655" s="18"/>
      <c r="O2655" s="135"/>
      <c r="P2655" s="175">
        <v>17000</v>
      </c>
      <c r="Q2655" s="25">
        <v>0.14510000000000001</v>
      </c>
      <c r="U2655" s="384">
        <v>0.1</v>
      </c>
      <c r="W2655" s="285">
        <f t="shared" si="60"/>
        <v>2713.3700000000003</v>
      </c>
    </row>
    <row r="2656" spans="1:23" ht="15" customHeight="1">
      <c r="A2656" s="3">
        <v>39618</v>
      </c>
      <c r="B2656" s="9">
        <v>28875</v>
      </c>
      <c r="C2656" s="5">
        <v>29350</v>
      </c>
      <c r="D2656" s="5" t="e">
        <f>E2656-(#REF!+C2656)</f>
        <v>#REF!</v>
      </c>
      <c r="E2656" s="5">
        <v>97225</v>
      </c>
      <c r="K2656" s="22">
        <v>1806.5</v>
      </c>
      <c r="L2656" s="6">
        <v>1840</v>
      </c>
      <c r="M2656" s="125">
        <f t="shared" si="59"/>
        <v>33.5</v>
      </c>
      <c r="N2656" s="18"/>
      <c r="O2656" s="135"/>
      <c r="P2656" s="175">
        <v>17050</v>
      </c>
      <c r="Q2656" s="25">
        <v>0.14530000000000001</v>
      </c>
      <c r="U2656" s="384">
        <v>0.1</v>
      </c>
      <c r="W2656" s="285">
        <f t="shared" si="60"/>
        <v>2725.1015000000007</v>
      </c>
    </row>
    <row r="2657" spans="1:23" ht="15" customHeight="1">
      <c r="A2657" s="3">
        <v>39619</v>
      </c>
      <c r="B2657" s="9">
        <v>27975</v>
      </c>
      <c r="C2657" s="5">
        <v>29400</v>
      </c>
      <c r="D2657" s="5" t="e">
        <f>E2657-(#REF!+C2657)</f>
        <v>#REF!</v>
      </c>
      <c r="E2657" s="5">
        <v>96375</v>
      </c>
      <c r="K2657" s="22">
        <v>1870</v>
      </c>
      <c r="L2657" s="6">
        <v>1875</v>
      </c>
      <c r="M2657" s="125">
        <f t="shared" si="59"/>
        <v>5</v>
      </c>
      <c r="N2657" s="7"/>
      <c r="O2657" s="132"/>
      <c r="P2657" s="175">
        <v>16950</v>
      </c>
      <c r="Q2657" s="25">
        <v>0.1454</v>
      </c>
      <c r="U2657" s="384">
        <v>0.1</v>
      </c>
      <c r="W2657" s="285">
        <f t="shared" si="60"/>
        <v>2710.9830000000006</v>
      </c>
    </row>
    <row r="2658" spans="1:23" ht="15" customHeight="1">
      <c r="A2658" s="3">
        <v>39622</v>
      </c>
      <c r="B2658" s="9">
        <v>27250</v>
      </c>
      <c r="C2658" s="5">
        <v>29350</v>
      </c>
      <c r="D2658" s="5" t="e">
        <f>E2658-(#REF!+C2658)</f>
        <v>#REF!</v>
      </c>
      <c r="E2658" s="5">
        <v>95650</v>
      </c>
      <c r="K2658" s="22">
        <v>1821</v>
      </c>
      <c r="L2658" s="6">
        <v>1855</v>
      </c>
      <c r="M2658" s="125">
        <f t="shared" ref="M2658:M2721" si="61">L2658-K2658</f>
        <v>34</v>
      </c>
      <c r="N2658" s="18"/>
      <c r="O2658" s="135"/>
      <c r="P2658" s="175">
        <v>17000</v>
      </c>
      <c r="Q2658" s="25">
        <v>0.14530000000000001</v>
      </c>
      <c r="U2658" s="384">
        <v>0.1</v>
      </c>
      <c r="W2658" s="285">
        <f t="shared" si="60"/>
        <v>2717.1100000000006</v>
      </c>
    </row>
    <row r="2659" spans="1:23" ht="15" customHeight="1">
      <c r="A2659" s="3">
        <v>39623</v>
      </c>
      <c r="B2659" s="9">
        <v>28275</v>
      </c>
      <c r="C2659" s="5">
        <v>29425</v>
      </c>
      <c r="D2659" s="5" t="e">
        <f>E2659-(#REF!+C2659)</f>
        <v>#REF!</v>
      </c>
      <c r="E2659" s="5">
        <v>96750</v>
      </c>
      <c r="K2659" s="22">
        <v>1801</v>
      </c>
      <c r="L2659" s="6">
        <v>1830.5</v>
      </c>
      <c r="M2659" s="125">
        <f t="shared" si="61"/>
        <v>29.5</v>
      </c>
      <c r="N2659" s="18"/>
      <c r="O2659" s="135"/>
      <c r="P2659" s="175">
        <v>17000</v>
      </c>
      <c r="Q2659" s="25">
        <v>0.14549999999999999</v>
      </c>
      <c r="U2659" s="384">
        <v>0.1</v>
      </c>
      <c r="W2659" s="285">
        <f t="shared" si="60"/>
        <v>2720.8500000000004</v>
      </c>
    </row>
    <row r="2660" spans="1:23" ht="15" customHeight="1">
      <c r="A2660" s="3">
        <v>39624</v>
      </c>
      <c r="B2660" s="9">
        <v>30200</v>
      </c>
      <c r="C2660" s="5">
        <v>29425</v>
      </c>
      <c r="D2660" s="5" t="e">
        <f>E2660-(#REF!+C2660)</f>
        <v>#REF!</v>
      </c>
      <c r="E2660" s="5">
        <v>98675</v>
      </c>
      <c r="K2660" s="22">
        <v>1773.5</v>
      </c>
      <c r="L2660" s="6">
        <v>1796</v>
      </c>
      <c r="M2660" s="125">
        <f t="shared" si="61"/>
        <v>22.5</v>
      </c>
      <c r="N2660" s="7"/>
      <c r="O2660" s="132"/>
      <c r="P2660" s="175">
        <v>16950</v>
      </c>
      <c r="Q2660" s="25">
        <v>0.14560000000000001</v>
      </c>
      <c r="U2660" s="384">
        <v>0.1</v>
      </c>
      <c r="W2660" s="285">
        <f t="shared" si="60"/>
        <v>2714.7120000000004</v>
      </c>
    </row>
    <row r="2661" spans="1:23" ht="15" customHeight="1">
      <c r="A2661" s="3">
        <v>39625</v>
      </c>
      <c r="B2661" s="9">
        <v>31100</v>
      </c>
      <c r="C2661" s="5">
        <v>29400</v>
      </c>
      <c r="D2661" s="5" t="e">
        <f>E2661-(#REF!+C2661)</f>
        <v>#REF!</v>
      </c>
      <c r="E2661" s="5">
        <v>99600</v>
      </c>
      <c r="K2661" s="22">
        <v>1800</v>
      </c>
      <c r="L2661" s="6">
        <v>1809</v>
      </c>
      <c r="M2661" s="125">
        <f t="shared" si="61"/>
        <v>9</v>
      </c>
      <c r="N2661" s="18"/>
      <c r="O2661" s="135"/>
      <c r="P2661" s="175">
        <v>16900</v>
      </c>
      <c r="Q2661" s="25">
        <v>0.1457</v>
      </c>
      <c r="U2661" s="384">
        <v>0.1</v>
      </c>
      <c r="W2661" s="285">
        <f t="shared" si="60"/>
        <v>2708.5630000000001</v>
      </c>
    </row>
    <row r="2662" spans="1:23" ht="15" customHeight="1">
      <c r="A2662" s="3">
        <v>39626</v>
      </c>
      <c r="B2662" s="9">
        <v>31750</v>
      </c>
      <c r="C2662" s="5">
        <v>29475</v>
      </c>
      <c r="D2662" s="5" t="e">
        <f>E2662-(#REF!+C2662)</f>
        <v>#REF!</v>
      </c>
      <c r="E2662" s="5">
        <v>100825</v>
      </c>
      <c r="K2662" s="22">
        <v>1796</v>
      </c>
      <c r="L2662" s="6">
        <v>1820</v>
      </c>
      <c r="M2662" s="125">
        <f t="shared" si="61"/>
        <v>24</v>
      </c>
      <c r="N2662" s="18"/>
      <c r="O2662" s="135"/>
      <c r="P2662" s="175">
        <v>16900</v>
      </c>
      <c r="Q2662" s="25">
        <v>0.1457</v>
      </c>
      <c r="U2662" s="384">
        <v>0.1</v>
      </c>
      <c r="W2662" s="285">
        <f t="shared" si="60"/>
        <v>2708.5630000000001</v>
      </c>
    </row>
    <row r="2663" spans="1:23" ht="15" customHeight="1" thickBot="1">
      <c r="A2663" s="11">
        <v>39629</v>
      </c>
      <c r="B2663" s="9">
        <v>32775</v>
      </c>
      <c r="C2663" s="13">
        <v>29525</v>
      </c>
      <c r="D2663" s="13" t="e">
        <f>E2663-(#REF!+C2663)</f>
        <v>#REF!</v>
      </c>
      <c r="E2663" s="13">
        <v>101900</v>
      </c>
      <c r="F2663" s="12"/>
      <c r="G2663" s="13"/>
      <c r="H2663" s="13"/>
      <c r="I2663" s="119"/>
      <c r="J2663" s="119"/>
      <c r="K2663" s="23">
        <v>1735.5</v>
      </c>
      <c r="L2663" s="14">
        <v>1765</v>
      </c>
      <c r="M2663" s="126">
        <f t="shared" si="61"/>
        <v>29.5</v>
      </c>
      <c r="N2663" s="19">
        <f>AVERAGE(K2643:K2663)</f>
        <v>1863.047619047619</v>
      </c>
      <c r="O2663" s="136">
        <f>AVERAGE(K2535:K2663)</f>
        <v>2601.0920000000001</v>
      </c>
      <c r="P2663" s="176">
        <v>16900</v>
      </c>
      <c r="Q2663" s="27">
        <v>0.1457</v>
      </c>
      <c r="R2663" s="27"/>
      <c r="S2663" s="27"/>
      <c r="T2663" s="27"/>
      <c r="U2663" s="385">
        <v>0.1</v>
      </c>
      <c r="V2663" s="38">
        <f>AVERAGE(P2643:P2663)</f>
        <v>17111.25</v>
      </c>
      <c r="W2663" s="285">
        <f t="shared" si="60"/>
        <v>2708.5630000000001</v>
      </c>
    </row>
    <row r="2664" spans="1:23" ht="15" customHeight="1">
      <c r="A2664" s="3">
        <v>39630</v>
      </c>
      <c r="B2664" s="9">
        <v>31150</v>
      </c>
      <c r="C2664" s="5">
        <v>29525</v>
      </c>
      <c r="D2664" s="5" t="e">
        <f>E2664-(#REF!+C2664)</f>
        <v>#REF!</v>
      </c>
      <c r="E2664" s="5">
        <v>101350</v>
      </c>
      <c r="K2664" s="22">
        <v>1761</v>
      </c>
      <c r="L2664" s="6">
        <v>1788</v>
      </c>
      <c r="M2664" s="125">
        <f t="shared" si="61"/>
        <v>27</v>
      </c>
      <c r="N2664" s="20"/>
      <c r="O2664" s="138"/>
      <c r="P2664" s="175">
        <v>16800</v>
      </c>
      <c r="Q2664" s="25">
        <v>0.1459</v>
      </c>
      <c r="U2664" s="384">
        <v>0.1</v>
      </c>
      <c r="W2664" s="285">
        <f t="shared" si="60"/>
        <v>2696.232</v>
      </c>
    </row>
    <row r="2665" spans="1:23" ht="15" customHeight="1">
      <c r="A2665" s="3">
        <v>39631</v>
      </c>
      <c r="B2665" s="9">
        <v>31025</v>
      </c>
      <c r="C2665" s="5">
        <v>29800</v>
      </c>
      <c r="D2665" s="5" t="e">
        <f>E2665-(#REF!+C2665)</f>
        <v>#REF!</v>
      </c>
      <c r="E2665" s="5">
        <v>100475</v>
      </c>
      <c r="K2665" s="22">
        <v>1720</v>
      </c>
      <c r="L2665" s="6">
        <v>1741</v>
      </c>
      <c r="M2665" s="125">
        <f t="shared" si="61"/>
        <v>21</v>
      </c>
      <c r="N2665" s="18"/>
      <c r="O2665" s="135"/>
      <c r="P2665" s="175">
        <v>16750</v>
      </c>
      <c r="Q2665" s="25">
        <v>0.1459</v>
      </c>
      <c r="U2665" s="384">
        <v>0.1</v>
      </c>
      <c r="W2665" s="285">
        <f t="shared" si="60"/>
        <v>2688.2075</v>
      </c>
    </row>
    <row r="2666" spans="1:23" ht="15" customHeight="1">
      <c r="A2666" s="3">
        <v>39632</v>
      </c>
      <c r="B2666" s="9">
        <v>31000</v>
      </c>
      <c r="C2666" s="5">
        <v>29850</v>
      </c>
      <c r="D2666" s="5" t="e">
        <f>E2666-(#REF!+C2666)</f>
        <v>#REF!</v>
      </c>
      <c r="E2666" s="5">
        <v>100500</v>
      </c>
      <c r="K2666" s="22">
        <v>1621</v>
      </c>
      <c r="L2666" s="6">
        <v>1646</v>
      </c>
      <c r="M2666" s="125">
        <f t="shared" si="61"/>
        <v>25</v>
      </c>
      <c r="N2666" s="18"/>
      <c r="O2666" s="135"/>
      <c r="P2666" s="175">
        <v>16600</v>
      </c>
      <c r="Q2666" s="25">
        <v>0.1459</v>
      </c>
      <c r="U2666" s="384">
        <v>0.1</v>
      </c>
      <c r="W2666" s="285">
        <f t="shared" si="60"/>
        <v>2664.1340000000005</v>
      </c>
    </row>
    <row r="2667" spans="1:23" ht="15" customHeight="1">
      <c r="A2667" s="3">
        <v>39633</v>
      </c>
      <c r="B2667" s="9">
        <v>31175</v>
      </c>
      <c r="C2667" s="5">
        <v>29850</v>
      </c>
      <c r="D2667" s="5" t="e">
        <f>E2667-(#REF!+C2667)</f>
        <v>#REF!</v>
      </c>
      <c r="E2667" s="5">
        <v>100675</v>
      </c>
      <c r="K2667" s="22">
        <v>1546.5</v>
      </c>
      <c r="L2667" s="6">
        <v>1565</v>
      </c>
      <c r="M2667" s="125">
        <f t="shared" si="61"/>
        <v>18.5</v>
      </c>
      <c r="N2667" s="18"/>
      <c r="O2667" s="135"/>
      <c r="P2667" s="175">
        <v>16300</v>
      </c>
      <c r="Q2667" s="25">
        <v>0.14599999999999999</v>
      </c>
      <c r="U2667" s="384">
        <v>0.1</v>
      </c>
      <c r="W2667" s="285">
        <f t="shared" si="60"/>
        <v>2617.7799999999997</v>
      </c>
    </row>
    <row r="2668" spans="1:23" ht="15" customHeight="1">
      <c r="A2668" s="3">
        <v>39636</v>
      </c>
      <c r="B2668" s="9">
        <v>31275</v>
      </c>
      <c r="C2668" s="5">
        <v>30050</v>
      </c>
      <c r="D2668" s="5" t="e">
        <f>E2668-(#REF!+C2668)</f>
        <v>#REF!</v>
      </c>
      <c r="E2668" s="5">
        <v>100975</v>
      </c>
      <c r="K2668" s="22">
        <v>1564.5</v>
      </c>
      <c r="L2668" s="6">
        <v>1582</v>
      </c>
      <c r="M2668" s="125">
        <f t="shared" si="61"/>
        <v>17.5</v>
      </c>
      <c r="N2668" s="18"/>
      <c r="O2668" s="135"/>
      <c r="P2668" s="175">
        <v>16000</v>
      </c>
      <c r="Q2668" s="25">
        <v>0.14580000000000001</v>
      </c>
      <c r="U2668" s="384">
        <v>0.1</v>
      </c>
      <c r="W2668" s="285">
        <f t="shared" si="60"/>
        <v>2566.0800000000004</v>
      </c>
    </row>
    <row r="2669" spans="1:23" ht="15" customHeight="1">
      <c r="A2669" s="3">
        <v>39637</v>
      </c>
      <c r="B2669" s="9">
        <v>30075</v>
      </c>
      <c r="C2669" s="5">
        <v>30050</v>
      </c>
      <c r="D2669" s="5" t="e">
        <f>E2669-(#REF!+C2669)</f>
        <v>#REF!</v>
      </c>
      <c r="E2669" s="5">
        <v>100475</v>
      </c>
      <c r="K2669" s="22">
        <v>1652</v>
      </c>
      <c r="L2669" s="6">
        <v>1670</v>
      </c>
      <c r="M2669" s="125">
        <f t="shared" si="61"/>
        <v>18</v>
      </c>
      <c r="N2669" s="18"/>
      <c r="O2669" s="135"/>
      <c r="P2669" s="175">
        <v>16000</v>
      </c>
      <c r="Q2669" s="25">
        <v>0.14560000000000001</v>
      </c>
      <c r="U2669" s="384">
        <v>0.1</v>
      </c>
      <c r="W2669" s="285">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25">
        <f t="shared" si="61"/>
        <v>4.5</v>
      </c>
      <c r="N2670" s="18"/>
      <c r="O2670" s="135"/>
      <c r="P2670" s="175">
        <v>16000</v>
      </c>
      <c r="Q2670" s="25">
        <v>0.14580000000000001</v>
      </c>
      <c r="U2670" s="384">
        <v>0.1</v>
      </c>
      <c r="W2670" s="285">
        <f t="shared" si="62"/>
        <v>2566.0800000000004</v>
      </c>
    </row>
    <row r="2671" spans="1:23" ht="15" customHeight="1">
      <c r="A2671" s="3">
        <v>39639</v>
      </c>
      <c r="B2671" s="9">
        <v>30450</v>
      </c>
      <c r="C2671" s="5">
        <v>30275</v>
      </c>
      <c r="D2671" s="5" t="e">
        <f>E2671-(#REF!+C2671)</f>
        <v>#REF!</v>
      </c>
      <c r="E2671" s="5">
        <v>101175</v>
      </c>
      <c r="K2671" s="22">
        <v>1902</v>
      </c>
      <c r="L2671" s="6">
        <v>1891</v>
      </c>
      <c r="M2671" s="125">
        <f t="shared" si="61"/>
        <v>-11</v>
      </c>
      <c r="N2671" s="18"/>
      <c r="O2671" s="135"/>
      <c r="P2671" s="175">
        <v>16000</v>
      </c>
      <c r="Q2671" s="25">
        <v>0.14580000000000001</v>
      </c>
      <c r="U2671" s="384">
        <v>0.1</v>
      </c>
      <c r="W2671" s="285">
        <f t="shared" si="62"/>
        <v>2566.0800000000004</v>
      </c>
    </row>
    <row r="2672" spans="1:23" ht="15" customHeight="1">
      <c r="A2672" s="3">
        <v>39640</v>
      </c>
      <c r="B2672" s="9">
        <v>28225</v>
      </c>
      <c r="C2672" s="5">
        <v>30275</v>
      </c>
      <c r="D2672" s="5" t="e">
        <f>E2672-(#REF!+C2672)</f>
        <v>#REF!</v>
      </c>
      <c r="E2672" s="5">
        <v>98950</v>
      </c>
      <c r="K2672" s="22">
        <v>2005.5</v>
      </c>
      <c r="L2672" s="6">
        <v>2001</v>
      </c>
      <c r="M2672" s="125">
        <f t="shared" si="61"/>
        <v>-4.5</v>
      </c>
      <c r="N2672" s="18"/>
      <c r="O2672" s="135"/>
      <c r="P2672" s="175">
        <v>16300</v>
      </c>
      <c r="Q2672" s="25">
        <v>0.14610000000000001</v>
      </c>
      <c r="U2672" s="384">
        <v>0.1</v>
      </c>
      <c r="W2672" s="285">
        <f t="shared" si="62"/>
        <v>2619.5730000000003</v>
      </c>
    </row>
    <row r="2673" spans="1:23" ht="15" customHeight="1">
      <c r="A2673" s="3">
        <v>39643</v>
      </c>
      <c r="B2673" s="9">
        <v>24850</v>
      </c>
      <c r="C2673" s="5">
        <v>30475</v>
      </c>
      <c r="D2673" s="5" t="e">
        <f>E2673-(#REF!+C2673)</f>
        <v>#REF!</v>
      </c>
      <c r="E2673" s="5">
        <v>95775</v>
      </c>
      <c r="K2673" s="22">
        <v>1946</v>
      </c>
      <c r="L2673" s="6">
        <v>1955</v>
      </c>
      <c r="M2673" s="125">
        <f t="shared" si="61"/>
        <v>9</v>
      </c>
      <c r="N2673" s="18"/>
      <c r="O2673" s="135"/>
      <c r="P2673" s="175">
        <v>16500</v>
      </c>
      <c r="Q2673" s="25">
        <v>0.14630000000000001</v>
      </c>
      <c r="U2673" s="384">
        <v>0.1</v>
      </c>
      <c r="W2673" s="285">
        <f t="shared" si="62"/>
        <v>2655.3450000000007</v>
      </c>
    </row>
    <row r="2674" spans="1:23" ht="15" customHeight="1">
      <c r="A2674" s="3">
        <v>39644</v>
      </c>
      <c r="B2674" s="9">
        <v>24225</v>
      </c>
      <c r="C2674" s="5">
        <v>30350</v>
      </c>
      <c r="D2674" s="5" t="e">
        <f>E2674-(#REF!+C2674)</f>
        <v>#REF!</v>
      </c>
      <c r="E2674" s="5">
        <v>94900</v>
      </c>
      <c r="K2674" s="22">
        <v>1968.5</v>
      </c>
      <c r="L2674" s="6">
        <v>1975.5</v>
      </c>
      <c r="M2674" s="125">
        <f t="shared" si="61"/>
        <v>7</v>
      </c>
      <c r="N2674" s="18"/>
      <c r="O2674" s="135"/>
      <c r="P2674" s="175">
        <v>16700</v>
      </c>
      <c r="Q2674" s="25">
        <v>0.14610000000000001</v>
      </c>
      <c r="U2674" s="384">
        <v>0.1</v>
      </c>
      <c r="W2674" s="285">
        <f t="shared" si="62"/>
        <v>2683.8570000000004</v>
      </c>
    </row>
    <row r="2675" spans="1:23" ht="15" customHeight="1">
      <c r="A2675" s="3">
        <v>39645</v>
      </c>
      <c r="B2675" s="9">
        <v>23900</v>
      </c>
      <c r="C2675" s="5">
        <v>29575</v>
      </c>
      <c r="D2675" s="5" t="e">
        <f>E2675-(#REF!+C2675)</f>
        <v>#REF!</v>
      </c>
      <c r="E2675" s="5">
        <v>93450</v>
      </c>
      <c r="K2675" s="22">
        <v>1896</v>
      </c>
      <c r="L2675" s="6">
        <v>1905.5</v>
      </c>
      <c r="M2675" s="125">
        <f t="shared" si="61"/>
        <v>9.5</v>
      </c>
      <c r="N2675" s="18"/>
      <c r="O2675" s="135"/>
      <c r="P2675" s="175">
        <v>16900</v>
      </c>
      <c r="Q2675" s="25">
        <v>0.14660000000000001</v>
      </c>
      <c r="U2675" s="384">
        <v>0.1</v>
      </c>
      <c r="W2675" s="285">
        <f t="shared" si="62"/>
        <v>2725.2940000000003</v>
      </c>
    </row>
    <row r="2676" spans="1:23" ht="15" customHeight="1">
      <c r="A2676" s="3">
        <v>39646</v>
      </c>
      <c r="B2676" s="9">
        <v>23900</v>
      </c>
      <c r="C2676" s="5">
        <v>28950</v>
      </c>
      <c r="D2676" s="5" t="e">
        <f>E2676-(#REF!+C2676)</f>
        <v>#REF!</v>
      </c>
      <c r="E2676" s="5">
        <v>93875</v>
      </c>
      <c r="K2676" s="22">
        <v>1941</v>
      </c>
      <c r="L2676" s="6">
        <v>1939</v>
      </c>
      <c r="M2676" s="125">
        <f t="shared" si="61"/>
        <v>-2</v>
      </c>
      <c r="N2676" s="18"/>
      <c r="O2676" s="135"/>
      <c r="P2676" s="175">
        <v>16900</v>
      </c>
      <c r="Q2676" s="25">
        <v>0.14680000000000001</v>
      </c>
      <c r="U2676" s="384">
        <v>0.1</v>
      </c>
      <c r="W2676" s="285">
        <f t="shared" si="62"/>
        <v>2729.0120000000002</v>
      </c>
    </row>
    <row r="2677" spans="1:23" ht="15" customHeight="1">
      <c r="A2677" s="3">
        <v>39647</v>
      </c>
      <c r="B2677" s="9">
        <v>23200</v>
      </c>
      <c r="C2677" s="5">
        <v>28475</v>
      </c>
      <c r="D2677" s="5" t="e">
        <f>E2677-(#REF!+C2677)</f>
        <v>#REF!</v>
      </c>
      <c r="E2677" s="5">
        <v>92725</v>
      </c>
      <c r="K2677" s="22">
        <v>1946</v>
      </c>
      <c r="L2677" s="6">
        <v>1945.5</v>
      </c>
      <c r="M2677" s="125">
        <f t="shared" si="61"/>
        <v>-0.5</v>
      </c>
      <c r="N2677" s="18"/>
      <c r="O2677" s="135"/>
      <c r="P2677" s="175">
        <v>17050</v>
      </c>
      <c r="Q2677" s="25">
        <v>0.14660000000000001</v>
      </c>
      <c r="U2677" s="384">
        <v>0.1</v>
      </c>
      <c r="W2677" s="285">
        <f t="shared" si="62"/>
        <v>2749.4830000000006</v>
      </c>
    </row>
    <row r="2678" spans="1:23" ht="15" customHeight="1">
      <c r="A2678" s="3">
        <v>39650</v>
      </c>
      <c r="B2678" s="9">
        <v>22500</v>
      </c>
      <c r="C2678" s="5">
        <v>28725</v>
      </c>
      <c r="D2678" s="5" t="e">
        <f>E2678-(#REF!+C2678)</f>
        <v>#REF!</v>
      </c>
      <c r="E2678" s="5">
        <v>92025</v>
      </c>
      <c r="K2678" s="22">
        <v>2035.5</v>
      </c>
      <c r="L2678" s="6">
        <v>2021</v>
      </c>
      <c r="M2678" s="125">
        <f t="shared" si="61"/>
        <v>-14.5</v>
      </c>
      <c r="N2678" s="18"/>
      <c r="O2678" s="135"/>
      <c r="P2678" s="175">
        <v>17200</v>
      </c>
      <c r="Q2678" s="25">
        <v>0.1467</v>
      </c>
      <c r="U2678" s="384">
        <v>0.1</v>
      </c>
      <c r="W2678" s="285">
        <f t="shared" si="62"/>
        <v>2775.5639999999999</v>
      </c>
    </row>
    <row r="2679" spans="1:23" ht="15" customHeight="1">
      <c r="A2679" s="3">
        <v>39651</v>
      </c>
      <c r="B2679" s="9">
        <v>22400</v>
      </c>
      <c r="C2679" s="5">
        <v>28475</v>
      </c>
      <c r="D2679" s="5" t="e">
        <f>E2679-(#REF!+C2679)</f>
        <v>#REF!</v>
      </c>
      <c r="E2679" s="5">
        <v>91375</v>
      </c>
      <c r="K2679" s="22">
        <v>2159.5</v>
      </c>
      <c r="L2679" s="6">
        <v>2145</v>
      </c>
      <c r="M2679" s="125">
        <f t="shared" si="61"/>
        <v>-14.5</v>
      </c>
      <c r="N2679" s="18"/>
      <c r="O2679" s="135"/>
      <c r="P2679" s="175">
        <v>17250</v>
      </c>
      <c r="Q2679" s="25">
        <v>0.1464</v>
      </c>
      <c r="U2679" s="384">
        <v>0.1</v>
      </c>
      <c r="W2679" s="285">
        <f t="shared" si="62"/>
        <v>2777.9400000000005</v>
      </c>
    </row>
    <row r="2680" spans="1:23" ht="15" customHeight="1">
      <c r="A2680" s="3">
        <v>39652</v>
      </c>
      <c r="B2680" s="9">
        <v>22325</v>
      </c>
      <c r="C2680" s="5">
        <v>28025</v>
      </c>
      <c r="D2680" s="5" t="e">
        <f>E2680-(#REF!+C2680)</f>
        <v>#REF!</v>
      </c>
      <c r="E2680" s="5">
        <v>91225</v>
      </c>
      <c r="K2680" s="22">
        <v>2134</v>
      </c>
      <c r="L2680" s="6">
        <v>2125.5</v>
      </c>
      <c r="M2680" s="125">
        <f t="shared" si="61"/>
        <v>-8.5</v>
      </c>
      <c r="N2680" s="18"/>
      <c r="O2680" s="135"/>
      <c r="P2680" s="175">
        <v>17600</v>
      </c>
      <c r="Q2680" s="25">
        <v>0.14660000000000001</v>
      </c>
      <c r="U2680" s="384">
        <v>0.1</v>
      </c>
      <c r="W2680" s="285">
        <f t="shared" si="62"/>
        <v>2838.1760000000004</v>
      </c>
    </row>
    <row r="2681" spans="1:23" ht="15" customHeight="1">
      <c r="A2681" s="3">
        <v>39653</v>
      </c>
      <c r="B2681" s="9">
        <v>22325</v>
      </c>
      <c r="C2681" s="5">
        <v>27675</v>
      </c>
      <c r="D2681" s="5" t="e">
        <f>E2681-(#REF!+C2681)</f>
        <v>#REF!</v>
      </c>
      <c r="E2681" s="5">
        <v>91100</v>
      </c>
      <c r="K2681" s="22">
        <v>2185</v>
      </c>
      <c r="L2681" s="6">
        <v>2189.35</v>
      </c>
      <c r="M2681" s="125">
        <f t="shared" si="61"/>
        <v>4.3499999999999091</v>
      </c>
      <c r="N2681" s="18"/>
      <c r="O2681" s="135"/>
      <c r="P2681" s="175">
        <v>18200</v>
      </c>
      <c r="Q2681" s="25">
        <v>0.14649999999999999</v>
      </c>
      <c r="U2681" s="384">
        <v>0.1</v>
      </c>
      <c r="W2681" s="285">
        <f t="shared" si="62"/>
        <v>2932.93</v>
      </c>
    </row>
    <row r="2682" spans="1:23" ht="15" customHeight="1">
      <c r="A2682" s="3">
        <v>39654</v>
      </c>
      <c r="B2682" s="9">
        <v>22250</v>
      </c>
      <c r="C2682" s="5">
        <v>27400</v>
      </c>
      <c r="D2682" s="5" t="e">
        <f>E2682-(#REF!+C2682)</f>
        <v>#REF!</v>
      </c>
      <c r="E2682" s="5">
        <v>91250</v>
      </c>
      <c r="K2682" s="22">
        <v>2145</v>
      </c>
      <c r="L2682" s="6">
        <v>2139.5</v>
      </c>
      <c r="M2682" s="125">
        <f t="shared" si="61"/>
        <v>-5.5</v>
      </c>
      <c r="N2682" s="18"/>
      <c r="O2682" s="135"/>
      <c r="P2682" s="175">
        <v>19300</v>
      </c>
      <c r="Q2682" s="25">
        <v>0.1464</v>
      </c>
      <c r="U2682" s="384">
        <v>0.1</v>
      </c>
      <c r="W2682" s="285">
        <f t="shared" si="62"/>
        <v>3108.0720000000001</v>
      </c>
    </row>
    <row r="2683" spans="1:23" ht="15" customHeight="1">
      <c r="A2683" s="3">
        <v>39657</v>
      </c>
      <c r="B2683" s="9">
        <v>22250</v>
      </c>
      <c r="C2683" s="5">
        <v>27025</v>
      </c>
      <c r="D2683" s="5" t="e">
        <f>E2683-(#REF!+C2683)</f>
        <v>#REF!</v>
      </c>
      <c r="E2683" s="5">
        <v>90725</v>
      </c>
      <c r="K2683" s="22">
        <v>2181</v>
      </c>
      <c r="L2683" s="6">
        <v>2180</v>
      </c>
      <c r="M2683" s="125">
        <f t="shared" si="61"/>
        <v>-1</v>
      </c>
      <c r="N2683" s="18"/>
      <c r="O2683" s="135"/>
      <c r="P2683" s="175">
        <v>19300</v>
      </c>
      <c r="Q2683" s="25">
        <v>0.14660000000000001</v>
      </c>
      <c r="U2683" s="384">
        <v>0.1</v>
      </c>
      <c r="W2683" s="285">
        <f t="shared" si="62"/>
        <v>3112.3180000000002</v>
      </c>
    </row>
    <row r="2684" spans="1:23" ht="15" customHeight="1">
      <c r="A2684" s="3">
        <v>39658</v>
      </c>
      <c r="B2684" s="9">
        <v>21150</v>
      </c>
      <c r="C2684" s="5">
        <v>26450</v>
      </c>
      <c r="D2684" s="5" t="e">
        <f>E2684-(#REF!+C2684)</f>
        <v>#REF!</v>
      </c>
      <c r="E2684" s="5">
        <v>89275</v>
      </c>
      <c r="K2684" s="22">
        <v>2245</v>
      </c>
      <c r="L2684" s="6">
        <v>2230</v>
      </c>
      <c r="M2684" s="125">
        <f t="shared" si="61"/>
        <v>-15</v>
      </c>
      <c r="N2684" s="18"/>
      <c r="O2684" s="135"/>
      <c r="P2684" s="175">
        <v>19500</v>
      </c>
      <c r="Q2684" s="25">
        <v>0.14630000000000001</v>
      </c>
      <c r="U2684" s="384">
        <v>0.1</v>
      </c>
      <c r="W2684" s="285">
        <f t="shared" si="62"/>
        <v>3138.1350000000007</v>
      </c>
    </row>
    <row r="2685" spans="1:23" ht="15" customHeight="1">
      <c r="A2685" s="3">
        <v>39659</v>
      </c>
      <c r="B2685" s="9">
        <v>22725</v>
      </c>
      <c r="C2685" s="5">
        <v>26325</v>
      </c>
      <c r="D2685" s="5" t="e">
        <f>E2685-(#REF!+C2685)</f>
        <v>#REF!</v>
      </c>
      <c r="E2685" s="5">
        <v>90725</v>
      </c>
      <c r="K2685" s="22">
        <v>2241</v>
      </c>
      <c r="L2685" s="6">
        <v>2226</v>
      </c>
      <c r="M2685" s="125">
        <f t="shared" si="61"/>
        <v>-15</v>
      </c>
      <c r="N2685" s="18"/>
      <c r="O2685" s="135"/>
      <c r="P2685" s="175">
        <v>19600</v>
      </c>
      <c r="Q2685" s="25">
        <v>0.14649999999999999</v>
      </c>
      <c r="U2685" s="384">
        <v>0.1</v>
      </c>
      <c r="W2685" s="285">
        <f t="shared" si="62"/>
        <v>3158.54</v>
      </c>
    </row>
    <row r="2686" spans="1:23" ht="15" customHeight="1" thickBot="1">
      <c r="A2686" s="11">
        <v>39660</v>
      </c>
      <c r="B2686" s="9">
        <v>23075</v>
      </c>
      <c r="C2686" s="13">
        <v>26300</v>
      </c>
      <c r="D2686" s="13" t="e">
        <f>E2686-(#REF!+C2686)</f>
        <v>#REF!</v>
      </c>
      <c r="E2686" s="13">
        <v>91000</v>
      </c>
      <c r="F2686" s="12"/>
      <c r="G2686" s="13"/>
      <c r="H2686" s="13"/>
      <c r="I2686" s="119"/>
      <c r="J2686" s="119"/>
      <c r="K2686" s="23">
        <v>2230</v>
      </c>
      <c r="L2686" s="14">
        <v>2211</v>
      </c>
      <c r="M2686" s="126">
        <f t="shared" si="61"/>
        <v>-19</v>
      </c>
      <c r="N2686" s="19">
        <f>AVERAGE(K2664:K2686)</f>
        <v>1944.9130434782608</v>
      </c>
      <c r="O2686" s="136">
        <f>AVERAGE(K2535:K2686)</f>
        <v>2499.1182432432433</v>
      </c>
      <c r="P2686" s="176">
        <v>19400</v>
      </c>
      <c r="Q2686" s="27">
        <v>0.14649999999999999</v>
      </c>
      <c r="R2686" s="27"/>
      <c r="S2686" s="27"/>
      <c r="T2686" s="27"/>
      <c r="U2686" s="385">
        <v>0.1</v>
      </c>
      <c r="V2686" s="38">
        <f>AVERAGE(P2664:P2686)</f>
        <v>17310.869565217392</v>
      </c>
      <c r="W2686" s="285">
        <f t="shared" si="62"/>
        <v>3126.31</v>
      </c>
    </row>
    <row r="2687" spans="1:23" ht="15" customHeight="1">
      <c r="A2687" s="3">
        <v>39661</v>
      </c>
      <c r="B2687" s="9">
        <v>24400</v>
      </c>
      <c r="C2687" s="5">
        <v>26275</v>
      </c>
      <c r="D2687" s="5" t="e">
        <f>E2687-(#REF!+C2687)</f>
        <v>#REF!</v>
      </c>
      <c r="E2687" s="5">
        <v>92250</v>
      </c>
      <c r="K2687" s="22">
        <v>2160</v>
      </c>
      <c r="L2687" s="6">
        <v>2140</v>
      </c>
      <c r="M2687" s="125">
        <f t="shared" si="61"/>
        <v>-20</v>
      </c>
      <c r="N2687" s="20"/>
      <c r="O2687" s="138"/>
      <c r="P2687" s="175">
        <v>19400</v>
      </c>
      <c r="Q2687" s="25">
        <v>0.1464</v>
      </c>
      <c r="U2687" s="384">
        <v>0.1</v>
      </c>
      <c r="W2687" s="285">
        <f t="shared" si="62"/>
        <v>3124.1759999999999</v>
      </c>
    </row>
    <row r="2688" spans="1:23" ht="15" customHeight="1">
      <c r="A2688" s="3">
        <v>39664</v>
      </c>
      <c r="B2688" s="9">
        <v>24075</v>
      </c>
      <c r="C2688" s="5">
        <v>27250</v>
      </c>
      <c r="D2688" s="5" t="e">
        <f>E2688-(#REF!+C2688)</f>
        <v>#REF!</v>
      </c>
      <c r="E2688" s="5">
        <v>93400</v>
      </c>
      <c r="K2688" s="22">
        <v>2090</v>
      </c>
      <c r="L2688" s="6">
        <v>2070</v>
      </c>
      <c r="M2688" s="125">
        <f t="shared" si="61"/>
        <v>-20</v>
      </c>
      <c r="N2688" s="18"/>
      <c r="O2688" s="135"/>
      <c r="P2688" s="175">
        <v>19200</v>
      </c>
      <c r="Q2688" s="25">
        <v>0.14610000000000001</v>
      </c>
      <c r="U2688" s="384">
        <v>0.1</v>
      </c>
      <c r="W2688" s="285">
        <f t="shared" si="62"/>
        <v>3085.6320000000005</v>
      </c>
    </row>
    <row r="2689" spans="1:23" ht="15" customHeight="1">
      <c r="A2689" s="3">
        <v>39665</v>
      </c>
      <c r="B2689" s="9">
        <v>24075</v>
      </c>
      <c r="C2689" s="5">
        <v>27225</v>
      </c>
      <c r="D2689" s="5" t="e">
        <f>E2689-(#REF!+C2689)</f>
        <v>#REF!</v>
      </c>
      <c r="E2689" s="5">
        <v>93325</v>
      </c>
      <c r="K2689" s="22">
        <v>2016</v>
      </c>
      <c r="L2689" s="6">
        <v>2010</v>
      </c>
      <c r="M2689" s="125">
        <f t="shared" si="61"/>
        <v>-6</v>
      </c>
      <c r="N2689" s="18"/>
      <c r="O2689" s="135"/>
      <c r="P2689" s="175">
        <v>18800</v>
      </c>
      <c r="Q2689" s="25">
        <v>0.1459</v>
      </c>
      <c r="U2689" s="384">
        <v>0.1</v>
      </c>
      <c r="W2689" s="285">
        <f t="shared" si="62"/>
        <v>3017.2120000000004</v>
      </c>
    </row>
    <row r="2690" spans="1:23" ht="15" customHeight="1">
      <c r="A2690" s="3">
        <v>39666</v>
      </c>
      <c r="B2690" s="9">
        <v>23800</v>
      </c>
      <c r="C2690" s="5">
        <v>27250</v>
      </c>
      <c r="D2690" s="5" t="e">
        <f>E2690-(#REF!+C2690)</f>
        <v>#REF!</v>
      </c>
      <c r="E2690" s="5">
        <v>93075</v>
      </c>
      <c r="K2690" s="22">
        <v>2111</v>
      </c>
      <c r="L2690" s="6">
        <v>2089</v>
      </c>
      <c r="M2690" s="125">
        <f t="shared" si="61"/>
        <v>-22</v>
      </c>
      <c r="N2690" s="18"/>
      <c r="O2690" s="135"/>
      <c r="P2690" s="175">
        <v>18100</v>
      </c>
      <c r="Q2690" s="25">
        <v>0.1459</v>
      </c>
      <c r="U2690" s="384">
        <v>0.1</v>
      </c>
      <c r="W2690" s="285">
        <f t="shared" si="62"/>
        <v>2904.8690000000001</v>
      </c>
    </row>
    <row r="2691" spans="1:23" ht="15" customHeight="1">
      <c r="A2691" s="3">
        <v>39667</v>
      </c>
      <c r="B2691" s="9">
        <v>23525</v>
      </c>
      <c r="C2691" s="5">
        <v>27050</v>
      </c>
      <c r="D2691" s="5" t="e">
        <f>E2691-(#REF!+C2691)</f>
        <v>#REF!</v>
      </c>
      <c r="E2691" s="5">
        <v>91575</v>
      </c>
      <c r="K2691" s="22">
        <v>2119</v>
      </c>
      <c r="L2691" s="6">
        <v>2105.5</v>
      </c>
      <c r="M2691" s="125">
        <f t="shared" si="61"/>
        <v>-13.5</v>
      </c>
      <c r="N2691" s="18"/>
      <c r="O2691" s="135"/>
      <c r="P2691" s="175">
        <v>18100</v>
      </c>
      <c r="Q2691" s="25">
        <v>0.14599999999999999</v>
      </c>
      <c r="U2691" s="384">
        <v>0.1</v>
      </c>
      <c r="W2691" s="285">
        <f t="shared" si="62"/>
        <v>2906.86</v>
      </c>
    </row>
    <row r="2692" spans="1:23" ht="15" customHeight="1">
      <c r="A2692" s="3">
        <v>39668</v>
      </c>
      <c r="B2692" s="9">
        <v>23525</v>
      </c>
      <c r="C2692" s="5">
        <v>26675</v>
      </c>
      <c r="D2692" s="5" t="e">
        <f>E2692-(#REF!+C2692)</f>
        <v>#REF!</v>
      </c>
      <c r="E2692" s="5">
        <v>91650</v>
      </c>
      <c r="K2692" s="22">
        <v>2005</v>
      </c>
      <c r="L2692" s="6">
        <v>1995.5</v>
      </c>
      <c r="M2692" s="125">
        <f t="shared" si="61"/>
        <v>-9.5</v>
      </c>
      <c r="N2692" s="18"/>
      <c r="O2692" s="135"/>
      <c r="P2692" s="175">
        <v>18300</v>
      </c>
      <c r="Q2692" s="25">
        <v>0.1457</v>
      </c>
      <c r="U2692" s="384">
        <v>0.1</v>
      </c>
      <c r="W2692" s="285">
        <f t="shared" si="62"/>
        <v>2932.9410000000003</v>
      </c>
    </row>
    <row r="2693" spans="1:23" ht="15" customHeight="1">
      <c r="A2693" s="3">
        <v>39671</v>
      </c>
      <c r="B2693" s="9">
        <v>23025</v>
      </c>
      <c r="C2693" s="5">
        <v>26075</v>
      </c>
      <c r="D2693" s="5" t="e">
        <f>E2693-(#REF!+C2693)</f>
        <v>#REF!</v>
      </c>
      <c r="E2693" s="5">
        <v>91000</v>
      </c>
      <c r="K2693" s="22">
        <v>1961</v>
      </c>
      <c r="L2693" s="6">
        <v>1960</v>
      </c>
      <c r="M2693" s="125">
        <f t="shared" si="61"/>
        <v>-1</v>
      </c>
      <c r="N2693" s="18"/>
      <c r="O2693" s="135"/>
      <c r="P2693" s="175">
        <v>17900</v>
      </c>
      <c r="Q2693" s="25">
        <v>0.14580000000000001</v>
      </c>
      <c r="U2693" s="384">
        <v>0.1</v>
      </c>
      <c r="W2693" s="285">
        <f t="shared" si="62"/>
        <v>2870.8020000000006</v>
      </c>
    </row>
    <row r="2694" spans="1:23" ht="15" customHeight="1">
      <c r="A2694" s="3">
        <v>39672</v>
      </c>
      <c r="B2694" s="9">
        <v>23025</v>
      </c>
      <c r="C2694" s="5">
        <v>25575</v>
      </c>
      <c r="D2694" s="5" t="e">
        <f>E2694-(#REF!+C2694)</f>
        <v>#REF!</v>
      </c>
      <c r="E2694" s="5">
        <v>90500</v>
      </c>
      <c r="K2694" s="22">
        <v>1893</v>
      </c>
      <c r="L2694" s="6">
        <v>1895</v>
      </c>
      <c r="M2694" s="125">
        <f t="shared" si="61"/>
        <v>2</v>
      </c>
      <c r="N2694" s="18"/>
      <c r="O2694" s="135"/>
      <c r="P2694" s="175">
        <v>17400</v>
      </c>
      <c r="Q2694" s="25">
        <v>0.14580000000000001</v>
      </c>
      <c r="U2694" s="384">
        <v>0.1</v>
      </c>
      <c r="W2694" s="285">
        <f t="shared" si="62"/>
        <v>2790.6120000000001</v>
      </c>
    </row>
    <row r="2695" spans="1:23" ht="15" customHeight="1">
      <c r="A2695" s="3">
        <v>39673</v>
      </c>
      <c r="B2695" s="9">
        <v>22700</v>
      </c>
      <c r="C2695" s="5">
        <v>25200</v>
      </c>
      <c r="D2695" s="5" t="e">
        <f>E2695-(#REF!+C2695)</f>
        <v>#REF!</v>
      </c>
      <c r="E2695" s="5">
        <v>89875</v>
      </c>
      <c r="K2695" s="22">
        <v>1707.5</v>
      </c>
      <c r="L2695" s="6">
        <v>1691</v>
      </c>
      <c r="M2695" s="125">
        <f t="shared" si="61"/>
        <v>-16.5</v>
      </c>
      <c r="N2695" s="18"/>
      <c r="O2695" s="135"/>
      <c r="P2695" s="175">
        <v>16900</v>
      </c>
      <c r="Q2695" s="25">
        <v>0.14560000000000001</v>
      </c>
      <c r="U2695" s="384">
        <v>0.1</v>
      </c>
      <c r="W2695" s="285">
        <f t="shared" si="62"/>
        <v>2706.7040000000006</v>
      </c>
    </row>
    <row r="2696" spans="1:23" ht="15" customHeight="1">
      <c r="A2696" s="3">
        <v>39674</v>
      </c>
      <c r="B2696" s="9">
        <v>22500</v>
      </c>
      <c r="C2696" s="5">
        <v>24900</v>
      </c>
      <c r="D2696" s="5" t="e">
        <f>E2696-(#REF!+C2696)</f>
        <v>#REF!</v>
      </c>
      <c r="E2696" s="5">
        <v>89525</v>
      </c>
      <c r="K2696" s="22">
        <v>1775</v>
      </c>
      <c r="L2696" s="6">
        <v>1730</v>
      </c>
      <c r="M2696" s="125">
        <f t="shared" si="61"/>
        <v>-45</v>
      </c>
      <c r="N2696" s="18"/>
      <c r="O2696" s="135"/>
      <c r="P2696" s="175">
        <v>16600</v>
      </c>
      <c r="Q2696" s="25">
        <v>0.14580000000000001</v>
      </c>
      <c r="U2696" s="384">
        <v>0.1</v>
      </c>
      <c r="W2696" s="285">
        <f t="shared" si="62"/>
        <v>2662.3080000000004</v>
      </c>
    </row>
    <row r="2697" spans="1:23" ht="15" customHeight="1">
      <c r="A2697" s="3">
        <v>39675</v>
      </c>
      <c r="B2697" s="9">
        <v>22500</v>
      </c>
      <c r="C2697" s="5">
        <v>24725</v>
      </c>
      <c r="D2697" s="5" t="e">
        <f>E2697-(#REF!+C2697)</f>
        <v>#REF!</v>
      </c>
      <c r="E2697" s="5">
        <v>89650</v>
      </c>
      <c r="K2697" s="22">
        <v>1695</v>
      </c>
      <c r="L2697" s="6">
        <v>1690</v>
      </c>
      <c r="M2697" s="125">
        <f t="shared" si="61"/>
        <v>-5</v>
      </c>
      <c r="N2697" s="18"/>
      <c r="O2697" s="135"/>
      <c r="P2697" s="175">
        <v>16500</v>
      </c>
      <c r="Q2697" s="25">
        <v>0.14580000000000001</v>
      </c>
      <c r="U2697" s="384">
        <v>0.1</v>
      </c>
      <c r="W2697" s="285">
        <f t="shared" si="62"/>
        <v>2646.2700000000004</v>
      </c>
    </row>
    <row r="2698" spans="1:23" ht="15" customHeight="1">
      <c r="A2698" s="3">
        <v>39678</v>
      </c>
      <c r="B2698" s="9">
        <v>23225</v>
      </c>
      <c r="C2698" s="5">
        <v>24625</v>
      </c>
      <c r="D2698" s="5" t="e">
        <f>E2698-(#REF!+C2698)</f>
        <v>#REF!</v>
      </c>
      <c r="E2698" s="5">
        <v>89650</v>
      </c>
      <c r="K2698" s="22">
        <v>1724</v>
      </c>
      <c r="L2698" s="6">
        <v>1715</v>
      </c>
      <c r="M2698" s="125">
        <f t="shared" si="61"/>
        <v>-9</v>
      </c>
      <c r="N2698" s="18"/>
      <c r="O2698" s="135"/>
      <c r="P2698" s="175">
        <v>16600</v>
      </c>
      <c r="Q2698" s="25">
        <v>0.14560000000000001</v>
      </c>
      <c r="U2698" s="384">
        <v>0.1</v>
      </c>
      <c r="W2698" s="285">
        <f t="shared" si="62"/>
        <v>2658.6560000000004</v>
      </c>
    </row>
    <row r="2699" spans="1:23" ht="15" customHeight="1">
      <c r="A2699" s="3">
        <v>39679</v>
      </c>
      <c r="B2699" s="9">
        <v>23025</v>
      </c>
      <c r="C2699" s="5">
        <v>24350</v>
      </c>
      <c r="D2699" s="5" t="e">
        <f>E2699-(#REF!+C2699)</f>
        <v>#REF!</v>
      </c>
      <c r="E2699" s="5">
        <v>89750</v>
      </c>
      <c r="K2699" s="22">
        <v>1780</v>
      </c>
      <c r="L2699" s="6">
        <v>1765</v>
      </c>
      <c r="M2699" s="125">
        <f t="shared" si="61"/>
        <v>-15</v>
      </c>
      <c r="N2699" s="18"/>
      <c r="O2699" s="135"/>
      <c r="P2699" s="175">
        <v>17700</v>
      </c>
      <c r="Q2699" s="25">
        <v>0.14549999999999999</v>
      </c>
      <c r="U2699" s="384">
        <v>0.1</v>
      </c>
      <c r="W2699" s="285">
        <f t="shared" si="62"/>
        <v>2832.8850000000002</v>
      </c>
    </row>
    <row r="2700" spans="1:23" ht="15" customHeight="1">
      <c r="A2700" s="3">
        <v>39680</v>
      </c>
      <c r="B2700" s="9">
        <v>23575</v>
      </c>
      <c r="C2700" s="5">
        <v>24150</v>
      </c>
      <c r="D2700" s="5" t="e">
        <f>E2700-(#REF!+C2700)</f>
        <v>#REF!</v>
      </c>
      <c r="E2700" s="5">
        <v>90050</v>
      </c>
      <c r="K2700" s="22">
        <v>1819</v>
      </c>
      <c r="L2700" s="6">
        <v>1809</v>
      </c>
      <c r="M2700" s="125">
        <f t="shared" si="61"/>
        <v>-10</v>
      </c>
      <c r="N2700" s="18"/>
      <c r="O2700" s="135"/>
      <c r="P2700" s="175">
        <v>18100</v>
      </c>
      <c r="Q2700" s="25">
        <v>0.14580000000000001</v>
      </c>
      <c r="U2700" s="384">
        <v>0.1</v>
      </c>
      <c r="W2700" s="285">
        <f t="shared" si="62"/>
        <v>2902.8780000000002</v>
      </c>
    </row>
    <row r="2701" spans="1:23" ht="15" customHeight="1">
      <c r="A2701" s="3">
        <v>39681</v>
      </c>
      <c r="B2701" s="9">
        <v>23575</v>
      </c>
      <c r="C2701" s="5">
        <v>23675</v>
      </c>
      <c r="D2701" s="5" t="e">
        <f>E2701-(#REF!+C2701)</f>
        <v>#REF!</v>
      </c>
      <c r="E2701" s="5">
        <v>91375</v>
      </c>
      <c r="K2701" s="22">
        <v>1895</v>
      </c>
      <c r="L2701" s="6">
        <v>1890</v>
      </c>
      <c r="M2701" s="125">
        <f t="shared" si="61"/>
        <v>-5</v>
      </c>
      <c r="N2701" s="18"/>
      <c r="O2701" s="135"/>
      <c r="P2701" s="175">
        <v>19000</v>
      </c>
      <c r="Q2701" s="25">
        <v>0.1459</v>
      </c>
      <c r="U2701" s="384">
        <v>0.1</v>
      </c>
      <c r="W2701" s="285">
        <f t="shared" si="62"/>
        <v>3049.31</v>
      </c>
    </row>
    <row r="2702" spans="1:23" ht="15" customHeight="1">
      <c r="A2702" s="3">
        <v>39682</v>
      </c>
      <c r="B2702" s="9">
        <v>21350</v>
      </c>
      <c r="C2702" s="5">
        <v>23200</v>
      </c>
      <c r="D2702" s="5" t="e">
        <f>E2702-(#REF!+C2702)</f>
        <v>#REF!</v>
      </c>
      <c r="E2702" s="5">
        <v>88050</v>
      </c>
      <c r="K2702" s="22">
        <v>1880</v>
      </c>
      <c r="L2702" s="6">
        <v>1890</v>
      </c>
      <c r="M2702" s="125">
        <f t="shared" si="61"/>
        <v>10</v>
      </c>
      <c r="N2702" s="18"/>
      <c r="O2702" s="135"/>
      <c r="P2702" s="175">
        <v>19300</v>
      </c>
      <c r="Q2702" s="25">
        <v>0.14610000000000001</v>
      </c>
      <c r="U2702" s="384">
        <v>0.1</v>
      </c>
      <c r="W2702" s="285">
        <f t="shared" si="62"/>
        <v>3101.7030000000004</v>
      </c>
    </row>
    <row r="2703" spans="1:23" ht="15" customHeight="1">
      <c r="A2703" s="3">
        <v>39685</v>
      </c>
      <c r="B2703" s="9">
        <v>0</v>
      </c>
      <c r="C2703" s="24"/>
      <c r="D2703" s="24"/>
      <c r="E2703" s="24"/>
      <c r="F2703" s="1333" t="s">
        <v>30</v>
      </c>
      <c r="G2703" s="1333"/>
      <c r="H2703" s="1333"/>
      <c r="I2703" s="1333"/>
      <c r="J2703" s="65"/>
      <c r="K2703" s="24"/>
      <c r="L2703" s="24"/>
      <c r="M2703" s="24"/>
      <c r="N2703" s="18"/>
      <c r="O2703" s="135"/>
      <c r="P2703" s="175">
        <v>19100</v>
      </c>
      <c r="Q2703" s="25">
        <v>0.14630000000000001</v>
      </c>
      <c r="U2703" s="384">
        <v>0.1</v>
      </c>
      <c r="W2703" s="285">
        <f t="shared" si="62"/>
        <v>3073.7630000000008</v>
      </c>
    </row>
    <row r="2704" spans="1:23" ht="15" customHeight="1">
      <c r="A2704" s="3">
        <v>39686</v>
      </c>
      <c r="B2704" s="9">
        <v>20175</v>
      </c>
      <c r="C2704" s="5">
        <v>22825</v>
      </c>
      <c r="D2704" s="5" t="e">
        <f>E2704-(#REF!+C2704)</f>
        <v>#REF!</v>
      </c>
      <c r="E2704" s="5">
        <v>86425</v>
      </c>
      <c r="K2704" s="22">
        <v>1855</v>
      </c>
      <c r="L2704" s="6">
        <v>1860</v>
      </c>
      <c r="M2704" s="125">
        <f t="shared" si="61"/>
        <v>5</v>
      </c>
      <c r="N2704" s="18"/>
      <c r="O2704" s="135"/>
      <c r="P2704" s="175">
        <v>18600</v>
      </c>
      <c r="Q2704" s="25">
        <v>0.14599999999999999</v>
      </c>
      <c r="U2704" s="384">
        <v>0.1</v>
      </c>
      <c r="W2704" s="285">
        <f t="shared" si="62"/>
        <v>2987.1600000000003</v>
      </c>
    </row>
    <row r="2705" spans="1:23" ht="15" customHeight="1">
      <c r="A2705" s="3">
        <v>39687</v>
      </c>
      <c r="B2705" s="9">
        <v>22150</v>
      </c>
      <c r="C2705" s="5">
        <v>17700</v>
      </c>
      <c r="D2705" s="5" t="e">
        <f>E2705-(#REF!+C2705)</f>
        <v>#REF!</v>
      </c>
      <c r="E2705" s="5">
        <v>83375</v>
      </c>
      <c r="K2705" s="22">
        <v>1916</v>
      </c>
      <c r="L2705" s="6">
        <v>1930</v>
      </c>
      <c r="M2705" s="125">
        <f t="shared" si="61"/>
        <v>14</v>
      </c>
      <c r="N2705" s="18"/>
      <c r="O2705" s="135"/>
      <c r="P2705" s="175">
        <v>18200</v>
      </c>
      <c r="Q2705" s="25">
        <v>0.14599999999999999</v>
      </c>
      <c r="U2705" s="384">
        <v>0.1</v>
      </c>
      <c r="W2705" s="285">
        <f t="shared" si="62"/>
        <v>2922.92</v>
      </c>
    </row>
    <row r="2706" spans="1:23" ht="15" customHeight="1">
      <c r="A2706" s="3">
        <v>39688</v>
      </c>
      <c r="B2706" s="9">
        <v>21775</v>
      </c>
      <c r="C2706" s="5">
        <v>16950</v>
      </c>
      <c r="D2706" s="5" t="e">
        <f>E2706-(#REF!+C2706)</f>
        <v>#REF!</v>
      </c>
      <c r="E2706" s="5">
        <v>83500</v>
      </c>
      <c r="K2706" s="22">
        <v>2111</v>
      </c>
      <c r="L2706" s="6">
        <v>2120</v>
      </c>
      <c r="M2706" s="125">
        <f t="shared" si="61"/>
        <v>9</v>
      </c>
      <c r="N2706" s="18"/>
      <c r="O2706" s="135"/>
      <c r="P2706" s="175">
        <v>18500</v>
      </c>
      <c r="Q2706" s="25">
        <v>0.14630000000000001</v>
      </c>
      <c r="U2706" s="384">
        <v>0.1</v>
      </c>
      <c r="W2706" s="285">
        <f t="shared" si="62"/>
        <v>2977.2050000000004</v>
      </c>
    </row>
    <row r="2707" spans="1:23" ht="15" customHeight="1" thickBot="1">
      <c r="A2707" s="11">
        <v>39689</v>
      </c>
      <c r="B2707" s="9">
        <v>21400</v>
      </c>
      <c r="C2707" s="13">
        <v>15800</v>
      </c>
      <c r="D2707" s="13" t="e">
        <f>E2707-(#REF!+C2707)</f>
        <v>#REF!</v>
      </c>
      <c r="E2707" s="13">
        <v>81875</v>
      </c>
      <c r="F2707" s="12"/>
      <c r="G2707" s="13"/>
      <c r="H2707" s="13"/>
      <c r="I2707" s="119"/>
      <c r="J2707" s="119"/>
      <c r="K2707" s="23">
        <v>1959</v>
      </c>
      <c r="L2707" s="14">
        <v>1959</v>
      </c>
      <c r="M2707" s="126">
        <f t="shared" si="61"/>
        <v>0</v>
      </c>
      <c r="N2707" s="19">
        <f>AVERAGE(K2687:K2707)</f>
        <v>1923.575</v>
      </c>
      <c r="O2707" s="136">
        <f>AVERAGE(K2535:K2707)</f>
        <v>2430.6011904761904</v>
      </c>
      <c r="P2707" s="176">
        <v>18600</v>
      </c>
      <c r="Q2707" s="27">
        <v>0.1464</v>
      </c>
      <c r="R2707" s="27"/>
      <c r="S2707" s="27"/>
      <c r="T2707" s="27"/>
      <c r="U2707" s="385">
        <v>0.1</v>
      </c>
      <c r="V2707" s="38">
        <f>AVERAGE(P2687:P2707)</f>
        <v>18138.095238095237</v>
      </c>
      <c r="W2707" s="285">
        <f t="shared" si="62"/>
        <v>2995.3440000000001</v>
      </c>
    </row>
    <row r="2708" spans="1:23" ht="15" customHeight="1">
      <c r="A2708" s="3">
        <v>39692</v>
      </c>
      <c r="B2708" s="9">
        <v>15050</v>
      </c>
      <c r="C2708" s="5">
        <v>20950</v>
      </c>
      <c r="D2708" s="5" t="e">
        <f>E2708-(#REF!+C2708)</f>
        <v>#REF!</v>
      </c>
      <c r="E2708" s="5">
        <v>80575</v>
      </c>
      <c r="K2708" s="22">
        <v>1951</v>
      </c>
      <c r="L2708" s="6">
        <v>1970</v>
      </c>
      <c r="M2708" s="125">
        <f t="shared" si="61"/>
        <v>19</v>
      </c>
      <c r="N2708" s="20"/>
      <c r="O2708" s="138"/>
      <c r="P2708" s="175">
        <v>18200</v>
      </c>
      <c r="Q2708" s="25">
        <v>0.14599999999999999</v>
      </c>
      <c r="U2708" s="384">
        <v>0.1</v>
      </c>
      <c r="W2708" s="285">
        <f t="shared" si="62"/>
        <v>2922.92</v>
      </c>
    </row>
    <row r="2709" spans="1:23" ht="15" customHeight="1">
      <c r="A2709" s="3">
        <v>39693</v>
      </c>
      <c r="B2709" s="9">
        <v>14125</v>
      </c>
      <c r="C2709" s="5">
        <v>21225</v>
      </c>
      <c r="D2709" s="5" t="e">
        <f>E2709-(#REF!+C2709)</f>
        <v>#REF!</v>
      </c>
      <c r="E2709" s="5">
        <v>79850</v>
      </c>
      <c r="K2709" s="22">
        <v>1875</v>
      </c>
      <c r="L2709" s="6">
        <v>1880</v>
      </c>
      <c r="M2709" s="125">
        <f t="shared" si="61"/>
        <v>5</v>
      </c>
      <c r="N2709" s="18"/>
      <c r="O2709" s="135"/>
      <c r="P2709" s="175">
        <v>18100</v>
      </c>
      <c r="Q2709" s="25">
        <v>0.14649999999999999</v>
      </c>
      <c r="U2709" s="384">
        <v>0.1</v>
      </c>
      <c r="W2709" s="285">
        <f t="shared" si="62"/>
        <v>2916.8150000000001</v>
      </c>
    </row>
    <row r="2710" spans="1:23" ht="15" customHeight="1">
      <c r="A2710" s="3">
        <v>39694</v>
      </c>
      <c r="B2710" s="9">
        <v>13025</v>
      </c>
      <c r="C2710" s="5">
        <v>21225</v>
      </c>
      <c r="D2710" s="5" t="e">
        <f>E2710-(#REF!+C2710)</f>
        <v>#REF!</v>
      </c>
      <c r="E2710" s="5">
        <v>79150</v>
      </c>
      <c r="K2710" s="22">
        <v>1920</v>
      </c>
      <c r="L2710" s="6">
        <v>1935</v>
      </c>
      <c r="M2710" s="125">
        <f t="shared" si="61"/>
        <v>15</v>
      </c>
      <c r="N2710" s="18"/>
      <c r="O2710" s="135"/>
      <c r="P2710" s="175">
        <v>18800</v>
      </c>
      <c r="Q2710" s="25">
        <v>0.14630000000000001</v>
      </c>
      <c r="U2710" s="384">
        <v>0.1</v>
      </c>
      <c r="W2710" s="285">
        <f t="shared" si="62"/>
        <v>3025.4840000000004</v>
      </c>
    </row>
    <row r="2711" spans="1:23" ht="15" customHeight="1">
      <c r="A2711" s="3">
        <v>39695</v>
      </c>
      <c r="B2711" s="9">
        <v>12075</v>
      </c>
      <c r="C2711" s="5">
        <v>21500</v>
      </c>
      <c r="D2711" s="5" t="e">
        <f>E2711-(#REF!+C2711)</f>
        <v>#REF!</v>
      </c>
      <c r="E2711" s="5">
        <v>78700</v>
      </c>
      <c r="K2711" s="22">
        <v>1975</v>
      </c>
      <c r="L2711" s="6">
        <v>1982</v>
      </c>
      <c r="M2711" s="125">
        <f t="shared" si="61"/>
        <v>7</v>
      </c>
      <c r="N2711" s="18"/>
      <c r="O2711" s="135"/>
      <c r="P2711" s="175">
        <v>18050</v>
      </c>
      <c r="Q2711" s="25">
        <v>0.14610000000000001</v>
      </c>
      <c r="U2711" s="384">
        <v>0.1</v>
      </c>
      <c r="W2711" s="285">
        <f t="shared" si="62"/>
        <v>2900.8155000000002</v>
      </c>
    </row>
    <row r="2712" spans="1:23" ht="15" customHeight="1">
      <c r="A2712" s="3">
        <v>39696</v>
      </c>
      <c r="B2712" s="9">
        <v>11225</v>
      </c>
      <c r="C2712" s="5">
        <v>21475</v>
      </c>
      <c r="D2712" s="5" t="e">
        <f>E2712-(#REF!+C2712)</f>
        <v>#REF!</v>
      </c>
      <c r="E2712" s="5">
        <v>78175</v>
      </c>
      <c r="K2712" s="22">
        <v>1806</v>
      </c>
      <c r="L2712" s="6">
        <v>1820</v>
      </c>
      <c r="M2712" s="125">
        <f t="shared" si="61"/>
        <v>14</v>
      </c>
      <c r="N2712" s="18"/>
      <c r="O2712" s="135"/>
      <c r="P2712" s="175">
        <v>18000</v>
      </c>
      <c r="Q2712" s="25">
        <v>0.14630000000000001</v>
      </c>
      <c r="U2712" s="384">
        <v>0.1</v>
      </c>
      <c r="W2712" s="285">
        <f t="shared" si="62"/>
        <v>2896.7400000000002</v>
      </c>
    </row>
    <row r="2713" spans="1:23" ht="15" customHeight="1">
      <c r="A2713" s="3">
        <v>39699</v>
      </c>
      <c r="B2713" s="9">
        <v>10125</v>
      </c>
      <c r="C2713" s="5">
        <v>21625</v>
      </c>
      <c r="D2713" s="5" t="e">
        <f>E2713-(#REF!+C2713)</f>
        <v>#REF!</v>
      </c>
      <c r="E2713" s="5">
        <v>78450</v>
      </c>
      <c r="K2713" s="22">
        <v>1850</v>
      </c>
      <c r="L2713" s="6">
        <v>1857</v>
      </c>
      <c r="M2713" s="125">
        <f t="shared" si="61"/>
        <v>7</v>
      </c>
      <c r="N2713" s="18"/>
      <c r="O2713" s="135"/>
      <c r="P2713" s="175">
        <v>17750</v>
      </c>
      <c r="Q2713" s="25">
        <v>0.1462</v>
      </c>
      <c r="U2713" s="384">
        <v>0.1</v>
      </c>
      <c r="W2713" s="285">
        <f t="shared" si="62"/>
        <v>2854.5549999999998</v>
      </c>
    </row>
    <row r="2714" spans="1:23" ht="15" customHeight="1">
      <c r="A2714" s="3">
        <v>39700</v>
      </c>
      <c r="B2714" s="9">
        <v>9050</v>
      </c>
      <c r="C2714" s="5">
        <v>21700</v>
      </c>
      <c r="D2714" s="5" t="e">
        <f>E2714-(#REF!+C2714)</f>
        <v>#REF!</v>
      </c>
      <c r="E2714" s="5">
        <v>76775</v>
      </c>
      <c r="K2714" s="22">
        <v>1805</v>
      </c>
      <c r="L2714" s="6">
        <v>1815</v>
      </c>
      <c r="M2714" s="125">
        <f t="shared" si="61"/>
        <v>10</v>
      </c>
      <c r="N2714" s="18"/>
      <c r="O2714" s="135"/>
      <c r="P2714" s="175">
        <v>17800</v>
      </c>
      <c r="Q2714" s="25">
        <v>0.1462</v>
      </c>
      <c r="U2714" s="384">
        <v>0.1</v>
      </c>
      <c r="W2714" s="285">
        <f t="shared" si="62"/>
        <v>2862.5960000000005</v>
      </c>
    </row>
    <row r="2715" spans="1:23" ht="15" customHeight="1">
      <c r="A2715" s="3">
        <v>39701</v>
      </c>
      <c r="B2715" s="9">
        <v>8775</v>
      </c>
      <c r="C2715" s="5">
        <v>21300</v>
      </c>
      <c r="D2715" s="5" t="e">
        <f>E2715-(#REF!+C2715)</f>
        <v>#REF!</v>
      </c>
      <c r="E2715" s="5">
        <v>75925</v>
      </c>
      <c r="K2715" s="22">
        <v>1788</v>
      </c>
      <c r="L2715" s="6">
        <v>1800</v>
      </c>
      <c r="M2715" s="125">
        <f t="shared" si="61"/>
        <v>12</v>
      </c>
      <c r="N2715" s="18"/>
      <c r="O2715" s="135"/>
      <c r="P2715" s="175">
        <v>17700</v>
      </c>
      <c r="Q2715" s="25">
        <v>0.1462</v>
      </c>
      <c r="U2715" s="384">
        <v>0.1</v>
      </c>
      <c r="W2715" s="285">
        <f t="shared" si="62"/>
        <v>2846.5140000000001</v>
      </c>
    </row>
    <row r="2716" spans="1:23" ht="15" customHeight="1">
      <c r="A2716" s="3">
        <v>39702</v>
      </c>
      <c r="B2716" s="9">
        <v>8475</v>
      </c>
      <c r="C2716" s="5">
        <v>20975</v>
      </c>
      <c r="D2716" s="5" t="e">
        <f>E2716-(#REF!+C2716)</f>
        <v>#REF!</v>
      </c>
      <c r="E2716" s="5">
        <v>75550</v>
      </c>
      <c r="K2716" s="22">
        <v>1806</v>
      </c>
      <c r="L2716" s="6">
        <v>1819</v>
      </c>
      <c r="M2716" s="125">
        <f t="shared" si="61"/>
        <v>13</v>
      </c>
      <c r="N2716" s="18"/>
      <c r="O2716" s="135"/>
      <c r="P2716" s="175">
        <v>17700</v>
      </c>
      <c r="Q2716" s="25">
        <v>0.1462</v>
      </c>
      <c r="U2716" s="384">
        <v>0.1</v>
      </c>
      <c r="W2716" s="285">
        <f t="shared" si="62"/>
        <v>2846.5140000000001</v>
      </c>
    </row>
    <row r="2717" spans="1:23" ht="15" customHeight="1">
      <c r="A2717" s="3">
        <v>39703</v>
      </c>
      <c r="B2717" s="9">
        <v>8100</v>
      </c>
      <c r="C2717" s="5">
        <v>20700</v>
      </c>
      <c r="D2717" s="5" t="e">
        <f>E2717-(#REF!+C2717)</f>
        <v>#REF!</v>
      </c>
      <c r="E2717" s="5">
        <v>75075</v>
      </c>
      <c r="K2717" s="22">
        <v>1885</v>
      </c>
      <c r="L2717" s="6">
        <v>1895.5</v>
      </c>
      <c r="M2717" s="125">
        <f t="shared" si="61"/>
        <v>10.5</v>
      </c>
      <c r="N2717" s="18"/>
      <c r="O2717" s="135"/>
      <c r="P2717" s="175">
        <v>17800</v>
      </c>
      <c r="Q2717" s="25">
        <v>0.1462</v>
      </c>
      <c r="U2717" s="384">
        <v>0.1</v>
      </c>
      <c r="W2717" s="285">
        <f t="shared" si="62"/>
        <v>2862.5960000000005</v>
      </c>
    </row>
    <row r="2718" spans="1:23" ht="15" customHeight="1">
      <c r="A2718" s="3">
        <v>39706</v>
      </c>
      <c r="B2718" s="9">
        <v>7100</v>
      </c>
      <c r="C2718" s="5">
        <v>20325</v>
      </c>
      <c r="D2718" s="5" t="e">
        <f>E2718-(#REF!+C2718)</f>
        <v>#REF!</v>
      </c>
      <c r="E2718" s="5">
        <v>73575</v>
      </c>
      <c r="K2718" s="22">
        <v>1803.5</v>
      </c>
      <c r="L2718" s="6">
        <v>1815</v>
      </c>
      <c r="M2718" s="125">
        <f t="shared" si="61"/>
        <v>11.5</v>
      </c>
      <c r="N2718" s="18"/>
      <c r="O2718" s="135"/>
      <c r="P2718" s="203"/>
      <c r="Q2718" s="1392" t="s">
        <v>31</v>
      </c>
      <c r="R2718" s="1392"/>
      <c r="S2718" s="1392"/>
      <c r="T2718" s="1392"/>
      <c r="U2718" s="1392"/>
      <c r="V2718" s="196"/>
      <c r="W2718" s="285" t="e">
        <f t="shared" si="62"/>
        <v>#VALUE!</v>
      </c>
    </row>
    <row r="2719" spans="1:23" ht="15" customHeight="1">
      <c r="A2719" s="3">
        <v>39707</v>
      </c>
      <c r="B2719" s="9">
        <v>6800</v>
      </c>
      <c r="C2719" s="5">
        <v>19825</v>
      </c>
      <c r="D2719" s="5" t="e">
        <f>E2719-(#REF!+C2719)</f>
        <v>#REF!</v>
      </c>
      <c r="E2719" s="5">
        <v>73100</v>
      </c>
      <c r="K2719" s="22">
        <v>1784</v>
      </c>
      <c r="L2719" s="6">
        <v>1780.5</v>
      </c>
      <c r="M2719" s="125">
        <f t="shared" si="61"/>
        <v>-3.5</v>
      </c>
      <c r="N2719" s="18"/>
      <c r="O2719" s="135"/>
      <c r="P2719" s="175">
        <v>17800</v>
      </c>
      <c r="Q2719" s="25">
        <v>0.14599999999999999</v>
      </c>
      <c r="U2719" s="384">
        <v>0.1</v>
      </c>
      <c r="W2719" s="285">
        <f t="shared" si="62"/>
        <v>2858.68</v>
      </c>
    </row>
    <row r="2720" spans="1:23" ht="15" customHeight="1">
      <c r="A2720" s="3">
        <v>39708</v>
      </c>
      <c r="B2720" s="9">
        <v>6350</v>
      </c>
      <c r="C2720" s="5">
        <v>19650</v>
      </c>
      <c r="D2720" s="5" t="e">
        <f>E2720-(#REF!+C2720)</f>
        <v>#REF!</v>
      </c>
      <c r="E2720" s="5">
        <v>71925</v>
      </c>
      <c r="K2720" s="22">
        <v>1813</v>
      </c>
      <c r="L2720" s="6">
        <v>1820</v>
      </c>
      <c r="M2720" s="125">
        <f t="shared" si="61"/>
        <v>7</v>
      </c>
      <c r="N2720" s="18"/>
      <c r="O2720" s="135"/>
      <c r="P2720" s="175">
        <v>17550</v>
      </c>
      <c r="Q2720" s="25">
        <v>0.1462</v>
      </c>
      <c r="U2720" s="384">
        <v>0.1</v>
      </c>
      <c r="W2720" s="285">
        <f t="shared" si="62"/>
        <v>2822.3910000000001</v>
      </c>
    </row>
    <row r="2721" spans="1:23" ht="15" customHeight="1">
      <c r="A2721" s="3">
        <v>39709</v>
      </c>
      <c r="B2721" s="9">
        <v>5825</v>
      </c>
      <c r="C2721" s="5">
        <v>19275</v>
      </c>
      <c r="D2721" s="5" t="e">
        <f>E2721-(#REF!+C2721)</f>
        <v>#REF!</v>
      </c>
      <c r="E2721" s="5">
        <v>70525</v>
      </c>
      <c r="K2721" s="22">
        <v>1805</v>
      </c>
      <c r="L2721" s="6">
        <v>1815</v>
      </c>
      <c r="M2721" s="125">
        <f t="shared" si="61"/>
        <v>10</v>
      </c>
      <c r="N2721" s="18"/>
      <c r="O2721" s="135"/>
      <c r="P2721" s="175">
        <v>17550</v>
      </c>
      <c r="Q2721" s="25">
        <v>0.1462</v>
      </c>
      <c r="U2721" s="384">
        <v>0.1</v>
      </c>
      <c r="W2721" s="285">
        <f t="shared" si="62"/>
        <v>2822.3910000000001</v>
      </c>
    </row>
    <row r="2722" spans="1:23" ht="15" customHeight="1">
      <c r="A2722" s="3">
        <v>39710</v>
      </c>
      <c r="B2722" s="9">
        <v>5300</v>
      </c>
      <c r="C2722" s="5">
        <v>18950</v>
      </c>
      <c r="D2722" s="5" t="e">
        <f>E2722-(#REF!+C2722)</f>
        <v>#REF!</v>
      </c>
      <c r="E2722" s="5">
        <v>69175</v>
      </c>
      <c r="K2722" s="22">
        <v>1832.5</v>
      </c>
      <c r="L2722" s="6">
        <v>1845</v>
      </c>
      <c r="M2722" s="125">
        <f t="shared" ref="M2722:M2785" si="63">L2722-K2722</f>
        <v>12.5</v>
      </c>
      <c r="N2722" s="18"/>
      <c r="O2722" s="135"/>
      <c r="P2722" s="175">
        <v>17550</v>
      </c>
      <c r="Q2722" s="25">
        <v>0.14630000000000001</v>
      </c>
      <c r="U2722" s="384">
        <v>0.1</v>
      </c>
      <c r="W2722" s="285">
        <f t="shared" si="62"/>
        <v>2824.3215000000005</v>
      </c>
    </row>
    <row r="2723" spans="1:23" ht="15" customHeight="1">
      <c r="A2723" s="3">
        <v>39713</v>
      </c>
      <c r="B2723" s="9">
        <v>5800</v>
      </c>
      <c r="C2723" s="5">
        <v>18725</v>
      </c>
      <c r="D2723" s="5" t="e">
        <f>E2723-(#REF!+C2723)</f>
        <v>#REF!</v>
      </c>
      <c r="E2723" s="5">
        <v>69700</v>
      </c>
      <c r="K2723" s="22">
        <v>1921</v>
      </c>
      <c r="L2723" s="6">
        <v>1938</v>
      </c>
      <c r="M2723" s="125">
        <f t="shared" si="63"/>
        <v>17</v>
      </c>
      <c r="N2723" s="18"/>
      <c r="O2723" s="135"/>
      <c r="P2723" s="175">
        <v>17700</v>
      </c>
      <c r="Q2723" s="25">
        <v>0.1464</v>
      </c>
      <c r="U2723" s="384">
        <v>0.1</v>
      </c>
      <c r="W2723" s="285">
        <f t="shared" si="62"/>
        <v>2850.4080000000004</v>
      </c>
    </row>
    <row r="2724" spans="1:23" ht="15" customHeight="1">
      <c r="A2724" s="3">
        <v>39714</v>
      </c>
      <c r="B2724" s="9">
        <v>5750</v>
      </c>
      <c r="C2724" s="5">
        <v>18825</v>
      </c>
      <c r="D2724" s="5" t="e">
        <f>E2724-(#REF!+C2724)</f>
        <v>#REF!</v>
      </c>
      <c r="E2724" s="5">
        <v>68400</v>
      </c>
      <c r="K2724" s="22">
        <v>1920.5</v>
      </c>
      <c r="L2724" s="6">
        <v>1950</v>
      </c>
      <c r="M2724" s="125">
        <f t="shared" si="63"/>
        <v>29.5</v>
      </c>
      <c r="N2724" s="18"/>
      <c r="O2724" s="135"/>
      <c r="P2724" s="175">
        <v>18000</v>
      </c>
      <c r="Q2724" s="25">
        <v>0.1464</v>
      </c>
      <c r="U2724" s="384">
        <v>0.1</v>
      </c>
      <c r="W2724" s="285">
        <f t="shared" si="62"/>
        <v>2898.7200000000003</v>
      </c>
    </row>
    <row r="2725" spans="1:23" ht="15" customHeight="1">
      <c r="A2725" s="3">
        <v>39715</v>
      </c>
      <c r="B2725" s="9">
        <v>5700</v>
      </c>
      <c r="C2725" s="5">
        <v>18800</v>
      </c>
      <c r="D2725" s="5" t="e">
        <f>E2725-(#REF!+C2725)</f>
        <v>#REF!</v>
      </c>
      <c r="E2725" s="5">
        <v>67575</v>
      </c>
      <c r="K2725" s="22">
        <v>2001</v>
      </c>
      <c r="L2725" s="6">
        <v>2019</v>
      </c>
      <c r="M2725" s="125">
        <f t="shared" si="63"/>
        <v>18</v>
      </c>
      <c r="N2725" s="18"/>
      <c r="O2725" s="135"/>
      <c r="P2725" s="175">
        <v>17800</v>
      </c>
      <c r="Q2725" s="25">
        <v>0.14649999999999999</v>
      </c>
      <c r="U2725" s="384">
        <v>0.1</v>
      </c>
      <c r="W2725" s="285">
        <f t="shared" si="62"/>
        <v>2868.4700000000003</v>
      </c>
    </row>
    <row r="2726" spans="1:23" ht="15" customHeight="1">
      <c r="A2726" s="3">
        <v>39716</v>
      </c>
      <c r="B2726" s="9">
        <v>5100</v>
      </c>
      <c r="C2726" s="5">
        <v>18525</v>
      </c>
      <c r="D2726" s="5" t="e">
        <f>E2726-(#REF!+C2726)</f>
        <v>#REF!</v>
      </c>
      <c r="E2726" s="5">
        <v>66575</v>
      </c>
      <c r="K2726" s="22">
        <v>1946</v>
      </c>
      <c r="L2726" s="6">
        <v>1965</v>
      </c>
      <c r="M2726" s="125">
        <f t="shared" si="63"/>
        <v>19</v>
      </c>
      <c r="N2726" s="18"/>
      <c r="O2726" s="135"/>
      <c r="P2726" s="175">
        <v>17750</v>
      </c>
      <c r="Q2726" s="25">
        <v>0.14649999999999999</v>
      </c>
      <c r="U2726" s="384">
        <v>0.1</v>
      </c>
      <c r="W2726" s="285">
        <f t="shared" si="62"/>
        <v>2860.4125000000004</v>
      </c>
    </row>
    <row r="2727" spans="1:23" ht="15" customHeight="1">
      <c r="A2727" s="3">
        <v>39717</v>
      </c>
      <c r="B2727" s="9">
        <v>4625</v>
      </c>
      <c r="C2727" s="5">
        <v>18250</v>
      </c>
      <c r="D2727" s="5" t="e">
        <f>E2727-(#REF!+C2727)</f>
        <v>#REF!</v>
      </c>
      <c r="E2727" s="5">
        <v>65700</v>
      </c>
      <c r="K2727" s="22">
        <v>1980</v>
      </c>
      <c r="L2727" s="6">
        <v>1985.5</v>
      </c>
      <c r="M2727" s="125">
        <f t="shared" si="63"/>
        <v>5.5</v>
      </c>
      <c r="N2727" s="18"/>
      <c r="O2727" s="135"/>
      <c r="P2727" s="175">
        <v>17750</v>
      </c>
      <c r="Q2727" s="25">
        <v>0.14660000000000001</v>
      </c>
      <c r="U2727" s="384">
        <v>0.1</v>
      </c>
      <c r="V2727" s="36">
        <f>AVERAGE(P2708:P2729)</f>
        <v>17860.526315789473</v>
      </c>
      <c r="W2727" s="285">
        <f t="shared" si="62"/>
        <v>2862.3650000000002</v>
      </c>
    </row>
    <row r="2728" spans="1:23" ht="15" customHeight="1">
      <c r="A2728" s="3">
        <v>39720</v>
      </c>
      <c r="B2728" s="9">
        <v>4075</v>
      </c>
      <c r="C2728" s="5">
        <v>18300</v>
      </c>
      <c r="D2728" s="5" t="e">
        <f>E2728-(#REF!+C2728)</f>
        <v>#REF!</v>
      </c>
      <c r="E2728" s="5">
        <v>64525</v>
      </c>
      <c r="K2728" s="22">
        <v>1835.5</v>
      </c>
      <c r="L2728" s="6">
        <v>1860</v>
      </c>
      <c r="M2728" s="125">
        <f t="shared" si="63"/>
        <v>24.5</v>
      </c>
      <c r="N2728" s="18"/>
      <c r="O2728" s="135"/>
      <c r="P2728" s="175"/>
      <c r="Q2728" s="1392" t="s">
        <v>32</v>
      </c>
      <c r="R2728" s="1392"/>
      <c r="S2728" s="1392"/>
      <c r="T2728" s="1392"/>
      <c r="U2728" s="1392"/>
      <c r="V2728" s="196"/>
      <c r="W2728" s="285" t="e">
        <f t="shared" si="62"/>
        <v>#VALUE!</v>
      </c>
    </row>
    <row r="2729" spans="1:23" ht="15" customHeight="1" thickBot="1">
      <c r="A2729" s="11">
        <v>39721</v>
      </c>
      <c r="B2729" s="9">
        <v>4025</v>
      </c>
      <c r="C2729" s="13">
        <v>18375</v>
      </c>
      <c r="D2729" s="13" t="e">
        <f>E2729-(#REF!+C2729)</f>
        <v>#REF!</v>
      </c>
      <c r="E2729" s="13">
        <v>64250</v>
      </c>
      <c r="F2729" s="12"/>
      <c r="G2729" s="13"/>
      <c r="H2729" s="13"/>
      <c r="I2729" s="119"/>
      <c r="J2729" s="119"/>
      <c r="K2729" s="23">
        <v>1801</v>
      </c>
      <c r="L2729" s="14">
        <v>1830</v>
      </c>
      <c r="M2729" s="126">
        <f t="shared" si="63"/>
        <v>29</v>
      </c>
      <c r="N2729" s="19">
        <f>AVERAGE(K2708:K2729)</f>
        <v>1868.3636363636363</v>
      </c>
      <c r="O2729" s="136">
        <f>AVERAGE(K2535:K2729)</f>
        <v>2365.5</v>
      </c>
      <c r="P2729" s="203"/>
      <c r="Q2729" s="1392"/>
      <c r="R2729" s="1392"/>
      <c r="S2729" s="1392"/>
      <c r="T2729" s="1392"/>
      <c r="U2729" s="1392"/>
      <c r="V2729" s="196"/>
      <c r="W2729" s="285">
        <f t="shared" si="62"/>
        <v>0</v>
      </c>
    </row>
    <row r="2730" spans="1:23" ht="15" customHeight="1">
      <c r="A2730" s="29">
        <v>39722</v>
      </c>
      <c r="B2730" s="9">
        <v>4025</v>
      </c>
      <c r="C2730" s="31">
        <v>18250</v>
      </c>
      <c r="D2730" s="31" t="e">
        <f>E2730-(#REF!+C2730)</f>
        <v>#REF!</v>
      </c>
      <c r="E2730" s="31">
        <v>64100</v>
      </c>
      <c r="F2730" s="30"/>
      <c r="G2730" s="31"/>
      <c r="H2730" s="31"/>
      <c r="I2730" s="123"/>
      <c r="J2730" s="123"/>
      <c r="K2730" s="32">
        <v>1806</v>
      </c>
      <c r="L2730" s="33">
        <v>1830</v>
      </c>
      <c r="M2730" s="125">
        <f t="shared" si="63"/>
        <v>24</v>
      </c>
      <c r="N2730" s="20"/>
      <c r="O2730" s="138"/>
      <c r="P2730" s="203"/>
      <c r="Q2730" s="1392"/>
      <c r="R2730" s="1392"/>
      <c r="S2730" s="1392"/>
      <c r="T2730" s="1392"/>
      <c r="U2730" s="1392"/>
      <c r="V2730" s="196"/>
      <c r="W2730" s="285">
        <f t="shared" si="62"/>
        <v>0</v>
      </c>
    </row>
    <row r="2731" spans="1:23" ht="15" customHeight="1">
      <c r="A2731" s="3">
        <v>39723</v>
      </c>
      <c r="B2731" s="9">
        <v>4025</v>
      </c>
      <c r="C2731" s="5">
        <v>18850</v>
      </c>
      <c r="D2731" s="5" t="e">
        <f>E2731-(#REF!+C2731)</f>
        <v>#REF!</v>
      </c>
      <c r="E2731" s="5">
        <v>64700</v>
      </c>
      <c r="K2731" s="22">
        <v>1740</v>
      </c>
      <c r="L2731" s="6">
        <v>1760</v>
      </c>
      <c r="M2731" s="125">
        <f t="shared" si="63"/>
        <v>20</v>
      </c>
      <c r="N2731" s="18"/>
      <c r="O2731" s="135"/>
      <c r="P2731" s="203"/>
      <c r="Q2731" s="1392"/>
      <c r="R2731" s="1392"/>
      <c r="S2731" s="1392"/>
      <c r="T2731" s="1392"/>
      <c r="U2731" s="1392"/>
      <c r="V2731" s="196"/>
      <c r="W2731" s="285">
        <f t="shared" si="62"/>
        <v>0</v>
      </c>
    </row>
    <row r="2732" spans="1:23" ht="15" customHeight="1">
      <c r="A2732" s="3">
        <v>39724</v>
      </c>
      <c r="B2732" s="9">
        <v>4025</v>
      </c>
      <c r="C2732" s="5">
        <v>19150</v>
      </c>
      <c r="D2732" s="5" t="e">
        <f>E2732-(#REF!+C2732)</f>
        <v>#REF!</v>
      </c>
      <c r="E2732" s="5">
        <v>64800</v>
      </c>
      <c r="K2732" s="22">
        <v>1681</v>
      </c>
      <c r="L2732" s="6">
        <v>1710</v>
      </c>
      <c r="M2732" s="125">
        <f t="shared" si="63"/>
        <v>29</v>
      </c>
      <c r="N2732" s="18"/>
      <c r="O2732" s="135"/>
      <c r="P2732" s="203"/>
      <c r="Q2732" s="1392"/>
      <c r="R2732" s="1392"/>
      <c r="S2732" s="1392"/>
      <c r="T2732" s="1392"/>
      <c r="U2732" s="1392"/>
      <c r="V2732" s="196"/>
      <c r="W2732" s="285">
        <f t="shared" si="62"/>
        <v>0</v>
      </c>
    </row>
    <row r="2733" spans="1:23" ht="15" customHeight="1">
      <c r="A2733" s="3">
        <v>39725</v>
      </c>
      <c r="B2733" s="9">
        <v>3725</v>
      </c>
      <c r="C2733" s="5">
        <v>19700</v>
      </c>
      <c r="D2733" s="5" t="e">
        <f>E2733-(#REF!+C2733)</f>
        <v>#REF!</v>
      </c>
      <c r="E2733" s="5">
        <v>65050</v>
      </c>
      <c r="K2733" s="22">
        <v>1615</v>
      </c>
      <c r="L2733" s="6">
        <v>1640</v>
      </c>
      <c r="M2733" s="125">
        <f t="shared" si="63"/>
        <v>25</v>
      </c>
      <c r="N2733" s="18"/>
      <c r="O2733" s="135"/>
      <c r="P2733" s="175">
        <v>17000</v>
      </c>
      <c r="Q2733" s="25">
        <v>0.14610000000000001</v>
      </c>
      <c r="U2733" s="384">
        <v>0.1</v>
      </c>
      <c r="W2733" s="285">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25">
        <f t="shared" si="63"/>
        <v>18.5</v>
      </c>
      <c r="N2734" s="18"/>
      <c r="O2734" s="135"/>
      <c r="P2734" s="175">
        <v>16600</v>
      </c>
      <c r="Q2734" s="25">
        <v>0.14610000000000001</v>
      </c>
      <c r="U2734" s="384">
        <v>0.1</v>
      </c>
      <c r="W2734" s="285">
        <f t="shared" si="64"/>
        <v>2667.7860000000005</v>
      </c>
    </row>
    <row r="2735" spans="1:23" ht="15" customHeight="1">
      <c r="A2735" s="3">
        <v>39729</v>
      </c>
      <c r="B2735" s="9">
        <v>3225</v>
      </c>
      <c r="C2735" s="5">
        <v>19650</v>
      </c>
      <c r="D2735" s="5" t="e">
        <f>E2735-(#REF!+C2735)</f>
        <v>#REF!</v>
      </c>
      <c r="E2735" s="5">
        <v>64025</v>
      </c>
      <c r="K2735" s="22">
        <v>1605</v>
      </c>
      <c r="L2735" s="6">
        <v>1616</v>
      </c>
      <c r="M2735" s="125">
        <f t="shared" si="63"/>
        <v>11</v>
      </c>
      <c r="N2735" s="18"/>
      <c r="O2735" s="135"/>
      <c r="P2735" s="175">
        <v>16600</v>
      </c>
      <c r="Q2735" s="25">
        <v>0.1467</v>
      </c>
      <c r="U2735" s="384">
        <v>0.1</v>
      </c>
      <c r="W2735" s="285">
        <f t="shared" si="64"/>
        <v>2678.7420000000002</v>
      </c>
    </row>
    <row r="2736" spans="1:23" ht="15" customHeight="1">
      <c r="A2736" s="3">
        <v>39730</v>
      </c>
      <c r="B2736" s="9">
        <v>2950</v>
      </c>
      <c r="C2736" s="5">
        <v>19475</v>
      </c>
      <c r="D2736" s="5" t="e">
        <f>E2736-(#REF!+C2736)</f>
        <v>#REF!</v>
      </c>
      <c r="E2736" s="5">
        <v>63175</v>
      </c>
      <c r="K2736" s="22">
        <v>1605</v>
      </c>
      <c r="L2736" s="6">
        <v>1615</v>
      </c>
      <c r="M2736" s="125">
        <f t="shared" si="63"/>
        <v>10</v>
      </c>
      <c r="N2736" s="18"/>
      <c r="O2736" s="135"/>
      <c r="P2736" s="175">
        <v>16300</v>
      </c>
      <c r="Q2736" s="25">
        <v>0.14680000000000001</v>
      </c>
      <c r="U2736" s="384">
        <v>0.1</v>
      </c>
      <c r="W2736" s="285">
        <f t="shared" si="64"/>
        <v>2632.1240000000003</v>
      </c>
    </row>
    <row r="2737" spans="1:23" ht="15" customHeight="1">
      <c r="A2737" s="3">
        <v>39731</v>
      </c>
      <c r="B2737" s="9">
        <v>2825</v>
      </c>
      <c r="C2737" s="5">
        <v>19475</v>
      </c>
      <c r="D2737" s="5" t="e">
        <f>E2737-(#REF!+C2737)</f>
        <v>#REF!</v>
      </c>
      <c r="E2737" s="5">
        <v>63000</v>
      </c>
      <c r="K2737" s="22">
        <v>1484</v>
      </c>
      <c r="L2737" s="6">
        <v>1475</v>
      </c>
      <c r="M2737" s="125">
        <f t="shared" si="63"/>
        <v>-9</v>
      </c>
      <c r="N2737" s="18"/>
      <c r="O2737" s="135"/>
      <c r="P2737" s="175">
        <v>16000</v>
      </c>
      <c r="Q2737" s="25">
        <v>0.14660000000000001</v>
      </c>
      <c r="U2737" s="384">
        <v>0.1</v>
      </c>
      <c r="W2737" s="285">
        <f t="shared" si="64"/>
        <v>2580.1600000000003</v>
      </c>
    </row>
    <row r="2738" spans="1:23" ht="15" customHeight="1">
      <c r="A2738" s="3">
        <v>39734</v>
      </c>
      <c r="B2738" s="9">
        <v>2550</v>
      </c>
      <c r="C2738" s="5">
        <v>19450</v>
      </c>
      <c r="D2738" s="5" t="e">
        <f>E2738-(#REF!+C2738)</f>
        <v>#REF!</v>
      </c>
      <c r="E2738" s="5">
        <v>62450</v>
      </c>
      <c r="K2738" s="22">
        <v>1518</v>
      </c>
      <c r="L2738" s="6">
        <v>1521</v>
      </c>
      <c r="M2738" s="125">
        <f t="shared" si="63"/>
        <v>3</v>
      </c>
      <c r="N2738" s="18"/>
      <c r="O2738" s="135"/>
      <c r="P2738" s="175">
        <v>15400</v>
      </c>
      <c r="Q2738" s="25">
        <v>0.14630000000000001</v>
      </c>
      <c r="U2738" s="384">
        <v>0.1</v>
      </c>
      <c r="W2738" s="285">
        <f t="shared" si="64"/>
        <v>2478.3220000000001</v>
      </c>
    </row>
    <row r="2739" spans="1:23" ht="15" customHeight="1">
      <c r="A2739" s="3">
        <v>39735</v>
      </c>
      <c r="B2739" s="9">
        <v>2475</v>
      </c>
      <c r="C2739" s="5">
        <v>19400</v>
      </c>
      <c r="D2739" s="5" t="e">
        <f>E2739-(#REF!+C2739)</f>
        <v>#REF!</v>
      </c>
      <c r="E2739" s="5">
        <v>62300</v>
      </c>
      <c r="K2739" s="22">
        <v>1615</v>
      </c>
      <c r="L2739" s="6">
        <v>1615</v>
      </c>
      <c r="M2739" s="125">
        <f t="shared" si="63"/>
        <v>0</v>
      </c>
      <c r="N2739" s="18"/>
      <c r="O2739" s="135"/>
      <c r="P2739" s="175">
        <v>15500</v>
      </c>
      <c r="Q2739" s="25">
        <v>0.14630000000000001</v>
      </c>
      <c r="U2739" s="384">
        <v>0.1</v>
      </c>
      <c r="W2739" s="285">
        <f t="shared" si="64"/>
        <v>2494.4150000000004</v>
      </c>
    </row>
    <row r="2740" spans="1:23" ht="15" customHeight="1">
      <c r="A2740" s="3">
        <v>39736</v>
      </c>
      <c r="B2740" s="9">
        <v>2150</v>
      </c>
      <c r="C2740" s="5">
        <v>19375</v>
      </c>
      <c r="D2740" s="5" t="e">
        <f>E2740-(#REF!+C2740)</f>
        <v>#REF!</v>
      </c>
      <c r="E2740" s="5">
        <v>61725</v>
      </c>
      <c r="K2740" s="22">
        <v>1512</v>
      </c>
      <c r="L2740" s="6">
        <v>1530</v>
      </c>
      <c r="M2740" s="125">
        <f t="shared" si="63"/>
        <v>18</v>
      </c>
      <c r="N2740" s="18"/>
      <c r="O2740" s="135"/>
      <c r="P2740" s="175">
        <v>15500</v>
      </c>
      <c r="Q2740" s="25">
        <v>0.1464</v>
      </c>
      <c r="U2740" s="384">
        <v>0.1</v>
      </c>
      <c r="W2740" s="285">
        <f t="shared" si="64"/>
        <v>2496.12</v>
      </c>
    </row>
    <row r="2741" spans="1:23" ht="15" customHeight="1">
      <c r="A2741" s="3">
        <v>39737</v>
      </c>
      <c r="B2741" s="9">
        <v>2050</v>
      </c>
      <c r="C2741" s="5">
        <v>19375</v>
      </c>
      <c r="D2741" s="5" t="e">
        <f>E2741-(#REF!+C2741)</f>
        <v>#REF!</v>
      </c>
      <c r="E2741" s="5">
        <v>61075</v>
      </c>
      <c r="K2741" s="22">
        <v>1440</v>
      </c>
      <c r="L2741" s="6">
        <v>1460</v>
      </c>
      <c r="M2741" s="125">
        <f t="shared" si="63"/>
        <v>20</v>
      </c>
      <c r="N2741" s="18"/>
      <c r="O2741" s="135"/>
      <c r="P2741" s="175">
        <v>15100</v>
      </c>
      <c r="Q2741" s="25">
        <v>0.1464</v>
      </c>
      <c r="U2741" s="384">
        <v>0.1</v>
      </c>
      <c r="W2741" s="285">
        <f t="shared" si="64"/>
        <v>2431.7040000000002</v>
      </c>
    </row>
    <row r="2742" spans="1:23" ht="15" customHeight="1">
      <c r="A2742" s="3">
        <v>39738</v>
      </c>
      <c r="B2742" s="9">
        <v>1700</v>
      </c>
      <c r="C2742" s="5">
        <v>19375</v>
      </c>
      <c r="D2742" s="5" t="e">
        <f>E2742-(#REF!+C2742)</f>
        <v>#REF!</v>
      </c>
      <c r="E2742" s="5">
        <v>59425</v>
      </c>
      <c r="K2742" s="22">
        <v>1326</v>
      </c>
      <c r="L2742" s="6">
        <v>1337</v>
      </c>
      <c r="M2742" s="125">
        <f t="shared" si="63"/>
        <v>11</v>
      </c>
      <c r="N2742" s="18"/>
      <c r="O2742" s="135"/>
      <c r="P2742" s="175">
        <v>14500</v>
      </c>
      <c r="Q2742" s="25">
        <v>0.14630000000000001</v>
      </c>
      <c r="U2742" s="384">
        <v>0.1</v>
      </c>
      <c r="W2742" s="285">
        <f t="shared" si="64"/>
        <v>2333.4850000000006</v>
      </c>
    </row>
    <row r="2743" spans="1:23" ht="15" customHeight="1">
      <c r="A2743" s="3">
        <v>39741</v>
      </c>
      <c r="B2743" s="9">
        <v>1550</v>
      </c>
      <c r="C2743" s="5">
        <v>19325</v>
      </c>
      <c r="D2743" s="5" t="e">
        <f>E2743-(#REF!+C2743)</f>
        <v>#REF!</v>
      </c>
      <c r="E2743" s="5">
        <v>58475</v>
      </c>
      <c r="K2743" s="22">
        <v>1407</v>
      </c>
      <c r="L2743" s="6">
        <v>1420</v>
      </c>
      <c r="M2743" s="125">
        <f t="shared" si="63"/>
        <v>13</v>
      </c>
      <c r="N2743" s="18"/>
      <c r="O2743" s="135"/>
      <c r="P2743" s="175">
        <v>14000</v>
      </c>
      <c r="Q2743" s="25">
        <v>0.14630000000000001</v>
      </c>
      <c r="U2743" s="384">
        <v>0.1</v>
      </c>
      <c r="W2743" s="285">
        <f t="shared" si="64"/>
        <v>2253.0200000000004</v>
      </c>
    </row>
    <row r="2744" spans="1:23" ht="15" customHeight="1">
      <c r="A2744" s="3">
        <v>39742</v>
      </c>
      <c r="B2744" s="9">
        <v>1550</v>
      </c>
      <c r="C2744" s="5">
        <v>19175</v>
      </c>
      <c r="D2744" s="5" t="e">
        <f>E2744-(#REF!+C2744)</f>
        <v>#REF!</v>
      </c>
      <c r="E2744" s="5">
        <v>57400</v>
      </c>
      <c r="K2744" s="22">
        <v>1336</v>
      </c>
      <c r="L2744" s="6">
        <v>1355.5</v>
      </c>
      <c r="M2744" s="125">
        <f t="shared" si="63"/>
        <v>19.5</v>
      </c>
      <c r="N2744" s="18"/>
      <c r="O2744" s="135"/>
      <c r="P2744" s="175">
        <v>13300</v>
      </c>
      <c r="Q2744" s="25">
        <v>0.1464</v>
      </c>
      <c r="U2744" s="384">
        <v>0.1</v>
      </c>
      <c r="W2744" s="285">
        <f t="shared" si="64"/>
        <v>2141.8320000000003</v>
      </c>
    </row>
    <row r="2745" spans="1:23" ht="15" customHeight="1">
      <c r="A2745" s="3">
        <v>39743</v>
      </c>
      <c r="B2745" s="9">
        <v>1475</v>
      </c>
      <c r="C2745" s="5">
        <v>19000</v>
      </c>
      <c r="D2745" s="5" t="e">
        <f>E2745-(#REF!+C2745)</f>
        <v>#REF!</v>
      </c>
      <c r="E2745" s="5">
        <v>55950</v>
      </c>
      <c r="K2745" s="22">
        <v>1240</v>
      </c>
      <c r="L2745" s="6">
        <v>1262</v>
      </c>
      <c r="M2745" s="125">
        <f t="shared" si="63"/>
        <v>22</v>
      </c>
      <c r="N2745" s="18"/>
      <c r="O2745" s="135"/>
      <c r="P2745" s="175">
        <v>12650</v>
      </c>
      <c r="Q2745" s="25">
        <v>0.14630000000000001</v>
      </c>
      <c r="U2745" s="384">
        <v>0.1</v>
      </c>
      <c r="W2745" s="285">
        <f t="shared" si="64"/>
        <v>2035.7645000000005</v>
      </c>
    </row>
    <row r="2746" spans="1:23" ht="15" customHeight="1">
      <c r="A2746" s="3">
        <v>39744</v>
      </c>
      <c r="B2746" s="9">
        <v>1675</v>
      </c>
      <c r="C2746" s="5">
        <v>18850</v>
      </c>
      <c r="D2746" s="5" t="e">
        <f>E2746-(#REF!+C2746)</f>
        <v>#REF!</v>
      </c>
      <c r="E2746" s="5">
        <v>55200</v>
      </c>
      <c r="K2746" s="22">
        <v>1150.5</v>
      </c>
      <c r="L2746" s="6">
        <v>1166</v>
      </c>
      <c r="M2746" s="125">
        <f t="shared" si="63"/>
        <v>15.5</v>
      </c>
      <c r="N2746" s="18"/>
      <c r="O2746" s="135"/>
      <c r="P2746" s="175">
        <v>10650</v>
      </c>
      <c r="Q2746" s="25">
        <v>0.14630000000000001</v>
      </c>
      <c r="U2746" s="384">
        <v>0.1</v>
      </c>
      <c r="W2746" s="285">
        <f t="shared" si="64"/>
        <v>1713.9045000000003</v>
      </c>
    </row>
    <row r="2747" spans="1:23" ht="15" customHeight="1">
      <c r="A2747" s="3">
        <v>39745</v>
      </c>
      <c r="B2747" s="9">
        <v>1675</v>
      </c>
      <c r="C2747" s="5">
        <v>18800</v>
      </c>
      <c r="D2747" s="5" t="e">
        <f>E2747-(#REF!+C2747)</f>
        <v>#REF!</v>
      </c>
      <c r="E2747" s="5">
        <v>54450</v>
      </c>
      <c r="K2747" s="22">
        <v>1140</v>
      </c>
      <c r="L2747" s="6">
        <v>1165</v>
      </c>
      <c r="M2747" s="125">
        <f t="shared" si="63"/>
        <v>25</v>
      </c>
      <c r="N2747" s="18"/>
      <c r="O2747" s="135"/>
      <c r="P2747" s="175">
        <v>10650</v>
      </c>
      <c r="Q2747" s="25">
        <v>0.14630000000000001</v>
      </c>
      <c r="U2747" s="384">
        <v>0.1</v>
      </c>
      <c r="W2747" s="285">
        <f t="shared" si="64"/>
        <v>1713.9045000000003</v>
      </c>
    </row>
    <row r="2748" spans="1:23" ht="15" customHeight="1">
      <c r="A2748" s="3">
        <v>39748</v>
      </c>
      <c r="B2748" s="9">
        <v>1475</v>
      </c>
      <c r="C2748" s="5">
        <v>18625</v>
      </c>
      <c r="D2748" s="5" t="e">
        <f>E2748-(#REF!+C2748)</f>
        <v>#REF!</v>
      </c>
      <c r="E2748" s="5">
        <v>53375</v>
      </c>
      <c r="K2748" s="22">
        <v>1206</v>
      </c>
      <c r="L2748" s="6">
        <v>1216</v>
      </c>
      <c r="M2748" s="125">
        <f t="shared" si="63"/>
        <v>10</v>
      </c>
      <c r="N2748" s="18"/>
      <c r="O2748" s="135"/>
      <c r="P2748" s="175">
        <v>10600</v>
      </c>
      <c r="Q2748" s="25">
        <v>0.1462</v>
      </c>
      <c r="U2748" s="384">
        <v>0.1</v>
      </c>
      <c r="W2748" s="285">
        <f t="shared" si="64"/>
        <v>1704.6920000000002</v>
      </c>
    </row>
    <row r="2749" spans="1:23" ht="15" customHeight="1">
      <c r="A2749" s="3">
        <v>39749</v>
      </c>
      <c r="B2749" s="9">
        <v>1475</v>
      </c>
      <c r="C2749" s="5">
        <v>18425</v>
      </c>
      <c r="D2749" s="5" t="e">
        <f>E2749-(#REF!+C2749)</f>
        <v>#REF!</v>
      </c>
      <c r="E2749" s="5">
        <v>52250</v>
      </c>
      <c r="K2749" s="22">
        <v>1445</v>
      </c>
      <c r="L2749" s="6">
        <v>1436</v>
      </c>
      <c r="M2749" s="125">
        <f t="shared" si="63"/>
        <v>-9</v>
      </c>
      <c r="N2749" s="18"/>
      <c r="O2749" s="135"/>
      <c r="P2749" s="175">
        <v>11000</v>
      </c>
      <c r="Q2749" s="25">
        <v>0.1459</v>
      </c>
      <c r="U2749" s="384">
        <v>0.1</v>
      </c>
      <c r="W2749" s="285">
        <f t="shared" si="64"/>
        <v>1765.3900000000003</v>
      </c>
    </row>
    <row r="2750" spans="1:23" ht="15" customHeight="1">
      <c r="A2750" s="3">
        <v>39750</v>
      </c>
      <c r="B2750" s="9">
        <v>1050</v>
      </c>
      <c r="C2750" s="5">
        <v>18275</v>
      </c>
      <c r="D2750" s="5" t="e">
        <f>E2750-(#REF!+C2750)</f>
        <v>#REF!</v>
      </c>
      <c r="E2750" s="5">
        <v>51275</v>
      </c>
      <c r="K2750" s="22">
        <v>1531</v>
      </c>
      <c r="L2750" s="6">
        <v>1540</v>
      </c>
      <c r="M2750" s="125">
        <f t="shared" si="63"/>
        <v>9</v>
      </c>
      <c r="N2750" s="18"/>
      <c r="O2750" s="135"/>
      <c r="P2750" s="175">
        <v>11000</v>
      </c>
      <c r="Q2750" s="25">
        <v>0.14630000000000001</v>
      </c>
      <c r="U2750" s="384">
        <v>0.1</v>
      </c>
      <c r="W2750" s="285">
        <f t="shared" si="64"/>
        <v>1770.2300000000002</v>
      </c>
    </row>
    <row r="2751" spans="1:23" ht="15" customHeight="1">
      <c r="A2751" s="3">
        <v>39751</v>
      </c>
      <c r="B2751" s="9">
        <v>925</v>
      </c>
      <c r="C2751" s="5">
        <v>18000</v>
      </c>
      <c r="D2751" s="5" t="e">
        <f>E2751-(#REF!+C2751)</f>
        <v>#REF!</v>
      </c>
      <c r="E2751" s="5">
        <v>50000</v>
      </c>
      <c r="K2751" s="22">
        <v>1520.5</v>
      </c>
      <c r="L2751" s="6">
        <v>1525</v>
      </c>
      <c r="M2751" s="125">
        <f t="shared" si="63"/>
        <v>4.5</v>
      </c>
      <c r="N2751" s="18"/>
      <c r="O2751" s="135"/>
      <c r="P2751" s="175">
        <v>11400</v>
      </c>
      <c r="Q2751" s="25">
        <v>0.1462</v>
      </c>
      <c r="U2751" s="384">
        <v>0.1</v>
      </c>
      <c r="W2751" s="285">
        <f t="shared" si="64"/>
        <v>1833.3480000000002</v>
      </c>
    </row>
    <row r="2752" spans="1:23" ht="15" customHeight="1" thickBot="1">
      <c r="A2752" s="11">
        <v>39752</v>
      </c>
      <c r="B2752" s="9">
        <v>925</v>
      </c>
      <c r="C2752" s="13">
        <v>17875</v>
      </c>
      <c r="D2752" s="13" t="e">
        <f>E2752-(#REF!+C2752)</f>
        <v>#REF!</v>
      </c>
      <c r="E2752" s="13">
        <v>48575</v>
      </c>
      <c r="F2752" s="12"/>
      <c r="G2752" s="13"/>
      <c r="H2752" s="13"/>
      <c r="I2752" s="119"/>
      <c r="J2752" s="119"/>
      <c r="K2752" s="23">
        <v>1469</v>
      </c>
      <c r="L2752" s="14">
        <v>1472</v>
      </c>
      <c r="M2752" s="126">
        <f t="shared" si="63"/>
        <v>3</v>
      </c>
      <c r="N2752" s="19">
        <f>AVERAGE(K2730:K2752)</f>
        <v>1480.108695652174</v>
      </c>
      <c r="O2752" s="136">
        <f>AVERAGE(K2535:K2752)</f>
        <v>2269.894366197183</v>
      </c>
      <c r="P2752" s="176">
        <v>11000</v>
      </c>
      <c r="Q2752" s="27">
        <v>0.14630000000000001</v>
      </c>
      <c r="R2752" s="27"/>
      <c r="S2752" s="27"/>
      <c r="T2752" s="27"/>
      <c r="U2752" s="385">
        <v>0.1</v>
      </c>
      <c r="V2752" s="38">
        <f>AVERAGE(P2730:P2752)</f>
        <v>13737.5</v>
      </c>
      <c r="W2752" s="285">
        <f t="shared" si="64"/>
        <v>1770.2300000000002</v>
      </c>
    </row>
    <row r="2753" spans="1:23" ht="15" customHeight="1">
      <c r="A2753" s="3">
        <v>39755</v>
      </c>
      <c r="B2753" s="9">
        <v>550</v>
      </c>
      <c r="C2753" s="5">
        <v>17875</v>
      </c>
      <c r="D2753" s="5" t="e">
        <f>E2753-(#REF!+C2753)</f>
        <v>#REF!</v>
      </c>
      <c r="E2753" s="5">
        <v>48150</v>
      </c>
      <c r="K2753" s="22">
        <v>1455</v>
      </c>
      <c r="L2753" s="6">
        <v>1470</v>
      </c>
      <c r="M2753" s="125">
        <f t="shared" si="63"/>
        <v>15</v>
      </c>
      <c r="N2753" s="20"/>
      <c r="O2753" s="138"/>
      <c r="P2753" s="178">
        <v>11000</v>
      </c>
      <c r="Q2753" s="34">
        <v>0.14630000000000001</v>
      </c>
      <c r="U2753" s="384">
        <v>0.1</v>
      </c>
      <c r="V2753" s="37"/>
      <c r="W2753" s="285">
        <f t="shared" si="64"/>
        <v>1770.2300000000002</v>
      </c>
    </row>
    <row r="2754" spans="1:23" ht="15" customHeight="1">
      <c r="A2754" s="3">
        <v>39756</v>
      </c>
      <c r="B2754" s="9">
        <v>250</v>
      </c>
      <c r="C2754" s="5">
        <v>17850</v>
      </c>
      <c r="D2754" s="5" t="e">
        <f>E2754-(#REF!+C2754)</f>
        <v>#REF!</v>
      </c>
      <c r="E2754" s="5">
        <v>47800</v>
      </c>
      <c r="K2754" s="22">
        <v>1521</v>
      </c>
      <c r="L2754" s="6">
        <v>1525</v>
      </c>
      <c r="M2754" s="125">
        <f t="shared" si="63"/>
        <v>4</v>
      </c>
      <c r="N2754" s="18"/>
      <c r="O2754" s="135"/>
      <c r="P2754" s="175">
        <v>11000</v>
      </c>
      <c r="Q2754" s="25">
        <v>0.1462</v>
      </c>
      <c r="U2754" s="384">
        <v>0.1</v>
      </c>
      <c r="W2754" s="285">
        <f t="shared" si="64"/>
        <v>1769.0200000000002</v>
      </c>
    </row>
    <row r="2755" spans="1:23" ht="15" customHeight="1">
      <c r="A2755" s="3">
        <v>39757</v>
      </c>
      <c r="B2755" s="9">
        <v>0</v>
      </c>
      <c r="C2755" s="5">
        <v>17850</v>
      </c>
      <c r="D2755" s="5" t="e">
        <f>E2755-(#REF!+C2755)</f>
        <v>#REF!</v>
      </c>
      <c r="E2755" s="5">
        <v>46325</v>
      </c>
      <c r="K2755" s="22">
        <v>1478</v>
      </c>
      <c r="L2755" s="6">
        <v>1485</v>
      </c>
      <c r="M2755" s="125">
        <f t="shared" si="63"/>
        <v>7</v>
      </c>
      <c r="N2755" s="18"/>
      <c r="O2755" s="135"/>
      <c r="P2755" s="175">
        <v>10700</v>
      </c>
      <c r="Q2755" s="25">
        <v>0.14630000000000001</v>
      </c>
      <c r="U2755" s="384">
        <v>0.1</v>
      </c>
      <c r="W2755" s="285">
        <f t="shared" si="64"/>
        <v>1721.9510000000002</v>
      </c>
    </row>
    <row r="2756" spans="1:23" ht="15" customHeight="1">
      <c r="A2756" s="3">
        <v>39758</v>
      </c>
      <c r="B2756" s="9">
        <v>0</v>
      </c>
      <c r="C2756" s="5">
        <v>17850</v>
      </c>
      <c r="D2756" s="5" t="e">
        <f>E2756-(#REF!+C2756)</f>
        <v>#REF!</v>
      </c>
      <c r="E2756" s="5">
        <v>45700</v>
      </c>
      <c r="K2756" s="22">
        <v>1470</v>
      </c>
      <c r="L2756" s="6">
        <v>1475</v>
      </c>
      <c r="M2756" s="125">
        <f t="shared" si="63"/>
        <v>5</v>
      </c>
      <c r="N2756" s="18"/>
      <c r="O2756" s="135"/>
      <c r="P2756" s="175">
        <v>10600</v>
      </c>
      <c r="Q2756" s="25">
        <v>0.1464</v>
      </c>
      <c r="U2756" s="384">
        <v>0.1</v>
      </c>
      <c r="W2756" s="285">
        <f t="shared" si="64"/>
        <v>1707.0240000000001</v>
      </c>
    </row>
    <row r="2757" spans="1:23" ht="15" customHeight="1">
      <c r="A2757" s="3">
        <v>39759</v>
      </c>
      <c r="B2757" s="9">
        <v>0</v>
      </c>
      <c r="C2757" s="5">
        <v>17850</v>
      </c>
      <c r="D2757" s="5" t="e">
        <f>E2757-(#REF!+C2757)</f>
        <v>#REF!</v>
      </c>
      <c r="E2757" s="5">
        <v>44625</v>
      </c>
      <c r="K2757" s="22">
        <v>1446</v>
      </c>
      <c r="L2757" s="6">
        <v>1456</v>
      </c>
      <c r="M2757" s="125">
        <f t="shared" si="63"/>
        <v>10</v>
      </c>
      <c r="N2757" s="18"/>
      <c r="O2757" s="135"/>
      <c r="P2757" s="175">
        <v>10300</v>
      </c>
      <c r="Q2757" s="25">
        <v>0.14660000000000001</v>
      </c>
      <c r="U2757" s="384">
        <v>0.1</v>
      </c>
      <c r="W2757" s="285">
        <f t="shared" si="64"/>
        <v>1660.9780000000001</v>
      </c>
    </row>
    <row r="2758" spans="1:23" ht="15" customHeight="1">
      <c r="A2758" s="3">
        <v>39762</v>
      </c>
      <c r="B2758" s="9">
        <v>0</v>
      </c>
      <c r="C2758" s="5">
        <v>17825</v>
      </c>
      <c r="D2758" s="5" t="e">
        <f>E2758-(#REF!+C2758)</f>
        <v>#REF!</v>
      </c>
      <c r="E2758" s="5">
        <v>44275</v>
      </c>
      <c r="K2758" s="22">
        <v>1411</v>
      </c>
      <c r="L2758" s="6">
        <v>1426</v>
      </c>
      <c r="M2758" s="125">
        <f t="shared" si="63"/>
        <v>15</v>
      </c>
      <c r="N2758" s="18"/>
      <c r="O2758" s="135"/>
      <c r="P2758" s="175">
        <v>10100</v>
      </c>
      <c r="Q2758" s="25">
        <v>0.14649999999999999</v>
      </c>
      <c r="U2758" s="384">
        <v>0.1</v>
      </c>
      <c r="W2758" s="285">
        <f t="shared" si="64"/>
        <v>1627.615</v>
      </c>
    </row>
    <row r="2759" spans="1:23" ht="15" customHeight="1">
      <c r="A2759" s="3">
        <v>39763</v>
      </c>
      <c r="B2759" s="9">
        <v>0</v>
      </c>
      <c r="C2759" s="5">
        <v>17825</v>
      </c>
      <c r="D2759" s="5" t="e">
        <f>E2759-(#REF!+C2759)</f>
        <v>#REF!</v>
      </c>
      <c r="E2759" s="5">
        <v>44850</v>
      </c>
      <c r="K2759" s="22">
        <v>1285</v>
      </c>
      <c r="L2759" s="6">
        <v>1285</v>
      </c>
      <c r="M2759" s="125">
        <f t="shared" si="63"/>
        <v>0</v>
      </c>
      <c r="N2759" s="18"/>
      <c r="O2759" s="135"/>
      <c r="P2759" s="175">
        <v>10100</v>
      </c>
      <c r="Q2759" s="25">
        <v>0.14649999999999999</v>
      </c>
      <c r="U2759" s="384">
        <v>0.1</v>
      </c>
      <c r="W2759" s="285">
        <f t="shared" si="64"/>
        <v>1627.615</v>
      </c>
    </row>
    <row r="2760" spans="1:23" ht="15" customHeight="1">
      <c r="A2760" s="3">
        <v>39764</v>
      </c>
      <c r="B2760" s="9">
        <v>0</v>
      </c>
      <c r="C2760" s="5">
        <v>17825</v>
      </c>
      <c r="D2760" s="5" t="e">
        <f>E2760-(#REF!+C2760)</f>
        <v>#REF!</v>
      </c>
      <c r="E2760" s="5">
        <v>44800</v>
      </c>
      <c r="K2760" s="22">
        <v>1257</v>
      </c>
      <c r="L2760" s="6">
        <v>1270</v>
      </c>
      <c r="M2760" s="125">
        <f t="shared" si="63"/>
        <v>13</v>
      </c>
      <c r="N2760" s="18"/>
      <c r="O2760" s="135"/>
      <c r="P2760" s="175">
        <v>9900</v>
      </c>
      <c r="Q2760" s="25">
        <v>0.14660000000000001</v>
      </c>
      <c r="U2760" s="384">
        <v>0.1</v>
      </c>
      <c r="W2760" s="285">
        <f t="shared" si="64"/>
        <v>1596.4740000000004</v>
      </c>
    </row>
    <row r="2761" spans="1:23" ht="15" customHeight="1">
      <c r="A2761" s="3">
        <v>39765</v>
      </c>
      <c r="B2761" s="9">
        <v>325</v>
      </c>
      <c r="C2761" s="5">
        <v>17825</v>
      </c>
      <c r="D2761" s="5" t="e">
        <f>E2761-(#REF!+C2761)</f>
        <v>#REF!</v>
      </c>
      <c r="E2761" s="5">
        <v>44725</v>
      </c>
      <c r="K2761" s="22">
        <v>1302</v>
      </c>
      <c r="L2761" s="6">
        <v>1329</v>
      </c>
      <c r="M2761" s="125">
        <f t="shared" si="63"/>
        <v>27</v>
      </c>
      <c r="N2761" s="18"/>
      <c r="O2761" s="135"/>
      <c r="P2761" s="175">
        <v>9400</v>
      </c>
      <c r="Q2761" s="25">
        <v>0.1464</v>
      </c>
      <c r="U2761" s="384">
        <v>0.1</v>
      </c>
      <c r="W2761" s="285">
        <f t="shared" si="64"/>
        <v>1513.7760000000003</v>
      </c>
    </row>
    <row r="2762" spans="1:23" ht="15" customHeight="1">
      <c r="A2762" s="3">
        <v>39766</v>
      </c>
      <c r="B2762" s="9">
        <v>325</v>
      </c>
      <c r="C2762" s="5">
        <v>17825</v>
      </c>
      <c r="D2762" s="5" t="e">
        <f>E2762-(#REF!+C2762)</f>
        <v>#REF!</v>
      </c>
      <c r="E2762" s="5">
        <v>44225</v>
      </c>
      <c r="K2762" s="22">
        <v>1349</v>
      </c>
      <c r="L2762" s="6">
        <v>1360.5</v>
      </c>
      <c r="M2762" s="125">
        <f t="shared" si="63"/>
        <v>11.5</v>
      </c>
      <c r="N2762" s="18"/>
      <c r="O2762" s="135"/>
      <c r="P2762" s="175">
        <v>9400</v>
      </c>
      <c r="Q2762" s="25">
        <v>0.1464</v>
      </c>
      <c r="U2762" s="384">
        <v>0.1</v>
      </c>
      <c r="W2762" s="285">
        <f t="shared" si="64"/>
        <v>1513.7760000000003</v>
      </c>
    </row>
    <row r="2763" spans="1:23" ht="15" customHeight="1">
      <c r="A2763" s="3">
        <v>39769</v>
      </c>
      <c r="B2763" s="9">
        <v>325</v>
      </c>
      <c r="C2763" s="5">
        <v>17825</v>
      </c>
      <c r="D2763" s="5" t="e">
        <f>E2763-(#REF!+C2763)</f>
        <v>#REF!</v>
      </c>
      <c r="E2763" s="5">
        <v>43950</v>
      </c>
      <c r="K2763" s="22">
        <v>1258</v>
      </c>
      <c r="L2763" s="6">
        <v>1276</v>
      </c>
      <c r="M2763" s="125">
        <f t="shared" si="63"/>
        <v>18</v>
      </c>
      <c r="N2763" s="18"/>
      <c r="O2763" s="135"/>
      <c r="P2763" s="175">
        <v>9300</v>
      </c>
      <c r="Q2763" s="25">
        <v>0.14660000000000001</v>
      </c>
      <c r="U2763" s="384">
        <v>0.1</v>
      </c>
      <c r="W2763" s="285">
        <f t="shared" si="64"/>
        <v>1499.7180000000003</v>
      </c>
    </row>
    <row r="2764" spans="1:23" ht="15" customHeight="1">
      <c r="A2764" s="3">
        <v>39770</v>
      </c>
      <c r="B2764" s="9">
        <v>200</v>
      </c>
      <c r="C2764" s="5">
        <v>17825</v>
      </c>
      <c r="D2764" s="5" t="e">
        <f>E2764-(#REF!+C2764)</f>
        <v>#REF!</v>
      </c>
      <c r="E2764" s="5">
        <v>42475</v>
      </c>
      <c r="K2764" s="22">
        <v>1245</v>
      </c>
      <c r="L2764" s="6">
        <v>1258</v>
      </c>
      <c r="M2764" s="125">
        <f t="shared" si="63"/>
        <v>13</v>
      </c>
      <c r="N2764" s="18"/>
      <c r="O2764" s="135"/>
      <c r="P2764" s="175">
        <v>9200</v>
      </c>
      <c r="Q2764" s="25">
        <v>0.14649999999999999</v>
      </c>
      <c r="U2764" s="384">
        <v>0.1</v>
      </c>
      <c r="W2764" s="285">
        <f t="shared" si="64"/>
        <v>1482.5800000000002</v>
      </c>
    </row>
    <row r="2765" spans="1:23" ht="15" customHeight="1">
      <c r="A2765" s="3">
        <v>39771</v>
      </c>
      <c r="B2765" s="9">
        <v>0</v>
      </c>
      <c r="C2765" s="5">
        <v>17925</v>
      </c>
      <c r="D2765" s="5" t="e">
        <f>E2765-(#REF!+C2765)</f>
        <v>#REF!</v>
      </c>
      <c r="E2765" s="5">
        <v>42075</v>
      </c>
      <c r="K2765" s="22">
        <v>1240</v>
      </c>
      <c r="L2765" s="6">
        <v>1255</v>
      </c>
      <c r="M2765" s="125">
        <f t="shared" si="63"/>
        <v>15</v>
      </c>
      <c r="N2765" s="18"/>
      <c r="O2765" s="135"/>
      <c r="P2765" s="175">
        <v>9100</v>
      </c>
      <c r="Q2765" s="25">
        <v>0.14649999999999999</v>
      </c>
      <c r="U2765" s="384">
        <v>0.1</v>
      </c>
      <c r="W2765" s="285">
        <f t="shared" si="64"/>
        <v>1466.4649999999999</v>
      </c>
    </row>
    <row r="2766" spans="1:23" ht="15" customHeight="1">
      <c r="A2766" s="3">
        <v>39772</v>
      </c>
      <c r="B2766" s="9">
        <v>0</v>
      </c>
      <c r="C2766" s="5">
        <v>17775</v>
      </c>
      <c r="D2766" s="5" t="e">
        <f>E2766-(#REF!+C2766)</f>
        <v>#REF!</v>
      </c>
      <c r="E2766" s="5">
        <v>41475</v>
      </c>
      <c r="K2766" s="22">
        <v>1171</v>
      </c>
      <c r="L2766" s="6">
        <v>1200</v>
      </c>
      <c r="M2766" s="125">
        <f t="shared" si="63"/>
        <v>29</v>
      </c>
      <c r="N2766" s="18"/>
      <c r="O2766" s="135"/>
      <c r="P2766" s="175">
        <v>9050</v>
      </c>
      <c r="Q2766" s="25">
        <v>0.1464</v>
      </c>
      <c r="U2766" s="384">
        <v>0.1</v>
      </c>
      <c r="W2766" s="285">
        <f t="shared" si="64"/>
        <v>1457.4120000000003</v>
      </c>
    </row>
    <row r="2767" spans="1:23" ht="15" customHeight="1">
      <c r="A2767" s="3">
        <v>39773</v>
      </c>
      <c r="B2767" s="9">
        <v>0</v>
      </c>
      <c r="C2767" s="5">
        <v>17650</v>
      </c>
      <c r="D2767" s="5" t="e">
        <f>E2767-(#REF!+C2767)</f>
        <v>#REF!</v>
      </c>
      <c r="E2767" s="5">
        <v>41450</v>
      </c>
      <c r="K2767" s="22">
        <v>1217</v>
      </c>
      <c r="L2767" s="6">
        <v>1220</v>
      </c>
      <c r="M2767" s="125">
        <f t="shared" si="63"/>
        <v>3</v>
      </c>
      <c r="N2767" s="18"/>
      <c r="O2767" s="135"/>
      <c r="P2767" s="175">
        <v>8700</v>
      </c>
      <c r="Q2767" s="25">
        <v>0.14630000000000001</v>
      </c>
      <c r="U2767" s="384">
        <v>0.1</v>
      </c>
      <c r="W2767" s="285">
        <f t="shared" si="64"/>
        <v>1400.0910000000003</v>
      </c>
    </row>
    <row r="2768" spans="1:23" ht="15" customHeight="1">
      <c r="A2768" s="3">
        <v>39776</v>
      </c>
      <c r="B2768" s="9">
        <v>0</v>
      </c>
      <c r="C2768" s="5">
        <v>17650</v>
      </c>
      <c r="D2768" s="5" t="e">
        <f>E2768-(#REF!+C2768)</f>
        <v>#REF!</v>
      </c>
      <c r="E2768" s="5">
        <v>41300</v>
      </c>
      <c r="K2768" s="22">
        <v>1189</v>
      </c>
      <c r="L2768" s="6">
        <v>1205</v>
      </c>
      <c r="M2768" s="125">
        <f t="shared" si="63"/>
        <v>16</v>
      </c>
      <c r="N2768" s="18"/>
      <c r="O2768" s="135"/>
      <c r="P2768" s="175">
        <v>8400</v>
      </c>
      <c r="Q2768" s="25">
        <v>0.1464</v>
      </c>
      <c r="U2768" s="384">
        <v>0.1</v>
      </c>
      <c r="W2768" s="285">
        <f t="shared" si="64"/>
        <v>1352.7360000000001</v>
      </c>
    </row>
    <row r="2769" spans="1:23" ht="15" customHeight="1">
      <c r="A2769" s="3">
        <v>39777</v>
      </c>
      <c r="B2769" s="9">
        <v>0</v>
      </c>
      <c r="C2769" s="5">
        <v>17625</v>
      </c>
      <c r="D2769" s="5" t="e">
        <f>E2769-(#REF!+C2769)</f>
        <v>#REF!</v>
      </c>
      <c r="E2769" s="5">
        <v>41075</v>
      </c>
      <c r="K2769" s="22">
        <v>1186</v>
      </c>
      <c r="L2769" s="6">
        <v>1200</v>
      </c>
      <c r="M2769" s="125">
        <f t="shared" si="63"/>
        <v>14</v>
      </c>
      <c r="N2769" s="18"/>
      <c r="O2769" s="135"/>
      <c r="P2769" s="175">
        <v>8400</v>
      </c>
      <c r="Q2769" s="25">
        <v>0.14649999999999999</v>
      </c>
      <c r="U2769" s="384">
        <v>0.1</v>
      </c>
      <c r="W2769" s="285">
        <f t="shared" si="64"/>
        <v>1353.66</v>
      </c>
    </row>
    <row r="2770" spans="1:23" ht="15" customHeight="1">
      <c r="A2770" s="3">
        <v>39778</v>
      </c>
      <c r="B2770" s="9">
        <v>0</v>
      </c>
      <c r="C2770" s="5">
        <v>17625</v>
      </c>
      <c r="D2770" s="5" t="e">
        <f>E2770-(#REF!+C2770)</f>
        <v>#REF!</v>
      </c>
      <c r="E2770" s="5">
        <v>40950</v>
      </c>
      <c r="K2770" s="22">
        <v>1176</v>
      </c>
      <c r="L2770" s="6">
        <v>1190</v>
      </c>
      <c r="M2770" s="125">
        <f t="shared" si="63"/>
        <v>14</v>
      </c>
      <c r="N2770" s="18"/>
      <c r="O2770" s="135"/>
      <c r="P2770" s="175">
        <v>8300</v>
      </c>
      <c r="Q2770" s="25">
        <v>0.14649999999999999</v>
      </c>
      <c r="U2770" s="384">
        <v>0.1</v>
      </c>
      <c r="W2770" s="285">
        <f t="shared" si="64"/>
        <v>1337.5449999999998</v>
      </c>
    </row>
    <row r="2771" spans="1:23" ht="15" customHeight="1">
      <c r="A2771" s="3">
        <v>39779</v>
      </c>
      <c r="B2771" s="9">
        <v>0</v>
      </c>
      <c r="C2771" s="5">
        <v>17825</v>
      </c>
      <c r="D2771" s="5" t="e">
        <f>E2771-(#REF!+C2771)</f>
        <v>#REF!</v>
      </c>
      <c r="E2771" s="5">
        <v>41200</v>
      </c>
      <c r="K2771" s="22">
        <v>1086</v>
      </c>
      <c r="L2771" s="6">
        <v>1100.5</v>
      </c>
      <c r="M2771" s="125">
        <f t="shared" si="63"/>
        <v>14.5</v>
      </c>
      <c r="N2771" s="18"/>
      <c r="O2771" s="135"/>
      <c r="P2771" s="175">
        <v>8200</v>
      </c>
      <c r="Q2771" s="25">
        <v>0.1464</v>
      </c>
      <c r="U2771" s="384">
        <v>0.1</v>
      </c>
      <c r="W2771" s="285">
        <f t="shared" si="64"/>
        <v>1320.528</v>
      </c>
    </row>
    <row r="2772" spans="1:23" ht="15" customHeight="1" thickBot="1">
      <c r="A2772" s="11">
        <v>39780</v>
      </c>
      <c r="B2772" s="9">
        <v>200</v>
      </c>
      <c r="C2772" s="13">
        <v>18075</v>
      </c>
      <c r="D2772" s="13" t="e">
        <f>E2772-(#REF!+C2772)</f>
        <v>#REF!</v>
      </c>
      <c r="E2772" s="13">
        <v>41600</v>
      </c>
      <c r="F2772" s="12"/>
      <c r="G2772" s="13"/>
      <c r="H2772" s="13"/>
      <c r="I2772" s="119"/>
      <c r="J2772" s="119"/>
      <c r="K2772" s="23">
        <v>1080</v>
      </c>
      <c r="L2772" s="14">
        <v>1086</v>
      </c>
      <c r="M2772" s="126">
        <f t="shared" si="63"/>
        <v>6</v>
      </c>
      <c r="N2772" s="19">
        <f>AVERAGE(K2753:K2772)</f>
        <v>1291.0999999999999</v>
      </c>
      <c r="O2772" s="136">
        <f>AVERAGE(K2535:K2772)</f>
        <v>2185.8776824034335</v>
      </c>
      <c r="P2772" s="176">
        <v>8200</v>
      </c>
      <c r="Q2772" s="27">
        <v>0.1464</v>
      </c>
      <c r="R2772" s="27"/>
      <c r="S2772" s="27"/>
      <c r="T2772" s="27"/>
      <c r="U2772" s="385">
        <v>0.1</v>
      </c>
      <c r="V2772" s="38">
        <f>AVERAGE(P2753:P2772)</f>
        <v>9467.5</v>
      </c>
      <c r="W2772" s="285">
        <f t="shared" si="64"/>
        <v>1320.528</v>
      </c>
    </row>
    <row r="2773" spans="1:23" ht="15" customHeight="1">
      <c r="A2773" s="29">
        <v>39783</v>
      </c>
      <c r="B2773" s="9">
        <v>200</v>
      </c>
      <c r="C2773" s="31">
        <v>18075</v>
      </c>
      <c r="D2773" s="31" t="e">
        <f>E2773-(#REF!+C2773)</f>
        <v>#REF!</v>
      </c>
      <c r="E2773" s="31">
        <v>41600</v>
      </c>
      <c r="F2773" s="30"/>
      <c r="G2773" s="31"/>
      <c r="H2773" s="31"/>
      <c r="I2773" s="123"/>
      <c r="J2773" s="123"/>
      <c r="K2773" s="32">
        <v>1083</v>
      </c>
      <c r="L2773" s="33">
        <v>1095</v>
      </c>
      <c r="M2773" s="125">
        <f t="shared" si="63"/>
        <v>12</v>
      </c>
      <c r="N2773" s="20"/>
      <c r="O2773" s="138"/>
      <c r="P2773" s="178">
        <v>8200</v>
      </c>
      <c r="Q2773" s="34">
        <v>0.14649999999999999</v>
      </c>
      <c r="U2773" s="384">
        <v>0.1</v>
      </c>
      <c r="W2773" s="285">
        <f t="shared" si="64"/>
        <v>1321.43</v>
      </c>
    </row>
    <row r="2774" spans="1:23" ht="15" customHeight="1">
      <c r="A2774" s="3">
        <v>39784</v>
      </c>
      <c r="B2774" s="9">
        <v>200</v>
      </c>
      <c r="C2774" s="5">
        <v>18325</v>
      </c>
      <c r="D2774" s="5" t="e">
        <f>E2774-(#REF!+C2774)</f>
        <v>#REF!</v>
      </c>
      <c r="E2774" s="5">
        <v>41850</v>
      </c>
      <c r="K2774" s="22">
        <v>1060</v>
      </c>
      <c r="L2774" s="6">
        <v>1066</v>
      </c>
      <c r="M2774" s="125">
        <f t="shared" si="63"/>
        <v>6</v>
      </c>
      <c r="N2774" s="18"/>
      <c r="O2774" s="135"/>
      <c r="P2774" s="175">
        <v>8400</v>
      </c>
      <c r="Q2774" s="25">
        <v>0.1452</v>
      </c>
      <c r="U2774" s="384">
        <v>0.1</v>
      </c>
      <c r="W2774" s="285">
        <f t="shared" si="64"/>
        <v>1341.6480000000001</v>
      </c>
    </row>
    <row r="2775" spans="1:23" ht="15" customHeight="1">
      <c r="A2775" s="3">
        <v>39785</v>
      </c>
      <c r="B2775" s="9">
        <v>200</v>
      </c>
      <c r="C2775" s="5">
        <v>19475</v>
      </c>
      <c r="D2775" s="5" t="e">
        <f>E2775-(#REF!+C2775)</f>
        <v>#REF!</v>
      </c>
      <c r="E2775" s="5">
        <v>42975</v>
      </c>
      <c r="K2775" s="22">
        <v>1003</v>
      </c>
      <c r="L2775" s="6">
        <v>1021</v>
      </c>
      <c r="M2775" s="125">
        <f t="shared" si="63"/>
        <v>18</v>
      </c>
      <c r="N2775" s="18"/>
      <c r="O2775" s="135"/>
      <c r="P2775" s="175">
        <v>8700</v>
      </c>
      <c r="Q2775" s="25">
        <v>0.1454</v>
      </c>
      <c r="U2775" s="384">
        <v>0.1</v>
      </c>
      <c r="W2775" s="285">
        <f t="shared" si="64"/>
        <v>1391.4780000000001</v>
      </c>
    </row>
    <row r="2776" spans="1:23" ht="15" customHeight="1">
      <c r="A2776" s="3">
        <v>39786</v>
      </c>
      <c r="B2776" s="9">
        <v>0</v>
      </c>
      <c r="C2776" s="5">
        <v>19550</v>
      </c>
      <c r="D2776" s="5" t="e">
        <f>E2776-(#REF!+C2776)</f>
        <v>#REF!</v>
      </c>
      <c r="E2776" s="5">
        <v>42800</v>
      </c>
      <c r="K2776" s="22">
        <v>1000</v>
      </c>
      <c r="L2776" s="6">
        <v>985</v>
      </c>
      <c r="M2776" s="125">
        <f t="shared" si="63"/>
        <v>-15</v>
      </c>
      <c r="N2776" s="18"/>
      <c r="O2776" s="135"/>
      <c r="P2776" s="175">
        <v>8700</v>
      </c>
      <c r="Q2776" s="25">
        <v>0.1454</v>
      </c>
      <c r="U2776" s="384">
        <v>0.1</v>
      </c>
      <c r="W2776" s="285">
        <f t="shared" si="64"/>
        <v>1391.4780000000001</v>
      </c>
    </row>
    <row r="2777" spans="1:23" ht="15" customHeight="1">
      <c r="A2777" s="3">
        <v>39787</v>
      </c>
      <c r="B2777" s="9">
        <v>0</v>
      </c>
      <c r="C2777" s="5">
        <v>19725</v>
      </c>
      <c r="D2777" s="5" t="e">
        <f>E2777-(#REF!+C2777)</f>
        <v>#REF!</v>
      </c>
      <c r="E2777" s="5">
        <v>43125</v>
      </c>
      <c r="K2777" s="22">
        <v>915</v>
      </c>
      <c r="L2777" s="6">
        <v>929</v>
      </c>
      <c r="M2777" s="125">
        <f t="shared" si="63"/>
        <v>14</v>
      </c>
      <c r="N2777" s="18"/>
      <c r="O2777" s="135"/>
      <c r="P2777" s="175">
        <v>8600</v>
      </c>
      <c r="Q2777" s="25">
        <v>0.14530000000000001</v>
      </c>
      <c r="U2777" s="384">
        <v>0.1</v>
      </c>
      <c r="W2777" s="285">
        <f t="shared" si="64"/>
        <v>1374.5380000000002</v>
      </c>
    </row>
    <row r="2778" spans="1:23" ht="15" customHeight="1">
      <c r="A2778" s="3">
        <v>39790</v>
      </c>
      <c r="B2778" s="9">
        <v>0</v>
      </c>
      <c r="C2778" s="5">
        <v>19925</v>
      </c>
      <c r="D2778" s="5" t="e">
        <f>E2778-(#REF!+C2778)</f>
        <v>#REF!</v>
      </c>
      <c r="E2778" s="5">
        <v>43475</v>
      </c>
      <c r="K2778" s="22">
        <v>936</v>
      </c>
      <c r="L2778" s="6">
        <v>960.5</v>
      </c>
      <c r="M2778" s="125">
        <f t="shared" si="63"/>
        <v>24.5</v>
      </c>
      <c r="N2778" s="18"/>
      <c r="O2778" s="135"/>
      <c r="P2778" s="175">
        <v>8900</v>
      </c>
      <c r="Q2778" s="25">
        <v>0.14530000000000001</v>
      </c>
      <c r="U2778" s="384">
        <v>0.1</v>
      </c>
      <c r="W2778" s="285">
        <f t="shared" si="64"/>
        <v>1422.4870000000003</v>
      </c>
    </row>
    <row r="2779" spans="1:23" ht="15" customHeight="1">
      <c r="A2779" s="3">
        <v>39791</v>
      </c>
      <c r="B2779" s="9">
        <v>0</v>
      </c>
      <c r="C2779" s="5">
        <v>19850</v>
      </c>
      <c r="D2779" s="5" t="e">
        <f>E2779-(#REF!+C2779)</f>
        <v>#REF!</v>
      </c>
      <c r="E2779" s="5">
        <v>43350</v>
      </c>
      <c r="K2779" s="22">
        <v>968</v>
      </c>
      <c r="L2779" s="6">
        <v>981</v>
      </c>
      <c r="M2779" s="125">
        <f t="shared" si="63"/>
        <v>13</v>
      </c>
      <c r="N2779" s="18"/>
      <c r="O2779" s="135"/>
      <c r="P2779" s="175">
        <v>9400</v>
      </c>
      <c r="Q2779" s="25">
        <v>0.14549999999999999</v>
      </c>
      <c r="U2779" s="384">
        <v>0.1</v>
      </c>
      <c r="W2779" s="285">
        <f t="shared" si="64"/>
        <v>1504.47</v>
      </c>
    </row>
    <row r="2780" spans="1:23" ht="15" customHeight="1">
      <c r="A2780" s="3">
        <v>39792</v>
      </c>
      <c r="B2780" s="9">
        <v>0</v>
      </c>
      <c r="C2780" s="5">
        <v>19850</v>
      </c>
      <c r="D2780" s="5" t="e">
        <f>E2780-(#REF!+C2780)</f>
        <v>#REF!</v>
      </c>
      <c r="E2780" s="5">
        <v>43825</v>
      </c>
      <c r="K2780" s="22">
        <v>970.5</v>
      </c>
      <c r="L2780" s="6">
        <v>981</v>
      </c>
      <c r="M2780" s="125">
        <f t="shared" si="63"/>
        <v>10.5</v>
      </c>
      <c r="N2780" s="18"/>
      <c r="O2780" s="135"/>
      <c r="P2780" s="175">
        <v>9800</v>
      </c>
      <c r="Q2780" s="25">
        <v>0.14549999999999999</v>
      </c>
      <c r="U2780" s="384">
        <v>0.1</v>
      </c>
      <c r="W2780" s="285">
        <f t="shared" si="64"/>
        <v>1568.49</v>
      </c>
    </row>
    <row r="2781" spans="1:23" ht="15" customHeight="1">
      <c r="A2781" s="3">
        <v>39793</v>
      </c>
      <c r="B2781" s="9">
        <v>0</v>
      </c>
      <c r="C2781" s="5">
        <v>19850</v>
      </c>
      <c r="D2781" s="5" t="e">
        <f>E2781-(#REF!+C2781)</f>
        <v>#REF!</v>
      </c>
      <c r="E2781" s="5">
        <v>44050</v>
      </c>
      <c r="K2781" s="22">
        <v>1031</v>
      </c>
      <c r="L2781" s="6">
        <v>1031.5</v>
      </c>
      <c r="M2781" s="125">
        <f t="shared" si="63"/>
        <v>0.5</v>
      </c>
      <c r="N2781" s="18"/>
      <c r="O2781" s="135"/>
      <c r="P2781" s="175">
        <v>10900</v>
      </c>
      <c r="Q2781" s="25">
        <v>0.1457</v>
      </c>
      <c r="U2781" s="384">
        <v>0.1</v>
      </c>
      <c r="W2781" s="285">
        <f t="shared" si="64"/>
        <v>1746.943</v>
      </c>
    </row>
    <row r="2782" spans="1:23" ht="15" customHeight="1">
      <c r="A2782" s="3">
        <v>39794</v>
      </c>
      <c r="B2782" s="9">
        <v>150</v>
      </c>
      <c r="C2782" s="5">
        <v>19850</v>
      </c>
      <c r="D2782" s="5" t="e">
        <f>E2782-(#REF!+C2782)</f>
        <v>#REF!</v>
      </c>
      <c r="E2782" s="5">
        <v>43850</v>
      </c>
      <c r="K2782" s="22">
        <v>982</v>
      </c>
      <c r="L2782" s="6">
        <v>986.5</v>
      </c>
      <c r="M2782" s="125">
        <f t="shared" si="63"/>
        <v>4.5</v>
      </c>
      <c r="N2782" s="18"/>
      <c r="O2782" s="135"/>
      <c r="P2782" s="175">
        <v>10900</v>
      </c>
      <c r="Q2782" s="25">
        <v>0.14599999999999999</v>
      </c>
      <c r="U2782" s="384">
        <v>0.1</v>
      </c>
      <c r="W2782" s="285">
        <f t="shared" si="64"/>
        <v>1750.54</v>
      </c>
    </row>
    <row r="2783" spans="1:23" ht="15" customHeight="1">
      <c r="A2783" s="3">
        <v>39797</v>
      </c>
      <c r="B2783" s="9">
        <v>150</v>
      </c>
      <c r="C2783" s="5">
        <v>20000</v>
      </c>
      <c r="D2783" s="5" t="e">
        <f>E2783-(#REF!+C2783)</f>
        <v>#REF!</v>
      </c>
      <c r="E2783" s="5">
        <v>43975</v>
      </c>
      <c r="K2783" s="22">
        <v>1016</v>
      </c>
      <c r="L2783" s="6">
        <v>1021</v>
      </c>
      <c r="M2783" s="125">
        <f t="shared" si="63"/>
        <v>5</v>
      </c>
      <c r="N2783" s="18"/>
      <c r="O2783" s="135"/>
      <c r="P2783" s="175">
        <v>10900</v>
      </c>
      <c r="Q2783" s="25">
        <v>0.1462</v>
      </c>
      <c r="U2783" s="384">
        <v>0.1</v>
      </c>
      <c r="W2783" s="285">
        <f t="shared" si="64"/>
        <v>1752.9380000000001</v>
      </c>
    </row>
    <row r="2784" spans="1:23" ht="15" customHeight="1">
      <c r="A2784" s="3">
        <v>39798</v>
      </c>
      <c r="B2784" s="9">
        <v>150</v>
      </c>
      <c r="C2784" s="5">
        <v>20000</v>
      </c>
      <c r="D2784" s="5" t="e">
        <f>E2784-(#REF!+C2784)</f>
        <v>#REF!</v>
      </c>
      <c r="E2784" s="5">
        <v>44100</v>
      </c>
      <c r="K2784" s="22">
        <v>980</v>
      </c>
      <c r="L2784" s="6">
        <v>980</v>
      </c>
      <c r="M2784" s="125">
        <f t="shared" si="63"/>
        <v>0</v>
      </c>
      <c r="N2784" s="18"/>
      <c r="O2784" s="135"/>
      <c r="P2784" s="175">
        <v>10600</v>
      </c>
      <c r="Q2784" s="25">
        <v>0.14610000000000001</v>
      </c>
      <c r="U2784" s="384">
        <v>0.1</v>
      </c>
      <c r="W2784" s="285">
        <f t="shared" si="64"/>
        <v>1703.5260000000003</v>
      </c>
    </row>
    <row r="2785" spans="1:23" ht="15" customHeight="1">
      <c r="A2785" s="3">
        <v>39799</v>
      </c>
      <c r="B2785" s="9">
        <v>100</v>
      </c>
      <c r="C2785" s="5">
        <v>20000</v>
      </c>
      <c r="D2785" s="5" t="e">
        <f>E2785-(#REF!+C2785)</f>
        <v>#REF!</v>
      </c>
      <c r="E2785" s="5">
        <v>43975</v>
      </c>
      <c r="K2785" s="22">
        <v>967</v>
      </c>
      <c r="L2785" s="6">
        <v>980.5</v>
      </c>
      <c r="M2785" s="125">
        <f t="shared" si="63"/>
        <v>13.5</v>
      </c>
      <c r="N2785" s="18"/>
      <c r="O2785" s="135"/>
      <c r="P2785" s="175">
        <v>10100</v>
      </c>
      <c r="Q2785" s="25">
        <v>0.14610000000000001</v>
      </c>
      <c r="U2785" s="384">
        <v>0.1</v>
      </c>
      <c r="W2785" s="285">
        <f t="shared" si="64"/>
        <v>1623.1710000000003</v>
      </c>
    </row>
    <row r="2786" spans="1:23" ht="15" customHeight="1">
      <c r="A2786" s="3">
        <v>39800</v>
      </c>
      <c r="B2786" s="9">
        <v>0</v>
      </c>
      <c r="C2786" s="5">
        <v>20000</v>
      </c>
      <c r="D2786" s="5" t="e">
        <f>E2786-(#REF!+C2786)</f>
        <v>#REF!</v>
      </c>
      <c r="E2786" s="5">
        <v>43850</v>
      </c>
      <c r="K2786" s="22">
        <v>945.5</v>
      </c>
      <c r="L2786" s="6">
        <v>961</v>
      </c>
      <c r="M2786" s="125">
        <f>L2786-K2786</f>
        <v>15.5</v>
      </c>
      <c r="N2786" s="18"/>
      <c r="O2786" s="135"/>
      <c r="P2786" s="175">
        <v>9600</v>
      </c>
      <c r="Q2786" s="25">
        <v>0.14630000000000001</v>
      </c>
      <c r="U2786" s="384">
        <v>0.1</v>
      </c>
      <c r="W2786" s="285">
        <f t="shared" si="64"/>
        <v>1544.9280000000001</v>
      </c>
    </row>
    <row r="2787" spans="1:23" ht="15" customHeight="1">
      <c r="A2787" s="3">
        <v>39801</v>
      </c>
      <c r="B2787" s="9">
        <v>0</v>
      </c>
      <c r="C2787" s="5">
        <v>20300</v>
      </c>
      <c r="D2787" s="5" t="e">
        <f>E2787-(#REF!+C2787)</f>
        <v>#REF!</v>
      </c>
      <c r="E2787" s="5">
        <v>44025</v>
      </c>
      <c r="K2787" s="22">
        <v>882</v>
      </c>
      <c r="L2787" s="6">
        <v>892</v>
      </c>
      <c r="M2787" s="125">
        <f>L2787-K2787</f>
        <v>10</v>
      </c>
      <c r="N2787" s="18"/>
      <c r="O2787" s="135"/>
      <c r="P2787" s="175">
        <v>9400</v>
      </c>
      <c r="Q2787" s="25">
        <v>0.14610000000000001</v>
      </c>
      <c r="U2787" s="384">
        <v>0.1</v>
      </c>
      <c r="W2787" s="285">
        <f t="shared" si="64"/>
        <v>1510.6740000000002</v>
      </c>
    </row>
    <row r="2788" spans="1:23" ht="15" customHeight="1">
      <c r="A2788" s="3">
        <v>39804</v>
      </c>
      <c r="B2788" s="9">
        <v>0</v>
      </c>
      <c r="C2788" s="5">
        <v>20300</v>
      </c>
      <c r="D2788" s="5" t="e">
        <f>E2788-(#REF!+C2788)</f>
        <v>#REF!</v>
      </c>
      <c r="E2788" s="5">
        <v>44150</v>
      </c>
      <c r="K2788" s="22">
        <v>880</v>
      </c>
      <c r="L2788" s="6">
        <v>881</v>
      </c>
      <c r="M2788" s="125">
        <f>L2788-K2788</f>
        <v>1</v>
      </c>
      <c r="N2788" s="18"/>
      <c r="O2788" s="135"/>
      <c r="P2788" s="175">
        <v>9400</v>
      </c>
      <c r="Q2788" s="25">
        <v>0.14610000000000001</v>
      </c>
      <c r="U2788" s="384">
        <v>0.1</v>
      </c>
      <c r="W2788" s="285">
        <f t="shared" si="64"/>
        <v>1510.6740000000002</v>
      </c>
    </row>
    <row r="2789" spans="1:23" ht="15" customHeight="1">
      <c r="A2789" s="3">
        <v>39805</v>
      </c>
      <c r="B2789" s="9">
        <v>225</v>
      </c>
      <c r="C2789" s="5">
        <v>20300</v>
      </c>
      <c r="D2789" s="5" t="e">
        <f>E2789-(#REF!+C2789)</f>
        <v>#REF!</v>
      </c>
      <c r="E2789" s="5">
        <v>44525</v>
      </c>
      <c r="K2789" s="22">
        <v>907</v>
      </c>
      <c r="L2789" s="6">
        <v>900.5</v>
      </c>
      <c r="M2789" s="125">
        <f>L2789-K2789</f>
        <v>-6.5</v>
      </c>
      <c r="N2789" s="18"/>
      <c r="O2789" s="135"/>
      <c r="P2789" s="175">
        <v>10100</v>
      </c>
      <c r="Q2789" s="25">
        <v>0.1459</v>
      </c>
      <c r="U2789" s="384">
        <v>0.1</v>
      </c>
      <c r="W2789" s="285">
        <f t="shared" si="64"/>
        <v>1620.9490000000001</v>
      </c>
    </row>
    <row r="2790" spans="1:23" ht="15" customHeight="1">
      <c r="A2790" s="3">
        <v>39806</v>
      </c>
      <c r="B2790" s="9">
        <v>225</v>
      </c>
      <c r="C2790" s="5">
        <v>20300</v>
      </c>
      <c r="D2790" s="5" t="e">
        <f>E2790-(#REF!+C2790)</f>
        <v>#REF!</v>
      </c>
      <c r="E2790" s="5">
        <v>44575</v>
      </c>
      <c r="K2790" s="22">
        <v>900</v>
      </c>
      <c r="L2790" s="6">
        <v>876</v>
      </c>
      <c r="M2790" s="125">
        <f>L2790-K2790</f>
        <v>-24</v>
      </c>
      <c r="N2790" s="18"/>
      <c r="O2790" s="135"/>
      <c r="P2790" s="175">
        <v>10400</v>
      </c>
      <c r="Q2790" s="25">
        <v>0.1464</v>
      </c>
      <c r="U2790" s="384">
        <v>0.1</v>
      </c>
      <c r="W2790" s="285">
        <f t="shared" si="64"/>
        <v>1674.816</v>
      </c>
    </row>
    <row r="2791" spans="1:23" ht="15" customHeight="1">
      <c r="A2791" s="3">
        <v>39807</v>
      </c>
      <c r="B2791" s="9">
        <v>0</v>
      </c>
      <c r="C2791" s="24"/>
      <c r="D2791" s="24"/>
      <c r="E2791" s="24"/>
      <c r="F2791" s="1333" t="s">
        <v>33</v>
      </c>
      <c r="G2791" s="1333"/>
      <c r="H2791" s="1333"/>
      <c r="I2791" s="1333"/>
      <c r="J2791" s="65"/>
      <c r="K2791" s="24"/>
      <c r="L2791" s="24"/>
      <c r="M2791" s="24"/>
      <c r="N2791" s="24"/>
      <c r="O2791" s="24"/>
      <c r="P2791" s="184">
        <v>10500</v>
      </c>
      <c r="Q2791" s="25">
        <v>0.1462</v>
      </c>
      <c r="U2791" s="384">
        <v>0.1</v>
      </c>
      <c r="W2791" s="285">
        <f t="shared" si="64"/>
        <v>1688.6100000000001</v>
      </c>
    </row>
    <row r="2792" spans="1:23" ht="15" customHeight="1">
      <c r="A2792" s="3">
        <v>39808</v>
      </c>
      <c r="B2792" s="9">
        <v>0</v>
      </c>
      <c r="C2792" s="24"/>
      <c r="D2792" s="24"/>
      <c r="E2792" s="24"/>
      <c r="F2792" s="1333"/>
      <c r="G2792" s="1333"/>
      <c r="H2792" s="1333"/>
      <c r="I2792" s="1333"/>
      <c r="J2792" s="65"/>
      <c r="K2792" s="24"/>
      <c r="L2792" s="24"/>
      <c r="M2792" s="24"/>
      <c r="N2792" s="24"/>
      <c r="O2792" s="24"/>
      <c r="P2792" s="184">
        <v>10300</v>
      </c>
      <c r="Q2792" s="25">
        <v>0.1462</v>
      </c>
      <c r="U2792" s="384">
        <v>0.1</v>
      </c>
      <c r="W2792" s="285">
        <f t="shared" si="64"/>
        <v>1656.4459999999999</v>
      </c>
    </row>
    <row r="2793" spans="1:23" ht="15" customHeight="1">
      <c r="A2793" s="3">
        <v>39811</v>
      </c>
      <c r="B2793" s="9">
        <v>225</v>
      </c>
      <c r="C2793" s="5">
        <v>20625</v>
      </c>
      <c r="D2793" s="5" t="e">
        <f>E2793-(#REF!+C2793)</f>
        <v>#REF!</v>
      </c>
      <c r="E2793" s="5">
        <v>44975</v>
      </c>
      <c r="K2793" s="22">
        <v>900.5</v>
      </c>
      <c r="L2793" s="6">
        <v>875</v>
      </c>
      <c r="M2793" s="125">
        <f>L2793-K2793</f>
        <v>-25.5</v>
      </c>
      <c r="N2793" s="18"/>
      <c r="O2793" s="135"/>
      <c r="P2793" s="175">
        <v>10100</v>
      </c>
      <c r="Q2793" s="25">
        <v>0.14610000000000001</v>
      </c>
      <c r="U2793" s="384">
        <v>0.1</v>
      </c>
      <c r="W2793" s="285">
        <f t="shared" si="64"/>
        <v>1623.1710000000003</v>
      </c>
    </row>
    <row r="2794" spans="1:23" ht="15" customHeight="1">
      <c r="A2794" s="3">
        <v>39812</v>
      </c>
      <c r="B2794" s="9">
        <v>200</v>
      </c>
      <c r="C2794" s="5">
        <v>20750</v>
      </c>
      <c r="D2794" s="5" t="e">
        <f>E2794-(#REF!+C2794)</f>
        <v>#REF!</v>
      </c>
      <c r="E2794" s="5">
        <v>45350</v>
      </c>
      <c r="K2794" s="22">
        <v>945</v>
      </c>
      <c r="L2794" s="6">
        <v>925</v>
      </c>
      <c r="M2794" s="125">
        <f t="shared" ref="M2794:M2857" si="65">L2794-K2794</f>
        <v>-20</v>
      </c>
      <c r="N2794" s="18"/>
      <c r="O2794" s="135"/>
      <c r="P2794" s="175">
        <v>10100</v>
      </c>
      <c r="Q2794" s="25">
        <v>0.14610000000000001</v>
      </c>
      <c r="U2794" s="384">
        <v>0.1</v>
      </c>
      <c r="W2794" s="285">
        <f t="shared" si="64"/>
        <v>1623.1710000000003</v>
      </c>
    </row>
    <row r="2795" spans="1:23" ht="15" customHeight="1" thickBot="1">
      <c r="A2795" s="11">
        <v>39813</v>
      </c>
      <c r="B2795" s="9">
        <v>200</v>
      </c>
      <c r="C2795" s="13">
        <v>20725</v>
      </c>
      <c r="D2795" s="13" t="e">
        <f>E2795-(#REF!+C2795)</f>
        <v>#REF!</v>
      </c>
      <c r="E2795" s="13">
        <v>45150</v>
      </c>
      <c r="F2795" s="12"/>
      <c r="G2795" s="13"/>
      <c r="H2795" s="13"/>
      <c r="I2795" s="119"/>
      <c r="J2795" s="119"/>
      <c r="K2795" s="23">
        <v>949</v>
      </c>
      <c r="L2795" s="14">
        <v>925</v>
      </c>
      <c r="M2795" s="126">
        <f t="shared" si="65"/>
        <v>-24</v>
      </c>
      <c r="N2795" s="19">
        <f>AVERAGE(K2773:K2795)</f>
        <v>962.88095238095241</v>
      </c>
      <c r="O2795" s="141">
        <f>AVERAGE(K2535:K2795)</f>
        <v>2084.7637795275591</v>
      </c>
      <c r="P2795" s="176">
        <v>10400</v>
      </c>
      <c r="Q2795" s="27">
        <v>0.1464</v>
      </c>
      <c r="R2795" s="27"/>
      <c r="S2795" s="27"/>
      <c r="T2795" s="27"/>
      <c r="U2795" s="385">
        <v>0.1</v>
      </c>
      <c r="V2795" s="38">
        <f>AVERAGE(P2773:P2795)</f>
        <v>9756.5217391304341</v>
      </c>
      <c r="W2795" s="285">
        <f t="shared" si="64"/>
        <v>1674.816</v>
      </c>
    </row>
    <row r="2796" spans="1:23" ht="15" customHeight="1">
      <c r="A2796" s="3">
        <v>39815</v>
      </c>
      <c r="B2796" s="9">
        <v>200</v>
      </c>
      <c r="C2796" s="5">
        <v>20750</v>
      </c>
      <c r="D2796" s="5" t="e">
        <f>E2796-(#REF!+C2796)</f>
        <v>#REF!</v>
      </c>
      <c r="E2796" s="5">
        <v>45150</v>
      </c>
      <c r="K2796" s="22">
        <v>1040.5</v>
      </c>
      <c r="L2796" s="6">
        <v>1031</v>
      </c>
      <c r="M2796" s="125">
        <f t="shared" si="65"/>
        <v>-9.5</v>
      </c>
      <c r="N2796" s="20"/>
      <c r="O2796" s="139">
        <f>AVERAGE(K2796:K3054)</f>
        <v>1726.1146245059288</v>
      </c>
      <c r="P2796" s="220"/>
      <c r="Q2796" s="1393" t="s">
        <v>23</v>
      </c>
      <c r="R2796" s="1393"/>
      <c r="S2796" s="1393"/>
      <c r="T2796" s="1393"/>
      <c r="U2796" s="1393"/>
      <c r="V2796" s="219"/>
      <c r="W2796" s="285" t="e">
        <f t="shared" si="64"/>
        <v>#VALUE!</v>
      </c>
    </row>
    <row r="2797" spans="1:23" ht="15" customHeight="1">
      <c r="A2797" s="3">
        <v>39818</v>
      </c>
      <c r="B2797" s="9">
        <v>200</v>
      </c>
      <c r="C2797" s="5">
        <v>20750</v>
      </c>
      <c r="D2797" s="5" t="e">
        <f>E2797-(#REF!+C2797)</f>
        <v>#REF!</v>
      </c>
      <c r="E2797" s="5">
        <v>45150</v>
      </c>
      <c r="K2797" s="22">
        <v>1079.5</v>
      </c>
      <c r="L2797" s="6">
        <v>1070</v>
      </c>
      <c r="M2797" s="125">
        <f t="shared" si="65"/>
        <v>-9.5</v>
      </c>
      <c r="N2797" s="18"/>
      <c r="O2797" s="135"/>
      <c r="P2797" s="175">
        <v>11400</v>
      </c>
      <c r="Q2797" s="25">
        <v>0.14660000000000001</v>
      </c>
      <c r="U2797" s="384">
        <v>0.1</v>
      </c>
      <c r="W2797" s="285">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25">
        <f t="shared" si="65"/>
        <v>-14</v>
      </c>
      <c r="N2798" s="18"/>
      <c r="O2798" s="135"/>
      <c r="P2798" s="175">
        <v>12000</v>
      </c>
      <c r="Q2798" s="25">
        <v>0.14630000000000001</v>
      </c>
      <c r="U2798" s="384">
        <v>0.1</v>
      </c>
      <c r="W2798" s="285">
        <f t="shared" si="66"/>
        <v>1931.1600000000003</v>
      </c>
    </row>
    <row r="2799" spans="1:23" ht="15" customHeight="1">
      <c r="A2799" s="3">
        <v>39820</v>
      </c>
      <c r="B2799" s="9">
        <v>0</v>
      </c>
      <c r="C2799" s="5">
        <v>20750</v>
      </c>
      <c r="D2799" s="5" t="e">
        <f>E2799-(#REF!+C2799)</f>
        <v>#REF!</v>
      </c>
      <c r="E2799" s="5">
        <v>44450</v>
      </c>
      <c r="K2799" s="22">
        <v>1177</v>
      </c>
      <c r="L2799" s="6">
        <v>1174</v>
      </c>
      <c r="M2799" s="125">
        <f t="shared" si="65"/>
        <v>-3</v>
      </c>
      <c r="N2799" s="18"/>
      <c r="O2799" s="135"/>
      <c r="P2799" s="175">
        <v>12400</v>
      </c>
      <c r="Q2799" s="25">
        <v>0.14630000000000001</v>
      </c>
      <c r="U2799" s="384">
        <v>0.1</v>
      </c>
      <c r="W2799" s="285">
        <f t="shared" si="66"/>
        <v>1995.5320000000004</v>
      </c>
    </row>
    <row r="2800" spans="1:23" ht="15" customHeight="1">
      <c r="A2800" s="3">
        <v>39821</v>
      </c>
      <c r="B2800" s="9">
        <v>0</v>
      </c>
      <c r="C2800" s="5">
        <v>20925</v>
      </c>
      <c r="D2800" s="5" t="e">
        <f>E2800-(#REF!+C2800)</f>
        <v>#REF!</v>
      </c>
      <c r="E2800" s="5">
        <v>44600</v>
      </c>
      <c r="K2800" s="22">
        <v>1145.5</v>
      </c>
      <c r="L2800" s="6">
        <v>1145.5</v>
      </c>
      <c r="M2800" s="125">
        <f t="shared" si="65"/>
        <v>0</v>
      </c>
      <c r="N2800" s="18"/>
      <c r="O2800" s="135"/>
      <c r="P2800" s="175">
        <v>12100</v>
      </c>
      <c r="Q2800" s="25">
        <v>0.14630000000000001</v>
      </c>
      <c r="U2800" s="384">
        <v>0.1</v>
      </c>
      <c r="W2800" s="285">
        <f t="shared" si="66"/>
        <v>1947.2530000000004</v>
      </c>
    </row>
    <row r="2801" spans="1:23" ht="15" customHeight="1">
      <c r="A2801" s="3">
        <v>39822</v>
      </c>
      <c r="B2801" s="9">
        <v>0</v>
      </c>
      <c r="C2801" s="5">
        <v>21125</v>
      </c>
      <c r="D2801" s="5" t="e">
        <f>E2801-(#REF!+C2801)</f>
        <v>#REF!</v>
      </c>
      <c r="E2801" s="5">
        <v>45025</v>
      </c>
      <c r="K2801" s="22">
        <v>1185</v>
      </c>
      <c r="L2801" s="6">
        <v>1200</v>
      </c>
      <c r="M2801" s="125">
        <f t="shared" si="65"/>
        <v>15</v>
      </c>
      <c r="N2801" s="18"/>
      <c r="O2801" s="135"/>
      <c r="P2801" s="175">
        <v>12000</v>
      </c>
      <c r="Q2801" s="25">
        <v>0.14630000000000001</v>
      </c>
      <c r="U2801" s="384">
        <v>0.1</v>
      </c>
      <c r="W2801" s="285">
        <f t="shared" si="66"/>
        <v>1931.1600000000003</v>
      </c>
    </row>
    <row r="2802" spans="1:23" ht="15" customHeight="1">
      <c r="A2802" s="3">
        <v>39825</v>
      </c>
      <c r="B2802" s="9">
        <v>100</v>
      </c>
      <c r="C2802" s="5">
        <v>21275</v>
      </c>
      <c r="D2802" s="5" t="e">
        <f>E2802-(#REF!+C2802)</f>
        <v>#REF!</v>
      </c>
      <c r="E2802" s="5">
        <v>45275</v>
      </c>
      <c r="K2802" s="22">
        <v>1150</v>
      </c>
      <c r="L2802" s="6">
        <v>1140.5</v>
      </c>
      <c r="M2802" s="125">
        <f t="shared" si="65"/>
        <v>-9.5</v>
      </c>
      <c r="N2802" s="18"/>
      <c r="O2802" s="135"/>
      <c r="P2802" s="175">
        <v>12000</v>
      </c>
      <c r="Q2802" s="25">
        <v>0.14630000000000001</v>
      </c>
      <c r="U2802" s="384">
        <v>0.1</v>
      </c>
      <c r="W2802" s="285">
        <f t="shared" si="66"/>
        <v>1931.1600000000003</v>
      </c>
    </row>
    <row r="2803" spans="1:23" ht="15" customHeight="1">
      <c r="A2803" s="3">
        <v>39826</v>
      </c>
      <c r="B2803" s="9">
        <v>100</v>
      </c>
      <c r="C2803" s="5">
        <v>21725</v>
      </c>
      <c r="D2803" s="5" t="e">
        <f>E2803-(#REF!+C2803)</f>
        <v>#REF!</v>
      </c>
      <c r="E2803" s="5">
        <v>45850</v>
      </c>
      <c r="K2803" s="22">
        <v>1080</v>
      </c>
      <c r="L2803" s="6">
        <v>1098</v>
      </c>
      <c r="M2803" s="125">
        <f t="shared" si="65"/>
        <v>18</v>
      </c>
      <c r="N2803" s="18"/>
      <c r="O2803" s="135"/>
      <c r="P2803" s="175">
        <v>12100</v>
      </c>
      <c r="Q2803" s="25">
        <v>0.14630000000000001</v>
      </c>
      <c r="U2803" s="384">
        <v>0.1</v>
      </c>
      <c r="W2803" s="285">
        <f t="shared" si="66"/>
        <v>1947.2530000000004</v>
      </c>
    </row>
    <row r="2804" spans="1:23" ht="15" customHeight="1">
      <c r="A2804" s="3">
        <v>39827</v>
      </c>
      <c r="B2804" s="9">
        <v>100</v>
      </c>
      <c r="C2804" s="5">
        <v>21875</v>
      </c>
      <c r="D2804" s="5" t="e">
        <f>E2804-(#REF!+C2804)</f>
        <v>#REF!</v>
      </c>
      <c r="E2804" s="5">
        <v>46150</v>
      </c>
      <c r="K2804" s="22">
        <v>1136</v>
      </c>
      <c r="L2804" s="6">
        <v>1155</v>
      </c>
      <c r="M2804" s="125">
        <f t="shared" si="65"/>
        <v>19</v>
      </c>
      <c r="N2804" s="18"/>
      <c r="O2804" s="135"/>
      <c r="P2804" s="175">
        <v>12400</v>
      </c>
      <c r="Q2804" s="25">
        <v>0.14630000000000001</v>
      </c>
      <c r="U2804" s="384">
        <v>0.1</v>
      </c>
      <c r="W2804" s="285">
        <f t="shared" si="66"/>
        <v>1995.5320000000004</v>
      </c>
    </row>
    <row r="2805" spans="1:23" ht="15" customHeight="1">
      <c r="A2805" s="3">
        <v>39828</v>
      </c>
      <c r="B2805" s="9">
        <v>0</v>
      </c>
      <c r="C2805" s="5">
        <v>21875</v>
      </c>
      <c r="D2805" s="5" t="e">
        <f>E2805-(#REF!+C2805)</f>
        <v>#REF!</v>
      </c>
      <c r="E2805" s="5">
        <v>45950</v>
      </c>
      <c r="K2805" s="22">
        <v>1130</v>
      </c>
      <c r="L2805" s="6">
        <v>1135</v>
      </c>
      <c r="M2805" s="125">
        <f t="shared" si="65"/>
        <v>5</v>
      </c>
      <c r="N2805" s="18"/>
      <c r="O2805" s="135"/>
      <c r="P2805" s="175">
        <v>12500</v>
      </c>
      <c r="Q2805" s="25">
        <v>0.14630000000000001</v>
      </c>
      <c r="U2805" s="384">
        <v>0.1</v>
      </c>
      <c r="W2805" s="285">
        <f t="shared" si="66"/>
        <v>2011.6250000000005</v>
      </c>
    </row>
    <row r="2806" spans="1:23" ht="15" customHeight="1">
      <c r="A2806" s="3">
        <v>39829</v>
      </c>
      <c r="B2806" s="9">
        <v>0</v>
      </c>
      <c r="C2806" s="5">
        <v>21875</v>
      </c>
      <c r="D2806" s="5" t="e">
        <f>E2806-(#REF!+C2806)</f>
        <v>#REF!</v>
      </c>
      <c r="E2806" s="5">
        <v>45800</v>
      </c>
      <c r="K2806" s="22">
        <v>1162</v>
      </c>
      <c r="L2806" s="6">
        <v>1175</v>
      </c>
      <c r="M2806" s="125">
        <f t="shared" si="65"/>
        <v>13</v>
      </c>
      <c r="N2806" s="18"/>
      <c r="O2806" s="135"/>
      <c r="P2806" s="175">
        <v>12500</v>
      </c>
      <c r="Q2806" s="25">
        <v>0.14630000000000001</v>
      </c>
      <c r="U2806" s="384">
        <v>0.1</v>
      </c>
      <c r="W2806" s="285">
        <f t="shared" si="66"/>
        <v>2011.6250000000005</v>
      </c>
    </row>
    <row r="2807" spans="1:23" ht="15" customHeight="1">
      <c r="A2807" s="3">
        <v>39832</v>
      </c>
      <c r="B2807" s="9">
        <v>0</v>
      </c>
      <c r="C2807" s="5">
        <v>21875</v>
      </c>
      <c r="D2807" s="5" t="e">
        <f>E2807-(#REF!+C2807)</f>
        <v>#REF!</v>
      </c>
      <c r="E2807" s="5">
        <v>45525</v>
      </c>
      <c r="K2807" s="22">
        <v>1131</v>
      </c>
      <c r="L2807" s="6">
        <v>1140</v>
      </c>
      <c r="M2807" s="125">
        <f t="shared" si="65"/>
        <v>9</v>
      </c>
      <c r="N2807" s="18"/>
      <c r="O2807" s="135"/>
      <c r="P2807" s="175">
        <v>12700</v>
      </c>
      <c r="Q2807" s="25">
        <v>0.14630000000000001</v>
      </c>
      <c r="U2807" s="384">
        <v>0.1</v>
      </c>
      <c r="W2807" s="285">
        <f t="shared" si="66"/>
        <v>2043.8110000000004</v>
      </c>
    </row>
    <row r="2808" spans="1:23" ht="15" customHeight="1">
      <c r="A2808" s="3">
        <v>39833</v>
      </c>
      <c r="B2808" s="9">
        <v>0</v>
      </c>
      <c r="C2808" s="5">
        <v>21875</v>
      </c>
      <c r="D2808" s="5" t="e">
        <f>E2808-(#REF!+C2808)</f>
        <v>#REF!</v>
      </c>
      <c r="E2808" s="5">
        <v>49700</v>
      </c>
      <c r="K2808" s="22">
        <v>1145</v>
      </c>
      <c r="L2808" s="6">
        <v>1140</v>
      </c>
      <c r="M2808" s="125">
        <f t="shared" si="65"/>
        <v>-5</v>
      </c>
      <c r="N2808" s="18"/>
      <c r="O2808" s="135"/>
      <c r="P2808" s="175">
        <v>12700</v>
      </c>
      <c r="Q2808" s="25">
        <v>0.14630000000000001</v>
      </c>
      <c r="U2808" s="384">
        <v>0.1</v>
      </c>
      <c r="W2808" s="285">
        <f t="shared" si="66"/>
        <v>2043.8110000000004</v>
      </c>
    </row>
    <row r="2809" spans="1:23" ht="15" customHeight="1">
      <c r="A2809" s="3">
        <v>39834</v>
      </c>
      <c r="B2809" s="9">
        <v>0</v>
      </c>
      <c r="C2809" s="5">
        <v>21875</v>
      </c>
      <c r="D2809" s="5" t="e">
        <f>E2809-(#REF!+C2809)</f>
        <v>#REF!</v>
      </c>
      <c r="E2809" s="5">
        <v>49625</v>
      </c>
      <c r="K2809" s="22">
        <v>1120.5</v>
      </c>
      <c r="L2809" s="6">
        <v>1120.5</v>
      </c>
      <c r="M2809" s="125">
        <f t="shared" si="65"/>
        <v>0</v>
      </c>
      <c r="N2809" s="18"/>
      <c r="O2809" s="135"/>
      <c r="P2809" s="175">
        <v>12800</v>
      </c>
      <c r="Q2809" s="25">
        <v>0.1462</v>
      </c>
      <c r="U2809" s="384">
        <v>0.1</v>
      </c>
      <c r="W2809" s="285">
        <f t="shared" si="66"/>
        <v>2058.4960000000001</v>
      </c>
    </row>
    <row r="2810" spans="1:23" ht="15" customHeight="1">
      <c r="A2810" s="3">
        <v>39835</v>
      </c>
      <c r="B2810" s="9">
        <v>0</v>
      </c>
      <c r="C2810" s="5">
        <v>21875</v>
      </c>
      <c r="D2810" s="5" t="e">
        <f>E2810-(#REF!+C2810)</f>
        <v>#REF!</v>
      </c>
      <c r="E2810" s="5">
        <v>49950</v>
      </c>
      <c r="K2810" s="22">
        <v>1105.5</v>
      </c>
      <c r="L2810" s="6">
        <v>1110</v>
      </c>
      <c r="M2810" s="125">
        <f t="shared" si="65"/>
        <v>4.5</v>
      </c>
      <c r="N2810" s="18"/>
      <c r="O2810" s="135"/>
      <c r="P2810" s="175">
        <v>12800</v>
      </c>
      <c r="Q2810" s="25">
        <v>0.1462</v>
      </c>
      <c r="U2810" s="384">
        <v>0.1</v>
      </c>
      <c r="W2810" s="285">
        <f t="shared" si="66"/>
        <v>2058.4960000000001</v>
      </c>
    </row>
    <row r="2811" spans="1:23" ht="15" customHeight="1">
      <c r="A2811" s="3">
        <v>39836</v>
      </c>
      <c r="B2811" s="9">
        <v>0</v>
      </c>
      <c r="C2811" s="5">
        <v>22550</v>
      </c>
      <c r="D2811" s="5" t="e">
        <f>E2811-(#REF!+C2811)</f>
        <v>#REF!</v>
      </c>
      <c r="E2811" s="5">
        <v>50475</v>
      </c>
      <c r="K2811" s="22">
        <v>1075</v>
      </c>
      <c r="L2811" s="6">
        <v>1071.5</v>
      </c>
      <c r="M2811" s="125">
        <f t="shared" si="65"/>
        <v>-3.5</v>
      </c>
      <c r="N2811" s="18"/>
      <c r="O2811" s="135"/>
      <c r="P2811" s="175">
        <v>12800</v>
      </c>
      <c r="Q2811" s="25">
        <v>0.14630000000000001</v>
      </c>
      <c r="U2811" s="384">
        <v>0.1</v>
      </c>
      <c r="V2811" s="36">
        <f>AVERAGE(P2796:P2811)</f>
        <v>12346.666666666666</v>
      </c>
      <c r="W2811" s="285">
        <f t="shared" si="66"/>
        <v>2059.9040000000005</v>
      </c>
    </row>
    <row r="2812" spans="1:23" ht="15" customHeight="1">
      <c r="A2812" s="3">
        <v>39839</v>
      </c>
      <c r="B2812" s="9">
        <v>0</v>
      </c>
      <c r="C2812" s="5">
        <v>22550</v>
      </c>
      <c r="D2812" s="5" t="e">
        <f>E2812-(#REF!+C2812)</f>
        <v>#REF!</v>
      </c>
      <c r="E2812" s="5">
        <v>50425</v>
      </c>
      <c r="K2812" s="22">
        <v>1153</v>
      </c>
      <c r="L2812" s="6">
        <v>1150</v>
      </c>
      <c r="M2812" s="125">
        <f t="shared" si="65"/>
        <v>-3</v>
      </c>
      <c r="N2812" s="18"/>
      <c r="O2812" s="135"/>
      <c r="P2812" s="195"/>
      <c r="Q2812" s="1363" t="s">
        <v>23</v>
      </c>
      <c r="R2812" s="1363"/>
      <c r="S2812" s="1363"/>
      <c r="T2812" s="1363"/>
      <c r="U2812" s="1363"/>
      <c r="V2812" s="189"/>
      <c r="W2812" s="285" t="e">
        <f t="shared" si="66"/>
        <v>#VALUE!</v>
      </c>
    </row>
    <row r="2813" spans="1:23" ht="15" customHeight="1">
      <c r="A2813" s="3">
        <v>39840</v>
      </c>
      <c r="B2813" s="9">
        <v>0</v>
      </c>
      <c r="C2813" s="5">
        <v>24125</v>
      </c>
      <c r="D2813" s="5" t="e">
        <f>E2813-(#REF!+C2813)</f>
        <v>#REF!</v>
      </c>
      <c r="E2813" s="5">
        <v>52125</v>
      </c>
      <c r="K2813" s="22">
        <v>1150</v>
      </c>
      <c r="L2813" s="6">
        <v>1152</v>
      </c>
      <c r="M2813" s="125">
        <f t="shared" si="65"/>
        <v>2</v>
      </c>
      <c r="N2813" s="18"/>
      <c r="O2813" s="135"/>
      <c r="P2813" s="195"/>
      <c r="Q2813" s="1363"/>
      <c r="R2813" s="1363"/>
      <c r="S2813" s="1363"/>
      <c r="T2813" s="1363"/>
      <c r="U2813" s="1363"/>
      <c r="V2813" s="189"/>
      <c r="W2813" s="285">
        <f t="shared" si="66"/>
        <v>0</v>
      </c>
    </row>
    <row r="2814" spans="1:23" ht="15" customHeight="1">
      <c r="A2814" s="3">
        <v>39841</v>
      </c>
      <c r="B2814" s="9">
        <v>0</v>
      </c>
      <c r="C2814" s="5">
        <v>24225</v>
      </c>
      <c r="D2814" s="5" t="e">
        <f>E2814-(#REF!+C2814)</f>
        <v>#REF!</v>
      </c>
      <c r="E2814" s="5">
        <v>52175</v>
      </c>
      <c r="K2814" s="22">
        <v>1160</v>
      </c>
      <c r="L2814" s="6">
        <v>1160</v>
      </c>
      <c r="M2814" s="125">
        <f t="shared" si="65"/>
        <v>0</v>
      </c>
      <c r="N2814" s="18"/>
      <c r="O2814" s="135"/>
      <c r="P2814" s="195"/>
      <c r="Q2814" s="1363"/>
      <c r="R2814" s="1363"/>
      <c r="S2814" s="1363"/>
      <c r="T2814" s="1363"/>
      <c r="U2814" s="1363"/>
      <c r="V2814" s="189"/>
      <c r="W2814" s="285">
        <f t="shared" si="66"/>
        <v>0</v>
      </c>
    </row>
    <row r="2815" spans="1:23" ht="15" customHeight="1">
      <c r="A2815" s="3">
        <v>39842</v>
      </c>
      <c r="B2815" s="9">
        <v>0</v>
      </c>
      <c r="C2815" s="5">
        <v>24300</v>
      </c>
      <c r="D2815" s="5" t="e">
        <f>E2815-(#REF!+C2815)</f>
        <v>#REF!</v>
      </c>
      <c r="E2815" s="5">
        <v>52525</v>
      </c>
      <c r="K2815" s="22">
        <v>1145</v>
      </c>
      <c r="L2815" s="6">
        <v>1142</v>
      </c>
      <c r="M2815" s="125">
        <f t="shared" si="65"/>
        <v>-3</v>
      </c>
      <c r="N2815" s="18"/>
      <c r="O2815" s="135"/>
      <c r="P2815" s="195"/>
      <c r="Q2815" s="1363"/>
      <c r="R2815" s="1363"/>
      <c r="S2815" s="1363"/>
      <c r="T2815" s="1363"/>
      <c r="U2815" s="1363"/>
      <c r="V2815" s="189"/>
      <c r="W2815" s="285">
        <f t="shared" si="66"/>
        <v>0</v>
      </c>
    </row>
    <row r="2816" spans="1:23" ht="15" customHeight="1" thickBot="1">
      <c r="A2816" s="11">
        <v>39843</v>
      </c>
      <c r="B2816" s="9">
        <v>0</v>
      </c>
      <c r="C2816" s="13">
        <v>24650</v>
      </c>
      <c r="D2816" s="13" t="e">
        <f>E2816-(#REF!+C2816)</f>
        <v>#REF!</v>
      </c>
      <c r="E2816" s="13">
        <v>52750</v>
      </c>
      <c r="F2816" s="12"/>
      <c r="G2816" s="13"/>
      <c r="H2816" s="13"/>
      <c r="I2816" s="119"/>
      <c r="J2816" s="119"/>
      <c r="K2816" s="23">
        <v>1152</v>
      </c>
      <c r="L2816" s="14">
        <v>1151</v>
      </c>
      <c r="M2816" s="126">
        <f t="shared" si="65"/>
        <v>-1</v>
      </c>
      <c r="N2816" s="84">
        <f>AVERAGE(K2796:K2816)</f>
        <v>1132.7380952380952</v>
      </c>
      <c r="O2816" s="141">
        <f>AVERAGE(K2796:K2816)</f>
        <v>1132.7380952380952</v>
      </c>
      <c r="P2816" s="197"/>
      <c r="Q2816" s="1365"/>
      <c r="R2816" s="1365"/>
      <c r="S2816" s="1365"/>
      <c r="T2816" s="1365"/>
      <c r="U2816" s="1365"/>
      <c r="V2816" s="198"/>
      <c r="W2816" s="285">
        <f t="shared" si="66"/>
        <v>0</v>
      </c>
    </row>
    <row r="2817" spans="1:23" ht="15" customHeight="1">
      <c r="A2817" s="29">
        <v>39846</v>
      </c>
      <c r="B2817" s="9">
        <v>0</v>
      </c>
      <c r="C2817" s="31">
        <v>25375</v>
      </c>
      <c r="D2817" s="31" t="e">
        <f>E2817-(#REF!+C2817)</f>
        <v>#REF!</v>
      </c>
      <c r="E2817" s="31">
        <v>53700</v>
      </c>
      <c r="F2817" s="30"/>
      <c r="G2817" s="31"/>
      <c r="H2817" s="31"/>
      <c r="I2817" s="123"/>
      <c r="J2817" s="123"/>
      <c r="K2817" s="32">
        <v>1115.5</v>
      </c>
      <c r="L2817" s="33">
        <v>1116</v>
      </c>
      <c r="M2817" s="125">
        <f t="shared" si="65"/>
        <v>0.5</v>
      </c>
      <c r="N2817" s="20"/>
      <c r="O2817" s="138"/>
      <c r="P2817" s="178">
        <v>12900</v>
      </c>
      <c r="Q2817" s="34">
        <v>0.14630000000000001</v>
      </c>
      <c r="U2817" s="386">
        <v>0.1</v>
      </c>
      <c r="V2817" s="37"/>
      <c r="W2817" s="285">
        <f t="shared" si="66"/>
        <v>2075.9970000000003</v>
      </c>
    </row>
    <row r="2818" spans="1:23" ht="15" customHeight="1">
      <c r="A2818" s="3">
        <v>39847</v>
      </c>
      <c r="B2818" s="9">
        <v>0</v>
      </c>
      <c r="C2818" s="5">
        <v>25725</v>
      </c>
      <c r="D2818" s="5" t="e">
        <f>E2818-(#REF!+C2818)</f>
        <v>#REF!</v>
      </c>
      <c r="E2818" s="5">
        <v>54050</v>
      </c>
      <c r="K2818" s="22">
        <v>1114</v>
      </c>
      <c r="L2818" s="6">
        <v>1120</v>
      </c>
      <c r="M2818" s="125">
        <f t="shared" si="65"/>
        <v>6</v>
      </c>
      <c r="N2818" s="18"/>
      <c r="O2818" s="135"/>
      <c r="P2818" s="175">
        <v>12800</v>
      </c>
      <c r="Q2818" s="25">
        <v>0.14599999999999999</v>
      </c>
      <c r="U2818" s="384">
        <v>0.1</v>
      </c>
      <c r="W2818" s="285">
        <f t="shared" si="66"/>
        <v>2055.6800000000003</v>
      </c>
    </row>
    <row r="2819" spans="1:23" ht="15" customHeight="1">
      <c r="A2819" s="3">
        <v>39848</v>
      </c>
      <c r="B2819" s="9">
        <v>0</v>
      </c>
      <c r="C2819" s="5">
        <v>25725</v>
      </c>
      <c r="D2819" s="5" t="e">
        <f>E2819-(#REF!+C2819)</f>
        <v>#REF!</v>
      </c>
      <c r="E2819" s="5">
        <v>54100</v>
      </c>
      <c r="K2819" s="22">
        <v>1195</v>
      </c>
      <c r="L2819" s="6">
        <v>1200</v>
      </c>
      <c r="M2819" s="125">
        <f t="shared" si="65"/>
        <v>5</v>
      </c>
      <c r="N2819" s="18"/>
      <c r="O2819" s="135"/>
      <c r="P2819" s="175">
        <v>12900</v>
      </c>
      <c r="Q2819" s="25">
        <v>0.14630000000000001</v>
      </c>
      <c r="U2819" s="384">
        <v>0.1</v>
      </c>
      <c r="W2819" s="285">
        <f t="shared" si="66"/>
        <v>2075.9970000000003</v>
      </c>
    </row>
    <row r="2820" spans="1:23" ht="15" customHeight="1">
      <c r="A2820" s="3">
        <v>39849</v>
      </c>
      <c r="B2820" s="9">
        <v>0</v>
      </c>
      <c r="C2820" s="5">
        <v>26575</v>
      </c>
      <c r="D2820" s="5" t="e">
        <f>E2820-(#REF!+C2820)</f>
        <v>#REF!</v>
      </c>
      <c r="E2820" s="5">
        <v>55000</v>
      </c>
      <c r="K2820" s="22">
        <v>1165</v>
      </c>
      <c r="L2820" s="6">
        <v>1171</v>
      </c>
      <c r="M2820" s="125">
        <f t="shared" si="65"/>
        <v>6</v>
      </c>
      <c r="N2820" s="18"/>
      <c r="O2820" s="135"/>
      <c r="P2820" s="175">
        <v>12800</v>
      </c>
      <c r="Q2820" s="25">
        <v>0.14630000000000001</v>
      </c>
      <c r="U2820" s="384">
        <v>0.1</v>
      </c>
      <c r="W2820" s="285">
        <f t="shared" si="66"/>
        <v>2059.9040000000005</v>
      </c>
    </row>
    <row r="2821" spans="1:23" ht="15" customHeight="1">
      <c r="A2821" s="3">
        <v>39850</v>
      </c>
      <c r="B2821" s="9">
        <v>0</v>
      </c>
      <c r="C2821" s="5">
        <v>26625</v>
      </c>
      <c r="D2821" s="5" t="e">
        <f>E2821-(#REF!+C2821)</f>
        <v>#REF!</v>
      </c>
      <c r="E2821" s="5">
        <v>55225</v>
      </c>
      <c r="K2821" s="22">
        <v>1165</v>
      </c>
      <c r="L2821" s="6">
        <v>1170</v>
      </c>
      <c r="M2821" s="125">
        <f t="shared" si="65"/>
        <v>5</v>
      </c>
      <c r="N2821" s="18"/>
      <c r="O2821" s="135"/>
      <c r="P2821" s="175">
        <v>12800</v>
      </c>
      <c r="Q2821" s="25">
        <v>0.14630000000000001</v>
      </c>
      <c r="U2821" s="384">
        <v>0.1</v>
      </c>
      <c r="W2821" s="285">
        <f t="shared" si="66"/>
        <v>2059.9040000000005</v>
      </c>
    </row>
    <row r="2822" spans="1:23" ht="15" customHeight="1">
      <c r="A2822" s="3">
        <v>39853</v>
      </c>
      <c r="B2822" s="9">
        <v>0</v>
      </c>
      <c r="C2822" s="5">
        <v>26975</v>
      </c>
      <c r="D2822" s="5" t="e">
        <f>E2822-(#REF!+C2822)</f>
        <v>#REF!</v>
      </c>
      <c r="E2822" s="5">
        <v>55000</v>
      </c>
      <c r="K2822" s="22">
        <v>1180</v>
      </c>
      <c r="L2822" s="6">
        <v>1180.5</v>
      </c>
      <c r="M2822" s="125">
        <f t="shared" si="65"/>
        <v>0.5</v>
      </c>
      <c r="N2822" s="18"/>
      <c r="O2822" s="135"/>
      <c r="P2822" s="175">
        <v>12800</v>
      </c>
      <c r="Q2822" s="25">
        <v>0.14630000000000001</v>
      </c>
      <c r="U2822" s="384">
        <v>0.1</v>
      </c>
      <c r="W2822" s="285">
        <f t="shared" si="66"/>
        <v>2059.9040000000005</v>
      </c>
    </row>
    <row r="2823" spans="1:23" ht="15" customHeight="1">
      <c r="A2823" s="3">
        <v>39854</v>
      </c>
      <c r="B2823" s="9">
        <v>0</v>
      </c>
      <c r="C2823" s="5">
        <v>26975</v>
      </c>
      <c r="D2823" s="5" t="e">
        <f>E2823-(#REF!+C2823)</f>
        <v>#REF!</v>
      </c>
      <c r="E2823" s="5">
        <v>54900</v>
      </c>
      <c r="K2823" s="22">
        <v>1152</v>
      </c>
      <c r="L2823" s="6">
        <v>1162.5</v>
      </c>
      <c r="M2823" s="125">
        <f t="shared" si="65"/>
        <v>10.5</v>
      </c>
      <c r="N2823" s="18"/>
      <c r="O2823" s="135"/>
      <c r="P2823" s="175">
        <v>12800</v>
      </c>
      <c r="Q2823" s="25">
        <v>0.14649999999999999</v>
      </c>
      <c r="U2823" s="384">
        <v>0.1</v>
      </c>
      <c r="W2823" s="285">
        <f t="shared" si="66"/>
        <v>2062.7199999999998</v>
      </c>
    </row>
    <row r="2824" spans="1:23" ht="15" customHeight="1">
      <c r="A2824" s="3">
        <v>39855</v>
      </c>
      <c r="B2824" s="9">
        <v>100</v>
      </c>
      <c r="C2824" s="5">
        <v>27000</v>
      </c>
      <c r="D2824" s="5" t="e">
        <f>E2824-(#REF!+C2824)</f>
        <v>#REF!</v>
      </c>
      <c r="E2824" s="5">
        <v>54850</v>
      </c>
      <c r="K2824" s="22">
        <v>1145</v>
      </c>
      <c r="L2824" s="6">
        <v>1153</v>
      </c>
      <c r="M2824" s="125">
        <f t="shared" si="65"/>
        <v>8</v>
      </c>
      <c r="N2824" s="18"/>
      <c r="O2824" s="135"/>
      <c r="P2824" s="175">
        <v>12700</v>
      </c>
      <c r="Q2824" s="25">
        <v>0.14630000000000001</v>
      </c>
      <c r="U2824" s="384">
        <v>0.1</v>
      </c>
      <c r="W2824" s="285">
        <f t="shared" si="66"/>
        <v>2043.8110000000004</v>
      </c>
    </row>
    <row r="2825" spans="1:23" ht="15" customHeight="1">
      <c r="A2825" s="3">
        <v>39856</v>
      </c>
      <c r="B2825" s="9">
        <v>100</v>
      </c>
      <c r="C2825" s="5">
        <v>27000</v>
      </c>
      <c r="D2825" s="5" t="e">
        <f>E2825-(#REF!+C2825)</f>
        <v>#REF!</v>
      </c>
      <c r="E2825" s="5">
        <v>55575</v>
      </c>
      <c r="K2825" s="22">
        <v>1135</v>
      </c>
      <c r="L2825" s="6">
        <v>1150</v>
      </c>
      <c r="M2825" s="125">
        <f t="shared" si="65"/>
        <v>15</v>
      </c>
      <c r="N2825" s="18"/>
      <c r="O2825" s="135"/>
      <c r="P2825" s="175">
        <v>12500</v>
      </c>
      <c r="Q2825" s="25">
        <v>0.14630000000000001</v>
      </c>
      <c r="U2825" s="384">
        <v>0.1</v>
      </c>
      <c r="W2825" s="285">
        <f t="shared" si="66"/>
        <v>2011.6250000000005</v>
      </c>
    </row>
    <row r="2826" spans="1:23" ht="15" customHeight="1">
      <c r="A2826" s="3">
        <v>39857</v>
      </c>
      <c r="B2826" s="9">
        <v>200</v>
      </c>
      <c r="C2826" s="5">
        <v>27550</v>
      </c>
      <c r="D2826" s="5" t="e">
        <f>E2826-(#REF!+C2826)</f>
        <v>#REF!</v>
      </c>
      <c r="E2826" s="5">
        <v>56175</v>
      </c>
      <c r="K2826" s="22">
        <v>1145</v>
      </c>
      <c r="L2826" s="6">
        <v>1160</v>
      </c>
      <c r="M2826" s="125">
        <f t="shared" si="65"/>
        <v>15</v>
      </c>
      <c r="N2826" s="18"/>
      <c r="O2826" s="135"/>
      <c r="P2826" s="175">
        <v>12200</v>
      </c>
      <c r="Q2826" s="25">
        <v>0.14630000000000001</v>
      </c>
      <c r="U2826" s="384">
        <v>0.1</v>
      </c>
      <c r="W2826" s="285">
        <f t="shared" si="66"/>
        <v>1963.3460000000002</v>
      </c>
    </row>
    <row r="2827" spans="1:23" ht="15" customHeight="1">
      <c r="A2827" s="3">
        <v>39860</v>
      </c>
      <c r="B2827" s="9">
        <v>200</v>
      </c>
      <c r="C2827" s="5">
        <v>27600</v>
      </c>
      <c r="D2827" s="5" t="e">
        <f>E2827-(#REF!+C2827)</f>
        <v>#REF!</v>
      </c>
      <c r="E2827" s="5">
        <v>56125</v>
      </c>
      <c r="K2827" s="22">
        <v>1135.5</v>
      </c>
      <c r="L2827" s="6">
        <v>1140</v>
      </c>
      <c r="M2827" s="125">
        <f t="shared" si="65"/>
        <v>4.5</v>
      </c>
      <c r="N2827" s="18"/>
      <c r="O2827" s="135"/>
      <c r="P2827" s="175">
        <v>12000</v>
      </c>
      <c r="Q2827" s="25">
        <v>0.1462</v>
      </c>
      <c r="U2827" s="384">
        <v>0.1</v>
      </c>
      <c r="W2827" s="285">
        <f t="shared" si="66"/>
        <v>1929.84</v>
      </c>
    </row>
    <row r="2828" spans="1:23" ht="15" customHeight="1">
      <c r="A2828" s="3">
        <v>39861</v>
      </c>
      <c r="B2828" s="9">
        <v>200</v>
      </c>
      <c r="C2828" s="5">
        <v>27650</v>
      </c>
      <c r="D2828" s="5" t="e">
        <f>E2828-(#REF!+C2828)</f>
        <v>#REF!</v>
      </c>
      <c r="E2828" s="5">
        <v>55925</v>
      </c>
      <c r="K2828" s="22">
        <v>1102.5</v>
      </c>
      <c r="L2828" s="6">
        <v>1111.5</v>
      </c>
      <c r="M2828" s="125">
        <f t="shared" si="65"/>
        <v>9</v>
      </c>
      <c r="N2828" s="18"/>
      <c r="O2828" s="135"/>
      <c r="P2828" s="175">
        <v>11550</v>
      </c>
      <c r="Q2828" s="25">
        <v>0.14630000000000001</v>
      </c>
      <c r="U2828" s="384">
        <v>0.1</v>
      </c>
      <c r="W2828" s="285">
        <f t="shared" si="66"/>
        <v>1858.7415000000003</v>
      </c>
    </row>
    <row r="2829" spans="1:23" ht="15" customHeight="1">
      <c r="A2829" s="3">
        <v>39862</v>
      </c>
      <c r="B2829" s="9">
        <v>100</v>
      </c>
      <c r="C2829" s="5">
        <v>27650</v>
      </c>
      <c r="D2829" s="5" t="e">
        <f>E2829-(#REF!+C2829)</f>
        <v>#REF!</v>
      </c>
      <c r="E2829" s="5">
        <v>55800</v>
      </c>
      <c r="K2829" s="22">
        <v>1060</v>
      </c>
      <c r="L2829" s="6">
        <v>1070</v>
      </c>
      <c r="M2829" s="125">
        <f t="shared" si="65"/>
        <v>10</v>
      </c>
      <c r="N2829" s="18"/>
      <c r="O2829" s="135"/>
      <c r="P2829" s="175">
        <v>11300</v>
      </c>
      <c r="Q2829" s="25">
        <v>0.1462</v>
      </c>
      <c r="U2829" s="384">
        <v>0.1</v>
      </c>
      <c r="W2829" s="285">
        <f t="shared" si="66"/>
        <v>1817.2660000000001</v>
      </c>
    </row>
    <row r="2830" spans="1:23" ht="15" customHeight="1">
      <c r="A2830" s="3">
        <v>39863</v>
      </c>
      <c r="B2830" s="9">
        <v>100</v>
      </c>
      <c r="C2830" s="5">
        <v>27725</v>
      </c>
      <c r="D2830" s="5" t="e">
        <f>E2830-(#REF!+C2830)</f>
        <v>#REF!</v>
      </c>
      <c r="E2830" s="5">
        <v>55650</v>
      </c>
      <c r="K2830" s="22">
        <v>1085</v>
      </c>
      <c r="L2830" s="6">
        <v>1095</v>
      </c>
      <c r="M2830" s="125">
        <f t="shared" si="65"/>
        <v>10</v>
      </c>
      <c r="N2830" s="18"/>
      <c r="O2830" s="135"/>
      <c r="P2830" s="175">
        <v>10600</v>
      </c>
      <c r="Q2830" s="25">
        <v>0.14630000000000001</v>
      </c>
      <c r="U2830" s="384">
        <v>0.1</v>
      </c>
      <c r="W2830" s="285">
        <f t="shared" si="66"/>
        <v>1705.8580000000004</v>
      </c>
    </row>
    <row r="2831" spans="1:23" ht="15" customHeight="1">
      <c r="A2831" s="3">
        <v>39864</v>
      </c>
      <c r="B2831" s="9">
        <v>200</v>
      </c>
      <c r="C2831" s="5">
        <v>28225</v>
      </c>
      <c r="D2831" s="5" t="e">
        <f>E2831-(#REF!+C2831)</f>
        <v>#REF!</v>
      </c>
      <c r="E2831" s="5">
        <v>56425</v>
      </c>
      <c r="K2831" s="22">
        <v>1015.5</v>
      </c>
      <c r="L2831" s="6">
        <v>1029</v>
      </c>
      <c r="M2831" s="125">
        <f t="shared" si="65"/>
        <v>13.5</v>
      </c>
      <c r="N2831" s="18"/>
      <c r="O2831" s="135"/>
      <c r="P2831" s="175">
        <v>10600</v>
      </c>
      <c r="Q2831" s="25">
        <v>0.14630000000000001</v>
      </c>
      <c r="U2831" s="384">
        <v>0.1</v>
      </c>
      <c r="W2831" s="285">
        <f t="shared" si="66"/>
        <v>1705.8580000000004</v>
      </c>
    </row>
    <row r="2832" spans="1:23" ht="15" customHeight="1">
      <c r="A2832" s="3">
        <v>39867</v>
      </c>
      <c r="B2832" s="9">
        <v>550</v>
      </c>
      <c r="C2832" s="5">
        <v>28250</v>
      </c>
      <c r="D2832" s="5" t="e">
        <f>E2832-(#REF!+C2832)</f>
        <v>#REF!</v>
      </c>
      <c r="E2832" s="5">
        <v>56750</v>
      </c>
      <c r="K2832" s="22">
        <v>1026</v>
      </c>
      <c r="L2832" s="6">
        <v>1035</v>
      </c>
      <c r="M2832" s="125">
        <f t="shared" si="65"/>
        <v>9</v>
      </c>
      <c r="N2832" s="18"/>
      <c r="O2832" s="135"/>
      <c r="P2832" s="175">
        <v>11000</v>
      </c>
      <c r="Q2832" s="25">
        <v>0.14630000000000001</v>
      </c>
      <c r="U2832" s="384">
        <v>0.1</v>
      </c>
      <c r="W2832" s="285">
        <f t="shared" si="66"/>
        <v>1770.2300000000002</v>
      </c>
    </row>
    <row r="2833" spans="1:23" ht="15" customHeight="1">
      <c r="A2833" s="3">
        <v>39868</v>
      </c>
      <c r="B2833" s="9">
        <v>1450</v>
      </c>
      <c r="C2833" s="5">
        <v>28625</v>
      </c>
      <c r="D2833" s="5" t="e">
        <f>E2833-(#REF!+C2833)</f>
        <v>#REF!</v>
      </c>
      <c r="E2833" s="5">
        <v>57950</v>
      </c>
      <c r="K2833" s="22">
        <v>991.5</v>
      </c>
      <c r="L2833" s="6">
        <v>1000</v>
      </c>
      <c r="M2833" s="125">
        <f t="shared" si="65"/>
        <v>8.5</v>
      </c>
      <c r="N2833" s="18"/>
      <c r="O2833" s="135"/>
      <c r="P2833" s="175">
        <v>11250</v>
      </c>
      <c r="Q2833" s="25">
        <v>0.14630000000000001</v>
      </c>
      <c r="U2833" s="384">
        <v>0.1</v>
      </c>
      <c r="W2833" s="285">
        <f t="shared" si="66"/>
        <v>1810.4625000000003</v>
      </c>
    </row>
    <row r="2834" spans="1:23" ht="15" customHeight="1">
      <c r="A2834" s="3">
        <v>39869</v>
      </c>
      <c r="B2834" s="9">
        <v>1450</v>
      </c>
      <c r="C2834" s="5">
        <v>28925</v>
      </c>
      <c r="D2834" s="5" t="e">
        <f>E2834-(#REF!+C2834)</f>
        <v>#REF!</v>
      </c>
      <c r="E2834" s="5">
        <v>58575</v>
      </c>
      <c r="K2834" s="22">
        <v>1008</v>
      </c>
      <c r="L2834" s="6">
        <v>1022</v>
      </c>
      <c r="M2834" s="125">
        <f t="shared" si="65"/>
        <v>14</v>
      </c>
      <c r="N2834" s="18"/>
      <c r="O2834" s="135"/>
      <c r="P2834" s="175">
        <v>11250</v>
      </c>
      <c r="Q2834" s="25">
        <v>0.14630000000000001</v>
      </c>
      <c r="U2834" s="384">
        <v>0.1</v>
      </c>
      <c r="W2834" s="285">
        <f t="shared" si="66"/>
        <v>1810.4625000000003</v>
      </c>
    </row>
    <row r="2835" spans="1:23" ht="15" customHeight="1">
      <c r="A2835" s="3">
        <v>39870</v>
      </c>
      <c r="B2835" s="9">
        <v>1325</v>
      </c>
      <c r="C2835" s="5">
        <v>29425</v>
      </c>
      <c r="D2835" s="5" t="e">
        <f>E2835-(#REF!+C2835)</f>
        <v>#REF!</v>
      </c>
      <c r="E2835" s="5">
        <v>59400</v>
      </c>
      <c r="K2835" s="22">
        <v>1050</v>
      </c>
      <c r="L2835" s="6">
        <v>1050</v>
      </c>
      <c r="M2835" s="125">
        <f t="shared" si="65"/>
        <v>0</v>
      </c>
      <c r="N2835" s="18"/>
      <c r="O2835" s="135"/>
      <c r="P2835" s="175">
        <v>11300</v>
      </c>
      <c r="Q2835" s="25">
        <v>0.14630000000000001</v>
      </c>
      <c r="U2835" s="384">
        <v>0.1</v>
      </c>
      <c r="W2835" s="285">
        <f t="shared" si="66"/>
        <v>1818.5090000000002</v>
      </c>
    </row>
    <row r="2836" spans="1:23" ht="15" customHeight="1" thickBot="1">
      <c r="A2836" s="11">
        <v>39871</v>
      </c>
      <c r="B2836" s="9">
        <v>1300</v>
      </c>
      <c r="C2836" s="13">
        <v>30025</v>
      </c>
      <c r="D2836" s="13" t="e">
        <f>E2836-(#REF!+C2836)</f>
        <v>#REF!</v>
      </c>
      <c r="E2836" s="13">
        <v>60500</v>
      </c>
      <c r="F2836" s="12"/>
      <c r="G2836" s="13"/>
      <c r="H2836" s="13"/>
      <c r="I2836" s="119"/>
      <c r="J2836" s="119"/>
      <c r="K2836" s="23">
        <v>1025</v>
      </c>
      <c r="L2836" s="14">
        <v>1031</v>
      </c>
      <c r="M2836" s="126">
        <f t="shared" si="65"/>
        <v>6</v>
      </c>
      <c r="N2836" s="84">
        <f>AVERAGE(K2817:K2836)</f>
        <v>1100.5250000000001</v>
      </c>
      <c r="O2836" s="141">
        <f>AVERAGE(K2796:K2836)</f>
        <v>1117.0243902439024</v>
      </c>
      <c r="P2836" s="176">
        <v>11300</v>
      </c>
      <c r="Q2836" s="27">
        <v>0.14630000000000001</v>
      </c>
      <c r="R2836" s="27"/>
      <c r="S2836" s="27"/>
      <c r="T2836" s="27"/>
      <c r="U2836" s="385">
        <v>0.1</v>
      </c>
      <c r="V2836" s="38">
        <f>AVERAGE(P2817:P2836)</f>
        <v>11967.5</v>
      </c>
      <c r="W2836" s="285">
        <f t="shared" si="66"/>
        <v>1818.5090000000002</v>
      </c>
    </row>
    <row r="2837" spans="1:23" ht="15" customHeight="1">
      <c r="A2837" s="3">
        <v>39874</v>
      </c>
      <c r="B2837" s="9">
        <v>1075</v>
      </c>
      <c r="C2837" s="5">
        <v>30375</v>
      </c>
      <c r="D2837" s="5" t="e">
        <f>E2837-(#REF!+C2837)</f>
        <v>#REF!</v>
      </c>
      <c r="E2837" s="5">
        <v>60475</v>
      </c>
      <c r="K2837" s="22">
        <v>1024</v>
      </c>
      <c r="L2837" s="6">
        <v>1033</v>
      </c>
      <c r="M2837" s="125">
        <f t="shared" si="65"/>
        <v>9</v>
      </c>
      <c r="N2837" s="20"/>
      <c r="O2837" s="138"/>
      <c r="P2837" s="178">
        <v>11300</v>
      </c>
      <c r="Q2837" s="34">
        <v>0.14610000000000001</v>
      </c>
      <c r="U2837" s="384">
        <v>0.1</v>
      </c>
      <c r="V2837" s="37"/>
      <c r="W2837" s="285">
        <f t="shared" si="66"/>
        <v>1816.0230000000001</v>
      </c>
    </row>
    <row r="2838" spans="1:23" ht="15" customHeight="1">
      <c r="A2838" s="3">
        <v>39875</v>
      </c>
      <c r="B2838" s="9">
        <v>1075</v>
      </c>
      <c r="C2838" s="5">
        <v>30425</v>
      </c>
      <c r="D2838" s="5" t="e">
        <f>E2838-(#REF!+C2838)</f>
        <v>#REF!</v>
      </c>
      <c r="E2838" s="5">
        <v>60750</v>
      </c>
      <c r="K2838" s="22">
        <v>1042</v>
      </c>
      <c r="L2838" s="6">
        <v>1052</v>
      </c>
      <c r="M2838" s="125">
        <f t="shared" si="65"/>
        <v>10</v>
      </c>
      <c r="N2838" s="18"/>
      <c r="O2838" s="135"/>
      <c r="P2838" s="175">
        <v>11300</v>
      </c>
      <c r="Q2838" s="25">
        <v>0.14610000000000001</v>
      </c>
      <c r="U2838" s="384">
        <v>0.1</v>
      </c>
      <c r="W2838" s="285">
        <f t="shared" si="66"/>
        <v>1816.0230000000001</v>
      </c>
    </row>
    <row r="2839" spans="1:23" ht="15" customHeight="1">
      <c r="A2839" s="3">
        <v>39876</v>
      </c>
      <c r="B2839" s="9">
        <v>100</v>
      </c>
      <c r="C2839" s="5">
        <v>30425</v>
      </c>
      <c r="D2839" s="5" t="e">
        <f>E2839-(#REF!+C2839)</f>
        <v>#REF!</v>
      </c>
      <c r="E2839" s="5">
        <v>59725</v>
      </c>
      <c r="K2839" s="22">
        <v>1104</v>
      </c>
      <c r="L2839" s="6">
        <v>1105</v>
      </c>
      <c r="M2839" s="125">
        <f t="shared" si="65"/>
        <v>1</v>
      </c>
      <c r="N2839" s="18"/>
      <c r="O2839" s="135"/>
      <c r="P2839" s="175">
        <v>11300</v>
      </c>
      <c r="Q2839" s="25">
        <v>0.1462</v>
      </c>
      <c r="U2839" s="384">
        <v>0.1</v>
      </c>
      <c r="W2839" s="285">
        <f t="shared" si="66"/>
        <v>1817.2660000000001</v>
      </c>
    </row>
    <row r="2840" spans="1:23" ht="15" customHeight="1">
      <c r="A2840" s="3">
        <v>39877</v>
      </c>
      <c r="B2840" s="9">
        <v>100</v>
      </c>
      <c r="C2840" s="5">
        <v>30425</v>
      </c>
      <c r="D2840" s="5" t="e">
        <f>E2840-(#REF!+C2840)</f>
        <v>#REF!</v>
      </c>
      <c r="E2840" s="5">
        <v>59525</v>
      </c>
      <c r="K2840" s="22">
        <v>1160.5</v>
      </c>
      <c r="L2840" s="6">
        <v>1167</v>
      </c>
      <c r="M2840" s="125">
        <f t="shared" si="65"/>
        <v>6.5</v>
      </c>
      <c r="N2840" s="18"/>
      <c r="O2840" s="135"/>
      <c r="P2840" s="175">
        <v>11400</v>
      </c>
      <c r="Q2840" s="25">
        <v>0.14610000000000001</v>
      </c>
      <c r="U2840" s="384">
        <v>0.1</v>
      </c>
      <c r="W2840" s="285">
        <f t="shared" si="66"/>
        <v>1832.0940000000003</v>
      </c>
    </row>
    <row r="2841" spans="1:23" ht="15" customHeight="1">
      <c r="A2841" s="3">
        <v>39878</v>
      </c>
      <c r="B2841" s="9">
        <v>100</v>
      </c>
      <c r="C2841" s="5">
        <v>30925</v>
      </c>
      <c r="D2841" s="5" t="e">
        <f>E2841-(#REF!+C2841)</f>
        <v>#REF!</v>
      </c>
      <c r="E2841" s="5">
        <v>60050</v>
      </c>
      <c r="K2841" s="22">
        <v>1190</v>
      </c>
      <c r="L2841" s="6">
        <v>1200</v>
      </c>
      <c r="M2841" s="125">
        <f t="shared" si="65"/>
        <v>10</v>
      </c>
      <c r="N2841" s="18"/>
      <c r="O2841" s="135"/>
      <c r="P2841" s="175">
        <v>11600</v>
      </c>
      <c r="Q2841" s="25">
        <v>0.1462</v>
      </c>
      <c r="U2841" s="384">
        <v>0.1</v>
      </c>
      <c r="W2841" s="285">
        <f t="shared" si="66"/>
        <v>1865.5120000000002</v>
      </c>
    </row>
    <row r="2842" spans="1:23" ht="15" customHeight="1">
      <c r="A2842" s="3">
        <v>39881</v>
      </c>
      <c r="B2842" s="9">
        <v>0</v>
      </c>
      <c r="C2842" s="5">
        <v>30925</v>
      </c>
      <c r="D2842" s="5" t="e">
        <f>E2842-(#REF!+C2842)</f>
        <v>#REF!</v>
      </c>
      <c r="E2842" s="5">
        <v>60225</v>
      </c>
      <c r="K2842" s="22">
        <v>1216</v>
      </c>
      <c r="L2842" s="6">
        <v>1226</v>
      </c>
      <c r="M2842" s="125">
        <f t="shared" si="65"/>
        <v>10</v>
      </c>
      <c r="N2842" s="18"/>
      <c r="O2842" s="135"/>
      <c r="P2842" s="175">
        <v>11800</v>
      </c>
      <c r="Q2842" s="25">
        <v>0.1462</v>
      </c>
      <c r="U2842" s="384">
        <v>0.1</v>
      </c>
      <c r="W2842" s="285">
        <f t="shared" si="66"/>
        <v>1897.6759999999999</v>
      </c>
    </row>
    <row r="2843" spans="1:23" ht="15" customHeight="1">
      <c r="A2843" s="3">
        <v>39882</v>
      </c>
      <c r="B2843" s="9">
        <v>125</v>
      </c>
      <c r="C2843" s="5">
        <v>30925</v>
      </c>
      <c r="D2843" s="5" t="e">
        <f>E2843-(#REF!+C2843)</f>
        <v>#REF!</v>
      </c>
      <c r="E2843" s="5">
        <v>59975</v>
      </c>
      <c r="K2843" s="22">
        <v>1250</v>
      </c>
      <c r="L2843" s="6">
        <v>1256</v>
      </c>
      <c r="M2843" s="125">
        <f t="shared" si="65"/>
        <v>6</v>
      </c>
      <c r="N2843" s="18"/>
      <c r="O2843" s="135"/>
      <c r="P2843" s="175">
        <v>11900</v>
      </c>
      <c r="Q2843" s="25">
        <v>0.1462</v>
      </c>
      <c r="U2843" s="384">
        <v>0.1</v>
      </c>
      <c r="W2843" s="285">
        <f t="shared" si="66"/>
        <v>1913.758</v>
      </c>
    </row>
    <row r="2844" spans="1:23" ht="15" customHeight="1">
      <c r="A2844" s="3">
        <v>39883</v>
      </c>
      <c r="B2844" s="9">
        <v>125</v>
      </c>
      <c r="C2844" s="5">
        <v>30925</v>
      </c>
      <c r="D2844" s="5" t="e">
        <f>E2844-(#REF!+C2844)</f>
        <v>#REF!</v>
      </c>
      <c r="E2844" s="5">
        <v>59500</v>
      </c>
      <c r="K2844" s="22">
        <v>1280</v>
      </c>
      <c r="L2844" s="6">
        <v>1285</v>
      </c>
      <c r="M2844" s="125">
        <f t="shared" si="65"/>
        <v>5</v>
      </c>
      <c r="N2844" s="18"/>
      <c r="O2844" s="135"/>
      <c r="P2844" s="175">
        <v>12200</v>
      </c>
      <c r="Q2844" s="25">
        <v>0.1462</v>
      </c>
      <c r="U2844" s="384">
        <v>0.1</v>
      </c>
      <c r="W2844" s="285">
        <f t="shared" si="66"/>
        <v>1962.0039999999999</v>
      </c>
    </row>
    <row r="2845" spans="1:23" ht="15" customHeight="1">
      <c r="A2845" s="3">
        <v>39884</v>
      </c>
      <c r="B2845" s="9">
        <v>125</v>
      </c>
      <c r="C2845" s="5">
        <v>30925</v>
      </c>
      <c r="D2845" s="5" t="e">
        <f>E2845-(#REF!+C2845)</f>
        <v>#REF!</v>
      </c>
      <c r="E2845" s="5">
        <v>59000</v>
      </c>
      <c r="K2845" s="22">
        <v>1230.5</v>
      </c>
      <c r="L2845" s="6">
        <v>1240</v>
      </c>
      <c r="M2845" s="125">
        <f t="shared" si="65"/>
        <v>9.5</v>
      </c>
      <c r="N2845" s="18"/>
      <c r="O2845" s="135"/>
      <c r="P2845" s="175">
        <v>12200</v>
      </c>
      <c r="Q2845" s="25">
        <v>0.1462</v>
      </c>
      <c r="U2845" s="384">
        <v>0.1</v>
      </c>
      <c r="W2845" s="285">
        <f t="shared" si="66"/>
        <v>1962.0039999999999</v>
      </c>
    </row>
    <row r="2846" spans="1:23" ht="15" customHeight="1">
      <c r="A2846" s="3">
        <v>39885</v>
      </c>
      <c r="B2846" s="9">
        <v>0</v>
      </c>
      <c r="C2846" s="5">
        <v>31000</v>
      </c>
      <c r="D2846" s="5" t="e">
        <f>E2846-(#REF!+C2846)</f>
        <v>#REF!</v>
      </c>
      <c r="E2846" s="5">
        <v>58925</v>
      </c>
      <c r="K2846" s="22">
        <v>1266.5</v>
      </c>
      <c r="L2846" s="6">
        <v>1280</v>
      </c>
      <c r="M2846" s="125">
        <f t="shared" si="65"/>
        <v>13.5</v>
      </c>
      <c r="N2846" s="18"/>
      <c r="O2846" s="135"/>
      <c r="P2846" s="175">
        <v>12200</v>
      </c>
      <c r="Q2846" s="25">
        <v>0.1462</v>
      </c>
      <c r="U2846" s="384">
        <v>0.1</v>
      </c>
      <c r="W2846" s="285">
        <f t="shared" si="66"/>
        <v>1962.0039999999999</v>
      </c>
    </row>
    <row r="2847" spans="1:23" ht="15" customHeight="1">
      <c r="A2847" s="3">
        <v>39888</v>
      </c>
      <c r="B2847" s="9">
        <v>0</v>
      </c>
      <c r="C2847" s="5">
        <v>31075</v>
      </c>
      <c r="D2847" s="5" t="e">
        <f>E2847-(#REF!+C2847)</f>
        <v>#REF!</v>
      </c>
      <c r="E2847" s="5">
        <v>59150</v>
      </c>
      <c r="K2847" s="22">
        <v>1285</v>
      </c>
      <c r="L2847" s="6">
        <v>1288</v>
      </c>
      <c r="M2847" s="125">
        <f t="shared" si="65"/>
        <v>3</v>
      </c>
      <c r="N2847" s="18"/>
      <c r="O2847" s="135"/>
      <c r="P2847" s="175">
        <v>12200</v>
      </c>
      <c r="Q2847" s="25">
        <v>0.1462</v>
      </c>
      <c r="U2847" s="384">
        <v>0.1</v>
      </c>
      <c r="W2847" s="285">
        <f t="shared" si="66"/>
        <v>1962.0039999999999</v>
      </c>
    </row>
    <row r="2848" spans="1:23" ht="15" customHeight="1">
      <c r="A2848" s="3">
        <v>39889</v>
      </c>
      <c r="B2848" s="9">
        <v>0</v>
      </c>
      <c r="C2848" s="5">
        <v>31175</v>
      </c>
      <c r="D2848" s="5" t="e">
        <f>E2848-(#REF!+C2848)</f>
        <v>#REF!</v>
      </c>
      <c r="E2848" s="5">
        <v>59025</v>
      </c>
      <c r="K2848" s="22">
        <v>1333.5</v>
      </c>
      <c r="L2848" s="6">
        <v>1338</v>
      </c>
      <c r="M2848" s="125">
        <f t="shared" si="65"/>
        <v>4.5</v>
      </c>
      <c r="N2848" s="18"/>
      <c r="O2848" s="135"/>
      <c r="P2848" s="175">
        <v>12300</v>
      </c>
      <c r="Q2848" s="25">
        <v>0.1462</v>
      </c>
      <c r="U2848" s="384">
        <v>0.1</v>
      </c>
      <c r="W2848" s="285">
        <f t="shared" si="66"/>
        <v>1978.0860000000002</v>
      </c>
    </row>
    <row r="2849" spans="1:23" ht="15" customHeight="1">
      <c r="A2849" s="3">
        <v>39890</v>
      </c>
      <c r="B2849" s="9">
        <v>0</v>
      </c>
      <c r="C2849" s="5">
        <v>32250</v>
      </c>
      <c r="D2849" s="5" t="e">
        <f>E2849-(#REF!+C2849)</f>
        <v>#REF!</v>
      </c>
      <c r="E2849" s="5">
        <v>60350</v>
      </c>
      <c r="K2849" s="22">
        <v>1320.5</v>
      </c>
      <c r="L2849" s="6">
        <v>1333.5</v>
      </c>
      <c r="M2849" s="125">
        <f t="shared" si="65"/>
        <v>13</v>
      </c>
      <c r="N2849" s="18"/>
      <c r="O2849" s="135"/>
      <c r="P2849" s="175">
        <v>12600</v>
      </c>
      <c r="Q2849" s="25">
        <v>0.14630000000000001</v>
      </c>
      <c r="U2849" s="384">
        <v>0.1</v>
      </c>
      <c r="W2849" s="285">
        <f t="shared" si="66"/>
        <v>2027.7180000000003</v>
      </c>
    </row>
    <row r="2850" spans="1:23" ht="15" customHeight="1">
      <c r="A2850" s="3">
        <v>39891</v>
      </c>
      <c r="B2850" s="9">
        <v>0</v>
      </c>
      <c r="C2850" s="5">
        <v>32350</v>
      </c>
      <c r="D2850" s="5" t="e">
        <f>E2850-(#REF!+C2850)</f>
        <v>#REF!</v>
      </c>
      <c r="E2850" s="5">
        <v>60100</v>
      </c>
      <c r="K2850" s="22">
        <v>1335</v>
      </c>
      <c r="L2850" s="6">
        <v>1341</v>
      </c>
      <c r="M2850" s="125">
        <f t="shared" si="65"/>
        <v>6</v>
      </c>
      <c r="N2850" s="18"/>
      <c r="O2850" s="135"/>
      <c r="P2850" s="175">
        <v>12700</v>
      </c>
      <c r="Q2850" s="25">
        <v>0.14630000000000001</v>
      </c>
      <c r="U2850" s="384">
        <v>0.1</v>
      </c>
      <c r="W2850" s="285">
        <f t="shared" si="66"/>
        <v>2043.8110000000004</v>
      </c>
    </row>
    <row r="2851" spans="1:23" ht="15" customHeight="1">
      <c r="A2851" s="3">
        <v>39892</v>
      </c>
      <c r="B2851" s="9">
        <v>0</v>
      </c>
      <c r="C2851" s="5">
        <v>32250</v>
      </c>
      <c r="D2851" s="5" t="e">
        <f>E2851-(#REF!+C2851)</f>
        <v>#REF!</v>
      </c>
      <c r="E2851" s="5">
        <v>60075</v>
      </c>
      <c r="K2851" s="22">
        <v>1302</v>
      </c>
      <c r="L2851" s="6">
        <v>1311</v>
      </c>
      <c r="M2851" s="125">
        <f t="shared" si="65"/>
        <v>9</v>
      </c>
      <c r="N2851" s="18"/>
      <c r="O2851" s="135"/>
      <c r="P2851" s="175">
        <v>12800</v>
      </c>
      <c r="Q2851" s="25">
        <v>0.14649999999999999</v>
      </c>
      <c r="U2851" s="384">
        <v>0.1</v>
      </c>
      <c r="W2851" s="285">
        <f t="shared" si="66"/>
        <v>2062.7199999999998</v>
      </c>
    </row>
    <row r="2852" spans="1:23" ht="15" customHeight="1">
      <c r="A2852" s="3">
        <v>39895</v>
      </c>
      <c r="B2852" s="9">
        <v>0</v>
      </c>
      <c r="C2852" s="5">
        <v>32100</v>
      </c>
      <c r="D2852" s="5" t="e">
        <f>E2852-(#REF!+C2852)</f>
        <v>#REF!</v>
      </c>
      <c r="E2852" s="5">
        <v>58850</v>
      </c>
      <c r="K2852" s="22">
        <v>1341</v>
      </c>
      <c r="L2852" s="6">
        <v>1351</v>
      </c>
      <c r="M2852" s="125">
        <f t="shared" si="65"/>
        <v>10</v>
      </c>
      <c r="N2852" s="18"/>
      <c r="O2852" s="135"/>
      <c r="P2852" s="175">
        <v>13000</v>
      </c>
      <c r="Q2852" s="25">
        <v>0.14649999999999999</v>
      </c>
      <c r="U2852" s="384">
        <v>0.1</v>
      </c>
      <c r="W2852" s="285">
        <f t="shared" si="66"/>
        <v>2094.9500000000003</v>
      </c>
    </row>
    <row r="2853" spans="1:23" ht="15" customHeight="1">
      <c r="A2853" s="3">
        <v>39896</v>
      </c>
      <c r="B2853" s="9">
        <v>0</v>
      </c>
      <c r="C2853" s="5">
        <v>32075</v>
      </c>
      <c r="D2853" s="5" t="e">
        <f>E2853-(#REF!+C2853)</f>
        <v>#REF!</v>
      </c>
      <c r="E2853" s="5">
        <v>58950</v>
      </c>
      <c r="K2853" s="22">
        <v>1251</v>
      </c>
      <c r="L2853" s="6">
        <v>1263</v>
      </c>
      <c r="M2853" s="125">
        <f t="shared" si="65"/>
        <v>12</v>
      </c>
      <c r="N2853" s="18"/>
      <c r="O2853" s="135"/>
      <c r="P2853" s="175">
        <v>13100</v>
      </c>
      <c r="Q2853" s="25">
        <v>0.1464</v>
      </c>
      <c r="U2853" s="384">
        <v>0.1</v>
      </c>
      <c r="W2853" s="285">
        <f t="shared" si="66"/>
        <v>2109.6240000000003</v>
      </c>
    </row>
    <row r="2854" spans="1:23" ht="15" customHeight="1">
      <c r="A2854" s="3">
        <v>39897</v>
      </c>
      <c r="B2854" s="9">
        <v>0</v>
      </c>
      <c r="C2854" s="5">
        <v>33500</v>
      </c>
      <c r="D2854" s="5" t="e">
        <f>E2854-(#REF!+C2854)</f>
        <v>#REF!</v>
      </c>
      <c r="E2854" s="5">
        <v>60000</v>
      </c>
      <c r="K2854" s="22">
        <v>1252</v>
      </c>
      <c r="L2854" s="6">
        <v>1263</v>
      </c>
      <c r="M2854" s="125">
        <f t="shared" si="65"/>
        <v>11</v>
      </c>
      <c r="N2854" s="18"/>
      <c r="O2854" s="135"/>
      <c r="P2854" s="175">
        <v>12900</v>
      </c>
      <c r="Q2854" s="25">
        <v>0.1464</v>
      </c>
      <c r="U2854" s="384">
        <v>0.1</v>
      </c>
      <c r="W2854" s="285">
        <f t="shared" si="66"/>
        <v>2077.4160000000002</v>
      </c>
    </row>
    <row r="2855" spans="1:23" ht="15" customHeight="1">
      <c r="A2855" s="3">
        <v>39898</v>
      </c>
      <c r="B2855" s="9">
        <v>0</v>
      </c>
      <c r="C2855" s="5">
        <v>33825</v>
      </c>
      <c r="D2855" s="5" t="e">
        <f>E2855-(#REF!+C2855)</f>
        <v>#REF!</v>
      </c>
      <c r="E2855" s="5">
        <v>60650</v>
      </c>
      <c r="K2855" s="22">
        <v>1310.5</v>
      </c>
      <c r="L2855" s="6">
        <v>1325</v>
      </c>
      <c r="M2855" s="125">
        <f t="shared" si="65"/>
        <v>14.5</v>
      </c>
      <c r="N2855" s="18"/>
      <c r="O2855" s="135"/>
      <c r="P2855" s="175">
        <v>12900</v>
      </c>
      <c r="Q2855" s="25">
        <v>0.1464</v>
      </c>
      <c r="U2855" s="384">
        <v>0.1</v>
      </c>
      <c r="W2855" s="285">
        <f t="shared" si="66"/>
        <v>2077.4160000000002</v>
      </c>
    </row>
    <row r="2856" spans="1:23" ht="15" customHeight="1">
      <c r="A2856" s="3">
        <v>39899</v>
      </c>
      <c r="B2856" s="9">
        <v>0</v>
      </c>
      <c r="C2856" s="5">
        <v>33900</v>
      </c>
      <c r="D2856" s="5" t="e">
        <f>E2856-(#REF!+C2856)</f>
        <v>#REF!</v>
      </c>
      <c r="E2856" s="5">
        <v>60650</v>
      </c>
      <c r="K2856" s="22">
        <v>1255</v>
      </c>
      <c r="L2856" s="6">
        <v>1263</v>
      </c>
      <c r="M2856" s="125">
        <f t="shared" si="65"/>
        <v>8</v>
      </c>
      <c r="N2856" s="18"/>
      <c r="O2856" s="135"/>
      <c r="P2856" s="175">
        <v>13000</v>
      </c>
      <c r="Q2856" s="25">
        <v>0.1464</v>
      </c>
      <c r="U2856" s="384">
        <v>0.1</v>
      </c>
      <c r="W2856" s="285">
        <f t="shared" si="66"/>
        <v>2093.5200000000004</v>
      </c>
    </row>
    <row r="2857" spans="1:23" ht="15" customHeight="1">
      <c r="A2857" s="3">
        <v>39902</v>
      </c>
      <c r="B2857" s="9">
        <v>0</v>
      </c>
      <c r="C2857" s="5">
        <v>33775</v>
      </c>
      <c r="D2857" s="5" t="e">
        <f>E2857-(#REF!+C2857)</f>
        <v>#REF!</v>
      </c>
      <c r="E2857" s="5">
        <v>61650</v>
      </c>
      <c r="K2857" s="22">
        <v>1235</v>
      </c>
      <c r="L2857" s="6">
        <v>1250</v>
      </c>
      <c r="M2857" s="125">
        <f t="shared" si="65"/>
        <v>15</v>
      </c>
      <c r="N2857" s="18"/>
      <c r="O2857" s="135"/>
      <c r="P2857" s="175">
        <v>12850</v>
      </c>
      <c r="Q2857" s="25">
        <v>0.1464</v>
      </c>
      <c r="U2857" s="384">
        <v>0.1</v>
      </c>
      <c r="W2857" s="285">
        <f t="shared" si="66"/>
        <v>2069.364</v>
      </c>
    </row>
    <row r="2858" spans="1:23" ht="15" customHeight="1" thickBot="1">
      <c r="A2858" s="11">
        <v>39903</v>
      </c>
      <c r="B2858" s="9">
        <v>350</v>
      </c>
      <c r="C2858" s="13">
        <v>33700</v>
      </c>
      <c r="D2858" s="13" t="e">
        <f>E2858-(#REF!+C2858)</f>
        <v>#REF!</v>
      </c>
      <c r="E2858" s="13">
        <v>62025</v>
      </c>
      <c r="F2858" s="12"/>
      <c r="G2858" s="13"/>
      <c r="H2858" s="13"/>
      <c r="I2858" s="119"/>
      <c r="J2858" s="119"/>
      <c r="K2858" s="23">
        <v>1272</v>
      </c>
      <c r="L2858" s="14">
        <v>1300</v>
      </c>
      <c r="M2858" s="126">
        <f t="shared" ref="M2858:M2865" si="67">L2858-K2858</f>
        <v>28</v>
      </c>
      <c r="N2858" s="84">
        <f>AVERAGE(K2837:K2858)</f>
        <v>1238.909090909091</v>
      </c>
      <c r="O2858" s="141">
        <f>AVERAGE(K2796:K2858)</f>
        <v>1159.5873015873017</v>
      </c>
      <c r="P2858" s="176">
        <v>12650</v>
      </c>
      <c r="Q2858" s="27">
        <v>0.14630000000000001</v>
      </c>
      <c r="R2858" s="27"/>
      <c r="S2858" s="27"/>
      <c r="T2858" s="27"/>
      <c r="U2858" s="385">
        <v>0.1</v>
      </c>
      <c r="V2858" s="38">
        <f>AVERAGE(P2837:P2858)</f>
        <v>12281.818181818182</v>
      </c>
      <c r="W2858" s="285">
        <f t="shared" si="66"/>
        <v>2035.7645000000005</v>
      </c>
    </row>
    <row r="2859" spans="1:23" ht="15" customHeight="1">
      <c r="A2859" s="3">
        <v>39904</v>
      </c>
      <c r="B2859" s="9">
        <v>350</v>
      </c>
      <c r="C2859" s="5">
        <v>33550</v>
      </c>
      <c r="D2859" s="5" t="e">
        <f>E2859-(#REF!+C2859)</f>
        <v>#REF!</v>
      </c>
      <c r="E2859" s="5">
        <v>61625</v>
      </c>
      <c r="K2859" s="22">
        <v>1242</v>
      </c>
      <c r="L2859" s="6">
        <v>1253</v>
      </c>
      <c r="M2859" s="125">
        <f t="shared" si="67"/>
        <v>11</v>
      </c>
      <c r="N2859" s="20"/>
      <c r="O2859" s="138"/>
      <c r="P2859" s="175">
        <v>12650</v>
      </c>
      <c r="Q2859" s="25">
        <v>0.14630000000000001</v>
      </c>
      <c r="U2859" s="384">
        <v>0.1</v>
      </c>
      <c r="V2859" s="37"/>
      <c r="W2859" s="285">
        <f t="shared" si="66"/>
        <v>2035.7645000000005</v>
      </c>
    </row>
    <row r="2860" spans="1:23" ht="15" customHeight="1">
      <c r="A2860" s="3">
        <v>39905</v>
      </c>
      <c r="B2860" s="9">
        <v>350</v>
      </c>
      <c r="C2860" s="5">
        <v>33375</v>
      </c>
      <c r="D2860" s="5" t="e">
        <f>E2860-(#REF!+C2860)</f>
        <v>#REF!</v>
      </c>
      <c r="E2860" s="5">
        <v>61475</v>
      </c>
      <c r="K2860" s="22">
        <v>1259</v>
      </c>
      <c r="L2860" s="6">
        <v>1266</v>
      </c>
      <c r="M2860" s="125">
        <f t="shared" si="67"/>
        <v>7</v>
      </c>
      <c r="N2860" s="18"/>
      <c r="O2860" s="135"/>
      <c r="P2860" s="175">
        <v>12400</v>
      </c>
      <c r="Q2860" s="25">
        <v>0.14630000000000001</v>
      </c>
      <c r="U2860" s="384">
        <v>0.1</v>
      </c>
      <c r="W2860" s="285">
        <f t="shared" si="66"/>
        <v>1995.5320000000004</v>
      </c>
    </row>
    <row r="2861" spans="1:23" ht="15" customHeight="1">
      <c r="A2861" s="3">
        <v>39906</v>
      </c>
      <c r="B2861" s="9">
        <v>350</v>
      </c>
      <c r="C2861" s="5">
        <v>33225</v>
      </c>
      <c r="D2861" s="5" t="e">
        <f>E2861-(#REF!+C2861)</f>
        <v>#REF!</v>
      </c>
      <c r="E2861" s="5">
        <v>61100</v>
      </c>
      <c r="K2861" s="22">
        <v>1283</v>
      </c>
      <c r="L2861" s="6">
        <v>1281</v>
      </c>
      <c r="M2861" s="125">
        <f t="shared" si="67"/>
        <v>-2</v>
      </c>
      <c r="N2861" s="18"/>
      <c r="O2861" s="135"/>
      <c r="P2861" s="175">
        <v>12400</v>
      </c>
      <c r="Q2861" s="25">
        <v>0.14630000000000001</v>
      </c>
      <c r="U2861" s="384">
        <v>0.1</v>
      </c>
      <c r="W2861" s="285">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25">
        <f t="shared" si="67"/>
        <v>3.5</v>
      </c>
      <c r="N2862" s="18"/>
      <c r="O2862" s="135"/>
      <c r="P2862" s="175"/>
      <c r="Q2862" s="1363" t="s">
        <v>23</v>
      </c>
      <c r="R2862" s="1363"/>
      <c r="S2862" s="1363"/>
      <c r="T2862" s="1363"/>
      <c r="U2862" s="1363"/>
      <c r="W2862" s="285" t="e">
        <f t="shared" si="68"/>
        <v>#VALUE!</v>
      </c>
    </row>
    <row r="2863" spans="1:23" ht="15" customHeight="1">
      <c r="A2863" s="3">
        <v>39910</v>
      </c>
      <c r="B2863" s="9">
        <v>0</v>
      </c>
      <c r="C2863" s="5">
        <v>33625</v>
      </c>
      <c r="D2863" s="5" t="e">
        <f>E2863-(#REF!+C2863)</f>
        <v>#REF!</v>
      </c>
      <c r="E2863" s="5">
        <v>60350</v>
      </c>
      <c r="K2863" s="22">
        <v>1315</v>
      </c>
      <c r="L2863" s="6">
        <v>1320</v>
      </c>
      <c r="M2863" s="125">
        <f t="shared" si="67"/>
        <v>5</v>
      </c>
      <c r="N2863" s="18"/>
      <c r="O2863" s="135"/>
      <c r="P2863" s="175">
        <v>12600</v>
      </c>
      <c r="Q2863" s="25">
        <v>0.14630000000000001</v>
      </c>
      <c r="U2863" s="384">
        <v>0.1</v>
      </c>
      <c r="W2863" s="285">
        <f t="shared" si="68"/>
        <v>2027.7180000000003</v>
      </c>
    </row>
    <row r="2864" spans="1:23" ht="15" customHeight="1">
      <c r="A2864" s="3">
        <v>39911</v>
      </c>
      <c r="B2864" s="9">
        <v>0</v>
      </c>
      <c r="C2864" s="5">
        <v>33850</v>
      </c>
      <c r="D2864" s="5" t="e">
        <f>E2864-(#REF!+C2864)</f>
        <v>#REF!</v>
      </c>
      <c r="E2864" s="5">
        <v>60400</v>
      </c>
      <c r="K2864" s="22">
        <v>1302.5</v>
      </c>
      <c r="L2864" s="6">
        <v>1310.5</v>
      </c>
      <c r="M2864" s="125">
        <f t="shared" si="67"/>
        <v>8</v>
      </c>
      <c r="N2864" s="18"/>
      <c r="O2864" s="135"/>
      <c r="P2864" s="175">
        <v>12750</v>
      </c>
      <c r="Q2864" s="25">
        <v>0.14630000000000001</v>
      </c>
      <c r="U2864" s="384">
        <v>0.1</v>
      </c>
      <c r="W2864" s="285">
        <f t="shared" si="68"/>
        <v>2051.8575000000005</v>
      </c>
    </row>
    <row r="2865" spans="1:23" ht="15" customHeight="1">
      <c r="A2865" s="3">
        <v>39912</v>
      </c>
      <c r="B2865" s="9">
        <v>0</v>
      </c>
      <c r="C2865" s="5">
        <v>33900</v>
      </c>
      <c r="D2865" s="5" t="e">
        <f>E2865-(#REF!+C2865)</f>
        <v>#REF!</v>
      </c>
      <c r="E2865" s="5">
        <v>60275</v>
      </c>
      <c r="K2865" s="22">
        <v>1352.5</v>
      </c>
      <c r="L2865" s="6">
        <v>1355.5</v>
      </c>
      <c r="M2865" s="125">
        <f t="shared" si="67"/>
        <v>3</v>
      </c>
      <c r="N2865" s="18"/>
      <c r="O2865" s="135"/>
      <c r="P2865" s="175">
        <v>12750</v>
      </c>
      <c r="Q2865" s="25">
        <v>0.14630000000000001</v>
      </c>
      <c r="U2865" s="384">
        <v>0.1</v>
      </c>
      <c r="W2865" s="285">
        <f t="shared" si="68"/>
        <v>2051.8575000000005</v>
      </c>
    </row>
    <row r="2866" spans="1:23" ht="15" customHeight="1">
      <c r="A2866" s="3">
        <v>39913</v>
      </c>
      <c r="B2866" s="9">
        <v>0</v>
      </c>
      <c r="C2866" s="193"/>
      <c r="D2866" s="193"/>
      <c r="E2866" s="193"/>
      <c r="F2866" s="1333" t="s">
        <v>27</v>
      </c>
      <c r="G2866" s="1333"/>
      <c r="H2866" s="1333"/>
      <c r="I2866" s="1333"/>
      <c r="J2866" s="65"/>
      <c r="K2866" s="193"/>
      <c r="L2866" s="193"/>
      <c r="M2866" s="193"/>
      <c r="N2866" s="18"/>
      <c r="O2866" s="135"/>
      <c r="P2866" s="175">
        <v>12900</v>
      </c>
      <c r="Q2866" s="25">
        <v>0.14630000000000001</v>
      </c>
      <c r="U2866" s="384">
        <v>0.1</v>
      </c>
      <c r="W2866" s="285">
        <f t="shared" si="68"/>
        <v>2075.9970000000003</v>
      </c>
    </row>
    <row r="2867" spans="1:23" ht="15" customHeight="1">
      <c r="A2867" s="3">
        <v>39916</v>
      </c>
      <c r="B2867" s="9">
        <v>0</v>
      </c>
      <c r="C2867" s="193"/>
      <c r="D2867" s="193"/>
      <c r="E2867" s="193"/>
      <c r="F2867" s="1333"/>
      <c r="G2867" s="1333"/>
      <c r="H2867" s="1333"/>
      <c r="I2867" s="1333"/>
      <c r="J2867" s="65"/>
      <c r="K2867" s="193"/>
      <c r="L2867" s="193"/>
      <c r="M2867" s="193"/>
      <c r="N2867" s="18"/>
      <c r="O2867" s="135"/>
      <c r="P2867" s="175">
        <v>12900</v>
      </c>
      <c r="Q2867" s="25">
        <v>0.14630000000000001</v>
      </c>
      <c r="U2867" s="384">
        <v>0.1</v>
      </c>
      <c r="W2867" s="285">
        <f t="shared" si="68"/>
        <v>2075.9970000000003</v>
      </c>
    </row>
    <row r="2868" spans="1:23" ht="15" customHeight="1">
      <c r="A2868" s="3">
        <v>39917</v>
      </c>
      <c r="B2868" s="9">
        <v>0</v>
      </c>
      <c r="C2868" s="5">
        <v>34225</v>
      </c>
      <c r="D2868" s="5" t="e">
        <f>E2868-(#REF!+C2868)</f>
        <v>#REF!</v>
      </c>
      <c r="E2868" s="5">
        <v>60800</v>
      </c>
      <c r="K2868" s="22">
        <v>1425</v>
      </c>
      <c r="L2868" s="6">
        <v>1429</v>
      </c>
      <c r="M2868" s="125">
        <f t="shared" ref="M2868:M2895" si="69">L2868-K2868</f>
        <v>4</v>
      </c>
      <c r="N2868" s="18"/>
      <c r="O2868" s="135"/>
      <c r="P2868" s="175">
        <v>12900</v>
      </c>
      <c r="Q2868" s="25">
        <v>0.14630000000000001</v>
      </c>
      <c r="U2868" s="384">
        <v>0.1</v>
      </c>
      <c r="W2868" s="285">
        <f t="shared" si="68"/>
        <v>2075.9970000000003</v>
      </c>
    </row>
    <row r="2869" spans="1:23" ht="15" customHeight="1">
      <c r="A2869" s="3">
        <v>39918</v>
      </c>
      <c r="B2869" s="9">
        <v>0</v>
      </c>
      <c r="C2869" s="5">
        <v>34300</v>
      </c>
      <c r="D2869" s="5" t="e">
        <f>E2869-(#REF!+C2869)</f>
        <v>#REF!</v>
      </c>
      <c r="E2869" s="5">
        <v>60375</v>
      </c>
      <c r="K2869" s="22">
        <v>1502</v>
      </c>
      <c r="L2869" s="6">
        <v>1506.5</v>
      </c>
      <c r="M2869" s="125">
        <f t="shared" si="69"/>
        <v>4.5</v>
      </c>
      <c r="N2869" s="18"/>
      <c r="O2869" s="135"/>
      <c r="P2869" s="175">
        <v>13000</v>
      </c>
      <c r="Q2869" s="25">
        <v>0.1464</v>
      </c>
      <c r="U2869" s="384">
        <v>0.1</v>
      </c>
      <c r="W2869" s="285">
        <f t="shared" si="68"/>
        <v>2093.5200000000004</v>
      </c>
    </row>
    <row r="2870" spans="1:23" ht="15" customHeight="1">
      <c r="A2870" s="3">
        <v>39919</v>
      </c>
      <c r="B2870" s="9">
        <v>0</v>
      </c>
      <c r="C2870" s="5">
        <v>34425</v>
      </c>
      <c r="D2870" s="5" t="e">
        <f>E2870-(#REF!+C2870)</f>
        <v>#REF!</v>
      </c>
      <c r="E2870" s="5">
        <v>60325</v>
      </c>
      <c r="K2870" s="22">
        <v>1525</v>
      </c>
      <c r="L2870" s="6">
        <v>1519</v>
      </c>
      <c r="M2870" s="125">
        <f t="shared" si="69"/>
        <v>-6</v>
      </c>
      <c r="N2870" s="18"/>
      <c r="O2870" s="135"/>
      <c r="P2870" s="175">
        <v>13000</v>
      </c>
      <c r="Q2870" s="25">
        <v>0.1464</v>
      </c>
      <c r="U2870" s="384">
        <v>0.1</v>
      </c>
      <c r="W2870" s="285">
        <f t="shared" si="68"/>
        <v>2093.5200000000004</v>
      </c>
    </row>
    <row r="2871" spans="1:23" ht="15" customHeight="1">
      <c r="A2871" s="3">
        <v>39920</v>
      </c>
      <c r="B2871" s="9">
        <v>0</v>
      </c>
      <c r="C2871" s="5">
        <v>34775</v>
      </c>
      <c r="D2871" s="5" t="e">
        <f>E2871-(#REF!+C2871)</f>
        <v>#REF!</v>
      </c>
      <c r="E2871" s="5">
        <v>60675</v>
      </c>
      <c r="K2871" s="22">
        <v>1525</v>
      </c>
      <c r="L2871" s="6">
        <v>1510</v>
      </c>
      <c r="M2871" s="125">
        <f t="shared" si="69"/>
        <v>-15</v>
      </c>
      <c r="N2871" s="18"/>
      <c r="O2871" s="135"/>
      <c r="P2871" s="175">
        <v>12800</v>
      </c>
      <c r="Q2871" s="25">
        <v>0.1464</v>
      </c>
      <c r="U2871" s="384">
        <v>0.1</v>
      </c>
      <c r="W2871" s="285">
        <f t="shared" si="68"/>
        <v>2061.3120000000004</v>
      </c>
    </row>
    <row r="2872" spans="1:23" ht="15" customHeight="1">
      <c r="A2872" s="3">
        <v>39923</v>
      </c>
      <c r="B2872" s="9">
        <v>0</v>
      </c>
      <c r="C2872" s="5">
        <v>35250</v>
      </c>
      <c r="D2872" s="5" t="e">
        <f>E2872-(#REF!+C2872)</f>
        <v>#REF!</v>
      </c>
      <c r="E2872" s="5">
        <v>61275</v>
      </c>
      <c r="K2872" s="22">
        <v>1509</v>
      </c>
      <c r="L2872" s="6">
        <v>1493</v>
      </c>
      <c r="M2872" s="125">
        <f t="shared" si="69"/>
        <v>-16</v>
      </c>
      <c r="N2872" s="18"/>
      <c r="O2872" s="135"/>
      <c r="P2872" s="175">
        <v>12800</v>
      </c>
      <c r="Q2872" s="25">
        <v>0.1464</v>
      </c>
      <c r="U2872" s="384">
        <v>0.1</v>
      </c>
      <c r="W2872" s="285">
        <f t="shared" si="68"/>
        <v>2061.3120000000004</v>
      </c>
    </row>
    <row r="2873" spans="1:23" ht="15" customHeight="1">
      <c r="A2873" s="3">
        <v>39924</v>
      </c>
      <c r="B2873" s="9">
        <v>0</v>
      </c>
      <c r="C2873" s="5">
        <v>37425</v>
      </c>
      <c r="D2873" s="5" t="e">
        <f>E2873-(#REF!+C2873)</f>
        <v>#REF!</v>
      </c>
      <c r="E2873" s="5">
        <v>63425</v>
      </c>
      <c r="K2873" s="22">
        <v>1438</v>
      </c>
      <c r="L2873" s="6">
        <v>1430</v>
      </c>
      <c r="M2873" s="125">
        <f t="shared" si="69"/>
        <v>-8</v>
      </c>
      <c r="N2873" s="18"/>
      <c r="O2873" s="135"/>
      <c r="P2873" s="175">
        <v>12300</v>
      </c>
      <c r="Q2873" s="25">
        <v>0.14649999999999999</v>
      </c>
      <c r="U2873" s="384">
        <v>0.1</v>
      </c>
      <c r="W2873" s="285">
        <f t="shared" si="68"/>
        <v>1982.145</v>
      </c>
    </row>
    <row r="2874" spans="1:23" ht="15" customHeight="1">
      <c r="A2874" s="3">
        <v>39925</v>
      </c>
      <c r="B2874" s="9">
        <v>0</v>
      </c>
      <c r="C2874" s="5">
        <v>37550</v>
      </c>
      <c r="D2874" s="5" t="e">
        <f>E2874-(#REF!+C2874)</f>
        <v>#REF!</v>
      </c>
      <c r="E2874" s="5">
        <v>63500</v>
      </c>
      <c r="K2874" s="22">
        <v>1443</v>
      </c>
      <c r="L2874" s="6">
        <v>1440</v>
      </c>
      <c r="M2874" s="125">
        <f t="shared" si="69"/>
        <v>-3</v>
      </c>
      <c r="N2874" s="18"/>
      <c r="O2874" s="135"/>
      <c r="P2874" s="175">
        <v>12100</v>
      </c>
      <c r="Q2874" s="25">
        <v>0.14649999999999999</v>
      </c>
      <c r="U2874" s="384">
        <v>0.1</v>
      </c>
      <c r="W2874" s="285">
        <f t="shared" si="68"/>
        <v>1949.915</v>
      </c>
    </row>
    <row r="2875" spans="1:23" ht="15" customHeight="1">
      <c r="A2875" s="3">
        <v>39926</v>
      </c>
      <c r="B2875" s="9">
        <v>0</v>
      </c>
      <c r="C2875" s="5">
        <v>37750</v>
      </c>
      <c r="D2875" s="5" t="e">
        <f>E2875-(#REF!+C2875)</f>
        <v>#REF!</v>
      </c>
      <c r="E2875" s="5">
        <v>63650</v>
      </c>
      <c r="K2875" s="22">
        <v>1461.5</v>
      </c>
      <c r="L2875" s="6">
        <v>1457</v>
      </c>
      <c r="M2875" s="125">
        <f t="shared" si="69"/>
        <v>-4.5</v>
      </c>
      <c r="N2875" s="18"/>
      <c r="O2875" s="135"/>
      <c r="P2875" s="175">
        <v>12000</v>
      </c>
      <c r="Q2875" s="25">
        <v>0.1464</v>
      </c>
      <c r="U2875" s="384">
        <v>0.1</v>
      </c>
      <c r="W2875" s="285">
        <f t="shared" si="68"/>
        <v>1932.48</v>
      </c>
    </row>
    <row r="2876" spans="1:23" ht="15" customHeight="1">
      <c r="A2876" s="3">
        <v>39927</v>
      </c>
      <c r="B2876" s="9">
        <v>0</v>
      </c>
      <c r="C2876" s="5">
        <v>45575</v>
      </c>
      <c r="D2876" s="5" t="e">
        <f>E2876-(#REF!+C2876)</f>
        <v>#REF!</v>
      </c>
      <c r="E2876" s="5">
        <v>71725</v>
      </c>
      <c r="K2876" s="22">
        <v>1410.5</v>
      </c>
      <c r="L2876" s="6">
        <v>1415</v>
      </c>
      <c r="M2876" s="125">
        <f t="shared" si="69"/>
        <v>4.5</v>
      </c>
      <c r="N2876" s="18"/>
      <c r="O2876" s="135"/>
      <c r="P2876" s="175">
        <v>12000</v>
      </c>
      <c r="Q2876" s="25">
        <v>0.14649999999999999</v>
      </c>
      <c r="U2876" s="384">
        <v>0.1</v>
      </c>
      <c r="W2876" s="285">
        <f t="shared" si="68"/>
        <v>1933.8000000000002</v>
      </c>
    </row>
    <row r="2877" spans="1:23" ht="15" customHeight="1">
      <c r="A2877" s="3">
        <v>39930</v>
      </c>
      <c r="B2877" s="9">
        <v>100</v>
      </c>
      <c r="C2877" s="5">
        <v>45400</v>
      </c>
      <c r="D2877" s="5" t="e">
        <f>E2877-(#REF!+C2877)</f>
        <v>#REF!</v>
      </c>
      <c r="E2877" s="5">
        <v>71575</v>
      </c>
      <c r="K2877" s="22">
        <v>1375</v>
      </c>
      <c r="L2877" s="6">
        <v>1362</v>
      </c>
      <c r="M2877" s="125">
        <f t="shared" si="69"/>
        <v>-13</v>
      </c>
      <c r="N2877" s="18"/>
      <c r="O2877" s="135"/>
      <c r="P2877" s="175">
        <v>12000</v>
      </c>
      <c r="Q2877" s="25">
        <v>0.14649999999999999</v>
      </c>
      <c r="U2877" s="384">
        <v>0.1</v>
      </c>
      <c r="W2877" s="285">
        <f t="shared" si="68"/>
        <v>1933.8000000000002</v>
      </c>
    </row>
    <row r="2878" spans="1:23" ht="15" customHeight="1">
      <c r="A2878" s="3">
        <v>39931</v>
      </c>
      <c r="B2878" s="9">
        <v>100</v>
      </c>
      <c r="C2878" s="5">
        <v>45125</v>
      </c>
      <c r="D2878" s="5" t="e">
        <f>E2878-(#REF!+C2878)</f>
        <v>#REF!</v>
      </c>
      <c r="E2878" s="5">
        <v>71300</v>
      </c>
      <c r="K2878" s="22">
        <v>1309</v>
      </c>
      <c r="L2878" s="6">
        <v>1309</v>
      </c>
      <c r="M2878" s="125">
        <f t="shared" si="69"/>
        <v>0</v>
      </c>
      <c r="N2878" s="18"/>
      <c r="O2878" s="135"/>
      <c r="P2878" s="175">
        <v>11800</v>
      </c>
      <c r="Q2878" s="25">
        <v>0.14649999999999999</v>
      </c>
      <c r="U2878" s="384">
        <v>0.1</v>
      </c>
      <c r="W2878" s="285">
        <f t="shared" si="68"/>
        <v>1901.57</v>
      </c>
    </row>
    <row r="2879" spans="1:23" ht="15" customHeight="1">
      <c r="A2879" s="3">
        <v>39932</v>
      </c>
      <c r="B2879" s="9">
        <v>100</v>
      </c>
      <c r="C2879" s="5">
        <v>45100</v>
      </c>
      <c r="D2879" s="5" t="e">
        <f>E2879-(#REF!+C2879)</f>
        <v>#REF!</v>
      </c>
      <c r="E2879" s="5">
        <v>71250</v>
      </c>
      <c r="K2879" s="22">
        <v>1318</v>
      </c>
      <c r="L2879" s="6">
        <v>1309</v>
      </c>
      <c r="M2879" s="125">
        <f t="shared" si="69"/>
        <v>-9</v>
      </c>
      <c r="N2879" s="18"/>
      <c r="O2879" s="135"/>
      <c r="P2879" s="175">
        <v>11700</v>
      </c>
      <c r="Q2879" s="25">
        <v>0.14649999999999999</v>
      </c>
      <c r="U2879" s="384">
        <v>0.1</v>
      </c>
      <c r="W2879" s="285">
        <f t="shared" si="68"/>
        <v>1885.4550000000002</v>
      </c>
    </row>
    <row r="2880" spans="1:23" ht="15" customHeight="1" thickBot="1">
      <c r="A2880" s="11">
        <v>39933</v>
      </c>
      <c r="B2880" s="9">
        <v>25</v>
      </c>
      <c r="C2880" s="13">
        <v>45075</v>
      </c>
      <c r="D2880" s="13" t="e">
        <f>E2880-(#REF!+C2880)</f>
        <v>#REF!</v>
      </c>
      <c r="E2880" s="13">
        <v>71650</v>
      </c>
      <c r="F2880" s="12"/>
      <c r="G2880" s="13"/>
      <c r="H2880" s="13"/>
      <c r="I2880" s="119"/>
      <c r="J2880" s="119"/>
      <c r="K2880" s="23">
        <v>1355</v>
      </c>
      <c r="L2880" s="14">
        <v>1350</v>
      </c>
      <c r="M2880" s="126">
        <f t="shared" si="69"/>
        <v>-5</v>
      </c>
      <c r="N2880" s="84">
        <f>AVERAGE(K2859:K2880)</f>
        <v>1383.1</v>
      </c>
      <c r="O2880" s="141">
        <f>AVERAGE(K2796:K2880)</f>
        <v>1213.4457831325301</v>
      </c>
      <c r="P2880" s="176">
        <v>11900</v>
      </c>
      <c r="Q2880" s="27">
        <v>0.14649999999999999</v>
      </c>
      <c r="U2880" s="384">
        <v>0.1</v>
      </c>
      <c r="V2880" s="38">
        <f>AVERAGE(P2860:P2880)</f>
        <v>12450</v>
      </c>
      <c r="W2880" s="285">
        <f t="shared" si="68"/>
        <v>1917.6849999999999</v>
      </c>
    </row>
    <row r="2881" spans="1:23" ht="15" customHeight="1">
      <c r="A2881" s="3">
        <v>39934</v>
      </c>
      <c r="B2881" s="9">
        <v>0</v>
      </c>
      <c r="C2881" s="5">
        <v>45200</v>
      </c>
      <c r="D2881" s="5" t="e">
        <f>E2881-(#REF!+C2881)</f>
        <v>#REF!</v>
      </c>
      <c r="E2881" s="5">
        <v>72325</v>
      </c>
      <c r="K2881" s="22">
        <v>1334.5</v>
      </c>
      <c r="L2881" s="6">
        <v>1350</v>
      </c>
      <c r="M2881" s="125">
        <f t="shared" si="69"/>
        <v>15.5</v>
      </c>
      <c r="N2881" s="7"/>
      <c r="O2881" s="132"/>
      <c r="P2881" s="175"/>
      <c r="Q2881" s="1362" t="s">
        <v>23</v>
      </c>
      <c r="R2881" s="1362"/>
      <c r="S2881" s="1362"/>
      <c r="T2881" s="1362"/>
      <c r="U2881" s="1362"/>
      <c r="V2881" s="37"/>
      <c r="W2881" s="285" t="e">
        <f t="shared" si="68"/>
        <v>#VALUE!</v>
      </c>
    </row>
    <row r="2882" spans="1:23" ht="15" customHeight="1">
      <c r="A2882" s="3">
        <v>39937</v>
      </c>
      <c r="B2882" s="9">
        <v>0</v>
      </c>
      <c r="C2882" s="193"/>
      <c r="D2882" s="193"/>
      <c r="E2882" s="193"/>
      <c r="F2882" s="1333" t="s">
        <v>23</v>
      </c>
      <c r="G2882" s="1333"/>
      <c r="H2882" s="1333"/>
      <c r="I2882" s="1333"/>
      <c r="J2882" s="65"/>
      <c r="K2882" s="193"/>
      <c r="L2882" s="193"/>
      <c r="M2882" s="193"/>
      <c r="N2882" s="7"/>
      <c r="O2882" s="132"/>
      <c r="P2882" s="175">
        <v>12200</v>
      </c>
      <c r="Q2882" s="25">
        <v>0.14649999999999999</v>
      </c>
      <c r="U2882" s="384">
        <v>0.1</v>
      </c>
      <c r="W2882" s="285">
        <f t="shared" si="68"/>
        <v>1966.0300000000002</v>
      </c>
    </row>
    <row r="2883" spans="1:23" ht="15" customHeight="1">
      <c r="A2883" s="3">
        <v>39938</v>
      </c>
      <c r="B2883" s="9">
        <v>0</v>
      </c>
      <c r="C2883" s="5">
        <v>45450</v>
      </c>
      <c r="D2883" s="5" t="e">
        <f>E2883-(#REF!+C2883)</f>
        <v>#REF!</v>
      </c>
      <c r="E2883" s="5">
        <v>72250</v>
      </c>
      <c r="K2883" s="22">
        <v>1426.5</v>
      </c>
      <c r="L2883" s="6">
        <v>1431</v>
      </c>
      <c r="M2883" s="125">
        <f t="shared" si="69"/>
        <v>4.5</v>
      </c>
      <c r="N2883" s="18"/>
      <c r="O2883" s="135"/>
      <c r="P2883" s="175">
        <v>12300</v>
      </c>
      <c r="Q2883" s="25">
        <v>0.1467</v>
      </c>
      <c r="U2883" s="384">
        <v>0.1</v>
      </c>
      <c r="W2883" s="285">
        <f t="shared" si="68"/>
        <v>1984.8510000000001</v>
      </c>
    </row>
    <row r="2884" spans="1:23" ht="15" customHeight="1">
      <c r="A2884" s="3">
        <v>39939</v>
      </c>
      <c r="B2884" s="9">
        <v>200</v>
      </c>
      <c r="C2884" s="5">
        <v>45825</v>
      </c>
      <c r="D2884" s="5" t="e">
        <f>E2884-(#REF!+C2884)</f>
        <v>#REF!</v>
      </c>
      <c r="E2884" s="5">
        <v>73050</v>
      </c>
      <c r="K2884" s="22">
        <v>1408</v>
      </c>
      <c r="L2884" s="6">
        <v>1417</v>
      </c>
      <c r="M2884" s="125">
        <f t="shared" si="69"/>
        <v>9</v>
      </c>
      <c r="N2884" s="18"/>
      <c r="O2884" s="135"/>
      <c r="P2884" s="175">
        <v>12200</v>
      </c>
      <c r="Q2884" s="25">
        <v>0.14660000000000001</v>
      </c>
      <c r="U2884" s="384">
        <v>0.1</v>
      </c>
      <c r="W2884" s="285">
        <f t="shared" si="68"/>
        <v>1967.3720000000003</v>
      </c>
    </row>
    <row r="2885" spans="1:23" ht="15" customHeight="1">
      <c r="A2885" s="3">
        <v>39940</v>
      </c>
      <c r="B2885" s="9">
        <v>200</v>
      </c>
      <c r="C2885" s="5">
        <v>45975</v>
      </c>
      <c r="D2885" s="5" t="e">
        <f>E2885-(#REF!+C2885)</f>
        <v>#REF!</v>
      </c>
      <c r="E2885" s="5">
        <v>73200</v>
      </c>
      <c r="K2885" s="22">
        <v>1481</v>
      </c>
      <c r="L2885" s="6">
        <v>1490</v>
      </c>
      <c r="M2885" s="125">
        <f t="shared" si="69"/>
        <v>9</v>
      </c>
      <c r="N2885" s="18"/>
      <c r="O2885" s="135"/>
      <c r="P2885" s="175">
        <v>12200</v>
      </c>
      <c r="Q2885" s="25">
        <v>0.1467</v>
      </c>
      <c r="U2885" s="384">
        <v>0.1</v>
      </c>
      <c r="W2885" s="285">
        <f t="shared" si="68"/>
        <v>1968.7140000000002</v>
      </c>
    </row>
    <row r="2886" spans="1:23" ht="15" customHeight="1">
      <c r="A2886" s="3">
        <v>39941</v>
      </c>
      <c r="B2886" s="9">
        <v>200</v>
      </c>
      <c r="C2886" s="5">
        <v>46125</v>
      </c>
      <c r="D2886" s="5" t="e">
        <f>E2886-(#REF!+C2886)</f>
        <v>#REF!</v>
      </c>
      <c r="E2886" s="5">
        <v>73325</v>
      </c>
      <c r="K2886" s="22">
        <v>1473.5</v>
      </c>
      <c r="L2886" s="6">
        <v>1484.5</v>
      </c>
      <c r="M2886" s="125">
        <f t="shared" si="69"/>
        <v>11</v>
      </c>
      <c r="N2886" s="18"/>
      <c r="O2886" s="135"/>
      <c r="P2886" s="175">
        <v>12100</v>
      </c>
      <c r="Q2886" s="25">
        <v>0.14660000000000001</v>
      </c>
      <c r="U2886" s="384">
        <v>0.1</v>
      </c>
      <c r="W2886" s="285">
        <f t="shared" si="68"/>
        <v>1951.2460000000003</v>
      </c>
    </row>
    <row r="2887" spans="1:23" ht="15" customHeight="1">
      <c r="A2887" s="3">
        <v>39942</v>
      </c>
      <c r="B2887" s="9">
        <v>0</v>
      </c>
      <c r="C2887" s="5">
        <v>46125</v>
      </c>
      <c r="D2887" s="5" t="e">
        <f>E2887-(#REF!+C2887)</f>
        <v>#REF!</v>
      </c>
      <c r="E2887" s="5">
        <v>73100</v>
      </c>
      <c r="K2887" s="22">
        <v>1440.5</v>
      </c>
      <c r="L2887" s="6">
        <v>1140.5</v>
      </c>
      <c r="M2887" s="125">
        <f t="shared" si="69"/>
        <v>-300</v>
      </c>
      <c r="N2887" s="18"/>
      <c r="O2887" s="135"/>
      <c r="P2887" s="175">
        <v>12000</v>
      </c>
      <c r="Q2887" s="25">
        <v>0.14649999999999999</v>
      </c>
      <c r="U2887" s="384">
        <v>0.1</v>
      </c>
      <c r="W2887" s="285">
        <f t="shared" si="68"/>
        <v>1933.8000000000002</v>
      </c>
    </row>
    <row r="2888" spans="1:23" ht="15" customHeight="1">
      <c r="A2888" s="3">
        <v>39945</v>
      </c>
      <c r="B2888" s="9">
        <v>0</v>
      </c>
      <c r="C2888" s="5">
        <v>46125</v>
      </c>
      <c r="D2888" s="5" t="e">
        <f>E2888-(#REF!+C2888)</f>
        <v>#REF!</v>
      </c>
      <c r="E2888" s="5">
        <v>73400</v>
      </c>
      <c r="K2888" s="22">
        <v>1461</v>
      </c>
      <c r="L2888" s="6">
        <v>1468.5</v>
      </c>
      <c r="M2888" s="125">
        <f t="shared" si="69"/>
        <v>7.5</v>
      </c>
      <c r="N2888" s="18"/>
      <c r="O2888" s="135"/>
      <c r="P2888" s="175">
        <v>11900</v>
      </c>
      <c r="Q2888" s="25">
        <v>0.14649999999999999</v>
      </c>
      <c r="U2888" s="384">
        <v>0.1</v>
      </c>
      <c r="W2888" s="285">
        <f t="shared" si="68"/>
        <v>1917.6849999999999</v>
      </c>
    </row>
    <row r="2889" spans="1:23" ht="15" customHeight="1">
      <c r="A2889" s="3">
        <v>39946</v>
      </c>
      <c r="B2889" s="9">
        <v>0</v>
      </c>
      <c r="C2889" s="5">
        <v>46125</v>
      </c>
      <c r="D2889" s="5" t="e">
        <f>E2889-(#REF!+C2889)</f>
        <v>#REF!</v>
      </c>
      <c r="E2889" s="5">
        <v>73500</v>
      </c>
      <c r="K2889" s="22">
        <v>1451</v>
      </c>
      <c r="L2889" s="6">
        <v>1441</v>
      </c>
      <c r="M2889" s="125">
        <f t="shared" si="69"/>
        <v>-10</v>
      </c>
      <c r="N2889" s="18"/>
      <c r="O2889" s="135"/>
      <c r="P2889" s="175">
        <v>11900</v>
      </c>
      <c r="Q2889" s="25">
        <v>0.14660000000000001</v>
      </c>
      <c r="U2889" s="384">
        <v>0.1</v>
      </c>
      <c r="W2889" s="285">
        <f t="shared" si="68"/>
        <v>1918.9940000000004</v>
      </c>
    </row>
    <row r="2890" spans="1:23" ht="15" customHeight="1">
      <c r="A2890" s="3">
        <v>39947</v>
      </c>
      <c r="B2890" s="9">
        <v>0</v>
      </c>
      <c r="C2890" s="5">
        <v>46450</v>
      </c>
      <c r="D2890" s="5" t="e">
        <f>E2890-(#REF!+C2890)</f>
        <v>#REF!</v>
      </c>
      <c r="E2890" s="5">
        <v>73500</v>
      </c>
      <c r="K2890" s="22">
        <v>1395</v>
      </c>
      <c r="L2890" s="6">
        <v>1386</v>
      </c>
      <c r="M2890" s="125">
        <f t="shared" si="69"/>
        <v>-9</v>
      </c>
      <c r="N2890" s="18"/>
      <c r="O2890" s="135"/>
      <c r="P2890" s="175">
        <v>11900</v>
      </c>
      <c r="Q2890" s="25">
        <v>0.14660000000000001</v>
      </c>
      <c r="U2890" s="384">
        <v>0.1</v>
      </c>
      <c r="W2890" s="285">
        <f t="shared" si="68"/>
        <v>1918.9940000000004</v>
      </c>
    </row>
    <row r="2891" spans="1:23" ht="15" customHeight="1">
      <c r="A2891" s="3">
        <v>39948</v>
      </c>
      <c r="B2891" s="9">
        <v>0</v>
      </c>
      <c r="C2891" s="5">
        <v>46450</v>
      </c>
      <c r="D2891" s="5" t="e">
        <f>E2891-(#REF!+C2891)</f>
        <v>#REF!</v>
      </c>
      <c r="E2891" s="5">
        <v>73250</v>
      </c>
      <c r="K2891" s="22">
        <v>1422.5</v>
      </c>
      <c r="L2891" s="6">
        <v>1435</v>
      </c>
      <c r="M2891" s="125">
        <f t="shared" si="69"/>
        <v>12.5</v>
      </c>
      <c r="N2891" s="18"/>
      <c r="O2891" s="135"/>
      <c r="P2891" s="175">
        <v>11900</v>
      </c>
      <c r="Q2891" s="25">
        <v>0.14649999999999999</v>
      </c>
      <c r="U2891" s="384">
        <v>0.1</v>
      </c>
      <c r="W2891" s="285">
        <f t="shared" si="68"/>
        <v>1917.6849999999999</v>
      </c>
    </row>
    <row r="2892" spans="1:23" ht="15" customHeight="1">
      <c r="A2892" s="3">
        <v>39951</v>
      </c>
      <c r="B2892" s="9">
        <v>0</v>
      </c>
      <c r="C2892" s="5">
        <v>46500</v>
      </c>
      <c r="D2892" s="5" t="e">
        <f>E2892-(#REF!+C2892)</f>
        <v>#REF!</v>
      </c>
      <c r="E2892" s="5">
        <v>73925</v>
      </c>
      <c r="K2892" s="22">
        <v>1460</v>
      </c>
      <c r="L2892" s="6">
        <v>1470</v>
      </c>
      <c r="M2892" s="125">
        <f t="shared" si="69"/>
        <v>10</v>
      </c>
      <c r="N2892" s="18"/>
      <c r="O2892" s="135"/>
      <c r="P2892" s="175">
        <v>11900</v>
      </c>
      <c r="Q2892" s="25">
        <v>0.14649999999999999</v>
      </c>
      <c r="U2892" s="384">
        <v>0.1</v>
      </c>
      <c r="W2892" s="285">
        <f t="shared" si="68"/>
        <v>1917.6849999999999</v>
      </c>
    </row>
    <row r="2893" spans="1:23" ht="15" customHeight="1">
      <c r="A2893" s="3">
        <v>39952</v>
      </c>
      <c r="B2893" s="9">
        <v>0</v>
      </c>
      <c r="C2893" s="5">
        <v>46950</v>
      </c>
      <c r="D2893" s="5" t="e">
        <f>E2893-(#REF!+C2893)</f>
        <v>#REF!</v>
      </c>
      <c r="E2893" s="5">
        <v>74375</v>
      </c>
      <c r="K2893" s="22">
        <v>1527.5</v>
      </c>
      <c r="L2893" s="6">
        <v>1540</v>
      </c>
      <c r="M2893" s="125">
        <f t="shared" si="69"/>
        <v>12.5</v>
      </c>
      <c r="N2893" s="18"/>
      <c r="O2893" s="135"/>
      <c r="P2893" s="175">
        <v>11900</v>
      </c>
      <c r="Q2893" s="25">
        <v>0.14649999999999999</v>
      </c>
      <c r="U2893" s="384">
        <v>0.1</v>
      </c>
      <c r="W2893" s="285">
        <f t="shared" si="68"/>
        <v>1917.6849999999999</v>
      </c>
    </row>
    <row r="2894" spans="1:23" ht="15" customHeight="1">
      <c r="A2894" s="3">
        <v>39953</v>
      </c>
      <c r="B2894" s="9">
        <v>0</v>
      </c>
      <c r="C2894" s="5">
        <v>46950</v>
      </c>
      <c r="D2894" s="5" t="e">
        <f>E2894-(#REF!+C2894)</f>
        <v>#REF!</v>
      </c>
      <c r="E2894" s="5">
        <v>74350</v>
      </c>
      <c r="K2894" s="22">
        <v>1436</v>
      </c>
      <c r="L2894" s="6">
        <v>1453</v>
      </c>
      <c r="M2894" s="125">
        <f t="shared" si="69"/>
        <v>17</v>
      </c>
      <c r="N2894" s="18"/>
      <c r="O2894" s="135"/>
      <c r="P2894" s="175">
        <v>11900</v>
      </c>
      <c r="Q2894" s="25">
        <v>0.14649999999999999</v>
      </c>
      <c r="U2894" s="384">
        <v>0.1</v>
      </c>
      <c r="W2894" s="285">
        <f t="shared" si="68"/>
        <v>1917.6849999999999</v>
      </c>
    </row>
    <row r="2895" spans="1:23" ht="15" customHeight="1">
      <c r="A2895" s="3">
        <v>39954</v>
      </c>
      <c r="B2895" s="9">
        <v>0</v>
      </c>
      <c r="C2895" s="5">
        <v>46975</v>
      </c>
      <c r="D2895" s="5" t="e">
        <f>E2895-(#REF!+C2895)</f>
        <v>#REF!</v>
      </c>
      <c r="E2895" s="5">
        <v>74275</v>
      </c>
      <c r="K2895" s="22">
        <v>1420</v>
      </c>
      <c r="L2895" s="6">
        <v>1420.5</v>
      </c>
      <c r="M2895" s="125">
        <f t="shared" si="69"/>
        <v>0.5</v>
      </c>
      <c r="N2895" s="18"/>
      <c r="O2895" s="135"/>
      <c r="P2895" s="175">
        <v>11900</v>
      </c>
      <c r="Q2895" s="25">
        <v>0.14649999999999999</v>
      </c>
      <c r="U2895" s="384">
        <v>0.1</v>
      </c>
      <c r="W2895" s="285">
        <f t="shared" si="68"/>
        <v>1917.6849999999999</v>
      </c>
    </row>
    <row r="2896" spans="1:23" ht="15" customHeight="1">
      <c r="A2896" s="3">
        <v>39955</v>
      </c>
      <c r="B2896" s="9">
        <v>0</v>
      </c>
      <c r="C2896" s="5">
        <v>47200</v>
      </c>
      <c r="D2896" s="5" t="e">
        <f>E2896-(#REF!+C2896)</f>
        <v>#REF!</v>
      </c>
      <c r="E2896" s="5">
        <v>74525</v>
      </c>
      <c r="K2896" s="22">
        <v>1422.5</v>
      </c>
      <c r="L2896" s="6">
        <v>1425</v>
      </c>
      <c r="M2896" s="125">
        <f>L2896-K2896</f>
        <v>2.5</v>
      </c>
      <c r="N2896" s="18"/>
      <c r="O2896" s="135"/>
      <c r="P2896" s="175">
        <v>11900</v>
      </c>
      <c r="Q2896" s="25">
        <v>0.14649999999999999</v>
      </c>
      <c r="U2896" s="384">
        <v>0.1</v>
      </c>
      <c r="W2896" s="285">
        <f t="shared" si="68"/>
        <v>1917.6849999999999</v>
      </c>
    </row>
    <row r="2897" spans="1:23" ht="15" customHeight="1">
      <c r="A2897" s="3">
        <v>39956</v>
      </c>
      <c r="B2897" s="9">
        <v>0</v>
      </c>
      <c r="C2897" s="193"/>
      <c r="D2897" s="193"/>
      <c r="E2897" s="193"/>
      <c r="F2897" s="1333" t="s">
        <v>34</v>
      </c>
      <c r="G2897" s="1333"/>
      <c r="H2897" s="1333"/>
      <c r="I2897" s="1333"/>
      <c r="J2897" s="65"/>
      <c r="K2897" s="193"/>
      <c r="L2897" s="193"/>
      <c r="M2897" s="193"/>
      <c r="N2897" s="18"/>
      <c r="O2897" s="135"/>
      <c r="P2897" s="175">
        <v>11900</v>
      </c>
      <c r="Q2897" s="25">
        <v>0.14660000000000001</v>
      </c>
      <c r="U2897" s="384">
        <v>0.1</v>
      </c>
      <c r="W2897" s="285">
        <f t="shared" si="68"/>
        <v>1918.9940000000004</v>
      </c>
    </row>
    <row r="2898" spans="1:23" ht="15" customHeight="1">
      <c r="A2898" s="3">
        <v>39959</v>
      </c>
      <c r="B2898" s="9">
        <v>0</v>
      </c>
      <c r="C2898" s="5">
        <v>47375</v>
      </c>
      <c r="D2898" s="5" t="e">
        <f>E2898-(#REF!+C2898)</f>
        <v>#REF!</v>
      </c>
      <c r="E2898" s="5">
        <v>75100</v>
      </c>
      <c r="K2898" s="22">
        <v>1409</v>
      </c>
      <c r="L2898" s="6">
        <v>1414</v>
      </c>
      <c r="M2898" s="125">
        <f>L2898-K2898</f>
        <v>5</v>
      </c>
      <c r="N2898" s="18"/>
      <c r="O2898" s="135"/>
      <c r="P2898" s="175">
        <v>11900</v>
      </c>
      <c r="Q2898" s="25">
        <v>0.14649999999999999</v>
      </c>
      <c r="U2898" s="384">
        <v>0.1</v>
      </c>
      <c r="W2898" s="285">
        <f t="shared" si="68"/>
        <v>1917.6849999999999</v>
      </c>
    </row>
    <row r="2899" spans="1:23" ht="15" customHeight="1">
      <c r="A2899" s="3">
        <v>39960</v>
      </c>
      <c r="B2899" s="9">
        <v>0</v>
      </c>
      <c r="C2899" s="5">
        <v>47550</v>
      </c>
      <c r="D2899" s="5" t="e">
        <f>E2899-(#REF!+C2899)</f>
        <v>#REF!</v>
      </c>
      <c r="E2899" s="5">
        <v>75750</v>
      </c>
      <c r="K2899" s="22">
        <v>1427.5</v>
      </c>
      <c r="L2899" s="6">
        <v>1436</v>
      </c>
      <c r="M2899" s="125">
        <f t="shared" ref="M2899:M2962" si="70">L2899-K2899</f>
        <v>8.5</v>
      </c>
      <c r="N2899" s="18"/>
      <c r="O2899" s="135"/>
      <c r="P2899" s="175">
        <v>11900</v>
      </c>
      <c r="Q2899" s="25">
        <v>0.14630000000000001</v>
      </c>
      <c r="U2899" s="384">
        <v>0.1</v>
      </c>
      <c r="V2899" s="36">
        <f>AVERAGE(P2881:P2899)</f>
        <v>11988.888888888889</v>
      </c>
      <c r="W2899" s="285">
        <f t="shared" si="68"/>
        <v>1915.0670000000005</v>
      </c>
    </row>
    <row r="2900" spans="1:23" ht="15" customHeight="1">
      <c r="A2900" s="3">
        <v>39961</v>
      </c>
      <c r="B2900" s="9">
        <v>0</v>
      </c>
      <c r="C2900" s="5">
        <v>47925</v>
      </c>
      <c r="D2900" s="5" t="e">
        <f>E2900-(#REF!+C2900)</f>
        <v>#REF!</v>
      </c>
      <c r="E2900" s="5">
        <v>76075</v>
      </c>
      <c r="K2900" s="22">
        <v>1437</v>
      </c>
      <c r="L2900" s="6">
        <v>1444</v>
      </c>
      <c r="M2900" s="125">
        <f t="shared" si="70"/>
        <v>7</v>
      </c>
      <c r="N2900" s="18"/>
      <c r="O2900" s="135"/>
      <c r="P2900" s="188"/>
      <c r="Q2900" s="1363" t="s">
        <v>23</v>
      </c>
      <c r="R2900" s="1363"/>
      <c r="S2900" s="1363"/>
      <c r="T2900" s="1363"/>
      <c r="U2900" s="1363"/>
      <c r="V2900" s="189"/>
      <c r="W2900" s="285" t="e">
        <f t="shared" si="68"/>
        <v>#VALUE!</v>
      </c>
    </row>
    <row r="2901" spans="1:23" ht="15" customHeight="1" thickBot="1">
      <c r="A2901" s="11">
        <v>39962</v>
      </c>
      <c r="B2901" s="9">
        <v>0</v>
      </c>
      <c r="C2901" s="13">
        <v>48875</v>
      </c>
      <c r="D2901" s="13" t="e">
        <f>E2901-(#REF!+C2901)</f>
        <v>#REF!</v>
      </c>
      <c r="E2901" s="13">
        <v>76075</v>
      </c>
      <c r="F2901" s="12"/>
      <c r="G2901" s="13"/>
      <c r="H2901" s="13"/>
      <c r="I2901" s="119"/>
      <c r="J2901" s="119"/>
      <c r="K2901" s="23">
        <v>1530</v>
      </c>
      <c r="L2901" s="14">
        <v>1535</v>
      </c>
      <c r="M2901" s="126">
        <f t="shared" si="70"/>
        <v>5</v>
      </c>
      <c r="N2901" s="84">
        <f>AVERAGE(K2881:K2901)</f>
        <v>1440.1578947368421</v>
      </c>
      <c r="O2901" s="141">
        <f>AVERAGE(K2796:K2901)</f>
        <v>1255.6764705882354</v>
      </c>
      <c r="P2901" s="192"/>
      <c r="Q2901" s="1365"/>
      <c r="R2901" s="1365"/>
      <c r="S2901" s="1365"/>
      <c r="T2901" s="1365"/>
      <c r="U2901" s="1365"/>
      <c r="V2901" s="198"/>
      <c r="W2901" s="285">
        <f t="shared" si="68"/>
        <v>0</v>
      </c>
    </row>
    <row r="2902" spans="1:23" ht="15" customHeight="1">
      <c r="A2902" s="3">
        <v>39965</v>
      </c>
      <c r="B2902" s="9">
        <v>0</v>
      </c>
      <c r="C2902" s="5">
        <v>48875</v>
      </c>
      <c r="D2902" s="5" t="e">
        <f>E2902-(#REF!+C2902)</f>
        <v>#REF!</v>
      </c>
      <c r="E2902" s="5">
        <v>77450</v>
      </c>
      <c r="K2902" s="22">
        <v>1640</v>
      </c>
      <c r="L2902" s="6">
        <v>1640</v>
      </c>
      <c r="M2902" s="125">
        <f t="shared" si="70"/>
        <v>0</v>
      </c>
      <c r="N2902" s="20"/>
      <c r="O2902" s="138"/>
      <c r="P2902" s="175">
        <v>12100</v>
      </c>
      <c r="Q2902" s="25">
        <v>0.1464</v>
      </c>
      <c r="U2902" s="384">
        <v>0.1</v>
      </c>
      <c r="W2902" s="285">
        <f t="shared" si="68"/>
        <v>1948.5840000000003</v>
      </c>
    </row>
    <row r="2903" spans="1:23" ht="15" customHeight="1">
      <c r="A2903" s="3">
        <v>39966</v>
      </c>
      <c r="B2903" s="9">
        <v>0</v>
      </c>
      <c r="C2903" s="5">
        <v>50275</v>
      </c>
      <c r="D2903" s="5" t="e">
        <f>E2903-(#REF!+C2903)</f>
        <v>#REF!</v>
      </c>
      <c r="E2903" s="5">
        <v>80000</v>
      </c>
      <c r="K2903" s="22">
        <v>1627.5</v>
      </c>
      <c r="L2903" s="6">
        <v>1641</v>
      </c>
      <c r="M2903" s="125">
        <f t="shared" si="70"/>
        <v>13.5</v>
      </c>
      <c r="N2903" s="18"/>
      <c r="O2903" s="135"/>
      <c r="P2903" s="175">
        <v>12400</v>
      </c>
      <c r="Q2903" s="25">
        <v>0.14649999999999999</v>
      </c>
      <c r="U2903" s="384">
        <v>0.1</v>
      </c>
      <c r="W2903" s="285">
        <f t="shared" si="68"/>
        <v>1998.26</v>
      </c>
    </row>
    <row r="2904" spans="1:23" ht="15" customHeight="1">
      <c r="A2904" s="3">
        <v>39967</v>
      </c>
      <c r="B2904" s="9">
        <v>0</v>
      </c>
      <c r="C2904" s="5">
        <v>51225</v>
      </c>
      <c r="D2904" s="5" t="e">
        <f>E2904-(#REF!+C2904)</f>
        <v>#REF!</v>
      </c>
      <c r="E2904" s="5">
        <v>80825</v>
      </c>
      <c r="K2904" s="22">
        <v>1612.5</v>
      </c>
      <c r="L2904" s="6">
        <v>1625.5</v>
      </c>
      <c r="M2904" s="125">
        <f t="shared" si="70"/>
        <v>13</v>
      </c>
      <c r="N2904" s="18"/>
      <c r="O2904" s="135"/>
      <c r="P2904" s="175">
        <v>12450</v>
      </c>
      <c r="Q2904" s="25">
        <v>0.1464</v>
      </c>
      <c r="U2904" s="384">
        <v>0.1</v>
      </c>
      <c r="W2904" s="285">
        <f t="shared" si="68"/>
        <v>2004.9480000000003</v>
      </c>
    </row>
    <row r="2905" spans="1:23" ht="15" customHeight="1">
      <c r="A2905" s="3">
        <v>39968</v>
      </c>
      <c r="B2905" s="9">
        <v>0</v>
      </c>
      <c r="C2905" s="5">
        <v>51625</v>
      </c>
      <c r="D2905" s="5" t="e">
        <f>E2905-(#REF!+C2905)</f>
        <v>#REF!</v>
      </c>
      <c r="E2905" s="5">
        <v>81175</v>
      </c>
      <c r="K2905" s="22">
        <v>1565.5</v>
      </c>
      <c r="L2905" s="6">
        <v>1581</v>
      </c>
      <c r="M2905" s="125">
        <f t="shared" si="70"/>
        <v>15.5</v>
      </c>
      <c r="N2905" s="18"/>
      <c r="O2905" s="135"/>
      <c r="P2905" s="175">
        <v>12400</v>
      </c>
      <c r="Q2905" s="25">
        <v>0.1464</v>
      </c>
      <c r="U2905" s="384">
        <v>0.1</v>
      </c>
      <c r="W2905" s="285">
        <f t="shared" si="68"/>
        <v>1996.8960000000004</v>
      </c>
    </row>
    <row r="2906" spans="1:23" ht="15" customHeight="1">
      <c r="A2906" s="3">
        <v>39969</v>
      </c>
      <c r="B2906" s="9">
        <v>0</v>
      </c>
      <c r="C2906" s="5">
        <v>51650</v>
      </c>
      <c r="D2906" s="5" t="e">
        <f>E2906-(#REF!+C2906)</f>
        <v>#REF!</v>
      </c>
      <c r="E2906" s="5">
        <v>81175</v>
      </c>
      <c r="K2906" s="22">
        <v>1654.5</v>
      </c>
      <c r="L2906" s="6">
        <v>1670</v>
      </c>
      <c r="M2906" s="125">
        <f t="shared" si="70"/>
        <v>15.5</v>
      </c>
      <c r="N2906" s="18"/>
      <c r="O2906" s="135"/>
      <c r="P2906" s="175">
        <v>12500</v>
      </c>
      <c r="Q2906" s="25">
        <v>0.14630000000000001</v>
      </c>
      <c r="U2906" s="384">
        <v>0.1</v>
      </c>
      <c r="W2906" s="285">
        <f t="shared" si="68"/>
        <v>2011.6250000000005</v>
      </c>
    </row>
    <row r="2907" spans="1:23" ht="15" customHeight="1">
      <c r="A2907" s="3">
        <v>39972</v>
      </c>
      <c r="B2907" s="9">
        <v>0</v>
      </c>
      <c r="C2907" s="5">
        <v>51650</v>
      </c>
      <c r="D2907" s="5" t="e">
        <f>E2907-(#REF!+C2907)</f>
        <v>#REF!</v>
      </c>
      <c r="E2907" s="5">
        <v>81125</v>
      </c>
      <c r="K2907" s="22">
        <v>1616</v>
      </c>
      <c r="L2907" s="6">
        <v>1645</v>
      </c>
      <c r="M2907" s="125">
        <f t="shared" si="70"/>
        <v>29</v>
      </c>
      <c r="N2907" s="18"/>
      <c r="O2907" s="135"/>
      <c r="P2907" s="175">
        <v>12750</v>
      </c>
      <c r="Q2907" s="25">
        <v>0.14630000000000001</v>
      </c>
      <c r="U2907" s="384">
        <v>0.1</v>
      </c>
      <c r="W2907" s="285">
        <f t="shared" si="68"/>
        <v>2051.8575000000005</v>
      </c>
    </row>
    <row r="2908" spans="1:23" ht="15" customHeight="1">
      <c r="A2908" s="3">
        <v>39973</v>
      </c>
      <c r="B2908" s="9">
        <v>0</v>
      </c>
      <c r="C2908" s="5">
        <v>51875</v>
      </c>
      <c r="D2908" s="5" t="e">
        <f>E2908-(#REF!+C2908)</f>
        <v>#REF!</v>
      </c>
      <c r="E2908" s="5">
        <v>81325</v>
      </c>
      <c r="K2908" s="22">
        <v>1690</v>
      </c>
      <c r="L2908" s="6">
        <v>1695</v>
      </c>
      <c r="M2908" s="125">
        <f t="shared" si="70"/>
        <v>5</v>
      </c>
      <c r="N2908" s="18"/>
      <c r="O2908" s="135"/>
      <c r="P2908" s="175">
        <v>12750</v>
      </c>
      <c r="Q2908" s="25">
        <v>0.14630000000000001</v>
      </c>
      <c r="U2908" s="384">
        <v>0.1</v>
      </c>
      <c r="W2908" s="285">
        <f t="shared" si="68"/>
        <v>2051.8575000000005</v>
      </c>
    </row>
    <row r="2909" spans="1:23" ht="15" customHeight="1">
      <c r="A2909" s="3">
        <v>39974</v>
      </c>
      <c r="B2909" s="9">
        <v>0</v>
      </c>
      <c r="C2909" s="5">
        <v>52200</v>
      </c>
      <c r="D2909" s="5" t="e">
        <f>E2909-(#REF!+C2909)</f>
        <v>#REF!</v>
      </c>
      <c r="E2909" s="5">
        <v>81650</v>
      </c>
      <c r="K2909" s="22">
        <v>1744.5</v>
      </c>
      <c r="L2909" s="6">
        <v>1766</v>
      </c>
      <c r="M2909" s="125">
        <f t="shared" si="70"/>
        <v>21.5</v>
      </c>
      <c r="N2909" s="18"/>
      <c r="O2909" s="135"/>
      <c r="P2909" s="175">
        <v>13050</v>
      </c>
      <c r="Q2909" s="25">
        <v>0.14630000000000001</v>
      </c>
      <c r="U2909" s="384">
        <v>0.1</v>
      </c>
      <c r="W2909" s="285">
        <f t="shared" si="68"/>
        <v>2100.1365000000005</v>
      </c>
    </row>
    <row r="2910" spans="1:23" ht="15" customHeight="1">
      <c r="A2910" s="3">
        <v>39975</v>
      </c>
      <c r="B2910" s="9">
        <v>6250</v>
      </c>
      <c r="C2910" s="5">
        <v>42850</v>
      </c>
      <c r="D2910" s="5" t="e">
        <f>E2910-(#REF!+C2910)</f>
        <v>#REF!</v>
      </c>
      <c r="E2910" s="5">
        <v>81750</v>
      </c>
      <c r="K2910" s="22">
        <v>1787</v>
      </c>
      <c r="L2910" s="6">
        <v>1809.5</v>
      </c>
      <c r="M2910" s="125">
        <f t="shared" si="70"/>
        <v>22.5</v>
      </c>
      <c r="N2910" s="18"/>
      <c r="O2910" s="135"/>
      <c r="P2910" s="175">
        <v>13200</v>
      </c>
      <c r="Q2910" s="25">
        <v>0.14630000000000001</v>
      </c>
      <c r="U2910" s="384">
        <v>0.1</v>
      </c>
      <c r="W2910" s="285">
        <f t="shared" si="68"/>
        <v>2124.2760000000003</v>
      </c>
    </row>
    <row r="2911" spans="1:23" ht="15" customHeight="1">
      <c r="A2911" s="3">
        <v>39976</v>
      </c>
      <c r="B2911" s="9">
        <v>6250</v>
      </c>
      <c r="C2911" s="5">
        <v>42975</v>
      </c>
      <c r="D2911" s="5" t="e">
        <f>E2911-(#REF!+C2911)</f>
        <v>#REF!</v>
      </c>
      <c r="E2911" s="5">
        <v>82125</v>
      </c>
      <c r="K2911" s="22">
        <v>1796.5</v>
      </c>
      <c r="L2911" s="6">
        <v>1817</v>
      </c>
      <c r="M2911" s="125">
        <f t="shared" si="70"/>
        <v>20.5</v>
      </c>
      <c r="N2911" s="18"/>
      <c r="O2911" s="135"/>
      <c r="P2911" s="175">
        <v>13450</v>
      </c>
      <c r="Q2911" s="25">
        <v>0.14630000000000001</v>
      </c>
      <c r="U2911" s="384">
        <v>0.1</v>
      </c>
      <c r="W2911" s="285">
        <f t="shared" si="68"/>
        <v>2164.5085000000004</v>
      </c>
    </row>
    <row r="2912" spans="1:23" ht="15" customHeight="1">
      <c r="A2912" s="3">
        <v>39979</v>
      </c>
      <c r="B2912" s="9">
        <v>0</v>
      </c>
      <c r="C2912" s="5">
        <v>52600</v>
      </c>
      <c r="D2912" s="5" t="e">
        <f>E2912-(#REF!+C2912)</f>
        <v>#REF!</v>
      </c>
      <c r="E2912" s="5">
        <v>82325</v>
      </c>
      <c r="K2912" s="22">
        <v>1720</v>
      </c>
      <c r="L2912" s="6">
        <v>1745</v>
      </c>
      <c r="M2912" s="125">
        <f t="shared" si="70"/>
        <v>25</v>
      </c>
      <c r="N2912" s="18"/>
      <c r="O2912" s="135"/>
      <c r="P2912" s="175">
        <v>13650</v>
      </c>
      <c r="Q2912" s="25">
        <v>0.14630000000000001</v>
      </c>
      <c r="U2912" s="384">
        <v>0.1</v>
      </c>
      <c r="W2912" s="285">
        <f t="shared" si="68"/>
        <v>2196.6945000000005</v>
      </c>
    </row>
    <row r="2913" spans="1:23" ht="15" customHeight="1">
      <c r="A2913" s="3">
        <v>39980</v>
      </c>
      <c r="B2913" s="9">
        <v>0</v>
      </c>
      <c r="C2913" s="5">
        <v>54050</v>
      </c>
      <c r="D2913" s="5" t="e">
        <f>E2913-(#REF!+C2913)</f>
        <v>#REF!</v>
      </c>
      <c r="E2913" s="5">
        <v>83825</v>
      </c>
      <c r="K2913" s="22">
        <v>1690</v>
      </c>
      <c r="L2913" s="6">
        <v>1706</v>
      </c>
      <c r="M2913" s="125">
        <f t="shared" si="70"/>
        <v>16</v>
      </c>
      <c r="N2913" s="18"/>
      <c r="O2913" s="135"/>
      <c r="P2913" s="175">
        <v>13600</v>
      </c>
      <c r="Q2913" s="25">
        <v>0.14630000000000001</v>
      </c>
      <c r="U2913" s="384">
        <v>0.1</v>
      </c>
      <c r="W2913" s="285">
        <f t="shared" si="68"/>
        <v>2188.6480000000006</v>
      </c>
    </row>
    <row r="2914" spans="1:23" ht="15" customHeight="1">
      <c r="A2914" s="3">
        <v>39981</v>
      </c>
      <c r="B2914" s="9">
        <v>0</v>
      </c>
      <c r="C2914" s="5">
        <v>54125</v>
      </c>
      <c r="D2914" s="5" t="e">
        <f>E2914-(#REF!+C2914)</f>
        <v>#REF!</v>
      </c>
      <c r="E2914" s="5">
        <v>84200</v>
      </c>
      <c r="K2914" s="22">
        <v>1610</v>
      </c>
      <c r="L2914" s="6">
        <v>1630</v>
      </c>
      <c r="M2914" s="125">
        <f t="shared" si="70"/>
        <v>20</v>
      </c>
      <c r="N2914" s="18"/>
      <c r="O2914" s="135"/>
      <c r="P2914" s="175">
        <v>13500</v>
      </c>
      <c r="Q2914" s="25">
        <v>0.14630000000000001</v>
      </c>
      <c r="U2914" s="384">
        <v>0.1</v>
      </c>
      <c r="W2914" s="285">
        <f t="shared" si="68"/>
        <v>2172.5550000000003</v>
      </c>
    </row>
    <row r="2915" spans="1:23" ht="15" customHeight="1">
      <c r="A2915" s="3">
        <v>39982</v>
      </c>
      <c r="B2915" s="9">
        <v>0</v>
      </c>
      <c r="C2915" s="5">
        <v>54200</v>
      </c>
      <c r="D2915" s="5" t="e">
        <f>E2915-(#REF!+C2915)</f>
        <v>#REF!</v>
      </c>
      <c r="E2915" s="5">
        <v>84375</v>
      </c>
      <c r="K2915" s="22">
        <v>1639</v>
      </c>
      <c r="L2915" s="6">
        <v>1660</v>
      </c>
      <c r="M2915" s="125">
        <f t="shared" si="70"/>
        <v>21</v>
      </c>
      <c r="N2915" s="18"/>
      <c r="O2915" s="135"/>
      <c r="P2915" s="175">
        <v>13500</v>
      </c>
      <c r="Q2915" s="25">
        <v>0.14630000000000001</v>
      </c>
      <c r="U2915" s="384">
        <v>0.1</v>
      </c>
      <c r="W2915" s="285">
        <f t="shared" si="68"/>
        <v>2172.5550000000003</v>
      </c>
    </row>
    <row r="2916" spans="1:23" ht="15" customHeight="1">
      <c r="A2916" s="3">
        <v>39983</v>
      </c>
      <c r="B2916" s="9">
        <v>0</v>
      </c>
      <c r="C2916" s="5">
        <v>55200</v>
      </c>
      <c r="D2916" s="5" t="e">
        <f>E2916-(#REF!+C2916)</f>
        <v>#REF!</v>
      </c>
      <c r="E2916" s="5">
        <v>85800</v>
      </c>
      <c r="K2916" s="22">
        <v>1700</v>
      </c>
      <c r="L2916" s="6">
        <v>1714</v>
      </c>
      <c r="M2916" s="125">
        <f t="shared" si="70"/>
        <v>14</v>
      </c>
      <c r="N2916" s="18"/>
      <c r="O2916" s="135"/>
      <c r="P2916" s="175">
        <v>13600</v>
      </c>
      <c r="Q2916" s="25">
        <v>0.14630000000000001</v>
      </c>
      <c r="U2916" s="384">
        <v>0.1</v>
      </c>
      <c r="W2916" s="285">
        <f t="shared" si="68"/>
        <v>2188.6480000000006</v>
      </c>
    </row>
    <row r="2917" spans="1:23" ht="15" customHeight="1">
      <c r="A2917" s="3">
        <v>39986</v>
      </c>
      <c r="B2917" s="9">
        <v>0</v>
      </c>
      <c r="C2917" s="5">
        <v>55325</v>
      </c>
      <c r="D2917" s="5" t="e">
        <f>E2917-(#REF!+C2917)</f>
        <v>#REF!</v>
      </c>
      <c r="E2917" s="5">
        <v>86175</v>
      </c>
      <c r="K2917" s="22">
        <v>1600</v>
      </c>
      <c r="L2917" s="6">
        <v>1617</v>
      </c>
      <c r="M2917" s="125">
        <f t="shared" si="70"/>
        <v>17</v>
      </c>
      <c r="N2917" s="18"/>
      <c r="O2917" s="135"/>
      <c r="P2917" s="175">
        <v>13550</v>
      </c>
      <c r="Q2917" s="25">
        <v>0.14630000000000001</v>
      </c>
      <c r="U2917" s="384">
        <v>0.1</v>
      </c>
      <c r="W2917" s="285">
        <f t="shared" si="68"/>
        <v>2180.6015000000002</v>
      </c>
    </row>
    <row r="2918" spans="1:23" ht="15" customHeight="1">
      <c r="A2918" s="3">
        <v>39987</v>
      </c>
      <c r="B2918" s="9">
        <v>0</v>
      </c>
      <c r="C2918" s="5">
        <v>55950</v>
      </c>
      <c r="D2918" s="5" t="e">
        <f>E2918-(#REF!+C2918)</f>
        <v>#REF!</v>
      </c>
      <c r="E2918" s="5">
        <v>86900</v>
      </c>
      <c r="K2918" s="22">
        <v>1633</v>
      </c>
      <c r="L2918" s="6">
        <v>1650</v>
      </c>
      <c r="M2918" s="125">
        <f t="shared" si="70"/>
        <v>17</v>
      </c>
      <c r="N2918" s="18"/>
      <c r="O2918" s="135"/>
      <c r="P2918" s="175">
        <v>13500</v>
      </c>
      <c r="Q2918" s="25">
        <v>0.14630000000000001</v>
      </c>
      <c r="U2918" s="384">
        <v>0.1</v>
      </c>
      <c r="W2918" s="285">
        <f t="shared" si="68"/>
        <v>2172.5550000000003</v>
      </c>
    </row>
    <row r="2919" spans="1:23" ht="15" customHeight="1">
      <c r="A2919" s="3">
        <v>39988</v>
      </c>
      <c r="B2919" s="9">
        <v>0</v>
      </c>
      <c r="C2919" s="5">
        <v>56375</v>
      </c>
      <c r="D2919" s="5" t="e">
        <f>E2919-(#REF!+C2919)</f>
        <v>#REF!</v>
      </c>
      <c r="E2919" s="5">
        <v>87600</v>
      </c>
      <c r="K2919" s="22">
        <v>1645</v>
      </c>
      <c r="L2919" s="6">
        <v>1660</v>
      </c>
      <c r="M2919" s="125">
        <f t="shared" si="70"/>
        <v>15</v>
      </c>
      <c r="N2919" s="18"/>
      <c r="O2919" s="135"/>
      <c r="P2919" s="175">
        <v>13450</v>
      </c>
      <c r="Q2919" s="25">
        <v>0.14630000000000001</v>
      </c>
      <c r="U2919" s="384">
        <v>0.1</v>
      </c>
      <c r="W2919" s="285">
        <f t="shared" si="68"/>
        <v>2164.5085000000004</v>
      </c>
    </row>
    <row r="2920" spans="1:23" ht="15" customHeight="1">
      <c r="A2920" s="3">
        <v>39989</v>
      </c>
      <c r="B2920" s="9">
        <v>0</v>
      </c>
      <c r="C2920" s="5">
        <v>57075</v>
      </c>
      <c r="D2920" s="5" t="e">
        <f>E2920-(#REF!+C2920)</f>
        <v>#REF!</v>
      </c>
      <c r="E2920" s="5">
        <v>88300</v>
      </c>
      <c r="K2920" s="22">
        <v>1710</v>
      </c>
      <c r="L2920" s="6">
        <v>1720</v>
      </c>
      <c r="M2920" s="125">
        <f t="shared" si="70"/>
        <v>10</v>
      </c>
      <c r="N2920" s="18"/>
      <c r="O2920" s="135"/>
      <c r="P2920" s="175">
        <v>13525</v>
      </c>
      <c r="Q2920" s="25">
        <v>0.1464</v>
      </c>
      <c r="U2920" s="384">
        <v>0.1</v>
      </c>
      <c r="W2920" s="285">
        <f t="shared" si="68"/>
        <v>2178.0660000000003</v>
      </c>
    </row>
    <row r="2921" spans="1:23" ht="15" customHeight="1">
      <c r="A2921" s="3">
        <v>39990</v>
      </c>
      <c r="B2921" s="9">
        <v>0</v>
      </c>
      <c r="C2921" s="5">
        <v>57150</v>
      </c>
      <c r="D2921" s="5" t="e">
        <f>E2921-(#REF!+C2921)</f>
        <v>#REF!</v>
      </c>
      <c r="E2921" s="5">
        <v>88575</v>
      </c>
      <c r="K2921" s="22">
        <v>1718</v>
      </c>
      <c r="L2921" s="6">
        <v>1734</v>
      </c>
      <c r="M2921" s="125">
        <f t="shared" si="70"/>
        <v>16</v>
      </c>
      <c r="N2921" s="18"/>
      <c r="O2921" s="135"/>
      <c r="P2921" s="175">
        <v>13650</v>
      </c>
      <c r="Q2921" s="25">
        <v>0.14630000000000001</v>
      </c>
      <c r="U2921" s="384">
        <v>0.1</v>
      </c>
      <c r="W2921" s="285">
        <f t="shared" si="68"/>
        <v>2196.6945000000005</v>
      </c>
    </row>
    <row r="2922" spans="1:23" ht="15" customHeight="1">
      <c r="A2922" s="3">
        <v>39993</v>
      </c>
      <c r="B2922" s="9">
        <v>0</v>
      </c>
      <c r="C2922" s="5">
        <v>57400</v>
      </c>
      <c r="D2922" s="5" t="e">
        <f>E2922-(#REF!+C2922)</f>
        <v>#REF!</v>
      </c>
      <c r="E2922" s="5">
        <v>89200</v>
      </c>
      <c r="K2922" s="22">
        <v>1709</v>
      </c>
      <c r="L2922" s="6">
        <v>1720</v>
      </c>
      <c r="M2922" s="125">
        <f t="shared" si="70"/>
        <v>11</v>
      </c>
      <c r="N2922" s="18"/>
      <c r="O2922" s="135"/>
      <c r="P2922" s="175">
        <v>13650</v>
      </c>
      <c r="Q2922" s="25">
        <v>0.14630000000000001</v>
      </c>
      <c r="U2922" s="384">
        <v>0.1</v>
      </c>
      <c r="W2922" s="285">
        <f t="shared" si="68"/>
        <v>2196.6945000000005</v>
      </c>
    </row>
    <row r="2923" spans="1:23" ht="15" customHeight="1" thickBot="1">
      <c r="A2923" s="11">
        <v>39994</v>
      </c>
      <c r="B2923" s="9">
        <v>0</v>
      </c>
      <c r="C2923" s="13">
        <v>57800</v>
      </c>
      <c r="D2923" s="13" t="e">
        <f>E2923-(#REF!+C2923)</f>
        <v>#REF!</v>
      </c>
      <c r="E2923" s="13">
        <v>89725</v>
      </c>
      <c r="F2923" s="12"/>
      <c r="G2923" s="13"/>
      <c r="H2923" s="13"/>
      <c r="I2923" s="119"/>
      <c r="J2923" s="119"/>
      <c r="K2923" s="23">
        <v>1730</v>
      </c>
      <c r="L2923" s="14">
        <v>1735</v>
      </c>
      <c r="M2923" s="126">
        <f t="shared" si="70"/>
        <v>5</v>
      </c>
      <c r="N2923" s="84">
        <f>AVERAGE(K2902:K2923)</f>
        <v>1674.4545454545455</v>
      </c>
      <c r="O2923" s="141">
        <f>AVERAGE(K2796:K2923)</f>
        <v>1329.9758064516129</v>
      </c>
      <c r="P2923" s="176">
        <v>13600</v>
      </c>
      <c r="Q2923" s="27">
        <v>0.14630000000000001</v>
      </c>
      <c r="R2923" s="27"/>
      <c r="S2923" s="27"/>
      <c r="T2923" s="27"/>
      <c r="U2923" s="385">
        <v>0.1</v>
      </c>
      <c r="V2923" s="38">
        <f>AVERAGE(P2902:P2923)</f>
        <v>13173.863636363636</v>
      </c>
      <c r="W2923" s="285">
        <f t="shared" si="68"/>
        <v>2188.6480000000006</v>
      </c>
    </row>
    <row r="2924" spans="1:23" ht="15" customHeight="1">
      <c r="A2924" s="3">
        <v>39995</v>
      </c>
      <c r="B2924" s="9">
        <v>0</v>
      </c>
      <c r="C2924" s="5">
        <v>58200</v>
      </c>
      <c r="D2924" s="5" t="e">
        <f>E2924-(#REF!+C2924)</f>
        <v>#REF!</v>
      </c>
      <c r="E2924" s="5">
        <v>91650</v>
      </c>
      <c r="K2924" s="22">
        <v>1695</v>
      </c>
      <c r="L2924" s="6">
        <v>1706</v>
      </c>
      <c r="M2924" s="125">
        <f t="shared" si="70"/>
        <v>11</v>
      </c>
      <c r="N2924" s="20"/>
      <c r="O2924" s="138"/>
      <c r="P2924" s="175">
        <v>13450</v>
      </c>
      <c r="Q2924" s="25">
        <v>0.1464</v>
      </c>
      <c r="U2924" s="384">
        <v>0.1</v>
      </c>
      <c r="W2924" s="285">
        <f t="shared" si="68"/>
        <v>2165.9880000000003</v>
      </c>
    </row>
    <row r="2925" spans="1:23" ht="15" customHeight="1">
      <c r="A2925" s="3">
        <v>39996</v>
      </c>
      <c r="B2925" s="9">
        <v>0</v>
      </c>
      <c r="C2925" s="5">
        <v>58800</v>
      </c>
      <c r="D2925" s="5" t="e">
        <f>E2925-(#REF!+C2925)</f>
        <v>#REF!</v>
      </c>
      <c r="E2925" s="5">
        <v>91650</v>
      </c>
      <c r="K2925" s="22">
        <v>1708</v>
      </c>
      <c r="L2925" s="6">
        <v>1730</v>
      </c>
      <c r="M2925" s="125">
        <f t="shared" si="70"/>
        <v>22</v>
      </c>
      <c r="N2925" s="18"/>
      <c r="O2925" s="135"/>
      <c r="P2925" s="175">
        <v>13675</v>
      </c>
      <c r="Q2925" s="25">
        <v>0.14630000000000001</v>
      </c>
      <c r="U2925" s="384">
        <v>0.1</v>
      </c>
      <c r="W2925" s="285">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25">
        <f t="shared" si="70"/>
        <v>24.5</v>
      </c>
      <c r="N2926" s="18"/>
      <c r="O2926" s="135"/>
      <c r="P2926" s="175">
        <v>13550</v>
      </c>
      <c r="Q2926" s="25">
        <v>0.1464</v>
      </c>
      <c r="U2926" s="384">
        <v>0.1</v>
      </c>
      <c r="W2926" s="285">
        <f t="shared" si="71"/>
        <v>2182.0920000000001</v>
      </c>
    </row>
    <row r="2927" spans="1:23" ht="15" customHeight="1">
      <c r="A2927" s="3">
        <v>40000</v>
      </c>
      <c r="B2927" s="9">
        <v>0</v>
      </c>
      <c r="C2927" s="5">
        <v>59175</v>
      </c>
      <c r="D2927" s="5" t="e">
        <f>E2927-(#REF!+C2927)</f>
        <v>#REF!</v>
      </c>
      <c r="E2927" s="5">
        <v>92700</v>
      </c>
      <c r="K2927" s="22">
        <v>1653</v>
      </c>
      <c r="L2927" s="6">
        <v>1662</v>
      </c>
      <c r="M2927" s="125">
        <f t="shared" si="70"/>
        <v>9</v>
      </c>
      <c r="N2927" s="18"/>
      <c r="O2927" s="135"/>
      <c r="P2927" s="175">
        <v>13550</v>
      </c>
      <c r="Q2927" s="25">
        <v>0.1464</v>
      </c>
      <c r="U2927" s="384">
        <v>0.1</v>
      </c>
      <c r="W2927" s="285">
        <f t="shared" si="71"/>
        <v>2182.0920000000001</v>
      </c>
    </row>
    <row r="2928" spans="1:23" ht="15" customHeight="1">
      <c r="A2928" s="3">
        <v>40001</v>
      </c>
      <c r="B2928" s="9">
        <v>0</v>
      </c>
      <c r="C2928" s="5">
        <v>59175</v>
      </c>
      <c r="D2928" s="5" t="e">
        <f>E2928-(#REF!+C2928)</f>
        <v>#REF!</v>
      </c>
      <c r="E2928" s="5">
        <v>92750</v>
      </c>
      <c r="K2928" s="22">
        <v>1714.5</v>
      </c>
      <c r="L2928" s="6">
        <v>1727</v>
      </c>
      <c r="M2928" s="125">
        <f t="shared" si="70"/>
        <v>12.5</v>
      </c>
      <c r="N2928" s="18"/>
      <c r="O2928" s="135"/>
      <c r="P2928" s="175">
        <v>13400</v>
      </c>
      <c r="Q2928" s="25">
        <v>0.14630000000000001</v>
      </c>
      <c r="U2928" s="384">
        <v>0.1</v>
      </c>
      <c r="W2928" s="285">
        <f t="shared" si="71"/>
        <v>2156.4620000000004</v>
      </c>
    </row>
    <row r="2929" spans="1:23" ht="15" customHeight="1">
      <c r="A2929" s="3">
        <v>40002</v>
      </c>
      <c r="B2929" s="9">
        <v>0</v>
      </c>
      <c r="C2929" s="5">
        <v>59175</v>
      </c>
      <c r="D2929" s="5" t="e">
        <f>E2929-(#REF!+C2929)</f>
        <v>#REF!</v>
      </c>
      <c r="E2929" s="5">
        <v>92950</v>
      </c>
      <c r="K2929" s="22">
        <v>1625</v>
      </c>
      <c r="L2929" s="6">
        <v>1640</v>
      </c>
      <c r="M2929" s="125">
        <f t="shared" si="70"/>
        <v>15</v>
      </c>
      <c r="N2929" s="18"/>
      <c r="O2929" s="135"/>
      <c r="P2929" s="175">
        <v>13400</v>
      </c>
      <c r="Q2929" s="25">
        <v>0.1464</v>
      </c>
      <c r="U2929" s="384">
        <v>0.1</v>
      </c>
      <c r="W2929" s="285">
        <f t="shared" si="71"/>
        <v>2157.9360000000001</v>
      </c>
    </row>
    <row r="2930" spans="1:23" ht="15" customHeight="1">
      <c r="A2930" s="3">
        <v>40003</v>
      </c>
      <c r="B2930" s="9">
        <v>0</v>
      </c>
      <c r="C2930" s="5">
        <v>59425</v>
      </c>
      <c r="D2930" s="5" t="e">
        <f>E2930-(#REF!+C2930)</f>
        <v>#REF!</v>
      </c>
      <c r="E2930" s="5">
        <v>93200</v>
      </c>
      <c r="K2930" s="22">
        <v>1594.5</v>
      </c>
      <c r="L2930" s="6">
        <v>1621</v>
      </c>
      <c r="M2930" s="125">
        <f t="shared" si="70"/>
        <v>26.5</v>
      </c>
      <c r="N2930" s="18"/>
      <c r="O2930" s="135"/>
      <c r="P2930" s="175">
        <v>13350</v>
      </c>
      <c r="Q2930" s="25">
        <v>0.1464</v>
      </c>
      <c r="U2930" s="384">
        <v>0.1</v>
      </c>
      <c r="W2930" s="285">
        <f t="shared" si="71"/>
        <v>2149.884</v>
      </c>
    </row>
    <row r="2931" spans="1:23" ht="15" customHeight="1">
      <c r="A2931" s="3">
        <v>40004</v>
      </c>
      <c r="B2931" s="9">
        <v>0</v>
      </c>
      <c r="C2931" s="5">
        <v>59550</v>
      </c>
      <c r="D2931" s="5" t="e">
        <f>E2931-(#REF!+C2931)</f>
        <v>#REF!</v>
      </c>
      <c r="E2931" s="5">
        <v>93625</v>
      </c>
      <c r="K2931" s="22">
        <v>1594</v>
      </c>
      <c r="L2931" s="6">
        <v>1615</v>
      </c>
      <c r="M2931" s="125">
        <f t="shared" si="70"/>
        <v>21</v>
      </c>
      <c r="N2931" s="18"/>
      <c r="O2931" s="135"/>
      <c r="P2931" s="175">
        <v>13350</v>
      </c>
      <c r="Q2931" s="25">
        <v>0.1464</v>
      </c>
      <c r="U2931" s="384">
        <v>0.1</v>
      </c>
      <c r="W2931" s="285">
        <f t="shared" si="71"/>
        <v>2149.884</v>
      </c>
    </row>
    <row r="2932" spans="1:23" ht="15" customHeight="1">
      <c r="A2932" s="3">
        <v>40007</v>
      </c>
      <c r="B2932" s="9">
        <v>0</v>
      </c>
      <c r="C2932" s="5">
        <v>59575</v>
      </c>
      <c r="D2932" s="5" t="e">
        <f>E2932-(#REF!+C2932)</f>
        <v>#REF!</v>
      </c>
      <c r="E2932" s="5">
        <v>93450</v>
      </c>
      <c r="K2932" s="22">
        <v>1567</v>
      </c>
      <c r="L2932" s="6">
        <v>1595</v>
      </c>
      <c r="M2932" s="125">
        <f t="shared" si="70"/>
        <v>28</v>
      </c>
      <c r="N2932" s="18"/>
      <c r="O2932" s="135"/>
      <c r="P2932" s="175">
        <v>13350</v>
      </c>
      <c r="Q2932" s="25">
        <v>0.1464</v>
      </c>
      <c r="U2932" s="384">
        <v>0.1</v>
      </c>
      <c r="W2932" s="285">
        <f t="shared" si="71"/>
        <v>2149.884</v>
      </c>
    </row>
    <row r="2933" spans="1:23" ht="15" customHeight="1">
      <c r="A2933" s="3">
        <v>40008</v>
      </c>
      <c r="B2933" s="9">
        <v>0</v>
      </c>
      <c r="C2933" s="5">
        <v>59850</v>
      </c>
      <c r="D2933" s="5" t="e">
        <f>E2933-(#REF!+C2933)</f>
        <v>#REF!</v>
      </c>
      <c r="E2933" s="5">
        <v>93825</v>
      </c>
      <c r="K2933" s="22">
        <v>1569</v>
      </c>
      <c r="L2933" s="6">
        <v>1590</v>
      </c>
      <c r="M2933" s="125">
        <f t="shared" si="70"/>
        <v>21</v>
      </c>
      <c r="N2933" s="18"/>
      <c r="O2933" s="135"/>
      <c r="P2933" s="175">
        <v>13125</v>
      </c>
      <c r="Q2933" s="25">
        <v>0.1464</v>
      </c>
      <c r="U2933" s="384">
        <v>0.1</v>
      </c>
      <c r="W2933" s="285">
        <f t="shared" si="71"/>
        <v>2113.65</v>
      </c>
    </row>
    <row r="2934" spans="1:23" ht="15" customHeight="1">
      <c r="A2934" s="3">
        <v>40009</v>
      </c>
      <c r="B2934" s="9">
        <v>0</v>
      </c>
      <c r="C2934" s="5">
        <v>59600</v>
      </c>
      <c r="D2934" s="5" t="e">
        <f>E2934-(#REF!+C2934)</f>
        <v>#REF!</v>
      </c>
      <c r="E2934" s="5">
        <v>93625</v>
      </c>
      <c r="K2934" s="22">
        <v>1611</v>
      </c>
      <c r="L2934" s="6">
        <v>1635</v>
      </c>
      <c r="M2934" s="125">
        <f t="shared" si="70"/>
        <v>24</v>
      </c>
      <c r="N2934" s="18"/>
      <c r="O2934" s="135"/>
      <c r="P2934" s="175">
        <v>13125</v>
      </c>
      <c r="Q2934" s="25">
        <v>0.1464</v>
      </c>
      <c r="U2934" s="384">
        <v>0.1</v>
      </c>
      <c r="W2934" s="285">
        <f t="shared" si="71"/>
        <v>2113.65</v>
      </c>
    </row>
    <row r="2935" spans="1:23" ht="15" customHeight="1">
      <c r="A2935" s="3">
        <v>40010</v>
      </c>
      <c r="B2935" s="9">
        <v>0</v>
      </c>
      <c r="C2935" s="5">
        <v>60350</v>
      </c>
      <c r="D2935" s="5" t="e">
        <f>E2935-(#REF!+C2935)</f>
        <v>#REF!</v>
      </c>
      <c r="E2935" s="5">
        <v>94300</v>
      </c>
      <c r="K2935" s="22">
        <v>1600.5</v>
      </c>
      <c r="L2935" s="6">
        <v>1620</v>
      </c>
      <c r="M2935" s="125">
        <f t="shared" si="70"/>
        <v>19.5</v>
      </c>
      <c r="N2935" s="18"/>
      <c r="O2935" s="135"/>
      <c r="P2935" s="175">
        <v>13250</v>
      </c>
      <c r="Q2935" s="25">
        <v>0.1464</v>
      </c>
      <c r="U2935" s="384">
        <v>0.1</v>
      </c>
      <c r="W2935" s="285">
        <f t="shared" si="71"/>
        <v>2133.7800000000002</v>
      </c>
    </row>
    <row r="2936" spans="1:23" ht="15" customHeight="1">
      <c r="A2936" s="3">
        <v>40011</v>
      </c>
      <c r="B2936" s="9">
        <v>0</v>
      </c>
      <c r="C2936" s="5">
        <v>60450</v>
      </c>
      <c r="D2936" s="5" t="e">
        <f>E2936-(#REF!+C2936)</f>
        <v>#REF!</v>
      </c>
      <c r="E2936" s="5">
        <v>94650</v>
      </c>
      <c r="K2936" s="22">
        <v>1604</v>
      </c>
      <c r="L2936" s="6">
        <v>1623</v>
      </c>
      <c r="M2936" s="125">
        <f t="shared" si="70"/>
        <v>19</v>
      </c>
      <c r="N2936" s="18"/>
      <c r="O2936" s="135"/>
      <c r="P2936" s="175">
        <v>13200</v>
      </c>
      <c r="Q2936" s="25">
        <v>0.1464</v>
      </c>
      <c r="U2936" s="384">
        <v>0.1</v>
      </c>
      <c r="W2936" s="285">
        <f t="shared" si="71"/>
        <v>2125.7280000000001</v>
      </c>
    </row>
    <row r="2937" spans="1:23" ht="15" customHeight="1">
      <c r="A2937" s="3">
        <v>40014</v>
      </c>
      <c r="B2937" s="9">
        <v>0</v>
      </c>
      <c r="C2937" s="5">
        <v>60575</v>
      </c>
      <c r="D2937" s="5" t="e">
        <f>E2937-(#REF!+C2937)</f>
        <v>#REF!</v>
      </c>
      <c r="E2937" s="5">
        <v>94900</v>
      </c>
      <c r="K2937" s="22">
        <v>1699</v>
      </c>
      <c r="L2937" s="6">
        <v>1718.5</v>
      </c>
      <c r="M2937" s="125">
        <f t="shared" si="70"/>
        <v>19.5</v>
      </c>
      <c r="N2937" s="18"/>
      <c r="O2937" s="135"/>
      <c r="P2937" s="175">
        <v>13400</v>
      </c>
      <c r="Q2937" s="25">
        <v>0.1464</v>
      </c>
      <c r="U2937" s="384">
        <v>0.1</v>
      </c>
      <c r="W2937" s="285">
        <f t="shared" si="71"/>
        <v>2157.9360000000001</v>
      </c>
    </row>
    <row r="2938" spans="1:23" ht="15" customHeight="1">
      <c r="A2938" s="3">
        <v>40015</v>
      </c>
      <c r="B2938" s="9">
        <v>0</v>
      </c>
      <c r="C2938" s="5">
        <v>60725</v>
      </c>
      <c r="D2938" s="5" t="e">
        <f>E2938-(#REF!+C2938)</f>
        <v>#REF!</v>
      </c>
      <c r="E2938" s="5">
        <v>95050</v>
      </c>
      <c r="K2938" s="22">
        <v>1674.5</v>
      </c>
      <c r="L2938" s="6">
        <v>1698</v>
      </c>
      <c r="M2938" s="125">
        <f t="shared" si="70"/>
        <v>23.5</v>
      </c>
      <c r="N2938" s="18"/>
      <c r="O2938" s="135"/>
      <c r="P2938" s="175">
        <v>13450</v>
      </c>
      <c r="Q2938" s="25">
        <v>0.1464</v>
      </c>
      <c r="U2938" s="384">
        <v>0.1</v>
      </c>
      <c r="W2938" s="285">
        <f t="shared" si="71"/>
        <v>2165.9880000000003</v>
      </c>
    </row>
    <row r="2939" spans="1:23" ht="15" customHeight="1">
      <c r="A2939" s="3">
        <v>40016</v>
      </c>
      <c r="B2939" s="9">
        <v>0</v>
      </c>
      <c r="C2939" s="5">
        <v>60625</v>
      </c>
      <c r="D2939" s="5" t="e">
        <f>E2939-(#REF!+C2939)</f>
        <v>#REF!</v>
      </c>
      <c r="E2939" s="5">
        <v>94950</v>
      </c>
      <c r="K2939" s="22">
        <v>1658</v>
      </c>
      <c r="L2939" s="6">
        <v>1680</v>
      </c>
      <c r="M2939" s="125">
        <f t="shared" si="70"/>
        <v>22</v>
      </c>
      <c r="N2939" s="18"/>
      <c r="O2939" s="135"/>
      <c r="P2939" s="175">
        <v>13400</v>
      </c>
      <c r="Q2939" s="25">
        <v>0.1464</v>
      </c>
      <c r="U2939" s="384">
        <v>0.1</v>
      </c>
      <c r="W2939" s="285">
        <f t="shared" si="71"/>
        <v>2157.9360000000001</v>
      </c>
    </row>
    <row r="2940" spans="1:23" ht="15" customHeight="1">
      <c r="A2940" s="3">
        <v>40017</v>
      </c>
      <c r="B2940" s="9">
        <v>0</v>
      </c>
      <c r="C2940" s="5">
        <v>61075</v>
      </c>
      <c r="D2940" s="5" t="e">
        <f>E2940-(#REF!+C2940)</f>
        <v>#REF!</v>
      </c>
      <c r="E2940" s="5">
        <v>95425</v>
      </c>
      <c r="K2940" s="22">
        <v>1699</v>
      </c>
      <c r="L2940" s="6">
        <v>1720</v>
      </c>
      <c r="M2940" s="125">
        <f t="shared" si="70"/>
        <v>21</v>
      </c>
      <c r="N2940" s="18"/>
      <c r="O2940" s="135"/>
      <c r="P2940" s="175">
        <v>13400</v>
      </c>
      <c r="Q2940" s="25">
        <v>0.1464</v>
      </c>
      <c r="U2940" s="384">
        <v>0.1</v>
      </c>
      <c r="W2940" s="285">
        <f t="shared" si="71"/>
        <v>2157.9360000000001</v>
      </c>
    </row>
    <row r="2941" spans="1:23" ht="15" customHeight="1">
      <c r="A2941" s="3">
        <v>40018</v>
      </c>
      <c r="B2941" s="9">
        <v>0</v>
      </c>
      <c r="C2941" s="5">
        <v>61150</v>
      </c>
      <c r="D2941" s="5" t="e">
        <f>E2941-(#REF!+C2941)</f>
        <v>#REF!</v>
      </c>
      <c r="E2941" s="5">
        <v>95500</v>
      </c>
      <c r="K2941" s="22">
        <v>1739</v>
      </c>
      <c r="L2941" s="6">
        <v>1758</v>
      </c>
      <c r="M2941" s="125">
        <f t="shared" si="70"/>
        <v>19</v>
      </c>
      <c r="N2941" s="18"/>
      <c r="O2941" s="135"/>
      <c r="P2941" s="175">
        <v>13400</v>
      </c>
      <c r="Q2941" s="25">
        <v>0.1464</v>
      </c>
      <c r="U2941" s="384">
        <v>0.1</v>
      </c>
      <c r="W2941" s="285">
        <f t="shared" si="71"/>
        <v>2157.9360000000001</v>
      </c>
    </row>
    <row r="2942" spans="1:23" ht="15" customHeight="1">
      <c r="A2942" s="3">
        <v>40021</v>
      </c>
      <c r="B2942" s="9">
        <v>0</v>
      </c>
      <c r="C2942" s="5">
        <v>61050</v>
      </c>
      <c r="D2942" s="5" t="e">
        <f>E2942-(#REF!+C2942)</f>
        <v>#REF!</v>
      </c>
      <c r="E2942" s="5">
        <v>95650</v>
      </c>
      <c r="K2942" s="22">
        <v>1789</v>
      </c>
      <c r="L2942" s="6">
        <v>1799.5</v>
      </c>
      <c r="M2942" s="125">
        <f t="shared" si="70"/>
        <v>10.5</v>
      </c>
      <c r="N2942" s="18"/>
      <c r="O2942" s="135"/>
      <c r="P2942" s="175">
        <v>13450</v>
      </c>
      <c r="Q2942" s="25">
        <v>0.1464</v>
      </c>
      <c r="U2942" s="384">
        <v>0.1</v>
      </c>
      <c r="W2942" s="285">
        <f t="shared" si="71"/>
        <v>2165.9880000000003</v>
      </c>
    </row>
    <row r="2943" spans="1:23" ht="15" customHeight="1">
      <c r="A2943" s="3">
        <v>40022</v>
      </c>
      <c r="B2943" s="9">
        <v>0</v>
      </c>
      <c r="C2943" s="5">
        <v>63675</v>
      </c>
      <c r="D2943" s="5" t="e">
        <f>E2943-(#REF!+C2943)</f>
        <v>#REF!</v>
      </c>
      <c r="E2943" s="5">
        <v>98550</v>
      </c>
      <c r="K2943" s="22">
        <v>1774</v>
      </c>
      <c r="L2943" s="6">
        <v>1795</v>
      </c>
      <c r="M2943" s="125">
        <f t="shared" si="70"/>
        <v>21</v>
      </c>
      <c r="N2943" s="18"/>
      <c r="O2943" s="135"/>
      <c r="P2943" s="175">
        <v>13600</v>
      </c>
      <c r="Q2943" s="25">
        <v>0.1464</v>
      </c>
      <c r="U2943" s="384">
        <v>0.1</v>
      </c>
      <c r="W2943" s="285">
        <f t="shared" si="71"/>
        <v>2190.1440000000002</v>
      </c>
    </row>
    <row r="2944" spans="1:23" ht="15" customHeight="1">
      <c r="A2944" s="3">
        <v>40023</v>
      </c>
      <c r="B2944" s="9">
        <v>0</v>
      </c>
      <c r="C2944" s="5">
        <v>66225</v>
      </c>
      <c r="D2944" s="5" t="e">
        <f>E2944-(#REF!+C2944)</f>
        <v>#REF!</v>
      </c>
      <c r="E2944" s="5">
        <v>101050</v>
      </c>
      <c r="K2944" s="22">
        <v>1732.5</v>
      </c>
      <c r="L2944" s="6">
        <v>1757</v>
      </c>
      <c r="M2944" s="125">
        <f t="shared" si="70"/>
        <v>24.5</v>
      </c>
      <c r="N2944" s="18"/>
      <c r="O2944" s="135"/>
      <c r="P2944" s="175">
        <v>13500</v>
      </c>
      <c r="Q2944" s="25">
        <v>0.1464</v>
      </c>
      <c r="U2944" s="384">
        <v>0.1</v>
      </c>
      <c r="W2944" s="285">
        <f t="shared" si="71"/>
        <v>2174.0400000000004</v>
      </c>
    </row>
    <row r="2945" spans="1:23" ht="15" customHeight="1">
      <c r="A2945" s="3">
        <v>40024</v>
      </c>
      <c r="B2945" s="9">
        <v>0</v>
      </c>
      <c r="C2945" s="5">
        <v>69150</v>
      </c>
      <c r="D2945" s="5" t="e">
        <f>E2945-(#REF!+C2945)</f>
        <v>#REF!</v>
      </c>
      <c r="E2945" s="5">
        <v>104950</v>
      </c>
      <c r="K2945" s="22">
        <v>1774.5</v>
      </c>
      <c r="L2945" s="6">
        <v>1795</v>
      </c>
      <c r="M2945" s="125">
        <f t="shared" si="70"/>
        <v>20.5</v>
      </c>
      <c r="N2945" s="18"/>
      <c r="O2945" s="135"/>
      <c r="P2945" s="175">
        <v>13400</v>
      </c>
      <c r="Q2945" s="25">
        <v>0.1464</v>
      </c>
      <c r="U2945" s="384">
        <v>0.1</v>
      </c>
      <c r="W2945" s="285">
        <f t="shared" si="71"/>
        <v>2157.9360000000001</v>
      </c>
    </row>
    <row r="2946" spans="1:23" ht="15" customHeight="1" thickBot="1">
      <c r="A2946" s="11">
        <v>40025</v>
      </c>
      <c r="B2946" s="9">
        <v>0</v>
      </c>
      <c r="C2946" s="13">
        <v>71775</v>
      </c>
      <c r="D2946" s="13" t="e">
        <f>E2946-(#REF!+C2946)</f>
        <v>#REF!</v>
      </c>
      <c r="E2946" s="13">
        <v>107575</v>
      </c>
      <c r="F2946" s="12"/>
      <c r="G2946" s="13"/>
      <c r="H2946" s="13"/>
      <c r="I2946" s="119"/>
      <c r="J2946" s="119"/>
      <c r="K2946" s="23">
        <v>1842.5</v>
      </c>
      <c r="L2946" s="14">
        <v>1862</v>
      </c>
      <c r="M2946" s="126">
        <f t="shared" si="70"/>
        <v>19.5</v>
      </c>
      <c r="N2946" s="84">
        <f>AVERAGE(K2924:K2946)</f>
        <v>1678.608695652174</v>
      </c>
      <c r="O2946" s="141">
        <f>AVERAGE(K2796:K2946)</f>
        <v>1384.5238095238096</v>
      </c>
      <c r="P2946" s="176">
        <v>13500</v>
      </c>
      <c r="Q2946" s="27">
        <v>0.1464</v>
      </c>
      <c r="R2946" s="27"/>
      <c r="S2946" s="27"/>
      <c r="T2946" s="27"/>
      <c r="U2946" s="385">
        <v>0.1</v>
      </c>
      <c r="V2946" s="38">
        <f>AVERAGE(P2924:P2946)</f>
        <v>13403.260869565218</v>
      </c>
      <c r="W2946" s="285">
        <f t="shared" si="71"/>
        <v>2174.0400000000004</v>
      </c>
    </row>
    <row r="2947" spans="1:23" ht="15" customHeight="1">
      <c r="A2947" s="3">
        <v>40028</v>
      </c>
      <c r="B2947" s="9">
        <v>0</v>
      </c>
      <c r="C2947" s="5">
        <v>71500</v>
      </c>
      <c r="D2947" s="5" t="e">
        <f>E2947-(#REF!+C2947)</f>
        <v>#REF!</v>
      </c>
      <c r="E2947" s="5">
        <v>107300</v>
      </c>
      <c r="K2947" s="22">
        <v>1949</v>
      </c>
      <c r="L2947" s="6">
        <v>1954</v>
      </c>
      <c r="M2947" s="125">
        <f t="shared" si="70"/>
        <v>5</v>
      </c>
      <c r="N2947" s="20"/>
      <c r="O2947" s="138"/>
      <c r="P2947" s="175">
        <v>13800</v>
      </c>
      <c r="Q2947" s="25">
        <v>0.1464</v>
      </c>
      <c r="U2947" s="384">
        <v>0.1</v>
      </c>
      <c r="W2947" s="285">
        <f t="shared" si="71"/>
        <v>2222.3520000000003</v>
      </c>
    </row>
    <row r="2948" spans="1:23" ht="15" customHeight="1">
      <c r="A2948" s="3">
        <v>40029</v>
      </c>
      <c r="B2948" s="9">
        <v>0</v>
      </c>
      <c r="C2948" s="5">
        <v>74500</v>
      </c>
      <c r="D2948" s="5" t="e">
        <f>E2948-(#REF!+C2948)</f>
        <v>#REF!</v>
      </c>
      <c r="E2948" s="5">
        <v>110550</v>
      </c>
      <c r="K2948" s="22">
        <v>1894</v>
      </c>
      <c r="L2948" s="6">
        <v>1905.5</v>
      </c>
      <c r="M2948" s="125">
        <f t="shared" si="70"/>
        <v>11.5</v>
      </c>
      <c r="N2948" s="18"/>
      <c r="O2948" s="135"/>
      <c r="P2948" s="175">
        <v>13950</v>
      </c>
      <c r="Q2948" s="25">
        <v>0.1464</v>
      </c>
      <c r="U2948" s="384">
        <v>0.1</v>
      </c>
      <c r="W2948" s="285">
        <f t="shared" si="71"/>
        <v>2246.5080000000003</v>
      </c>
    </row>
    <row r="2949" spans="1:23" ht="15" customHeight="1">
      <c r="A2949" s="3">
        <v>40030</v>
      </c>
      <c r="B2949" s="9">
        <v>0</v>
      </c>
      <c r="C2949" s="5">
        <v>74625</v>
      </c>
      <c r="D2949" s="5" t="e">
        <f>E2949-(#REF!+C2949)</f>
        <v>#REF!</v>
      </c>
      <c r="E2949" s="5">
        <v>112800</v>
      </c>
      <c r="K2949" s="22">
        <v>1930.5</v>
      </c>
      <c r="L2949" s="6">
        <v>1936</v>
      </c>
      <c r="M2949" s="125">
        <f t="shared" si="70"/>
        <v>5.5</v>
      </c>
      <c r="N2949" s="18"/>
      <c r="O2949" s="135"/>
      <c r="P2949" s="175">
        <v>13950</v>
      </c>
      <c r="Q2949" s="25">
        <v>0.1464</v>
      </c>
      <c r="U2949" s="384">
        <v>0.1</v>
      </c>
      <c r="W2949" s="285">
        <f t="shared" si="71"/>
        <v>2246.5080000000003</v>
      </c>
    </row>
    <row r="2950" spans="1:23" ht="15" customHeight="1">
      <c r="A2950" s="3">
        <v>40031</v>
      </c>
      <c r="B2950" s="9">
        <v>0</v>
      </c>
      <c r="C2950" s="5">
        <v>75950</v>
      </c>
      <c r="D2950" s="5" t="e">
        <f>E2950-(#REF!+C2950)</f>
        <v>#REF!</v>
      </c>
      <c r="E2950" s="5">
        <v>114125</v>
      </c>
      <c r="K2950" s="22">
        <v>1897</v>
      </c>
      <c r="L2950" s="6">
        <v>1915</v>
      </c>
      <c r="M2950" s="125">
        <f t="shared" si="70"/>
        <v>18</v>
      </c>
      <c r="N2950" s="18"/>
      <c r="O2950" s="135"/>
      <c r="P2950" s="175">
        <v>13950</v>
      </c>
      <c r="Q2950" s="25">
        <v>0.1464</v>
      </c>
      <c r="U2950" s="384">
        <v>0.1</v>
      </c>
      <c r="W2950" s="285">
        <f t="shared" si="71"/>
        <v>2246.5080000000003</v>
      </c>
    </row>
    <row r="2951" spans="1:23" ht="15" customHeight="1">
      <c r="A2951" s="3">
        <v>40032</v>
      </c>
      <c r="B2951" s="9">
        <v>0</v>
      </c>
      <c r="C2951" s="5">
        <v>75725</v>
      </c>
      <c r="D2951" s="5" t="e">
        <f>E2951-(#REF!+C2951)</f>
        <v>#REF!</v>
      </c>
      <c r="E2951" s="5">
        <v>114050</v>
      </c>
      <c r="K2951" s="22">
        <v>1815.5</v>
      </c>
      <c r="L2951" s="6">
        <v>1835</v>
      </c>
      <c r="M2951" s="125">
        <f t="shared" si="70"/>
        <v>19.5</v>
      </c>
      <c r="N2951" s="18"/>
      <c r="O2951" s="135"/>
      <c r="P2951" s="175">
        <v>13900</v>
      </c>
      <c r="Q2951" s="25">
        <v>0.1464</v>
      </c>
      <c r="U2951" s="384">
        <v>0.1</v>
      </c>
      <c r="W2951" s="285">
        <f t="shared" si="71"/>
        <v>2238.4560000000001</v>
      </c>
    </row>
    <row r="2952" spans="1:23" ht="15" customHeight="1">
      <c r="A2952" s="3">
        <v>40035</v>
      </c>
      <c r="B2952" s="9">
        <v>50</v>
      </c>
      <c r="C2952" s="5">
        <v>75875</v>
      </c>
      <c r="D2952" s="5" t="e">
        <f>E2952-(#REF!+C2952)</f>
        <v>#REF!</v>
      </c>
      <c r="E2952" s="5">
        <v>114275</v>
      </c>
      <c r="K2952" s="22">
        <v>1891</v>
      </c>
      <c r="L2952" s="6">
        <v>1909</v>
      </c>
      <c r="M2952" s="125">
        <f t="shared" si="70"/>
        <v>18</v>
      </c>
      <c r="N2952" s="18"/>
      <c r="O2952" s="135"/>
      <c r="P2952" s="175">
        <v>13900</v>
      </c>
      <c r="Q2952" s="25">
        <v>0.1464</v>
      </c>
      <c r="U2952" s="384">
        <v>0.1</v>
      </c>
      <c r="W2952" s="285">
        <f t="shared" si="71"/>
        <v>2238.4560000000001</v>
      </c>
    </row>
    <row r="2953" spans="1:23" ht="15" customHeight="1">
      <c r="A2953" s="3">
        <v>40036</v>
      </c>
      <c r="B2953" s="9">
        <v>50</v>
      </c>
      <c r="C2953" s="5">
        <v>75775</v>
      </c>
      <c r="D2953" s="5" t="e">
        <f>E2953-(#REF!+C2953)</f>
        <v>#REF!</v>
      </c>
      <c r="E2953" s="5">
        <v>114175</v>
      </c>
      <c r="K2953" s="22">
        <v>1825</v>
      </c>
      <c r="L2953" s="6">
        <v>1830.5</v>
      </c>
      <c r="M2953" s="125">
        <f t="shared" si="70"/>
        <v>5.5</v>
      </c>
      <c r="N2953" s="18"/>
      <c r="O2953" s="135"/>
      <c r="P2953" s="175">
        <v>13750</v>
      </c>
      <c r="Q2953" s="25">
        <v>0.14630000000000001</v>
      </c>
      <c r="U2953" s="384">
        <v>0.1</v>
      </c>
      <c r="W2953" s="285">
        <f t="shared" si="71"/>
        <v>2212.7875000000004</v>
      </c>
    </row>
    <row r="2954" spans="1:23" ht="15" customHeight="1">
      <c r="A2954" s="3">
        <v>40037</v>
      </c>
      <c r="B2954" s="9">
        <v>75</v>
      </c>
      <c r="C2954" s="5">
        <v>75875</v>
      </c>
      <c r="D2954" s="5" t="e">
        <f>E2954-(#REF!+C2954)</f>
        <v>#REF!</v>
      </c>
      <c r="E2954" s="5">
        <v>114300</v>
      </c>
      <c r="K2954" s="22">
        <v>1775</v>
      </c>
      <c r="L2954" s="6">
        <v>1805</v>
      </c>
      <c r="M2954" s="125">
        <f t="shared" si="70"/>
        <v>30</v>
      </c>
      <c r="N2954" s="18"/>
      <c r="O2954" s="135"/>
      <c r="P2954" s="175">
        <v>13600</v>
      </c>
      <c r="Q2954" s="25">
        <v>0.14630000000000001</v>
      </c>
      <c r="U2954" s="384">
        <v>0.1</v>
      </c>
      <c r="W2954" s="285">
        <f t="shared" si="71"/>
        <v>2188.6480000000006</v>
      </c>
    </row>
    <row r="2955" spans="1:23" ht="15" customHeight="1">
      <c r="A2955" s="3">
        <v>40038</v>
      </c>
      <c r="B2955" s="9">
        <v>75</v>
      </c>
      <c r="C2955" s="5">
        <v>76275</v>
      </c>
      <c r="D2955" s="5" t="e">
        <f>E2955-(#REF!+C2955)</f>
        <v>#REF!</v>
      </c>
      <c r="E2955" s="5">
        <v>114700</v>
      </c>
      <c r="K2955" s="22">
        <v>1886.5</v>
      </c>
      <c r="L2955" s="6">
        <v>1908</v>
      </c>
      <c r="M2955" s="125">
        <f t="shared" si="70"/>
        <v>21.5</v>
      </c>
      <c r="N2955" s="18"/>
      <c r="O2955" s="135"/>
      <c r="P2955" s="175">
        <v>13600</v>
      </c>
      <c r="Q2955" s="25">
        <v>0.14630000000000001</v>
      </c>
      <c r="U2955" s="384">
        <v>0.1</v>
      </c>
      <c r="W2955" s="285">
        <f t="shared" si="71"/>
        <v>2188.6480000000006</v>
      </c>
    </row>
    <row r="2956" spans="1:23" ht="15" customHeight="1">
      <c r="A2956" s="3">
        <v>40039</v>
      </c>
      <c r="B2956" s="9">
        <v>75</v>
      </c>
      <c r="C2956" s="5">
        <v>76375</v>
      </c>
      <c r="D2956" s="5" t="e">
        <f>E2956-(#REF!+C2956)</f>
        <v>#REF!</v>
      </c>
      <c r="E2956" s="5">
        <v>115800</v>
      </c>
      <c r="K2956" s="22">
        <v>1905</v>
      </c>
      <c r="L2956" s="6">
        <v>1918</v>
      </c>
      <c r="M2956" s="125">
        <f t="shared" si="70"/>
        <v>13</v>
      </c>
      <c r="N2956" s="18"/>
      <c r="O2956" s="135"/>
      <c r="P2956" s="175">
        <v>13750</v>
      </c>
      <c r="Q2956" s="25">
        <v>0.14630000000000001</v>
      </c>
      <c r="U2956" s="384">
        <v>0.1</v>
      </c>
      <c r="W2956" s="285">
        <f t="shared" si="71"/>
        <v>2212.7875000000004</v>
      </c>
    </row>
    <row r="2957" spans="1:23" ht="15" customHeight="1">
      <c r="A2957" s="3">
        <v>40042</v>
      </c>
      <c r="B2957" s="9">
        <v>75</v>
      </c>
      <c r="C2957" s="5">
        <v>77075</v>
      </c>
      <c r="D2957" s="5" t="e">
        <f>E2957-(#REF!+C2957)</f>
        <v>#REF!</v>
      </c>
      <c r="E2957" s="5">
        <v>116600</v>
      </c>
      <c r="K2957" s="22">
        <v>1785.5</v>
      </c>
      <c r="L2957" s="6">
        <v>1800.5</v>
      </c>
      <c r="M2957" s="125">
        <f t="shared" si="70"/>
        <v>15</v>
      </c>
      <c r="N2957" s="18"/>
      <c r="O2957" s="135"/>
      <c r="P2957" s="175">
        <v>13550</v>
      </c>
      <c r="Q2957" s="25">
        <v>0.14630000000000001</v>
      </c>
      <c r="U2957" s="384">
        <v>0.1</v>
      </c>
      <c r="W2957" s="285">
        <f t="shared" si="71"/>
        <v>2180.6015000000002</v>
      </c>
    </row>
    <row r="2958" spans="1:23" ht="15" customHeight="1">
      <c r="A2958" s="3">
        <v>40043</v>
      </c>
      <c r="B2958" s="9">
        <v>75</v>
      </c>
      <c r="C2958" s="5">
        <v>77175</v>
      </c>
      <c r="D2958" s="5" t="e">
        <f>E2958-(#REF!+C2958)</f>
        <v>#REF!</v>
      </c>
      <c r="E2958" s="5">
        <v>116700</v>
      </c>
      <c r="K2958" s="22">
        <v>1825</v>
      </c>
      <c r="L2958" s="6">
        <v>1840</v>
      </c>
      <c r="M2958" s="125">
        <f t="shared" si="70"/>
        <v>15</v>
      </c>
      <c r="N2958" s="18"/>
      <c r="O2958" s="135"/>
      <c r="P2958" s="175">
        <v>13500</v>
      </c>
      <c r="Q2958" s="25">
        <v>0.14630000000000001</v>
      </c>
      <c r="U2958" s="384">
        <v>0.1</v>
      </c>
      <c r="W2958" s="285">
        <f t="shared" si="71"/>
        <v>2172.5550000000003</v>
      </c>
    </row>
    <row r="2959" spans="1:23" ht="15" customHeight="1">
      <c r="A2959" s="3">
        <v>40044</v>
      </c>
      <c r="B2959" s="9">
        <v>75</v>
      </c>
      <c r="C2959" s="5">
        <v>77625</v>
      </c>
      <c r="D2959" s="5" t="e">
        <f>E2959-(#REF!+C2959)</f>
        <v>#REF!</v>
      </c>
      <c r="E2959" s="5">
        <v>117150</v>
      </c>
      <c r="K2959" s="22">
        <v>1790</v>
      </c>
      <c r="L2959" s="6">
        <v>1805</v>
      </c>
      <c r="M2959" s="125">
        <f t="shared" si="70"/>
        <v>15</v>
      </c>
      <c r="N2959" s="18"/>
      <c r="O2959" s="135"/>
      <c r="P2959" s="175">
        <v>13500</v>
      </c>
      <c r="Q2959" s="25">
        <v>0.14630000000000001</v>
      </c>
      <c r="U2959" s="384">
        <v>0.1</v>
      </c>
      <c r="W2959" s="285">
        <f t="shared" si="71"/>
        <v>2172.5550000000003</v>
      </c>
    </row>
    <row r="2960" spans="1:23" ht="15" customHeight="1">
      <c r="A2960" s="3">
        <v>40045</v>
      </c>
      <c r="B2960" s="9">
        <v>75</v>
      </c>
      <c r="C2960" s="5">
        <v>78425</v>
      </c>
      <c r="D2960" s="5" t="e">
        <f>E2960-(#REF!+C2960)</f>
        <v>#REF!</v>
      </c>
      <c r="E2960" s="5">
        <v>117925</v>
      </c>
      <c r="K2960" s="22">
        <v>1821</v>
      </c>
      <c r="L2960" s="6">
        <v>1846</v>
      </c>
      <c r="M2960" s="125">
        <f t="shared" si="70"/>
        <v>25</v>
      </c>
      <c r="N2960" s="18"/>
      <c r="O2960" s="135"/>
      <c r="P2960" s="175">
        <v>13500</v>
      </c>
      <c r="Q2960" s="25">
        <v>0.14630000000000001</v>
      </c>
      <c r="U2960" s="384">
        <v>0.1</v>
      </c>
      <c r="W2960" s="285">
        <f t="shared" si="71"/>
        <v>2172.5550000000003</v>
      </c>
    </row>
    <row r="2961" spans="1:23" ht="15" customHeight="1">
      <c r="A2961" s="3">
        <v>40046</v>
      </c>
      <c r="B2961" s="9">
        <v>75</v>
      </c>
      <c r="C2961" s="5">
        <v>78700</v>
      </c>
      <c r="D2961" s="5" t="e">
        <f>E2961-(#REF!+C2961)</f>
        <v>#REF!</v>
      </c>
      <c r="E2961" s="5">
        <v>118200</v>
      </c>
      <c r="K2961" s="22">
        <v>1845</v>
      </c>
      <c r="L2961" s="6">
        <v>1870</v>
      </c>
      <c r="M2961" s="125">
        <f t="shared" si="70"/>
        <v>25</v>
      </c>
      <c r="N2961" s="18"/>
      <c r="O2961" s="135"/>
      <c r="P2961" s="175">
        <v>13500</v>
      </c>
      <c r="Q2961" s="25">
        <v>0.1464</v>
      </c>
      <c r="U2961" s="384">
        <v>0.1</v>
      </c>
      <c r="W2961" s="285">
        <f t="shared" si="71"/>
        <v>2174.0400000000004</v>
      </c>
    </row>
    <row r="2962" spans="1:23" ht="15" customHeight="1">
      <c r="A2962" s="3">
        <v>40049</v>
      </c>
      <c r="B2962" s="9">
        <v>75</v>
      </c>
      <c r="C2962" s="5">
        <v>79425</v>
      </c>
      <c r="D2962" s="5" t="e">
        <f>E2962-(#REF!+C2962)</f>
        <v>#REF!</v>
      </c>
      <c r="E2962" s="5">
        <v>118925</v>
      </c>
      <c r="K2962" s="22">
        <v>1945.5</v>
      </c>
      <c r="L2962" s="6">
        <v>1963</v>
      </c>
      <c r="M2962" s="125">
        <f t="shared" si="70"/>
        <v>17.5</v>
      </c>
      <c r="N2962" s="18"/>
      <c r="O2962" s="135"/>
      <c r="P2962" s="175">
        <v>13700</v>
      </c>
      <c r="Q2962" s="25">
        <v>0.1464</v>
      </c>
      <c r="U2962" s="384">
        <v>0.1</v>
      </c>
      <c r="W2962" s="285">
        <f t="shared" si="71"/>
        <v>2206.248</v>
      </c>
    </row>
    <row r="2963" spans="1:23" ht="15" customHeight="1">
      <c r="A2963" s="3">
        <v>40050</v>
      </c>
      <c r="B2963" s="9">
        <v>75</v>
      </c>
      <c r="C2963" s="5">
        <v>79500</v>
      </c>
      <c r="D2963" s="5" t="e">
        <f>E2963-(#REF!+C2963)</f>
        <v>#REF!</v>
      </c>
      <c r="E2963" s="5">
        <v>119000</v>
      </c>
      <c r="K2963" s="22">
        <v>2006</v>
      </c>
      <c r="L2963" s="6">
        <v>2025</v>
      </c>
      <c r="M2963" s="125">
        <f t="shared" ref="M2963:M3026" si="72">L2963-K2963</f>
        <v>19</v>
      </c>
      <c r="N2963" s="18"/>
      <c r="O2963" s="135"/>
      <c r="P2963" s="175">
        <v>14100</v>
      </c>
      <c r="Q2963" s="25">
        <v>0.1464</v>
      </c>
      <c r="U2963" s="384">
        <v>0.1</v>
      </c>
      <c r="W2963" s="285">
        <f t="shared" si="71"/>
        <v>2270.6640000000007</v>
      </c>
    </row>
    <row r="2964" spans="1:23" ht="15" customHeight="1">
      <c r="A2964" s="3">
        <v>40051</v>
      </c>
      <c r="B2964" s="9">
        <v>50</v>
      </c>
      <c r="C2964" s="5">
        <v>79575</v>
      </c>
      <c r="D2964" s="5" t="e">
        <f>E2964-(#REF!+C2964)</f>
        <v>#REF!</v>
      </c>
      <c r="E2964" s="5">
        <v>119150</v>
      </c>
      <c r="K2964" s="22">
        <v>2077</v>
      </c>
      <c r="L2964" s="6">
        <v>2086</v>
      </c>
      <c r="M2964" s="125">
        <f t="shared" si="72"/>
        <v>9</v>
      </c>
      <c r="N2964" s="18"/>
      <c r="O2964" s="135"/>
      <c r="P2964" s="175">
        <v>14400</v>
      </c>
      <c r="Q2964" s="25">
        <v>0.1464</v>
      </c>
      <c r="U2964" s="384">
        <v>0.1</v>
      </c>
      <c r="W2964" s="285">
        <f t="shared" si="71"/>
        <v>2318.9760000000001</v>
      </c>
    </row>
    <row r="2965" spans="1:23" ht="15" customHeight="1">
      <c r="A2965" s="3">
        <v>40052</v>
      </c>
      <c r="B2965" s="9">
        <v>50</v>
      </c>
      <c r="C2965" s="5">
        <v>71200</v>
      </c>
      <c r="D2965" s="5" t="e">
        <f>E2965-(#REF!+C2965)</f>
        <v>#REF!</v>
      </c>
      <c r="E2965" s="5">
        <v>120775</v>
      </c>
      <c r="K2965" s="22">
        <v>2020.5</v>
      </c>
      <c r="L2965" s="6">
        <v>2036</v>
      </c>
      <c r="M2965" s="125">
        <f t="shared" si="72"/>
        <v>15.5</v>
      </c>
      <c r="N2965" s="18"/>
      <c r="O2965" s="135"/>
      <c r="P2965" s="175">
        <v>14900</v>
      </c>
      <c r="Q2965" s="25">
        <v>0.1464</v>
      </c>
      <c r="U2965" s="384">
        <v>0.1</v>
      </c>
      <c r="W2965" s="285">
        <f t="shared" si="71"/>
        <v>2399.4960000000005</v>
      </c>
    </row>
    <row r="2966" spans="1:23" ht="15" customHeight="1" thickBot="1">
      <c r="A2966" s="11">
        <v>40053</v>
      </c>
      <c r="B2966" s="9">
        <v>50</v>
      </c>
      <c r="C2966" s="13">
        <v>71375</v>
      </c>
      <c r="D2966" s="13" t="e">
        <f>E2966-(#REF!+C2966)</f>
        <v>#REF!</v>
      </c>
      <c r="E2966" s="13">
        <v>120950</v>
      </c>
      <c r="F2966" s="12"/>
      <c r="G2966" s="13"/>
      <c r="H2966" s="13"/>
      <c r="I2966" s="119"/>
      <c r="J2966" s="119"/>
      <c r="K2966" s="23">
        <v>2118</v>
      </c>
      <c r="L2966" s="14">
        <v>2127</v>
      </c>
      <c r="M2966" s="126">
        <f t="shared" si="72"/>
        <v>9</v>
      </c>
      <c r="N2966" s="84">
        <f>AVERAGE(K2947:K2966)</f>
        <v>1900.1</v>
      </c>
      <c r="O2966" s="141">
        <f>AVERAGE(K2796:K2966)</f>
        <v>1446.2694610778442</v>
      </c>
      <c r="P2966" s="176">
        <v>14900</v>
      </c>
      <c r="Q2966" s="27">
        <v>0.1464</v>
      </c>
      <c r="R2966" s="27"/>
      <c r="S2966" s="27"/>
      <c r="T2966" s="27"/>
      <c r="U2966" s="385">
        <v>0.1</v>
      </c>
      <c r="V2966" s="38">
        <f>AVERAGE(P2947:P2966)</f>
        <v>13885</v>
      </c>
      <c r="W2966" s="285">
        <f t="shared" si="71"/>
        <v>2399.4960000000005</v>
      </c>
    </row>
    <row r="2967" spans="1:23" ht="15" customHeight="1">
      <c r="A2967" s="3">
        <v>40057</v>
      </c>
      <c r="B2967" s="9">
        <v>0</v>
      </c>
      <c r="C2967" s="5">
        <v>71400</v>
      </c>
      <c r="D2967" s="5" t="e">
        <f>E2967-(#REF!+C2967)</f>
        <v>#REF!</v>
      </c>
      <c r="E2967" s="5">
        <v>121225</v>
      </c>
      <c r="K2967" s="22">
        <v>2072</v>
      </c>
      <c r="L2967" s="6">
        <v>2081</v>
      </c>
      <c r="M2967" s="125">
        <f t="shared" si="72"/>
        <v>9</v>
      </c>
      <c r="N2967" s="20"/>
      <c r="O2967" s="138"/>
      <c r="P2967" s="175">
        <v>15100</v>
      </c>
      <c r="Q2967" s="25">
        <v>0.1464</v>
      </c>
      <c r="U2967" s="384">
        <v>0.1</v>
      </c>
      <c r="W2967" s="285">
        <f t="shared" si="71"/>
        <v>2431.7040000000002</v>
      </c>
    </row>
    <row r="2968" spans="1:23" ht="15" customHeight="1">
      <c r="A2968" s="3">
        <v>40058</v>
      </c>
      <c r="B2968" s="9">
        <v>0</v>
      </c>
      <c r="C2968" s="5">
        <v>71400</v>
      </c>
      <c r="D2968" s="5" t="e">
        <f>E2968-(#REF!+C2968)</f>
        <v>#REF!</v>
      </c>
      <c r="E2968" s="5">
        <v>121200</v>
      </c>
      <c r="K2968" s="22">
        <v>2060</v>
      </c>
      <c r="L2968" s="6">
        <v>2078</v>
      </c>
      <c r="M2968" s="125">
        <f t="shared" si="72"/>
        <v>18</v>
      </c>
      <c r="N2968" s="18"/>
      <c r="O2968" s="135"/>
      <c r="P2968" s="175">
        <v>15100</v>
      </c>
      <c r="Q2968" s="25">
        <v>0.1464</v>
      </c>
      <c r="U2968" s="384">
        <v>0.1</v>
      </c>
      <c r="W2968" s="285">
        <f t="shared" si="71"/>
        <v>2431.7040000000002</v>
      </c>
    </row>
    <row r="2969" spans="1:23" ht="15" customHeight="1">
      <c r="A2969" s="3">
        <v>40059</v>
      </c>
      <c r="B2969" s="9">
        <v>0</v>
      </c>
      <c r="C2969" s="5">
        <v>71775</v>
      </c>
      <c r="D2969" s="5" t="e">
        <f>E2969-(#REF!+C2969)</f>
        <v>#REF!</v>
      </c>
      <c r="E2969" s="5">
        <v>121575</v>
      </c>
      <c r="K2969" s="22">
        <v>2224</v>
      </c>
      <c r="L2969" s="6">
        <v>2230</v>
      </c>
      <c r="M2969" s="125">
        <f t="shared" si="72"/>
        <v>6</v>
      </c>
      <c r="N2969" s="18"/>
      <c r="O2969" s="135"/>
      <c r="P2969" s="175">
        <v>15000</v>
      </c>
      <c r="Q2969" s="25">
        <v>0.1464</v>
      </c>
      <c r="U2969" s="384">
        <v>0.1</v>
      </c>
      <c r="W2969" s="285">
        <f t="shared" si="71"/>
        <v>2415.6000000000004</v>
      </c>
    </row>
    <row r="2970" spans="1:23" ht="15" customHeight="1">
      <c r="A2970" s="3">
        <v>40060</v>
      </c>
      <c r="B2970" s="9">
        <v>0</v>
      </c>
      <c r="C2970" s="5">
        <v>71675</v>
      </c>
      <c r="D2970" s="5" t="e">
        <f>E2970-(#REF!+C2970)</f>
        <v>#REF!</v>
      </c>
      <c r="E2970" s="5">
        <v>121475</v>
      </c>
      <c r="K2970" s="22">
        <v>2255</v>
      </c>
      <c r="L2970" s="6">
        <v>2265</v>
      </c>
      <c r="M2970" s="125">
        <f t="shared" si="72"/>
        <v>10</v>
      </c>
      <c r="N2970" s="7"/>
      <c r="O2970" s="135"/>
      <c r="P2970" s="175">
        <v>15800</v>
      </c>
      <c r="Q2970" s="25">
        <v>0.1464</v>
      </c>
      <c r="U2970" s="384">
        <v>0.1</v>
      </c>
      <c r="W2970" s="285">
        <f t="shared" si="71"/>
        <v>2544.4320000000002</v>
      </c>
    </row>
    <row r="2971" spans="1:23" ht="15" customHeight="1">
      <c r="A2971" s="3">
        <v>40063</v>
      </c>
      <c r="B2971" s="9">
        <v>0</v>
      </c>
      <c r="C2971" s="5">
        <v>71925</v>
      </c>
      <c r="D2971" s="5" t="e">
        <f>E2971-(#REF!+C2971)</f>
        <v>#REF!</v>
      </c>
      <c r="E2971" s="5">
        <v>121725</v>
      </c>
      <c r="K2971" s="22">
        <v>2352.5</v>
      </c>
      <c r="L2971" s="6">
        <v>2366</v>
      </c>
      <c r="M2971" s="125">
        <f t="shared" si="72"/>
        <v>13.5</v>
      </c>
      <c r="N2971" s="18"/>
      <c r="O2971" s="135"/>
      <c r="P2971" s="175">
        <v>16000</v>
      </c>
      <c r="Q2971" s="25">
        <v>0.1464</v>
      </c>
      <c r="U2971" s="384">
        <v>0.1</v>
      </c>
      <c r="W2971" s="285">
        <f t="shared" si="71"/>
        <v>2576.6400000000003</v>
      </c>
    </row>
    <row r="2972" spans="1:23" ht="15" customHeight="1">
      <c r="A2972" s="3">
        <v>40064</v>
      </c>
      <c r="B2972" s="9">
        <v>50</v>
      </c>
      <c r="C2972" s="5">
        <v>71925</v>
      </c>
      <c r="D2972" s="5" t="e">
        <f>E2972-(#REF!+C2972)</f>
        <v>#REF!</v>
      </c>
      <c r="E2972" s="5">
        <v>121775</v>
      </c>
      <c r="K2972" s="22">
        <v>2447.5</v>
      </c>
      <c r="L2972" s="6">
        <v>2460</v>
      </c>
      <c r="M2972" s="125">
        <f t="shared" si="72"/>
        <v>12.5</v>
      </c>
      <c r="N2972" s="18"/>
      <c r="O2972" s="135"/>
      <c r="P2972" s="175">
        <v>16100</v>
      </c>
      <c r="Q2972" s="25">
        <v>0.1464</v>
      </c>
      <c r="U2972" s="384">
        <v>0.1</v>
      </c>
      <c r="W2972" s="285">
        <f t="shared" si="71"/>
        <v>2592.7440000000001</v>
      </c>
    </row>
    <row r="2973" spans="1:23" ht="15" customHeight="1">
      <c r="A2973" s="3">
        <v>40065</v>
      </c>
      <c r="B2973" s="9">
        <v>50</v>
      </c>
      <c r="C2973" s="5">
        <v>71925</v>
      </c>
      <c r="D2973" s="5" t="e">
        <f>E2973-(#REF!+C2973)</f>
        <v>#REF!</v>
      </c>
      <c r="E2973" s="5">
        <v>122625</v>
      </c>
      <c r="K2973" s="22">
        <v>2440</v>
      </c>
      <c r="L2973" s="6">
        <v>2455.5</v>
      </c>
      <c r="M2973" s="125">
        <f t="shared" si="72"/>
        <v>15.5</v>
      </c>
      <c r="N2973" s="18"/>
      <c r="O2973" s="135"/>
      <c r="P2973" s="175">
        <v>16400</v>
      </c>
      <c r="Q2973" s="25">
        <v>0.14649999999999999</v>
      </c>
      <c r="U2973" s="384">
        <v>0.1</v>
      </c>
      <c r="W2973" s="285">
        <f t="shared" si="71"/>
        <v>2642.86</v>
      </c>
    </row>
    <row r="2974" spans="1:23" ht="15" customHeight="1">
      <c r="A2974" s="3">
        <v>40066</v>
      </c>
      <c r="B2974" s="9">
        <v>50</v>
      </c>
      <c r="C2974" s="5">
        <v>71925</v>
      </c>
      <c r="D2974" s="5" t="e">
        <f>E2974-(#REF!+C2974)</f>
        <v>#REF!</v>
      </c>
      <c r="E2974" s="5">
        <v>122925</v>
      </c>
      <c r="K2974" s="22">
        <v>2181</v>
      </c>
      <c r="L2974" s="6">
        <v>2204</v>
      </c>
      <c r="M2974" s="125">
        <f t="shared" si="72"/>
        <v>23</v>
      </c>
      <c r="N2974" s="18"/>
      <c r="O2974" s="135"/>
      <c r="P2974" s="175">
        <v>16400</v>
      </c>
      <c r="Q2974" s="25">
        <v>0.1464</v>
      </c>
      <c r="U2974" s="384">
        <v>0.1</v>
      </c>
      <c r="W2974" s="285">
        <f t="shared" si="71"/>
        <v>2641.056</v>
      </c>
    </row>
    <row r="2975" spans="1:23" ht="15" customHeight="1">
      <c r="A2975" s="3">
        <v>40067</v>
      </c>
      <c r="B2975" s="9">
        <v>50</v>
      </c>
      <c r="C2975" s="5">
        <v>72075</v>
      </c>
      <c r="D2975" s="5" t="e">
        <f>E2975-(#REF!+C2975)</f>
        <v>#REF!</v>
      </c>
      <c r="E2975" s="5">
        <v>123075</v>
      </c>
      <c r="K2975" s="22">
        <v>2109.5</v>
      </c>
      <c r="L2975" s="6">
        <v>2130</v>
      </c>
      <c r="M2975" s="125">
        <f t="shared" si="72"/>
        <v>20.5</v>
      </c>
      <c r="N2975" s="18"/>
      <c r="O2975" s="135"/>
      <c r="P2975" s="175">
        <v>15400</v>
      </c>
      <c r="Q2975" s="25">
        <v>0.1464</v>
      </c>
      <c r="U2975" s="384">
        <v>0.1</v>
      </c>
      <c r="W2975" s="285">
        <f t="shared" si="71"/>
        <v>2480.0160000000001</v>
      </c>
    </row>
    <row r="2976" spans="1:23" ht="15" customHeight="1">
      <c r="A2976" s="3">
        <v>40070</v>
      </c>
      <c r="B2976" s="9">
        <v>50</v>
      </c>
      <c r="C2976" s="5">
        <v>71925</v>
      </c>
      <c r="D2976" s="5" t="e">
        <f>E2976-(#REF!+C2976)</f>
        <v>#REF!</v>
      </c>
      <c r="E2976" s="5">
        <v>122975</v>
      </c>
      <c r="K2976" s="22">
        <v>2045.5</v>
      </c>
      <c r="L2976" s="6">
        <v>2085</v>
      </c>
      <c r="M2976" s="125">
        <f t="shared" si="72"/>
        <v>39.5</v>
      </c>
      <c r="N2976" s="18"/>
      <c r="O2976" s="135"/>
      <c r="P2976" s="175">
        <v>15200</v>
      </c>
      <c r="Q2976" s="25">
        <v>0.1464</v>
      </c>
      <c r="U2976" s="384">
        <v>0.1</v>
      </c>
      <c r="W2976" s="285">
        <f t="shared" si="71"/>
        <v>2447.8080000000004</v>
      </c>
    </row>
    <row r="2977" spans="1:23" ht="15" customHeight="1">
      <c r="A2977" s="3">
        <v>40071</v>
      </c>
      <c r="B2977" s="9">
        <v>50</v>
      </c>
      <c r="C2977" s="5">
        <v>71775</v>
      </c>
      <c r="D2977" s="5" t="e">
        <f>E2977-(#REF!+C2977)</f>
        <v>#REF!</v>
      </c>
      <c r="E2977" s="5">
        <v>122725</v>
      </c>
      <c r="K2977" s="22">
        <v>2113</v>
      </c>
      <c r="L2977" s="6">
        <v>2133</v>
      </c>
      <c r="M2977" s="125">
        <f t="shared" si="72"/>
        <v>20</v>
      </c>
      <c r="N2977" s="18"/>
      <c r="O2977" s="135"/>
      <c r="P2977" s="175">
        <v>15250</v>
      </c>
      <c r="Q2977" s="25">
        <v>0.1464</v>
      </c>
      <c r="U2977" s="384">
        <v>0.1</v>
      </c>
      <c r="W2977" s="285">
        <f t="shared" si="71"/>
        <v>2455.86</v>
      </c>
    </row>
    <row r="2978" spans="1:23" ht="15" customHeight="1">
      <c r="A2978" s="3">
        <v>40072</v>
      </c>
      <c r="B2978" s="9">
        <v>50</v>
      </c>
      <c r="C2978" s="5">
        <v>72050</v>
      </c>
      <c r="D2978" s="5" t="e">
        <f>E2978-(#REF!+C2978)</f>
        <v>#REF!</v>
      </c>
      <c r="E2978" s="5">
        <v>123300</v>
      </c>
      <c r="K2978" s="22">
        <v>2220.5</v>
      </c>
      <c r="L2978" s="6">
        <v>2250</v>
      </c>
      <c r="M2978" s="125">
        <f t="shared" si="72"/>
        <v>29.5</v>
      </c>
      <c r="N2978" s="18"/>
      <c r="O2978" s="135"/>
      <c r="P2978" s="175">
        <v>15400</v>
      </c>
      <c r="Q2978" s="25">
        <v>0.1464</v>
      </c>
      <c r="U2978" s="384">
        <v>0.1</v>
      </c>
      <c r="W2978" s="285">
        <f t="shared" si="71"/>
        <v>2480.0160000000001</v>
      </c>
    </row>
    <row r="2979" spans="1:23" ht="15" customHeight="1">
      <c r="A2979" s="3">
        <v>40073</v>
      </c>
      <c r="B2979" s="9">
        <v>50</v>
      </c>
      <c r="C2979" s="5">
        <v>72050</v>
      </c>
      <c r="D2979" s="5" t="e">
        <f>E2979-(#REF!+C2979)</f>
        <v>#REF!</v>
      </c>
      <c r="E2979" s="5">
        <v>124150</v>
      </c>
      <c r="K2979" s="22">
        <v>2241</v>
      </c>
      <c r="L2979" s="6">
        <v>2261</v>
      </c>
      <c r="M2979" s="125">
        <f t="shared" si="72"/>
        <v>20</v>
      </c>
      <c r="N2979" s="18"/>
      <c r="O2979" s="135"/>
      <c r="P2979" s="175">
        <v>15900</v>
      </c>
      <c r="Q2979" s="25">
        <v>0.14649999999999999</v>
      </c>
      <c r="U2979" s="384">
        <v>0.1</v>
      </c>
      <c r="W2979" s="285">
        <f t="shared" si="71"/>
        <v>2562.2850000000003</v>
      </c>
    </row>
    <row r="2980" spans="1:23" ht="15" customHeight="1">
      <c r="A2980" s="3">
        <v>40074</v>
      </c>
      <c r="B2980" s="9">
        <v>50</v>
      </c>
      <c r="C2980" s="5">
        <v>72400</v>
      </c>
      <c r="D2980" s="5" t="e">
        <f>E2980-(#REF!+C2980)</f>
        <v>#REF!</v>
      </c>
      <c r="E2980" s="5">
        <v>124900</v>
      </c>
      <c r="K2980" s="22">
        <v>2171</v>
      </c>
      <c r="L2980" s="6">
        <v>2195</v>
      </c>
      <c r="M2980" s="125">
        <f t="shared" si="72"/>
        <v>24</v>
      </c>
      <c r="N2980" s="18"/>
      <c r="O2980" s="135"/>
      <c r="P2980" s="175">
        <v>15900</v>
      </c>
      <c r="Q2980" s="25">
        <v>0.14649999999999999</v>
      </c>
      <c r="U2980" s="384">
        <v>0.1</v>
      </c>
      <c r="W2980" s="285">
        <f t="shared" si="71"/>
        <v>2562.2850000000003</v>
      </c>
    </row>
    <row r="2981" spans="1:23" ht="15" customHeight="1">
      <c r="A2981" s="3">
        <v>40077</v>
      </c>
      <c r="B2981" s="9">
        <v>50</v>
      </c>
      <c r="C2981" s="5">
        <v>72250</v>
      </c>
      <c r="D2981" s="5" t="e">
        <f>E2981-(#REF!+C2981)</f>
        <v>#REF!</v>
      </c>
      <c r="E2981" s="5">
        <v>124750</v>
      </c>
      <c r="K2981" s="22">
        <v>2135.5</v>
      </c>
      <c r="L2981" s="6">
        <v>2171</v>
      </c>
      <c r="M2981" s="125">
        <f t="shared" si="72"/>
        <v>35.5</v>
      </c>
      <c r="N2981" s="18"/>
      <c r="O2981" s="135"/>
      <c r="P2981" s="175">
        <v>15600</v>
      </c>
      <c r="Q2981" s="25">
        <v>0.14649999999999999</v>
      </c>
      <c r="U2981" s="384">
        <v>0.1</v>
      </c>
      <c r="W2981" s="285">
        <f t="shared" si="71"/>
        <v>2513.9400000000005</v>
      </c>
    </row>
    <row r="2982" spans="1:23" ht="15" customHeight="1">
      <c r="A2982" s="3">
        <v>40078</v>
      </c>
      <c r="B2982" s="9">
        <v>50</v>
      </c>
      <c r="C2982" s="5">
        <v>72025</v>
      </c>
      <c r="D2982" s="5" t="e">
        <f>E2982-(#REF!+C2982)</f>
        <v>#REF!</v>
      </c>
      <c r="E2982" s="5">
        <v>125550</v>
      </c>
      <c r="K2982" s="22">
        <v>2234</v>
      </c>
      <c r="L2982" s="6">
        <v>2265</v>
      </c>
      <c r="M2982" s="125">
        <f t="shared" si="72"/>
        <v>31</v>
      </c>
      <c r="N2982" s="18"/>
      <c r="O2982" s="135"/>
      <c r="P2982" s="175">
        <v>15500</v>
      </c>
      <c r="Q2982" s="25">
        <v>0.1464</v>
      </c>
      <c r="U2982" s="384">
        <v>0.1</v>
      </c>
      <c r="W2982" s="285">
        <f t="shared" si="71"/>
        <v>2496.12</v>
      </c>
    </row>
    <row r="2983" spans="1:23" ht="15" customHeight="1">
      <c r="A2983" s="3">
        <v>40079</v>
      </c>
      <c r="B2983" s="9">
        <v>50</v>
      </c>
      <c r="C2983" s="5">
        <v>71825</v>
      </c>
      <c r="D2983" s="5" t="e">
        <f>E2983-(#REF!+C2983)</f>
        <v>#REF!</v>
      </c>
      <c r="E2983" s="5">
        <v>125350</v>
      </c>
      <c r="K2983" s="22">
        <v>2213</v>
      </c>
      <c r="L2983" s="6">
        <v>2240</v>
      </c>
      <c r="M2983" s="125">
        <f t="shared" si="72"/>
        <v>27</v>
      </c>
      <c r="N2983" s="18"/>
      <c r="O2983" s="135"/>
      <c r="P2983" s="175">
        <v>15800</v>
      </c>
      <c r="Q2983" s="25">
        <v>0.14649999999999999</v>
      </c>
      <c r="U2983" s="384">
        <v>0.1</v>
      </c>
      <c r="W2983" s="285">
        <f t="shared" si="71"/>
        <v>2546.17</v>
      </c>
    </row>
    <row r="2984" spans="1:23" ht="15" customHeight="1">
      <c r="A2984" s="3">
        <v>40080</v>
      </c>
      <c r="B2984" s="9">
        <v>50</v>
      </c>
      <c r="C2984" s="5">
        <v>71650</v>
      </c>
      <c r="D2984" s="5" t="e">
        <f>E2984-(#REF!+C2984)</f>
        <v>#REF!</v>
      </c>
      <c r="E2984" s="5">
        <v>125175</v>
      </c>
      <c r="K2984" s="22">
        <v>2200</v>
      </c>
      <c r="L2984" s="6">
        <v>2225</v>
      </c>
      <c r="M2984" s="125">
        <f t="shared" si="72"/>
        <v>25</v>
      </c>
      <c r="N2984" s="18"/>
      <c r="O2984" s="135"/>
      <c r="P2984" s="175">
        <v>15600</v>
      </c>
      <c r="Q2984" s="25">
        <v>0.14649999999999999</v>
      </c>
      <c r="U2984" s="384">
        <v>0.1</v>
      </c>
      <c r="W2984" s="285">
        <f t="shared" si="71"/>
        <v>2513.9400000000005</v>
      </c>
    </row>
    <row r="2985" spans="1:23" ht="15" customHeight="1">
      <c r="A2985" s="3">
        <v>40081</v>
      </c>
      <c r="B2985" s="9">
        <v>50</v>
      </c>
      <c r="C2985" s="5">
        <v>71625</v>
      </c>
      <c r="D2985" s="5" t="e">
        <f>E2985-(#REF!+C2985)</f>
        <v>#REF!</v>
      </c>
      <c r="E2985" s="5">
        <v>125850</v>
      </c>
      <c r="K2985" s="22">
        <v>2175</v>
      </c>
      <c r="L2985" s="6">
        <v>2194</v>
      </c>
      <c r="M2985" s="125">
        <f t="shared" si="72"/>
        <v>19</v>
      </c>
      <c r="N2985" s="18"/>
      <c r="O2985" s="135"/>
      <c r="P2985" s="175">
        <v>15400</v>
      </c>
      <c r="Q2985" s="25">
        <v>0.14649999999999999</v>
      </c>
      <c r="U2985" s="384">
        <v>0.1</v>
      </c>
      <c r="W2985" s="285">
        <f t="shared" si="71"/>
        <v>2481.71</v>
      </c>
    </row>
    <row r="2986" spans="1:23" ht="15" customHeight="1">
      <c r="A2986" s="3">
        <v>40084</v>
      </c>
      <c r="B2986" s="9">
        <v>50</v>
      </c>
      <c r="C2986" s="5">
        <v>71625</v>
      </c>
      <c r="D2986" s="5" t="e">
        <f>E2986-(#REF!+C2986)</f>
        <v>#REF!</v>
      </c>
      <c r="E2986" s="5">
        <v>125850</v>
      </c>
      <c r="K2986" s="22">
        <v>2150</v>
      </c>
      <c r="L2986" s="6">
        <v>2178</v>
      </c>
      <c r="M2986" s="125">
        <f t="shared" si="72"/>
        <v>28</v>
      </c>
      <c r="N2986" s="18"/>
      <c r="O2986" s="135"/>
      <c r="P2986" s="175">
        <v>15500</v>
      </c>
      <c r="Q2986" s="25">
        <v>0.1464</v>
      </c>
      <c r="U2986" s="384">
        <v>0.1</v>
      </c>
      <c r="W2986" s="285">
        <f t="shared" si="71"/>
        <v>2496.12</v>
      </c>
    </row>
    <row r="2987" spans="1:23" ht="15" customHeight="1">
      <c r="A2987" s="3">
        <v>40085</v>
      </c>
      <c r="B2987" s="9">
        <v>50</v>
      </c>
      <c r="C2987" s="5">
        <v>71800</v>
      </c>
      <c r="D2987" s="5" t="e">
        <f>E2987-(#REF!+C2987)</f>
        <v>#REF!</v>
      </c>
      <c r="E2987" s="5">
        <v>126125</v>
      </c>
      <c r="K2987" s="22">
        <v>2184</v>
      </c>
      <c r="L2987" s="6">
        <v>2202</v>
      </c>
      <c r="M2987" s="125">
        <f t="shared" si="72"/>
        <v>18</v>
      </c>
      <c r="N2987" s="18"/>
      <c r="O2987" s="135"/>
      <c r="P2987" s="175">
        <v>15500</v>
      </c>
      <c r="Q2987" s="25">
        <v>0.14649999999999999</v>
      </c>
      <c r="U2987" s="384">
        <v>0.1</v>
      </c>
      <c r="W2987" s="285">
        <f t="shared" si="71"/>
        <v>2497.8250000000003</v>
      </c>
    </row>
    <row r="2988" spans="1:23" ht="15" customHeight="1" thickBot="1">
      <c r="A2988" s="11">
        <v>40086</v>
      </c>
      <c r="B2988" s="9">
        <v>50</v>
      </c>
      <c r="C2988" s="13">
        <v>72500</v>
      </c>
      <c r="D2988" s="13" t="e">
        <f>E2988-(#REF!+C2988)</f>
        <v>#REF!</v>
      </c>
      <c r="E2988" s="13">
        <v>126925</v>
      </c>
      <c r="F2988" s="12"/>
      <c r="G2988" s="13"/>
      <c r="H2988" s="13"/>
      <c r="I2988" s="119"/>
      <c r="J2988" s="119"/>
      <c r="K2988" s="23">
        <v>2276</v>
      </c>
      <c r="L2988" s="14">
        <v>2300</v>
      </c>
      <c r="M2988" s="126">
        <f t="shared" si="72"/>
        <v>24</v>
      </c>
      <c r="N2988" s="84">
        <f>AVERAGE(K2967:K2988)</f>
        <v>2204.5454545454545</v>
      </c>
      <c r="O2988" s="141">
        <f>AVERAGE(K2796:K2988)</f>
        <v>1534.5343915343915</v>
      </c>
      <c r="P2988" s="176">
        <v>15600</v>
      </c>
      <c r="Q2988" s="27">
        <v>0.14649999999999999</v>
      </c>
      <c r="R2988" s="27"/>
      <c r="S2988" s="27"/>
      <c r="T2988" s="27"/>
      <c r="U2988" s="385">
        <v>0.1</v>
      </c>
      <c r="V2988" s="38">
        <f>AVERAGE(P2967:P2988)</f>
        <v>15611.363636363636</v>
      </c>
      <c r="W2988" s="285">
        <f t="shared" si="71"/>
        <v>2513.9400000000005</v>
      </c>
    </row>
    <row r="2989" spans="1:23" ht="15" customHeight="1">
      <c r="A2989" s="3">
        <v>40087</v>
      </c>
      <c r="B2989" s="9">
        <v>50</v>
      </c>
      <c r="C2989" s="5">
        <v>72300</v>
      </c>
      <c r="D2989" s="5" t="e">
        <f>E2989-(#REF!+C2989)</f>
        <v>#REF!</v>
      </c>
      <c r="E2989" s="5">
        <v>127775</v>
      </c>
      <c r="K2989" s="22">
        <v>2192</v>
      </c>
      <c r="L2989" s="6">
        <v>2221</v>
      </c>
      <c r="M2989" s="125">
        <f t="shared" si="72"/>
        <v>29</v>
      </c>
      <c r="N2989" s="7"/>
      <c r="O2989" s="132"/>
      <c r="P2989" s="204"/>
      <c r="Q2989" s="1395" t="s">
        <v>23</v>
      </c>
      <c r="R2989" s="1395"/>
      <c r="S2989" s="1395"/>
      <c r="T2989" s="1395"/>
      <c r="U2989" s="1395"/>
      <c r="W2989" s="285"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25">
        <f t="shared" si="72"/>
        <v>25</v>
      </c>
      <c r="N2990" s="7"/>
      <c r="O2990" s="132"/>
      <c r="P2990" s="205"/>
      <c r="Q2990" s="1396"/>
      <c r="R2990" s="1396"/>
      <c r="S2990" s="1396"/>
      <c r="T2990" s="1396"/>
      <c r="U2990" s="1396"/>
      <c r="W2990" s="285">
        <f t="shared" si="73"/>
        <v>0</v>
      </c>
    </row>
    <row r="2991" spans="1:23" ht="15" customHeight="1">
      <c r="A2991" s="3">
        <v>40091</v>
      </c>
      <c r="B2991" s="9">
        <v>50</v>
      </c>
      <c r="C2991" s="5">
        <v>71875</v>
      </c>
      <c r="D2991" s="5" t="e">
        <f>E2991-(#REF!+C2991)</f>
        <v>#REF!</v>
      </c>
      <c r="E2991" s="5">
        <v>127600</v>
      </c>
      <c r="K2991" s="22">
        <v>2115</v>
      </c>
      <c r="L2991" s="6">
        <v>2145</v>
      </c>
      <c r="M2991" s="125">
        <f t="shared" si="72"/>
        <v>30</v>
      </c>
      <c r="N2991" s="18"/>
      <c r="O2991" s="135"/>
      <c r="P2991" s="205"/>
      <c r="Q2991" s="1396"/>
      <c r="R2991" s="1396"/>
      <c r="S2991" s="1396"/>
      <c r="T2991" s="1396"/>
      <c r="U2991" s="1396"/>
      <c r="W2991" s="285">
        <f t="shared" si="73"/>
        <v>0</v>
      </c>
    </row>
    <row r="2992" spans="1:23" ht="15" customHeight="1">
      <c r="A2992" s="3">
        <v>40092</v>
      </c>
      <c r="B2992" s="9">
        <v>50</v>
      </c>
      <c r="C2992" s="5">
        <v>71750</v>
      </c>
      <c r="D2992" s="5" t="e">
        <f>E2992-(#REF!+C2992)</f>
        <v>#REF!</v>
      </c>
      <c r="E2992" s="5">
        <v>127475</v>
      </c>
      <c r="K2992" s="22">
        <v>2128</v>
      </c>
      <c r="L2992" s="6">
        <v>2155</v>
      </c>
      <c r="M2992" s="125">
        <f t="shared" si="72"/>
        <v>27</v>
      </c>
      <c r="N2992" s="18"/>
      <c r="O2992" s="135"/>
      <c r="P2992" s="205"/>
      <c r="Q2992" s="1396"/>
      <c r="R2992" s="1396"/>
      <c r="S2992" s="1396"/>
      <c r="T2992" s="1396"/>
      <c r="U2992" s="1396"/>
      <c r="W2992" s="285">
        <f t="shared" si="73"/>
        <v>0</v>
      </c>
    </row>
    <row r="2993" spans="1:23" ht="15" customHeight="1">
      <c r="A2993" s="3">
        <v>40093</v>
      </c>
      <c r="B2993" s="9">
        <v>50</v>
      </c>
      <c r="C2993" s="5">
        <v>72075</v>
      </c>
      <c r="D2993" s="5" t="e">
        <f>E2993-(#REF!+C2993)</f>
        <v>#REF!</v>
      </c>
      <c r="E2993" s="5">
        <v>127875</v>
      </c>
      <c r="K2993" s="22">
        <v>2142</v>
      </c>
      <c r="L2993" s="6">
        <v>2170</v>
      </c>
      <c r="M2993" s="125">
        <f t="shared" si="72"/>
        <v>28</v>
      </c>
      <c r="N2993" s="18"/>
      <c r="O2993" s="135"/>
      <c r="P2993" s="205"/>
      <c r="Q2993" s="1396"/>
      <c r="R2993" s="1396"/>
      <c r="S2993" s="1396"/>
      <c r="T2993" s="1396"/>
      <c r="U2993" s="1396"/>
      <c r="W2993" s="285">
        <f t="shared" si="73"/>
        <v>0</v>
      </c>
    </row>
    <row r="2994" spans="1:23" ht="15" customHeight="1">
      <c r="A2994" s="3">
        <v>40094</v>
      </c>
      <c r="B2994" s="9">
        <v>50</v>
      </c>
      <c r="C2994" s="5">
        <v>72075</v>
      </c>
      <c r="D2994" s="5" t="e">
        <f>E2994-(#REF!+C2994)</f>
        <v>#REF!</v>
      </c>
      <c r="E2994" s="5">
        <v>127875</v>
      </c>
      <c r="K2994" s="22">
        <v>2221</v>
      </c>
      <c r="L2994" s="6">
        <v>2250</v>
      </c>
      <c r="M2994" s="125">
        <f t="shared" si="72"/>
        <v>29</v>
      </c>
      <c r="N2994" s="18"/>
      <c r="O2994" s="135"/>
      <c r="P2994" s="205"/>
      <c r="Q2994" s="1396"/>
      <c r="R2994" s="1396"/>
      <c r="S2994" s="1396"/>
      <c r="T2994" s="1396"/>
      <c r="U2994" s="1396"/>
      <c r="W2994" s="285">
        <f t="shared" si="73"/>
        <v>0</v>
      </c>
    </row>
    <row r="2995" spans="1:23" ht="15" customHeight="1">
      <c r="A2995" s="3">
        <v>40095</v>
      </c>
      <c r="B2995" s="9">
        <v>50</v>
      </c>
      <c r="C2995" s="5">
        <v>72100</v>
      </c>
      <c r="D2995" s="5" t="e">
        <f>E2995-(#REF!+C2995)</f>
        <v>#REF!</v>
      </c>
      <c r="E2995" s="5">
        <v>128200</v>
      </c>
      <c r="K2995" s="22">
        <v>2250</v>
      </c>
      <c r="L2995" s="6">
        <v>2275</v>
      </c>
      <c r="M2995" s="125">
        <f t="shared" si="72"/>
        <v>25</v>
      </c>
      <c r="N2995" s="18"/>
      <c r="O2995" s="135"/>
      <c r="P2995" s="175">
        <v>15600</v>
      </c>
      <c r="Q2995" s="25">
        <v>0.14649999999999999</v>
      </c>
      <c r="U2995" s="384">
        <v>0.1</v>
      </c>
      <c r="W2995" s="285">
        <f t="shared" si="73"/>
        <v>2513.9400000000005</v>
      </c>
    </row>
    <row r="2996" spans="1:23" ht="15" customHeight="1">
      <c r="A2996" s="3">
        <v>40098</v>
      </c>
      <c r="B2996" s="9">
        <v>50</v>
      </c>
      <c r="C2996" s="5">
        <v>72100</v>
      </c>
      <c r="D2996" s="5" t="e">
        <f>E2996-(#REF!+C2996)</f>
        <v>#REF!</v>
      </c>
      <c r="E2996" s="5">
        <v>128175</v>
      </c>
      <c r="K2996" s="22">
        <v>2263</v>
      </c>
      <c r="L2996" s="6">
        <v>2288</v>
      </c>
      <c r="M2996" s="125">
        <f t="shared" si="72"/>
        <v>25</v>
      </c>
      <c r="N2996" s="18"/>
      <c r="O2996" s="135"/>
      <c r="P2996" s="175">
        <v>15500</v>
      </c>
      <c r="Q2996" s="25">
        <v>0.14649999999999999</v>
      </c>
      <c r="U2996" s="384">
        <v>0.1</v>
      </c>
      <c r="W2996" s="285">
        <f t="shared" si="73"/>
        <v>2497.8250000000003</v>
      </c>
    </row>
    <row r="2997" spans="1:23" ht="15" customHeight="1">
      <c r="A2997" s="3">
        <v>40099</v>
      </c>
      <c r="B2997" s="9">
        <v>50</v>
      </c>
      <c r="C2997" s="5">
        <v>72100</v>
      </c>
      <c r="D2997" s="5" t="e">
        <f>E2997-(#REF!+C2997)</f>
        <v>#REF!</v>
      </c>
      <c r="E2997" s="5">
        <v>128175</v>
      </c>
      <c r="K2997" s="22">
        <v>2301</v>
      </c>
      <c r="L2997" s="6">
        <v>2335</v>
      </c>
      <c r="M2997" s="125">
        <f t="shared" si="72"/>
        <v>34</v>
      </c>
      <c r="N2997" s="18"/>
      <c r="O2997" s="135"/>
      <c r="P2997" s="175">
        <v>15700</v>
      </c>
      <c r="Q2997" s="25">
        <v>0.14660000000000001</v>
      </c>
      <c r="U2997" s="384">
        <v>0.1</v>
      </c>
      <c r="W2997" s="285">
        <f t="shared" si="73"/>
        <v>2531.7820000000006</v>
      </c>
    </row>
    <row r="2998" spans="1:23" ht="15" customHeight="1">
      <c r="A2998" s="3">
        <v>40100</v>
      </c>
      <c r="B2998" s="9">
        <v>50</v>
      </c>
      <c r="C2998" s="5">
        <v>72900</v>
      </c>
      <c r="D2998" s="5" t="e">
        <f>E2998-(#REF!+C2998)</f>
        <v>#REF!</v>
      </c>
      <c r="E2998" s="5">
        <v>128975</v>
      </c>
      <c r="K2998" s="22">
        <v>2169</v>
      </c>
      <c r="L2998" s="6">
        <v>2189</v>
      </c>
      <c r="M2998" s="125">
        <f t="shared" si="72"/>
        <v>20</v>
      </c>
      <c r="N2998" s="18"/>
      <c r="O2998" s="135"/>
      <c r="P2998" s="175">
        <v>15500</v>
      </c>
      <c r="Q2998" s="25">
        <v>0.14649999999999999</v>
      </c>
      <c r="U2998" s="384">
        <v>0.1</v>
      </c>
      <c r="W2998" s="285">
        <f t="shared" si="73"/>
        <v>2497.8250000000003</v>
      </c>
    </row>
    <row r="2999" spans="1:23" ht="15" customHeight="1">
      <c r="A2999" s="3">
        <v>40101</v>
      </c>
      <c r="B2999" s="9">
        <v>50</v>
      </c>
      <c r="C2999" s="5">
        <v>82775</v>
      </c>
      <c r="D2999" s="5" t="e">
        <f>E2999-(#REF!+C2999)</f>
        <v>#REF!</v>
      </c>
      <c r="E2999" s="5">
        <v>128975</v>
      </c>
      <c r="K2999" s="22">
        <v>2140</v>
      </c>
      <c r="L2999" s="6">
        <v>2164.5</v>
      </c>
      <c r="M2999" s="125">
        <f t="shared" si="72"/>
        <v>24.5</v>
      </c>
      <c r="N2999" s="18"/>
      <c r="O2999" s="135"/>
      <c r="P2999" s="175">
        <v>15600</v>
      </c>
      <c r="Q2999" s="25">
        <v>0.14649999999999999</v>
      </c>
      <c r="U2999" s="384">
        <v>0.1</v>
      </c>
      <c r="W2999" s="285">
        <f t="shared" si="73"/>
        <v>2513.9400000000005</v>
      </c>
    </row>
    <row r="3000" spans="1:23" ht="15" customHeight="1">
      <c r="A3000" s="3">
        <v>40102</v>
      </c>
      <c r="B3000" s="9">
        <v>50</v>
      </c>
      <c r="C3000" s="5">
        <v>82525</v>
      </c>
      <c r="D3000" s="5" t="e">
        <f>E3000-(#REF!+C3000)</f>
        <v>#REF!</v>
      </c>
      <c r="E3000" s="5">
        <v>129175</v>
      </c>
      <c r="K3000" s="22">
        <v>2180</v>
      </c>
      <c r="L3000" s="6">
        <v>2194.5</v>
      </c>
      <c r="M3000" s="125">
        <f t="shared" si="72"/>
        <v>14.5</v>
      </c>
      <c r="N3000" s="18"/>
      <c r="O3000" s="135"/>
      <c r="P3000" s="175">
        <v>15600</v>
      </c>
      <c r="Q3000" s="25">
        <v>0.14649999999999999</v>
      </c>
      <c r="U3000" s="384">
        <v>0.1</v>
      </c>
      <c r="W3000" s="285">
        <f t="shared" si="73"/>
        <v>2513.9400000000005</v>
      </c>
    </row>
    <row r="3001" spans="1:23" ht="15" customHeight="1">
      <c r="A3001" s="3">
        <v>40105</v>
      </c>
      <c r="B3001" s="9">
        <v>50</v>
      </c>
      <c r="C3001" s="5">
        <v>82375</v>
      </c>
      <c r="D3001" s="5" t="e">
        <f>E3001-(#REF!+C3001)</f>
        <v>#REF!</v>
      </c>
      <c r="E3001" s="5">
        <v>129025</v>
      </c>
      <c r="K3001" s="22">
        <v>2191</v>
      </c>
      <c r="L3001" s="6">
        <v>2215</v>
      </c>
      <c r="M3001" s="125">
        <f t="shared" si="72"/>
        <v>24</v>
      </c>
      <c r="N3001" s="18"/>
      <c r="O3001" s="135"/>
      <c r="P3001" s="175">
        <v>15600</v>
      </c>
      <c r="Q3001" s="25">
        <v>0.14649999999999999</v>
      </c>
      <c r="U3001" s="384">
        <v>0.1</v>
      </c>
      <c r="W3001" s="285">
        <f t="shared" si="73"/>
        <v>2513.9400000000005</v>
      </c>
    </row>
    <row r="3002" spans="1:23" ht="15" customHeight="1">
      <c r="A3002" s="3">
        <v>40106</v>
      </c>
      <c r="B3002" s="9">
        <v>50</v>
      </c>
      <c r="C3002" s="5">
        <v>82100</v>
      </c>
      <c r="D3002" s="5" t="e">
        <f>E3002-(#REF!+C3002)</f>
        <v>#REF!</v>
      </c>
      <c r="E3002" s="5">
        <v>129050</v>
      </c>
      <c r="K3002" s="22">
        <v>2315</v>
      </c>
      <c r="L3002" s="6">
        <v>2333.5</v>
      </c>
      <c r="M3002" s="125">
        <f t="shared" si="72"/>
        <v>18.5</v>
      </c>
      <c r="N3002" s="18"/>
      <c r="O3002" s="135"/>
      <c r="P3002" s="175">
        <v>15700</v>
      </c>
      <c r="Q3002" s="25">
        <v>0.14649999999999999</v>
      </c>
      <c r="U3002" s="384">
        <v>0.1</v>
      </c>
      <c r="W3002" s="285">
        <f t="shared" si="73"/>
        <v>2530.0549999999998</v>
      </c>
    </row>
    <row r="3003" spans="1:23" ht="15" customHeight="1">
      <c r="A3003" s="3">
        <v>40107</v>
      </c>
      <c r="B3003" s="9">
        <v>50</v>
      </c>
      <c r="C3003" s="5">
        <v>82000</v>
      </c>
      <c r="D3003" s="5" t="e">
        <f>E3003-(#REF!+C3003)</f>
        <v>#REF!</v>
      </c>
      <c r="E3003" s="5">
        <v>129525</v>
      </c>
      <c r="K3003" s="22">
        <v>2246</v>
      </c>
      <c r="L3003" s="6">
        <v>2270</v>
      </c>
      <c r="M3003" s="125">
        <f t="shared" si="72"/>
        <v>24</v>
      </c>
      <c r="N3003" s="18"/>
      <c r="O3003" s="135"/>
      <c r="P3003" s="175">
        <v>15700</v>
      </c>
      <c r="Q3003" s="25">
        <v>0.14649999999999999</v>
      </c>
      <c r="U3003" s="384">
        <v>0.1</v>
      </c>
      <c r="W3003" s="285">
        <f t="shared" si="73"/>
        <v>2530.0549999999998</v>
      </c>
    </row>
    <row r="3004" spans="1:23" ht="15" customHeight="1">
      <c r="A3004" s="3">
        <v>40108</v>
      </c>
      <c r="B3004" s="9">
        <v>50</v>
      </c>
      <c r="C3004" s="5">
        <v>81575</v>
      </c>
      <c r="D3004" s="5" t="e">
        <f>E3004-(#REF!+C3004)</f>
        <v>#REF!</v>
      </c>
      <c r="E3004" s="5">
        <v>129100</v>
      </c>
      <c r="K3004" s="22">
        <v>2410.5</v>
      </c>
      <c r="L3004" s="6">
        <v>2437</v>
      </c>
      <c r="M3004" s="125">
        <f t="shared" si="72"/>
        <v>26.5</v>
      </c>
      <c r="N3004" s="18"/>
      <c r="O3004" s="135"/>
      <c r="P3004" s="175">
        <v>15900</v>
      </c>
      <c r="Q3004" s="25">
        <v>0.14649999999999999</v>
      </c>
      <c r="U3004" s="384">
        <v>0.1</v>
      </c>
      <c r="W3004" s="285">
        <f t="shared" si="73"/>
        <v>2562.2850000000003</v>
      </c>
    </row>
    <row r="3005" spans="1:23" ht="15" customHeight="1">
      <c r="A3005" s="3">
        <v>40109</v>
      </c>
      <c r="B3005" s="9">
        <v>50</v>
      </c>
      <c r="C3005" s="5">
        <v>81350</v>
      </c>
      <c r="D3005" s="5" t="e">
        <f>E3005-(#REF!+C3005)</f>
        <v>#REF!</v>
      </c>
      <c r="E3005" s="5">
        <v>130400</v>
      </c>
      <c r="K3005" s="22">
        <v>2405.5</v>
      </c>
      <c r="L3005" s="6">
        <v>2437</v>
      </c>
      <c r="M3005" s="125">
        <f t="shared" si="72"/>
        <v>31.5</v>
      </c>
      <c r="N3005" s="18"/>
      <c r="O3005" s="135"/>
      <c r="P3005" s="175">
        <v>15900</v>
      </c>
      <c r="Q3005" s="25">
        <v>0.1464</v>
      </c>
      <c r="U3005" s="384">
        <v>0.1</v>
      </c>
      <c r="W3005" s="285">
        <f t="shared" si="73"/>
        <v>2560.5360000000005</v>
      </c>
    </row>
    <row r="3006" spans="1:23" ht="15" customHeight="1">
      <c r="A3006" s="3">
        <v>40112</v>
      </c>
      <c r="B3006" s="9">
        <v>50</v>
      </c>
      <c r="C3006" s="5">
        <v>81225</v>
      </c>
      <c r="D3006" s="5" t="e">
        <f>E3006-(#REF!+C3006)</f>
        <v>#REF!</v>
      </c>
      <c r="E3006" s="5">
        <v>130250</v>
      </c>
      <c r="K3006" s="22">
        <v>2376</v>
      </c>
      <c r="L3006" s="6">
        <v>2394</v>
      </c>
      <c r="M3006" s="125">
        <f t="shared" si="72"/>
        <v>18</v>
      </c>
      <c r="N3006" s="18"/>
      <c r="O3006" s="135"/>
      <c r="P3006" s="175">
        <v>15900</v>
      </c>
      <c r="Q3006" s="25">
        <v>0.1464</v>
      </c>
      <c r="U3006" s="384">
        <v>0.1</v>
      </c>
      <c r="W3006" s="285">
        <f t="shared" si="73"/>
        <v>2560.5360000000005</v>
      </c>
    </row>
    <row r="3007" spans="1:23" ht="15" customHeight="1">
      <c r="A3007" s="3">
        <v>40113</v>
      </c>
      <c r="B3007" s="9">
        <v>50</v>
      </c>
      <c r="C3007" s="5">
        <v>80975</v>
      </c>
      <c r="D3007" s="5" t="e">
        <f>E3007-(#REF!+C3007)</f>
        <v>#REF!</v>
      </c>
      <c r="E3007" s="5">
        <v>130000</v>
      </c>
      <c r="K3007" s="22">
        <v>2305</v>
      </c>
      <c r="L3007" s="6">
        <v>2325</v>
      </c>
      <c r="M3007" s="125">
        <f t="shared" si="72"/>
        <v>20</v>
      </c>
      <c r="N3007" s="18"/>
      <c r="O3007" s="135"/>
      <c r="P3007" s="175">
        <v>15900</v>
      </c>
      <c r="Q3007" s="25">
        <v>0.1464</v>
      </c>
      <c r="U3007" s="384">
        <v>0.1</v>
      </c>
      <c r="W3007" s="285">
        <f t="shared" si="73"/>
        <v>2560.5360000000005</v>
      </c>
    </row>
    <row r="3008" spans="1:23" ht="15" customHeight="1">
      <c r="A3008" s="3">
        <v>40114</v>
      </c>
      <c r="B3008" s="9">
        <v>50</v>
      </c>
      <c r="C3008" s="5">
        <v>80825</v>
      </c>
      <c r="D3008" s="5" t="e">
        <f>E3008-(#REF!+C3008)</f>
        <v>#REF!</v>
      </c>
      <c r="E3008" s="5">
        <v>129825</v>
      </c>
      <c r="K3008" s="22">
        <v>2243</v>
      </c>
      <c r="L3008" s="6">
        <v>2272</v>
      </c>
      <c r="M3008" s="125">
        <f t="shared" si="72"/>
        <v>29</v>
      </c>
      <c r="N3008" s="18"/>
      <c r="O3008" s="135"/>
      <c r="P3008" s="175">
        <v>15850</v>
      </c>
      <c r="Q3008" s="25">
        <v>0.1464</v>
      </c>
      <c r="U3008" s="384">
        <v>0.1</v>
      </c>
      <c r="W3008" s="285">
        <f t="shared" si="73"/>
        <v>2552.4840000000004</v>
      </c>
    </row>
    <row r="3009" spans="1:23" ht="15" customHeight="1">
      <c r="A3009" s="3">
        <v>40115</v>
      </c>
      <c r="B3009" s="9">
        <v>50</v>
      </c>
      <c r="C3009" s="5">
        <v>80625</v>
      </c>
      <c r="D3009" s="5" t="e">
        <f>E3009-(#REF!+C3009)</f>
        <v>#REF!</v>
      </c>
      <c r="E3009" s="5">
        <v>129675</v>
      </c>
      <c r="K3009" s="22">
        <v>2297</v>
      </c>
      <c r="L3009" s="6">
        <v>2321</v>
      </c>
      <c r="M3009" s="125">
        <f t="shared" si="72"/>
        <v>24</v>
      </c>
      <c r="N3009" s="18"/>
      <c r="O3009" s="135"/>
      <c r="P3009" s="175">
        <v>15700</v>
      </c>
      <c r="Q3009" s="25">
        <v>0.1464</v>
      </c>
      <c r="U3009" s="384">
        <v>0.1</v>
      </c>
      <c r="W3009" s="285">
        <f t="shared" si="73"/>
        <v>2528.3280000000004</v>
      </c>
    </row>
    <row r="3010" spans="1:23" ht="15" customHeight="1" thickBot="1">
      <c r="A3010" s="11">
        <v>40116</v>
      </c>
      <c r="B3010" s="9">
        <v>50</v>
      </c>
      <c r="C3010" s="13">
        <v>80325</v>
      </c>
      <c r="D3010" s="13" t="e">
        <f>E3010-(#REF!+C3010)</f>
        <v>#REF!</v>
      </c>
      <c r="E3010" s="13">
        <v>129850</v>
      </c>
      <c r="F3010" s="12"/>
      <c r="G3010" s="13"/>
      <c r="H3010" s="13"/>
      <c r="I3010" s="119"/>
      <c r="J3010" s="119"/>
      <c r="K3010" s="23">
        <v>2322</v>
      </c>
      <c r="L3010" s="14">
        <v>2348</v>
      </c>
      <c r="M3010" s="126">
        <f t="shared" si="72"/>
        <v>26</v>
      </c>
      <c r="N3010" s="84">
        <f>AVERAGE(K2989:K3010)</f>
        <v>2240.7727272727275</v>
      </c>
      <c r="O3010" s="141">
        <f>AVERAGE(K2796:K3010)</f>
        <v>1608.170616113744</v>
      </c>
      <c r="P3010" s="176">
        <v>15750</v>
      </c>
      <c r="Q3010" s="27">
        <v>0.14649999999999999</v>
      </c>
      <c r="R3010" s="27"/>
      <c r="S3010" s="27"/>
      <c r="T3010" s="27"/>
      <c r="U3010" s="385">
        <v>0.1</v>
      </c>
      <c r="V3010" s="38">
        <f>AVERAGE(P2989:P3010)</f>
        <v>15712.5</v>
      </c>
      <c r="W3010" s="285">
        <f t="shared" si="73"/>
        <v>2538.1125000000002</v>
      </c>
    </row>
    <row r="3011" spans="1:23" ht="15" customHeight="1">
      <c r="A3011" s="3">
        <v>40119</v>
      </c>
      <c r="B3011" s="9">
        <v>550</v>
      </c>
      <c r="C3011" s="5">
        <v>80075</v>
      </c>
      <c r="D3011" s="5" t="e">
        <f>E3011-(#REF!+C3011)</f>
        <v>#REF!</v>
      </c>
      <c r="E3011" s="5">
        <v>129600</v>
      </c>
      <c r="K3011" s="22">
        <v>2260</v>
      </c>
      <c r="L3011" s="6">
        <v>2281</v>
      </c>
      <c r="M3011" s="125">
        <f t="shared" si="72"/>
        <v>21</v>
      </c>
      <c r="N3011" s="20"/>
      <c r="O3011" s="138"/>
      <c r="P3011" s="178">
        <v>15750</v>
      </c>
      <c r="Q3011" s="34">
        <v>0.14649999999999999</v>
      </c>
      <c r="R3011" s="34"/>
      <c r="S3011" s="34"/>
      <c r="T3011" s="34"/>
      <c r="U3011" s="386">
        <v>0.1</v>
      </c>
      <c r="V3011" s="37"/>
      <c r="W3011" s="285">
        <f t="shared" si="73"/>
        <v>2538.1125000000002</v>
      </c>
    </row>
    <row r="3012" spans="1:23" ht="15" customHeight="1">
      <c r="A3012" s="3">
        <v>40120</v>
      </c>
      <c r="B3012" s="9">
        <v>550</v>
      </c>
      <c r="C3012" s="5">
        <v>80125</v>
      </c>
      <c r="D3012" s="5" t="e">
        <f>E3012-(#REF!+C3012)</f>
        <v>#REF!</v>
      </c>
      <c r="E3012" s="5">
        <v>129650</v>
      </c>
      <c r="K3012" s="22">
        <v>2250.5</v>
      </c>
      <c r="L3012" s="6">
        <v>2270</v>
      </c>
      <c r="M3012" s="125">
        <f t="shared" si="72"/>
        <v>19.5</v>
      </c>
      <c r="N3012" s="18"/>
      <c r="O3012" s="135"/>
      <c r="P3012" s="175">
        <v>15700</v>
      </c>
      <c r="Q3012" s="25">
        <v>0.14649999999999999</v>
      </c>
      <c r="U3012" s="384">
        <v>0.1</v>
      </c>
      <c r="W3012" s="285">
        <f t="shared" si="73"/>
        <v>2530.0549999999998</v>
      </c>
    </row>
    <row r="3013" spans="1:23" ht="15" customHeight="1">
      <c r="A3013" s="3">
        <v>40121</v>
      </c>
      <c r="B3013" s="9">
        <v>550</v>
      </c>
      <c r="C3013" s="5">
        <v>80100</v>
      </c>
      <c r="D3013" s="5" t="e">
        <f>E3013-(#REF!+C3013)</f>
        <v>#REF!</v>
      </c>
      <c r="E3013" s="5">
        <v>130125</v>
      </c>
      <c r="K3013" s="22">
        <v>2312</v>
      </c>
      <c r="L3013" s="6">
        <v>2335</v>
      </c>
      <c r="M3013" s="125">
        <f t="shared" si="72"/>
        <v>23</v>
      </c>
      <c r="N3013" s="18"/>
      <c r="O3013" s="135"/>
      <c r="P3013" s="175">
        <v>15700</v>
      </c>
      <c r="Q3013" s="25">
        <v>0.14649999999999999</v>
      </c>
      <c r="U3013" s="384">
        <v>0.1</v>
      </c>
      <c r="W3013" s="285">
        <f t="shared" si="73"/>
        <v>2530.0549999999998</v>
      </c>
    </row>
    <row r="3014" spans="1:23" ht="15" customHeight="1">
      <c r="A3014" s="3">
        <v>40122</v>
      </c>
      <c r="B3014" s="9">
        <v>550</v>
      </c>
      <c r="C3014" s="5">
        <v>80150</v>
      </c>
      <c r="D3014" s="5" t="e">
        <f>E3014-(#REF!+C3014)</f>
        <v>#REF!</v>
      </c>
      <c r="E3014" s="5">
        <v>130925</v>
      </c>
      <c r="K3014" s="22">
        <v>2320</v>
      </c>
      <c r="L3014" s="6">
        <v>2345</v>
      </c>
      <c r="M3014" s="125">
        <f t="shared" si="72"/>
        <v>25</v>
      </c>
      <c r="N3014" s="18"/>
      <c r="O3014" s="135"/>
      <c r="P3014" s="175">
        <v>15700</v>
      </c>
      <c r="Q3014" s="25">
        <v>0.14649999999999999</v>
      </c>
      <c r="U3014" s="384">
        <v>0.1</v>
      </c>
      <c r="W3014" s="285">
        <f t="shared" si="73"/>
        <v>2530.0549999999998</v>
      </c>
    </row>
    <row r="3015" spans="1:23" ht="15" customHeight="1">
      <c r="A3015" s="3">
        <v>40123</v>
      </c>
      <c r="B3015" s="9">
        <v>550</v>
      </c>
      <c r="C3015" s="5">
        <v>80150</v>
      </c>
      <c r="D3015" s="5" t="e">
        <f>E3015-(#REF!+C3015)</f>
        <v>#REF!</v>
      </c>
      <c r="E3015" s="5">
        <v>130800</v>
      </c>
      <c r="K3015" s="22">
        <v>2320</v>
      </c>
      <c r="L3015" s="6">
        <v>2330.5</v>
      </c>
      <c r="M3015" s="125">
        <f t="shared" si="72"/>
        <v>10.5</v>
      </c>
      <c r="N3015" s="18"/>
      <c r="O3015" s="135"/>
      <c r="P3015" s="175">
        <v>15700</v>
      </c>
      <c r="Q3015" s="25">
        <v>0.14649999999999999</v>
      </c>
      <c r="U3015" s="384">
        <v>0.1</v>
      </c>
      <c r="W3015" s="285">
        <f t="shared" si="73"/>
        <v>2530.0549999999998</v>
      </c>
    </row>
    <row r="3016" spans="1:23" ht="15" customHeight="1">
      <c r="A3016" s="3">
        <v>40126</v>
      </c>
      <c r="B3016" s="9">
        <v>550</v>
      </c>
      <c r="C3016" s="5">
        <v>80150</v>
      </c>
      <c r="D3016" s="5" t="e">
        <f>E3016-(#REF!+C3016)</f>
        <v>#REF!</v>
      </c>
      <c r="E3016" s="5">
        <v>131025</v>
      </c>
      <c r="K3016" s="22">
        <v>2278</v>
      </c>
      <c r="L3016" s="6">
        <v>2298</v>
      </c>
      <c r="M3016" s="125">
        <f t="shared" si="72"/>
        <v>20</v>
      </c>
      <c r="N3016" s="18"/>
      <c r="O3016" s="135"/>
      <c r="P3016" s="175">
        <v>15600</v>
      </c>
      <c r="Q3016" s="25">
        <v>0.14649999999999999</v>
      </c>
      <c r="U3016" s="384">
        <v>0.1</v>
      </c>
      <c r="W3016" s="285">
        <f t="shared" si="73"/>
        <v>2513.9400000000005</v>
      </c>
    </row>
    <row r="3017" spans="1:23" ht="15" customHeight="1">
      <c r="A3017" s="3">
        <v>40127</v>
      </c>
      <c r="B3017" s="9">
        <v>550</v>
      </c>
      <c r="C3017" s="5">
        <v>80150</v>
      </c>
      <c r="D3017" s="5" t="e">
        <f>E3017-(#REF!+C3017)</f>
        <v>#REF!</v>
      </c>
      <c r="E3017" s="5">
        <v>131350</v>
      </c>
      <c r="K3017" s="22">
        <v>2258</v>
      </c>
      <c r="L3017" s="6">
        <v>2270</v>
      </c>
      <c r="M3017" s="125">
        <f t="shared" si="72"/>
        <v>12</v>
      </c>
      <c r="N3017" s="18"/>
      <c r="O3017" s="135"/>
      <c r="P3017" s="175">
        <v>15500</v>
      </c>
      <c r="Q3017" s="25">
        <v>0.14649999999999999</v>
      </c>
      <c r="U3017" s="384">
        <v>0.1</v>
      </c>
      <c r="W3017" s="285">
        <f t="shared" si="73"/>
        <v>2497.8250000000003</v>
      </c>
    </row>
    <row r="3018" spans="1:23" ht="15" customHeight="1">
      <c r="A3018" s="3">
        <v>40128</v>
      </c>
      <c r="B3018" s="9">
        <v>550</v>
      </c>
      <c r="C3018" s="5">
        <v>80150</v>
      </c>
      <c r="D3018" s="5" t="e">
        <f>E3018-(#REF!+C3018)</f>
        <v>#REF!</v>
      </c>
      <c r="E3018" s="5">
        <v>131800</v>
      </c>
      <c r="K3018" s="22">
        <v>2312.5</v>
      </c>
      <c r="L3018" s="6">
        <v>2337</v>
      </c>
      <c r="M3018" s="125">
        <f t="shared" si="72"/>
        <v>24.5</v>
      </c>
      <c r="N3018" s="18"/>
      <c r="O3018" s="135"/>
      <c r="P3018" s="175">
        <v>15500</v>
      </c>
      <c r="Q3018" s="25">
        <v>0.14649999999999999</v>
      </c>
      <c r="U3018" s="384">
        <v>0.1</v>
      </c>
      <c r="W3018" s="285">
        <f t="shared" si="73"/>
        <v>2497.8250000000003</v>
      </c>
    </row>
    <row r="3019" spans="1:23" ht="15" customHeight="1">
      <c r="A3019" s="3">
        <v>40129</v>
      </c>
      <c r="B3019" s="9">
        <v>550</v>
      </c>
      <c r="C3019" s="5">
        <v>80150</v>
      </c>
      <c r="D3019" s="5" t="e">
        <f>E3019-(#REF!+C3019)</f>
        <v>#REF!</v>
      </c>
      <c r="E3019" s="5">
        <v>132075</v>
      </c>
      <c r="K3019" s="22">
        <v>2251</v>
      </c>
      <c r="L3019" s="6">
        <v>2270</v>
      </c>
      <c r="M3019" s="125">
        <f t="shared" si="72"/>
        <v>19</v>
      </c>
      <c r="N3019" s="18"/>
      <c r="O3019" s="135"/>
      <c r="P3019" s="175">
        <v>15500</v>
      </c>
      <c r="Q3019" s="25">
        <v>0.14649999999999999</v>
      </c>
      <c r="U3019" s="384">
        <v>0.1</v>
      </c>
      <c r="W3019" s="285">
        <f t="shared" si="73"/>
        <v>2497.8250000000003</v>
      </c>
    </row>
    <row r="3020" spans="1:23" ht="15" customHeight="1">
      <c r="A3020" s="3">
        <v>40130</v>
      </c>
      <c r="B3020" s="9">
        <v>550</v>
      </c>
      <c r="C3020" s="5">
        <v>80150</v>
      </c>
      <c r="D3020" s="5" t="e">
        <f>E3020-(#REF!+C3020)</f>
        <v>#REF!</v>
      </c>
      <c r="E3020" s="5">
        <v>132250</v>
      </c>
      <c r="K3020" s="22">
        <v>2241</v>
      </c>
      <c r="L3020" s="6">
        <v>2262</v>
      </c>
      <c r="M3020" s="125">
        <f t="shared" si="72"/>
        <v>21</v>
      </c>
      <c r="N3020" s="18"/>
      <c r="O3020" s="135"/>
      <c r="P3020" s="175">
        <v>15450</v>
      </c>
      <c r="Q3020" s="25">
        <v>0.14649999999999999</v>
      </c>
      <c r="U3020" s="384">
        <v>0.1</v>
      </c>
      <c r="W3020" s="285">
        <f t="shared" si="73"/>
        <v>2489.7674999999999</v>
      </c>
    </row>
    <row r="3021" spans="1:23" ht="15" customHeight="1">
      <c r="A3021" s="3">
        <v>40133</v>
      </c>
      <c r="B3021" s="9">
        <v>550</v>
      </c>
      <c r="C3021" s="5">
        <v>80125</v>
      </c>
      <c r="D3021" s="5" t="e">
        <f>E3021-(#REF!+C3021)</f>
        <v>#REF!</v>
      </c>
      <c r="E3021" s="5">
        <v>132225</v>
      </c>
      <c r="K3021" s="22">
        <v>2290.5</v>
      </c>
      <c r="L3021" s="6">
        <v>2321</v>
      </c>
      <c r="M3021" s="125">
        <f t="shared" si="72"/>
        <v>30.5</v>
      </c>
      <c r="N3021" s="18"/>
      <c r="O3021" s="135"/>
      <c r="P3021" s="175">
        <v>15500</v>
      </c>
      <c r="Q3021" s="25">
        <v>0.14649999999999999</v>
      </c>
      <c r="U3021" s="384">
        <v>0.1</v>
      </c>
      <c r="W3021" s="285">
        <f t="shared" si="73"/>
        <v>2497.8250000000003</v>
      </c>
    </row>
    <row r="3022" spans="1:23" ht="15" customHeight="1">
      <c r="A3022" s="3">
        <v>40134</v>
      </c>
      <c r="B3022" s="9">
        <v>550</v>
      </c>
      <c r="C3022" s="5">
        <v>80050</v>
      </c>
      <c r="D3022" s="5" t="e">
        <f>E3022-(#REF!+C3022)</f>
        <v>#REF!</v>
      </c>
      <c r="E3022" s="5">
        <v>132400</v>
      </c>
      <c r="K3022" s="22">
        <v>2331</v>
      </c>
      <c r="L3022" s="6">
        <v>2357</v>
      </c>
      <c r="M3022" s="125">
        <f t="shared" si="72"/>
        <v>26</v>
      </c>
      <c r="N3022" s="18"/>
      <c r="O3022" s="135"/>
      <c r="P3022" s="175">
        <v>15700</v>
      </c>
      <c r="Q3022" s="25">
        <v>0.14649999999999999</v>
      </c>
      <c r="U3022" s="384">
        <v>0.1</v>
      </c>
      <c r="W3022" s="285">
        <f t="shared" si="73"/>
        <v>2530.0549999999998</v>
      </c>
    </row>
    <row r="3023" spans="1:23" ht="15" customHeight="1">
      <c r="A3023" s="3">
        <v>40135</v>
      </c>
      <c r="B3023" s="9">
        <v>550</v>
      </c>
      <c r="C3023" s="5">
        <v>80500</v>
      </c>
      <c r="D3023" s="5" t="e">
        <f>E3023-(#REF!+C3023)</f>
        <v>#REF!</v>
      </c>
      <c r="E3023" s="5">
        <v>133025</v>
      </c>
      <c r="K3023" s="22">
        <v>2405</v>
      </c>
      <c r="L3023" s="6">
        <v>2430</v>
      </c>
      <c r="M3023" s="125">
        <f t="shared" si="72"/>
        <v>25</v>
      </c>
      <c r="N3023" s="18"/>
      <c r="O3023" s="135"/>
      <c r="P3023" s="175">
        <v>15700</v>
      </c>
      <c r="Q3023" s="25">
        <v>0.14649999999999999</v>
      </c>
      <c r="U3023" s="384">
        <v>0.1</v>
      </c>
      <c r="W3023" s="285">
        <f t="shared" si="73"/>
        <v>2530.0549999999998</v>
      </c>
    </row>
    <row r="3024" spans="1:23" ht="15" customHeight="1">
      <c r="A3024" s="3">
        <v>40136</v>
      </c>
      <c r="B3024" s="9">
        <v>550</v>
      </c>
      <c r="C3024" s="5">
        <v>82450</v>
      </c>
      <c r="D3024" s="5" t="e">
        <f>E3024-(#REF!+C3024)</f>
        <v>#REF!</v>
      </c>
      <c r="E3024" s="5">
        <v>134800</v>
      </c>
      <c r="K3024" s="22">
        <v>2335</v>
      </c>
      <c r="L3024" s="6">
        <v>2355</v>
      </c>
      <c r="M3024" s="125">
        <f t="shared" si="72"/>
        <v>20</v>
      </c>
      <c r="N3024" s="18"/>
      <c r="O3024" s="135"/>
      <c r="P3024" s="175">
        <v>15700</v>
      </c>
      <c r="Q3024" s="25">
        <v>0.1464</v>
      </c>
      <c r="U3024" s="384">
        <v>0.1</v>
      </c>
      <c r="W3024" s="285">
        <f t="shared" si="73"/>
        <v>2528.3280000000004</v>
      </c>
    </row>
    <row r="3025" spans="1:23" ht="15" customHeight="1">
      <c r="A3025" s="3">
        <v>40137</v>
      </c>
      <c r="B3025" s="9">
        <v>550</v>
      </c>
      <c r="C3025" s="5">
        <v>82425</v>
      </c>
      <c r="D3025" s="5" t="e">
        <f>E3025-(#REF!+C3025)</f>
        <v>#REF!</v>
      </c>
      <c r="E3025" s="5">
        <v>135125</v>
      </c>
      <c r="K3025" s="22">
        <v>2309</v>
      </c>
      <c r="L3025" s="6">
        <v>2340</v>
      </c>
      <c r="M3025" s="125">
        <f t="shared" si="72"/>
        <v>31</v>
      </c>
      <c r="N3025" s="18"/>
      <c r="O3025" s="135"/>
      <c r="P3025" s="175">
        <v>15600</v>
      </c>
      <c r="Q3025" s="25">
        <v>0.14649999999999999</v>
      </c>
      <c r="U3025" s="384">
        <v>0.1</v>
      </c>
      <c r="W3025" s="285">
        <f t="shared" si="73"/>
        <v>2513.9400000000005</v>
      </c>
    </row>
    <row r="3026" spans="1:23" ht="15" customHeight="1">
      <c r="A3026" s="3">
        <v>40140</v>
      </c>
      <c r="B3026" s="9">
        <v>550</v>
      </c>
      <c r="C3026" s="5">
        <v>82425</v>
      </c>
      <c r="D3026" s="5" t="e">
        <f>E3026-(#REF!+C3026)</f>
        <v>#REF!</v>
      </c>
      <c r="E3026" s="5">
        <v>135125</v>
      </c>
      <c r="K3026" s="22">
        <v>2375.5</v>
      </c>
      <c r="L3026" s="6">
        <v>2395</v>
      </c>
      <c r="M3026" s="125">
        <f t="shared" si="72"/>
        <v>19.5</v>
      </c>
      <c r="N3026" s="18"/>
      <c r="O3026" s="135"/>
      <c r="P3026" s="175">
        <v>15750</v>
      </c>
      <c r="Q3026" s="25">
        <v>0.1464</v>
      </c>
      <c r="U3026" s="384">
        <v>0.1</v>
      </c>
      <c r="W3026" s="285">
        <f t="shared" si="73"/>
        <v>2536.3800000000006</v>
      </c>
    </row>
    <row r="3027" spans="1:23" ht="15" customHeight="1">
      <c r="A3027" s="3">
        <v>40141</v>
      </c>
      <c r="B3027" s="9">
        <v>550</v>
      </c>
      <c r="C3027" s="5">
        <v>82400</v>
      </c>
      <c r="D3027" s="5" t="e">
        <f>E3027-(#REF!+C3027)</f>
        <v>#REF!</v>
      </c>
      <c r="E3027" s="5">
        <v>135825</v>
      </c>
      <c r="K3027" s="22">
        <v>2358</v>
      </c>
      <c r="L3027" s="6">
        <v>2383</v>
      </c>
      <c r="M3027" s="125">
        <f t="shared" ref="M3027:M3049" si="74">L3027-K3027</f>
        <v>25</v>
      </c>
      <c r="N3027" s="18"/>
      <c r="O3027" s="135"/>
      <c r="P3027" s="175">
        <v>15900</v>
      </c>
      <c r="Q3027" s="25">
        <v>0.1464</v>
      </c>
      <c r="U3027" s="384">
        <v>0.1</v>
      </c>
      <c r="W3027" s="285">
        <f t="shared" si="73"/>
        <v>2560.5360000000005</v>
      </c>
    </row>
    <row r="3028" spans="1:23" ht="15" customHeight="1">
      <c r="A3028" s="3">
        <v>40142</v>
      </c>
      <c r="B3028" s="9">
        <v>550</v>
      </c>
      <c r="C3028" s="5">
        <v>83350</v>
      </c>
      <c r="D3028" s="5" t="e">
        <f>E3028-(#REF!+C3028)</f>
        <v>#REF!</v>
      </c>
      <c r="E3028" s="5">
        <v>136925</v>
      </c>
      <c r="K3028" s="22">
        <v>2354</v>
      </c>
      <c r="L3028" s="6">
        <v>2380</v>
      </c>
      <c r="M3028" s="125">
        <f t="shared" si="74"/>
        <v>26</v>
      </c>
      <c r="N3028" s="18"/>
      <c r="O3028" s="135"/>
      <c r="P3028" s="175">
        <v>15900</v>
      </c>
      <c r="Q3028" s="25">
        <v>0.1464</v>
      </c>
      <c r="U3028" s="384">
        <v>0.1</v>
      </c>
      <c r="W3028" s="285">
        <f t="shared" si="73"/>
        <v>2560.5360000000005</v>
      </c>
    </row>
    <row r="3029" spans="1:23" ht="15" customHeight="1">
      <c r="A3029" s="3">
        <v>40143</v>
      </c>
      <c r="B3029" s="9">
        <v>550</v>
      </c>
      <c r="C3029" s="5">
        <v>83350</v>
      </c>
      <c r="D3029" s="5" t="e">
        <f>E3029-(#REF!+C3029)</f>
        <v>#REF!</v>
      </c>
      <c r="E3029" s="5">
        <v>137025</v>
      </c>
      <c r="K3029" s="22">
        <v>2344</v>
      </c>
      <c r="L3029" s="6">
        <v>2371</v>
      </c>
      <c r="M3029" s="125">
        <f t="shared" si="74"/>
        <v>27</v>
      </c>
      <c r="N3029" s="18"/>
      <c r="O3029" s="135"/>
      <c r="P3029" s="175">
        <v>16000</v>
      </c>
      <c r="Q3029" s="25">
        <v>0.14649999999999999</v>
      </c>
      <c r="U3029" s="384">
        <v>0.1</v>
      </c>
      <c r="W3029" s="285">
        <f t="shared" si="73"/>
        <v>2578.4</v>
      </c>
    </row>
    <row r="3030" spans="1:23" ht="15" customHeight="1">
      <c r="A3030" s="3">
        <v>40144</v>
      </c>
      <c r="B3030" s="9">
        <v>550</v>
      </c>
      <c r="C3030" s="5">
        <v>83350</v>
      </c>
      <c r="D3030" s="5" t="e">
        <f>E3030-(#REF!+C3030)</f>
        <v>#REF!</v>
      </c>
      <c r="E3030" s="5">
        <v>137275</v>
      </c>
      <c r="K3030" s="22">
        <v>2289</v>
      </c>
      <c r="L3030" s="6">
        <v>2310</v>
      </c>
      <c r="M3030" s="125">
        <f t="shared" si="74"/>
        <v>21</v>
      </c>
      <c r="N3030" s="18"/>
      <c r="O3030" s="135"/>
      <c r="P3030" s="175">
        <v>16000</v>
      </c>
      <c r="Q3030" s="25">
        <v>0.14649999999999999</v>
      </c>
      <c r="U3030" s="384">
        <v>0.1</v>
      </c>
      <c r="W3030" s="285">
        <f t="shared" si="73"/>
        <v>2578.4</v>
      </c>
    </row>
    <row r="3031" spans="1:23" ht="15" customHeight="1" thickBot="1">
      <c r="A3031" s="11">
        <v>40147</v>
      </c>
      <c r="B3031" s="9">
        <v>550</v>
      </c>
      <c r="C3031" s="13">
        <v>83350</v>
      </c>
      <c r="D3031" s="13" t="e">
        <f>E3031-(#REF!+C3031)</f>
        <v>#REF!</v>
      </c>
      <c r="E3031" s="13">
        <v>137850</v>
      </c>
      <c r="F3031" s="12"/>
      <c r="G3031" s="13"/>
      <c r="H3031" s="13"/>
      <c r="I3031" s="119"/>
      <c r="J3031" s="119"/>
      <c r="K3031" s="23">
        <v>2290</v>
      </c>
      <c r="L3031" s="14">
        <v>2316</v>
      </c>
      <c r="M3031" s="126">
        <f t="shared" si="74"/>
        <v>26</v>
      </c>
      <c r="N3031" s="84">
        <f>AVERAGE(K3011:K3031)</f>
        <v>2308.7619047619046</v>
      </c>
      <c r="O3031" s="141">
        <f>AVERAGE(K2796:K3031)</f>
        <v>1671.5862068965516</v>
      </c>
      <c r="P3031" s="176">
        <v>15900</v>
      </c>
      <c r="Q3031" s="27">
        <v>0.14649999999999999</v>
      </c>
      <c r="R3031" s="27"/>
      <c r="S3031" s="27"/>
      <c r="T3031" s="27"/>
      <c r="U3031" s="385">
        <v>0.1</v>
      </c>
      <c r="V3031" s="38">
        <f>AVERAGE(P3011:P3031)</f>
        <v>15702.380952380952</v>
      </c>
      <c r="W3031" s="285">
        <f t="shared" si="73"/>
        <v>2562.2850000000003</v>
      </c>
    </row>
    <row r="3032" spans="1:23" ht="15" customHeight="1">
      <c r="A3032" s="3">
        <v>40148</v>
      </c>
      <c r="B3032" s="9">
        <v>550</v>
      </c>
      <c r="C3032" s="5">
        <v>83350</v>
      </c>
      <c r="D3032" s="5" t="e">
        <f>E3032-(#REF!+C3032)</f>
        <v>#REF!</v>
      </c>
      <c r="E3032" s="5">
        <v>138450</v>
      </c>
      <c r="K3032" s="22">
        <v>2343</v>
      </c>
      <c r="L3032" s="6">
        <v>2372</v>
      </c>
      <c r="M3032" s="125">
        <f t="shared" si="74"/>
        <v>29</v>
      </c>
      <c r="N3032" s="20"/>
      <c r="O3032" s="138"/>
      <c r="P3032" s="175">
        <v>15950</v>
      </c>
      <c r="Q3032" s="25">
        <v>0.14649999999999999</v>
      </c>
      <c r="U3032" s="386">
        <v>0.1</v>
      </c>
      <c r="W3032" s="285">
        <f t="shared" si="73"/>
        <v>2570.3424999999997</v>
      </c>
    </row>
    <row r="3033" spans="1:23" ht="15" customHeight="1">
      <c r="A3033" s="3">
        <v>40149</v>
      </c>
      <c r="B3033" s="9">
        <v>550</v>
      </c>
      <c r="C3033" s="5">
        <v>83350</v>
      </c>
      <c r="D3033" s="5" t="e">
        <f>E3033-(#REF!+C3033)</f>
        <v>#REF!</v>
      </c>
      <c r="E3033" s="5">
        <v>138600</v>
      </c>
      <c r="K3033" s="22">
        <v>2445</v>
      </c>
      <c r="L3033" s="6">
        <v>2489</v>
      </c>
      <c r="M3033" s="125">
        <f t="shared" si="74"/>
        <v>44</v>
      </c>
      <c r="N3033" s="18"/>
      <c r="O3033" s="135"/>
      <c r="P3033" s="175">
        <v>16100</v>
      </c>
      <c r="Q3033" s="25">
        <v>0.14649999999999999</v>
      </c>
      <c r="U3033" s="384">
        <v>0.1</v>
      </c>
      <c r="W3033" s="285">
        <f t="shared" si="73"/>
        <v>2594.5149999999999</v>
      </c>
    </row>
    <row r="3034" spans="1:23" ht="15" customHeight="1">
      <c r="A3034" s="3">
        <v>40150</v>
      </c>
      <c r="B3034" s="9">
        <v>550</v>
      </c>
      <c r="C3034" s="5">
        <v>83350</v>
      </c>
      <c r="D3034" s="5" t="e">
        <f>E3034-(#REF!+C3034)</f>
        <v>#REF!</v>
      </c>
      <c r="E3034" s="5">
        <v>139225</v>
      </c>
      <c r="K3034" s="22">
        <v>2413</v>
      </c>
      <c r="L3034" s="6">
        <v>2437</v>
      </c>
      <c r="M3034" s="125">
        <f t="shared" si="74"/>
        <v>24</v>
      </c>
      <c r="N3034" s="18"/>
      <c r="O3034" s="135"/>
      <c r="P3034" s="175">
        <v>16200</v>
      </c>
      <c r="Q3034" s="25">
        <v>0.14649999999999999</v>
      </c>
      <c r="U3034" s="384">
        <v>0.1</v>
      </c>
      <c r="W3034" s="285">
        <f t="shared" si="73"/>
        <v>2610.63</v>
      </c>
    </row>
    <row r="3035" spans="1:23" ht="15" customHeight="1">
      <c r="A3035" s="3">
        <v>40151</v>
      </c>
      <c r="B3035" s="9">
        <v>900</v>
      </c>
      <c r="C3035" s="5">
        <v>83350</v>
      </c>
      <c r="D3035" s="5" t="e">
        <f>E3035-(#REF!+C3035)</f>
        <v>#REF!</v>
      </c>
      <c r="E3035" s="5">
        <v>139575</v>
      </c>
      <c r="K3035" s="22">
        <v>2345</v>
      </c>
      <c r="L3035" s="6">
        <v>2366</v>
      </c>
      <c r="M3035" s="125">
        <f t="shared" si="74"/>
        <v>21</v>
      </c>
      <c r="N3035" s="18"/>
      <c r="O3035" s="135"/>
      <c r="P3035" s="175">
        <v>16100</v>
      </c>
      <c r="Q3035" s="25">
        <v>0.14649999999999999</v>
      </c>
      <c r="U3035" s="384">
        <v>0.1</v>
      </c>
      <c r="W3035" s="285">
        <f t="shared" si="73"/>
        <v>2594.5149999999999</v>
      </c>
    </row>
    <row r="3036" spans="1:23" ht="15" customHeight="1">
      <c r="A3036" s="3">
        <v>40154</v>
      </c>
      <c r="B3036" s="9">
        <v>900</v>
      </c>
      <c r="C3036" s="5">
        <v>83850</v>
      </c>
      <c r="D3036" s="5" t="e">
        <f>E3036-(#REF!+C3036)</f>
        <v>#REF!</v>
      </c>
      <c r="E3036" s="5">
        <v>140350</v>
      </c>
      <c r="K3036" s="22">
        <v>2297</v>
      </c>
      <c r="L3036" s="6">
        <v>2325</v>
      </c>
      <c r="M3036" s="125">
        <f t="shared" si="74"/>
        <v>28</v>
      </c>
      <c r="N3036" s="18"/>
      <c r="O3036" s="135"/>
      <c r="P3036" s="175">
        <v>16000</v>
      </c>
      <c r="Q3036" s="25">
        <v>0.1464</v>
      </c>
      <c r="U3036" s="384">
        <v>0.1</v>
      </c>
      <c r="W3036" s="285">
        <f t="shared" si="73"/>
        <v>2576.6400000000003</v>
      </c>
    </row>
    <row r="3037" spans="1:23" ht="15" customHeight="1">
      <c r="A3037" s="3">
        <v>40155</v>
      </c>
      <c r="B3037" s="9">
        <v>900</v>
      </c>
      <c r="C3037" s="5">
        <v>83850</v>
      </c>
      <c r="D3037" s="5" t="e">
        <f>E3037-(#REF!+C3037)</f>
        <v>#REF!</v>
      </c>
      <c r="E3037" s="5">
        <v>140725</v>
      </c>
      <c r="K3037" s="22">
        <v>2256</v>
      </c>
      <c r="L3037" s="6">
        <v>2292</v>
      </c>
      <c r="M3037" s="125">
        <f t="shared" si="74"/>
        <v>36</v>
      </c>
      <c r="N3037" s="18"/>
      <c r="O3037" s="135"/>
      <c r="P3037" s="175">
        <v>15850</v>
      </c>
      <c r="Q3037" s="25">
        <v>0.14649999999999999</v>
      </c>
      <c r="U3037" s="384">
        <v>0.1</v>
      </c>
      <c r="W3037" s="285">
        <f t="shared" si="73"/>
        <v>2554.2275</v>
      </c>
    </row>
    <row r="3038" spans="1:23" ht="15" customHeight="1">
      <c r="A3038" s="3">
        <v>40156</v>
      </c>
      <c r="B3038" s="9">
        <v>900</v>
      </c>
      <c r="C3038" s="5">
        <v>83800</v>
      </c>
      <c r="D3038" s="5" t="e">
        <f>E3038-(#REF!+C3038)</f>
        <v>#REF!</v>
      </c>
      <c r="E3038" s="5">
        <v>140800</v>
      </c>
      <c r="K3038" s="22">
        <v>2275</v>
      </c>
      <c r="L3038" s="6">
        <v>2310</v>
      </c>
      <c r="M3038" s="125">
        <f t="shared" si="74"/>
        <v>35</v>
      </c>
      <c r="N3038" s="18"/>
      <c r="O3038" s="135"/>
      <c r="P3038" s="175">
        <v>15650</v>
      </c>
      <c r="Q3038" s="25">
        <v>0.14649999999999999</v>
      </c>
      <c r="U3038" s="384">
        <v>0.1</v>
      </c>
      <c r="W3038" s="285">
        <f t="shared" si="73"/>
        <v>2521.9974999999999</v>
      </c>
    </row>
    <row r="3039" spans="1:23" ht="15" customHeight="1">
      <c r="A3039" s="3">
        <v>40157</v>
      </c>
      <c r="B3039" s="9">
        <v>900</v>
      </c>
      <c r="C3039" s="5">
        <v>83750</v>
      </c>
      <c r="D3039" s="5" t="e">
        <f>E3039-(#REF!+C3039)</f>
        <v>#REF!</v>
      </c>
      <c r="E3039" s="5">
        <v>140750</v>
      </c>
      <c r="K3039" s="22">
        <v>2260</v>
      </c>
      <c r="L3039" s="6">
        <v>2287</v>
      </c>
      <c r="M3039" s="125">
        <f t="shared" si="74"/>
        <v>27</v>
      </c>
      <c r="N3039" s="18"/>
      <c r="O3039" s="135"/>
      <c r="P3039" s="175">
        <v>15650</v>
      </c>
      <c r="Q3039" s="25">
        <v>0.14649999999999999</v>
      </c>
      <c r="U3039" s="384">
        <v>0.1</v>
      </c>
      <c r="W3039" s="285">
        <f t="shared" si="73"/>
        <v>2521.9974999999999</v>
      </c>
    </row>
    <row r="3040" spans="1:23" ht="15" customHeight="1">
      <c r="A3040" s="3">
        <v>40158</v>
      </c>
      <c r="B3040" s="9">
        <v>900</v>
      </c>
      <c r="C3040" s="5">
        <v>83975</v>
      </c>
      <c r="D3040" s="5" t="e">
        <f>E3040-(#REF!+C3040)</f>
        <v>#REF!</v>
      </c>
      <c r="E3040" s="5">
        <v>140975</v>
      </c>
      <c r="K3040" s="22">
        <v>2290</v>
      </c>
      <c r="L3040" s="6">
        <v>2322</v>
      </c>
      <c r="M3040" s="125">
        <f t="shared" si="74"/>
        <v>32</v>
      </c>
      <c r="N3040" s="18"/>
      <c r="O3040" s="135"/>
      <c r="P3040" s="175">
        <v>15650</v>
      </c>
      <c r="Q3040" s="25">
        <v>0.14649999999999999</v>
      </c>
      <c r="U3040" s="384">
        <v>0.1</v>
      </c>
      <c r="W3040" s="285">
        <f t="shared" si="73"/>
        <v>2521.9974999999999</v>
      </c>
    </row>
    <row r="3041" spans="1:23" ht="15" customHeight="1">
      <c r="A3041" s="3">
        <v>40161</v>
      </c>
      <c r="B3041" s="9">
        <v>900</v>
      </c>
      <c r="C3041" s="5">
        <v>83925</v>
      </c>
      <c r="D3041" s="5" t="e">
        <f>E3041-(#REF!+C3041)</f>
        <v>#REF!</v>
      </c>
      <c r="E3041" s="5">
        <v>140925</v>
      </c>
      <c r="K3041" s="22">
        <v>2291</v>
      </c>
      <c r="L3041" s="6">
        <v>2315</v>
      </c>
      <c r="M3041" s="125">
        <f t="shared" si="74"/>
        <v>24</v>
      </c>
      <c r="N3041" s="18"/>
      <c r="O3041" s="135"/>
      <c r="P3041" s="175">
        <v>15700</v>
      </c>
      <c r="Q3041" s="25">
        <v>0.14649999999999999</v>
      </c>
      <c r="U3041" s="384">
        <v>0.1</v>
      </c>
      <c r="W3041" s="285">
        <f t="shared" si="73"/>
        <v>2530.0549999999998</v>
      </c>
    </row>
    <row r="3042" spans="1:23" ht="15" customHeight="1">
      <c r="A3042" s="3">
        <v>40162</v>
      </c>
      <c r="B3042" s="9">
        <v>900</v>
      </c>
      <c r="C3042" s="5">
        <v>83925</v>
      </c>
      <c r="D3042" s="5" t="e">
        <f>E3042-(#REF!+C3042)</f>
        <v>#REF!</v>
      </c>
      <c r="E3042" s="5">
        <v>140925</v>
      </c>
      <c r="K3042" s="22">
        <v>2294</v>
      </c>
      <c r="L3042" s="6">
        <v>2322</v>
      </c>
      <c r="M3042" s="125">
        <f t="shared" si="74"/>
        <v>28</v>
      </c>
      <c r="N3042" s="18"/>
      <c r="O3042" s="135"/>
      <c r="P3042" s="175">
        <v>15700</v>
      </c>
      <c r="Q3042" s="25">
        <v>0.14649999999999999</v>
      </c>
      <c r="U3042" s="384">
        <v>0.1</v>
      </c>
      <c r="W3042" s="285">
        <f t="shared" si="73"/>
        <v>2530.0549999999998</v>
      </c>
    </row>
    <row r="3043" spans="1:23" ht="15" customHeight="1">
      <c r="A3043" s="3">
        <v>40163</v>
      </c>
      <c r="B3043" s="9">
        <v>900</v>
      </c>
      <c r="C3043" s="5">
        <v>84575</v>
      </c>
      <c r="D3043" s="5" t="e">
        <f>E3043-(#REF!+C3043)</f>
        <v>#REF!</v>
      </c>
      <c r="E3043" s="5">
        <v>141575</v>
      </c>
      <c r="K3043" s="22">
        <v>2368</v>
      </c>
      <c r="L3043" s="6">
        <v>2395</v>
      </c>
      <c r="M3043" s="125">
        <f t="shared" si="74"/>
        <v>27</v>
      </c>
      <c r="N3043" s="18"/>
      <c r="O3043" s="135"/>
      <c r="P3043" s="175">
        <v>15700</v>
      </c>
      <c r="Q3043" s="25">
        <v>0.14649999999999999</v>
      </c>
      <c r="U3043" s="384">
        <v>0.1</v>
      </c>
      <c r="W3043" s="285">
        <f t="shared" si="73"/>
        <v>2530.0549999999998</v>
      </c>
    </row>
    <row r="3044" spans="1:23" ht="15" customHeight="1">
      <c r="A3044" s="3">
        <v>40164</v>
      </c>
      <c r="B3044" s="9">
        <v>900</v>
      </c>
      <c r="C3044" s="5">
        <v>84575</v>
      </c>
      <c r="D3044" s="5" t="e">
        <f>E3044-(#REF!+C3044)</f>
        <v>#REF!</v>
      </c>
      <c r="E3044" s="5">
        <v>141925</v>
      </c>
      <c r="K3044" s="22">
        <v>2332</v>
      </c>
      <c r="L3044" s="6">
        <v>2365.5</v>
      </c>
      <c r="M3044" s="125">
        <f t="shared" si="74"/>
        <v>33.5</v>
      </c>
      <c r="N3044" s="18"/>
      <c r="O3044" s="135"/>
      <c r="P3044" s="175">
        <v>15750</v>
      </c>
      <c r="Q3044" s="25">
        <v>0.1464</v>
      </c>
      <c r="U3044" s="384">
        <v>0.1</v>
      </c>
      <c r="W3044" s="285">
        <f t="shared" si="73"/>
        <v>2536.3800000000006</v>
      </c>
    </row>
    <row r="3045" spans="1:23" ht="15" customHeight="1">
      <c r="A3045" s="3">
        <v>40165</v>
      </c>
      <c r="B3045" s="9">
        <v>900</v>
      </c>
      <c r="C3045" s="5">
        <v>84625</v>
      </c>
      <c r="D3045" s="5" t="e">
        <f>E3045-(#REF!+C3045)</f>
        <v>#REF!</v>
      </c>
      <c r="E3045" s="5">
        <v>142175</v>
      </c>
      <c r="K3045" s="22">
        <v>2314.5</v>
      </c>
      <c r="L3045" s="6">
        <v>2348.5</v>
      </c>
      <c r="M3045" s="125">
        <f t="shared" si="74"/>
        <v>34</v>
      </c>
      <c r="N3045" s="18"/>
      <c r="O3045" s="135"/>
      <c r="P3045" s="175">
        <v>15650</v>
      </c>
      <c r="Q3045" s="25">
        <v>0.14649999999999999</v>
      </c>
      <c r="U3045" s="384">
        <v>0.1</v>
      </c>
      <c r="W3045" s="285">
        <f t="shared" si="73"/>
        <v>2521.9974999999999</v>
      </c>
    </row>
    <row r="3046" spans="1:23" ht="15" customHeight="1">
      <c r="A3046" s="3">
        <v>40168</v>
      </c>
      <c r="B3046" s="9">
        <v>900</v>
      </c>
      <c r="C3046" s="5">
        <v>84925</v>
      </c>
      <c r="D3046" s="5" t="e">
        <f>E3046-(#REF!+C3046)</f>
        <v>#REF!</v>
      </c>
      <c r="E3046" s="5">
        <v>142975</v>
      </c>
      <c r="K3046" s="22">
        <v>2320</v>
      </c>
      <c r="L3046" s="6">
        <v>2347</v>
      </c>
      <c r="M3046" s="125">
        <f t="shared" si="74"/>
        <v>27</v>
      </c>
      <c r="N3046" s="18"/>
      <c r="O3046" s="135"/>
      <c r="P3046" s="175">
        <v>15625</v>
      </c>
      <c r="Q3046" s="25">
        <v>0.1464</v>
      </c>
      <c r="U3046" s="384">
        <v>0.1</v>
      </c>
      <c r="W3046" s="285">
        <f t="shared" si="73"/>
        <v>2516.25</v>
      </c>
    </row>
    <row r="3047" spans="1:23" ht="15" customHeight="1">
      <c r="A3047" s="3">
        <v>40169</v>
      </c>
      <c r="B3047" s="9">
        <v>900</v>
      </c>
      <c r="C3047" s="5">
        <v>84925</v>
      </c>
      <c r="D3047" s="5" t="e">
        <f>E3047-(#REF!+C3047)</f>
        <v>#REF!</v>
      </c>
      <c r="E3047" s="5">
        <v>143175</v>
      </c>
      <c r="K3047" s="22">
        <v>2271</v>
      </c>
      <c r="L3047" s="6">
        <v>2310</v>
      </c>
      <c r="M3047" s="125">
        <f t="shared" si="74"/>
        <v>39</v>
      </c>
      <c r="N3047" s="18"/>
      <c r="O3047" s="135"/>
      <c r="P3047" s="175">
        <v>15600</v>
      </c>
      <c r="Q3047" s="25">
        <v>0.1464</v>
      </c>
      <c r="U3047" s="384">
        <v>0.1</v>
      </c>
      <c r="W3047" s="285">
        <f t="shared" si="73"/>
        <v>2512.2240000000002</v>
      </c>
    </row>
    <row r="3048" spans="1:23" ht="15" customHeight="1">
      <c r="A3048" s="3">
        <v>40170</v>
      </c>
      <c r="B3048" s="9">
        <v>900</v>
      </c>
      <c r="C3048" s="5">
        <v>85150</v>
      </c>
      <c r="D3048" s="5" t="e">
        <f>E3048-(#REF!+C3048)</f>
        <v>#REF!</v>
      </c>
      <c r="E3048" s="5">
        <v>144175</v>
      </c>
      <c r="K3048" s="22">
        <v>2300</v>
      </c>
      <c r="L3048" s="6">
        <v>2328</v>
      </c>
      <c r="M3048" s="125">
        <f t="shared" si="74"/>
        <v>28</v>
      </c>
      <c r="N3048" s="18"/>
      <c r="O3048" s="135"/>
      <c r="P3048" s="175">
        <v>15550</v>
      </c>
      <c r="Q3048" s="25">
        <v>0.1464</v>
      </c>
      <c r="U3048" s="384">
        <v>0.1</v>
      </c>
      <c r="W3048" s="285">
        <f t="shared" si="73"/>
        <v>2504.172</v>
      </c>
    </row>
    <row r="3049" spans="1:23" ht="15" customHeight="1">
      <c r="A3049" s="3">
        <v>40171</v>
      </c>
      <c r="B3049" s="9">
        <v>900</v>
      </c>
      <c r="C3049" s="5">
        <v>85225</v>
      </c>
      <c r="D3049" s="5" t="e">
        <f>E3049-(#REF!+C3049)</f>
        <v>#REF!</v>
      </c>
      <c r="E3049" s="5">
        <v>144275</v>
      </c>
      <c r="K3049" s="22">
        <v>2327</v>
      </c>
      <c r="L3049" s="6">
        <v>2360</v>
      </c>
      <c r="M3049" s="125">
        <f t="shared" si="74"/>
        <v>33</v>
      </c>
      <c r="N3049" s="18"/>
      <c r="O3049" s="135"/>
      <c r="P3049" s="175">
        <v>15600</v>
      </c>
      <c r="Q3049" s="78">
        <f>173.33/1183.6</f>
        <v>0.14644305508617778</v>
      </c>
      <c r="R3049" s="78"/>
      <c r="S3049" s="78"/>
      <c r="T3049" s="78"/>
      <c r="U3049" s="384">
        <v>0.1</v>
      </c>
      <c r="W3049" s="285">
        <f t="shared" si="73"/>
        <v>2512.9628252788107</v>
      </c>
    </row>
    <row r="3050" spans="1:23" ht="15" customHeight="1">
      <c r="A3050" s="3">
        <v>40172</v>
      </c>
      <c r="B3050" s="9">
        <v>0</v>
      </c>
      <c r="C3050" s="193"/>
      <c r="D3050" s="193"/>
      <c r="E3050" s="193"/>
      <c r="F3050" s="1333" t="s">
        <v>35</v>
      </c>
      <c r="G3050" s="1333"/>
      <c r="H3050" s="1333"/>
      <c r="I3050" s="1333"/>
      <c r="J3050" s="65"/>
      <c r="K3050" s="193"/>
      <c r="L3050" s="193"/>
      <c r="M3050" s="193"/>
      <c r="N3050" s="18"/>
      <c r="O3050" s="135"/>
      <c r="P3050" s="175">
        <v>15600</v>
      </c>
      <c r="Q3050" s="78">
        <v>0.1464</v>
      </c>
      <c r="R3050" s="78"/>
      <c r="S3050" s="78"/>
      <c r="T3050" s="78"/>
      <c r="U3050" s="384">
        <v>0.1</v>
      </c>
      <c r="W3050" s="285">
        <f t="shared" si="73"/>
        <v>2512.2240000000002</v>
      </c>
    </row>
    <row r="3051" spans="1:23" ht="15" customHeight="1">
      <c r="A3051" s="3">
        <v>40175</v>
      </c>
      <c r="B3051" s="9">
        <v>0</v>
      </c>
      <c r="C3051" s="193"/>
      <c r="D3051" s="193"/>
      <c r="E3051" s="193"/>
      <c r="F3051" s="1333"/>
      <c r="G3051" s="1333"/>
      <c r="H3051" s="1333"/>
      <c r="I3051" s="1333"/>
      <c r="J3051" s="65"/>
      <c r="K3051" s="193"/>
      <c r="L3051" s="193"/>
      <c r="M3051" s="193"/>
      <c r="N3051" s="18"/>
      <c r="O3051" s="135"/>
      <c r="P3051" s="175">
        <v>15600</v>
      </c>
      <c r="Q3051" s="78">
        <v>0.1464</v>
      </c>
      <c r="R3051" s="78"/>
      <c r="S3051" s="78"/>
      <c r="T3051" s="78"/>
      <c r="U3051" s="384">
        <v>0.1</v>
      </c>
      <c r="W3051" s="285">
        <f t="shared" si="73"/>
        <v>2512.2240000000002</v>
      </c>
    </row>
    <row r="3052" spans="1:23" ht="15" customHeight="1">
      <c r="A3052" s="3">
        <v>40176</v>
      </c>
      <c r="B3052" s="9">
        <v>900</v>
      </c>
      <c r="C3052" s="5">
        <v>85450</v>
      </c>
      <c r="D3052" s="5" t="e">
        <f>E3052-(#REF!+C3052)</f>
        <v>#REF!</v>
      </c>
      <c r="E3052" s="5">
        <v>145225</v>
      </c>
      <c r="K3052" s="22">
        <v>2365.5</v>
      </c>
      <c r="L3052" s="6">
        <v>2395.5</v>
      </c>
      <c r="M3052" s="125">
        <f>L3052-K3052</f>
        <v>30</v>
      </c>
      <c r="N3052" s="18"/>
      <c r="O3052" s="135"/>
      <c r="P3052" s="175">
        <v>15650</v>
      </c>
      <c r="Q3052" s="25">
        <v>0.1464</v>
      </c>
      <c r="U3052" s="384">
        <v>0.1</v>
      </c>
      <c r="W3052" s="285">
        <f t="shared" si="73"/>
        <v>2520.2759999999998</v>
      </c>
    </row>
    <row r="3053" spans="1:23" ht="15" customHeight="1">
      <c r="A3053" s="3">
        <v>40177</v>
      </c>
      <c r="B3053" s="9">
        <v>1100</v>
      </c>
      <c r="C3053" s="5">
        <v>85525</v>
      </c>
      <c r="D3053" s="5" t="e">
        <f>E3053-(#REF!+C3053)</f>
        <v>#REF!</v>
      </c>
      <c r="E3053" s="5">
        <v>146075</v>
      </c>
      <c r="K3053" s="22">
        <v>2397</v>
      </c>
      <c r="L3053" s="6">
        <v>2425.5</v>
      </c>
      <c r="M3053" s="125">
        <f t="shared" ref="M3053:M3116" si="75">L3053-K3053</f>
        <v>28.5</v>
      </c>
      <c r="N3053" s="18"/>
      <c r="O3053" s="135"/>
      <c r="P3053" s="175">
        <v>15750</v>
      </c>
      <c r="Q3053" s="25">
        <v>0.1464</v>
      </c>
      <c r="U3053" s="384">
        <v>0.1</v>
      </c>
      <c r="W3053" s="285">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19"/>
      <c r="J3054" s="119"/>
      <c r="K3054" s="23">
        <v>2395</v>
      </c>
      <c r="L3054" s="14">
        <v>2416</v>
      </c>
      <c r="M3054" s="126">
        <f t="shared" si="75"/>
        <v>21</v>
      </c>
      <c r="N3054" s="84">
        <f>AVERAGE(K3032:K3054)</f>
        <v>2328.5238095238096</v>
      </c>
      <c r="O3054" s="141">
        <f>AVERAGE(K2796:K3054)</f>
        <v>1726.1146245059288</v>
      </c>
      <c r="P3054" s="176">
        <v>16000</v>
      </c>
      <c r="Q3054" s="27">
        <f>(171.06/1167.6)</f>
        <v>0.14650565262076054</v>
      </c>
      <c r="R3054" s="27"/>
      <c r="S3054" s="27"/>
      <c r="T3054" s="27"/>
      <c r="U3054" s="385">
        <v>0.1</v>
      </c>
      <c r="V3054" s="38">
        <f>AVERAGE(P3032:P3054)</f>
        <v>15766.304347826086</v>
      </c>
      <c r="W3054" s="285">
        <f t="shared" si="76"/>
        <v>2578.4994861253858</v>
      </c>
    </row>
    <row r="3055" spans="1:23" ht="15" customHeight="1">
      <c r="A3055" s="3">
        <v>40182</v>
      </c>
      <c r="B3055" s="9">
        <v>1100</v>
      </c>
      <c r="C3055" s="5">
        <v>86175</v>
      </c>
      <c r="D3055" s="5" t="e">
        <f>E3055-(#REF!+C3055)</f>
        <v>#REF!</v>
      </c>
      <c r="E3055" s="5">
        <v>146775</v>
      </c>
      <c r="K3055" s="22">
        <v>2451.5</v>
      </c>
      <c r="L3055" s="6">
        <v>2485</v>
      </c>
      <c r="M3055" s="125">
        <f t="shared" si="75"/>
        <v>33.5</v>
      </c>
      <c r="N3055" s="18"/>
      <c r="O3055" s="142">
        <f>AVERAGE(K3055:K3314)</f>
        <v>2147.5612648221345</v>
      </c>
      <c r="P3055" s="178">
        <v>16000</v>
      </c>
      <c r="Q3055" s="25">
        <f>171.03/1167.6</f>
        <v>0.14647995889003085</v>
      </c>
      <c r="U3055" s="384">
        <v>0.1</v>
      </c>
      <c r="W3055" s="285">
        <f t="shared" si="76"/>
        <v>2578.0472764645428</v>
      </c>
    </row>
    <row r="3056" spans="1:23" ht="15" customHeight="1">
      <c r="A3056" s="3">
        <v>40183</v>
      </c>
      <c r="B3056" s="9">
        <v>1400</v>
      </c>
      <c r="C3056" s="5">
        <v>86300</v>
      </c>
      <c r="D3056" s="5" t="e">
        <f>E3056-(#REF!+C3056)</f>
        <v>#REF!</v>
      </c>
      <c r="E3056" s="5">
        <v>147175</v>
      </c>
      <c r="K3056" s="22">
        <v>2440</v>
      </c>
      <c r="L3056" s="6">
        <v>2480</v>
      </c>
      <c r="M3056" s="125">
        <f t="shared" si="75"/>
        <v>40</v>
      </c>
      <c r="N3056" s="18"/>
      <c r="O3056" s="135"/>
      <c r="P3056" s="175">
        <v>16050</v>
      </c>
      <c r="Q3056" s="25">
        <f>169.32/1156.2</f>
        <v>0.14644525168655942</v>
      </c>
      <c r="U3056" s="384">
        <v>0.1</v>
      </c>
      <c r="W3056" s="285">
        <f t="shared" si="76"/>
        <v>2585.4909185262068</v>
      </c>
    </row>
    <row r="3057" spans="1:23" ht="15" customHeight="1">
      <c r="A3057" s="3">
        <v>40184</v>
      </c>
      <c r="B3057" s="9">
        <v>1750</v>
      </c>
      <c r="C3057" s="5">
        <v>86625</v>
      </c>
      <c r="D3057" s="5" t="e">
        <f>E3057-(#REF!+C3057)</f>
        <v>#REF!</v>
      </c>
      <c r="E3057" s="5">
        <v>147850</v>
      </c>
      <c r="K3057" s="22">
        <v>2582</v>
      </c>
      <c r="L3057" s="6">
        <v>2615</v>
      </c>
      <c r="M3057" s="125">
        <f t="shared" si="75"/>
        <v>33</v>
      </c>
      <c r="N3057" s="18"/>
      <c r="O3057" s="135"/>
      <c r="P3057" s="175">
        <v>16200</v>
      </c>
      <c r="Q3057" s="25">
        <f>167.62/1144.3</f>
        <v>0.1464825657607271</v>
      </c>
      <c r="U3057" s="384">
        <v>0.1</v>
      </c>
      <c r="W3057" s="285">
        <f t="shared" si="76"/>
        <v>2610.3193218561569</v>
      </c>
    </row>
    <row r="3058" spans="1:23" ht="15" customHeight="1">
      <c r="A3058" s="3">
        <v>40185</v>
      </c>
      <c r="B3058" s="9">
        <v>1825</v>
      </c>
      <c r="C3058" s="5">
        <v>86625</v>
      </c>
      <c r="D3058" s="5" t="e">
        <f>E3058-(#REF!+C3058)</f>
        <v>#REF!</v>
      </c>
      <c r="E3058" s="5">
        <v>149150</v>
      </c>
      <c r="K3058" s="22">
        <v>2591</v>
      </c>
      <c r="L3058" s="6">
        <v>2620</v>
      </c>
      <c r="M3058" s="125">
        <f t="shared" si="75"/>
        <v>29</v>
      </c>
      <c r="N3058" s="18"/>
      <c r="O3058" s="135"/>
      <c r="P3058" s="175">
        <v>16500</v>
      </c>
      <c r="Q3058" s="25">
        <f>166.7/1138.2</f>
        <v>0.14645932173607448</v>
      </c>
      <c r="U3058" s="384">
        <v>0.1</v>
      </c>
      <c r="W3058" s="285">
        <f t="shared" si="76"/>
        <v>2658.2366895097521</v>
      </c>
    </row>
    <row r="3059" spans="1:23" ht="15" customHeight="1">
      <c r="A3059" s="3">
        <v>40186</v>
      </c>
      <c r="B3059" s="9">
        <v>1825</v>
      </c>
      <c r="C3059" s="5">
        <v>86625</v>
      </c>
      <c r="D3059" s="5" t="e">
        <f>E3059-(#REF!+C3059)</f>
        <v>#REF!</v>
      </c>
      <c r="E3059" s="5">
        <v>149375</v>
      </c>
      <c r="K3059" s="22">
        <v>2524</v>
      </c>
      <c r="L3059" s="6">
        <v>2543</v>
      </c>
      <c r="M3059" s="125">
        <f t="shared" si="75"/>
        <v>19</v>
      </c>
      <c r="N3059" s="18"/>
      <c r="O3059" s="135"/>
      <c r="P3059" s="175">
        <v>16500</v>
      </c>
      <c r="Q3059" s="25">
        <f>165.95/1133.2</f>
        <v>0.14644369925873629</v>
      </c>
      <c r="U3059" s="384">
        <v>0.1</v>
      </c>
      <c r="W3059" s="285">
        <f t="shared" si="76"/>
        <v>2657.9531415460642</v>
      </c>
    </row>
    <row r="3060" spans="1:23" ht="15" customHeight="1">
      <c r="A3060" s="3">
        <v>40189</v>
      </c>
      <c r="B3060" s="9">
        <v>1825</v>
      </c>
      <c r="C3060" s="5">
        <v>87125</v>
      </c>
      <c r="D3060" s="5" t="e">
        <f>E3060-(#REF!+C3060)</f>
        <v>#REF!</v>
      </c>
      <c r="E3060" s="5">
        <v>150100</v>
      </c>
      <c r="K3060" s="22">
        <v>2576</v>
      </c>
      <c r="L3060" s="6">
        <v>2596</v>
      </c>
      <c r="M3060" s="125">
        <f t="shared" si="75"/>
        <v>20</v>
      </c>
      <c r="N3060" s="18"/>
      <c r="O3060" s="135"/>
      <c r="P3060" s="175">
        <v>16500</v>
      </c>
      <c r="Q3060" s="25">
        <f>165.93/1132.9</f>
        <v>0.14646482478594755</v>
      </c>
      <c r="U3060" s="384">
        <v>0.1</v>
      </c>
      <c r="W3060" s="285">
        <f t="shared" si="76"/>
        <v>2658.3365698649482</v>
      </c>
    </row>
    <row r="3061" spans="1:23" ht="15" customHeight="1">
      <c r="A3061" s="3">
        <v>40190</v>
      </c>
      <c r="B3061" s="9">
        <v>1825</v>
      </c>
      <c r="C3061" s="5">
        <v>87125</v>
      </c>
      <c r="D3061" s="5" t="e">
        <f>E3061-(#REF!+C3061)</f>
        <v>#REF!</v>
      </c>
      <c r="E3061" s="5">
        <v>150150</v>
      </c>
      <c r="K3061" s="22">
        <v>2414.5</v>
      </c>
      <c r="L3061" s="6">
        <v>2440</v>
      </c>
      <c r="M3061" s="125">
        <f t="shared" si="75"/>
        <v>25.5</v>
      </c>
      <c r="N3061" s="18"/>
      <c r="O3061" s="135"/>
      <c r="P3061" s="175">
        <v>16800</v>
      </c>
      <c r="Q3061" s="25">
        <f>164.02/1119.8</f>
        <v>0.14647258439006966</v>
      </c>
      <c r="U3061" s="384">
        <v>0.1</v>
      </c>
      <c r="W3061" s="285">
        <f t="shared" si="76"/>
        <v>2706.8133595284871</v>
      </c>
    </row>
    <row r="3062" spans="1:23" ht="15" customHeight="1">
      <c r="A3062" s="3">
        <v>40191</v>
      </c>
      <c r="B3062" s="9">
        <v>1825</v>
      </c>
      <c r="C3062" s="5">
        <v>87125</v>
      </c>
      <c r="D3062" s="5" t="e">
        <f>E3062-(#REF!+C3062)</f>
        <v>#REF!</v>
      </c>
      <c r="E3062" s="5">
        <v>150150</v>
      </c>
      <c r="K3062" s="22">
        <v>2435</v>
      </c>
      <c r="L3062" s="6">
        <v>2460</v>
      </c>
      <c r="M3062" s="125">
        <f t="shared" si="75"/>
        <v>25</v>
      </c>
      <c r="N3062" s="18"/>
      <c r="O3062" s="135"/>
      <c r="P3062" s="175">
        <v>16500</v>
      </c>
      <c r="Q3062" s="25">
        <f>164.64/1124.2</f>
        <v>0.14645080946450809</v>
      </c>
      <c r="U3062" s="384">
        <v>0.1</v>
      </c>
      <c r="W3062" s="285">
        <f t="shared" si="76"/>
        <v>2658.0821917808221</v>
      </c>
    </row>
    <row r="3063" spans="1:23" ht="15" customHeight="1">
      <c r="A3063" s="3">
        <v>40192</v>
      </c>
      <c r="B3063" s="9">
        <v>1825</v>
      </c>
      <c r="C3063" s="5">
        <v>87125</v>
      </c>
      <c r="D3063" s="5" t="e">
        <f>E3063-(#REF!+C3063)</f>
        <v>#REF!</v>
      </c>
      <c r="E3063" s="5">
        <v>150300</v>
      </c>
      <c r="K3063" s="22">
        <v>2451</v>
      </c>
      <c r="L3063" s="6">
        <v>2475</v>
      </c>
      <c r="M3063" s="125">
        <f t="shared" si="75"/>
        <v>24</v>
      </c>
      <c r="N3063" s="18"/>
      <c r="O3063" s="135"/>
      <c r="P3063" s="175">
        <v>16600</v>
      </c>
      <c r="Q3063" s="25">
        <f>164.97/1126.4</f>
        <v>0.14645774147727272</v>
      </c>
      <c r="U3063" s="384">
        <v>0.1</v>
      </c>
      <c r="W3063" s="285">
        <f t="shared" si="76"/>
        <v>2674.318359375</v>
      </c>
    </row>
    <row r="3064" spans="1:23" ht="15" customHeight="1">
      <c r="A3064" s="3">
        <v>40193</v>
      </c>
      <c r="B3064" s="9">
        <v>1825</v>
      </c>
      <c r="C3064" s="5">
        <v>87125</v>
      </c>
      <c r="D3064" s="5" t="e">
        <f>E3064-(#REF!+C3064)</f>
        <v>#REF!</v>
      </c>
      <c r="E3064" s="5">
        <v>150750</v>
      </c>
      <c r="K3064" s="22">
        <v>2440</v>
      </c>
      <c r="L3064" s="6">
        <v>2461</v>
      </c>
      <c r="M3064" s="125">
        <f t="shared" si="75"/>
        <v>21</v>
      </c>
      <c r="N3064" s="18"/>
      <c r="O3064" s="135"/>
      <c r="P3064" s="175">
        <v>16600</v>
      </c>
      <c r="Q3064" s="25">
        <f>164.33/1122.1</f>
        <v>0.14644862311736925</v>
      </c>
      <c r="U3064" s="384">
        <v>0.1</v>
      </c>
      <c r="W3064" s="285">
        <f t="shared" si="76"/>
        <v>2674.151858123163</v>
      </c>
    </row>
    <row r="3065" spans="1:23" ht="15" customHeight="1">
      <c r="A3065" s="3">
        <v>40196</v>
      </c>
      <c r="B3065" s="9">
        <v>1825</v>
      </c>
      <c r="C3065" s="5">
        <v>87125</v>
      </c>
      <c r="D3065" s="5" t="e">
        <f>E3065-(#REF!+C3065)</f>
        <v>#REF!</v>
      </c>
      <c r="E3065" s="5">
        <v>151350</v>
      </c>
      <c r="K3065" s="22">
        <v>2451.5</v>
      </c>
      <c r="L3065" s="6">
        <v>2480</v>
      </c>
      <c r="M3065" s="125">
        <f t="shared" si="75"/>
        <v>28.5</v>
      </c>
      <c r="N3065" s="18"/>
      <c r="O3065" s="135"/>
      <c r="P3065" s="175">
        <v>16600</v>
      </c>
      <c r="Q3065" s="25">
        <f>164.52/1123.2</f>
        <v>0.14647435897435898</v>
      </c>
      <c r="U3065" s="384">
        <v>0.1</v>
      </c>
      <c r="W3065" s="285">
        <f t="shared" si="76"/>
        <v>2674.6217948717949</v>
      </c>
    </row>
    <row r="3066" spans="1:23" ht="15" customHeight="1">
      <c r="A3066" s="3">
        <v>40197</v>
      </c>
      <c r="B3066" s="9">
        <v>1825</v>
      </c>
      <c r="C3066" s="5">
        <v>87125</v>
      </c>
      <c r="D3066" s="5" t="e">
        <f>E3066-(#REF!+C3066)</f>
        <v>#REF!</v>
      </c>
      <c r="E3066" s="5">
        <v>151425</v>
      </c>
      <c r="K3066" s="22">
        <v>2420.5</v>
      </c>
      <c r="L3066" s="6">
        <v>2445</v>
      </c>
      <c r="M3066" s="125">
        <f t="shared" si="75"/>
        <v>24.5</v>
      </c>
      <c r="N3066" s="18"/>
      <c r="O3066" s="135"/>
      <c r="P3066" s="175">
        <v>16800</v>
      </c>
      <c r="Q3066" s="25">
        <f>165.04/1126.9</f>
        <v>0.14645487620906911</v>
      </c>
      <c r="U3066" s="384">
        <v>0.1</v>
      </c>
      <c r="W3066" s="285">
        <f t="shared" si="76"/>
        <v>2706.4861123435976</v>
      </c>
    </row>
    <row r="3067" spans="1:23" ht="15" customHeight="1">
      <c r="A3067" s="3">
        <v>40198</v>
      </c>
      <c r="B3067" s="9">
        <v>2075</v>
      </c>
      <c r="C3067" s="5">
        <v>87125</v>
      </c>
      <c r="D3067" s="5" t="e">
        <f>E3067-(#REF!+C3067)</f>
        <v>#REF!</v>
      </c>
      <c r="E3067" s="5">
        <v>152175</v>
      </c>
      <c r="K3067" s="22">
        <v>2405.5</v>
      </c>
      <c r="L3067" s="6">
        <v>2421</v>
      </c>
      <c r="M3067" s="125">
        <f t="shared" si="75"/>
        <v>15.5</v>
      </c>
      <c r="N3067" s="18"/>
      <c r="O3067" s="135"/>
      <c r="P3067" s="175">
        <v>16800</v>
      </c>
      <c r="Q3067" s="25">
        <f>164.68/1124.3</f>
        <v>0.14647336120252602</v>
      </c>
      <c r="U3067" s="384">
        <v>0.1</v>
      </c>
      <c r="W3067" s="285">
        <f t="shared" si="76"/>
        <v>2706.8277150226813</v>
      </c>
    </row>
    <row r="3068" spans="1:23" ht="15" customHeight="1">
      <c r="A3068" s="3">
        <v>40199</v>
      </c>
      <c r="B3068" s="9">
        <v>2075</v>
      </c>
      <c r="C3068" s="5">
        <v>88125</v>
      </c>
      <c r="D3068" s="5" t="e">
        <f>E3068-(#REF!+C3068)</f>
        <v>#REF!</v>
      </c>
      <c r="E3068" s="5">
        <v>153175</v>
      </c>
      <c r="K3068" s="22">
        <v>2273</v>
      </c>
      <c r="L3068" s="6">
        <v>2294</v>
      </c>
      <c r="M3068" s="125">
        <f t="shared" si="75"/>
        <v>21</v>
      </c>
      <c r="N3068" s="18"/>
      <c r="O3068" s="135"/>
      <c r="P3068" s="175">
        <v>16600</v>
      </c>
      <c r="Q3068" s="25">
        <f>165.83/1132.3</f>
        <v>0.14645411993287999</v>
      </c>
      <c r="U3068" s="384">
        <v>0.1</v>
      </c>
      <c r="W3068" s="285">
        <f t="shared" si="76"/>
        <v>2674.2522299743887</v>
      </c>
    </row>
    <row r="3069" spans="1:23" ht="15" customHeight="1">
      <c r="A3069" s="3">
        <v>40200</v>
      </c>
      <c r="B3069" s="9">
        <v>2275</v>
      </c>
      <c r="C3069" s="5">
        <v>88125</v>
      </c>
      <c r="D3069" s="5" t="e">
        <f>E3069-(#REF!+C3069)</f>
        <v>#REF!</v>
      </c>
      <c r="E3069" s="5">
        <v>153475</v>
      </c>
      <c r="K3069" s="22">
        <v>2227</v>
      </c>
      <c r="L3069" s="6">
        <v>2247</v>
      </c>
      <c r="M3069" s="125">
        <f t="shared" si="75"/>
        <v>20</v>
      </c>
      <c r="N3069" s="18"/>
      <c r="O3069" s="135"/>
      <c r="P3069" s="175">
        <v>16400</v>
      </c>
      <c r="Q3069" s="25">
        <f>166.77/1138.5</f>
        <v>0.14648221343873519</v>
      </c>
      <c r="U3069" s="384">
        <v>0.1</v>
      </c>
      <c r="W3069" s="285">
        <f t="shared" si="76"/>
        <v>2642.5391304347827</v>
      </c>
    </row>
    <row r="3070" spans="1:23" ht="15" customHeight="1">
      <c r="A3070" s="3">
        <v>40203</v>
      </c>
      <c r="B3070" s="9">
        <v>2275</v>
      </c>
      <c r="C3070" s="5">
        <v>88125</v>
      </c>
      <c r="D3070" s="5" t="e">
        <f>E3070-(#REF!+C3070)</f>
        <v>#REF!</v>
      </c>
      <c r="E3070" s="5">
        <v>153700</v>
      </c>
      <c r="K3070" s="22">
        <v>2235</v>
      </c>
      <c r="L3070" s="6">
        <v>2255</v>
      </c>
      <c r="M3070" s="125">
        <f t="shared" si="75"/>
        <v>20</v>
      </c>
      <c r="N3070" s="18"/>
      <c r="O3070" s="135"/>
      <c r="P3070" s="175">
        <v>16150</v>
      </c>
      <c r="Q3070" s="25">
        <f>168.46/1150.1</f>
        <v>0.14647421963307541</v>
      </c>
      <c r="U3070" s="384">
        <v>0.1</v>
      </c>
      <c r="W3070" s="285">
        <f t="shared" si="76"/>
        <v>2602.114511781585</v>
      </c>
    </row>
    <row r="3071" spans="1:23" ht="15" customHeight="1">
      <c r="A3071" s="3">
        <v>40204</v>
      </c>
      <c r="B3071" s="9">
        <v>2275</v>
      </c>
      <c r="C3071" s="5">
        <v>88325</v>
      </c>
      <c r="D3071" s="5" t="e">
        <f>E3071-(#REF!+C3071)</f>
        <v>#REF!</v>
      </c>
      <c r="E3071" s="5">
        <v>154050</v>
      </c>
      <c r="K3071" s="22">
        <v>2165.5</v>
      </c>
      <c r="L3071" s="6">
        <v>2194</v>
      </c>
      <c r="M3071" s="125">
        <f t="shared" si="75"/>
        <v>28.5</v>
      </c>
      <c r="N3071" s="18"/>
      <c r="O3071" s="135"/>
      <c r="P3071" s="175">
        <v>16150</v>
      </c>
      <c r="Q3071" s="25">
        <f>168.29/1149.1</f>
        <v>0.14645374641023409</v>
      </c>
      <c r="U3071" s="384">
        <v>0.1</v>
      </c>
      <c r="W3071" s="285">
        <f t="shared" si="76"/>
        <v>2601.7508049778089</v>
      </c>
    </row>
    <row r="3072" spans="1:23" ht="15" customHeight="1">
      <c r="A3072" s="3">
        <v>40205</v>
      </c>
      <c r="B3072" s="9">
        <v>3375</v>
      </c>
      <c r="C3072" s="5">
        <v>88650</v>
      </c>
      <c r="D3072" s="5" t="e">
        <f>E3072-(#REF!+C3072)</f>
        <v>#REF!</v>
      </c>
      <c r="E3072" s="5">
        <v>155775</v>
      </c>
      <c r="K3072" s="22">
        <v>2140</v>
      </c>
      <c r="L3072" s="6">
        <v>2163</v>
      </c>
      <c r="M3072" s="125">
        <f t="shared" si="75"/>
        <v>23</v>
      </c>
      <c r="N3072" s="18"/>
      <c r="O3072" s="135"/>
      <c r="P3072" s="175">
        <v>16050</v>
      </c>
      <c r="Q3072" s="25">
        <f>168.63/1151.2</f>
        <v>0.14648193189715078</v>
      </c>
      <c r="U3072" s="384">
        <v>0.1</v>
      </c>
      <c r="W3072" s="285">
        <f t="shared" si="76"/>
        <v>2586.1385076441975</v>
      </c>
    </row>
    <row r="3073" spans="1:23" ht="15" customHeight="1">
      <c r="A3073" s="3">
        <v>40206</v>
      </c>
      <c r="B3073" s="9">
        <v>3375</v>
      </c>
      <c r="C3073" s="5">
        <v>88850</v>
      </c>
      <c r="D3073" s="5" t="e">
        <f>E3073-(#REF!+C3073)</f>
        <v>#REF!</v>
      </c>
      <c r="E3073" s="5">
        <v>156125</v>
      </c>
      <c r="K3073" s="22">
        <v>2089.5</v>
      </c>
      <c r="L3073" s="6">
        <v>2105</v>
      </c>
      <c r="M3073" s="125">
        <f t="shared" si="75"/>
        <v>15.5</v>
      </c>
      <c r="N3073" s="18"/>
      <c r="O3073" s="135"/>
      <c r="P3073" s="175">
        <v>15600</v>
      </c>
      <c r="Q3073" s="25">
        <f>169.81/1159.4</f>
        <v>0.146463688114542</v>
      </c>
      <c r="U3073" s="384">
        <v>0.1</v>
      </c>
      <c r="W3073" s="285">
        <f t="shared" si="76"/>
        <v>2513.3168880455405</v>
      </c>
    </row>
    <row r="3074" spans="1:23" ht="15" customHeight="1" thickBot="1">
      <c r="A3074" s="11">
        <v>40207</v>
      </c>
      <c r="B3074" s="9">
        <v>3375</v>
      </c>
      <c r="C3074" s="13">
        <v>88775</v>
      </c>
      <c r="D3074" s="13" t="e">
        <f>E3074-(#REF!+C3074)</f>
        <v>#REF!</v>
      </c>
      <c r="E3074" s="13">
        <v>157300</v>
      </c>
      <c r="F3074" s="12"/>
      <c r="G3074" s="13"/>
      <c r="H3074" s="13"/>
      <c r="I3074" s="119"/>
      <c r="J3074" s="119"/>
      <c r="K3074" s="23">
        <v>2055</v>
      </c>
      <c r="L3074" s="14">
        <v>2086</v>
      </c>
      <c r="M3074" s="126">
        <f t="shared" si="75"/>
        <v>31</v>
      </c>
      <c r="N3074" s="84">
        <f>AVERAGE(K3055:K3074)</f>
        <v>2368.375</v>
      </c>
      <c r="O3074" s="141">
        <f>AVERAGE(K3055:K3074)</f>
        <v>2368.375</v>
      </c>
      <c r="P3074" s="176">
        <v>15200</v>
      </c>
      <c r="Q3074" s="27">
        <f>169.38/1156.5</f>
        <v>0.14645914396887158</v>
      </c>
      <c r="R3074" s="27"/>
      <c r="S3074" s="27"/>
      <c r="T3074" s="27"/>
      <c r="U3074" s="385">
        <v>0.1</v>
      </c>
      <c r="V3074" s="38">
        <f>AVERAGE(P3055:P3074)</f>
        <v>16330</v>
      </c>
      <c r="W3074" s="285">
        <f t="shared" si="76"/>
        <v>2448.7968871595331</v>
      </c>
    </row>
    <row r="3075" spans="1:23" ht="15" customHeight="1">
      <c r="A3075" s="3">
        <v>40210</v>
      </c>
      <c r="B3075" s="9">
        <v>3375</v>
      </c>
      <c r="C3075" s="5">
        <v>88775</v>
      </c>
      <c r="D3075" s="5" t="e">
        <f>E3075-(#REF!+C3075)</f>
        <v>#REF!</v>
      </c>
      <c r="E3075" s="5">
        <v>157500</v>
      </c>
      <c r="K3075" s="22">
        <v>2001</v>
      </c>
      <c r="L3075" s="6">
        <v>2017</v>
      </c>
      <c r="M3075" s="125">
        <f t="shared" si="75"/>
        <v>16</v>
      </c>
      <c r="N3075" s="20"/>
      <c r="O3075" s="138"/>
      <c r="P3075" s="178">
        <v>15150</v>
      </c>
      <c r="Q3075" s="34">
        <f>169.61/1157.9</f>
        <v>0.14648069781500994</v>
      </c>
      <c r="R3075" s="34"/>
      <c r="S3075" s="34"/>
      <c r="T3075" s="34"/>
      <c r="U3075" s="386">
        <v>0.1</v>
      </c>
      <c r="V3075" s="37"/>
      <c r="W3075" s="285">
        <f t="shared" si="76"/>
        <v>2441.1008290871409</v>
      </c>
    </row>
    <row r="3076" spans="1:23" ht="15" customHeight="1">
      <c r="A3076" s="3">
        <v>40211</v>
      </c>
      <c r="B3076" s="9">
        <v>3675</v>
      </c>
      <c r="C3076" s="5">
        <v>88700</v>
      </c>
      <c r="D3076" s="5" t="e">
        <f>E3076-(#REF!+C3076)</f>
        <v>#REF!</v>
      </c>
      <c r="E3076" s="5">
        <v>157725</v>
      </c>
      <c r="K3076" s="22">
        <v>2095</v>
      </c>
      <c r="L3076" s="6">
        <v>2112</v>
      </c>
      <c r="M3076" s="125">
        <f t="shared" si="75"/>
        <v>17</v>
      </c>
      <c r="N3076" s="18"/>
      <c r="O3076" s="135"/>
      <c r="P3076" s="175">
        <v>15150</v>
      </c>
      <c r="Q3076" s="25">
        <f>171.06/1167.8</f>
        <v>0.146480561740024</v>
      </c>
      <c r="U3076" s="384">
        <v>0.1</v>
      </c>
      <c r="W3076" s="285">
        <f t="shared" si="76"/>
        <v>2441.0985613975004</v>
      </c>
    </row>
    <row r="3077" spans="1:23" ht="15" customHeight="1">
      <c r="A3077" s="3">
        <v>40212</v>
      </c>
      <c r="B3077" s="9">
        <v>3975</v>
      </c>
      <c r="C3077" s="5">
        <v>88650</v>
      </c>
      <c r="D3077" s="5" t="e">
        <f>E3077-(#REF!+C3077)</f>
        <v>#REF!</v>
      </c>
      <c r="E3077" s="5">
        <v>157975</v>
      </c>
      <c r="K3077" s="22">
        <v>2110</v>
      </c>
      <c r="L3077" s="6">
        <v>2125</v>
      </c>
      <c r="M3077" s="125">
        <f t="shared" si="75"/>
        <v>15</v>
      </c>
      <c r="N3077" s="18"/>
      <c r="O3077" s="135"/>
      <c r="P3077" s="175">
        <v>15350</v>
      </c>
      <c r="Q3077" s="25">
        <f>169.93/1160.1</f>
        <v>0.14647875183173867</v>
      </c>
      <c r="U3077" s="384">
        <v>0.1</v>
      </c>
      <c r="W3077" s="285">
        <f t="shared" si="76"/>
        <v>2473.2937246789074</v>
      </c>
    </row>
    <row r="3078" spans="1:23" ht="15" customHeight="1">
      <c r="A3078" s="3">
        <v>40213</v>
      </c>
      <c r="B3078" s="9">
        <v>3975</v>
      </c>
      <c r="C3078" s="5">
        <v>88525</v>
      </c>
      <c r="D3078" s="5" t="e">
        <f>E3078-(#REF!+C3078)</f>
        <v>#REF!</v>
      </c>
      <c r="E3078" s="5">
        <v>158025</v>
      </c>
      <c r="K3078" s="22">
        <v>2005</v>
      </c>
      <c r="L3078" s="6">
        <v>2018</v>
      </c>
      <c r="M3078" s="125">
        <f t="shared" si="75"/>
        <v>13</v>
      </c>
      <c r="N3078" s="18"/>
      <c r="O3078" s="135"/>
      <c r="P3078" s="175">
        <v>15550</v>
      </c>
      <c r="Q3078" s="25">
        <f>168.78/1152.2</f>
        <v>0.14648498524561707</v>
      </c>
      <c r="U3078" s="384">
        <v>0.1</v>
      </c>
      <c r="W3078" s="285">
        <f t="shared" si="76"/>
        <v>2505.62567262628</v>
      </c>
    </row>
    <row r="3079" spans="1:23" ht="15" customHeight="1">
      <c r="A3079" s="3">
        <v>40214</v>
      </c>
      <c r="B3079" s="9">
        <v>4275</v>
      </c>
      <c r="C3079" s="5">
        <v>88500</v>
      </c>
      <c r="D3079" s="5" t="e">
        <f>E3079-(#REF!+C3079)</f>
        <v>#REF!</v>
      </c>
      <c r="E3079" s="5">
        <v>158375</v>
      </c>
      <c r="K3079" s="22">
        <v>1925</v>
      </c>
      <c r="L3079" s="6">
        <v>1937.5</v>
      </c>
      <c r="M3079" s="125">
        <f t="shared" si="75"/>
        <v>12.5</v>
      </c>
      <c r="N3079" s="18"/>
      <c r="O3079" s="135"/>
      <c r="P3079" s="175">
        <v>15200</v>
      </c>
      <c r="Q3079" s="25">
        <f>168.91/1153.3</f>
        <v>0.14645799011532126</v>
      </c>
      <c r="U3079" s="384">
        <v>0.1</v>
      </c>
      <c r="W3079" s="285">
        <f t="shared" si="76"/>
        <v>2448.7775947281716</v>
      </c>
    </row>
    <row r="3080" spans="1:23" ht="15" customHeight="1">
      <c r="A3080" s="3">
        <v>40217</v>
      </c>
      <c r="B3080" s="9">
        <v>4275</v>
      </c>
      <c r="C3080" s="5">
        <v>88000</v>
      </c>
      <c r="D3080" s="5" t="e">
        <f>E3080-(#REF!+C3080)</f>
        <v>#REF!</v>
      </c>
      <c r="E3080" s="5">
        <v>157875</v>
      </c>
      <c r="K3080" s="22">
        <v>1935</v>
      </c>
      <c r="L3080" s="6">
        <v>1955</v>
      </c>
      <c r="M3080" s="125">
        <f t="shared" si="75"/>
        <v>20</v>
      </c>
      <c r="N3080" s="18"/>
      <c r="O3080" s="135"/>
      <c r="P3080" s="175">
        <v>15300</v>
      </c>
      <c r="Q3080" s="25">
        <f>171.49/1171</f>
        <v>0.14644748078565328</v>
      </c>
      <c r="U3080" s="384">
        <v>0.1</v>
      </c>
      <c r="W3080" s="285">
        <f t="shared" si="76"/>
        <v>2464.7111016225454</v>
      </c>
    </row>
    <row r="3081" spans="1:23" ht="15" customHeight="1">
      <c r="A3081" s="3">
        <v>40218</v>
      </c>
      <c r="B3081" s="9">
        <v>4775</v>
      </c>
      <c r="C3081" s="5">
        <v>87500</v>
      </c>
      <c r="D3081" s="5" t="e">
        <f>E3081-(#REF!+C3081)</f>
        <v>#REF!</v>
      </c>
      <c r="E3081" s="5">
        <v>157875</v>
      </c>
      <c r="K3081" s="22">
        <v>1972</v>
      </c>
      <c r="L3081" s="6">
        <v>1995</v>
      </c>
      <c r="M3081" s="125">
        <f t="shared" si="75"/>
        <v>23</v>
      </c>
      <c r="N3081" s="18"/>
      <c r="O3081" s="135"/>
      <c r="P3081" s="175">
        <v>15350</v>
      </c>
      <c r="Q3081" s="25">
        <f>171.77/1172.6</f>
        <v>0.14648644038887942</v>
      </c>
      <c r="U3081" s="384">
        <v>0.1</v>
      </c>
      <c r="W3081" s="285">
        <f t="shared" si="76"/>
        <v>2473.4235459662291</v>
      </c>
    </row>
    <row r="3082" spans="1:23" ht="15" customHeight="1">
      <c r="A3082" s="3">
        <v>40219</v>
      </c>
      <c r="B3082" s="9">
        <v>4775</v>
      </c>
      <c r="C3082" s="5">
        <v>87150</v>
      </c>
      <c r="D3082" s="5" t="e">
        <f>E3082-(#REF!+C3082)</f>
        <v>#REF!</v>
      </c>
      <c r="E3082" s="5">
        <v>157525</v>
      </c>
      <c r="K3082" s="22">
        <v>2079.5</v>
      </c>
      <c r="L3082" s="6">
        <v>2093</v>
      </c>
      <c r="M3082" s="125">
        <f t="shared" si="75"/>
        <v>13.5</v>
      </c>
      <c r="N3082" s="18"/>
      <c r="O3082" s="135"/>
      <c r="P3082" s="175">
        <v>15600</v>
      </c>
      <c r="Q3082" s="25">
        <f>170.86/1166.6</f>
        <v>0.14645979770272588</v>
      </c>
      <c r="U3082" s="384">
        <v>0.1</v>
      </c>
      <c r="W3082" s="285">
        <f t="shared" si="76"/>
        <v>2513.2501285787762</v>
      </c>
    </row>
    <row r="3083" spans="1:23" ht="15" customHeight="1">
      <c r="A3083" s="3">
        <v>40220</v>
      </c>
      <c r="B3083" s="9">
        <v>4650</v>
      </c>
      <c r="C3083" s="5">
        <v>87150</v>
      </c>
      <c r="D3083" s="5" t="e">
        <f>E3083-(#REF!+C3083)</f>
        <v>#REF!</v>
      </c>
      <c r="E3083" s="5">
        <v>158075</v>
      </c>
      <c r="K3083" s="22">
        <v>2065</v>
      </c>
      <c r="L3083" s="6">
        <v>2070</v>
      </c>
      <c r="M3083" s="125">
        <f t="shared" si="75"/>
        <v>5</v>
      </c>
      <c r="N3083" s="18"/>
      <c r="O3083" s="135"/>
      <c r="P3083" s="175">
        <v>15700</v>
      </c>
      <c r="Q3083" s="25">
        <f>169.5/1157.9</f>
        <v>0.14638569824682615</v>
      </c>
      <c r="U3083" s="384">
        <v>0.1</v>
      </c>
      <c r="W3083" s="285">
        <f t="shared" si="76"/>
        <v>2528.0810087226878</v>
      </c>
    </row>
    <row r="3084" spans="1:23" ht="15" customHeight="1">
      <c r="A3084" s="3">
        <v>40221</v>
      </c>
      <c r="B3084" s="9">
        <v>4650</v>
      </c>
      <c r="C3084" s="5">
        <v>87150</v>
      </c>
      <c r="D3084" s="5" t="e">
        <f>E3084-(#REF!+C3084)</f>
        <v>#REF!</v>
      </c>
      <c r="E3084" s="5">
        <v>159225</v>
      </c>
      <c r="K3084" s="22">
        <v>2080</v>
      </c>
      <c r="L3084" s="6">
        <v>2100</v>
      </c>
      <c r="M3084" s="125">
        <f t="shared" si="75"/>
        <v>20</v>
      </c>
      <c r="N3084" s="18"/>
      <c r="O3084" s="135"/>
      <c r="P3084" s="175">
        <v>15800</v>
      </c>
      <c r="Q3084" s="25">
        <f>169.28/1157.1</f>
        <v>0.14629677642381819</v>
      </c>
      <c r="U3084" s="384">
        <v>0.1</v>
      </c>
      <c r="W3084" s="285">
        <f t="shared" si="76"/>
        <v>2542.6379742459608</v>
      </c>
    </row>
    <row r="3085" spans="1:23" ht="15" customHeight="1">
      <c r="A3085" s="3">
        <v>40224</v>
      </c>
      <c r="B3085" s="9">
        <v>4625</v>
      </c>
      <c r="C3085" s="5">
        <v>87150</v>
      </c>
      <c r="D3085" s="5" t="e">
        <f>E3085-(#REF!+C3085)</f>
        <v>#REF!</v>
      </c>
      <c r="E3085" s="5">
        <v>159200</v>
      </c>
      <c r="K3085" s="22">
        <v>2135</v>
      </c>
      <c r="L3085" s="6">
        <v>2150</v>
      </c>
      <c r="M3085" s="125">
        <f t="shared" si="75"/>
        <v>15</v>
      </c>
      <c r="N3085" s="18"/>
      <c r="O3085" s="135"/>
      <c r="P3085" s="175"/>
      <c r="Q3085" s="1363" t="s">
        <v>36</v>
      </c>
      <c r="R3085" s="1363"/>
      <c r="S3085" s="1363"/>
      <c r="T3085" s="1363"/>
      <c r="U3085" s="1363"/>
      <c r="V3085" s="189"/>
      <c r="W3085" s="285" t="e">
        <f t="shared" si="76"/>
        <v>#VALUE!</v>
      </c>
    </row>
    <row r="3086" spans="1:23" ht="15" customHeight="1">
      <c r="A3086" s="3">
        <v>40225</v>
      </c>
      <c r="B3086" s="9">
        <v>4625</v>
      </c>
      <c r="C3086" s="5">
        <v>87150</v>
      </c>
      <c r="D3086" s="5" t="e">
        <f>E3086-(#REF!+C3086)</f>
        <v>#REF!</v>
      </c>
      <c r="E3086" s="5">
        <v>159525</v>
      </c>
      <c r="K3086" s="22">
        <v>2196</v>
      </c>
      <c r="L3086" s="6">
        <v>2220</v>
      </c>
      <c r="M3086" s="125">
        <f t="shared" si="75"/>
        <v>24</v>
      </c>
      <c r="N3086" s="18"/>
      <c r="O3086" s="135"/>
      <c r="P3086" s="195"/>
      <c r="Q3086" s="1363"/>
      <c r="R3086" s="1363"/>
      <c r="S3086" s="1363"/>
      <c r="T3086" s="1363"/>
      <c r="U3086" s="1363"/>
      <c r="V3086" s="189"/>
      <c r="W3086" s="285">
        <f t="shared" si="76"/>
        <v>0</v>
      </c>
    </row>
    <row r="3087" spans="1:23" ht="15" customHeight="1">
      <c r="A3087" s="3">
        <v>40226</v>
      </c>
      <c r="B3087" s="9">
        <v>5125</v>
      </c>
      <c r="C3087" s="5">
        <v>87150</v>
      </c>
      <c r="D3087" s="5" t="e">
        <f>E3087-(#REF!+C3087)</f>
        <v>#REF!</v>
      </c>
      <c r="E3087" s="5">
        <v>160200</v>
      </c>
      <c r="K3087" s="22">
        <v>2275</v>
      </c>
      <c r="L3087" s="6">
        <v>2295.5</v>
      </c>
      <c r="M3087" s="125">
        <f t="shared" si="75"/>
        <v>20.5</v>
      </c>
      <c r="N3087" s="18"/>
      <c r="O3087" s="135"/>
      <c r="P3087" s="195"/>
      <c r="Q3087" s="1363"/>
      <c r="R3087" s="1363"/>
      <c r="S3087" s="1363"/>
      <c r="T3087" s="1363"/>
      <c r="U3087" s="1363"/>
      <c r="V3087" s="189"/>
      <c r="W3087" s="285">
        <f t="shared" si="76"/>
        <v>0</v>
      </c>
    </row>
    <row r="3088" spans="1:23" ht="15" customHeight="1">
      <c r="A3088" s="3">
        <v>40227</v>
      </c>
      <c r="B3088" s="9">
        <v>5225</v>
      </c>
      <c r="C3088" s="5">
        <v>87150</v>
      </c>
      <c r="D3088" s="5" t="e">
        <f>E3088-(#REF!+C3088)</f>
        <v>#REF!</v>
      </c>
      <c r="E3088" s="5">
        <v>160250</v>
      </c>
      <c r="K3088" s="22">
        <v>2240</v>
      </c>
      <c r="L3088" s="6">
        <v>2266.5</v>
      </c>
      <c r="M3088" s="125">
        <f t="shared" si="75"/>
        <v>26.5</v>
      </c>
      <c r="N3088" s="18"/>
      <c r="O3088" s="135"/>
      <c r="P3088" s="195"/>
      <c r="Q3088" s="1363"/>
      <c r="R3088" s="1363"/>
      <c r="S3088" s="1363"/>
      <c r="T3088" s="1363"/>
      <c r="U3088" s="1363"/>
      <c r="V3088" s="189"/>
      <c r="W3088" s="285">
        <f t="shared" si="76"/>
        <v>0</v>
      </c>
    </row>
    <row r="3089" spans="1:23" ht="15" customHeight="1">
      <c r="A3089" s="3">
        <v>40228</v>
      </c>
      <c r="B3089" s="9">
        <v>5225</v>
      </c>
      <c r="C3089" s="5">
        <v>87150</v>
      </c>
      <c r="D3089" s="5" t="e">
        <f>E3089-(#REF!+C3089)</f>
        <v>#REF!</v>
      </c>
      <c r="E3089" s="5">
        <v>160250</v>
      </c>
      <c r="K3089" s="22">
        <v>2289.5</v>
      </c>
      <c r="L3089" s="6">
        <v>2319</v>
      </c>
      <c r="M3089" s="125">
        <f t="shared" si="75"/>
        <v>29.5</v>
      </c>
      <c r="N3089" s="18"/>
      <c r="O3089" s="135"/>
      <c r="P3089" s="195"/>
      <c r="Q3089" s="1363"/>
      <c r="R3089" s="1363"/>
      <c r="S3089" s="1363"/>
      <c r="T3089" s="1363"/>
      <c r="U3089" s="1363"/>
      <c r="V3089" s="189"/>
      <c r="W3089" s="285">
        <f t="shared" si="76"/>
        <v>0</v>
      </c>
    </row>
    <row r="3090" spans="1:23" ht="15" customHeight="1">
      <c r="A3090" s="3">
        <v>40231</v>
      </c>
      <c r="B3090" s="9">
        <v>5225</v>
      </c>
      <c r="C3090" s="5">
        <v>87150</v>
      </c>
      <c r="D3090" s="5" t="e">
        <f>E3090-(#REF!+C3090)</f>
        <v>#REF!</v>
      </c>
      <c r="E3090" s="5">
        <v>160600</v>
      </c>
      <c r="K3090" s="22">
        <v>2319.5</v>
      </c>
      <c r="L3090" s="6">
        <v>2340</v>
      </c>
      <c r="M3090" s="125">
        <f t="shared" si="75"/>
        <v>20.5</v>
      </c>
      <c r="N3090" s="18"/>
      <c r="O3090" s="135"/>
      <c r="P3090" s="175">
        <v>16150</v>
      </c>
      <c r="Q3090" s="25">
        <f>169.54/1157.8</f>
        <v>0.14643288996372431</v>
      </c>
      <c r="U3090" s="384">
        <v>0.1</v>
      </c>
      <c r="W3090" s="285">
        <f t="shared" si="76"/>
        <v>2601.3802902055622</v>
      </c>
    </row>
    <row r="3091" spans="1:23" ht="15" customHeight="1">
      <c r="A3091" s="3">
        <v>40232</v>
      </c>
      <c r="B3091" s="9">
        <v>5125</v>
      </c>
      <c r="C3091" s="5">
        <v>87150</v>
      </c>
      <c r="D3091" s="5" t="e">
        <f>E3091-(#REF!+C3091)</f>
        <v>#REF!</v>
      </c>
      <c r="E3091" s="5">
        <v>160700</v>
      </c>
      <c r="K3091" s="22">
        <v>2295</v>
      </c>
      <c r="L3091" s="6">
        <v>2312</v>
      </c>
      <c r="M3091" s="125">
        <f t="shared" si="75"/>
        <v>17</v>
      </c>
      <c r="N3091" s="18"/>
      <c r="O3091" s="135"/>
      <c r="P3091" s="175">
        <v>16300</v>
      </c>
      <c r="Q3091" s="25">
        <f>168.34/1149.3</f>
        <v>0.14647176542243107</v>
      </c>
      <c r="U3091" s="384">
        <v>0.1</v>
      </c>
      <c r="W3091" s="285">
        <f t="shared" si="76"/>
        <v>2626.2387540241893</v>
      </c>
    </row>
    <row r="3092" spans="1:23" ht="15" customHeight="1">
      <c r="A3092" s="3">
        <v>40233</v>
      </c>
      <c r="B3092" s="9">
        <v>5000</v>
      </c>
      <c r="C3092" s="5">
        <v>88350</v>
      </c>
      <c r="D3092" s="5" t="e">
        <f>E3092-(#REF!+C3092)</f>
        <v>#REF!</v>
      </c>
      <c r="E3092" s="5">
        <v>161975</v>
      </c>
      <c r="K3092" s="22">
        <v>2167.5</v>
      </c>
      <c r="L3092" s="6">
        <v>2181</v>
      </c>
      <c r="M3092" s="125">
        <f t="shared" si="75"/>
        <v>13.5</v>
      </c>
      <c r="N3092" s="18"/>
      <c r="O3092" s="135"/>
      <c r="P3092" s="175">
        <v>16100</v>
      </c>
      <c r="Q3092" s="25">
        <f>168.34/1149.3</f>
        <v>0.14647176542243107</v>
      </c>
      <c r="U3092" s="384">
        <v>0.1</v>
      </c>
      <c r="W3092" s="285">
        <f t="shared" si="76"/>
        <v>2594.0149656312542</v>
      </c>
    </row>
    <row r="3093" spans="1:23" ht="15" customHeight="1">
      <c r="A3093" s="3">
        <v>40234</v>
      </c>
      <c r="B3093" s="9">
        <v>5000</v>
      </c>
      <c r="C3093" s="5">
        <v>88375</v>
      </c>
      <c r="D3093" s="5" t="e">
        <f>E3093-(#REF!+C3093)</f>
        <v>#REF!</v>
      </c>
      <c r="E3093" s="5">
        <v>163025</v>
      </c>
      <c r="K3093" s="22">
        <v>2150</v>
      </c>
      <c r="L3093" s="6">
        <v>2166.5</v>
      </c>
      <c r="M3093" s="125">
        <f t="shared" si="75"/>
        <v>16.5</v>
      </c>
      <c r="N3093" s="18"/>
      <c r="O3093" s="135"/>
      <c r="P3093" s="175">
        <v>16000</v>
      </c>
      <c r="Q3093" s="25">
        <f>169.34/1156.1</f>
        <v>0.14647521840671224</v>
      </c>
      <c r="U3093" s="384">
        <v>0.1</v>
      </c>
      <c r="W3093" s="285">
        <f t="shared" si="76"/>
        <v>2577.9638439581354</v>
      </c>
    </row>
    <row r="3094" spans="1:23" ht="15" customHeight="1" thickBot="1">
      <c r="A3094" s="11">
        <v>40235</v>
      </c>
      <c r="B3094" s="9">
        <v>5000</v>
      </c>
      <c r="C3094" s="13">
        <v>88525</v>
      </c>
      <c r="D3094" s="13" t="e">
        <f>E3094-(#REF!+C3094)</f>
        <v>#REF!</v>
      </c>
      <c r="E3094" s="13">
        <v>165075</v>
      </c>
      <c r="F3094" s="12"/>
      <c r="G3094" s="13"/>
      <c r="H3094" s="13"/>
      <c r="I3094" s="119"/>
      <c r="J3094" s="119"/>
      <c r="K3094" s="23">
        <v>2138.5</v>
      </c>
      <c r="L3094" s="14">
        <v>2171</v>
      </c>
      <c r="M3094" s="126">
        <f t="shared" si="75"/>
        <v>32.5</v>
      </c>
      <c r="N3094" s="84">
        <f>AVERAGE(K3075:K3094)</f>
        <v>2123.6750000000002</v>
      </c>
      <c r="O3094" s="141">
        <f>AVERAGE(K3055:K3094)</f>
        <v>2246.0250000000001</v>
      </c>
      <c r="P3094" s="176">
        <v>15800</v>
      </c>
      <c r="Q3094" s="27">
        <f>169.66/1158.4</f>
        <v>0.14646063535911602</v>
      </c>
      <c r="R3094" s="27"/>
      <c r="S3094" s="27"/>
      <c r="T3094" s="27"/>
      <c r="U3094" s="385">
        <v>0.1</v>
      </c>
      <c r="V3094" s="38">
        <f>AVERAGE(P3075:P3094)</f>
        <v>15633.333333333334</v>
      </c>
      <c r="W3094" s="285">
        <f t="shared" si="76"/>
        <v>2545.4858425414363</v>
      </c>
    </row>
    <row r="3095" spans="1:23" ht="15" customHeight="1">
      <c r="A3095" s="29">
        <v>40238</v>
      </c>
      <c r="B3095" s="9">
        <v>4975</v>
      </c>
      <c r="C3095" s="31">
        <v>88750</v>
      </c>
      <c r="D3095" s="31" t="e">
        <f>E3095-(#REF!+C3095)</f>
        <v>#REF!</v>
      </c>
      <c r="E3095" s="31">
        <v>167200</v>
      </c>
      <c r="F3095" s="30"/>
      <c r="G3095" s="31"/>
      <c r="H3095" s="31"/>
      <c r="I3095" s="123"/>
      <c r="J3095" s="123"/>
      <c r="K3095" s="32">
        <v>2151.5</v>
      </c>
      <c r="L3095" s="33">
        <v>2171</v>
      </c>
      <c r="M3095" s="125">
        <f t="shared" si="75"/>
        <v>19.5</v>
      </c>
      <c r="N3095" s="20"/>
      <c r="O3095" s="138"/>
      <c r="P3095" s="178">
        <v>15800</v>
      </c>
      <c r="Q3095" s="34">
        <f>169.66/1158.4</f>
        <v>0.14646063535911602</v>
      </c>
      <c r="R3095" s="34"/>
      <c r="S3095" s="34"/>
      <c r="T3095" s="34"/>
      <c r="U3095" s="386">
        <v>0.1</v>
      </c>
      <c r="V3095" s="37"/>
      <c r="W3095" s="285">
        <f t="shared" si="76"/>
        <v>2545.4858425414363</v>
      </c>
    </row>
    <row r="3096" spans="1:23" ht="15" customHeight="1">
      <c r="A3096" s="3">
        <v>40239</v>
      </c>
      <c r="B3096" s="9">
        <v>4975</v>
      </c>
      <c r="C3096" s="5">
        <v>88950</v>
      </c>
      <c r="D3096" s="5" t="e">
        <f>E3096-(#REF!+C3096)</f>
        <v>#REF!</v>
      </c>
      <c r="E3096" s="5">
        <v>167725</v>
      </c>
      <c r="K3096" s="22">
        <v>2150</v>
      </c>
      <c r="L3096" s="6">
        <v>2175</v>
      </c>
      <c r="M3096" s="125">
        <f t="shared" si="75"/>
        <v>25</v>
      </c>
      <c r="N3096" s="18"/>
      <c r="O3096" s="135"/>
      <c r="P3096" s="175">
        <v>15700</v>
      </c>
      <c r="Q3096" s="25">
        <f>169.94/1160.2</f>
        <v>0.14647474573349423</v>
      </c>
      <c r="U3096" s="384">
        <v>0.1</v>
      </c>
      <c r="W3096" s="285">
        <f t="shared" si="76"/>
        <v>2529.6188588174455</v>
      </c>
    </row>
    <row r="3097" spans="1:23" ht="15" customHeight="1">
      <c r="A3097" s="3">
        <v>40240</v>
      </c>
      <c r="B3097" s="9">
        <v>4975</v>
      </c>
      <c r="C3097" s="5">
        <v>89200</v>
      </c>
      <c r="D3097" s="5" t="e">
        <f>E3097-(#REF!+C3097)</f>
        <v>#REF!</v>
      </c>
      <c r="E3097" s="5">
        <v>167975</v>
      </c>
      <c r="K3097" s="22">
        <v>2201</v>
      </c>
      <c r="L3097" s="6">
        <v>2226</v>
      </c>
      <c r="M3097" s="125">
        <f t="shared" si="75"/>
        <v>25</v>
      </c>
      <c r="N3097" s="18"/>
      <c r="O3097" s="135"/>
      <c r="P3097" s="175">
        <v>15700</v>
      </c>
      <c r="Q3097" s="25">
        <f>168.83/1152.7</f>
        <v>0.14646482172291142</v>
      </c>
      <c r="U3097" s="384">
        <v>0.1</v>
      </c>
      <c r="W3097" s="285">
        <f t="shared" si="76"/>
        <v>2529.4474711546804</v>
      </c>
    </row>
    <row r="3098" spans="1:23" ht="15" customHeight="1">
      <c r="A3098" s="3">
        <v>40241</v>
      </c>
      <c r="B3098" s="9">
        <v>4975</v>
      </c>
      <c r="C3098" s="5">
        <v>89300</v>
      </c>
      <c r="D3098" s="5" t="e">
        <f>E3098-(#REF!+C3098)</f>
        <v>#REF!</v>
      </c>
      <c r="E3098" s="5">
        <v>168675</v>
      </c>
      <c r="K3098" s="22">
        <v>2196.5</v>
      </c>
      <c r="L3098" s="6">
        <v>2225</v>
      </c>
      <c r="M3098" s="125">
        <f t="shared" si="75"/>
        <v>28.5</v>
      </c>
      <c r="N3098" s="18"/>
      <c r="O3098" s="135"/>
      <c r="P3098" s="175">
        <v>15700</v>
      </c>
      <c r="Q3098" s="25">
        <f>167.96/1146.6</f>
        <v>0.14648526077097507</v>
      </c>
      <c r="U3098" s="384">
        <v>0.1</v>
      </c>
      <c r="W3098" s="285">
        <f t="shared" si="76"/>
        <v>2529.8004535147393</v>
      </c>
    </row>
    <row r="3099" spans="1:23" ht="15" customHeight="1">
      <c r="A3099" s="3">
        <v>40242</v>
      </c>
      <c r="B3099" s="9">
        <v>4975</v>
      </c>
      <c r="C3099" s="5">
        <v>89600</v>
      </c>
      <c r="D3099" s="5" t="e">
        <f>E3099-(#REF!+C3099)</f>
        <v>#REF!</v>
      </c>
      <c r="E3099" s="5">
        <v>169975</v>
      </c>
      <c r="K3099" s="22">
        <v>2178</v>
      </c>
      <c r="L3099" s="6">
        <v>2200</v>
      </c>
      <c r="M3099" s="125">
        <f t="shared" si="75"/>
        <v>22</v>
      </c>
      <c r="N3099" s="18"/>
      <c r="O3099" s="135"/>
      <c r="P3099" s="175">
        <v>15700</v>
      </c>
      <c r="Q3099" s="25">
        <f>167.56/1143.8</f>
        <v>0.14649414233257563</v>
      </c>
      <c r="U3099" s="384">
        <v>0.1</v>
      </c>
      <c r="W3099" s="285">
        <f t="shared" si="76"/>
        <v>2529.9538380835816</v>
      </c>
    </row>
    <row r="3100" spans="1:23" ht="15" customHeight="1">
      <c r="A3100" s="3">
        <v>40245</v>
      </c>
      <c r="B3100" s="9">
        <v>4975</v>
      </c>
      <c r="C3100" s="5">
        <v>89750</v>
      </c>
      <c r="D3100" s="5" t="e">
        <f>E3100-(#REF!+C3100)</f>
        <v>#REF!</v>
      </c>
      <c r="E3100" s="5">
        <v>170525</v>
      </c>
      <c r="K3100" s="22">
        <v>2240.5</v>
      </c>
      <c r="L3100" s="6">
        <v>2275</v>
      </c>
      <c r="M3100" s="125">
        <f t="shared" si="75"/>
        <v>34.5</v>
      </c>
      <c r="N3100" s="18"/>
      <c r="O3100" s="135"/>
      <c r="P3100" s="175">
        <v>15800</v>
      </c>
      <c r="Q3100" s="25">
        <f>167.27/1141.9</f>
        <v>0.14648393029161924</v>
      </c>
      <c r="U3100" s="384">
        <v>0.1</v>
      </c>
      <c r="W3100" s="285">
        <f t="shared" si="76"/>
        <v>2545.8907084683428</v>
      </c>
    </row>
    <row r="3101" spans="1:23" ht="15" customHeight="1">
      <c r="A3101" s="3">
        <v>40246</v>
      </c>
      <c r="B3101" s="9">
        <v>4975</v>
      </c>
      <c r="C3101" s="5">
        <v>89575</v>
      </c>
      <c r="D3101" s="5" t="e">
        <f>E3101-(#REF!+C3101)</f>
        <v>#REF!</v>
      </c>
      <c r="E3101" s="5">
        <v>170350</v>
      </c>
      <c r="K3101" s="22">
        <v>2206</v>
      </c>
      <c r="L3101" s="6">
        <v>2228</v>
      </c>
      <c r="M3101" s="125">
        <f t="shared" si="75"/>
        <v>22</v>
      </c>
      <c r="N3101" s="18"/>
      <c r="O3101" s="135"/>
      <c r="P3101" s="175">
        <v>15800</v>
      </c>
      <c r="Q3101" s="25">
        <f>166.05/1133.7</f>
        <v>0.1464673193966658</v>
      </c>
      <c r="U3101" s="384">
        <v>0.1</v>
      </c>
      <c r="W3101" s="285">
        <f t="shared" si="76"/>
        <v>2545.6020111140519</v>
      </c>
    </row>
    <row r="3102" spans="1:23" ht="15" customHeight="1">
      <c r="A3102" s="3">
        <v>40247</v>
      </c>
      <c r="B3102" s="9">
        <v>4975</v>
      </c>
      <c r="C3102" s="5">
        <v>89425</v>
      </c>
      <c r="D3102" s="5" t="e">
        <f>E3102-(#REF!+C3102)</f>
        <v>#REF!</v>
      </c>
      <c r="E3102" s="5">
        <v>170475</v>
      </c>
      <c r="K3102" s="22">
        <v>2282.5</v>
      </c>
      <c r="L3102" s="6">
        <v>2310</v>
      </c>
      <c r="M3102" s="125">
        <f t="shared" si="75"/>
        <v>27.5</v>
      </c>
      <c r="N3102" s="18"/>
      <c r="O3102" s="135"/>
      <c r="P3102" s="175">
        <v>15800</v>
      </c>
      <c r="Q3102" s="25">
        <f>166.17/1134.5</f>
        <v>0.14646981048920227</v>
      </c>
      <c r="U3102" s="384">
        <v>0.1</v>
      </c>
      <c r="W3102" s="285">
        <f t="shared" si="76"/>
        <v>2545.6453063023359</v>
      </c>
    </row>
    <row r="3103" spans="1:23" ht="15" customHeight="1">
      <c r="A3103" s="3">
        <v>40248</v>
      </c>
      <c r="B3103" s="9">
        <v>4975</v>
      </c>
      <c r="C3103" s="5">
        <v>89225</v>
      </c>
      <c r="D3103" s="5" t="e">
        <f>E3103-(#REF!+C3103)</f>
        <v>#REF!</v>
      </c>
      <c r="E3103" s="5">
        <v>170225</v>
      </c>
      <c r="K3103" s="22">
        <v>2241</v>
      </c>
      <c r="L3103" s="6">
        <v>2265</v>
      </c>
      <c r="M3103" s="125">
        <f t="shared" si="75"/>
        <v>24</v>
      </c>
      <c r="N3103" s="18"/>
      <c r="O3103" s="135"/>
      <c r="P3103" s="175">
        <v>15700</v>
      </c>
      <c r="Q3103" s="25">
        <f>165.94/1132.7</f>
        <v>0.14649951443453693</v>
      </c>
      <c r="U3103" s="384">
        <v>0.1</v>
      </c>
      <c r="W3103" s="285">
        <f t="shared" si="76"/>
        <v>2530.046614284453</v>
      </c>
    </row>
    <row r="3104" spans="1:23" ht="15" customHeight="1">
      <c r="A3104" s="3">
        <v>40249</v>
      </c>
      <c r="B3104" s="9">
        <v>4975</v>
      </c>
      <c r="C3104" s="5">
        <v>89175</v>
      </c>
      <c r="D3104" s="5" t="e">
        <f>E3104-(#REF!+C3104)</f>
        <v>#REF!</v>
      </c>
      <c r="E3104" s="5">
        <v>170150</v>
      </c>
      <c r="K3104" s="22">
        <v>2251</v>
      </c>
      <c r="L3104" s="6">
        <v>2281</v>
      </c>
      <c r="M3104" s="125">
        <f t="shared" si="75"/>
        <v>30</v>
      </c>
      <c r="N3104" s="18"/>
      <c r="O3104" s="135"/>
      <c r="P3104" s="175">
        <v>15800</v>
      </c>
      <c r="Q3104" s="25">
        <f>165.65/1131</f>
        <v>0.14646330680813441</v>
      </c>
      <c r="U3104" s="384">
        <v>0.1</v>
      </c>
      <c r="W3104" s="285">
        <f t="shared" si="76"/>
        <v>2545.5322723253762</v>
      </c>
    </row>
    <row r="3105" spans="1:23" ht="15" customHeight="1">
      <c r="A3105" s="3">
        <v>40252</v>
      </c>
      <c r="B3105" s="9">
        <v>4975</v>
      </c>
      <c r="C3105" s="5">
        <v>89425</v>
      </c>
      <c r="D3105" s="5" t="e">
        <f>E3105-(#REF!+C3105)</f>
        <v>#REF!</v>
      </c>
      <c r="E3105" s="5">
        <v>170425</v>
      </c>
      <c r="K3105" s="22">
        <v>2185</v>
      </c>
      <c r="L3105" s="6">
        <v>2210</v>
      </c>
      <c r="M3105" s="125">
        <f t="shared" si="75"/>
        <v>25</v>
      </c>
      <c r="N3105" s="18"/>
      <c r="O3105" s="135"/>
      <c r="P3105" s="175">
        <v>15700</v>
      </c>
      <c r="Q3105" s="25">
        <f>165.71/1131.1</f>
        <v>0.14650340376624527</v>
      </c>
      <c r="U3105" s="384">
        <v>0.1</v>
      </c>
      <c r="W3105" s="285">
        <f t="shared" si="76"/>
        <v>2530.1137830430562</v>
      </c>
    </row>
    <row r="3106" spans="1:23" ht="15" customHeight="1">
      <c r="A3106" s="3">
        <v>40253</v>
      </c>
      <c r="B3106" s="9">
        <v>10900</v>
      </c>
      <c r="C3106" s="5">
        <v>89300</v>
      </c>
      <c r="D3106" s="5" t="e">
        <f>E3106-(#REF!+#REF!+C3106)</f>
        <v>#REF!</v>
      </c>
      <c r="E3106" s="5">
        <v>170300</v>
      </c>
      <c r="K3106" s="22">
        <v>2194.5</v>
      </c>
      <c r="L3106" s="6">
        <v>2222</v>
      </c>
      <c r="M3106" s="125">
        <f t="shared" si="75"/>
        <v>27.5</v>
      </c>
      <c r="N3106" s="18"/>
      <c r="O3106" s="135"/>
      <c r="P3106" s="175">
        <v>15600</v>
      </c>
      <c r="Q3106" s="25">
        <f>166.09/1133.9</f>
        <v>0.1464767616191904</v>
      </c>
      <c r="U3106" s="384">
        <v>0.1</v>
      </c>
      <c r="W3106" s="285">
        <f t="shared" si="76"/>
        <v>2513.5412293853078</v>
      </c>
    </row>
    <row r="3107" spans="1:23" ht="15" customHeight="1">
      <c r="A3107" s="3">
        <v>40254</v>
      </c>
      <c r="B3107" s="9">
        <v>10900</v>
      </c>
      <c r="C3107" s="5">
        <v>89375</v>
      </c>
      <c r="D3107" s="5" t="e">
        <f>E3107-(#REF!+#REF!+C3107)</f>
        <v>#REF!</v>
      </c>
      <c r="E3107" s="5">
        <v>170375</v>
      </c>
      <c r="K3107" s="22">
        <v>2245</v>
      </c>
      <c r="L3107" s="6">
        <v>2276</v>
      </c>
      <c r="M3107" s="125">
        <f t="shared" si="75"/>
        <v>31</v>
      </c>
      <c r="N3107" s="18"/>
      <c r="O3107" s="135"/>
      <c r="P3107" s="175">
        <v>15700</v>
      </c>
      <c r="Q3107" s="25">
        <f>166.06/1133.7</f>
        <v>0.14647614007232954</v>
      </c>
      <c r="U3107" s="384">
        <v>0.1</v>
      </c>
      <c r="W3107" s="285">
        <f t="shared" si="76"/>
        <v>2529.6429390491312</v>
      </c>
    </row>
    <row r="3108" spans="1:23" ht="15" customHeight="1">
      <c r="A3108" s="3">
        <v>40255</v>
      </c>
      <c r="B3108" s="9">
        <v>10900</v>
      </c>
      <c r="C3108" s="5">
        <v>89350</v>
      </c>
      <c r="D3108" s="5" t="e">
        <f>E3108-(#REF!+#REF!+C3108)</f>
        <v>#REF!</v>
      </c>
      <c r="E3108" s="5">
        <v>170350</v>
      </c>
      <c r="K3108" s="22">
        <v>2222.5</v>
      </c>
      <c r="L3108" s="6">
        <v>2252</v>
      </c>
      <c r="M3108" s="125">
        <f t="shared" si="75"/>
        <v>29.5</v>
      </c>
      <c r="N3108" s="18"/>
      <c r="O3108" s="135"/>
      <c r="P3108" s="175">
        <v>15750</v>
      </c>
      <c r="Q3108" s="25">
        <f>165.45/1129.5</f>
        <v>0.14648074369189906</v>
      </c>
      <c r="U3108" s="384">
        <v>0.1</v>
      </c>
      <c r="W3108" s="285">
        <f t="shared" si="76"/>
        <v>2537.7788844621514</v>
      </c>
    </row>
    <row r="3109" spans="1:23" ht="15" customHeight="1">
      <c r="A3109" s="3">
        <v>40256</v>
      </c>
      <c r="B3109" s="9">
        <v>10900</v>
      </c>
      <c r="C3109" s="5">
        <v>89375</v>
      </c>
      <c r="D3109" s="5" t="e">
        <f>E3109-(#REF!+#REF!+C3109)</f>
        <v>#REF!</v>
      </c>
      <c r="E3109" s="5">
        <v>171000</v>
      </c>
      <c r="K3109" s="22">
        <v>2210.5</v>
      </c>
      <c r="L3109" s="6">
        <v>2237</v>
      </c>
      <c r="M3109" s="125">
        <f t="shared" si="75"/>
        <v>26.5</v>
      </c>
      <c r="N3109" s="18"/>
      <c r="O3109" s="135"/>
      <c r="P3109" s="175">
        <v>15750</v>
      </c>
      <c r="Q3109" s="25">
        <f>165.73/1131.3</f>
        <v>0.14649518253336868</v>
      </c>
      <c r="U3109" s="384">
        <v>0.1</v>
      </c>
      <c r="W3109" s="285">
        <f t="shared" si="76"/>
        <v>2538.0290373906128</v>
      </c>
    </row>
    <row r="3110" spans="1:23" ht="15" customHeight="1">
      <c r="A3110" s="3">
        <v>40259</v>
      </c>
      <c r="B3110" s="9">
        <v>10900</v>
      </c>
      <c r="C3110" s="5">
        <v>89500</v>
      </c>
      <c r="D3110" s="5" t="e">
        <f>E3110-(#REF!+#REF!+C3110)</f>
        <v>#REF!</v>
      </c>
      <c r="E3110" s="5">
        <v>171375</v>
      </c>
      <c r="K3110" s="22">
        <v>2140</v>
      </c>
      <c r="L3110" s="6">
        <v>2160.5</v>
      </c>
      <c r="M3110" s="125">
        <f t="shared" si="75"/>
        <v>20.5</v>
      </c>
      <c r="N3110" s="18"/>
      <c r="O3110" s="135"/>
      <c r="P3110" s="175">
        <v>15700</v>
      </c>
      <c r="Q3110" s="25">
        <f>165.95/1132.9</f>
        <v>0.1464824785947568</v>
      </c>
      <c r="U3110" s="384">
        <v>0.1</v>
      </c>
      <c r="W3110" s="285">
        <f t="shared" si="76"/>
        <v>2529.7524053314505</v>
      </c>
    </row>
    <row r="3111" spans="1:23" ht="15" customHeight="1">
      <c r="A3111" s="3">
        <v>40260</v>
      </c>
      <c r="B3111" s="9">
        <v>10900</v>
      </c>
      <c r="C3111" s="5">
        <v>89975</v>
      </c>
      <c r="D3111" s="5" t="e">
        <f>E3111-(#REF!+#REF!+C3111)</f>
        <v>#REF!</v>
      </c>
      <c r="E3111" s="5">
        <v>171850</v>
      </c>
      <c r="K3111" s="22">
        <v>2136</v>
      </c>
      <c r="L3111" s="6">
        <v>2170</v>
      </c>
      <c r="M3111" s="125">
        <f t="shared" si="75"/>
        <v>34</v>
      </c>
      <c r="N3111" s="18"/>
      <c r="O3111" s="135"/>
      <c r="P3111" s="175">
        <v>15600</v>
      </c>
      <c r="Q3111" s="25">
        <f>166.46/1136.5</f>
        <v>0.14646722393312803</v>
      </c>
      <c r="U3111" s="384">
        <v>0.1</v>
      </c>
      <c r="W3111" s="285">
        <f t="shared" si="76"/>
        <v>2513.3775626924771</v>
      </c>
    </row>
    <row r="3112" spans="1:23" ht="15" customHeight="1">
      <c r="A3112" s="3">
        <v>40261</v>
      </c>
      <c r="B3112" s="9">
        <v>10900</v>
      </c>
      <c r="C3112" s="5">
        <v>89750</v>
      </c>
      <c r="D3112" s="5" t="e">
        <f>E3112-(#REF!+#REF!+C3112)</f>
        <v>#REF!</v>
      </c>
      <c r="E3112" s="5">
        <v>171600</v>
      </c>
      <c r="K3112" s="22">
        <v>2001</v>
      </c>
      <c r="L3112" s="6">
        <v>2035</v>
      </c>
      <c r="M3112" s="125">
        <f t="shared" si="75"/>
        <v>34</v>
      </c>
      <c r="N3112" s="18"/>
      <c r="O3112" s="135"/>
      <c r="P3112" s="175">
        <v>15550</v>
      </c>
      <c r="Q3112" s="25">
        <f>166.16/1134.3</f>
        <v>0.14648682006523847</v>
      </c>
      <c r="U3112" s="384">
        <v>0.1</v>
      </c>
      <c r="W3112" s="285">
        <f t="shared" si="76"/>
        <v>2505.6570572159044</v>
      </c>
    </row>
    <row r="3113" spans="1:23" ht="15" customHeight="1">
      <c r="A3113" s="3">
        <v>40262</v>
      </c>
      <c r="B3113" s="9">
        <v>10900</v>
      </c>
      <c r="C3113" s="5">
        <v>89650</v>
      </c>
      <c r="D3113" s="5" t="e">
        <f>E3113-(#REF!+#REF!+C3113)</f>
        <v>#REF!</v>
      </c>
      <c r="E3113" s="5">
        <v>172000</v>
      </c>
      <c r="K3113" s="22">
        <v>2025.5</v>
      </c>
      <c r="L3113" s="6">
        <v>2053</v>
      </c>
      <c r="M3113" s="125">
        <f t="shared" si="75"/>
        <v>27.5</v>
      </c>
      <c r="N3113" s="18"/>
      <c r="O3113" s="135"/>
      <c r="P3113" s="175">
        <v>15400</v>
      </c>
      <c r="Q3113" s="25">
        <f>166.33/1135.5</f>
        <v>0.14648172611184501</v>
      </c>
      <c r="U3113" s="384">
        <v>0.1</v>
      </c>
      <c r="W3113" s="285">
        <f t="shared" si="76"/>
        <v>2481.4004403346548</v>
      </c>
    </row>
    <row r="3114" spans="1:23" ht="15" customHeight="1">
      <c r="A3114" s="3">
        <v>40263</v>
      </c>
      <c r="B3114" s="9">
        <v>10900</v>
      </c>
      <c r="C3114" s="5">
        <v>89425</v>
      </c>
      <c r="D3114" s="5" t="e">
        <f>E3114-(#REF!+#REF!+C3114)</f>
        <v>#REF!</v>
      </c>
      <c r="E3114" s="5">
        <v>172250</v>
      </c>
      <c r="K3114" s="22">
        <v>2090</v>
      </c>
      <c r="L3114" s="6">
        <v>2120</v>
      </c>
      <c r="M3114" s="125">
        <f t="shared" si="75"/>
        <v>30</v>
      </c>
      <c r="N3114" s="18"/>
      <c r="O3114" s="135"/>
      <c r="P3114" s="175">
        <v>15450</v>
      </c>
      <c r="Q3114" s="25">
        <f>167.13/1141.2</f>
        <v>0.14645110410094636</v>
      </c>
      <c r="U3114" s="384">
        <v>0.1</v>
      </c>
      <c r="W3114" s="285">
        <f t="shared" si="76"/>
        <v>2488.9365141955832</v>
      </c>
    </row>
    <row r="3115" spans="1:23" ht="15" customHeight="1">
      <c r="A3115" s="3">
        <v>40265</v>
      </c>
      <c r="B3115" s="9">
        <v>10900</v>
      </c>
      <c r="C3115" s="5">
        <v>89150</v>
      </c>
      <c r="D3115" s="5" t="e">
        <f>E3115-(#REF!+#REF!+C3115)</f>
        <v>#REF!</v>
      </c>
      <c r="E3115" s="5">
        <v>174525</v>
      </c>
      <c r="K3115" s="22">
        <v>2153</v>
      </c>
      <c r="L3115" s="6">
        <v>2187</v>
      </c>
      <c r="M3115" s="125">
        <f t="shared" si="75"/>
        <v>34</v>
      </c>
      <c r="N3115" s="18"/>
      <c r="O3115" s="135"/>
      <c r="P3115" s="175">
        <v>15550</v>
      </c>
      <c r="Q3115" s="25">
        <f>167.23/1141.7</f>
        <v>0.14647455548743102</v>
      </c>
      <c r="U3115" s="384">
        <v>0.1</v>
      </c>
      <c r="W3115" s="285">
        <f t="shared" si="76"/>
        <v>2505.4472716125078</v>
      </c>
    </row>
    <row r="3116" spans="1:23" ht="15" customHeight="1">
      <c r="A3116" s="3">
        <v>40267</v>
      </c>
      <c r="B3116" s="9">
        <v>10900</v>
      </c>
      <c r="C3116" s="5">
        <v>88975</v>
      </c>
      <c r="D3116" s="5" t="e">
        <f>E3116-(#REF!+#REF!+C3116)</f>
        <v>#REF!</v>
      </c>
      <c r="E3116" s="5">
        <v>175725</v>
      </c>
      <c r="K3116" s="22">
        <v>2137</v>
      </c>
      <c r="L3116" s="6">
        <v>2169</v>
      </c>
      <c r="M3116" s="125">
        <f t="shared" si="75"/>
        <v>32</v>
      </c>
      <c r="N3116" s="18"/>
      <c r="O3116" s="135"/>
      <c r="P3116" s="175">
        <v>15600</v>
      </c>
      <c r="Q3116" s="25">
        <f>166.79/1138.6</f>
        <v>0.14648691375373266</v>
      </c>
      <c r="U3116" s="384">
        <v>0.1</v>
      </c>
      <c r="W3116" s="285">
        <f t="shared" si="76"/>
        <v>2513.7154400140525</v>
      </c>
    </row>
    <row r="3117" spans="1:23" ht="15" customHeight="1" thickBot="1">
      <c r="A3117" s="11">
        <v>40268</v>
      </c>
      <c r="B3117" s="9">
        <v>10850</v>
      </c>
      <c r="C3117" s="13">
        <v>88675</v>
      </c>
      <c r="D3117" s="13" t="e">
        <f>E3117-(#REF!+#REF!+C3117)</f>
        <v>#REF!</v>
      </c>
      <c r="E3117" s="13">
        <v>175850</v>
      </c>
      <c r="F3117" s="12"/>
      <c r="G3117" s="13"/>
      <c r="H3117" s="13"/>
      <c r="I3117" s="119"/>
      <c r="J3117" s="119"/>
      <c r="K3117" s="23">
        <v>2120</v>
      </c>
      <c r="L3117" s="14">
        <v>2155</v>
      </c>
      <c r="M3117" s="126">
        <f>L3117-K3117</f>
        <v>35</v>
      </c>
      <c r="N3117" s="84">
        <f>AVERAGE(K3095:K3117)</f>
        <v>2172.086956521739</v>
      </c>
      <c r="O3117" s="141">
        <f>AVERAGE(K3055:K3117)</f>
        <v>2219.031746031746</v>
      </c>
      <c r="P3117" s="176">
        <v>15600</v>
      </c>
      <c r="Q3117" s="27">
        <f>165.66/1130.8</f>
        <v>0.14649805447470818</v>
      </c>
      <c r="R3117" s="27"/>
      <c r="S3117" s="27"/>
      <c r="T3117" s="27"/>
      <c r="U3117" s="385">
        <v>0.1</v>
      </c>
      <c r="V3117" s="38">
        <f>AVERAGE(P3095:P3117)</f>
        <v>15671.739130434782</v>
      </c>
      <c r="W3117" s="285">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25">
        <f>L3118-K3118</f>
        <v>29.5</v>
      </c>
      <c r="N3118" s="18"/>
      <c r="O3118" s="135"/>
      <c r="P3118" s="178">
        <v>15600</v>
      </c>
      <c r="Q3118" s="34">
        <f>165.91/1132.5</f>
        <v>0.14649889624724061</v>
      </c>
      <c r="R3118" s="34"/>
      <c r="S3118" s="34"/>
      <c r="T3118" s="34"/>
      <c r="U3118" s="386">
        <v>0.1</v>
      </c>
      <c r="V3118" s="37"/>
      <c r="W3118" s="285">
        <f t="shared" si="77"/>
        <v>2513.9210596026492</v>
      </c>
    </row>
    <row r="3119" spans="1:23" ht="15" customHeight="1">
      <c r="A3119" s="3">
        <v>40270</v>
      </c>
      <c r="B3119" s="9">
        <v>0</v>
      </c>
      <c r="C3119" s="193"/>
      <c r="D3119" s="193"/>
      <c r="E3119" s="193"/>
      <c r="F3119" s="1333" t="s">
        <v>35</v>
      </c>
      <c r="G3119" s="1333"/>
      <c r="H3119" s="1333"/>
      <c r="I3119" s="1333"/>
      <c r="J3119" s="65"/>
      <c r="K3119" s="193"/>
      <c r="L3119" s="193"/>
      <c r="M3119" s="193"/>
      <c r="N3119" s="18"/>
      <c r="O3119" s="135"/>
      <c r="P3119" s="175">
        <v>15700</v>
      </c>
      <c r="Q3119" s="25">
        <f>165.28/1128.3</f>
        <v>0.14648586368873528</v>
      </c>
      <c r="U3119" s="384">
        <v>0.1</v>
      </c>
      <c r="W3119" s="285">
        <f t="shared" si="77"/>
        <v>2529.8108659044588</v>
      </c>
    </row>
    <row r="3120" spans="1:23" ht="15" customHeight="1">
      <c r="A3120" s="3">
        <v>40273</v>
      </c>
      <c r="B3120" s="9">
        <v>0</v>
      </c>
      <c r="C3120" s="193"/>
      <c r="D3120" s="193"/>
      <c r="E3120" s="193"/>
      <c r="F3120" s="1333"/>
      <c r="G3120" s="1333"/>
      <c r="H3120" s="1333"/>
      <c r="I3120" s="1333"/>
      <c r="J3120" s="65"/>
      <c r="K3120" s="193"/>
      <c r="L3120" s="193"/>
      <c r="M3120" s="193"/>
      <c r="N3120" s="18"/>
      <c r="O3120" s="135"/>
      <c r="P3120" s="195"/>
      <c r="Q3120" s="1363" t="s">
        <v>23</v>
      </c>
      <c r="R3120" s="1363"/>
      <c r="S3120" s="1363"/>
      <c r="T3120" s="1363"/>
      <c r="U3120" s="1363"/>
      <c r="V3120" s="189"/>
      <c r="W3120" s="285" t="e">
        <f t="shared" si="77"/>
        <v>#VALUE!</v>
      </c>
    </row>
    <row r="3121" spans="1:23" ht="15" customHeight="1">
      <c r="A3121" s="3">
        <v>40274</v>
      </c>
      <c r="B3121" s="9">
        <v>10725</v>
      </c>
      <c r="C3121" s="5">
        <v>87950</v>
      </c>
      <c r="D3121" s="5" t="e">
        <f>E3121-(#REF!+#REF!+C3121)</f>
        <v>#REF!</v>
      </c>
      <c r="E3121" s="5">
        <v>175725</v>
      </c>
      <c r="K3121" s="22">
        <v>2228</v>
      </c>
      <c r="L3121" s="6">
        <v>2255.5</v>
      </c>
      <c r="M3121" s="125">
        <f>L3121-K3121</f>
        <v>27.5</v>
      </c>
      <c r="N3121" s="18"/>
      <c r="O3121" s="135"/>
      <c r="P3121" s="175">
        <v>15700</v>
      </c>
      <c r="Q3121" s="25">
        <f>164.83/1125.1</f>
        <v>0.14650253310816819</v>
      </c>
      <c r="U3121" s="384">
        <v>0.1</v>
      </c>
      <c r="W3121" s="285">
        <f t="shared" si="77"/>
        <v>2530.0987467780647</v>
      </c>
    </row>
    <row r="3122" spans="1:23" ht="15" customHeight="1">
      <c r="A3122" s="3">
        <v>40275</v>
      </c>
      <c r="B3122" s="9">
        <v>10725</v>
      </c>
      <c r="C3122" s="5">
        <v>87425</v>
      </c>
      <c r="D3122" s="5" t="e">
        <f>E3122-(#REF!+#REF!+C3122)</f>
        <v>#REF!</v>
      </c>
      <c r="E3122" s="5">
        <v>175600</v>
      </c>
      <c r="K3122" s="22">
        <v>2262.5</v>
      </c>
      <c r="L3122" s="6">
        <v>2293</v>
      </c>
      <c r="M3122" s="125">
        <f t="shared" ref="M3122:M3159" si="78">L3122-K3122</f>
        <v>30.5</v>
      </c>
      <c r="N3122" s="18"/>
      <c r="O3122" s="135"/>
      <c r="P3122" s="175">
        <v>15800</v>
      </c>
      <c r="Q3122" s="25">
        <f>164.54/1123.1</f>
        <v>0.14650520879707951</v>
      </c>
      <c r="U3122" s="384">
        <v>0.1</v>
      </c>
      <c r="W3122" s="285">
        <f t="shared" si="77"/>
        <v>2546.2605288932423</v>
      </c>
    </row>
    <row r="3123" spans="1:23" ht="15" customHeight="1">
      <c r="A3123" s="3">
        <v>40276</v>
      </c>
      <c r="B3123" s="9">
        <v>10725</v>
      </c>
      <c r="C3123" s="5">
        <v>86875</v>
      </c>
      <c r="D3123" s="5" t="e">
        <f>E3123-(#REF!+#REF!+C3123)</f>
        <v>#REF!</v>
      </c>
      <c r="E3123" s="5">
        <v>175025</v>
      </c>
      <c r="K3123" s="22">
        <v>2225</v>
      </c>
      <c r="L3123" s="6">
        <v>2255</v>
      </c>
      <c r="M3123" s="125">
        <f t="shared" si="78"/>
        <v>30</v>
      </c>
      <c r="N3123" s="18"/>
      <c r="O3123" s="135"/>
      <c r="P3123" s="175">
        <v>15800</v>
      </c>
      <c r="Q3123" s="25">
        <f>164.36/1121.8</f>
        <v>0.14651453021929045</v>
      </c>
      <c r="U3123" s="384">
        <v>0.1</v>
      </c>
      <c r="W3123" s="285">
        <f t="shared" si="77"/>
        <v>2546.422535211268</v>
      </c>
    </row>
    <row r="3124" spans="1:23" ht="15" customHeight="1">
      <c r="A3124" s="3">
        <v>40277</v>
      </c>
      <c r="B3124" s="9">
        <v>10725</v>
      </c>
      <c r="C3124" s="5">
        <v>86250</v>
      </c>
      <c r="D3124" s="5" t="e">
        <f>E3124-(#REF!+#REF!+C3124)</f>
        <v>#REF!</v>
      </c>
      <c r="E3124" s="5">
        <v>174400</v>
      </c>
      <c r="K3124" s="22">
        <v>2280</v>
      </c>
      <c r="L3124" s="6">
        <v>2309</v>
      </c>
      <c r="M3124" s="125">
        <f t="shared" si="78"/>
        <v>29</v>
      </c>
      <c r="N3124" s="18"/>
      <c r="O3124" s="135"/>
      <c r="P3124" s="175">
        <v>15700</v>
      </c>
      <c r="Q3124" s="25">
        <f>164.59/1123.2</f>
        <v>0.1465366809116809</v>
      </c>
      <c r="U3124" s="384">
        <v>0.1</v>
      </c>
      <c r="W3124" s="285">
        <f t="shared" si="77"/>
        <v>2530.6884793447293</v>
      </c>
    </row>
    <row r="3125" spans="1:23" ht="15" customHeight="1">
      <c r="A3125" s="3">
        <v>40280</v>
      </c>
      <c r="B3125" s="9">
        <v>10725</v>
      </c>
      <c r="C3125" s="5">
        <v>85600</v>
      </c>
      <c r="D3125" s="5" t="e">
        <f>E3125-(#REF!+#REF!+C3125)</f>
        <v>#REF!</v>
      </c>
      <c r="E3125" s="5">
        <v>173750</v>
      </c>
      <c r="K3125" s="22">
        <v>2315</v>
      </c>
      <c r="L3125" s="6">
        <v>2342</v>
      </c>
      <c r="M3125" s="125">
        <f t="shared" si="78"/>
        <v>27</v>
      </c>
      <c r="N3125" s="18"/>
      <c r="O3125" s="135"/>
      <c r="P3125" s="175">
        <v>15900</v>
      </c>
      <c r="Q3125" s="25">
        <f>163.97/1118.8</f>
        <v>0.14655881301394352</v>
      </c>
      <c r="U3125" s="384">
        <v>0.1</v>
      </c>
      <c r="W3125" s="285">
        <f t="shared" si="77"/>
        <v>2563.3136396138725</v>
      </c>
    </row>
    <row r="3126" spans="1:23" ht="15" customHeight="1">
      <c r="A3126" s="3">
        <v>40281</v>
      </c>
      <c r="B3126" s="9">
        <v>10725</v>
      </c>
      <c r="C3126" s="5">
        <v>85125</v>
      </c>
      <c r="D3126" s="5" t="e">
        <f>E3126-(#REF!+#REF!+C3126)</f>
        <v>#REF!</v>
      </c>
      <c r="E3126" s="5">
        <v>173575</v>
      </c>
      <c r="K3126" s="22">
        <v>2305.5</v>
      </c>
      <c r="L3126" s="6">
        <v>2331</v>
      </c>
      <c r="M3126" s="125">
        <f t="shared" si="78"/>
        <v>25.5</v>
      </c>
      <c r="N3126" s="18"/>
      <c r="O3126" s="135"/>
      <c r="P3126" s="175">
        <v>15950</v>
      </c>
      <c r="Q3126" s="25">
        <f>163.04/1113</f>
        <v>0.14648697214734949</v>
      </c>
      <c r="U3126" s="384">
        <v>0.1</v>
      </c>
      <c r="W3126" s="285">
        <f t="shared" si="77"/>
        <v>2570.1139263252471</v>
      </c>
    </row>
    <row r="3127" spans="1:23" ht="15" customHeight="1">
      <c r="A3127" s="3">
        <v>40282</v>
      </c>
      <c r="B3127" s="9">
        <v>10875</v>
      </c>
      <c r="C3127" s="5">
        <v>91675</v>
      </c>
      <c r="D3127" s="5" t="e">
        <f>E3127-(#REF!+#REF!+C3127)</f>
        <v>#REF!</v>
      </c>
      <c r="E3127" s="5">
        <v>180425</v>
      </c>
      <c r="K3127" s="22">
        <v>2333.5</v>
      </c>
      <c r="L3127" s="6">
        <v>2358</v>
      </c>
      <c r="M3127" s="125">
        <f t="shared" si="78"/>
        <v>24.5</v>
      </c>
      <c r="N3127" s="18"/>
      <c r="O3127" s="135"/>
      <c r="P3127" s="175">
        <v>15950</v>
      </c>
      <c r="Q3127" s="25">
        <f>164.1/1120.1</f>
        <v>0.14650477635925366</v>
      </c>
      <c r="U3127" s="384">
        <v>0.1</v>
      </c>
      <c r="W3127" s="285">
        <f t="shared" si="77"/>
        <v>2570.4263012231054</v>
      </c>
    </row>
    <row r="3128" spans="1:23" ht="15" customHeight="1">
      <c r="A3128" s="3">
        <v>40283</v>
      </c>
      <c r="B3128" s="9">
        <v>11075</v>
      </c>
      <c r="C3128" s="5">
        <v>91225</v>
      </c>
      <c r="D3128" s="5" t="e">
        <f>E3128-(#REF!+#REF!+C3128)</f>
        <v>#REF!</v>
      </c>
      <c r="E3128" s="5">
        <v>180075</v>
      </c>
      <c r="K3128" s="22">
        <v>2290</v>
      </c>
      <c r="L3128" s="6">
        <v>2306.5</v>
      </c>
      <c r="M3128" s="125">
        <f t="shared" si="78"/>
        <v>16.5</v>
      </c>
      <c r="N3128" s="18"/>
      <c r="O3128" s="135"/>
      <c r="P3128" s="175">
        <v>15950</v>
      </c>
      <c r="Q3128" s="25">
        <f>163.45/1115.7</f>
        <v>0.14649995518508557</v>
      </c>
      <c r="U3128" s="384">
        <v>0.1</v>
      </c>
      <c r="W3128" s="285">
        <f t="shared" si="77"/>
        <v>2570.3417137223264</v>
      </c>
    </row>
    <row r="3129" spans="1:23" ht="15" customHeight="1">
      <c r="A3129" s="3">
        <v>40284</v>
      </c>
      <c r="B3129" s="9">
        <v>11375</v>
      </c>
      <c r="C3129" s="5">
        <v>91025</v>
      </c>
      <c r="D3129" s="5" t="e">
        <f>E3129-(#REF!+#REF!+C3129)</f>
        <v>#REF!</v>
      </c>
      <c r="E3129" s="5">
        <v>180125</v>
      </c>
      <c r="K3129" s="22">
        <v>2368</v>
      </c>
      <c r="L3129" s="6">
        <v>2390</v>
      </c>
      <c r="M3129" s="125">
        <f t="shared" si="78"/>
        <v>22</v>
      </c>
      <c r="N3129" s="18"/>
      <c r="O3129" s="135"/>
      <c r="P3129" s="175">
        <v>15800</v>
      </c>
      <c r="Q3129" s="25">
        <f>162.42/1108.7</f>
        <v>0.1464958960945251</v>
      </c>
      <c r="U3129" s="384">
        <v>0.1</v>
      </c>
      <c r="W3129" s="285">
        <f t="shared" si="77"/>
        <v>2546.0986741228467</v>
      </c>
    </row>
    <row r="3130" spans="1:23" ht="15" customHeight="1">
      <c r="A3130" s="3">
        <v>40287</v>
      </c>
      <c r="B3130" s="9">
        <v>11375</v>
      </c>
      <c r="C3130" s="5">
        <v>90550</v>
      </c>
      <c r="D3130" s="5" t="e">
        <f>E3130-(#REF!+#REF!+C3130)</f>
        <v>#REF!</v>
      </c>
      <c r="E3130" s="5">
        <v>179950</v>
      </c>
      <c r="K3130" s="22">
        <v>2187.5</v>
      </c>
      <c r="L3130" s="6">
        <v>2206</v>
      </c>
      <c r="M3130" s="125">
        <f t="shared" si="78"/>
        <v>18.5</v>
      </c>
      <c r="N3130" s="18"/>
      <c r="O3130" s="135"/>
      <c r="P3130" s="175">
        <v>15650</v>
      </c>
      <c r="Q3130" s="25">
        <f>163.09/1113.2</f>
        <v>0.14650556952928495</v>
      </c>
      <c r="U3130" s="384">
        <v>0.1</v>
      </c>
      <c r="W3130" s="285">
        <f t="shared" si="77"/>
        <v>2522.0933794466409</v>
      </c>
    </row>
    <row r="3131" spans="1:23" ht="15" customHeight="1">
      <c r="A3131" s="3">
        <v>40288</v>
      </c>
      <c r="B3131" s="9">
        <v>11500</v>
      </c>
      <c r="C3131" s="5">
        <v>90025</v>
      </c>
      <c r="D3131" s="5" t="e">
        <f>E3131-(#REF!+#REF!+C3131)</f>
        <v>#REF!</v>
      </c>
      <c r="E3131" s="5">
        <v>179600</v>
      </c>
      <c r="K3131" s="22">
        <v>2264</v>
      </c>
      <c r="L3131" s="6">
        <v>2294</v>
      </c>
      <c r="M3131" s="125">
        <f t="shared" si="78"/>
        <v>30</v>
      </c>
      <c r="N3131" s="18"/>
      <c r="O3131" s="135"/>
      <c r="P3131" s="175">
        <v>15600</v>
      </c>
      <c r="Q3131" s="25">
        <f>163.63/1117</f>
        <v>0.14649059982094897</v>
      </c>
      <c r="U3131" s="384">
        <v>0.1</v>
      </c>
      <c r="W3131" s="285">
        <f t="shared" si="77"/>
        <v>2513.7786929274848</v>
      </c>
    </row>
    <row r="3132" spans="1:23" ht="15" customHeight="1">
      <c r="A3132" s="3">
        <v>40289</v>
      </c>
      <c r="B3132" s="9">
        <v>11500</v>
      </c>
      <c r="C3132" s="5">
        <v>89525</v>
      </c>
      <c r="D3132" s="5" t="e">
        <f>E3132-(#REF!+#REF!+C3132)</f>
        <v>#REF!</v>
      </c>
      <c r="E3132" s="5">
        <v>179150</v>
      </c>
      <c r="K3132" s="22">
        <v>2295</v>
      </c>
      <c r="L3132" s="6">
        <v>2324</v>
      </c>
      <c r="M3132" s="125">
        <f t="shared" si="78"/>
        <v>29</v>
      </c>
      <c r="N3132" s="18"/>
      <c r="O3132" s="135"/>
      <c r="P3132" s="175">
        <v>15700</v>
      </c>
      <c r="Q3132" s="25">
        <f>163.48/1115.8</f>
        <v>0.14651371213479117</v>
      </c>
      <c r="U3132" s="384">
        <v>0.1</v>
      </c>
      <c r="W3132" s="285">
        <f t="shared" si="77"/>
        <v>2530.2918085678439</v>
      </c>
    </row>
    <row r="3133" spans="1:23" ht="15" customHeight="1">
      <c r="A3133" s="3">
        <v>40290</v>
      </c>
      <c r="B3133" s="9">
        <v>11500</v>
      </c>
      <c r="C3133" s="5">
        <v>89425</v>
      </c>
      <c r="D3133" s="5" t="e">
        <f>E3133-(#REF!+#REF!+C3133)</f>
        <v>#REF!</v>
      </c>
      <c r="E3133" s="5">
        <v>179000</v>
      </c>
      <c r="K3133" s="22">
        <v>2275.5</v>
      </c>
      <c r="L3133" s="6">
        <v>2305</v>
      </c>
      <c r="M3133" s="125">
        <f t="shared" si="78"/>
        <v>29.5</v>
      </c>
      <c r="N3133" s="18"/>
      <c r="O3133" s="135"/>
      <c r="P3133" s="175">
        <v>15700</v>
      </c>
      <c r="Q3133" s="25">
        <f>162.59/1110.1</f>
        <v>0.14646428249707236</v>
      </c>
      <c r="U3133" s="384">
        <v>0.1</v>
      </c>
      <c r="W3133" s="285">
        <f t="shared" si="77"/>
        <v>2529.4381587244397</v>
      </c>
    </row>
    <row r="3134" spans="1:23" ht="15" customHeight="1">
      <c r="A3134" s="3">
        <v>40291</v>
      </c>
      <c r="B3134" s="9">
        <v>11500</v>
      </c>
      <c r="C3134" s="5">
        <v>89425</v>
      </c>
      <c r="D3134" s="5" t="e">
        <f>E3134-(#REF!+#REF!+C3134)</f>
        <v>#REF!</v>
      </c>
      <c r="E3134" s="5">
        <v>179625</v>
      </c>
      <c r="K3134" s="22">
        <v>2253.5</v>
      </c>
      <c r="L3134" s="6">
        <v>2279.5</v>
      </c>
      <c r="M3134" s="125">
        <f t="shared" si="78"/>
        <v>26</v>
      </c>
      <c r="N3134" s="18"/>
      <c r="O3134" s="135"/>
      <c r="P3134" s="175">
        <v>15700</v>
      </c>
      <c r="Q3134" s="25">
        <f>162.66/1110.5</f>
        <v>0.14647456100855472</v>
      </c>
      <c r="U3134" s="384">
        <v>0.1</v>
      </c>
      <c r="W3134" s="285">
        <f t="shared" si="77"/>
        <v>2529.6156686177401</v>
      </c>
    </row>
    <row r="3135" spans="1:23" ht="15" customHeight="1">
      <c r="A3135" s="3">
        <v>40294</v>
      </c>
      <c r="B3135" s="9">
        <v>11500</v>
      </c>
      <c r="C3135" s="5">
        <v>89425</v>
      </c>
      <c r="D3135" s="5" t="e">
        <f>E3135-(#REF!+#REF!+C3135)</f>
        <v>#REF!</v>
      </c>
      <c r="E3135" s="5">
        <v>179575</v>
      </c>
      <c r="K3135" s="22">
        <v>2310.5</v>
      </c>
      <c r="L3135" s="6">
        <v>2340</v>
      </c>
      <c r="M3135" s="125">
        <f t="shared" si="78"/>
        <v>29.5</v>
      </c>
      <c r="N3135" s="18"/>
      <c r="O3135" s="135"/>
      <c r="P3135" s="175">
        <v>15700</v>
      </c>
      <c r="Q3135" s="25">
        <f>162.58/1110</f>
        <v>0.14646846846846848</v>
      </c>
      <c r="U3135" s="384">
        <v>0.1</v>
      </c>
      <c r="W3135" s="285">
        <f t="shared" si="77"/>
        <v>2529.5104504504507</v>
      </c>
    </row>
    <row r="3136" spans="1:23" ht="15" customHeight="1">
      <c r="A3136" s="3">
        <v>40295</v>
      </c>
      <c r="B3136" s="9">
        <v>11500</v>
      </c>
      <c r="C3136" s="5">
        <v>89425</v>
      </c>
      <c r="D3136" s="5" t="e">
        <f>E3136-(#REF!+#REF!+C3136)</f>
        <v>#REF!</v>
      </c>
      <c r="E3136" s="5">
        <v>179775</v>
      </c>
      <c r="K3136" s="22">
        <v>2291</v>
      </c>
      <c r="L3136" s="6">
        <v>2324.5</v>
      </c>
      <c r="M3136" s="125">
        <f t="shared" si="78"/>
        <v>33.5</v>
      </c>
      <c r="N3136" s="18"/>
      <c r="O3136" s="135"/>
      <c r="P3136" s="175">
        <v>15850</v>
      </c>
      <c r="Q3136" s="25">
        <f>161.72/1104</f>
        <v>0.14648550724637682</v>
      </c>
      <c r="U3136" s="384">
        <v>0.1</v>
      </c>
      <c r="W3136" s="285">
        <f t="shared" si="77"/>
        <v>2553.9748188405802</v>
      </c>
    </row>
    <row r="3137" spans="1:23" ht="15" customHeight="1">
      <c r="A3137" s="3">
        <v>40296</v>
      </c>
      <c r="B3137" s="9">
        <v>11500</v>
      </c>
      <c r="C3137" s="5">
        <v>89425</v>
      </c>
      <c r="D3137" s="5" t="e">
        <f>E3137-(#REF!+#REF!+C3137)</f>
        <v>#REF!</v>
      </c>
      <c r="E3137" s="5">
        <v>180075</v>
      </c>
      <c r="K3137" s="22">
        <v>2225</v>
      </c>
      <c r="L3137" s="6">
        <v>2255</v>
      </c>
      <c r="M3137" s="125">
        <f t="shared" si="78"/>
        <v>30</v>
      </c>
      <c r="N3137" s="18"/>
      <c r="O3137" s="135"/>
      <c r="P3137" s="175">
        <v>15700</v>
      </c>
      <c r="Q3137" s="25">
        <f>162.15/1106.8</f>
        <v>0.1465034333212866</v>
      </c>
      <c r="U3137" s="384">
        <v>0.1</v>
      </c>
      <c r="W3137" s="285">
        <f t="shared" si="77"/>
        <v>2530.1142934586196</v>
      </c>
    </row>
    <row r="3138" spans="1:23" ht="15" customHeight="1">
      <c r="A3138" s="3">
        <v>40297</v>
      </c>
      <c r="B3138" s="9">
        <v>11500</v>
      </c>
      <c r="C3138" s="5">
        <v>89425</v>
      </c>
      <c r="D3138" s="5" t="e">
        <f>E3138-(#REF!+#REF!+C3138)</f>
        <v>#REF!</v>
      </c>
      <c r="E3138" s="5">
        <v>180075</v>
      </c>
      <c r="K3138" s="22">
        <v>2229</v>
      </c>
      <c r="L3138" s="6">
        <v>2253</v>
      </c>
      <c r="M3138" s="125">
        <f t="shared" si="78"/>
        <v>24</v>
      </c>
      <c r="N3138" s="18"/>
      <c r="O3138" s="135"/>
      <c r="P3138" s="175">
        <v>15700</v>
      </c>
      <c r="Q3138" s="25">
        <f>163.94/1118.9</f>
        <v>0.1465189024935204</v>
      </c>
      <c r="U3138" s="384">
        <v>0.1</v>
      </c>
      <c r="W3138" s="285">
        <f t="shared" si="77"/>
        <v>2530.3814460630974</v>
      </c>
    </row>
    <row r="3139" spans="1:23" ht="15" customHeight="1" thickBot="1">
      <c r="A3139" s="11">
        <v>40298</v>
      </c>
      <c r="B3139" s="9">
        <v>11500</v>
      </c>
      <c r="C3139" s="13">
        <v>89575</v>
      </c>
      <c r="D3139" s="13" t="e">
        <f>E3139-(#REF!+#REF!+C3139)</f>
        <v>#REF!</v>
      </c>
      <c r="E3139" s="13">
        <v>180850</v>
      </c>
      <c r="F3139" s="12"/>
      <c r="G3139" s="13"/>
      <c r="H3139" s="13"/>
      <c r="I3139" s="119"/>
      <c r="J3139" s="119"/>
      <c r="K3139" s="23">
        <v>2176</v>
      </c>
      <c r="L3139" s="14">
        <v>2208</v>
      </c>
      <c r="M3139" s="125">
        <f t="shared" si="78"/>
        <v>32</v>
      </c>
      <c r="N3139" s="84">
        <f>AVERAGE(K3118:K3139)</f>
        <v>2264.85</v>
      </c>
      <c r="O3139" s="141">
        <f>AVERAGE(K3055:K3139)</f>
        <v>2230.0722891566265</v>
      </c>
      <c r="P3139" s="176">
        <v>15650</v>
      </c>
      <c r="Q3139" s="27">
        <f>163.42/1115.5</f>
        <v>0.14649932765575974</v>
      </c>
      <c r="R3139" s="27"/>
      <c r="S3139" s="27"/>
      <c r="T3139" s="27"/>
      <c r="U3139" s="385">
        <v>0.1</v>
      </c>
      <c r="V3139" s="38">
        <f>AVERAGE(P3118:P3139)</f>
        <v>15752.380952380952</v>
      </c>
      <c r="W3139" s="285">
        <f t="shared" si="77"/>
        <v>2521.9859255939041</v>
      </c>
    </row>
    <row r="3140" spans="1:23" ht="15" customHeight="1">
      <c r="A3140" s="29">
        <v>40301</v>
      </c>
      <c r="B3140" s="9">
        <v>0</v>
      </c>
      <c r="C3140" s="199"/>
      <c r="D3140" s="199"/>
      <c r="E3140" s="199"/>
      <c r="F3140" s="1361" t="s">
        <v>35</v>
      </c>
      <c r="G3140" s="1361"/>
      <c r="H3140" s="1361"/>
      <c r="I3140" s="1361"/>
      <c r="J3140" s="322"/>
      <c r="K3140" s="199"/>
      <c r="L3140" s="199"/>
      <c r="M3140" s="199"/>
      <c r="N3140" s="20"/>
      <c r="O3140" s="138"/>
      <c r="P3140" s="187"/>
      <c r="Q3140" s="1362" t="s">
        <v>23</v>
      </c>
      <c r="R3140" s="1362"/>
      <c r="S3140" s="1362"/>
      <c r="T3140" s="1362"/>
      <c r="U3140" s="1362"/>
      <c r="V3140" s="187"/>
      <c r="W3140" s="285" t="e">
        <f t="shared" si="77"/>
        <v>#VALUE!</v>
      </c>
    </row>
    <row r="3141" spans="1:23" ht="15" customHeight="1">
      <c r="A3141" s="3">
        <v>40302</v>
      </c>
      <c r="B3141" s="9">
        <v>12000</v>
      </c>
      <c r="C3141" s="5">
        <v>89575</v>
      </c>
      <c r="D3141" s="5" t="e">
        <f>E3141-(#REF!+#REF!+C3141)</f>
        <v>#REF!</v>
      </c>
      <c r="E3141" s="5">
        <v>182125</v>
      </c>
      <c r="K3141" s="22">
        <v>2129.5</v>
      </c>
      <c r="L3141" s="6">
        <v>2149</v>
      </c>
      <c r="M3141" s="125">
        <f t="shared" si="78"/>
        <v>19.5</v>
      </c>
      <c r="N3141" s="18"/>
      <c r="O3141" s="135"/>
      <c r="P3141" s="175">
        <v>15650</v>
      </c>
      <c r="Q3141" s="25">
        <f>162.41/1108.5</f>
        <v>0.14651330626973388</v>
      </c>
      <c r="U3141" s="384">
        <v>0.1</v>
      </c>
      <c r="W3141" s="285">
        <f t="shared" si="77"/>
        <v>2522.226567433469</v>
      </c>
    </row>
    <row r="3142" spans="1:23" ht="15" customHeight="1">
      <c r="A3142" s="3">
        <v>40303</v>
      </c>
      <c r="B3142" s="9">
        <v>12250</v>
      </c>
      <c r="C3142" s="5">
        <v>89725</v>
      </c>
      <c r="D3142" s="5" t="e">
        <f>E3142-(#REF!+#REF!+C3142)</f>
        <v>#REF!</v>
      </c>
      <c r="E3142" s="5">
        <v>182525</v>
      </c>
      <c r="K3142" s="22">
        <v>1962</v>
      </c>
      <c r="L3142" s="6">
        <v>2005</v>
      </c>
      <c r="M3142" s="125">
        <f t="shared" si="78"/>
        <v>43</v>
      </c>
      <c r="N3142" s="18"/>
      <c r="O3142" s="135"/>
      <c r="P3142" s="175">
        <v>15500</v>
      </c>
      <c r="Q3142" s="25">
        <f>163.49/1115.8</f>
        <v>0.14652267431439328</v>
      </c>
      <c r="U3142" s="384">
        <v>0.1</v>
      </c>
      <c r="W3142" s="285">
        <f t="shared" si="77"/>
        <v>2498.2115970604054</v>
      </c>
    </row>
    <row r="3143" spans="1:23" ht="15" customHeight="1">
      <c r="A3143" s="3">
        <v>40304</v>
      </c>
      <c r="B3143" s="9">
        <v>12250</v>
      </c>
      <c r="C3143" s="5">
        <v>89725</v>
      </c>
      <c r="D3143" s="5" t="e">
        <f>E3143-(#REF!+#REF!+C3143)</f>
        <v>#REF!</v>
      </c>
      <c r="E3143" s="5">
        <v>182725</v>
      </c>
      <c r="K3143" s="22">
        <v>1965</v>
      </c>
      <c r="L3143" s="6">
        <v>1994.5</v>
      </c>
      <c r="M3143" s="125">
        <f t="shared" si="78"/>
        <v>29.5</v>
      </c>
      <c r="N3143" s="18"/>
      <c r="O3143" s="135"/>
      <c r="P3143" s="175">
        <v>15350</v>
      </c>
      <c r="Q3143" s="25">
        <f>163.28/1114.6</f>
        <v>0.14649201507267182</v>
      </c>
      <c r="U3143" s="384">
        <v>0.1</v>
      </c>
      <c r="W3143" s="285">
        <f t="shared" si="77"/>
        <v>2473.5176745020635</v>
      </c>
    </row>
    <row r="3144" spans="1:23" ht="15" customHeight="1">
      <c r="A3144" s="3">
        <v>40305</v>
      </c>
      <c r="B3144" s="9">
        <v>12425</v>
      </c>
      <c r="C3144" s="5">
        <v>89725</v>
      </c>
      <c r="D3144" s="5" t="e">
        <f>E3144-(#REF!+#REF!+C3144)</f>
        <v>#REF!</v>
      </c>
      <c r="E3144" s="5">
        <v>182975</v>
      </c>
      <c r="K3144" s="22">
        <v>1979</v>
      </c>
      <c r="L3144" s="6">
        <v>2008.5</v>
      </c>
      <c r="M3144" s="125">
        <f t="shared" si="78"/>
        <v>29.5</v>
      </c>
      <c r="N3144" s="18"/>
      <c r="O3144" s="135"/>
      <c r="P3144" s="175">
        <v>15350</v>
      </c>
      <c r="Q3144" s="25">
        <f>166.57/1137.1</f>
        <v>0.14648667663354148</v>
      </c>
      <c r="U3144" s="384">
        <v>0.1</v>
      </c>
      <c r="W3144" s="285">
        <f t="shared" si="77"/>
        <v>2473.4275349573481</v>
      </c>
    </row>
    <row r="3145" spans="1:23" ht="15" customHeight="1">
      <c r="A3145" s="3">
        <v>40308</v>
      </c>
      <c r="B3145" s="9">
        <v>12675</v>
      </c>
      <c r="C3145" s="5">
        <v>89725</v>
      </c>
      <c r="D3145" s="5" t="e">
        <f>E3145-(#REF!+#REF!+C3145)</f>
        <v>#REF!</v>
      </c>
      <c r="E3145" s="5">
        <v>182950</v>
      </c>
      <c r="K3145" s="22">
        <v>2081</v>
      </c>
      <c r="L3145" s="6">
        <v>2124</v>
      </c>
      <c r="M3145" s="125">
        <f t="shared" si="78"/>
        <v>43</v>
      </c>
      <c r="N3145" s="18"/>
      <c r="O3145" s="135"/>
      <c r="P3145" s="175">
        <v>15350</v>
      </c>
      <c r="Q3145" s="25">
        <f>169.76/1158.7</f>
        <v>0.14650901872788469</v>
      </c>
      <c r="U3145" s="384">
        <v>0.1</v>
      </c>
      <c r="W3145" s="285">
        <f t="shared" si="77"/>
        <v>2473.8047812203336</v>
      </c>
    </row>
    <row r="3146" spans="1:23" ht="15" customHeight="1">
      <c r="A3146" s="3">
        <v>40309</v>
      </c>
      <c r="B3146" s="9">
        <v>13275</v>
      </c>
      <c r="C3146" s="5">
        <v>89725</v>
      </c>
      <c r="D3146" s="5" t="e">
        <f>E3146-(#REF!+#REF!+C3146)</f>
        <v>#REF!</v>
      </c>
      <c r="E3146" s="5">
        <v>184575</v>
      </c>
      <c r="K3146" s="22">
        <v>1976</v>
      </c>
      <c r="L3146" s="6">
        <v>2000</v>
      </c>
      <c r="M3146" s="125">
        <f t="shared" si="78"/>
        <v>24</v>
      </c>
      <c r="N3146" s="18"/>
      <c r="O3146" s="135"/>
      <c r="P3146" s="175">
        <v>15450</v>
      </c>
      <c r="Q3146" s="25">
        <f>166.09/1133.8</f>
        <v>0.14648968071970367</v>
      </c>
      <c r="U3146" s="384">
        <v>0.1</v>
      </c>
      <c r="W3146" s="285">
        <f t="shared" si="77"/>
        <v>2489.592123831364</v>
      </c>
    </row>
    <row r="3147" spans="1:23" ht="15" customHeight="1">
      <c r="A3147" s="3">
        <v>40310</v>
      </c>
      <c r="B3147" s="9">
        <v>12925</v>
      </c>
      <c r="C3147" s="5">
        <v>89725</v>
      </c>
      <c r="D3147" s="5" t="e">
        <f>E3147-(#REF!+#REF!+C3147)</f>
        <v>#REF!</v>
      </c>
      <c r="E3147" s="5">
        <v>184825</v>
      </c>
      <c r="K3147" s="22">
        <v>2026</v>
      </c>
      <c r="L3147" s="6">
        <v>2055</v>
      </c>
      <c r="M3147" s="125">
        <f t="shared" si="78"/>
        <v>29</v>
      </c>
      <c r="N3147" s="18"/>
      <c r="O3147" s="135"/>
      <c r="P3147" s="175">
        <v>15400</v>
      </c>
      <c r="Q3147" s="25">
        <f>165.49/1130.1</f>
        <v>0.14643836828599241</v>
      </c>
      <c r="U3147" s="384">
        <v>0.1</v>
      </c>
      <c r="W3147" s="285">
        <f t="shared" si="77"/>
        <v>2480.6659587647118</v>
      </c>
    </row>
    <row r="3148" spans="1:23" ht="15" customHeight="1">
      <c r="A3148" s="3">
        <v>40311</v>
      </c>
      <c r="B3148" s="9">
        <v>12775</v>
      </c>
      <c r="C3148" s="5">
        <v>90150</v>
      </c>
      <c r="D3148" s="5" t="e">
        <f>E3148-(#REF!+#REF!+C3148)</f>
        <v>#REF!</v>
      </c>
      <c r="E3148" s="5">
        <v>185100</v>
      </c>
      <c r="K3148" s="22">
        <v>2016.5</v>
      </c>
      <c r="L3148" s="6">
        <v>2045.5</v>
      </c>
      <c r="M3148" s="125">
        <f t="shared" si="78"/>
        <v>29</v>
      </c>
      <c r="N3148" s="18"/>
      <c r="O3148" s="135"/>
      <c r="P3148" s="175">
        <v>15350</v>
      </c>
      <c r="Q3148" s="25">
        <f>166.67/1138.1</f>
        <v>0.14644583077058254</v>
      </c>
      <c r="U3148" s="384">
        <v>0.1</v>
      </c>
      <c r="W3148" s="285">
        <f t="shared" si="77"/>
        <v>2472.7378525612862</v>
      </c>
    </row>
    <row r="3149" spans="1:23" ht="15" customHeight="1">
      <c r="A3149" s="3">
        <v>40312</v>
      </c>
      <c r="B3149" s="9">
        <v>12725</v>
      </c>
      <c r="C3149" s="5">
        <v>90150</v>
      </c>
      <c r="D3149" s="5" t="e">
        <f>E3149-(#REF!+#REF!+C3149)</f>
        <v>#REF!</v>
      </c>
      <c r="E3149" s="5">
        <v>185050</v>
      </c>
      <c r="K3149" s="22">
        <v>1952</v>
      </c>
      <c r="L3149" s="6">
        <v>1981</v>
      </c>
      <c r="M3149" s="125">
        <f t="shared" si="78"/>
        <v>29</v>
      </c>
      <c r="N3149" s="18"/>
      <c r="O3149" s="135"/>
      <c r="P3149" s="175">
        <v>15350</v>
      </c>
      <c r="Q3149" s="25">
        <f>165.65/1131</f>
        <v>0.14646330680813441</v>
      </c>
      <c r="U3149" s="384">
        <v>0.1</v>
      </c>
      <c r="W3149" s="285">
        <f t="shared" si="77"/>
        <v>2473.0329354553496</v>
      </c>
    </row>
    <row r="3150" spans="1:23" ht="15" customHeight="1">
      <c r="A3150" s="3">
        <v>40315</v>
      </c>
      <c r="B3150" s="9">
        <v>12725</v>
      </c>
      <c r="C3150" s="5">
        <v>90150</v>
      </c>
      <c r="D3150" s="5" t="e">
        <f>E3150-(#REF!+#REF!+C3150)</f>
        <v>#REF!</v>
      </c>
      <c r="E3150" s="5">
        <v>185375</v>
      </c>
      <c r="K3150" s="22">
        <v>1864</v>
      </c>
      <c r="L3150" s="6">
        <v>1905</v>
      </c>
      <c r="M3150" s="125">
        <f t="shared" si="78"/>
        <v>41</v>
      </c>
      <c r="N3150" s="18"/>
      <c r="O3150" s="135"/>
      <c r="P3150" s="175">
        <v>15200</v>
      </c>
      <c r="Q3150" s="25">
        <f>165.98/1133.1</f>
        <v>0.14648309946165386</v>
      </c>
      <c r="U3150" s="384">
        <v>0.1</v>
      </c>
      <c r="W3150" s="285">
        <f t="shared" si="77"/>
        <v>2449.1974229988527</v>
      </c>
    </row>
    <row r="3151" spans="1:23" ht="15" customHeight="1">
      <c r="A3151" s="3">
        <v>40316</v>
      </c>
      <c r="B3151" s="9">
        <v>13650</v>
      </c>
      <c r="C3151" s="5">
        <v>90150</v>
      </c>
      <c r="D3151" s="5" t="e">
        <f>E3151-(#REF!+#REF!+C3151)</f>
        <v>#REF!</v>
      </c>
      <c r="E3151" s="5">
        <v>186800</v>
      </c>
      <c r="K3151" s="22">
        <v>1795.5</v>
      </c>
      <c r="L3151" s="6">
        <v>1835</v>
      </c>
      <c r="M3151" s="125">
        <f t="shared" si="78"/>
        <v>39.5</v>
      </c>
      <c r="N3151" s="18"/>
      <c r="O3151" s="135"/>
      <c r="P3151" s="175">
        <v>14700</v>
      </c>
      <c r="Q3151" s="25">
        <f>168.42/1149.9</f>
        <v>0.14646490999217321</v>
      </c>
      <c r="U3151" s="384">
        <v>0.1</v>
      </c>
      <c r="W3151" s="285">
        <f t="shared" si="77"/>
        <v>2368.337594573441</v>
      </c>
    </row>
    <row r="3152" spans="1:23" ht="15" customHeight="1">
      <c r="A3152" s="3">
        <v>40317</v>
      </c>
      <c r="B3152" s="9">
        <v>13650</v>
      </c>
      <c r="C3152" s="5">
        <v>90150</v>
      </c>
      <c r="D3152" s="5" t="e">
        <f>E3152-(#REF!+#REF!+C3152)</f>
        <v>#REF!</v>
      </c>
      <c r="E3152" s="5">
        <v>186700</v>
      </c>
      <c r="K3152" s="22">
        <v>1721</v>
      </c>
      <c r="L3152" s="6">
        <v>1762</v>
      </c>
      <c r="M3152" s="125">
        <f t="shared" si="78"/>
        <v>41</v>
      </c>
      <c r="N3152" s="18"/>
      <c r="O3152" s="135"/>
      <c r="P3152" s="175">
        <v>14700</v>
      </c>
      <c r="Q3152" s="25">
        <f>168.47/1150.2</f>
        <v>0.14647017909928708</v>
      </c>
      <c r="U3152" s="384">
        <v>0.1</v>
      </c>
      <c r="W3152" s="285">
        <f t="shared" si="77"/>
        <v>2368.4227960354724</v>
      </c>
    </row>
    <row r="3153" spans="1:23" ht="15" customHeight="1">
      <c r="A3153" s="3">
        <v>40318</v>
      </c>
      <c r="B3153" s="9">
        <v>13650</v>
      </c>
      <c r="C3153" s="5">
        <v>90150</v>
      </c>
      <c r="D3153" s="5" t="e">
        <f>E3153-(#REF!+#REF!+C3153)</f>
        <v>#REF!</v>
      </c>
      <c r="E3153" s="5">
        <v>186700</v>
      </c>
      <c r="K3153" s="22">
        <v>1720</v>
      </c>
      <c r="L3153" s="6">
        <v>1750</v>
      </c>
      <c r="M3153" s="125">
        <f t="shared" si="78"/>
        <v>30</v>
      </c>
      <c r="N3153" s="18"/>
      <c r="O3153" s="135"/>
      <c r="P3153" s="175">
        <v>14700</v>
      </c>
      <c r="Q3153" s="25">
        <f>170.65/1165.1</f>
        <v>0.14646811432495066</v>
      </c>
      <c r="U3153" s="384">
        <v>0.1</v>
      </c>
      <c r="W3153" s="285">
        <f t="shared" si="77"/>
        <v>2368.3894086344521</v>
      </c>
    </row>
    <row r="3154" spans="1:23" ht="15" customHeight="1">
      <c r="A3154" s="3">
        <v>40319</v>
      </c>
      <c r="B3154" s="9">
        <v>13750</v>
      </c>
      <c r="C3154" s="5">
        <v>90150</v>
      </c>
      <c r="D3154" s="5" t="e">
        <f>E3154-(#REF!+#REF!+C3154)</f>
        <v>#REF!</v>
      </c>
      <c r="E3154" s="5">
        <v>186650</v>
      </c>
      <c r="K3154" s="22">
        <v>1722.5</v>
      </c>
      <c r="L3154" s="6">
        <v>1760</v>
      </c>
      <c r="M3154" s="125">
        <f t="shared" si="78"/>
        <v>37.5</v>
      </c>
      <c r="N3154" s="18"/>
      <c r="O3154" s="135"/>
      <c r="P3154" s="175">
        <v>14700</v>
      </c>
      <c r="Q3154" s="25">
        <f>170.65/1165.1</f>
        <v>0.14646811432495066</v>
      </c>
      <c r="U3154" s="384">
        <v>0.1</v>
      </c>
      <c r="W3154" s="285">
        <f t="shared" si="77"/>
        <v>2368.3894086344521</v>
      </c>
    </row>
    <row r="3155" spans="1:23" ht="15" customHeight="1">
      <c r="A3155" s="3">
        <v>40322</v>
      </c>
      <c r="B3155" s="9">
        <v>13725</v>
      </c>
      <c r="C3155" s="5">
        <v>90025</v>
      </c>
      <c r="D3155" s="5" t="e">
        <f>E3155-(#REF!+#REF!+C3155)</f>
        <v>#REF!</v>
      </c>
      <c r="E3155" s="5">
        <v>186800</v>
      </c>
      <c r="K3155" s="22">
        <v>1779</v>
      </c>
      <c r="L3155" s="6">
        <v>1808.5</v>
      </c>
      <c r="M3155" s="125">
        <f t="shared" si="78"/>
        <v>29.5</v>
      </c>
      <c r="N3155" s="18"/>
      <c r="O3155" s="135"/>
      <c r="P3155" s="175">
        <v>14800</v>
      </c>
      <c r="Q3155" s="25">
        <f>172.66/1178.6</f>
        <v>0.1464958425250297</v>
      </c>
      <c r="U3155" s="384">
        <v>0.1</v>
      </c>
      <c r="W3155" s="285">
        <f t="shared" si="77"/>
        <v>2384.9523163074837</v>
      </c>
    </row>
    <row r="3156" spans="1:23" ht="15" customHeight="1">
      <c r="A3156" s="3">
        <v>40323</v>
      </c>
      <c r="B3156" s="9">
        <v>14125</v>
      </c>
      <c r="C3156" s="5">
        <v>89925</v>
      </c>
      <c r="D3156" s="5" t="e">
        <f>E3156-(#REF!+#REF!+C3156)</f>
        <v>#REF!</v>
      </c>
      <c r="E3156" s="5">
        <v>190125</v>
      </c>
      <c r="K3156" s="22">
        <v>1724</v>
      </c>
      <c r="L3156" s="6">
        <v>1755</v>
      </c>
      <c r="M3156" s="125">
        <f t="shared" si="78"/>
        <v>31</v>
      </c>
      <c r="N3156" s="18"/>
      <c r="O3156" s="135"/>
      <c r="P3156" s="175">
        <v>14900</v>
      </c>
      <c r="Q3156" s="25">
        <f>177.49/1212</f>
        <v>0.14644389438943894</v>
      </c>
      <c r="U3156" s="384">
        <v>0.1</v>
      </c>
      <c r="W3156" s="285">
        <f t="shared" si="77"/>
        <v>2400.2154290429048</v>
      </c>
    </row>
    <row r="3157" spans="1:23" ht="15" customHeight="1">
      <c r="A3157" s="3">
        <v>40324</v>
      </c>
      <c r="B3157" s="9">
        <v>13975</v>
      </c>
      <c r="C3157" s="5">
        <v>89800</v>
      </c>
      <c r="D3157" s="5" t="e">
        <f>E3157-(#REF!+#REF!+C3157)</f>
        <v>#REF!</v>
      </c>
      <c r="E3157" s="5">
        <v>189825</v>
      </c>
      <c r="K3157" s="22">
        <v>1760</v>
      </c>
      <c r="L3157" s="6">
        <v>1792</v>
      </c>
      <c r="M3157" s="125">
        <f t="shared" si="78"/>
        <v>32</v>
      </c>
      <c r="N3157" s="18"/>
      <c r="O3157" s="135"/>
      <c r="P3157" s="175">
        <v>14750</v>
      </c>
      <c r="Q3157" s="25">
        <f>183.73/1255.1</f>
        <v>0.14638674209226357</v>
      </c>
      <c r="U3157" s="384">
        <v>0.1</v>
      </c>
      <c r="W3157" s="285">
        <f t="shared" si="77"/>
        <v>2375.1248904469767</v>
      </c>
    </row>
    <row r="3158" spans="1:23" ht="15" customHeight="1">
      <c r="A3158" s="3">
        <v>40325</v>
      </c>
      <c r="B3158" s="9">
        <v>13850</v>
      </c>
      <c r="C3158" s="5">
        <v>89675</v>
      </c>
      <c r="D3158" s="5" t="e">
        <f>E3158-(#REF!+#REF!+C3158)</f>
        <v>#REF!</v>
      </c>
      <c r="E3158" s="5">
        <v>190400</v>
      </c>
      <c r="K3158" s="22">
        <v>1777</v>
      </c>
      <c r="L3158" s="6">
        <v>1806</v>
      </c>
      <c r="M3158" s="125">
        <f t="shared" si="78"/>
        <v>29</v>
      </c>
      <c r="N3158" s="18"/>
      <c r="O3158" s="135"/>
      <c r="P3158" s="175">
        <v>14650</v>
      </c>
      <c r="Q3158" s="25">
        <f>183.47/1252.9</f>
        <v>0.14643626785856811</v>
      </c>
      <c r="U3158" s="384">
        <v>0.1</v>
      </c>
      <c r="W3158" s="285">
        <f t="shared" si="77"/>
        <v>2359.8204565408255</v>
      </c>
    </row>
    <row r="3159" spans="1:23" ht="15" customHeight="1">
      <c r="A3159" s="3">
        <v>40326</v>
      </c>
      <c r="B3159" s="9">
        <v>14225</v>
      </c>
      <c r="C3159" s="5">
        <v>89825</v>
      </c>
      <c r="D3159" s="5" t="e">
        <f>E3159-(#REF!+#REF!+C3159)</f>
        <v>#REF!</v>
      </c>
      <c r="E3159" s="5">
        <v>190600</v>
      </c>
      <c r="K3159" s="22">
        <v>1821</v>
      </c>
      <c r="L3159" s="6">
        <v>1850</v>
      </c>
      <c r="M3159" s="125">
        <f t="shared" si="78"/>
        <v>29</v>
      </c>
      <c r="N3159" s="18"/>
      <c r="O3159" s="135"/>
      <c r="P3159" s="175">
        <v>14800</v>
      </c>
      <c r="Q3159" s="25">
        <f>180.71/1234.2</f>
        <v>0.14641873278236914</v>
      </c>
      <c r="U3159" s="384">
        <v>0.1</v>
      </c>
      <c r="W3159" s="285">
        <f t="shared" si="77"/>
        <v>2383.6969696969695</v>
      </c>
    </row>
    <row r="3160" spans="1:23" ht="15" customHeight="1" thickBot="1">
      <c r="A3160" s="11">
        <v>40329</v>
      </c>
      <c r="B3160" s="9">
        <v>0</v>
      </c>
      <c r="C3160" s="200"/>
      <c r="D3160" s="200"/>
      <c r="E3160" s="200"/>
      <c r="F3160" s="1373" t="s">
        <v>35</v>
      </c>
      <c r="G3160" s="1373"/>
      <c r="H3160" s="1373"/>
      <c r="I3160" s="1373"/>
      <c r="J3160" s="323"/>
      <c r="K3160" s="200"/>
      <c r="L3160" s="200"/>
      <c r="M3160" s="200"/>
      <c r="N3160" s="84">
        <f>AVERAGE(K3141:K3160)</f>
        <v>1882.6842105263158</v>
      </c>
      <c r="O3160" s="141">
        <f>AVERAGE(K3055:K3160)</f>
        <v>2165.3627450980393</v>
      </c>
      <c r="P3160" s="176">
        <v>14800</v>
      </c>
      <c r="Q3160" s="27">
        <f>175.72/1200.2</f>
        <v>0.14640893184469256</v>
      </c>
      <c r="R3160" s="27"/>
      <c r="S3160" s="27"/>
      <c r="T3160" s="27"/>
      <c r="U3160" s="385">
        <v>0.1</v>
      </c>
      <c r="V3160" s="38">
        <f>AVERAGE(P3140:P3160)</f>
        <v>15072.5</v>
      </c>
      <c r="W3160" s="285">
        <f t="shared" si="77"/>
        <v>2383.5374104315947</v>
      </c>
    </row>
    <row r="3161" spans="1:23" ht="15" customHeight="1">
      <c r="A3161" s="3">
        <v>40330</v>
      </c>
      <c r="B3161" s="9">
        <v>14225</v>
      </c>
      <c r="C3161" s="5">
        <v>91475</v>
      </c>
      <c r="D3161" s="5" t="e">
        <f>E3161-(#REF!+#REF!+C3161)</f>
        <v>#REF!</v>
      </c>
      <c r="E3161" s="5">
        <v>192675</v>
      </c>
      <c r="K3161" s="22">
        <v>1751</v>
      </c>
      <c r="L3161" s="6">
        <v>1775</v>
      </c>
      <c r="M3161" s="125">
        <f>L3161-K3161</f>
        <v>24</v>
      </c>
      <c r="N3161" s="18"/>
      <c r="O3161" s="135"/>
      <c r="P3161" s="175">
        <v>14700</v>
      </c>
      <c r="Q3161" s="25">
        <f>175.99/1201.6</f>
        <v>0.14646304926764317</v>
      </c>
      <c r="U3161" s="384">
        <v>0.1</v>
      </c>
      <c r="W3161" s="285">
        <f t="shared" si="77"/>
        <v>2368.3075066577903</v>
      </c>
    </row>
    <row r="3162" spans="1:23" ht="15" customHeight="1">
      <c r="A3162" s="3">
        <v>40331</v>
      </c>
      <c r="B3162" s="9">
        <v>14225</v>
      </c>
      <c r="C3162" s="5">
        <v>91175</v>
      </c>
      <c r="D3162" s="5" t="e">
        <f>E3162-(#REF!+#REF!+C3162)</f>
        <v>#REF!</v>
      </c>
      <c r="E3162" s="5">
        <v>192225</v>
      </c>
      <c r="K3162" s="22">
        <v>1709.5</v>
      </c>
      <c r="L3162" s="6">
        <v>1732.5</v>
      </c>
      <c r="M3162" s="125">
        <f t="shared" ref="M3162:M3226" si="79">L3162-K3162</f>
        <v>23</v>
      </c>
      <c r="N3162" s="18"/>
      <c r="O3162" s="135"/>
      <c r="P3162" s="175">
        <v>14600</v>
      </c>
      <c r="Q3162" s="1342" t="s">
        <v>37</v>
      </c>
      <c r="R3162" s="1342"/>
      <c r="S3162" s="1342"/>
      <c r="T3162" s="1342"/>
      <c r="U3162" s="1342"/>
      <c r="V3162" s="206"/>
      <c r="W3162" s="285" t="e">
        <f t="shared" si="77"/>
        <v>#VALUE!</v>
      </c>
    </row>
    <row r="3163" spans="1:23" ht="15" customHeight="1">
      <c r="A3163" s="3">
        <v>40332</v>
      </c>
      <c r="B3163" s="9">
        <v>14375</v>
      </c>
      <c r="C3163" s="5">
        <v>90900</v>
      </c>
      <c r="D3163" s="5" t="e">
        <f>E3163-(#REF!+#REF!+C3163)</f>
        <v>#REF!</v>
      </c>
      <c r="E3163" s="5">
        <v>192200</v>
      </c>
      <c r="K3163" s="22">
        <v>1640.5</v>
      </c>
      <c r="L3163" s="6">
        <v>1671</v>
      </c>
      <c r="M3163" s="125">
        <f t="shared" si="79"/>
        <v>30.5</v>
      </c>
      <c r="N3163" s="18"/>
      <c r="O3163" s="135"/>
      <c r="P3163" s="175">
        <v>14550</v>
      </c>
      <c r="Q3163" s="25">
        <f>177.01/1208.9</f>
        <v>0.14642236744147571</v>
      </c>
      <c r="U3163" s="384">
        <v>0.1</v>
      </c>
      <c r="W3163" s="285">
        <f t="shared" si="77"/>
        <v>2343.4899909008191</v>
      </c>
    </row>
    <row r="3164" spans="1:23" ht="15" customHeight="1">
      <c r="A3164" s="3">
        <v>40333</v>
      </c>
      <c r="B3164" s="9">
        <v>14350</v>
      </c>
      <c r="C3164" s="5">
        <v>90850</v>
      </c>
      <c r="D3164" s="5" t="e">
        <f>E3164-(#REF!+#REF!+C3164)</f>
        <v>#REF!</v>
      </c>
      <c r="E3164" s="5">
        <v>191925</v>
      </c>
      <c r="K3164" s="22">
        <v>1621</v>
      </c>
      <c r="L3164" s="6">
        <v>1652</v>
      </c>
      <c r="M3164" s="125">
        <f t="shared" si="79"/>
        <v>31</v>
      </c>
      <c r="N3164" s="18"/>
      <c r="O3164" s="135"/>
      <c r="P3164" s="175">
        <v>14450</v>
      </c>
      <c r="Q3164" s="25">
        <f>176.43/1204.7</f>
        <v>0.14645139868847015</v>
      </c>
      <c r="U3164" s="384">
        <v>0.1</v>
      </c>
      <c r="W3164" s="285">
        <f t="shared" si="77"/>
        <v>2327.8449821532331</v>
      </c>
    </row>
    <row r="3165" spans="1:23" ht="15" customHeight="1">
      <c r="A3165" s="3">
        <v>40336</v>
      </c>
      <c r="B3165" s="9">
        <v>15200</v>
      </c>
      <c r="C3165" s="5">
        <v>90725</v>
      </c>
      <c r="D3165" s="5" t="e">
        <f>E3165-(#REF!+#REF!+C3165)</f>
        <v>#REF!</v>
      </c>
      <c r="E3165" s="5">
        <v>192650</v>
      </c>
      <c r="K3165" s="22">
        <v>1558.5</v>
      </c>
      <c r="L3165" s="6">
        <v>1581</v>
      </c>
      <c r="M3165" s="125">
        <f t="shared" si="79"/>
        <v>22.5</v>
      </c>
      <c r="N3165" s="18"/>
      <c r="O3165" s="135"/>
      <c r="P3165" s="175">
        <v>14100</v>
      </c>
      <c r="Q3165" s="25">
        <f>175.89/1201.1</f>
        <v>0.14644076263425193</v>
      </c>
      <c r="U3165" s="384">
        <v>0.1</v>
      </c>
      <c r="W3165" s="285">
        <f t="shared" si="77"/>
        <v>2271.2962284572477</v>
      </c>
    </row>
    <row r="3166" spans="1:23" ht="15" customHeight="1">
      <c r="A3166" s="3">
        <v>40337</v>
      </c>
      <c r="B3166" s="9">
        <v>15800</v>
      </c>
      <c r="C3166" s="5">
        <v>90575</v>
      </c>
      <c r="D3166" s="5" t="e">
        <f>E3166-(#REF!+#REF!+C3166)</f>
        <v>#REF!</v>
      </c>
      <c r="E3166" s="5">
        <v>192225</v>
      </c>
      <c r="K3166" s="22">
        <v>1562.5</v>
      </c>
      <c r="L3166" s="6">
        <v>1580.5</v>
      </c>
      <c r="M3166" s="125">
        <f t="shared" si="79"/>
        <v>18</v>
      </c>
      <c r="N3166" s="18"/>
      <c r="O3166" s="135"/>
      <c r="P3166" s="175">
        <v>13800</v>
      </c>
      <c r="Q3166" s="25">
        <f>180.73/1234.8</f>
        <v>0.14636378360868157</v>
      </c>
      <c r="U3166" s="384">
        <v>0.1</v>
      </c>
      <c r="W3166" s="285">
        <f t="shared" si="77"/>
        <v>2221.8022351797863</v>
      </c>
    </row>
    <row r="3167" spans="1:23" ht="15" customHeight="1">
      <c r="A3167" s="3">
        <v>40338</v>
      </c>
      <c r="B3167" s="9">
        <v>15300</v>
      </c>
      <c r="C3167" s="5">
        <v>90550</v>
      </c>
      <c r="D3167" s="5" t="e">
        <f>E3167-(#REF!+#REF!+C3167)</f>
        <v>#REF!</v>
      </c>
      <c r="E3167" s="5">
        <v>192950</v>
      </c>
      <c r="K3167" s="22">
        <v>1655</v>
      </c>
      <c r="L3167" s="6">
        <v>1675</v>
      </c>
      <c r="M3167" s="125">
        <f t="shared" si="79"/>
        <v>20</v>
      </c>
      <c r="N3167" s="18"/>
      <c r="O3167" s="135"/>
      <c r="P3167" s="175">
        <v>13800</v>
      </c>
      <c r="Q3167" s="25">
        <f>180.61/1233.5</f>
        <v>0.14642075395216864</v>
      </c>
      <c r="U3167" s="384">
        <v>0.1</v>
      </c>
      <c r="W3167" s="285">
        <f t="shared" si="77"/>
        <v>2222.6670449939202</v>
      </c>
    </row>
    <row r="3168" spans="1:23" ht="15" customHeight="1">
      <c r="A3168" s="3">
        <v>40339</v>
      </c>
      <c r="B3168" s="9">
        <v>14975</v>
      </c>
      <c r="C3168" s="5">
        <v>90475</v>
      </c>
      <c r="D3168" s="5" t="e">
        <f>E3168-(#REF!+#REF!+C3168)</f>
        <v>#REF!</v>
      </c>
      <c r="E3168" s="5">
        <v>192375</v>
      </c>
      <c r="K3168" s="22">
        <v>1655.5</v>
      </c>
      <c r="L3168" s="6">
        <v>1680</v>
      </c>
      <c r="M3168" s="125">
        <f t="shared" si="79"/>
        <v>24.5</v>
      </c>
      <c r="N3168" s="18"/>
      <c r="O3168" s="135"/>
      <c r="P3168" s="175">
        <v>13850</v>
      </c>
      <c r="Q3168" s="25">
        <f>181.91/1242.2</f>
        <v>0.14644179681210753</v>
      </c>
      <c r="U3168" s="384">
        <v>0.1</v>
      </c>
      <c r="W3168" s="285">
        <f t="shared" si="77"/>
        <v>2231.0407744324584</v>
      </c>
    </row>
    <row r="3169" spans="1:23" ht="15" customHeight="1">
      <c r="A3169" s="3">
        <v>40340</v>
      </c>
      <c r="B3169" s="9">
        <v>15925</v>
      </c>
      <c r="C3169" s="5">
        <v>90425</v>
      </c>
      <c r="D3169" s="5" t="e">
        <f>E3169-(#REF!+#REF!+C3169)</f>
        <v>#REF!</v>
      </c>
      <c r="E3169" s="5">
        <v>192825</v>
      </c>
      <c r="K3169" s="22">
        <v>1676</v>
      </c>
      <c r="L3169" s="6">
        <v>1703</v>
      </c>
      <c r="M3169" s="125">
        <f t="shared" si="79"/>
        <v>27</v>
      </c>
      <c r="N3169" s="18"/>
      <c r="O3169" s="135"/>
      <c r="P3169" s="175">
        <v>14100</v>
      </c>
      <c r="Q3169" s="25">
        <f>184.65/1261.5</f>
        <v>0.14637336504161713</v>
      </c>
      <c r="U3169" s="384">
        <v>0.1</v>
      </c>
      <c r="W3169" s="285">
        <f t="shared" si="77"/>
        <v>2270.2508917954819</v>
      </c>
    </row>
    <row r="3170" spans="1:23" ht="15" customHeight="1">
      <c r="A3170" s="3">
        <v>40343</v>
      </c>
      <c r="B3170" s="9">
        <v>15025</v>
      </c>
      <c r="C3170" s="5">
        <v>90425</v>
      </c>
      <c r="D3170" s="5" t="e">
        <f>E3170-(#REF!+#REF!+C3170)</f>
        <v>#REF!</v>
      </c>
      <c r="E3170" s="5">
        <v>193000</v>
      </c>
      <c r="K3170" s="22">
        <v>1674</v>
      </c>
      <c r="L3170" s="6">
        <v>1710</v>
      </c>
      <c r="M3170" s="125">
        <f t="shared" si="79"/>
        <v>36</v>
      </c>
      <c r="N3170" s="18"/>
      <c r="O3170" s="135"/>
      <c r="P3170" s="195"/>
      <c r="Q3170" s="1342" t="s">
        <v>37</v>
      </c>
      <c r="R3170" s="1342"/>
      <c r="S3170" s="1342"/>
      <c r="T3170" s="1342"/>
      <c r="U3170" s="1342"/>
      <c r="V3170" s="189"/>
      <c r="W3170" s="285" t="e">
        <f t="shared" si="77"/>
        <v>#VALUE!</v>
      </c>
    </row>
    <row r="3171" spans="1:23" ht="15" customHeight="1">
      <c r="A3171" s="3">
        <v>40344</v>
      </c>
      <c r="B3171" s="9">
        <v>15025</v>
      </c>
      <c r="C3171" s="5">
        <v>90425</v>
      </c>
      <c r="D3171" s="5" t="e">
        <f>E3171-(#REF!+#REF!+C3171)</f>
        <v>#REF!</v>
      </c>
      <c r="E3171" s="5">
        <v>192600</v>
      </c>
      <c r="K3171" s="22">
        <v>1685</v>
      </c>
      <c r="L3171" s="6">
        <v>1710</v>
      </c>
      <c r="M3171" s="125">
        <f t="shared" si="79"/>
        <v>25</v>
      </c>
      <c r="N3171" s="18"/>
      <c r="O3171" s="135"/>
      <c r="P3171" s="195"/>
      <c r="Q3171" s="1342"/>
      <c r="R3171" s="1342"/>
      <c r="S3171" s="1342"/>
      <c r="T3171" s="1342"/>
      <c r="U3171" s="1342"/>
      <c r="V3171" s="189"/>
      <c r="W3171" s="285">
        <f t="shared" si="77"/>
        <v>0</v>
      </c>
    </row>
    <row r="3172" spans="1:23" ht="15" customHeight="1">
      <c r="A3172" s="3">
        <v>40345</v>
      </c>
      <c r="B3172" s="9">
        <v>14875</v>
      </c>
      <c r="C3172" s="5">
        <v>90325</v>
      </c>
      <c r="D3172" s="5" t="e">
        <f>E3172-(#REF!+#REF!+C3172)</f>
        <v>#REF!</v>
      </c>
      <c r="E3172" s="5">
        <v>191700</v>
      </c>
      <c r="K3172" s="22">
        <v>1701</v>
      </c>
      <c r="L3172" s="6">
        <v>1726</v>
      </c>
      <c r="M3172" s="125">
        <f t="shared" si="79"/>
        <v>25</v>
      </c>
      <c r="N3172" s="18"/>
      <c r="O3172" s="135"/>
      <c r="P3172" s="195"/>
      <c r="Q3172" s="1342"/>
      <c r="R3172" s="1342"/>
      <c r="S3172" s="1342"/>
      <c r="T3172" s="1342"/>
      <c r="U3172" s="1342"/>
      <c r="V3172" s="189"/>
      <c r="W3172" s="285">
        <f t="shared" si="77"/>
        <v>0</v>
      </c>
    </row>
    <row r="3173" spans="1:23" ht="15" customHeight="1">
      <c r="A3173" s="3">
        <v>40346</v>
      </c>
      <c r="B3173" s="9">
        <v>14725</v>
      </c>
      <c r="C3173" s="5">
        <v>90175</v>
      </c>
      <c r="D3173" s="5" t="e">
        <f>E3173-(#REF!+#REF!+C3173)</f>
        <v>#REF!</v>
      </c>
      <c r="E3173" s="5">
        <v>190850</v>
      </c>
      <c r="K3173" s="22">
        <v>1715</v>
      </c>
      <c r="L3173" s="6">
        <v>1735.5</v>
      </c>
      <c r="M3173" s="125">
        <f t="shared" si="79"/>
        <v>20.5</v>
      </c>
      <c r="N3173" s="18"/>
      <c r="O3173" s="135"/>
      <c r="P3173" s="175">
        <v>14400</v>
      </c>
      <c r="Q3173" s="25">
        <f>177.22/1211</f>
        <v>0.14634186622625928</v>
      </c>
      <c r="U3173" s="384">
        <v>0.1</v>
      </c>
      <c r="W3173" s="285">
        <f t="shared" si="77"/>
        <v>2318.0551610239472</v>
      </c>
    </row>
    <row r="3174" spans="1:23" ht="15" customHeight="1">
      <c r="A3174" s="3">
        <v>40347</v>
      </c>
      <c r="B3174" s="9">
        <v>14225</v>
      </c>
      <c r="C3174" s="5">
        <v>90025</v>
      </c>
      <c r="D3174" s="5" t="e">
        <f>E3174-(#REF!+#REF!+C3174)</f>
        <v>#REF!</v>
      </c>
      <c r="E3174" s="5">
        <v>189800</v>
      </c>
      <c r="K3174" s="22">
        <v>1706.5</v>
      </c>
      <c r="L3174" s="6">
        <v>1735</v>
      </c>
      <c r="M3174" s="125">
        <f t="shared" si="79"/>
        <v>28.5</v>
      </c>
      <c r="N3174" s="18"/>
      <c r="O3174" s="135"/>
      <c r="P3174" s="175">
        <v>14300</v>
      </c>
      <c r="Q3174" s="25">
        <f>178.02/1215.9</f>
        <v>0.14641006661732051</v>
      </c>
      <c r="U3174" s="384">
        <v>0.1</v>
      </c>
      <c r="W3174" s="285">
        <f t="shared" si="77"/>
        <v>2303.0303478904516</v>
      </c>
    </row>
    <row r="3175" spans="1:23" ht="15" customHeight="1">
      <c r="A3175" s="3">
        <v>40350</v>
      </c>
      <c r="B3175" s="9">
        <v>14025</v>
      </c>
      <c r="C3175" s="5">
        <v>89875</v>
      </c>
      <c r="D3175" s="5" t="e">
        <f>E3175-(#REF!+#REF!+C3175)</f>
        <v>#REF!</v>
      </c>
      <c r="E3175" s="5">
        <v>189425</v>
      </c>
      <c r="K3175" s="22">
        <v>1786</v>
      </c>
      <c r="L3175" s="6">
        <v>1810</v>
      </c>
      <c r="M3175" s="125">
        <f t="shared" si="79"/>
        <v>24</v>
      </c>
      <c r="N3175" s="18"/>
      <c r="O3175" s="135"/>
      <c r="P3175" s="175">
        <v>14400</v>
      </c>
      <c r="Q3175" s="25">
        <f>176.63/1205.9</f>
        <v>0.14647151505099923</v>
      </c>
      <c r="U3175" s="384">
        <v>0.1</v>
      </c>
      <c r="W3175" s="285">
        <f t="shared" si="77"/>
        <v>2320.1087984078281</v>
      </c>
    </row>
    <row r="3176" spans="1:23" ht="15" customHeight="1">
      <c r="A3176" s="3">
        <v>40351</v>
      </c>
      <c r="B3176" s="9">
        <v>13925</v>
      </c>
      <c r="C3176" s="5">
        <v>89800</v>
      </c>
      <c r="D3176" s="5" t="e">
        <f>E3176-(#REF!+#REF!+C3176)</f>
        <v>#REF!</v>
      </c>
      <c r="E3176" s="5">
        <v>188900</v>
      </c>
      <c r="K3176" s="22">
        <v>1766</v>
      </c>
      <c r="L3176" s="6">
        <v>1792</v>
      </c>
      <c r="M3176" s="125">
        <f t="shared" si="79"/>
        <v>26</v>
      </c>
      <c r="N3176" s="18"/>
      <c r="O3176" s="135"/>
      <c r="P3176" s="175">
        <v>14700</v>
      </c>
      <c r="Q3176" s="25">
        <f>173.12/1176.7</f>
        <v>0.1471233109543639</v>
      </c>
      <c r="U3176" s="384">
        <v>0.1</v>
      </c>
      <c r="W3176" s="285">
        <f t="shared" si="77"/>
        <v>2378.9839381320648</v>
      </c>
    </row>
    <row r="3177" spans="1:23" ht="15" customHeight="1">
      <c r="A3177" s="3">
        <v>40352</v>
      </c>
      <c r="B3177" s="9">
        <v>13600</v>
      </c>
      <c r="C3177" s="5">
        <v>89700</v>
      </c>
      <c r="D3177" s="5" t="e">
        <f>E3177-(#REF!+#REF!+C3177)</f>
        <v>#REF!</v>
      </c>
      <c r="E3177" s="5">
        <v>188800</v>
      </c>
      <c r="K3177" s="22">
        <v>1782</v>
      </c>
      <c r="L3177" s="6">
        <v>1811</v>
      </c>
      <c r="M3177" s="125">
        <f t="shared" si="79"/>
        <v>29</v>
      </c>
      <c r="N3177" s="18"/>
      <c r="O3177" s="135"/>
      <c r="P3177" s="175">
        <v>14900</v>
      </c>
      <c r="Q3177" s="25">
        <f>173.57/1182.6</f>
        <v>0.14676982918992051</v>
      </c>
      <c r="U3177" s="384">
        <v>0.1</v>
      </c>
      <c r="W3177" s="285">
        <f t="shared" si="77"/>
        <v>2405.5575004227976</v>
      </c>
    </row>
    <row r="3178" spans="1:23" ht="15" customHeight="1">
      <c r="A3178" s="3">
        <v>40353</v>
      </c>
      <c r="B3178" s="9">
        <v>13450</v>
      </c>
      <c r="C3178" s="5">
        <v>89700</v>
      </c>
      <c r="D3178" s="5" t="e">
        <f>E3178-(#REF!+#REF!+C3178)</f>
        <v>#REF!</v>
      </c>
      <c r="E3178" s="5">
        <v>189225</v>
      </c>
      <c r="K3178" s="22">
        <v>1780.5</v>
      </c>
      <c r="L3178" s="6">
        <v>1803</v>
      </c>
      <c r="M3178" s="125">
        <f t="shared" si="79"/>
        <v>22.5</v>
      </c>
      <c r="N3178" s="18"/>
      <c r="O3178" s="135"/>
      <c r="P3178" s="175">
        <v>14900</v>
      </c>
      <c r="Q3178" s="25">
        <f>174.42/1188.2</f>
        <v>0.14679346911294394</v>
      </c>
      <c r="U3178" s="384">
        <v>0.1</v>
      </c>
      <c r="W3178" s="285">
        <f t="shared" si="77"/>
        <v>2405.9449587611512</v>
      </c>
    </row>
    <row r="3179" spans="1:23" ht="15" customHeight="1">
      <c r="A3179" s="3">
        <v>40354</v>
      </c>
      <c r="B3179" s="9">
        <v>13375</v>
      </c>
      <c r="C3179" s="5">
        <v>89150</v>
      </c>
      <c r="D3179" s="5" t="e">
        <f>E3179-(#REF!+#REF!+C3179)</f>
        <v>#REF!</v>
      </c>
      <c r="E3179" s="5">
        <v>188800</v>
      </c>
      <c r="K3179" s="22">
        <v>1802</v>
      </c>
      <c r="L3179" s="6">
        <v>1825</v>
      </c>
      <c r="M3179" s="125">
        <f t="shared" si="79"/>
        <v>23</v>
      </c>
      <c r="N3179" s="18"/>
      <c r="O3179" s="135"/>
      <c r="P3179" s="175">
        <v>14950</v>
      </c>
      <c r="Q3179" s="25">
        <f>174.3/1185.2</f>
        <v>0.14706378670266623</v>
      </c>
      <c r="U3179" s="384">
        <v>0.1</v>
      </c>
      <c r="W3179" s="285">
        <f t="shared" si="77"/>
        <v>2418.4639723253463</v>
      </c>
    </row>
    <row r="3180" spans="1:23" ht="15" customHeight="1">
      <c r="A3180" s="3">
        <v>40357</v>
      </c>
      <c r="B3180" s="9">
        <v>13775</v>
      </c>
      <c r="C3180" s="5">
        <v>88600</v>
      </c>
      <c r="D3180" s="5" t="e">
        <f>E3180-(#REF!+#REF!+C3180)</f>
        <v>#REF!</v>
      </c>
      <c r="E3180" s="5">
        <v>189425</v>
      </c>
      <c r="K3180" s="22">
        <v>1828</v>
      </c>
      <c r="L3180" s="6">
        <v>1848</v>
      </c>
      <c r="M3180" s="125">
        <f t="shared" si="79"/>
        <v>20</v>
      </c>
      <c r="N3180" s="18"/>
      <c r="O3180" s="135"/>
      <c r="P3180" s="175">
        <v>14950</v>
      </c>
      <c r="Q3180" s="25">
        <f>177.37/1204.7</f>
        <v>0.14723167593591766</v>
      </c>
      <c r="U3180" s="384">
        <v>0.1</v>
      </c>
      <c r="W3180" s="285">
        <f t="shared" si="77"/>
        <v>2421.2249107661664</v>
      </c>
    </row>
    <row r="3181" spans="1:23" ht="15" customHeight="1">
      <c r="A3181" s="3">
        <v>40358</v>
      </c>
      <c r="B3181" s="9">
        <v>14250</v>
      </c>
      <c r="C3181" s="5">
        <v>88075</v>
      </c>
      <c r="D3181" s="5" t="e">
        <f>E3181-(#REF!+#REF!+C3181)</f>
        <v>#REF!</v>
      </c>
      <c r="E3181" s="5">
        <v>189550</v>
      </c>
      <c r="K3181" s="22">
        <v>1741.5</v>
      </c>
      <c r="L3181" s="6">
        <v>1767.5</v>
      </c>
      <c r="M3181" s="125">
        <f t="shared" si="79"/>
        <v>26</v>
      </c>
      <c r="N3181" s="18"/>
      <c r="O3181" s="135"/>
      <c r="P3181" s="175">
        <v>14950</v>
      </c>
      <c r="Q3181" s="25">
        <f>176.62/1200.4</f>
        <v>0.1471342885704765</v>
      </c>
      <c r="U3181" s="384">
        <v>0.1</v>
      </c>
      <c r="W3181" s="285">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19"/>
      <c r="J3182" s="119"/>
      <c r="K3182" s="23">
        <v>1690</v>
      </c>
      <c r="L3182" s="14">
        <v>1716</v>
      </c>
      <c r="M3182" s="126">
        <f t="shared" si="79"/>
        <v>26</v>
      </c>
      <c r="N3182" s="84">
        <f>AVERAGE(K3161:K3182)</f>
        <v>1703.9545454545455</v>
      </c>
      <c r="O3182" s="141">
        <f>AVERAGE(K3055:K3182)</f>
        <v>2083.5</v>
      </c>
      <c r="P3182" s="176">
        <v>14700</v>
      </c>
      <c r="Q3182" s="27">
        <f>178.04/1210.3</f>
        <v>0.14710402379575313</v>
      </c>
      <c r="R3182" s="27"/>
      <c r="S3182" s="27"/>
      <c r="T3182" s="27"/>
      <c r="U3182" s="385">
        <v>0.1</v>
      </c>
      <c r="V3182" s="38">
        <f>AVERAGE(P3161:P3182)</f>
        <v>14478.947368421053</v>
      </c>
      <c r="W3182" s="285">
        <f t="shared" si="80"/>
        <v>2378.6720647773282</v>
      </c>
    </row>
    <row r="3183" spans="1:23" ht="15" customHeight="1">
      <c r="A3183" s="29">
        <v>40360</v>
      </c>
      <c r="B3183" s="9">
        <v>14375</v>
      </c>
      <c r="C3183" s="31">
        <v>86950</v>
      </c>
      <c r="D3183" s="31" t="e">
        <f>E3183-(#REF!+#REF!+C3183)</f>
        <v>#REF!</v>
      </c>
      <c r="E3183" s="31">
        <v>190475</v>
      </c>
      <c r="F3183" s="30"/>
      <c r="G3183" s="31"/>
      <c r="H3183" s="31"/>
      <c r="I3183" s="123"/>
      <c r="J3183" s="123"/>
      <c r="K3183" s="32">
        <v>1692.5</v>
      </c>
      <c r="L3183" s="33">
        <v>1720</v>
      </c>
      <c r="M3183" s="125">
        <f t="shared" si="79"/>
        <v>27.5</v>
      </c>
      <c r="N3183" s="20"/>
      <c r="O3183" s="138"/>
      <c r="P3183" s="178">
        <v>14700</v>
      </c>
      <c r="Q3183" s="34">
        <f>181.39/1230.1</f>
        <v>0.14745955613364767</v>
      </c>
      <c r="R3183" s="34"/>
      <c r="S3183" s="34"/>
      <c r="T3183" s="34"/>
      <c r="U3183" s="386">
        <v>0.1</v>
      </c>
      <c r="V3183" s="37"/>
      <c r="W3183" s="285">
        <f t="shared" si="80"/>
        <v>2384.4210226810833</v>
      </c>
    </row>
    <row r="3184" spans="1:23" ht="15" customHeight="1">
      <c r="A3184" s="3">
        <v>40361</v>
      </c>
      <c r="B3184" s="9">
        <v>14375</v>
      </c>
      <c r="C3184" s="5">
        <v>86225</v>
      </c>
      <c r="D3184" s="5" t="e">
        <f>E3184-(#REF!+#REF!+C3184)</f>
        <v>#REF!</v>
      </c>
      <c r="E3184" s="5">
        <v>189700</v>
      </c>
      <c r="K3184" s="22">
        <v>1736</v>
      </c>
      <c r="L3184" s="6">
        <v>1762</v>
      </c>
      <c r="M3184" s="125">
        <f t="shared" si="79"/>
        <v>26</v>
      </c>
      <c r="N3184" s="18"/>
      <c r="O3184" s="135"/>
      <c r="P3184" s="175">
        <v>14600</v>
      </c>
      <c r="Q3184" s="25">
        <f>181.57/1231.2</f>
        <v>0.1474740090968161</v>
      </c>
      <c r="U3184" s="384">
        <v>0.1</v>
      </c>
      <c r="W3184" s="285">
        <f t="shared" si="80"/>
        <v>2368.432586094867</v>
      </c>
    </row>
    <row r="3185" spans="1:23" ht="15" customHeight="1">
      <c r="A3185" s="3">
        <v>40364</v>
      </c>
      <c r="B3185" s="9">
        <v>14325</v>
      </c>
      <c r="C3185" s="5">
        <v>86100</v>
      </c>
      <c r="D3185" s="5" t="e">
        <f>E3185-(#REF!+#REF!+C3185)</f>
        <v>#REF!</v>
      </c>
      <c r="E3185" s="5">
        <v>189625</v>
      </c>
      <c r="K3185" s="22">
        <v>1731.5</v>
      </c>
      <c r="L3185" s="6">
        <v>1760.5</v>
      </c>
      <c r="M3185" s="125">
        <f t="shared" si="79"/>
        <v>29</v>
      </c>
      <c r="N3185" s="18"/>
      <c r="O3185" s="135"/>
      <c r="P3185" s="175">
        <v>14700</v>
      </c>
      <c r="Q3185" s="25">
        <f>180.34/1221.2</f>
        <v>0.14767441860465116</v>
      </c>
      <c r="U3185" s="384">
        <v>0.1</v>
      </c>
      <c r="W3185" s="285">
        <f t="shared" si="80"/>
        <v>2387.8953488372094</v>
      </c>
    </row>
    <row r="3186" spans="1:23" ht="15" customHeight="1">
      <c r="A3186" s="3">
        <v>40365</v>
      </c>
      <c r="B3186" s="9">
        <v>14275</v>
      </c>
      <c r="C3186" s="5">
        <v>86075</v>
      </c>
      <c r="D3186" s="5" t="e">
        <f>E3186-(#REF!+#REF!+C3186)</f>
        <v>#REF!</v>
      </c>
      <c r="E3186" s="5">
        <v>189350</v>
      </c>
      <c r="K3186" s="22">
        <v>1755</v>
      </c>
      <c r="L3186" s="6">
        <v>1783</v>
      </c>
      <c r="M3186" s="125">
        <f t="shared" si="79"/>
        <v>28</v>
      </c>
      <c r="N3186" s="18"/>
      <c r="O3186" s="135"/>
      <c r="P3186" s="175">
        <v>14700</v>
      </c>
      <c r="Q3186" s="25">
        <f>180.59/1223.6</f>
        <v>0.14758908139915006</v>
      </c>
      <c r="U3186" s="384">
        <v>0.1</v>
      </c>
      <c r="W3186" s="285">
        <f t="shared" si="80"/>
        <v>2386.5154462242567</v>
      </c>
    </row>
    <row r="3187" spans="1:23" ht="15" customHeight="1">
      <c r="A3187" s="3">
        <v>40366</v>
      </c>
      <c r="B3187" s="9">
        <v>14125</v>
      </c>
      <c r="C3187" s="5">
        <v>86075</v>
      </c>
      <c r="D3187" s="5" t="e">
        <f>E3187-(#REF!+#REF!+C3187)</f>
        <v>#REF!</v>
      </c>
      <c r="E3187" s="5">
        <v>189850</v>
      </c>
      <c r="K3187" s="22">
        <v>1756</v>
      </c>
      <c r="L3187" s="6">
        <v>1770</v>
      </c>
      <c r="M3187" s="125">
        <f t="shared" si="79"/>
        <v>14</v>
      </c>
      <c r="N3187" s="18"/>
      <c r="O3187" s="135"/>
      <c r="P3187" s="175">
        <v>14750</v>
      </c>
      <c r="Q3187" s="25">
        <f>181.2/1228.6</f>
        <v>0.14748494221064626</v>
      </c>
      <c r="U3187" s="384">
        <v>0.1</v>
      </c>
      <c r="W3187" s="285">
        <f t="shared" si="80"/>
        <v>2392.9431873677354</v>
      </c>
    </row>
    <row r="3188" spans="1:23" ht="15" customHeight="1">
      <c r="A3188" s="3">
        <v>40367</v>
      </c>
      <c r="B3188" s="9">
        <v>14025</v>
      </c>
      <c r="C3188" s="5">
        <v>85800</v>
      </c>
      <c r="D3188" s="5" t="e">
        <f>E3188-(#REF!+#REF!+C3188)</f>
        <v>#REF!</v>
      </c>
      <c r="E3188" s="5">
        <v>189350</v>
      </c>
      <c r="K3188" s="22">
        <v>1804</v>
      </c>
      <c r="L3188" s="6">
        <v>1825.5</v>
      </c>
      <c r="M3188" s="125">
        <f t="shared" si="79"/>
        <v>21.5</v>
      </c>
      <c r="N3188" s="18"/>
      <c r="O3188" s="135"/>
      <c r="P3188" s="175">
        <v>14750</v>
      </c>
      <c r="Q3188" s="25">
        <f>180.28/1221.8</f>
        <v>0.14755279096415125</v>
      </c>
      <c r="U3188" s="384">
        <v>0.1</v>
      </c>
      <c r="W3188" s="285">
        <f t="shared" si="80"/>
        <v>2394.0440333933543</v>
      </c>
    </row>
    <row r="3189" spans="1:23" ht="15" customHeight="1">
      <c r="A3189" s="3">
        <v>40368</v>
      </c>
      <c r="B3189" s="9">
        <v>13975</v>
      </c>
      <c r="C3189" s="5">
        <v>85575</v>
      </c>
      <c r="D3189" s="5" t="e">
        <f>E3189-(#REF!+#REF!+C3189)</f>
        <v>#REF!</v>
      </c>
      <c r="E3189" s="5">
        <v>189025</v>
      </c>
      <c r="K3189" s="22">
        <v>1808</v>
      </c>
      <c r="L3189" s="6">
        <v>1832</v>
      </c>
      <c r="M3189" s="125">
        <f t="shared" si="79"/>
        <v>24</v>
      </c>
      <c r="N3189" s="18"/>
      <c r="O3189" s="135"/>
      <c r="P3189" s="175">
        <v>14800</v>
      </c>
      <c r="Q3189" s="25">
        <f>178.74/1211.2</f>
        <v>0.14757265521796564</v>
      </c>
      <c r="U3189" s="384">
        <v>0.1</v>
      </c>
      <c r="W3189" s="285">
        <f t="shared" si="80"/>
        <v>2402.482826948481</v>
      </c>
    </row>
    <row r="3190" spans="1:23" ht="15" customHeight="1">
      <c r="A3190" s="3">
        <v>40371</v>
      </c>
      <c r="B3190" s="9">
        <v>13950</v>
      </c>
      <c r="C3190" s="5">
        <v>85350</v>
      </c>
      <c r="D3190" s="5" t="e">
        <f>E3190-(#REF!+#REF!+C3190)</f>
        <v>#REF!</v>
      </c>
      <c r="E3190" s="5">
        <v>189075</v>
      </c>
      <c r="K3190" s="22">
        <v>1807</v>
      </c>
      <c r="L3190" s="6">
        <v>1816</v>
      </c>
      <c r="M3190" s="125">
        <f t="shared" si="79"/>
        <v>9</v>
      </c>
      <c r="N3190" s="18"/>
      <c r="O3190" s="135"/>
      <c r="P3190" s="175">
        <v>14900</v>
      </c>
      <c r="Q3190" s="25">
        <f>177/1198.8</f>
        <v>0.14764764764764765</v>
      </c>
      <c r="U3190" s="384">
        <v>0.1</v>
      </c>
      <c r="W3190" s="285">
        <f t="shared" si="80"/>
        <v>2419.9449449449448</v>
      </c>
    </row>
    <row r="3191" spans="1:23" ht="15" customHeight="1">
      <c r="A3191" s="3">
        <v>40372</v>
      </c>
      <c r="B3191" s="9">
        <v>14150</v>
      </c>
      <c r="C3191" s="5">
        <v>85000</v>
      </c>
      <c r="D3191" s="5" t="e">
        <f>E3191-(#REF!+#REF!+C3191)</f>
        <v>#REF!</v>
      </c>
      <c r="E3191" s="5">
        <v>188700</v>
      </c>
      <c r="K3191" s="22">
        <v>1766.5</v>
      </c>
      <c r="L3191" s="6">
        <v>1789</v>
      </c>
      <c r="M3191" s="125">
        <f t="shared" si="79"/>
        <v>22.5</v>
      </c>
      <c r="N3191" s="18"/>
      <c r="O3191" s="135"/>
      <c r="P3191" s="175">
        <v>14800</v>
      </c>
      <c r="Q3191" s="25">
        <f>176.86/1197.5</f>
        <v>0.14769102296450939</v>
      </c>
      <c r="U3191" s="384">
        <v>0.1</v>
      </c>
      <c r="W3191" s="285">
        <f t="shared" si="80"/>
        <v>2404.4098538622134</v>
      </c>
    </row>
    <row r="3192" spans="1:23" ht="15" customHeight="1">
      <c r="A3192" s="3">
        <v>40373</v>
      </c>
      <c r="B3192" s="9">
        <v>14075</v>
      </c>
      <c r="C3192" s="5">
        <v>84650</v>
      </c>
      <c r="D3192" s="5" t="e">
        <f>E3192-(#REF!+#REF!+C3192)</f>
        <v>#REF!</v>
      </c>
      <c r="E3192" s="5">
        <v>188150</v>
      </c>
      <c r="K3192" s="22">
        <v>1814</v>
      </c>
      <c r="L3192" s="6">
        <v>1834</v>
      </c>
      <c r="M3192" s="125">
        <f t="shared" si="79"/>
        <v>20</v>
      </c>
      <c r="N3192" s="18"/>
      <c r="O3192" s="135"/>
      <c r="P3192" s="175">
        <v>14850</v>
      </c>
      <c r="Q3192" s="25">
        <f>177.87/1204.6</f>
        <v>0.14765897393325586</v>
      </c>
      <c r="U3192" s="384">
        <v>0.1</v>
      </c>
      <c r="W3192" s="285">
        <f t="shared" si="80"/>
        <v>2412.0093391997348</v>
      </c>
    </row>
    <row r="3193" spans="1:23" ht="15" customHeight="1">
      <c r="A3193" s="3">
        <v>40374</v>
      </c>
      <c r="B3193" s="9">
        <v>14050</v>
      </c>
      <c r="C3193" s="5">
        <v>84325</v>
      </c>
      <c r="D3193" s="5" t="e">
        <f>E3193-(#REF!+#REF!+C3193)</f>
        <v>#REF!</v>
      </c>
      <c r="E3193" s="5">
        <v>187700</v>
      </c>
      <c r="K3193" s="22">
        <v>1801</v>
      </c>
      <c r="L3193" s="6">
        <v>1820.5</v>
      </c>
      <c r="M3193" s="125">
        <f t="shared" si="79"/>
        <v>19.5</v>
      </c>
      <c r="N3193" s="18"/>
      <c r="O3193" s="135"/>
      <c r="P3193" s="175">
        <v>14850</v>
      </c>
      <c r="Q3193" s="25">
        <f>177.09/1199.2</f>
        <v>0.14767344896597731</v>
      </c>
      <c r="U3193" s="384">
        <v>0.1</v>
      </c>
      <c r="W3193" s="285">
        <f t="shared" si="80"/>
        <v>2412.2457888592394</v>
      </c>
    </row>
    <row r="3194" spans="1:23" ht="15" customHeight="1">
      <c r="A3194" s="3">
        <v>40375</v>
      </c>
      <c r="B3194" s="9">
        <v>14050</v>
      </c>
      <c r="C3194" s="5">
        <v>84000</v>
      </c>
      <c r="D3194" s="5" t="e">
        <f>E3194-(#REF!+#REF!+C3194)</f>
        <v>#REF!</v>
      </c>
      <c r="E3194" s="5">
        <v>186975</v>
      </c>
      <c r="K3194" s="22">
        <v>1789</v>
      </c>
      <c r="L3194" s="6">
        <v>1800.5</v>
      </c>
      <c r="M3194" s="125">
        <f t="shared" si="79"/>
        <v>11.5</v>
      </c>
      <c r="N3194" s="18"/>
      <c r="O3194" s="135"/>
      <c r="P3194" s="175">
        <v>14850</v>
      </c>
      <c r="Q3194" s="25">
        <f>177.76/1204.7</f>
        <v>0.14755540798539055</v>
      </c>
      <c r="U3194" s="384">
        <v>0.1</v>
      </c>
      <c r="W3194" s="285">
        <f t="shared" si="80"/>
        <v>2410.3175894413548</v>
      </c>
    </row>
    <row r="3195" spans="1:23" ht="15" customHeight="1">
      <c r="A3195" s="3">
        <v>40378</v>
      </c>
      <c r="B3195" s="9">
        <v>13525</v>
      </c>
      <c r="C3195" s="5">
        <v>83625</v>
      </c>
      <c r="D3195" s="5" t="e">
        <f>E3195-(#REF!+#REF!+C3195)</f>
        <v>#REF!</v>
      </c>
      <c r="E3195" s="5">
        <v>186775</v>
      </c>
      <c r="K3195" s="22">
        <v>1751.5</v>
      </c>
      <c r="L3195" s="6">
        <v>1775</v>
      </c>
      <c r="M3195" s="125">
        <f t="shared" si="79"/>
        <v>23.5</v>
      </c>
      <c r="N3195" s="18"/>
      <c r="O3195" s="135"/>
      <c r="P3195" s="175">
        <v>14850</v>
      </c>
      <c r="Q3195" s="25">
        <f>177.28/1201.1</f>
        <v>0.1475980351344601</v>
      </c>
      <c r="U3195" s="384">
        <v>0.1</v>
      </c>
      <c r="W3195" s="285">
        <f t="shared" si="80"/>
        <v>2411.0139039214059</v>
      </c>
    </row>
    <row r="3196" spans="1:23" ht="15" customHeight="1">
      <c r="A3196" s="3">
        <v>40379</v>
      </c>
      <c r="B3196" s="9">
        <v>13500</v>
      </c>
      <c r="C3196" s="5">
        <v>83075</v>
      </c>
      <c r="D3196" s="5" t="e">
        <f>E3196-(#REF!+#REF!+C3196)</f>
        <v>#REF!</v>
      </c>
      <c r="E3196" s="5">
        <v>185775</v>
      </c>
      <c r="K3196" s="22">
        <v>1762</v>
      </c>
      <c r="L3196" s="6">
        <v>1783</v>
      </c>
      <c r="M3196" s="125">
        <f t="shared" si="79"/>
        <v>21</v>
      </c>
      <c r="N3196" s="18"/>
      <c r="O3196" s="135"/>
      <c r="P3196" s="175">
        <v>14900</v>
      </c>
      <c r="Q3196" s="83">
        <f>179.38/1215.9</f>
        <v>0.14752857965293198</v>
      </c>
      <c r="R3196" s="83"/>
      <c r="S3196" s="83"/>
      <c r="T3196" s="83"/>
      <c r="U3196" s="384">
        <v>0.1</v>
      </c>
      <c r="W3196" s="285">
        <f t="shared" si="80"/>
        <v>2417.9934205115551</v>
      </c>
    </row>
    <row r="3197" spans="1:23" ht="15" customHeight="1">
      <c r="A3197" s="3">
        <v>40380</v>
      </c>
      <c r="B3197" s="9">
        <v>12500</v>
      </c>
      <c r="C3197" s="5">
        <v>82525</v>
      </c>
      <c r="D3197" s="5" t="e">
        <f>E3197-(#REF!+#REF!+C3197)</f>
        <v>#REF!</v>
      </c>
      <c r="E3197" s="5">
        <v>184625</v>
      </c>
      <c r="K3197" s="22">
        <v>1844</v>
      </c>
      <c r="L3197" s="6">
        <v>1868</v>
      </c>
      <c r="M3197" s="125">
        <f t="shared" si="79"/>
        <v>24</v>
      </c>
      <c r="N3197" s="18"/>
      <c r="O3197" s="135"/>
      <c r="P3197" s="175">
        <v>15000</v>
      </c>
      <c r="Q3197" s="25">
        <f>178.78/1211.8</f>
        <v>0.14753259613797656</v>
      </c>
      <c r="U3197" s="384">
        <v>0.1</v>
      </c>
      <c r="W3197" s="285">
        <f t="shared" si="80"/>
        <v>2434.2878362766137</v>
      </c>
    </row>
    <row r="3198" spans="1:23" ht="15" customHeight="1">
      <c r="A3198" s="3">
        <v>40381</v>
      </c>
      <c r="B3198" s="9">
        <v>12500</v>
      </c>
      <c r="C3198" s="5">
        <v>82000</v>
      </c>
      <c r="D3198" s="5" t="e">
        <f>E3198-(#REF!+#REF!+C3198)</f>
        <v>#REF!</v>
      </c>
      <c r="E3198" s="5">
        <v>184200</v>
      </c>
      <c r="K3198" s="22">
        <v>1894</v>
      </c>
      <c r="L3198" s="6">
        <v>1915</v>
      </c>
      <c r="M3198" s="125">
        <f t="shared" si="79"/>
        <v>21</v>
      </c>
      <c r="N3198" s="18"/>
      <c r="O3198" s="135"/>
      <c r="P3198" s="175">
        <v>15100</v>
      </c>
      <c r="Q3198" s="25">
        <f>177.6/1203.6</f>
        <v>0.14755732801595214</v>
      </c>
      <c r="U3198" s="384">
        <v>0.1</v>
      </c>
      <c r="W3198" s="285">
        <f t="shared" si="80"/>
        <v>2450.9272183449657</v>
      </c>
    </row>
    <row r="3199" spans="1:23" ht="15" customHeight="1">
      <c r="A3199" s="3">
        <v>40382</v>
      </c>
      <c r="B3199" s="9">
        <v>11750</v>
      </c>
      <c r="C3199" s="5">
        <v>81275</v>
      </c>
      <c r="D3199" s="5" t="e">
        <f>E3199-(#REF!+#REF!+C3199)</f>
        <v>#REF!</v>
      </c>
      <c r="E3199" s="5">
        <v>183225</v>
      </c>
      <c r="K3199" s="22">
        <v>1930.5</v>
      </c>
      <c r="L3199" s="6">
        <v>1953.5</v>
      </c>
      <c r="M3199" s="125">
        <f t="shared" si="79"/>
        <v>23</v>
      </c>
      <c r="N3199" s="18"/>
      <c r="O3199" s="135"/>
      <c r="P3199" s="175">
        <v>15250</v>
      </c>
      <c r="Q3199" s="25">
        <f>178.025/1206.9</f>
        <v>0.14750600712569392</v>
      </c>
      <c r="U3199" s="384">
        <v>0.1</v>
      </c>
      <c r="W3199" s="285">
        <f t="shared" si="80"/>
        <v>2474.4132695335156</v>
      </c>
    </row>
    <row r="3200" spans="1:23" ht="15" customHeight="1">
      <c r="A3200" s="3">
        <v>40385</v>
      </c>
      <c r="B3200" s="9">
        <v>11750</v>
      </c>
      <c r="C3200" s="5">
        <v>80825</v>
      </c>
      <c r="D3200" s="5" t="e">
        <f>E3200-(#REF!+#REF!+C3200)</f>
        <v>#REF!</v>
      </c>
      <c r="E3200" s="5">
        <v>182800</v>
      </c>
      <c r="K3200" s="22">
        <v>1960</v>
      </c>
      <c r="L3200" s="6">
        <v>1980</v>
      </c>
      <c r="M3200" s="125">
        <f t="shared" si="79"/>
        <v>20</v>
      </c>
      <c r="N3200" s="18"/>
      <c r="O3200" s="135"/>
      <c r="P3200" s="175">
        <v>15400</v>
      </c>
      <c r="Q3200" s="25">
        <v>0.14749999999999999</v>
      </c>
      <c r="U3200" s="384">
        <v>0.1</v>
      </c>
      <c r="W3200" s="285">
        <f t="shared" si="80"/>
        <v>2498.65</v>
      </c>
    </row>
    <row r="3201" spans="1:23" ht="15" customHeight="1">
      <c r="A3201" s="3">
        <v>40386</v>
      </c>
      <c r="B3201" s="9">
        <v>12250</v>
      </c>
      <c r="C3201" s="5">
        <v>80475</v>
      </c>
      <c r="D3201" s="5" t="e">
        <f>E3201-(#REF!+#REF!+C3201)</f>
        <v>#REF!</v>
      </c>
      <c r="E3201" s="5">
        <v>183175</v>
      </c>
      <c r="K3201" s="22">
        <v>1975</v>
      </c>
      <c r="L3201" s="6">
        <v>1998</v>
      </c>
      <c r="M3201" s="125">
        <f t="shared" si="79"/>
        <v>23</v>
      </c>
      <c r="N3201" s="18"/>
      <c r="O3201" s="135"/>
      <c r="P3201" s="175">
        <v>15600</v>
      </c>
      <c r="Q3201" s="25">
        <v>0.14749999999999999</v>
      </c>
      <c r="U3201" s="384">
        <v>0.1</v>
      </c>
      <c r="W3201" s="285">
        <f t="shared" si="80"/>
        <v>2531.1000000000004</v>
      </c>
    </row>
    <row r="3202" spans="1:23" ht="15" customHeight="1">
      <c r="A3202" s="3">
        <v>40387</v>
      </c>
      <c r="B3202" s="9">
        <v>12250</v>
      </c>
      <c r="C3202" s="5">
        <v>80350</v>
      </c>
      <c r="D3202" s="5" t="e">
        <f>E3202-(#REF!+#REF!+C3202)</f>
        <v>#REF!</v>
      </c>
      <c r="E3202" s="5">
        <v>183350</v>
      </c>
      <c r="K3202" s="22">
        <v>1968</v>
      </c>
      <c r="L3202" s="6">
        <v>1993</v>
      </c>
      <c r="M3202" s="125">
        <f t="shared" si="79"/>
        <v>25</v>
      </c>
      <c r="N3202" s="18"/>
      <c r="O3202" s="135"/>
      <c r="P3202" s="175">
        <v>15800</v>
      </c>
      <c r="Q3202" s="25">
        <f>174.61/1183.6</f>
        <v>0.14752450152078408</v>
      </c>
      <c r="U3202" s="384">
        <v>0.1</v>
      </c>
      <c r="W3202" s="285">
        <f t="shared" si="80"/>
        <v>2563.9758364312274</v>
      </c>
    </row>
    <row r="3203" spans="1:23" ht="15" customHeight="1">
      <c r="A3203" s="3">
        <v>40388</v>
      </c>
      <c r="B3203" s="9">
        <v>12250</v>
      </c>
      <c r="C3203" s="5">
        <v>80225</v>
      </c>
      <c r="D3203" s="5" t="e">
        <f>E3203-(#REF!+#REF!+C3203)</f>
        <v>#REF!</v>
      </c>
      <c r="E3203" s="5">
        <v>183825</v>
      </c>
      <c r="K3203" s="22">
        <v>2003</v>
      </c>
      <c r="L3203" s="6">
        <v>2030</v>
      </c>
      <c r="M3203" s="125">
        <f t="shared" si="79"/>
        <v>27</v>
      </c>
      <c r="N3203" s="18"/>
      <c r="O3203" s="135"/>
      <c r="P3203" s="175">
        <v>15900</v>
      </c>
      <c r="Q3203" s="25">
        <f>175.05/1186.5</f>
        <v>0.14753476611883692</v>
      </c>
      <c r="U3203" s="384">
        <v>0.1</v>
      </c>
      <c r="W3203" s="285">
        <f t="shared" si="80"/>
        <v>2580.3830594184578</v>
      </c>
    </row>
    <row r="3204" spans="1:23" ht="15" customHeight="1" thickBot="1">
      <c r="A3204" s="11">
        <v>40389</v>
      </c>
      <c r="B3204" s="9">
        <v>12250</v>
      </c>
      <c r="C3204" s="13">
        <v>80100</v>
      </c>
      <c r="D3204" s="13" t="e">
        <f>E3204-(#REF!+#REF!+C3204)</f>
        <v>#REF!</v>
      </c>
      <c r="E3204" s="13">
        <v>184150</v>
      </c>
      <c r="F3204" s="12"/>
      <c r="G3204" s="13"/>
      <c r="H3204" s="13"/>
      <c r="I3204" s="119"/>
      <c r="J3204" s="119"/>
      <c r="K3204" s="23">
        <v>2065</v>
      </c>
      <c r="L3204" s="14">
        <v>2060</v>
      </c>
      <c r="M3204" s="126">
        <f t="shared" si="79"/>
        <v>-5</v>
      </c>
      <c r="N3204" s="84">
        <f>AVERAGE(K3183:K3204)</f>
        <v>1836.9772727272727</v>
      </c>
      <c r="O3204" s="141">
        <f>AVERAGE(K3055:K3204)</f>
        <v>2046.3527397260275</v>
      </c>
      <c r="P3204" s="176">
        <v>15900</v>
      </c>
      <c r="Q3204" s="27">
        <f>175.2/1187.2</f>
        <v>0.14757412398921832</v>
      </c>
      <c r="R3204" s="27"/>
      <c r="S3204" s="27"/>
      <c r="T3204" s="27"/>
      <c r="U3204" s="385">
        <v>0.1</v>
      </c>
      <c r="V3204" s="38">
        <f>AVERAGE(P3183:P3204)</f>
        <v>15043.181818181818</v>
      </c>
      <c r="W3204" s="285">
        <f t="shared" si="80"/>
        <v>2581.0714285714284</v>
      </c>
    </row>
    <row r="3205" spans="1:23" ht="15" customHeight="1">
      <c r="A3205" s="29">
        <v>40392</v>
      </c>
      <c r="B3205" s="9">
        <v>12250</v>
      </c>
      <c r="C3205" s="31">
        <v>79900</v>
      </c>
      <c r="D3205" s="31" t="e">
        <f>E3205-(#REF!+#REF!+C3205)</f>
        <v>#REF!</v>
      </c>
      <c r="E3205" s="31">
        <v>183950</v>
      </c>
      <c r="F3205" s="30"/>
      <c r="G3205" s="31"/>
      <c r="H3205" s="31"/>
      <c r="I3205" s="123"/>
      <c r="J3205" s="123"/>
      <c r="K3205" s="32">
        <v>2085</v>
      </c>
      <c r="L3205" s="33">
        <v>2112</v>
      </c>
      <c r="M3205" s="125">
        <f t="shared" si="79"/>
        <v>27</v>
      </c>
      <c r="N3205" s="20"/>
      <c r="O3205" s="138"/>
      <c r="P3205" s="178">
        <v>16000</v>
      </c>
      <c r="Q3205" s="34">
        <f>174.93/1185</f>
        <v>0.14762025316455696</v>
      </c>
      <c r="R3205" s="34"/>
      <c r="S3205" s="34"/>
      <c r="T3205" s="34"/>
      <c r="U3205" s="386">
        <v>0.1</v>
      </c>
      <c r="V3205" s="37"/>
      <c r="W3205" s="285">
        <f t="shared" si="80"/>
        <v>2598.116455696203</v>
      </c>
    </row>
    <row r="3206" spans="1:23" ht="15" customHeight="1">
      <c r="A3206" s="3">
        <v>40393</v>
      </c>
      <c r="B3206" s="9">
        <v>13250</v>
      </c>
      <c r="C3206" s="5">
        <v>79800</v>
      </c>
      <c r="D3206" s="5" t="e">
        <f>E3206-(#REF!+#REF!+C3206)</f>
        <v>#REF!</v>
      </c>
      <c r="E3206" s="5">
        <v>184850</v>
      </c>
      <c r="K3206" s="22">
        <v>2175.5</v>
      </c>
      <c r="L3206" s="6">
        <v>2205.5</v>
      </c>
      <c r="M3206" s="125">
        <f t="shared" si="79"/>
        <v>30</v>
      </c>
      <c r="N3206" s="18"/>
      <c r="O3206" s="135"/>
      <c r="P3206" s="175">
        <v>16400</v>
      </c>
      <c r="Q3206" s="25">
        <f>173.21/1173.4</f>
        <v>0.14761377194477587</v>
      </c>
      <c r="U3206" s="384">
        <v>0.1</v>
      </c>
      <c r="W3206" s="285">
        <f t="shared" si="80"/>
        <v>2662.9524458837568</v>
      </c>
    </row>
    <row r="3207" spans="1:23" ht="15" customHeight="1">
      <c r="A3207" s="3">
        <v>40394</v>
      </c>
      <c r="B3207" s="9">
        <v>13250</v>
      </c>
      <c r="C3207" s="5">
        <v>79975</v>
      </c>
      <c r="D3207" s="5" t="e">
        <f>E3207-(#REF!+#REF!+C3207)</f>
        <v>#REF!</v>
      </c>
      <c r="E3207" s="5">
        <v>184975</v>
      </c>
      <c r="K3207" s="22">
        <v>2183</v>
      </c>
      <c r="L3207" s="6">
        <v>2210</v>
      </c>
      <c r="M3207" s="125">
        <f t="shared" si="79"/>
        <v>27</v>
      </c>
      <c r="N3207" s="18"/>
      <c r="O3207" s="135"/>
      <c r="P3207" s="175">
        <v>16400</v>
      </c>
      <c r="Q3207" s="25">
        <f>172.55/1168.7</f>
        <v>0.14764267990074442</v>
      </c>
      <c r="U3207" s="384">
        <v>0.1</v>
      </c>
      <c r="W3207" s="285">
        <f t="shared" si="80"/>
        <v>2663.4739454094297</v>
      </c>
    </row>
    <row r="3208" spans="1:23" ht="15" customHeight="1">
      <c r="A3208" s="3">
        <v>40395</v>
      </c>
      <c r="B3208" s="9">
        <v>13250</v>
      </c>
      <c r="C3208" s="5">
        <v>79975</v>
      </c>
      <c r="D3208" s="5" t="e">
        <f>E3208-(#REF!+#REF!+C3208)</f>
        <v>#REF!</v>
      </c>
      <c r="E3208" s="5">
        <v>187225</v>
      </c>
      <c r="K3208" s="22">
        <v>2190.5</v>
      </c>
      <c r="L3208" s="6">
        <v>2215.5</v>
      </c>
      <c r="M3208" s="125">
        <f t="shared" si="79"/>
        <v>25</v>
      </c>
      <c r="N3208" s="18"/>
      <c r="O3208" s="135"/>
      <c r="P3208" s="175">
        <v>16400</v>
      </c>
      <c r="Q3208" s="25">
        <f>172.68/1169.5</f>
        <v>0.14765284309533991</v>
      </c>
      <c r="U3208" s="384">
        <v>0.1</v>
      </c>
      <c r="W3208" s="285">
        <f t="shared" si="80"/>
        <v>2663.6572894399319</v>
      </c>
    </row>
    <row r="3209" spans="1:23" ht="15" customHeight="1">
      <c r="A3209" s="3">
        <v>40396</v>
      </c>
      <c r="B3209" s="9">
        <v>13000</v>
      </c>
      <c r="C3209" s="5">
        <v>80975</v>
      </c>
      <c r="D3209" s="5" t="e">
        <f>E3209-(#REF!+#REF!+C3209)</f>
        <v>#REF!</v>
      </c>
      <c r="E3209" s="5">
        <v>187975</v>
      </c>
      <c r="K3209" s="22">
        <v>2167.5</v>
      </c>
      <c r="L3209" s="6">
        <v>2191</v>
      </c>
      <c r="M3209" s="125">
        <f t="shared" si="79"/>
        <v>23.5</v>
      </c>
      <c r="N3209" s="18"/>
      <c r="O3209" s="135"/>
      <c r="P3209" s="175">
        <v>16250</v>
      </c>
      <c r="Q3209" s="25">
        <f>172.52/1168.2</f>
        <v>0.14768019174798835</v>
      </c>
      <c r="U3209" s="384">
        <v>0.1</v>
      </c>
      <c r="W3209" s="285">
        <f t="shared" si="80"/>
        <v>2639.7834274952925</v>
      </c>
    </row>
    <row r="3210" spans="1:23" ht="15" customHeight="1">
      <c r="A3210" s="3">
        <v>40399</v>
      </c>
      <c r="B3210" s="9">
        <v>15000</v>
      </c>
      <c r="C3210" s="5">
        <v>80975</v>
      </c>
      <c r="D3210" s="5" t="e">
        <f>E3210-(#REF!+#REF!+C3210)</f>
        <v>#REF!</v>
      </c>
      <c r="E3210" s="5">
        <v>189975</v>
      </c>
      <c r="K3210" s="22">
        <v>2171</v>
      </c>
      <c r="L3210" s="6">
        <v>2203.5</v>
      </c>
      <c r="M3210" s="125">
        <f t="shared" si="79"/>
        <v>32.5</v>
      </c>
      <c r="N3210" s="18"/>
      <c r="O3210" s="135"/>
      <c r="P3210" s="175">
        <v>16250</v>
      </c>
      <c r="Q3210" s="25">
        <f>172.24/1165.7</f>
        <v>0.14775671270481255</v>
      </c>
      <c r="U3210" s="384">
        <v>0.1</v>
      </c>
      <c r="W3210" s="285">
        <f t="shared" si="80"/>
        <v>2641.1512395985246</v>
      </c>
    </row>
    <row r="3211" spans="1:23" ht="15" customHeight="1">
      <c r="A3211" s="3">
        <v>40400</v>
      </c>
      <c r="B3211" s="9">
        <v>15000</v>
      </c>
      <c r="C3211" s="5">
        <v>80975</v>
      </c>
      <c r="D3211" s="5" t="e">
        <f>E3211-(#REF!+#REF!+C3211)</f>
        <v>#REF!</v>
      </c>
      <c r="E3211" s="5">
        <v>189975</v>
      </c>
      <c r="K3211" s="22">
        <v>2100.5</v>
      </c>
      <c r="L3211" s="6">
        <v>2127</v>
      </c>
      <c r="M3211" s="125">
        <f t="shared" si="79"/>
        <v>26.5</v>
      </c>
      <c r="N3211" s="18"/>
      <c r="O3211" s="135"/>
      <c r="P3211" s="175">
        <v>16250</v>
      </c>
      <c r="Q3211" s="25">
        <f>171.3/1159.1</f>
        <v>0.1477870761797947</v>
      </c>
      <c r="U3211" s="384">
        <v>0.1</v>
      </c>
      <c r="W3211" s="285">
        <f t="shared" si="80"/>
        <v>2641.6939867138303</v>
      </c>
    </row>
    <row r="3212" spans="1:23" ht="15" customHeight="1">
      <c r="A3212" s="3">
        <v>40401</v>
      </c>
      <c r="B3212" s="9">
        <v>15000</v>
      </c>
      <c r="C3212" s="5">
        <v>80975</v>
      </c>
      <c r="D3212" s="5" t="e">
        <f>E3212-(#REF!+#REF!+C3212)</f>
        <v>#REF!</v>
      </c>
      <c r="E3212" s="5">
        <v>190425</v>
      </c>
      <c r="K3212" s="22">
        <v>2047</v>
      </c>
      <c r="L3212" s="6">
        <v>2076</v>
      </c>
      <c r="M3212" s="125">
        <f t="shared" si="79"/>
        <v>29</v>
      </c>
      <c r="N3212" s="18"/>
      <c r="O3212" s="135"/>
      <c r="P3212" s="175">
        <v>16200</v>
      </c>
      <c r="Q3212" s="25">
        <f>172.35/1167.2</f>
        <v>0.1476610692254969</v>
      </c>
      <c r="U3212" s="384">
        <v>0.1</v>
      </c>
      <c r="W3212" s="285">
        <f t="shared" si="80"/>
        <v>2631.3202535983551</v>
      </c>
    </row>
    <row r="3213" spans="1:23" ht="15" customHeight="1">
      <c r="A3213" s="3">
        <v>40402</v>
      </c>
      <c r="B3213" s="9">
        <v>15000</v>
      </c>
      <c r="C3213" s="5">
        <v>80975</v>
      </c>
      <c r="D3213" s="5" t="e">
        <f>E3213-(#REF!+#REF!+C3213)</f>
        <v>#REF!</v>
      </c>
      <c r="E3213" s="5">
        <v>190425</v>
      </c>
      <c r="K3213" s="22">
        <v>2028</v>
      </c>
      <c r="L3213" s="6">
        <v>2062</v>
      </c>
      <c r="M3213" s="125">
        <f t="shared" si="79"/>
        <v>34</v>
      </c>
      <c r="N3213" s="18"/>
      <c r="O3213" s="135"/>
      <c r="P3213" s="175">
        <v>16200</v>
      </c>
      <c r="Q3213" s="25">
        <f>173.81/1177.3</f>
        <v>0.14763441773549649</v>
      </c>
      <c r="U3213" s="384">
        <v>0.1</v>
      </c>
      <c r="W3213" s="285">
        <f t="shared" si="80"/>
        <v>2630.8453240465478</v>
      </c>
    </row>
    <row r="3214" spans="1:23" ht="15" customHeight="1">
      <c r="A3214" s="3">
        <v>40403</v>
      </c>
      <c r="B3214" s="9">
        <v>15125</v>
      </c>
      <c r="C3214" s="5">
        <v>80675</v>
      </c>
      <c r="D3214" s="5" t="e">
        <f>E3214-(#REF!+#REF!+C3214)</f>
        <v>#REF!</v>
      </c>
      <c r="E3214" s="5">
        <v>190250</v>
      </c>
      <c r="K3214" s="22">
        <v>2065.5</v>
      </c>
      <c r="L3214" s="6">
        <v>2091</v>
      </c>
      <c r="M3214" s="125">
        <f t="shared" si="79"/>
        <v>25.5</v>
      </c>
      <c r="N3214" s="18"/>
      <c r="O3214" s="135"/>
      <c r="P3214" s="175">
        <v>16200</v>
      </c>
      <c r="Q3214" s="25">
        <f>175.94/1193.6</f>
        <v>0.14740281501340483</v>
      </c>
      <c r="U3214" s="384">
        <v>0.1</v>
      </c>
      <c r="W3214" s="285">
        <f t="shared" si="80"/>
        <v>2626.7181635388743</v>
      </c>
    </row>
    <row r="3215" spans="1:23" ht="15" customHeight="1">
      <c r="A3215" s="3">
        <v>40406</v>
      </c>
      <c r="B3215" s="9">
        <v>15075</v>
      </c>
      <c r="C3215" s="5">
        <v>80450</v>
      </c>
      <c r="D3215" s="5" t="e">
        <f>E3215-(#REF!+#REF!+C3215)</f>
        <v>#REF!</v>
      </c>
      <c r="E3215" s="5">
        <v>189975</v>
      </c>
      <c r="K3215" s="22">
        <v>2040.5</v>
      </c>
      <c r="L3215" s="6">
        <v>2068</v>
      </c>
      <c r="M3215" s="125">
        <f t="shared" si="79"/>
        <v>27.5</v>
      </c>
      <c r="N3215" s="18"/>
      <c r="O3215" s="135"/>
      <c r="P3215" s="175">
        <v>16150</v>
      </c>
      <c r="Q3215" s="25">
        <f>174.61/1186.7</f>
        <v>0.14713912530546897</v>
      </c>
      <c r="U3215" s="384">
        <v>0.1</v>
      </c>
      <c r="W3215" s="285">
        <f t="shared" si="80"/>
        <v>2613.9265610516563</v>
      </c>
    </row>
    <row r="3216" spans="1:23" ht="15" customHeight="1">
      <c r="A3216" s="3">
        <v>40407</v>
      </c>
      <c r="B3216" s="9">
        <v>17625</v>
      </c>
      <c r="C3216" s="5">
        <v>80325</v>
      </c>
      <c r="D3216" s="5" t="e">
        <f>E3216-(#REF!+#REF!+C3216)</f>
        <v>#REF!</v>
      </c>
      <c r="E3216" s="5">
        <v>192400</v>
      </c>
      <c r="K3216" s="22">
        <v>2113</v>
      </c>
      <c r="L3216" s="6">
        <v>2140</v>
      </c>
      <c r="M3216" s="125">
        <f t="shared" si="79"/>
        <v>27</v>
      </c>
      <c r="N3216" s="18"/>
      <c r="O3216" s="135"/>
      <c r="P3216" s="175">
        <v>16200</v>
      </c>
      <c r="Q3216" s="25">
        <f>175/1193.2</f>
        <v>0.14666443178008715</v>
      </c>
      <c r="U3216" s="384">
        <v>0.1</v>
      </c>
      <c r="W3216" s="285">
        <f t="shared" si="80"/>
        <v>2613.5601743211528</v>
      </c>
    </row>
    <row r="3217" spans="1:23" ht="15" customHeight="1">
      <c r="A3217" s="3">
        <v>40408</v>
      </c>
      <c r="B3217" s="9">
        <v>17625</v>
      </c>
      <c r="C3217" s="5">
        <v>80400</v>
      </c>
      <c r="D3217" s="5" t="e">
        <f>E3217-(#REF!+#REF!+C3217)</f>
        <v>#REF!</v>
      </c>
      <c r="E3217" s="5">
        <v>192475</v>
      </c>
      <c r="K3217" s="22">
        <v>2119</v>
      </c>
      <c r="L3217" s="6">
        <v>2135</v>
      </c>
      <c r="M3217" s="125">
        <f t="shared" si="79"/>
        <v>16</v>
      </c>
      <c r="N3217" s="18"/>
      <c r="O3217" s="135"/>
      <c r="P3217" s="175">
        <v>16250</v>
      </c>
      <c r="Q3217" s="25">
        <f>173.54/1178.7</f>
        <v>0.1472299991516077</v>
      </c>
      <c r="U3217" s="384">
        <v>0.1</v>
      </c>
      <c r="W3217" s="285">
        <f t="shared" si="80"/>
        <v>2631.736234834988</v>
      </c>
    </row>
    <row r="3218" spans="1:23" ht="15" customHeight="1">
      <c r="A3218" s="3">
        <v>40409</v>
      </c>
      <c r="B3218" s="9">
        <v>17625</v>
      </c>
      <c r="C3218" s="5">
        <v>80450</v>
      </c>
      <c r="D3218" s="5" t="e">
        <f>E3218-(#REF!+#REF!+C3218)</f>
        <v>#REF!</v>
      </c>
      <c r="E3218" s="5">
        <v>192500</v>
      </c>
      <c r="K3218" s="22">
        <v>2103.5</v>
      </c>
      <c r="L3218" s="6">
        <v>2131.5</v>
      </c>
      <c r="M3218" s="125">
        <f t="shared" si="79"/>
        <v>28</v>
      </c>
      <c r="N3218" s="18"/>
      <c r="O3218" s="135"/>
      <c r="P3218" s="175">
        <v>16300</v>
      </c>
      <c r="Q3218" s="25">
        <f>172.84/1173.9</f>
        <v>0.1472357100264077</v>
      </c>
      <c r="U3218" s="384">
        <v>0.1</v>
      </c>
      <c r="W3218" s="285">
        <f t="shared" si="80"/>
        <v>2639.9362807734901</v>
      </c>
    </row>
    <row r="3219" spans="1:23" ht="15" customHeight="1">
      <c r="A3219" s="3">
        <v>40410</v>
      </c>
      <c r="B3219" s="9">
        <v>17625</v>
      </c>
      <c r="C3219" s="5">
        <v>80475</v>
      </c>
      <c r="D3219" s="5" t="e">
        <f>E3219-(#REF!+#REF!+C3219)</f>
        <v>#REF!</v>
      </c>
      <c r="E3219" s="5">
        <v>192525</v>
      </c>
      <c r="K3219" s="22">
        <v>2040</v>
      </c>
      <c r="L3219" s="6">
        <v>2063</v>
      </c>
      <c r="M3219" s="125">
        <f t="shared" si="79"/>
        <v>23</v>
      </c>
      <c r="N3219" s="18"/>
      <c r="O3219" s="135"/>
      <c r="P3219" s="175">
        <v>16250</v>
      </c>
      <c r="Q3219" s="25">
        <f>172.8/1173.3</f>
        <v>0.14727691127588854</v>
      </c>
      <c r="U3219" s="384">
        <v>0.1</v>
      </c>
      <c r="W3219" s="285">
        <f t="shared" si="80"/>
        <v>2632.5747890565081</v>
      </c>
    </row>
    <row r="3220" spans="1:23" ht="15" customHeight="1">
      <c r="A3220" s="3">
        <v>40413</v>
      </c>
      <c r="B3220" s="9">
        <v>17600</v>
      </c>
      <c r="C3220" s="5">
        <v>80675</v>
      </c>
      <c r="D3220" s="5" t="e">
        <f>E3220-(#REF!+#REF!+C3220)</f>
        <v>#REF!</v>
      </c>
      <c r="E3220" s="5">
        <v>192700</v>
      </c>
      <c r="K3220" s="22">
        <v>2021.5</v>
      </c>
      <c r="L3220" s="6">
        <v>2050.5</v>
      </c>
      <c r="M3220" s="125">
        <f t="shared" si="79"/>
        <v>29</v>
      </c>
      <c r="N3220" s="18"/>
      <c r="O3220" s="135"/>
      <c r="P3220" s="175">
        <v>16100</v>
      </c>
      <c r="Q3220" s="25">
        <f>173.75/1179.9</f>
        <v>0.14725824222391726</v>
      </c>
      <c r="U3220" s="384">
        <v>0.1</v>
      </c>
      <c r="W3220" s="285">
        <f t="shared" si="80"/>
        <v>2607.943469785575</v>
      </c>
    </row>
    <row r="3221" spans="1:23" ht="15" customHeight="1">
      <c r="A3221" s="3">
        <v>40414</v>
      </c>
      <c r="B3221" s="9">
        <v>17600</v>
      </c>
      <c r="C3221" s="5">
        <v>80675</v>
      </c>
      <c r="D3221" s="5" t="e">
        <f>E3221-(#REF!+#REF!+C3221)</f>
        <v>#REF!</v>
      </c>
      <c r="E3221" s="5">
        <v>192850</v>
      </c>
      <c r="K3221" s="22">
        <v>1991</v>
      </c>
      <c r="L3221" s="6">
        <v>2020</v>
      </c>
      <c r="M3221" s="125">
        <f t="shared" si="79"/>
        <v>29</v>
      </c>
      <c r="N3221" s="18"/>
      <c r="O3221" s="135"/>
      <c r="P3221" s="175">
        <v>16050</v>
      </c>
      <c r="Q3221" s="25">
        <f>173.79/1181.8</f>
        <v>0.14705533931291251</v>
      </c>
      <c r="U3221" s="384">
        <v>0.1</v>
      </c>
      <c r="W3221" s="285">
        <f t="shared" si="80"/>
        <v>2596.2620155694703</v>
      </c>
    </row>
    <row r="3222" spans="1:23" ht="15" customHeight="1">
      <c r="A3222" s="3">
        <v>40415</v>
      </c>
      <c r="B3222" s="9">
        <v>17600</v>
      </c>
      <c r="C3222" s="5">
        <v>80675</v>
      </c>
      <c r="D3222" s="5" t="e">
        <f>E3222-(#REF!+#REF!+C3222)</f>
        <v>#REF!</v>
      </c>
      <c r="E3222" s="5">
        <v>192850</v>
      </c>
      <c r="K3222" s="22">
        <v>1937</v>
      </c>
      <c r="L3222" s="6">
        <v>1964</v>
      </c>
      <c r="M3222" s="125">
        <f t="shared" si="79"/>
        <v>27</v>
      </c>
      <c r="N3222" s="18"/>
      <c r="O3222" s="135"/>
      <c r="P3222" s="175">
        <v>15900</v>
      </c>
      <c r="Q3222" s="25">
        <f>174.93/1189</f>
        <v>0.14712363330529857</v>
      </c>
      <c r="U3222" s="384">
        <v>0.1</v>
      </c>
      <c r="W3222" s="285">
        <f t="shared" si="80"/>
        <v>2573.192346509672</v>
      </c>
    </row>
    <row r="3223" spans="1:23" ht="15" customHeight="1">
      <c r="A3223" s="3">
        <v>40416</v>
      </c>
      <c r="B3223" s="9">
        <v>17325</v>
      </c>
      <c r="C3223" s="5">
        <v>80675</v>
      </c>
      <c r="D3223" s="5" t="e">
        <f>E3223-(#REF!+#REF!+C3223)</f>
        <v>#REF!</v>
      </c>
      <c r="E3223" s="5">
        <v>192450</v>
      </c>
      <c r="K3223" s="22">
        <v>1980.5</v>
      </c>
      <c r="L3223" s="6">
        <v>2015</v>
      </c>
      <c r="M3223" s="125">
        <f t="shared" si="79"/>
        <v>34.5</v>
      </c>
      <c r="N3223" s="18"/>
      <c r="O3223" s="135"/>
      <c r="P3223" s="175">
        <v>15900</v>
      </c>
      <c r="Q3223" s="25">
        <f>175.8/1195.4</f>
        <v>0.14706374435335454</v>
      </c>
      <c r="U3223" s="384">
        <v>0.1</v>
      </c>
      <c r="W3223" s="285">
        <f t="shared" si="80"/>
        <v>2572.1448887401712</v>
      </c>
    </row>
    <row r="3224" spans="1:23" ht="15" customHeight="1">
      <c r="A3224" s="3">
        <v>40417</v>
      </c>
      <c r="B3224" s="9">
        <v>16950</v>
      </c>
      <c r="C3224" s="5">
        <v>80625</v>
      </c>
      <c r="D3224" s="5" t="e">
        <f>E3224-(#REF!+#REF!+C3224)</f>
        <v>#REF!</v>
      </c>
      <c r="E3224" s="5">
        <v>192150</v>
      </c>
      <c r="K3224" s="22">
        <v>2010</v>
      </c>
      <c r="L3224" s="6">
        <v>2038</v>
      </c>
      <c r="M3224" s="125">
        <f t="shared" si="79"/>
        <v>28</v>
      </c>
      <c r="N3224" s="18"/>
      <c r="O3224" s="135"/>
      <c r="P3224" s="175">
        <v>15950</v>
      </c>
      <c r="Q3224" s="25">
        <f>175.65/1194.4</f>
        <v>0.14706128600133958</v>
      </c>
      <c r="U3224" s="384">
        <v>0.1</v>
      </c>
      <c r="W3224" s="285">
        <f t="shared" si="80"/>
        <v>2580.1902628935031</v>
      </c>
    </row>
    <row r="3225" spans="1:23" ht="15" customHeight="1">
      <c r="A3225" s="3">
        <v>40420</v>
      </c>
      <c r="B3225" s="9">
        <v>0</v>
      </c>
      <c r="C3225" s="18"/>
      <c r="D3225" s="18"/>
      <c r="E3225" s="18"/>
      <c r="F3225" s="1374" t="s">
        <v>38</v>
      </c>
      <c r="G3225" s="1374"/>
      <c r="H3225" s="1374"/>
      <c r="I3225" s="1374"/>
      <c r="J3225" s="324"/>
      <c r="K3225" s="18"/>
      <c r="L3225" s="18"/>
      <c r="M3225" s="18"/>
      <c r="N3225" s="18"/>
      <c r="O3225" s="135"/>
      <c r="P3225" s="175">
        <v>16100</v>
      </c>
      <c r="Q3225" s="25">
        <f>175.82/1195.2</f>
        <v>0.14710508701472555</v>
      </c>
      <c r="U3225" s="384">
        <v>0.1</v>
      </c>
      <c r="W3225" s="285">
        <f t="shared" si="80"/>
        <v>2605.2310910307901</v>
      </c>
    </row>
    <row r="3226" spans="1:23" ht="15" customHeight="1" thickBot="1">
      <c r="A3226" s="11">
        <v>40421</v>
      </c>
      <c r="B3226" s="9">
        <v>16375</v>
      </c>
      <c r="C3226" s="13">
        <v>80450</v>
      </c>
      <c r="D3226" s="13" t="e">
        <f>E3226-(#REF!+#REF!+C3226)</f>
        <v>#REF!</v>
      </c>
      <c r="E3226" s="13">
        <v>191500</v>
      </c>
      <c r="F3226" s="12"/>
      <c r="G3226" s="13"/>
      <c r="H3226" s="13"/>
      <c r="I3226" s="119"/>
      <c r="J3226" s="119"/>
      <c r="K3226" s="23">
        <v>2010.5</v>
      </c>
      <c r="L3226" s="14">
        <v>2048</v>
      </c>
      <c r="M3226" s="126">
        <f t="shared" si="79"/>
        <v>37.5</v>
      </c>
      <c r="N3226" s="85">
        <f>AVERAGE(K3205:K3226)</f>
        <v>2075.2380952380954</v>
      </c>
      <c r="O3226" s="143">
        <f>AVERAGE(K3055:K3226)</f>
        <v>2049.9850299401196</v>
      </c>
      <c r="P3226" s="176">
        <v>16200</v>
      </c>
      <c r="Q3226" s="27">
        <f>174.79/1189.1</f>
        <v>0.14699352451433859</v>
      </c>
      <c r="R3226" s="27"/>
      <c r="S3226" s="27"/>
      <c r="T3226" s="27"/>
      <c r="U3226" s="385">
        <v>0.1</v>
      </c>
      <c r="V3226" s="38">
        <f>AVERAGE(P3205:P3226)</f>
        <v>16177.272727272728</v>
      </c>
      <c r="W3226" s="285">
        <f t="shared" si="80"/>
        <v>2619.4246068455141</v>
      </c>
    </row>
    <row r="3227" spans="1:23" ht="15" customHeight="1">
      <c r="A3227" s="29">
        <v>40422</v>
      </c>
      <c r="B3227" s="9">
        <v>15950</v>
      </c>
      <c r="C3227" s="31">
        <v>80325</v>
      </c>
      <c r="D3227" s="31" t="e">
        <f>E3227-(#REF!+#REF!+C3227)</f>
        <v>#REF!</v>
      </c>
      <c r="E3227" s="31">
        <v>191100</v>
      </c>
      <c r="F3227" s="30"/>
      <c r="G3227" s="31"/>
      <c r="H3227" s="31"/>
      <c r="I3227" s="123"/>
      <c r="J3227" s="123"/>
      <c r="K3227" s="32">
        <v>2089</v>
      </c>
      <c r="L3227" s="33">
        <v>2112</v>
      </c>
      <c r="M3227" s="125">
        <f>L3227-K3227</f>
        <v>23</v>
      </c>
      <c r="N3227" s="20"/>
      <c r="O3227" s="138"/>
      <c r="P3227" s="178">
        <v>16200</v>
      </c>
      <c r="Q3227" s="34">
        <f>175.8/1196.8</f>
        <v>0.14689171122994654</v>
      </c>
      <c r="R3227" s="34"/>
      <c r="S3227" s="34"/>
      <c r="T3227" s="34"/>
      <c r="U3227" s="386">
        <v>0.1</v>
      </c>
      <c r="V3227" s="37"/>
      <c r="W3227" s="285">
        <f t="shared" si="80"/>
        <v>2617.6102941176473</v>
      </c>
    </row>
    <row r="3228" spans="1:23" ht="15" customHeight="1">
      <c r="A3228" s="3">
        <v>40423</v>
      </c>
      <c r="B3228" s="9">
        <v>16250</v>
      </c>
      <c r="C3228" s="5">
        <v>80425</v>
      </c>
      <c r="D3228" s="5" t="e">
        <f>E3228-(#REF!+#REF!+C3228)</f>
        <v>#REF!</v>
      </c>
      <c r="E3228" s="5">
        <v>191800</v>
      </c>
      <c r="K3228" s="22">
        <v>2130</v>
      </c>
      <c r="L3228" s="6">
        <v>2157</v>
      </c>
      <c r="M3228" s="125">
        <f t="shared" ref="M3228:M3291" si="81">L3228-K3228</f>
        <v>27</v>
      </c>
      <c r="N3228" s="18"/>
      <c r="O3228" s="135"/>
      <c r="P3228" s="175">
        <v>16300</v>
      </c>
      <c r="Q3228" s="25">
        <f>174.81/1190.6</f>
        <v>0.14682513018646062</v>
      </c>
      <c r="U3228" s="384">
        <v>0.1</v>
      </c>
      <c r="W3228" s="285">
        <f t="shared" si="80"/>
        <v>2632.5745842432393</v>
      </c>
    </row>
    <row r="3229" spans="1:23" ht="15" customHeight="1">
      <c r="A3229" s="3">
        <v>40424</v>
      </c>
      <c r="B3229" s="9">
        <v>16250</v>
      </c>
      <c r="C3229" s="5">
        <v>80275</v>
      </c>
      <c r="D3229" s="5" t="e">
        <f>E3229-(#REF!+#REF!+C3229)</f>
        <v>#REF!</v>
      </c>
      <c r="E3229" s="5">
        <v>191400</v>
      </c>
      <c r="K3229" s="22">
        <v>2137</v>
      </c>
      <c r="L3229" s="6">
        <v>2162</v>
      </c>
      <c r="M3229" s="125">
        <f t="shared" si="81"/>
        <v>25</v>
      </c>
      <c r="N3229" s="18"/>
      <c r="O3229" s="135"/>
      <c r="P3229" s="175">
        <v>16300</v>
      </c>
      <c r="Q3229" s="25">
        <f>173.48/1181</f>
        <v>0.14689246401354783</v>
      </c>
      <c r="U3229" s="384">
        <v>0.1</v>
      </c>
      <c r="W3229" s="285">
        <f t="shared" si="80"/>
        <v>2633.7818797629125</v>
      </c>
    </row>
    <row r="3230" spans="1:23" ht="15" customHeight="1">
      <c r="A3230" s="3">
        <v>40427</v>
      </c>
      <c r="B3230" s="9">
        <v>16000</v>
      </c>
      <c r="C3230" s="5">
        <v>80325</v>
      </c>
      <c r="D3230" s="5" t="e">
        <f>E3230-(#REF!+#REF!+C3230)</f>
        <v>#REF!</v>
      </c>
      <c r="E3230" s="5">
        <v>191000</v>
      </c>
      <c r="K3230" s="22">
        <v>2160</v>
      </c>
      <c r="L3230" s="6">
        <v>2175.5</v>
      </c>
      <c r="M3230" s="125">
        <f t="shared" si="81"/>
        <v>15.5</v>
      </c>
      <c r="N3230" s="18"/>
      <c r="O3230" s="135"/>
      <c r="P3230" s="175">
        <v>16350</v>
      </c>
      <c r="Q3230" s="25">
        <f>173.17/1177.8</f>
        <v>0.14702835795551028</v>
      </c>
      <c r="U3230" s="384">
        <v>0.1</v>
      </c>
      <c r="W3230" s="285">
        <f t="shared" si="80"/>
        <v>2644.3050178298527</v>
      </c>
    </row>
    <row r="3231" spans="1:23" ht="15" customHeight="1">
      <c r="A3231" s="3">
        <v>40428</v>
      </c>
      <c r="B3231" s="9">
        <v>16000</v>
      </c>
      <c r="C3231" s="5">
        <v>80325</v>
      </c>
      <c r="D3231" s="5" t="e">
        <f>E3231-(#REF!+#REF!+C3231)</f>
        <v>#REF!</v>
      </c>
      <c r="E3231" s="5">
        <v>191025</v>
      </c>
      <c r="K3231" s="22">
        <v>2126</v>
      </c>
      <c r="L3231" s="6">
        <v>2150.5</v>
      </c>
      <c r="M3231" s="125">
        <f t="shared" si="81"/>
        <v>24.5</v>
      </c>
      <c r="N3231" s="18"/>
      <c r="O3231" s="135"/>
      <c r="P3231" s="175">
        <v>16400</v>
      </c>
      <c r="Q3231" s="25">
        <f>172.56/1171.2</f>
        <v>0.14733606557377049</v>
      </c>
      <c r="U3231" s="384">
        <v>0.1</v>
      </c>
      <c r="W3231" s="285">
        <f t="shared" si="80"/>
        <v>2657.9426229508199</v>
      </c>
    </row>
    <row r="3232" spans="1:23" ht="15" customHeight="1">
      <c r="A3232" s="3">
        <v>40429</v>
      </c>
      <c r="B3232" s="9">
        <v>16000</v>
      </c>
      <c r="C3232" s="5">
        <v>80275</v>
      </c>
      <c r="D3232" s="5" t="e">
        <f>E3232-(#REF!+#REF!+C3232)</f>
        <v>#REF!</v>
      </c>
      <c r="E3232" s="5">
        <v>190975</v>
      </c>
      <c r="K3232" s="22">
        <v>2151</v>
      </c>
      <c r="L3232" s="6">
        <v>2179</v>
      </c>
      <c r="M3232" s="125">
        <f t="shared" si="81"/>
        <v>28</v>
      </c>
      <c r="N3232" s="18"/>
      <c r="O3232" s="135"/>
      <c r="P3232" s="175">
        <v>16350</v>
      </c>
      <c r="Q3232" s="25">
        <f>173.22/1176.4</f>
        <v>0.14724583475008499</v>
      </c>
      <c r="U3232" s="384">
        <v>0.1</v>
      </c>
      <c r="W3232" s="285">
        <f t="shared" si="80"/>
        <v>2648.2163379802782</v>
      </c>
    </row>
    <row r="3233" spans="1:23" ht="15" customHeight="1">
      <c r="A3233" s="3">
        <v>40430</v>
      </c>
      <c r="B3233" s="9">
        <v>16000</v>
      </c>
      <c r="C3233" s="5">
        <v>80150</v>
      </c>
      <c r="D3233" s="5" t="e">
        <f>E3233-(#REF!+#REF!+C3233)</f>
        <v>#REF!</v>
      </c>
      <c r="E3233" s="5">
        <v>191000</v>
      </c>
      <c r="K3233" s="22">
        <v>2162</v>
      </c>
      <c r="L3233" s="6">
        <v>2191</v>
      </c>
      <c r="M3233" s="125">
        <f t="shared" si="81"/>
        <v>29</v>
      </c>
      <c r="N3233" s="18"/>
      <c r="O3233" s="135"/>
      <c r="P3233" s="175">
        <v>16400</v>
      </c>
      <c r="Q3233" s="25">
        <f>173.12/1176.2</f>
        <v>0.14718585274613161</v>
      </c>
      <c r="U3233" s="384">
        <v>0.1</v>
      </c>
      <c r="W3233" s="285">
        <f t="shared" si="80"/>
        <v>2655.2327835402143</v>
      </c>
    </row>
    <row r="3234" spans="1:23" ht="15" customHeight="1">
      <c r="A3234" s="3">
        <v>40431</v>
      </c>
      <c r="B3234" s="9">
        <v>16000</v>
      </c>
      <c r="C3234" s="5">
        <v>80150</v>
      </c>
      <c r="D3234" s="5" t="e">
        <f>E3234-(#REF!+#REF!+C3234)</f>
        <v>#REF!</v>
      </c>
      <c r="E3234" s="5">
        <v>191000</v>
      </c>
      <c r="K3234" s="22">
        <v>2170</v>
      </c>
      <c r="L3234" s="6">
        <v>2200</v>
      </c>
      <c r="M3234" s="125">
        <f t="shared" si="81"/>
        <v>30</v>
      </c>
      <c r="N3234" s="18"/>
      <c r="O3234" s="135"/>
      <c r="P3234" s="175">
        <v>16300</v>
      </c>
      <c r="Q3234" s="25">
        <f>172.36/1169.1</f>
        <v>0.14742964673680611</v>
      </c>
      <c r="U3234" s="384">
        <v>0.1</v>
      </c>
      <c r="W3234" s="285">
        <f t="shared" si="80"/>
        <v>2643.4135659909339</v>
      </c>
    </row>
    <row r="3235" spans="1:23" ht="15" customHeight="1">
      <c r="A3235" s="3">
        <v>40434</v>
      </c>
      <c r="B3235" s="9">
        <v>16000</v>
      </c>
      <c r="C3235" s="5">
        <v>79800</v>
      </c>
      <c r="D3235" s="5" t="e">
        <f>E3235-(#REF!+#REF!+C3235)</f>
        <v>#REF!</v>
      </c>
      <c r="E3235" s="5">
        <v>190625</v>
      </c>
      <c r="K3235" s="22">
        <v>2186</v>
      </c>
      <c r="L3235" s="6">
        <v>2227</v>
      </c>
      <c r="M3235" s="125">
        <f t="shared" si="81"/>
        <v>41</v>
      </c>
      <c r="N3235" s="18"/>
      <c r="O3235" s="135"/>
      <c r="P3235" s="175">
        <v>16300</v>
      </c>
      <c r="Q3235" s="25">
        <f>172.3/1166.4</f>
        <v>0.14771947873799726</v>
      </c>
      <c r="U3235" s="384">
        <v>0.1</v>
      </c>
      <c r="W3235" s="285">
        <f t="shared" si="80"/>
        <v>2648.6102537722909</v>
      </c>
    </row>
    <row r="3236" spans="1:23" ht="15" customHeight="1">
      <c r="A3236" s="3">
        <v>40435</v>
      </c>
      <c r="B3236" s="9">
        <v>16000</v>
      </c>
      <c r="C3236" s="5">
        <v>79325</v>
      </c>
      <c r="D3236" s="5" t="e">
        <f>E3236-(#REF!+#REF!+C3236)</f>
        <v>#REF!</v>
      </c>
      <c r="E3236" s="5">
        <v>190150</v>
      </c>
      <c r="K3236" s="22">
        <v>2189</v>
      </c>
      <c r="L3236" s="6">
        <v>2218</v>
      </c>
      <c r="M3236" s="125">
        <f t="shared" si="81"/>
        <v>29</v>
      </c>
      <c r="N3236" s="18"/>
      <c r="O3236" s="135"/>
      <c r="P3236" s="175">
        <v>16500</v>
      </c>
      <c r="Q3236" s="25">
        <f>171.8/1161.4</f>
        <v>0.1479249182021698</v>
      </c>
      <c r="U3236" s="384">
        <v>0.1</v>
      </c>
      <c r="W3236" s="285">
        <f t="shared" si="80"/>
        <v>2684.8372653693818</v>
      </c>
    </row>
    <row r="3237" spans="1:23" ht="15" customHeight="1">
      <c r="A3237" s="3">
        <v>40436</v>
      </c>
      <c r="B3237" s="9">
        <v>16000</v>
      </c>
      <c r="C3237" s="5">
        <v>78900</v>
      </c>
      <c r="D3237" s="5" t="e">
        <f>E3237-(#REF!+#REF!+C3237)</f>
        <v>#REF!</v>
      </c>
      <c r="E3237" s="5">
        <v>189825</v>
      </c>
      <c r="K3237" s="22">
        <v>2196.5</v>
      </c>
      <c r="L3237" s="6">
        <v>2228</v>
      </c>
      <c r="M3237" s="125">
        <f t="shared" si="81"/>
        <v>31.5</v>
      </c>
      <c r="N3237" s="18"/>
      <c r="O3237" s="135"/>
      <c r="P3237" s="175">
        <v>16500</v>
      </c>
      <c r="Q3237" s="25">
        <f>172.21/1161.4</f>
        <v>0.14827794041673842</v>
      </c>
      <c r="U3237" s="384">
        <v>0.1</v>
      </c>
      <c r="W3237" s="285">
        <f t="shared" si="80"/>
        <v>2691.2446185638023</v>
      </c>
    </row>
    <row r="3238" spans="1:23" ht="15" customHeight="1">
      <c r="A3238" s="3">
        <v>40437</v>
      </c>
      <c r="B3238" s="9">
        <v>16000</v>
      </c>
      <c r="C3238" s="5">
        <v>78625</v>
      </c>
      <c r="D3238" s="5" t="e">
        <f>E3238-(#REF!+#REF!+C3238)</f>
        <v>#REF!</v>
      </c>
      <c r="E3238" s="5">
        <v>192025</v>
      </c>
      <c r="K3238" s="22">
        <v>2191.5</v>
      </c>
      <c r="L3238" s="6">
        <v>2223</v>
      </c>
      <c r="M3238" s="125">
        <f t="shared" si="81"/>
        <v>31.5</v>
      </c>
      <c r="N3238" s="18"/>
      <c r="O3238" s="135"/>
      <c r="P3238" s="175">
        <v>16450</v>
      </c>
      <c r="Q3238" s="25">
        <f>172.25/1160.8</f>
        <v>0.14838904203997244</v>
      </c>
      <c r="U3238" s="384">
        <v>0.1</v>
      </c>
      <c r="W3238" s="285">
        <f t="shared" si="80"/>
        <v>2685.0997157133015</v>
      </c>
    </row>
    <row r="3239" spans="1:23" ht="15" customHeight="1">
      <c r="A3239" s="3">
        <v>40438</v>
      </c>
      <c r="B3239" s="9">
        <v>17575</v>
      </c>
      <c r="C3239" s="5">
        <v>78500</v>
      </c>
      <c r="D3239" s="5" t="e">
        <f>E3239-(#REF!+#REF!+C3239)</f>
        <v>#REF!</v>
      </c>
      <c r="E3239" s="5">
        <v>191750</v>
      </c>
      <c r="K3239" s="22">
        <v>2208.5</v>
      </c>
      <c r="L3239" s="6">
        <v>2238</v>
      </c>
      <c r="M3239" s="125">
        <f t="shared" si="81"/>
        <v>29.5</v>
      </c>
      <c r="N3239" s="18"/>
      <c r="O3239" s="135"/>
      <c r="P3239" s="175">
        <v>16400</v>
      </c>
      <c r="Q3239" s="25">
        <f>172.97/1163.2</f>
        <v>0.14870185694635488</v>
      </c>
      <c r="U3239" s="384">
        <v>0.1</v>
      </c>
      <c r="W3239" s="285">
        <f t="shared" si="80"/>
        <v>2682.5814993122422</v>
      </c>
    </row>
    <row r="3240" spans="1:23" ht="15" customHeight="1">
      <c r="A3240" s="3">
        <v>40441</v>
      </c>
      <c r="B3240" s="9">
        <v>17550</v>
      </c>
      <c r="C3240" s="5">
        <v>78450</v>
      </c>
      <c r="D3240" s="5" t="e">
        <f>E3240-(#REF!+#REF!+C3240)</f>
        <v>#REF!</v>
      </c>
      <c r="E3240" s="5">
        <v>191850</v>
      </c>
      <c r="K3240" s="22">
        <v>2188</v>
      </c>
      <c r="L3240" s="6">
        <v>2213</v>
      </c>
      <c r="M3240" s="125">
        <f t="shared" si="81"/>
        <v>25</v>
      </c>
      <c r="N3240" s="18"/>
      <c r="O3240" s="135"/>
      <c r="P3240" s="175">
        <v>16400</v>
      </c>
      <c r="Q3240" s="25">
        <f>172.99/1163.1</f>
        <v>0.14873183733126991</v>
      </c>
      <c r="U3240" s="384">
        <v>0.1</v>
      </c>
      <c r="W3240" s="285">
        <f t="shared" si="80"/>
        <v>2683.1223454561091</v>
      </c>
    </row>
    <row r="3241" spans="1:23" ht="15" customHeight="1">
      <c r="A3241" s="3">
        <v>40442</v>
      </c>
      <c r="B3241" s="9">
        <v>17550</v>
      </c>
      <c r="C3241" s="5">
        <v>78450</v>
      </c>
      <c r="D3241" s="5" t="e">
        <f>E3241-(#REF!+#REF!+C3241)</f>
        <v>#REF!</v>
      </c>
      <c r="E3241" s="5">
        <v>191900</v>
      </c>
      <c r="K3241" s="22">
        <v>2126</v>
      </c>
      <c r="L3241" s="6">
        <v>2156</v>
      </c>
      <c r="M3241" s="125">
        <f t="shared" si="81"/>
        <v>30</v>
      </c>
      <c r="N3241" s="18"/>
      <c r="O3241" s="135"/>
      <c r="P3241" s="207"/>
      <c r="Q3241" s="1342" t="s">
        <v>37</v>
      </c>
      <c r="R3241" s="1342"/>
      <c r="S3241" s="1342"/>
      <c r="T3241" s="1342"/>
      <c r="U3241" s="1342"/>
      <c r="W3241" s="285" t="e">
        <f t="shared" si="80"/>
        <v>#VALUE!</v>
      </c>
    </row>
    <row r="3242" spans="1:23" ht="15" customHeight="1">
      <c r="A3242" s="3">
        <v>40443</v>
      </c>
      <c r="B3242" s="9">
        <v>17400</v>
      </c>
      <c r="C3242" s="5">
        <v>77925</v>
      </c>
      <c r="D3242" s="5" t="e">
        <f>E3242-(#REF!+#REF!+C3242)</f>
        <v>#REF!</v>
      </c>
      <c r="E3242" s="5">
        <v>191075</v>
      </c>
      <c r="K3242" s="22">
        <v>2160.5</v>
      </c>
      <c r="L3242" s="6">
        <v>2188</v>
      </c>
      <c r="M3242" s="125">
        <f t="shared" si="81"/>
        <v>27.5</v>
      </c>
      <c r="N3242" s="18"/>
      <c r="O3242" s="135"/>
      <c r="P3242" s="207"/>
      <c r="Q3242" s="1342"/>
      <c r="R3242" s="1342"/>
      <c r="S3242" s="1342"/>
      <c r="T3242" s="1342"/>
      <c r="U3242" s="1342"/>
      <c r="W3242" s="285">
        <f t="shared" si="80"/>
        <v>0</v>
      </c>
    </row>
    <row r="3243" spans="1:23" ht="15" customHeight="1">
      <c r="A3243" s="3">
        <v>40444</v>
      </c>
      <c r="B3243" s="9">
        <v>17400</v>
      </c>
      <c r="C3243" s="5">
        <v>77925</v>
      </c>
      <c r="D3243" s="5" t="e">
        <f>E3243-(#REF!+#REF!+C3243)</f>
        <v>#REF!</v>
      </c>
      <c r="E3243" s="5">
        <v>191075</v>
      </c>
      <c r="K3243" s="22">
        <v>2217.5</v>
      </c>
      <c r="L3243" s="6">
        <v>2245.5</v>
      </c>
      <c r="M3243" s="125">
        <f t="shared" si="81"/>
        <v>28</v>
      </c>
      <c r="N3243" s="18"/>
      <c r="O3243" s="135"/>
      <c r="P3243" s="207"/>
      <c r="Q3243" s="1342"/>
      <c r="R3243" s="1342"/>
      <c r="S3243" s="1342"/>
      <c r="T3243" s="1342"/>
      <c r="U3243" s="1342"/>
      <c r="W3243" s="285">
        <f t="shared" si="80"/>
        <v>0</v>
      </c>
    </row>
    <row r="3244" spans="1:23" ht="15" customHeight="1">
      <c r="A3244" s="3">
        <v>40445</v>
      </c>
      <c r="B3244" s="9">
        <v>17400</v>
      </c>
      <c r="C3244" s="5">
        <v>77800</v>
      </c>
      <c r="D3244" s="5" t="e">
        <f>E3244-(#REF!+#REF!+C3244)</f>
        <v>#REF!</v>
      </c>
      <c r="E3244" s="5">
        <v>190875</v>
      </c>
      <c r="K3244" s="22">
        <v>2256</v>
      </c>
      <c r="L3244" s="6">
        <v>2287.5</v>
      </c>
      <c r="M3244" s="125">
        <f t="shared" si="81"/>
        <v>31.5</v>
      </c>
      <c r="N3244" s="18"/>
      <c r="O3244" s="135"/>
      <c r="P3244" s="207"/>
      <c r="Q3244" s="1342"/>
      <c r="R3244" s="1342"/>
      <c r="S3244" s="1342"/>
      <c r="T3244" s="1342"/>
      <c r="U3244" s="1342"/>
      <c r="W3244" s="285">
        <f t="shared" si="80"/>
        <v>0</v>
      </c>
    </row>
    <row r="3245" spans="1:23" ht="15" customHeight="1">
      <c r="A3245" s="3">
        <v>40448</v>
      </c>
      <c r="B3245" s="9">
        <v>17400</v>
      </c>
      <c r="C3245" s="5">
        <v>77750</v>
      </c>
      <c r="D3245" s="5" t="e">
        <f>E3245-(#REF!+#REF!+C3245)</f>
        <v>#REF!</v>
      </c>
      <c r="E3245" s="5">
        <v>190825</v>
      </c>
      <c r="K3245" s="22">
        <v>2251</v>
      </c>
      <c r="L3245" s="6">
        <v>2281</v>
      </c>
      <c r="M3245" s="125">
        <f t="shared" si="81"/>
        <v>30</v>
      </c>
      <c r="N3245" s="18"/>
      <c r="O3245" s="135"/>
      <c r="P3245" s="175">
        <v>16600</v>
      </c>
      <c r="Q3245" s="25">
        <f>172.49/1156.4</f>
        <v>0.14916118989968868</v>
      </c>
      <c r="U3245" s="384">
        <v>0.1</v>
      </c>
      <c r="W3245" s="285">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25">
        <f t="shared" si="81"/>
        <v>25</v>
      </c>
      <c r="N3246" s="18"/>
      <c r="O3246" s="135"/>
      <c r="P3246" s="175">
        <v>16600</v>
      </c>
      <c r="Q3246" s="25">
        <f>171.67/1148.8</f>
        <v>0.14943419220055709</v>
      </c>
      <c r="U3246" s="384">
        <v>0.1</v>
      </c>
      <c r="W3246" s="285">
        <f t="shared" si="82"/>
        <v>2728.6683495821726</v>
      </c>
    </row>
    <row r="3247" spans="1:23" ht="15" customHeight="1">
      <c r="A3247" s="3">
        <v>40450</v>
      </c>
      <c r="B3247" s="9">
        <v>17850</v>
      </c>
      <c r="C3247" s="5">
        <v>77375</v>
      </c>
      <c r="D3247" s="5" t="e">
        <f>E3247-(#REF!+#REF!+C3247)</f>
        <v>#REF!</v>
      </c>
      <c r="E3247" s="5">
        <v>191925</v>
      </c>
      <c r="K3247" s="22">
        <v>2272.5</v>
      </c>
      <c r="L3247" s="6">
        <v>2297</v>
      </c>
      <c r="M3247" s="125">
        <f t="shared" si="81"/>
        <v>24.5</v>
      </c>
      <c r="N3247" s="18"/>
      <c r="O3247" s="135"/>
      <c r="P3247" s="175">
        <v>16650</v>
      </c>
      <c r="Q3247" s="25">
        <f>171.6/1148.5</f>
        <v>0.14941227688289072</v>
      </c>
      <c r="U3247" s="384">
        <v>0.1</v>
      </c>
      <c r="W3247" s="285">
        <f t="shared" si="82"/>
        <v>2736.4858511101438</v>
      </c>
    </row>
    <row r="3248" spans="1:23" ht="15" customHeight="1" thickBot="1">
      <c r="A3248" s="11">
        <v>40451</v>
      </c>
      <c r="B3248" s="9">
        <v>17850</v>
      </c>
      <c r="C3248" s="13">
        <v>77225</v>
      </c>
      <c r="D3248" s="13" t="e">
        <f>E3248-(#REF!+#REF!+C3248)</f>
        <v>#REF!</v>
      </c>
      <c r="E3248" s="13">
        <v>191700</v>
      </c>
      <c r="F3248" s="12"/>
      <c r="G3248" s="13"/>
      <c r="H3248" s="13"/>
      <c r="I3248" s="119"/>
      <c r="J3248" s="119"/>
      <c r="K3248" s="23">
        <v>2262</v>
      </c>
      <c r="L3248" s="14">
        <v>2290</v>
      </c>
      <c r="M3248" s="126">
        <f t="shared" si="81"/>
        <v>28</v>
      </c>
      <c r="N3248" s="86">
        <f>AVERAGE(K3227:K3248)</f>
        <v>2184.2272727272725</v>
      </c>
      <c r="O3248" s="143">
        <f>AVERAGE(K3055:K3248)</f>
        <v>2065.6111111111113</v>
      </c>
      <c r="P3248" s="176">
        <v>16650</v>
      </c>
      <c r="Q3248" s="27">
        <f>170.82/1142</f>
        <v>0.14957968476357267</v>
      </c>
      <c r="R3248" s="27"/>
      <c r="S3248" s="27"/>
      <c r="T3248" s="27"/>
      <c r="U3248" s="385">
        <v>0.1</v>
      </c>
      <c r="V3248" s="38">
        <f>AVERAGE(P3227:P3248)</f>
        <v>16425</v>
      </c>
      <c r="W3248" s="285">
        <f t="shared" si="82"/>
        <v>2739.5519264448335</v>
      </c>
    </row>
    <row r="3249" spans="1:23" ht="15" customHeight="1">
      <c r="A3249" s="29">
        <v>40452</v>
      </c>
      <c r="B3249" s="9">
        <v>17850</v>
      </c>
      <c r="C3249" s="31">
        <v>79575</v>
      </c>
      <c r="D3249" s="31" t="e">
        <f>E3249-(#REF!+#REF!+C3249)</f>
        <v>#REF!</v>
      </c>
      <c r="E3249" s="31">
        <v>194375</v>
      </c>
      <c r="F3249" s="30"/>
      <c r="G3249" s="31"/>
      <c r="H3249" s="31"/>
      <c r="I3249" s="123"/>
      <c r="J3249" s="123"/>
      <c r="K3249" s="32">
        <v>2276.5</v>
      </c>
      <c r="L3249" s="33">
        <v>2302</v>
      </c>
      <c r="M3249" s="125">
        <f t="shared" si="81"/>
        <v>25.5</v>
      </c>
      <c r="N3249" s="20"/>
      <c r="O3249" s="138"/>
      <c r="P3249" s="208"/>
      <c r="Q3249" s="1407" t="s">
        <v>37</v>
      </c>
      <c r="R3249" s="1407"/>
      <c r="S3249" s="1407"/>
      <c r="T3249" s="1407"/>
      <c r="U3249" s="1407"/>
      <c r="V3249" s="37"/>
      <c r="W3249" s="285" t="e">
        <f t="shared" si="82"/>
        <v>#VALUE!</v>
      </c>
    </row>
    <row r="3250" spans="1:23" ht="15" customHeight="1">
      <c r="A3250" s="3">
        <v>40455</v>
      </c>
      <c r="B3250" s="9">
        <v>18350</v>
      </c>
      <c r="C3250" s="5">
        <v>82485</v>
      </c>
      <c r="D3250" s="5" t="e">
        <f>E3250-(#REF!+#REF!+C3250)</f>
        <v>#REF!</v>
      </c>
      <c r="E3250" s="5">
        <v>197850</v>
      </c>
      <c r="K3250" s="22">
        <v>2265.5</v>
      </c>
      <c r="L3250" s="6">
        <v>2291</v>
      </c>
      <c r="M3250" s="125">
        <f t="shared" si="81"/>
        <v>25.5</v>
      </c>
      <c r="N3250" s="18"/>
      <c r="O3250" s="135"/>
      <c r="P3250" s="207"/>
      <c r="Q3250" s="1342"/>
      <c r="R3250" s="1342"/>
      <c r="S3250" s="1342"/>
      <c r="T3250" s="1342"/>
      <c r="U3250" s="1342"/>
      <c r="W3250" s="285">
        <f t="shared" si="82"/>
        <v>0</v>
      </c>
    </row>
    <row r="3251" spans="1:23" ht="15" customHeight="1">
      <c r="A3251" s="3">
        <v>40456</v>
      </c>
      <c r="B3251" s="9">
        <v>18350</v>
      </c>
      <c r="C3251" s="5">
        <v>82500</v>
      </c>
      <c r="D3251" s="5" t="e">
        <f>E3251-(#REF!+#REF!+C3251)</f>
        <v>#REF!</v>
      </c>
      <c r="E3251" s="5">
        <v>197775</v>
      </c>
      <c r="K3251" s="22">
        <v>2275</v>
      </c>
      <c r="L3251" s="6">
        <v>2303.5</v>
      </c>
      <c r="M3251" s="125">
        <f t="shared" si="81"/>
        <v>28.5</v>
      </c>
      <c r="N3251" s="18"/>
      <c r="O3251" s="135"/>
      <c r="P3251" s="207"/>
      <c r="Q3251" s="1342"/>
      <c r="R3251" s="1342"/>
      <c r="S3251" s="1342"/>
      <c r="T3251" s="1342"/>
      <c r="U3251" s="1342"/>
      <c r="W3251" s="285">
        <f t="shared" si="82"/>
        <v>0</v>
      </c>
    </row>
    <row r="3252" spans="1:23" ht="15" customHeight="1">
      <c r="A3252" s="3">
        <v>40457</v>
      </c>
      <c r="B3252" s="9">
        <v>18350</v>
      </c>
      <c r="C3252" s="5">
        <v>82675</v>
      </c>
      <c r="D3252" s="5" t="e">
        <f>E3252-(#REF!+#REF!+C3252)</f>
        <v>#REF!</v>
      </c>
      <c r="E3252" s="5">
        <v>199450</v>
      </c>
      <c r="K3252" s="22">
        <v>2293.5</v>
      </c>
      <c r="L3252" s="6">
        <v>2321.5</v>
      </c>
      <c r="M3252" s="125">
        <f t="shared" si="81"/>
        <v>28</v>
      </c>
      <c r="N3252" s="18"/>
      <c r="O3252" s="135"/>
      <c r="P3252" s="207"/>
      <c r="Q3252" s="1342"/>
      <c r="R3252" s="1342"/>
      <c r="S3252" s="1342"/>
      <c r="T3252" s="1342"/>
      <c r="U3252" s="1342"/>
      <c r="W3252" s="285">
        <f t="shared" si="82"/>
        <v>0</v>
      </c>
    </row>
    <row r="3253" spans="1:23" ht="15" customHeight="1">
      <c r="A3253" s="3">
        <v>40458</v>
      </c>
      <c r="B3253" s="9">
        <v>18350</v>
      </c>
      <c r="C3253" s="5">
        <v>82525</v>
      </c>
      <c r="D3253" s="5" t="e">
        <f>E3253-(#REF!+#REF!+C3253)</f>
        <v>#REF!</v>
      </c>
      <c r="E3253" s="5">
        <v>199300</v>
      </c>
      <c r="K3253" s="22">
        <v>2281</v>
      </c>
      <c r="L3253" s="6">
        <v>2307</v>
      </c>
      <c r="M3253" s="125">
        <f t="shared" si="81"/>
        <v>26</v>
      </c>
      <c r="N3253" s="18"/>
      <c r="O3253" s="135"/>
      <c r="P3253" s="207"/>
      <c r="Q3253" s="1342"/>
      <c r="R3253" s="1342"/>
      <c r="S3253" s="1342"/>
      <c r="T3253" s="1342"/>
      <c r="U3253" s="1342"/>
      <c r="W3253" s="285">
        <f t="shared" si="82"/>
        <v>0</v>
      </c>
    </row>
    <row r="3254" spans="1:23" ht="15" customHeight="1">
      <c r="A3254" s="3">
        <v>40459</v>
      </c>
      <c r="B3254" s="9">
        <v>17750</v>
      </c>
      <c r="C3254" s="5">
        <v>82275</v>
      </c>
      <c r="D3254" s="5" t="e">
        <f>E3254-(#REF!+#REF!+C3254)</f>
        <v>#REF!</v>
      </c>
      <c r="E3254" s="5">
        <v>198400</v>
      </c>
      <c r="K3254" s="22">
        <v>2199</v>
      </c>
      <c r="L3254" s="6">
        <v>2225</v>
      </c>
      <c r="M3254" s="125">
        <f t="shared" si="81"/>
        <v>26</v>
      </c>
      <c r="N3254" s="18"/>
      <c r="O3254" s="135"/>
      <c r="P3254" s="175">
        <v>16650</v>
      </c>
      <c r="Q3254" s="25">
        <f>166.98/1117.4</f>
        <v>0.14943619115804543</v>
      </c>
      <c r="U3254" s="384">
        <v>0.1</v>
      </c>
      <c r="W3254" s="285">
        <f t="shared" si="82"/>
        <v>2736.9238410596026</v>
      </c>
    </row>
    <row r="3255" spans="1:23" ht="15" customHeight="1">
      <c r="A3255" s="3">
        <v>40462</v>
      </c>
      <c r="B3255" s="9">
        <v>17750</v>
      </c>
      <c r="C3255" s="5">
        <v>82100</v>
      </c>
      <c r="D3255" s="5" t="e">
        <f>E3255-(#REF!+#REF!+C3255)</f>
        <v>#REF!</v>
      </c>
      <c r="E3255" s="5">
        <v>198450</v>
      </c>
      <c r="K3255" s="22">
        <v>2270.5</v>
      </c>
      <c r="L3255" s="6">
        <v>2302</v>
      </c>
      <c r="M3255" s="125">
        <f t="shared" si="81"/>
        <v>31.5</v>
      </c>
      <c r="N3255" s="18"/>
      <c r="O3255" s="135"/>
      <c r="P3255" s="175">
        <v>16750</v>
      </c>
      <c r="Q3255" s="25">
        <f>167.82/1119.7</f>
        <v>0.1498794319907118</v>
      </c>
      <c r="U3255" s="384">
        <v>0.1</v>
      </c>
      <c r="W3255" s="285">
        <f t="shared" si="82"/>
        <v>2761.528534428865</v>
      </c>
    </row>
    <row r="3256" spans="1:23" ht="15" customHeight="1">
      <c r="A3256" s="3">
        <v>40463</v>
      </c>
      <c r="B3256" s="9">
        <v>17600</v>
      </c>
      <c r="C3256" s="5">
        <v>82125</v>
      </c>
      <c r="D3256" s="5" t="e">
        <f>E3256-(#REF!+#REF!+C3256)</f>
        <v>#REF!</v>
      </c>
      <c r="E3256" s="5">
        <v>198425</v>
      </c>
      <c r="K3256" s="22">
        <v>2275</v>
      </c>
      <c r="L3256" s="6">
        <v>2315</v>
      </c>
      <c r="M3256" s="125">
        <f t="shared" si="81"/>
        <v>40</v>
      </c>
      <c r="N3256" s="18"/>
      <c r="O3256" s="135"/>
      <c r="P3256" s="175">
        <v>16850</v>
      </c>
      <c r="Q3256" s="25">
        <f>167.25/1115.4</f>
        <v>0.14994620763851532</v>
      </c>
      <c r="U3256" s="384">
        <v>0.1</v>
      </c>
      <c r="W3256" s="285">
        <f t="shared" si="82"/>
        <v>2779.252958579882</v>
      </c>
    </row>
    <row r="3257" spans="1:23" ht="15" customHeight="1">
      <c r="A3257" s="3">
        <v>40464</v>
      </c>
      <c r="B3257" s="9">
        <v>17600</v>
      </c>
      <c r="C3257" s="5">
        <v>82125</v>
      </c>
      <c r="D3257" s="5" t="e">
        <f>E3257-(#REF!+#REF!+C3257)</f>
        <v>#REF!</v>
      </c>
      <c r="E3257" s="5">
        <v>198425</v>
      </c>
      <c r="K3257" s="22">
        <v>2408</v>
      </c>
      <c r="L3257" s="6">
        <v>2433.5</v>
      </c>
      <c r="M3257" s="125">
        <f t="shared" si="81"/>
        <v>25.5</v>
      </c>
      <c r="N3257" s="18"/>
      <c r="O3257" s="135"/>
      <c r="P3257" s="175">
        <v>16850</v>
      </c>
      <c r="Q3257" s="25">
        <f>168.87/1127</f>
        <v>0.14984028393966284</v>
      </c>
      <c r="U3257" s="384">
        <v>0.1</v>
      </c>
      <c r="W3257" s="285">
        <f t="shared" si="82"/>
        <v>2777.2896628216508</v>
      </c>
    </row>
    <row r="3258" spans="1:23" ht="15" customHeight="1">
      <c r="A3258" s="3">
        <v>40465</v>
      </c>
      <c r="B3258" s="9">
        <v>17600</v>
      </c>
      <c r="C3258" s="5">
        <v>81975</v>
      </c>
      <c r="D3258" s="5" t="e">
        <f>E3258-(#REF!+#REF!+C3258)</f>
        <v>#REF!</v>
      </c>
      <c r="E3258" s="5">
        <v>197875</v>
      </c>
      <c r="K3258" s="22">
        <v>2402</v>
      </c>
      <c r="L3258" s="6">
        <v>2432.5</v>
      </c>
      <c r="M3258" s="125">
        <f t="shared" si="81"/>
        <v>30.5</v>
      </c>
      <c r="N3258" s="18"/>
      <c r="O3258" s="135"/>
      <c r="P3258" s="175">
        <v>17000</v>
      </c>
      <c r="Q3258" s="25">
        <f>167.99/1119.5</f>
        <v>0.15005806163465835</v>
      </c>
      <c r="U3258" s="384">
        <v>0.1</v>
      </c>
      <c r="W3258" s="285">
        <f t="shared" si="82"/>
        <v>2806.0857525681113</v>
      </c>
    </row>
    <row r="3259" spans="1:23" ht="15" customHeight="1">
      <c r="A3259" s="3">
        <v>40466</v>
      </c>
      <c r="B3259" s="9">
        <v>17600</v>
      </c>
      <c r="C3259" s="5">
        <v>81800</v>
      </c>
      <c r="D3259" s="5" t="e">
        <f>E3259-(#REF!+#REF!+C3259)</f>
        <v>#REF!</v>
      </c>
      <c r="E3259" s="5">
        <v>197700</v>
      </c>
      <c r="K3259" s="22">
        <v>2377</v>
      </c>
      <c r="L3259" s="6">
        <v>2404</v>
      </c>
      <c r="M3259" s="125">
        <f t="shared" si="81"/>
        <v>27</v>
      </c>
      <c r="N3259" s="18"/>
      <c r="O3259" s="135"/>
      <c r="P3259" s="175">
        <v>17050</v>
      </c>
      <c r="Q3259" s="25">
        <f>167.31/1112.8</f>
        <v>0.15035046728971962</v>
      </c>
      <c r="U3259" s="384">
        <v>0.1</v>
      </c>
      <c r="W3259" s="285">
        <f t="shared" si="82"/>
        <v>2819.823014018692</v>
      </c>
    </row>
    <row r="3260" spans="1:23" ht="15" customHeight="1">
      <c r="A3260" s="3">
        <v>40469</v>
      </c>
      <c r="B3260" s="9">
        <v>17600</v>
      </c>
      <c r="C3260" s="5">
        <v>81575</v>
      </c>
      <c r="D3260" s="5" t="e">
        <f>E3260-(#REF!+#REF!+C3260)</f>
        <v>#REF!</v>
      </c>
      <c r="E3260" s="5">
        <v>197625</v>
      </c>
      <c r="K3260" s="22">
        <v>2373</v>
      </c>
      <c r="L3260" s="6">
        <v>2401</v>
      </c>
      <c r="M3260" s="125">
        <f t="shared" si="81"/>
        <v>28</v>
      </c>
      <c r="N3260" s="18"/>
      <c r="O3260" s="135"/>
      <c r="P3260" s="175">
        <v>17050</v>
      </c>
      <c r="Q3260" s="25">
        <f>167.85/1114.7</f>
        <v>0.15057863102179958</v>
      </c>
      <c r="U3260" s="384">
        <v>0.1</v>
      </c>
      <c r="W3260" s="285">
        <f t="shared" si="82"/>
        <v>2824.1022248138515</v>
      </c>
    </row>
    <row r="3261" spans="1:23" ht="15" customHeight="1">
      <c r="A3261" s="3">
        <v>40470</v>
      </c>
      <c r="B3261" s="9">
        <v>17600</v>
      </c>
      <c r="C3261" s="5">
        <v>81375</v>
      </c>
      <c r="D3261" s="5" t="e">
        <f>E3261-(#REF!+#REF!+C3261)</f>
        <v>#REF!</v>
      </c>
      <c r="E3261" s="5">
        <v>198300</v>
      </c>
      <c r="K3261" s="22">
        <v>2377</v>
      </c>
      <c r="L3261" s="6">
        <v>2405.5</v>
      </c>
      <c r="M3261" s="125">
        <f t="shared" si="81"/>
        <v>28.5</v>
      </c>
      <c r="N3261" s="18"/>
      <c r="O3261" s="135"/>
      <c r="P3261" s="175">
        <v>17100</v>
      </c>
      <c r="Q3261" s="25">
        <f>168.15/1117.2</f>
        <v>0.15051020408163265</v>
      </c>
      <c r="U3261" s="384">
        <v>0.1</v>
      </c>
      <c r="W3261" s="285">
        <f t="shared" si="82"/>
        <v>2831.0969387755108</v>
      </c>
    </row>
    <row r="3262" spans="1:23" ht="15" customHeight="1">
      <c r="A3262" s="3">
        <v>40471</v>
      </c>
      <c r="B3262" s="9">
        <v>17675</v>
      </c>
      <c r="C3262" s="5">
        <v>81225</v>
      </c>
      <c r="D3262" s="5" t="e">
        <f>E3262-(#REF!+#REF!+C3262)</f>
        <v>#REF!</v>
      </c>
      <c r="E3262" s="5">
        <v>198225</v>
      </c>
      <c r="K3262" s="22">
        <v>2381</v>
      </c>
      <c r="L3262" s="6">
        <v>2408</v>
      </c>
      <c r="M3262" s="125">
        <f t="shared" si="81"/>
        <v>27</v>
      </c>
      <c r="N3262" s="18"/>
      <c r="O3262" s="135"/>
      <c r="P3262" s="175">
        <v>17100</v>
      </c>
      <c r="Q3262" s="25">
        <f>169.1/1123.6</f>
        <v>0.15049839800640799</v>
      </c>
      <c r="U3262" s="384">
        <v>0.1</v>
      </c>
      <c r="W3262" s="285">
        <f t="shared" si="82"/>
        <v>2830.8748665005346</v>
      </c>
    </row>
    <row r="3263" spans="1:23" ht="15" customHeight="1">
      <c r="A3263" s="3">
        <v>40472</v>
      </c>
      <c r="B3263" s="9">
        <v>17675</v>
      </c>
      <c r="C3263" s="5">
        <v>80950</v>
      </c>
      <c r="D3263" s="5" t="e">
        <f>E3263-(#REF!+#REF!+C3263)</f>
        <v>#REF!</v>
      </c>
      <c r="E3263" s="5">
        <v>198075</v>
      </c>
      <c r="K3263" s="22">
        <v>2475</v>
      </c>
      <c r="L3263" s="6">
        <v>2507</v>
      </c>
      <c r="M3263" s="125">
        <f t="shared" si="81"/>
        <v>32</v>
      </c>
      <c r="N3263" s="18"/>
      <c r="O3263" s="135"/>
      <c r="P3263" s="175">
        <v>17150</v>
      </c>
      <c r="Q3263" s="25">
        <f>170.06/1131.3</f>
        <v>0.15032263767347301</v>
      </c>
      <c r="U3263" s="384">
        <v>0.1</v>
      </c>
      <c r="W3263" s="285">
        <f t="shared" si="82"/>
        <v>2835.8365597100683</v>
      </c>
    </row>
    <row r="3264" spans="1:23" ht="15" customHeight="1">
      <c r="A3264" s="3">
        <v>40473</v>
      </c>
      <c r="B3264" s="9">
        <v>17675</v>
      </c>
      <c r="C3264" s="5">
        <v>80650</v>
      </c>
      <c r="D3264" s="5" t="e">
        <f>E3264-(#REF!+#REF!+C3264)</f>
        <v>#REF!</v>
      </c>
      <c r="E3264" s="5">
        <v>197775</v>
      </c>
      <c r="K3264" s="22">
        <v>2494</v>
      </c>
      <c r="L3264" s="6">
        <v>2520</v>
      </c>
      <c r="M3264" s="125">
        <f t="shared" si="81"/>
        <v>26</v>
      </c>
      <c r="N3264" s="18"/>
      <c r="O3264" s="135"/>
      <c r="P3264" s="175">
        <v>17200</v>
      </c>
      <c r="Q3264" s="25">
        <f>169.34/1126.2</f>
        <v>0.15036405611791867</v>
      </c>
      <c r="U3264" s="384">
        <v>0.1</v>
      </c>
      <c r="W3264" s="285">
        <f t="shared" si="82"/>
        <v>2844.8879417510216</v>
      </c>
    </row>
    <row r="3265" spans="1:23" ht="15" customHeight="1">
      <c r="A3265" s="3">
        <v>40476</v>
      </c>
      <c r="B3265" s="9">
        <v>17675</v>
      </c>
      <c r="C3265" s="5">
        <v>80400</v>
      </c>
      <c r="D3265" s="5" t="e">
        <f>E3265-(#REF!+#REF!+C3265)</f>
        <v>#REF!</v>
      </c>
      <c r="E3265" s="5">
        <v>197725</v>
      </c>
      <c r="K3265" s="22">
        <v>2560</v>
      </c>
      <c r="L3265" s="6">
        <v>2585</v>
      </c>
      <c r="M3265" s="125">
        <f t="shared" si="81"/>
        <v>25</v>
      </c>
      <c r="N3265" s="18"/>
      <c r="O3265" s="135"/>
      <c r="P3265" s="175">
        <v>17400</v>
      </c>
      <c r="Q3265" s="25">
        <f>169.62/1129.5</f>
        <v>0.1501726427622842</v>
      </c>
      <c r="U3265" s="384">
        <v>0.1</v>
      </c>
      <c r="W3265" s="285">
        <f t="shared" si="82"/>
        <v>2874.3043824701199</v>
      </c>
    </row>
    <row r="3266" spans="1:23" ht="15" customHeight="1">
      <c r="A3266" s="3">
        <v>40477</v>
      </c>
      <c r="B3266" s="9">
        <v>17475</v>
      </c>
      <c r="C3266" s="5">
        <v>80275</v>
      </c>
      <c r="D3266" s="5" t="e">
        <f>E3266-(#REF!+#REF!+C3266)</f>
        <v>#REF!</v>
      </c>
      <c r="E3266" s="5">
        <v>198875</v>
      </c>
      <c r="K3266" s="22">
        <v>2541</v>
      </c>
      <c r="L3266" s="6">
        <v>2569</v>
      </c>
      <c r="M3266" s="125">
        <f t="shared" si="81"/>
        <v>28</v>
      </c>
      <c r="N3266" s="18"/>
      <c r="O3266" s="135"/>
      <c r="P3266" s="175">
        <v>17700</v>
      </c>
      <c r="Q3266" s="25">
        <f>167.79/1117.2</f>
        <v>0.15018796992481201</v>
      </c>
      <c r="U3266" s="384">
        <v>0.1</v>
      </c>
      <c r="W3266" s="285">
        <f t="shared" si="82"/>
        <v>2924.1597744360902</v>
      </c>
    </row>
    <row r="3267" spans="1:23" ht="15" customHeight="1">
      <c r="A3267" s="3">
        <v>40478</v>
      </c>
      <c r="B3267" s="9">
        <v>18950</v>
      </c>
      <c r="C3267" s="5">
        <v>80100</v>
      </c>
      <c r="D3267" s="5" t="e">
        <f>E3267-(#REF!+#REF!+C3267)</f>
        <v>#REF!</v>
      </c>
      <c r="E3267" s="5">
        <v>198700</v>
      </c>
      <c r="K3267" s="22">
        <v>2532</v>
      </c>
      <c r="L3267" s="6">
        <v>2555</v>
      </c>
      <c r="M3267" s="125">
        <f t="shared" si="81"/>
        <v>23</v>
      </c>
      <c r="N3267" s="18"/>
      <c r="O3267" s="135"/>
      <c r="P3267" s="175">
        <v>17700</v>
      </c>
      <c r="Q3267" s="25">
        <f>167.76/1117.7</f>
        <v>0.15009394291849332</v>
      </c>
      <c r="U3267" s="384">
        <v>0.1</v>
      </c>
      <c r="W3267" s="285">
        <f t="shared" si="82"/>
        <v>2922.3290686230653</v>
      </c>
    </row>
    <row r="3268" spans="1:23" ht="15" customHeight="1">
      <c r="A3268" s="3">
        <v>40479</v>
      </c>
      <c r="B3268" s="9">
        <v>18950</v>
      </c>
      <c r="C3268" s="5">
        <v>79925</v>
      </c>
      <c r="D3268" s="5" t="e">
        <f>E3268-(#REF!+#REF!+C3268)</f>
        <v>#REF!</v>
      </c>
      <c r="E3268" s="5">
        <v>199775</v>
      </c>
      <c r="K3268" s="22">
        <v>2480</v>
      </c>
      <c r="L3268" s="6">
        <v>2505</v>
      </c>
      <c r="M3268" s="125">
        <f t="shared" si="81"/>
        <v>25</v>
      </c>
      <c r="N3268" s="18"/>
      <c r="O3268" s="135"/>
      <c r="P3268" s="175">
        <v>17600</v>
      </c>
      <c r="Q3268" s="25">
        <f>168.54/1126</f>
        <v>0.14968028419182947</v>
      </c>
      <c r="U3268" s="384">
        <v>0.1</v>
      </c>
      <c r="W3268" s="285">
        <f t="shared" si="82"/>
        <v>2897.8103019538189</v>
      </c>
    </row>
    <row r="3269" spans="1:23" ht="15" customHeight="1" thickBot="1">
      <c r="A3269" s="11">
        <v>40480</v>
      </c>
      <c r="B3269" s="9">
        <v>18950</v>
      </c>
      <c r="C3269" s="13">
        <v>79775</v>
      </c>
      <c r="D3269" s="13" t="e">
        <f>E3269-(#REF!+#REF!+C3269)</f>
        <v>#REF!</v>
      </c>
      <c r="E3269" s="13">
        <v>199725</v>
      </c>
      <c r="F3269" s="12"/>
      <c r="G3269" s="13"/>
      <c r="H3269" s="13"/>
      <c r="I3269" s="119"/>
      <c r="J3269" s="119"/>
      <c r="K3269" s="23">
        <v>2437</v>
      </c>
      <c r="L3269" s="14">
        <v>2436</v>
      </c>
      <c r="M3269" s="126">
        <f t="shared" si="81"/>
        <v>-1</v>
      </c>
      <c r="N3269" s="85">
        <f>AVERAGE(K3249:K3269)</f>
        <v>2379.6666666666665</v>
      </c>
      <c r="O3269" s="143">
        <f>AVERAGE(K3055:K3269)</f>
        <v>2097.0166666666669</v>
      </c>
      <c r="P3269" s="176">
        <v>17550</v>
      </c>
      <c r="Q3269" s="27">
        <f>168.47/1126.6</f>
        <v>0.14953843422687735</v>
      </c>
      <c r="R3269" s="27"/>
      <c r="S3269" s="27"/>
      <c r="T3269" s="27"/>
      <c r="U3269" s="385">
        <v>0.1</v>
      </c>
      <c r="V3269" s="38">
        <f>AVERAGE(P3249:P3269)</f>
        <v>17168.75</v>
      </c>
      <c r="W3269" s="285">
        <f t="shared" si="82"/>
        <v>2886.8394727498676</v>
      </c>
    </row>
    <row r="3270" spans="1:23" ht="15" customHeight="1">
      <c r="A3270" s="3">
        <v>40483</v>
      </c>
      <c r="B3270" s="9">
        <v>18750</v>
      </c>
      <c r="C3270" s="5">
        <v>79625</v>
      </c>
      <c r="D3270" s="5" t="e">
        <f>E3270-(#REF!+#REF!+C3270)</f>
        <v>#REF!</v>
      </c>
      <c r="E3270" s="5">
        <v>199725</v>
      </c>
      <c r="K3270" s="22">
        <v>2472.5</v>
      </c>
      <c r="L3270" s="6">
        <v>2496</v>
      </c>
      <c r="M3270" s="125">
        <f t="shared" si="81"/>
        <v>23.5</v>
      </c>
      <c r="N3270" s="7"/>
      <c r="O3270" s="135"/>
      <c r="P3270" s="175">
        <v>17550</v>
      </c>
      <c r="Q3270" s="25">
        <v>0.14940000000000001</v>
      </c>
      <c r="U3270" s="384">
        <v>0.1</v>
      </c>
      <c r="W3270" s="285">
        <f t="shared" si="82"/>
        <v>2884.1670000000004</v>
      </c>
    </row>
    <row r="3271" spans="1:23" ht="15" customHeight="1">
      <c r="A3271" s="3">
        <v>40484</v>
      </c>
      <c r="B3271" s="9">
        <v>18750</v>
      </c>
      <c r="C3271" s="5">
        <v>76700</v>
      </c>
      <c r="D3271" s="5" t="e">
        <f>E3271-(#REF!+#REF!+C3271)</f>
        <v>#REF!</v>
      </c>
      <c r="E3271" s="5">
        <v>202450</v>
      </c>
      <c r="K3271" s="22">
        <v>2476</v>
      </c>
      <c r="L3271" s="6">
        <v>2495</v>
      </c>
      <c r="M3271" s="125">
        <f t="shared" si="81"/>
        <v>19</v>
      </c>
      <c r="N3271" s="7"/>
      <c r="O3271" s="135"/>
      <c r="P3271" s="175">
        <v>17550</v>
      </c>
      <c r="Q3271" s="25">
        <v>0.14940000000000001</v>
      </c>
      <c r="U3271" s="384">
        <v>0.1</v>
      </c>
      <c r="W3271" s="285">
        <f t="shared" si="82"/>
        <v>2884.1670000000004</v>
      </c>
    </row>
    <row r="3272" spans="1:23" ht="15" customHeight="1">
      <c r="A3272" s="3">
        <v>40485</v>
      </c>
      <c r="B3272" s="9">
        <v>19225</v>
      </c>
      <c r="C3272" s="5">
        <v>79825</v>
      </c>
      <c r="D3272" s="5" t="e">
        <f>E3272-(#REF!+#REF!+C3272)</f>
        <v>#REF!</v>
      </c>
      <c r="E3272" s="5">
        <v>202950</v>
      </c>
      <c r="K3272" s="22">
        <v>2490</v>
      </c>
      <c r="L3272" s="6">
        <v>2510</v>
      </c>
      <c r="M3272" s="125">
        <f t="shared" si="81"/>
        <v>20</v>
      </c>
      <c r="N3272" s="7"/>
      <c r="O3272" s="135"/>
      <c r="P3272" s="175">
        <v>17600</v>
      </c>
      <c r="Q3272" s="25">
        <f>166.95/1114.9</f>
        <v>0.14974437169252847</v>
      </c>
      <c r="U3272" s="384">
        <v>0.1</v>
      </c>
      <c r="W3272" s="285">
        <f t="shared" si="82"/>
        <v>2899.0510359673517</v>
      </c>
    </row>
    <row r="3273" spans="1:23" ht="15" customHeight="1">
      <c r="A3273" s="3">
        <v>40486</v>
      </c>
      <c r="B3273" s="9">
        <v>19225</v>
      </c>
      <c r="C3273" s="5">
        <v>80050</v>
      </c>
      <c r="D3273" s="5" t="e">
        <f>E3273-(#REF!+#REF!+C3273)</f>
        <v>#REF!</v>
      </c>
      <c r="E3273" s="5">
        <v>202525</v>
      </c>
      <c r="K3273" s="22">
        <v>2500</v>
      </c>
      <c r="L3273" s="6">
        <v>2511</v>
      </c>
      <c r="M3273" s="125">
        <f t="shared" si="81"/>
        <v>11</v>
      </c>
      <c r="N3273" s="18"/>
      <c r="O3273" s="135"/>
      <c r="P3273" s="175">
        <v>17550</v>
      </c>
      <c r="Q3273" s="25">
        <f>166.34/1110.3</f>
        <v>0.14981536521660813</v>
      </c>
      <c r="U3273" s="384">
        <v>0.1</v>
      </c>
      <c r="W3273" s="285">
        <f t="shared" si="82"/>
        <v>2892.18562550662</v>
      </c>
    </row>
    <row r="3274" spans="1:23" ht="15" customHeight="1">
      <c r="A3274" s="3">
        <v>40487</v>
      </c>
      <c r="B3274" s="9">
        <v>20225</v>
      </c>
      <c r="C3274" s="5">
        <v>80050</v>
      </c>
      <c r="D3274" s="5" t="e">
        <f>E3274-(#REF!+#REF!+C3274)</f>
        <v>#REF!</v>
      </c>
      <c r="E3274" s="5">
        <v>203225</v>
      </c>
      <c r="K3274" s="22">
        <v>2505</v>
      </c>
      <c r="L3274" s="6">
        <v>2535</v>
      </c>
      <c r="M3274" s="125">
        <f t="shared" si="81"/>
        <v>30</v>
      </c>
      <c r="N3274" s="18"/>
      <c r="O3274" s="135"/>
      <c r="P3274" s="175">
        <v>17900</v>
      </c>
      <c r="Q3274" s="25">
        <f>166.16/1107</f>
        <v>0.15009936766034326</v>
      </c>
      <c r="U3274" s="384">
        <v>0.1</v>
      </c>
      <c r="W3274" s="285">
        <f t="shared" si="82"/>
        <v>2955.456549232159</v>
      </c>
    </row>
    <row r="3275" spans="1:23" ht="15" customHeight="1">
      <c r="A3275" s="3">
        <v>40490</v>
      </c>
      <c r="B3275" s="9">
        <v>20225</v>
      </c>
      <c r="C3275" s="5">
        <v>80000</v>
      </c>
      <c r="D3275" s="5" t="e">
        <f>E3275-(#REF!+#REF!+C3275)</f>
        <v>#REF!</v>
      </c>
      <c r="E3275" s="5">
        <v>202875</v>
      </c>
      <c r="K3275" s="22">
        <v>2484</v>
      </c>
      <c r="L3275" s="6">
        <v>2502</v>
      </c>
      <c r="M3275" s="125">
        <f t="shared" si="81"/>
        <v>18</v>
      </c>
      <c r="N3275" s="18"/>
      <c r="O3275" s="135"/>
      <c r="P3275" s="175">
        <v>17900</v>
      </c>
      <c r="Q3275" s="25">
        <f>166.19/1106.1</f>
        <v>0.15024862128198174</v>
      </c>
      <c r="U3275" s="384">
        <v>0.1</v>
      </c>
      <c r="W3275" s="285">
        <f t="shared" si="82"/>
        <v>2958.3953530422209</v>
      </c>
    </row>
    <row r="3276" spans="1:23" ht="15" customHeight="1">
      <c r="A3276" s="3">
        <v>40491</v>
      </c>
      <c r="B3276" s="9">
        <v>20725</v>
      </c>
      <c r="C3276" s="5">
        <v>79925</v>
      </c>
      <c r="D3276" s="5" t="e">
        <f>E3276-(#REF!+#REF!+C3276)</f>
        <v>#REF!</v>
      </c>
      <c r="E3276" s="5">
        <v>203100</v>
      </c>
      <c r="K3276" s="22">
        <v>2553.5</v>
      </c>
      <c r="L3276" s="6">
        <v>2574</v>
      </c>
      <c r="M3276" s="125">
        <f t="shared" si="81"/>
        <v>20.5</v>
      </c>
      <c r="N3276" s="18"/>
      <c r="O3276" s="135"/>
      <c r="P3276" s="175">
        <v>18000</v>
      </c>
      <c r="Q3276" s="25">
        <f>166.6/1113.1</f>
        <v>0.14967208696433384</v>
      </c>
      <c r="U3276" s="384">
        <v>0.1</v>
      </c>
      <c r="W3276" s="285">
        <f t="shared" si="82"/>
        <v>2963.5073218938101</v>
      </c>
    </row>
    <row r="3277" spans="1:23" ht="15" customHeight="1">
      <c r="A3277" s="3">
        <v>40492</v>
      </c>
      <c r="B3277" s="9">
        <v>20700</v>
      </c>
      <c r="C3277" s="5">
        <v>79850</v>
      </c>
      <c r="D3277" s="5" t="e">
        <f>E3277-(#REF!+#REF!+C3277)</f>
        <v>#REF!</v>
      </c>
      <c r="E3277" s="5">
        <v>203375</v>
      </c>
      <c r="K3277" s="22">
        <v>2575</v>
      </c>
      <c r="L3277" s="6">
        <v>2600</v>
      </c>
      <c r="M3277" s="125">
        <f t="shared" si="81"/>
        <v>25</v>
      </c>
      <c r="N3277" s="18"/>
      <c r="O3277" s="135"/>
      <c r="P3277" s="175">
        <v>18100</v>
      </c>
      <c r="Q3277" s="25">
        <f>167.94/1115.8</f>
        <v>0.15051084423731853</v>
      </c>
      <c r="U3277" s="384">
        <v>0.1</v>
      </c>
      <c r="W3277" s="285">
        <f t="shared" si="82"/>
        <v>2996.6709087650124</v>
      </c>
    </row>
    <row r="3278" spans="1:23" ht="15" customHeight="1">
      <c r="A3278" s="3">
        <v>40493</v>
      </c>
      <c r="B3278" s="9">
        <v>20700</v>
      </c>
      <c r="C3278" s="5">
        <v>79675</v>
      </c>
      <c r="D3278" s="5" t="e">
        <f>E3278-(#REF!+#REF!+C3278)</f>
        <v>#REF!</v>
      </c>
      <c r="E3278" s="5">
        <v>202975</v>
      </c>
      <c r="K3278" s="22">
        <v>2593.5</v>
      </c>
      <c r="L3278" s="6">
        <v>2617</v>
      </c>
      <c r="M3278" s="125">
        <f t="shared" si="81"/>
        <v>23.5</v>
      </c>
      <c r="N3278" s="18"/>
      <c r="O3278" s="135"/>
      <c r="P3278" s="175">
        <v>18100</v>
      </c>
      <c r="Q3278" s="25">
        <f>167.97/1114.3</f>
        <v>0.15074037512339586</v>
      </c>
      <c r="U3278" s="384">
        <v>0.1</v>
      </c>
      <c r="W3278" s="285">
        <f t="shared" si="82"/>
        <v>3001.2408687068119</v>
      </c>
    </row>
    <row r="3279" spans="1:23" ht="15" customHeight="1">
      <c r="A3279" s="3">
        <v>40494</v>
      </c>
      <c r="B3279" s="9">
        <v>20700</v>
      </c>
      <c r="C3279" s="5">
        <v>79475</v>
      </c>
      <c r="D3279" s="5" t="e">
        <f>E3279-(#REF!+#REF!+C3279)</f>
        <v>#REF!</v>
      </c>
      <c r="E3279" s="5">
        <v>202775</v>
      </c>
      <c r="K3279" s="22">
        <v>2534</v>
      </c>
      <c r="L3279" s="6">
        <v>2551</v>
      </c>
      <c r="M3279" s="125">
        <f t="shared" si="81"/>
        <v>17</v>
      </c>
      <c r="N3279" s="18"/>
      <c r="O3279" s="135"/>
      <c r="P3279" s="175">
        <v>18100</v>
      </c>
      <c r="Q3279" s="25">
        <f>167.17/1107.5</f>
        <v>0.15094356659142211</v>
      </c>
      <c r="U3279" s="384">
        <v>0.1</v>
      </c>
      <c r="W3279" s="285">
        <f t="shared" si="82"/>
        <v>3005.2864108352146</v>
      </c>
    </row>
    <row r="3280" spans="1:23" ht="15" customHeight="1">
      <c r="A3280" s="3">
        <v>40497</v>
      </c>
      <c r="B3280" s="9">
        <v>21150</v>
      </c>
      <c r="C3280" s="5">
        <v>79325</v>
      </c>
      <c r="D3280" s="5" t="e">
        <f>E3280-(#REF!+#REF!+C3280)</f>
        <v>#REF!</v>
      </c>
      <c r="E3280" s="5">
        <v>205450</v>
      </c>
      <c r="K3280" s="22">
        <v>2420</v>
      </c>
      <c r="L3280" s="6">
        <v>2445</v>
      </c>
      <c r="M3280" s="125">
        <f t="shared" si="81"/>
        <v>25</v>
      </c>
      <c r="N3280" s="18"/>
      <c r="O3280" s="135"/>
      <c r="P3280" s="175">
        <v>18000</v>
      </c>
      <c r="Q3280" s="25">
        <f>168.68/1119.5</f>
        <v>0.15067440821795444</v>
      </c>
      <c r="U3280" s="384">
        <v>0.1</v>
      </c>
      <c r="W3280" s="285">
        <f t="shared" si="82"/>
        <v>2983.3532827154986</v>
      </c>
    </row>
    <row r="3281" spans="1:23" ht="15" customHeight="1">
      <c r="A3281" s="3">
        <v>40498</v>
      </c>
      <c r="B3281" s="9">
        <v>23225</v>
      </c>
      <c r="C3281" s="5">
        <v>79200</v>
      </c>
      <c r="D3281" s="5" t="e">
        <f>E3281-(#REF!+#REF!+C3281)</f>
        <v>#REF!</v>
      </c>
      <c r="E3281" s="5">
        <v>205300</v>
      </c>
      <c r="K3281" s="22">
        <v>2384</v>
      </c>
      <c r="L3281" s="6">
        <v>2405</v>
      </c>
      <c r="M3281" s="125">
        <f t="shared" si="81"/>
        <v>21</v>
      </c>
      <c r="N3281" s="18"/>
      <c r="O3281" s="135"/>
      <c r="P3281" s="175">
        <v>17950</v>
      </c>
      <c r="Q3281" s="25">
        <f>169.96/1129.2</f>
        <v>0.15051363797378675</v>
      </c>
      <c r="U3281" s="384">
        <v>0.1</v>
      </c>
      <c r="W3281" s="285">
        <f t="shared" si="82"/>
        <v>2971.8917817924198</v>
      </c>
    </row>
    <row r="3282" spans="1:23" ht="15" customHeight="1">
      <c r="A3282" s="3">
        <v>40499</v>
      </c>
      <c r="B3282" s="9">
        <v>23225</v>
      </c>
      <c r="C3282" s="5">
        <v>78900</v>
      </c>
      <c r="D3282" s="5" t="e">
        <f>E3282-(#REF!+#REF!+C3282)</f>
        <v>#REF!</v>
      </c>
      <c r="E3282" s="5">
        <v>204950</v>
      </c>
      <c r="K3282" s="22">
        <v>2222</v>
      </c>
      <c r="L3282" s="6">
        <v>2237</v>
      </c>
      <c r="M3282" s="125">
        <f t="shared" si="81"/>
        <v>15</v>
      </c>
      <c r="N3282" s="18"/>
      <c r="O3282" s="135"/>
      <c r="P3282" s="175">
        <v>17600</v>
      </c>
      <c r="Q3282" s="25">
        <f>170.1/1129.2</f>
        <v>0.15063761955366631</v>
      </c>
      <c r="U3282" s="384">
        <v>0.1</v>
      </c>
      <c r="W3282" s="285">
        <f t="shared" si="82"/>
        <v>2916.3443145589799</v>
      </c>
    </row>
    <row r="3283" spans="1:23" ht="15" customHeight="1">
      <c r="A3283" s="3">
        <v>40500</v>
      </c>
      <c r="B3283" s="9">
        <v>23225</v>
      </c>
      <c r="C3283" s="5">
        <v>78625</v>
      </c>
      <c r="D3283" s="5" t="e">
        <f>E3283-(#REF!+#REF!+C3283)</f>
        <v>#REF!</v>
      </c>
      <c r="E3283" s="5">
        <v>204625</v>
      </c>
      <c r="K3283" s="22">
        <v>2306</v>
      </c>
      <c r="L3283" s="6">
        <v>2335</v>
      </c>
      <c r="M3283" s="125">
        <f t="shared" si="81"/>
        <v>29</v>
      </c>
      <c r="N3283" s="18"/>
      <c r="O3283" s="135"/>
      <c r="P3283" s="175">
        <v>17600</v>
      </c>
      <c r="Q3283" s="25">
        <f>171.38/1138.5</f>
        <v>0.15053140096618356</v>
      </c>
      <c r="U3283" s="384">
        <v>0.1</v>
      </c>
      <c r="W3283" s="285">
        <f t="shared" si="82"/>
        <v>2914.287922705314</v>
      </c>
    </row>
    <row r="3284" spans="1:23" ht="15" customHeight="1">
      <c r="A3284" s="3">
        <v>40501</v>
      </c>
      <c r="B3284" s="9">
        <v>23225</v>
      </c>
      <c r="C3284" s="5">
        <v>78325</v>
      </c>
      <c r="D3284" s="5" t="e">
        <f>E3284-(#REF!+#REF!+C3284)</f>
        <v>#REF!</v>
      </c>
      <c r="E3284" s="5">
        <v>204075</v>
      </c>
      <c r="K3284" s="22">
        <v>2247</v>
      </c>
      <c r="L3284" s="6">
        <v>2272</v>
      </c>
      <c r="M3284" s="125">
        <f t="shared" si="81"/>
        <v>25</v>
      </c>
      <c r="N3284" s="18"/>
      <c r="O3284" s="135"/>
      <c r="P3284" s="175">
        <v>17600</v>
      </c>
      <c r="Q3284" s="25">
        <f>171.69/1138.9</f>
        <v>0.15075072438317674</v>
      </c>
      <c r="U3284" s="384">
        <v>0.1</v>
      </c>
      <c r="W3284" s="285">
        <f t="shared" si="82"/>
        <v>2918.5340240583018</v>
      </c>
    </row>
    <row r="3285" spans="1:23" ht="15" customHeight="1">
      <c r="A3285" s="3">
        <v>40504</v>
      </c>
      <c r="B3285" s="9">
        <v>23225</v>
      </c>
      <c r="C3285" s="5">
        <v>78075</v>
      </c>
      <c r="D3285" s="5" t="e">
        <f>E3285-(#REF!+#REF!+C3285)</f>
        <v>#REF!</v>
      </c>
      <c r="E3285" s="5">
        <v>203875</v>
      </c>
      <c r="K3285" s="22">
        <v>2226.5</v>
      </c>
      <c r="L3285" s="6">
        <v>2255</v>
      </c>
      <c r="M3285" s="125">
        <f t="shared" si="81"/>
        <v>28.5</v>
      </c>
      <c r="N3285" s="18"/>
      <c r="O3285" s="135"/>
      <c r="P3285" s="175">
        <v>17500</v>
      </c>
      <c r="Q3285" s="25">
        <f>170.49/1131.7</f>
        <v>0.15064946540602633</v>
      </c>
      <c r="U3285" s="384">
        <v>0.1</v>
      </c>
      <c r="W3285" s="285">
        <f t="shared" si="82"/>
        <v>2900.0022090660073</v>
      </c>
    </row>
    <row r="3286" spans="1:23" ht="15" customHeight="1">
      <c r="A3286" s="3">
        <v>40505</v>
      </c>
      <c r="B3286" s="9">
        <v>23225</v>
      </c>
      <c r="C3286" s="5">
        <v>77825</v>
      </c>
      <c r="D3286" s="5" t="e">
        <f>E3286-(#REF!+#REF!+C3286)</f>
        <v>#REF!</v>
      </c>
      <c r="E3286" s="5">
        <v>203625</v>
      </c>
      <c r="K3286" s="22">
        <v>2150</v>
      </c>
      <c r="L3286" s="6">
        <v>2169</v>
      </c>
      <c r="M3286" s="125">
        <f t="shared" si="81"/>
        <v>19</v>
      </c>
      <c r="N3286" s="18"/>
      <c r="O3286" s="135"/>
      <c r="P3286" s="175">
        <v>17400</v>
      </c>
      <c r="Q3286" s="25">
        <f>169.65/1126.5</f>
        <v>0.15059920106524635</v>
      </c>
      <c r="U3286" s="384">
        <v>0.1</v>
      </c>
      <c r="W3286" s="285">
        <f t="shared" si="82"/>
        <v>2882.4687083888157</v>
      </c>
    </row>
    <row r="3287" spans="1:23" ht="15" customHeight="1">
      <c r="A3287" s="3">
        <v>40506</v>
      </c>
      <c r="B3287" s="9">
        <v>23225</v>
      </c>
      <c r="C3287" s="5">
        <v>77575</v>
      </c>
      <c r="D3287" s="5" t="e">
        <f>E3287-(#REF!+#REF!+C3287)</f>
        <v>#REF!</v>
      </c>
      <c r="E3287" s="5">
        <v>203600</v>
      </c>
      <c r="K3287" s="22">
        <v>2199</v>
      </c>
      <c r="L3287" s="6">
        <v>2223</v>
      </c>
      <c r="M3287" s="125">
        <f t="shared" si="81"/>
        <v>24</v>
      </c>
      <c r="N3287" s="18"/>
      <c r="O3287" s="135"/>
      <c r="P3287" s="175">
        <v>17250</v>
      </c>
      <c r="Q3287" s="25">
        <f>170.76/1131.2</f>
        <v>0.15095473833097595</v>
      </c>
      <c r="U3287" s="384">
        <v>0.1</v>
      </c>
      <c r="W3287" s="285">
        <f t="shared" si="82"/>
        <v>2864.3661598302688</v>
      </c>
    </row>
    <row r="3288" spans="1:23" ht="15" customHeight="1">
      <c r="A3288" s="3">
        <v>40507</v>
      </c>
      <c r="B3288" s="9">
        <v>23225</v>
      </c>
      <c r="C3288" s="5">
        <v>77275</v>
      </c>
      <c r="D3288" s="5" t="e">
        <f>E3288-(#REF!+#REF!+C3288)</f>
        <v>#REF!</v>
      </c>
      <c r="E3288" s="5">
        <v>203350</v>
      </c>
      <c r="K3288" s="22">
        <v>2221</v>
      </c>
      <c r="L3288" s="6">
        <v>2250</v>
      </c>
      <c r="M3288" s="125">
        <f t="shared" si="81"/>
        <v>29</v>
      </c>
      <c r="N3288" s="18"/>
      <c r="O3288" s="135"/>
      <c r="P3288" s="175">
        <v>17250</v>
      </c>
      <c r="Q3288" s="25">
        <f>172.68/1148.9</f>
        <v>0.15030028723126468</v>
      </c>
      <c r="U3288" s="384">
        <v>0.1</v>
      </c>
      <c r="W3288" s="285">
        <f t="shared" si="82"/>
        <v>2851.9479502132476</v>
      </c>
    </row>
    <row r="3289" spans="1:23" ht="15" customHeight="1">
      <c r="A3289" s="3">
        <v>40508</v>
      </c>
      <c r="B3289" s="9">
        <v>23225</v>
      </c>
      <c r="C3289" s="5">
        <v>77250</v>
      </c>
      <c r="D3289" s="5" t="e">
        <f>E3289-(#REF!+#REF!+C3289)</f>
        <v>#REF!</v>
      </c>
      <c r="E3289" s="5">
        <v>203925</v>
      </c>
      <c r="K3289" s="22">
        <v>2264</v>
      </c>
      <c r="L3289" s="6">
        <v>2290</v>
      </c>
      <c r="M3289" s="125">
        <f t="shared" si="81"/>
        <v>26</v>
      </c>
      <c r="N3289" s="18"/>
      <c r="O3289" s="135"/>
      <c r="P3289" s="175">
        <v>17300</v>
      </c>
      <c r="Q3289" s="25">
        <f>172.09/1144.4</f>
        <v>0.15037574274729115</v>
      </c>
      <c r="U3289" s="384">
        <v>0.1</v>
      </c>
      <c r="W3289" s="285">
        <f t="shared" si="82"/>
        <v>2861.6503844809513</v>
      </c>
    </row>
    <row r="3290" spans="1:23" ht="15" customHeight="1">
      <c r="A3290" s="3">
        <v>40511</v>
      </c>
      <c r="B3290" s="9">
        <v>23700</v>
      </c>
      <c r="C3290" s="5">
        <v>77250</v>
      </c>
      <c r="D3290" s="5" t="e">
        <f>E3290-(#REF!+#REF!+C3290)</f>
        <v>#REF!</v>
      </c>
      <c r="E3290" s="5">
        <v>204200</v>
      </c>
      <c r="K3290" s="22">
        <v>2255</v>
      </c>
      <c r="L3290" s="6">
        <v>2278</v>
      </c>
      <c r="M3290" s="125">
        <f t="shared" si="81"/>
        <v>23</v>
      </c>
      <c r="N3290" s="18"/>
      <c r="O3290" s="135"/>
      <c r="P3290" s="175">
        <v>17250</v>
      </c>
      <c r="Q3290" s="25">
        <f>172.09/1147.6</f>
        <v>0.14995643081212967</v>
      </c>
      <c r="U3290" s="384">
        <v>0.1</v>
      </c>
      <c r="W3290" s="285">
        <f t="shared" si="82"/>
        <v>2845.423274660161</v>
      </c>
    </row>
    <row r="3291" spans="1:23" ht="15" customHeight="1" thickBot="1">
      <c r="A3291" s="11">
        <v>40512</v>
      </c>
      <c r="B3291" s="9">
        <v>23650</v>
      </c>
      <c r="C3291" s="13">
        <v>77200</v>
      </c>
      <c r="D3291" s="13" t="e">
        <f>E3291-(#REF!+#REF!+C3291)</f>
        <v>#REF!</v>
      </c>
      <c r="E3291" s="13">
        <v>204025</v>
      </c>
      <c r="F3291" s="12"/>
      <c r="G3291" s="13"/>
      <c r="H3291" s="13"/>
      <c r="I3291" s="119"/>
      <c r="J3291" s="119"/>
      <c r="K3291" s="23">
        <v>2210</v>
      </c>
      <c r="L3291" s="14">
        <v>2225</v>
      </c>
      <c r="M3291" s="126">
        <f t="shared" si="81"/>
        <v>15</v>
      </c>
      <c r="N3291" s="85">
        <f>AVERAGE(K3270:K3291)</f>
        <v>2376.7272727272725</v>
      </c>
      <c r="O3291" s="143">
        <f>AVERAGE(K3055:K3291)</f>
        <v>2123.5409482758619</v>
      </c>
      <c r="P3291" s="176">
        <v>17150</v>
      </c>
      <c r="Q3291" s="27">
        <f>173.76/1157.6</f>
        <v>0.15010366275051831</v>
      </c>
      <c r="R3291" s="27"/>
      <c r="S3291" s="27"/>
      <c r="T3291" s="27"/>
      <c r="U3291" s="385">
        <v>0.1</v>
      </c>
      <c r="V3291" s="38">
        <f>AVERAGE(P3270:P3291)</f>
        <v>17645.454545454544</v>
      </c>
      <c r="W3291" s="285">
        <f t="shared" si="82"/>
        <v>2831.7055977885284</v>
      </c>
    </row>
    <row r="3292" spans="1:23" ht="15" customHeight="1">
      <c r="A3292" s="3">
        <v>40513</v>
      </c>
      <c r="B3292" s="9">
        <v>23650</v>
      </c>
      <c r="C3292" s="5">
        <v>76800</v>
      </c>
      <c r="D3292" s="5" t="e">
        <f>E3292-(#REF!+#REF!+C3292)</f>
        <v>#REF!</v>
      </c>
      <c r="E3292" s="5">
        <v>203875</v>
      </c>
      <c r="K3292" s="22">
        <v>2265</v>
      </c>
      <c r="L3292" s="6">
        <v>2283</v>
      </c>
      <c r="M3292" s="125">
        <f t="shared" ref="M3292:M3309" si="83">L3292-K3292</f>
        <v>18</v>
      </c>
      <c r="N3292" s="18"/>
      <c r="O3292" s="135"/>
      <c r="P3292" s="175">
        <v>17150</v>
      </c>
      <c r="Q3292" s="25">
        <f>173.17/1154.5</f>
        <v>0.14999566912083151</v>
      </c>
      <c r="U3292" s="384">
        <v>0.1</v>
      </c>
      <c r="W3292" s="285">
        <f t="shared" si="82"/>
        <v>2829.6682979644866</v>
      </c>
    </row>
    <row r="3293" spans="1:23" ht="15" customHeight="1">
      <c r="A3293" s="3">
        <v>40514</v>
      </c>
      <c r="B3293" s="9">
        <v>23650</v>
      </c>
      <c r="C3293" s="5">
        <v>76475</v>
      </c>
      <c r="D3293" s="5" t="e">
        <f>E3293-(#REF!+#REF!+C3293)</f>
        <v>#REF!</v>
      </c>
      <c r="E3293" s="5">
        <v>203850</v>
      </c>
      <c r="K3293" s="22">
        <v>2292</v>
      </c>
      <c r="L3293" s="6">
        <v>2318</v>
      </c>
      <c r="M3293" s="125">
        <f t="shared" si="83"/>
        <v>26</v>
      </c>
      <c r="N3293" s="18"/>
      <c r="O3293" s="135"/>
      <c r="P3293" s="175">
        <v>17200</v>
      </c>
      <c r="Q3293" s="25">
        <f>173.22/1154.2</f>
        <v>0.1500779760873332</v>
      </c>
      <c r="U3293" s="384">
        <v>0.1</v>
      </c>
      <c r="W3293" s="285">
        <f t="shared" si="82"/>
        <v>2839.4753075723447</v>
      </c>
    </row>
    <row r="3294" spans="1:23" ht="15" customHeight="1">
      <c r="A3294" s="3">
        <v>40515</v>
      </c>
      <c r="B3294" s="9">
        <v>23650</v>
      </c>
      <c r="C3294" s="5">
        <v>76200</v>
      </c>
      <c r="D3294" s="5" t="e">
        <f>E3294-(#REF!+#REF!+C3294)</f>
        <v>#REF!</v>
      </c>
      <c r="E3294" s="5">
        <v>203675</v>
      </c>
      <c r="K3294" s="22">
        <v>2330.5</v>
      </c>
      <c r="L3294" s="6">
        <v>2355</v>
      </c>
      <c r="M3294" s="125">
        <f t="shared" si="83"/>
        <v>24.5</v>
      </c>
      <c r="N3294" s="18"/>
      <c r="O3294" s="135"/>
      <c r="P3294" s="175">
        <v>17250</v>
      </c>
      <c r="Q3294" s="25">
        <f>172.53/1149.3</f>
        <v>0.15011746280344559</v>
      </c>
      <c r="U3294" s="384">
        <v>0.1</v>
      </c>
      <c r="W3294" s="285">
        <f t="shared" si="82"/>
        <v>2848.4788566953803</v>
      </c>
    </row>
    <row r="3295" spans="1:23" ht="15" customHeight="1">
      <c r="A3295" s="3">
        <v>40518</v>
      </c>
      <c r="B3295" s="9">
        <v>24125</v>
      </c>
      <c r="C3295" s="5">
        <v>76450</v>
      </c>
      <c r="D3295" s="5" t="e">
        <f>E3295-(#REF!+#REF!+C3295)</f>
        <v>#REF!</v>
      </c>
      <c r="E3295" s="5">
        <v>203950</v>
      </c>
      <c r="K3295" s="22">
        <v>2320.5</v>
      </c>
      <c r="L3295" s="6">
        <v>2337</v>
      </c>
      <c r="M3295" s="125">
        <f t="shared" si="83"/>
        <v>16.5</v>
      </c>
      <c r="N3295" s="18"/>
      <c r="O3295" s="135"/>
      <c r="P3295" s="175">
        <v>17250</v>
      </c>
      <c r="Q3295" s="25">
        <f>171.61/1143.5</f>
        <v>0.15007433318758201</v>
      </c>
      <c r="U3295" s="384">
        <v>0.1</v>
      </c>
      <c r="W3295" s="285">
        <f t="shared" si="82"/>
        <v>2847.6604722343691</v>
      </c>
    </row>
    <row r="3296" spans="1:23" ht="15" customHeight="1">
      <c r="A3296" s="3">
        <v>40519</v>
      </c>
      <c r="B3296" s="9">
        <v>24125</v>
      </c>
      <c r="C3296" s="5">
        <v>76325</v>
      </c>
      <c r="D3296" s="5" t="e">
        <f>E3296-(#REF!+#REF!+C3296)</f>
        <v>#REF!</v>
      </c>
      <c r="E3296" s="5">
        <v>203550</v>
      </c>
      <c r="K3296" s="22">
        <v>2402</v>
      </c>
      <c r="L3296" s="6">
        <v>2427</v>
      </c>
      <c r="M3296" s="125">
        <f t="shared" si="83"/>
        <v>25</v>
      </c>
      <c r="N3296" s="18"/>
      <c r="O3296" s="135"/>
      <c r="P3296" s="175">
        <v>17250</v>
      </c>
      <c r="Q3296" s="25">
        <f>170.5/1133.6</f>
        <v>0.15040578687367678</v>
      </c>
      <c r="U3296" s="384">
        <v>0.1</v>
      </c>
      <c r="W3296" s="285">
        <f t="shared" si="82"/>
        <v>2853.9498059280172</v>
      </c>
    </row>
    <row r="3297" spans="1:23" ht="15" customHeight="1">
      <c r="A3297" s="3">
        <v>40520</v>
      </c>
      <c r="B3297" s="9">
        <v>24125</v>
      </c>
      <c r="C3297" s="5">
        <v>76275</v>
      </c>
      <c r="D3297" s="5" t="e">
        <f>E3297-(#REF!+#REF!+C3297)</f>
        <v>#REF!</v>
      </c>
      <c r="E3297" s="5">
        <v>203450</v>
      </c>
      <c r="K3297" s="22">
        <v>2362</v>
      </c>
      <c r="L3297" s="6">
        <v>2380</v>
      </c>
      <c r="M3297" s="125">
        <f t="shared" si="83"/>
        <v>18</v>
      </c>
      <c r="N3297" s="18"/>
      <c r="O3297" s="135"/>
      <c r="P3297" s="175">
        <v>17250</v>
      </c>
      <c r="Q3297" s="25">
        <f>170.67/1134.2</f>
        <v>0.15047610650678891</v>
      </c>
      <c r="U3297" s="384">
        <v>0.1</v>
      </c>
      <c r="W3297" s="285">
        <f t="shared" si="82"/>
        <v>2855.2841209663202</v>
      </c>
    </row>
    <row r="3298" spans="1:23" ht="15" customHeight="1">
      <c r="A3298" s="3">
        <v>40521</v>
      </c>
      <c r="B3298" s="9">
        <v>25125</v>
      </c>
      <c r="C3298" s="5">
        <v>76200</v>
      </c>
      <c r="D3298" s="5" t="e">
        <f>E3298-(#REF!+#REF!+C3298)</f>
        <v>#REF!</v>
      </c>
      <c r="E3298" s="5">
        <v>205250</v>
      </c>
      <c r="K3298" s="22">
        <v>2367.5</v>
      </c>
      <c r="L3298" s="6">
        <v>2393</v>
      </c>
      <c r="M3298" s="125">
        <f t="shared" si="83"/>
        <v>25.5</v>
      </c>
      <c r="N3298" s="18"/>
      <c r="O3298" s="135"/>
      <c r="P3298" s="175">
        <v>17200</v>
      </c>
      <c r="Q3298" s="25">
        <f>171.2/1140.7</f>
        <v>0.15008328219514333</v>
      </c>
      <c r="U3298" s="384">
        <v>0.1</v>
      </c>
      <c r="W3298" s="285">
        <f t="shared" si="82"/>
        <v>2839.5756991321123</v>
      </c>
    </row>
    <row r="3299" spans="1:23" ht="15" customHeight="1">
      <c r="A3299" s="3">
        <v>40522</v>
      </c>
      <c r="B3299" s="9">
        <v>26650</v>
      </c>
      <c r="C3299" s="5">
        <v>75975</v>
      </c>
      <c r="D3299" s="5" t="e">
        <f>E3299-(#REF!+#REF!+C3299)</f>
        <v>#REF!</v>
      </c>
      <c r="E3299" s="5">
        <v>204375</v>
      </c>
      <c r="K3299" s="22">
        <v>2402</v>
      </c>
      <c r="L3299" s="6">
        <v>2415</v>
      </c>
      <c r="M3299" s="125">
        <f t="shared" si="83"/>
        <v>13</v>
      </c>
      <c r="N3299" s="18"/>
      <c r="O3299" s="135"/>
      <c r="P3299" s="175">
        <v>17200</v>
      </c>
      <c r="Q3299" s="25">
        <f>171.05/1138.4</f>
        <v>0.15025474349964862</v>
      </c>
      <c r="U3299" s="384">
        <v>0.1</v>
      </c>
      <c r="W3299" s="285">
        <f t="shared" si="82"/>
        <v>2842.8197470133523</v>
      </c>
    </row>
    <row r="3300" spans="1:23" ht="15" customHeight="1">
      <c r="A3300" s="3">
        <v>40525</v>
      </c>
      <c r="B3300" s="9">
        <v>26450</v>
      </c>
      <c r="C3300" s="5">
        <v>75875</v>
      </c>
      <c r="D3300" s="5" t="e">
        <f>E3300-(#REF!+#REF!+C3300)</f>
        <v>#REF!</v>
      </c>
      <c r="E3300" s="5">
        <v>203175</v>
      </c>
      <c r="K3300" s="22">
        <v>2419.5</v>
      </c>
      <c r="L3300" s="6">
        <v>2435</v>
      </c>
      <c r="M3300" s="125">
        <f t="shared" si="83"/>
        <v>15.5</v>
      </c>
      <c r="N3300" s="18"/>
      <c r="O3300" s="135"/>
      <c r="P3300" s="175">
        <v>17200</v>
      </c>
      <c r="Q3300" s="25">
        <f>171.53/1141.6</f>
        <v>0.15025402943237562</v>
      </c>
      <c r="U3300" s="384">
        <v>0.1</v>
      </c>
      <c r="W3300" s="285">
        <f t="shared" si="82"/>
        <v>2842.806236860547</v>
      </c>
    </row>
    <row r="3301" spans="1:23" ht="15" customHeight="1">
      <c r="A3301" s="3">
        <v>40526</v>
      </c>
      <c r="B3301" s="9">
        <v>26450</v>
      </c>
      <c r="C3301" s="5">
        <v>76025</v>
      </c>
      <c r="D3301" s="5" t="e">
        <f>E3301-(#REF!+#REF!+C3301)</f>
        <v>#REF!</v>
      </c>
      <c r="E3301" s="5">
        <v>203175</v>
      </c>
      <c r="K3301" s="22">
        <v>2440</v>
      </c>
      <c r="L3301" s="6">
        <v>2454</v>
      </c>
      <c r="M3301" s="125">
        <f t="shared" si="83"/>
        <v>14</v>
      </c>
      <c r="N3301" s="18"/>
      <c r="O3301" s="135"/>
      <c r="P3301" s="175">
        <v>17250</v>
      </c>
      <c r="Q3301" s="25">
        <f>171.53/1143.5</f>
        <v>0.15000437254044599</v>
      </c>
      <c r="U3301" s="384">
        <v>0.1</v>
      </c>
      <c r="W3301" s="285">
        <f t="shared" si="82"/>
        <v>2846.3329689549628</v>
      </c>
    </row>
    <row r="3302" spans="1:23" ht="15" customHeight="1">
      <c r="A3302" s="3">
        <v>40527</v>
      </c>
      <c r="B3302" s="9">
        <v>27450</v>
      </c>
      <c r="C3302" s="5">
        <v>79175</v>
      </c>
      <c r="D3302" s="5" t="e">
        <f>E3302-(#REF!+#REF!+C3302)</f>
        <v>#REF!</v>
      </c>
      <c r="E3302" s="5">
        <v>207050</v>
      </c>
      <c r="K3302" s="22">
        <v>2392</v>
      </c>
      <c r="L3302" s="6">
        <v>2404.5</v>
      </c>
      <c r="M3302" s="125">
        <f t="shared" si="83"/>
        <v>12.5</v>
      </c>
      <c r="N3302" s="18"/>
      <c r="O3302" s="135"/>
      <c r="P3302" s="175">
        <v>17250</v>
      </c>
      <c r="Q3302" s="25">
        <f>171.47/1141.4</f>
        <v>0.15022779043280182</v>
      </c>
      <c r="U3302" s="384">
        <v>0.1</v>
      </c>
      <c r="W3302" s="285">
        <f t="shared" si="82"/>
        <v>2850.5723234624152</v>
      </c>
    </row>
    <row r="3303" spans="1:23" ht="15" customHeight="1">
      <c r="A3303" s="3">
        <v>40528</v>
      </c>
      <c r="B3303" s="9">
        <v>27450</v>
      </c>
      <c r="C3303" s="5">
        <v>79100</v>
      </c>
      <c r="D3303" s="5" t="e">
        <f>E3303-(#REF!+#REF!+C3303)</f>
        <v>#REF!</v>
      </c>
      <c r="E3303" s="5">
        <v>207775</v>
      </c>
      <c r="K3303" s="22">
        <v>2380</v>
      </c>
      <c r="L3303" s="6">
        <v>2388</v>
      </c>
      <c r="M3303" s="125">
        <f t="shared" si="83"/>
        <v>8</v>
      </c>
      <c r="N3303" s="18"/>
      <c r="O3303" s="135"/>
      <c r="P3303" s="175">
        <v>17100</v>
      </c>
      <c r="Q3303" s="25">
        <f>172.99/1151.2</f>
        <v>0.15026928422515637</v>
      </c>
      <c r="U3303" s="384">
        <v>0.1</v>
      </c>
      <c r="W3303" s="285">
        <f t="shared" si="82"/>
        <v>2826.5652362751916</v>
      </c>
    </row>
    <row r="3304" spans="1:23" ht="15" customHeight="1">
      <c r="A3304" s="3">
        <v>40529</v>
      </c>
      <c r="B3304" s="9">
        <v>28775</v>
      </c>
      <c r="C3304" s="5">
        <v>79250</v>
      </c>
      <c r="D3304" s="5" t="e">
        <f>E3304-(#REF!+#REF!+C3304)</f>
        <v>#REF!</v>
      </c>
      <c r="E3304" s="5">
        <v>207600</v>
      </c>
      <c r="K3304" s="22">
        <v>2378.5</v>
      </c>
      <c r="L3304" s="6">
        <v>2377.5</v>
      </c>
      <c r="M3304" s="125">
        <f t="shared" si="83"/>
        <v>-1</v>
      </c>
      <c r="N3304" s="18"/>
      <c r="O3304" s="135"/>
      <c r="P3304" s="175">
        <v>17100</v>
      </c>
      <c r="Q3304" s="25">
        <f>173.55/1156.5</f>
        <v>0.15006485084306098</v>
      </c>
      <c r="U3304" s="384">
        <v>0.1</v>
      </c>
      <c r="W3304" s="285">
        <f t="shared" si="82"/>
        <v>2822.7198443579773</v>
      </c>
    </row>
    <row r="3305" spans="1:23" ht="15" customHeight="1">
      <c r="A3305" s="3">
        <v>40532</v>
      </c>
      <c r="B3305" s="9">
        <v>28775</v>
      </c>
      <c r="C3305" s="5">
        <v>79425</v>
      </c>
      <c r="D3305" s="5" t="e">
        <f>E3305-(#REF!+#REF!+C3305)</f>
        <v>#REF!</v>
      </c>
      <c r="E3305" s="5">
        <v>207750</v>
      </c>
      <c r="K3305" s="22">
        <v>2452</v>
      </c>
      <c r="L3305" s="6">
        <v>2447</v>
      </c>
      <c r="M3305" s="125">
        <f t="shared" si="83"/>
        <v>-5</v>
      </c>
      <c r="N3305" s="18"/>
      <c r="O3305" s="135"/>
      <c r="P3305" s="175">
        <v>17150</v>
      </c>
      <c r="Q3305" s="25">
        <f>172.91/1150.8</f>
        <v>0.15025199860966285</v>
      </c>
      <c r="U3305" s="384">
        <v>0.1</v>
      </c>
      <c r="W3305" s="285">
        <f t="shared" si="82"/>
        <v>2834.5039537712901</v>
      </c>
    </row>
    <row r="3306" spans="1:23" ht="15" customHeight="1">
      <c r="A3306" s="3">
        <v>40533</v>
      </c>
      <c r="B3306" s="9">
        <v>28775</v>
      </c>
      <c r="C3306" s="5">
        <v>79375</v>
      </c>
      <c r="D3306" s="5" t="e">
        <f>E3306-(#REF!+#REF!+C3306)</f>
        <v>#REF!</v>
      </c>
      <c r="E3306" s="5">
        <v>207500</v>
      </c>
      <c r="K3306" s="22">
        <v>2470</v>
      </c>
      <c r="L3306" s="6">
        <v>2465</v>
      </c>
      <c r="M3306" s="125">
        <f t="shared" si="83"/>
        <v>-5</v>
      </c>
      <c r="N3306" s="18"/>
      <c r="O3306" s="135"/>
      <c r="P3306" s="175">
        <v>17150</v>
      </c>
      <c r="Q3306" s="25">
        <v>0.14979999999999999</v>
      </c>
      <c r="U3306" s="384">
        <v>0.1</v>
      </c>
      <c r="W3306" s="285">
        <f t="shared" si="82"/>
        <v>2825.9769999999999</v>
      </c>
    </row>
    <row r="3307" spans="1:23" ht="15" customHeight="1">
      <c r="A3307" s="3">
        <v>40534</v>
      </c>
      <c r="B3307" s="9">
        <v>28950</v>
      </c>
      <c r="C3307" s="5">
        <v>79325</v>
      </c>
      <c r="D3307" s="5" t="e">
        <f>E3307-(#REF!+#REF!+C3307)</f>
        <v>#REF!</v>
      </c>
      <c r="E3307" s="5">
        <v>207800</v>
      </c>
      <c r="K3307" s="22">
        <v>2460</v>
      </c>
      <c r="L3307" s="6">
        <v>2446</v>
      </c>
      <c r="M3307" s="125">
        <f t="shared" si="83"/>
        <v>-14</v>
      </c>
      <c r="N3307" s="18"/>
      <c r="O3307" s="135"/>
      <c r="P3307" s="175">
        <v>17150</v>
      </c>
      <c r="Q3307" s="25">
        <f>173.21/1153.3</f>
        <v>0.15018642157287784</v>
      </c>
      <c r="U3307" s="384">
        <v>0.1</v>
      </c>
      <c r="W3307" s="285">
        <f t="shared" si="82"/>
        <v>2833.2668429723408</v>
      </c>
    </row>
    <row r="3308" spans="1:23" ht="15" customHeight="1">
      <c r="A3308" s="3">
        <v>40535</v>
      </c>
      <c r="B3308" s="9">
        <v>28850</v>
      </c>
      <c r="C3308" s="5">
        <v>80050</v>
      </c>
      <c r="D3308" s="5" t="e">
        <f>E3308-(#REF!+#REF!+C3308)</f>
        <v>#REF!</v>
      </c>
      <c r="E3308" s="5">
        <v>207875</v>
      </c>
      <c r="K3308" s="22">
        <v>2417</v>
      </c>
      <c r="L3308" s="6">
        <v>2412.5</v>
      </c>
      <c r="M3308" s="125">
        <f t="shared" si="83"/>
        <v>-4.5</v>
      </c>
      <c r="N3308" s="18"/>
      <c r="O3308" s="135"/>
      <c r="P3308" s="175">
        <v>17100</v>
      </c>
      <c r="Q3308" s="25">
        <f>173.82/1155.5</f>
        <v>0.1504283859800952</v>
      </c>
      <c r="U3308" s="384">
        <v>0.1</v>
      </c>
      <c r="W3308" s="285">
        <f t="shared" si="82"/>
        <v>2829.5579402855906</v>
      </c>
    </row>
    <row r="3309" spans="1:23" ht="15" customHeight="1">
      <c r="A3309" s="3">
        <v>40536</v>
      </c>
      <c r="B3309" s="9">
        <v>28850</v>
      </c>
      <c r="C3309" s="5">
        <v>80350</v>
      </c>
      <c r="D3309" s="5" t="e">
        <f>E3309-(#REF!+#REF!+C3309)</f>
        <v>#REF!</v>
      </c>
      <c r="E3309" s="5">
        <v>207850</v>
      </c>
      <c r="K3309" s="22">
        <v>2440</v>
      </c>
      <c r="L3309" s="6">
        <v>2436</v>
      </c>
      <c r="M3309" s="125">
        <f t="shared" si="83"/>
        <v>-4</v>
      </c>
      <c r="N3309" s="18"/>
      <c r="O3309" s="135"/>
      <c r="P3309" s="175">
        <v>17000</v>
      </c>
      <c r="Q3309" s="25">
        <f>173.22/1151.5</f>
        <v>0.1504298740772905</v>
      </c>
      <c r="U3309" s="384">
        <v>0.1</v>
      </c>
      <c r="W3309" s="285">
        <f t="shared" ref="W3309:W3372" si="84">(P3309*Q3309)*(1+U3309)</f>
        <v>2813.0386452453326</v>
      </c>
    </row>
    <row r="3310" spans="1:23" ht="15" customHeight="1">
      <c r="A3310" s="3">
        <v>40539</v>
      </c>
      <c r="B3310" s="9">
        <v>0</v>
      </c>
      <c r="C3310" s="24"/>
      <c r="D3310" s="24"/>
      <c r="E3310" s="24"/>
      <c r="F3310" s="1318" t="s">
        <v>39</v>
      </c>
      <c r="G3310" s="1318"/>
      <c r="H3310" s="1318"/>
      <c r="I3310" s="1318"/>
      <c r="J3310" s="5"/>
      <c r="K3310" s="24"/>
      <c r="L3310" s="24"/>
      <c r="M3310" s="24"/>
      <c r="N3310" s="18"/>
      <c r="O3310" s="135"/>
      <c r="P3310" s="207"/>
      <c r="Q3310" s="1406" t="s">
        <v>40</v>
      </c>
      <c r="R3310" s="1406"/>
      <c r="S3310" s="1406"/>
      <c r="T3310" s="1406"/>
      <c r="U3310" s="1406"/>
      <c r="W3310" s="285" t="e">
        <f t="shared" si="84"/>
        <v>#VALUE!</v>
      </c>
    </row>
    <row r="3311" spans="1:23" ht="15" customHeight="1">
      <c r="A3311" s="3">
        <v>40540</v>
      </c>
      <c r="B3311" s="9">
        <v>0</v>
      </c>
      <c r="C3311" s="24"/>
      <c r="D3311" s="24"/>
      <c r="E3311" s="24"/>
      <c r="F3311" s="1318"/>
      <c r="G3311" s="1318"/>
      <c r="H3311" s="1318"/>
      <c r="I3311" s="1318"/>
      <c r="J3311" s="5"/>
      <c r="K3311" s="24"/>
      <c r="L3311" s="24"/>
      <c r="M3311" s="24"/>
      <c r="N3311" s="18"/>
      <c r="O3311" s="135"/>
      <c r="P3311" s="207"/>
      <c r="Q3311" s="1406"/>
      <c r="R3311" s="1406"/>
      <c r="S3311" s="1406"/>
      <c r="T3311" s="1406"/>
      <c r="U3311" s="1406"/>
      <c r="W3311" s="285">
        <f t="shared" si="84"/>
        <v>0</v>
      </c>
    </row>
    <row r="3312" spans="1:23" ht="15" customHeight="1">
      <c r="A3312" s="3">
        <v>40541</v>
      </c>
      <c r="B3312" s="9">
        <v>28850</v>
      </c>
      <c r="C3312" s="5">
        <v>80350</v>
      </c>
      <c r="D3312" s="5" t="e">
        <f>E3312-(#REF!+#REF!+C3312)</f>
        <v>#REF!</v>
      </c>
      <c r="E3312" s="5">
        <v>207700</v>
      </c>
      <c r="K3312" s="22">
        <v>2535</v>
      </c>
      <c r="L3312" s="6">
        <v>2530</v>
      </c>
      <c r="M3312" s="125">
        <f t="shared" ref="M3312:M3375" si="85">L3312-K3312</f>
        <v>-5</v>
      </c>
      <c r="N3312" s="18"/>
      <c r="O3312" s="135"/>
      <c r="P3312" s="175">
        <v>17000</v>
      </c>
      <c r="Q3312" s="25">
        <f>173.83/1152</f>
        <v>0.15089409722222225</v>
      </c>
      <c r="U3312" s="384">
        <v>0.1</v>
      </c>
      <c r="W3312" s="285">
        <f t="shared" si="84"/>
        <v>2821.7196180555566</v>
      </c>
    </row>
    <row r="3313" spans="1:23" ht="15" customHeight="1">
      <c r="A3313" s="3">
        <v>40542</v>
      </c>
      <c r="B3313" s="9">
        <v>28850</v>
      </c>
      <c r="C3313" s="5">
        <v>80875</v>
      </c>
      <c r="D3313" s="5" t="e">
        <f>E3313-(#REF!+#REF!+C3313)</f>
        <v>#REF!</v>
      </c>
      <c r="E3313" s="5">
        <v>206850</v>
      </c>
      <c r="K3313" s="22">
        <v>2559</v>
      </c>
      <c r="L3313" s="6">
        <v>2542.5</v>
      </c>
      <c r="M3313" s="125">
        <f t="shared" si="85"/>
        <v>-16.5</v>
      </c>
      <c r="N3313" s="18"/>
      <c r="O3313" s="135"/>
      <c r="P3313" s="175">
        <v>17050</v>
      </c>
      <c r="Q3313" s="25">
        <f>173.06/1146.1</f>
        <v>0.15099904022336622</v>
      </c>
      <c r="U3313" s="384">
        <v>0.1</v>
      </c>
      <c r="W3313" s="285">
        <f t="shared" si="84"/>
        <v>2831.9869993892339</v>
      </c>
    </row>
    <row r="3314" spans="1:23" ht="15" customHeight="1" thickBot="1">
      <c r="A3314" s="11">
        <v>40543</v>
      </c>
      <c r="B3314" s="9">
        <v>28850</v>
      </c>
      <c r="C3314" s="13">
        <v>80950</v>
      </c>
      <c r="D3314" s="13" t="e">
        <f>E3314-(#REF!+#REF!+C3314)</f>
        <v>#REF!</v>
      </c>
      <c r="E3314" s="13">
        <v>208275</v>
      </c>
      <c r="F3314" s="12"/>
      <c r="G3314" s="13"/>
      <c r="H3314" s="13"/>
      <c r="I3314" s="119"/>
      <c r="J3314" s="119"/>
      <c r="K3314" s="23">
        <v>2587</v>
      </c>
      <c r="L3314" s="14">
        <v>2563.5</v>
      </c>
      <c r="M3314" s="126">
        <f t="shared" si="85"/>
        <v>-23.5</v>
      </c>
      <c r="N3314" s="85">
        <f>AVERAGE(K3292:K3314)</f>
        <v>2412.9285714285716</v>
      </c>
      <c r="O3314" s="143">
        <f>AVERAGE(K3055:K3314)</f>
        <v>2147.5612648221345</v>
      </c>
      <c r="P3314" s="176">
        <v>17050</v>
      </c>
      <c r="Q3314" s="27">
        <f>172.5/1138.9</f>
        <v>0.15146193695671262</v>
      </c>
      <c r="R3314" s="27"/>
      <c r="S3314" s="27"/>
      <c r="T3314" s="27"/>
      <c r="U3314" s="385">
        <v>0.1</v>
      </c>
      <c r="V3314" s="38">
        <f>AVERAGE(P3292:P3314)</f>
        <v>17157.142857142859</v>
      </c>
      <c r="W3314" s="285">
        <f t="shared" si="84"/>
        <v>2840.6686276231453</v>
      </c>
    </row>
    <row r="3315" spans="1:23" ht="15" customHeight="1">
      <c r="A3315" s="3">
        <v>40547</v>
      </c>
      <c r="B3315" s="9">
        <v>30300</v>
      </c>
      <c r="C3315" s="5">
        <v>80900</v>
      </c>
      <c r="D3315" s="5" t="e">
        <f>E3315-(#REF!+#REF!+C3315)</f>
        <v>#REF!</v>
      </c>
      <c r="E3315" s="5">
        <v>208550</v>
      </c>
      <c r="K3315" s="22">
        <v>2593</v>
      </c>
      <c r="L3315" s="6">
        <v>2572</v>
      </c>
      <c r="M3315" s="125">
        <f t="shared" si="85"/>
        <v>-21</v>
      </c>
      <c r="N3315" s="20"/>
      <c r="O3315" s="144">
        <f>AVERAGE(K3315:K3573)</f>
        <v>2397.8326693227091</v>
      </c>
      <c r="P3315" s="175">
        <v>17100</v>
      </c>
      <c r="Q3315" s="25">
        <f>171.09/1127.5</f>
        <v>0.15174279379157429</v>
      </c>
      <c r="U3315" s="384">
        <v>0.1</v>
      </c>
      <c r="W3315" s="285">
        <f t="shared" si="84"/>
        <v>2854.2819512195128</v>
      </c>
    </row>
    <row r="3316" spans="1:23" ht="15" customHeight="1">
      <c r="A3316" s="3">
        <v>40548</v>
      </c>
      <c r="B3316" s="9">
        <v>30300</v>
      </c>
      <c r="C3316" s="5">
        <v>81475</v>
      </c>
      <c r="D3316" s="5" t="e">
        <f>E3316-(#REF!+#REF!+C3316)</f>
        <v>#REF!</v>
      </c>
      <c r="E3316" s="5">
        <v>209900</v>
      </c>
      <c r="K3316" s="22">
        <v>2569</v>
      </c>
      <c r="L3316" s="6">
        <v>2543</v>
      </c>
      <c r="M3316" s="125">
        <f t="shared" si="85"/>
        <v>-26</v>
      </c>
      <c r="N3316" s="18"/>
      <c r="O3316" s="135"/>
      <c r="P3316" s="175">
        <v>17150</v>
      </c>
      <c r="Q3316" s="25">
        <f>169.87/1122.3</f>
        <v>0.15135881671567319</v>
      </c>
      <c r="U3316" s="384">
        <v>0.1</v>
      </c>
      <c r="W3316" s="285">
        <f t="shared" si="84"/>
        <v>2855.3840773411748</v>
      </c>
    </row>
    <row r="3317" spans="1:23" ht="15" customHeight="1">
      <c r="A3317" s="3">
        <v>40549</v>
      </c>
      <c r="B3317" s="9">
        <v>31300</v>
      </c>
      <c r="C3317" s="5">
        <v>81600</v>
      </c>
      <c r="D3317" s="5" t="e">
        <f>E3317-(#REF!+#REF!+C3317)</f>
        <v>#REF!</v>
      </c>
      <c r="E3317" s="5">
        <v>209850</v>
      </c>
      <c r="K3317" s="22">
        <v>2703</v>
      </c>
      <c r="L3317" s="6">
        <v>2676.5</v>
      </c>
      <c r="M3317" s="125">
        <f t="shared" si="85"/>
        <v>-26.5</v>
      </c>
      <c r="N3317" s="18"/>
      <c r="O3317" s="135"/>
      <c r="P3317" s="175">
        <v>17250</v>
      </c>
      <c r="Q3317" s="25">
        <f>169.96/1125</f>
        <v>0.15107555555555557</v>
      </c>
      <c r="U3317" s="384">
        <v>0.1</v>
      </c>
      <c r="W3317" s="285">
        <f t="shared" si="84"/>
        <v>2866.6586666666672</v>
      </c>
    </row>
    <row r="3318" spans="1:23" ht="15" customHeight="1">
      <c r="A3318" s="3">
        <v>40550</v>
      </c>
      <c r="B3318" s="9">
        <v>31300</v>
      </c>
      <c r="C3318" s="5">
        <v>81600</v>
      </c>
      <c r="D3318" s="5" t="e">
        <f>E3318-(#REF!+#REF!+C3318)</f>
        <v>#REF!</v>
      </c>
      <c r="E3318" s="5">
        <v>209700</v>
      </c>
      <c r="K3318" s="22">
        <v>2660</v>
      </c>
      <c r="L3318" s="6">
        <v>2635</v>
      </c>
      <c r="M3318" s="125">
        <f t="shared" si="85"/>
        <v>-25</v>
      </c>
      <c r="N3318" s="18"/>
      <c r="O3318" s="135"/>
      <c r="P3318" s="175">
        <v>17300</v>
      </c>
      <c r="Q3318" s="78">
        <f>169.52/1123.1</f>
        <v>0.15093936425963853</v>
      </c>
      <c r="R3318" s="78"/>
      <c r="S3318" s="78"/>
      <c r="T3318" s="78"/>
      <c r="U3318" s="384">
        <v>0.1</v>
      </c>
      <c r="W3318" s="285">
        <f t="shared" si="84"/>
        <v>2872.3761018609212</v>
      </c>
    </row>
    <row r="3319" spans="1:23" ht="15" customHeight="1">
      <c r="A3319" s="3">
        <v>40553</v>
      </c>
      <c r="B3319" s="9">
        <v>32300</v>
      </c>
      <c r="C3319" s="5">
        <v>81450</v>
      </c>
      <c r="D3319" s="5" t="e">
        <f>E3319-(#REF!+#REF!+C3319)</f>
        <v>#REF!</v>
      </c>
      <c r="E3319" s="5">
        <v>210375</v>
      </c>
      <c r="K3319" s="22">
        <v>2642</v>
      </c>
      <c r="L3319" s="6">
        <v>2616</v>
      </c>
      <c r="M3319" s="125">
        <f t="shared" si="85"/>
        <v>-26</v>
      </c>
      <c r="N3319" s="18"/>
      <c r="O3319" s="135"/>
      <c r="P3319" s="175">
        <v>17450</v>
      </c>
      <c r="Q3319" s="25">
        <f>169.29/1122.1</f>
        <v>0.15086890651457091</v>
      </c>
      <c r="U3319" s="384">
        <v>0.1</v>
      </c>
      <c r="W3319" s="285">
        <f t="shared" si="84"/>
        <v>2895.9286605471889</v>
      </c>
    </row>
    <row r="3320" spans="1:23" ht="15" customHeight="1">
      <c r="A3320" s="3">
        <v>40554</v>
      </c>
      <c r="B3320" s="9">
        <v>32300</v>
      </c>
      <c r="C3320" s="5">
        <v>81275</v>
      </c>
      <c r="D3320" s="5" t="e">
        <f>E3320-(#REF!+#REF!+C3320)</f>
        <v>#REF!</v>
      </c>
      <c r="E3320" s="5">
        <v>211675</v>
      </c>
      <c r="K3320" s="22">
        <v>2630</v>
      </c>
      <c r="L3320" s="6">
        <v>2600.5</v>
      </c>
      <c r="M3320" s="125">
        <f t="shared" si="85"/>
        <v>-29.5</v>
      </c>
      <c r="N3320" s="18"/>
      <c r="O3320" s="135"/>
      <c r="P3320" s="175">
        <v>17450</v>
      </c>
      <c r="Q3320" s="25">
        <f>168.84/1120.6</f>
        <v>0.15066928431197574</v>
      </c>
      <c r="U3320" s="384">
        <v>0.1</v>
      </c>
      <c r="W3320" s="285">
        <f t="shared" si="84"/>
        <v>2892.0969123683744</v>
      </c>
    </row>
    <row r="3321" spans="1:23" ht="15" customHeight="1">
      <c r="A3321" s="3">
        <v>40555</v>
      </c>
      <c r="B3321" s="9">
        <v>33800</v>
      </c>
      <c r="C3321" s="5">
        <v>81225</v>
      </c>
      <c r="D3321" s="5" t="e">
        <f>E3321-(#REF!+#REF!+C3321)</f>
        <v>#REF!</v>
      </c>
      <c r="E3321" s="5">
        <v>211975</v>
      </c>
      <c r="K3321" s="22">
        <v>2662</v>
      </c>
      <c r="L3321" s="6">
        <v>2639</v>
      </c>
      <c r="M3321" s="125">
        <f t="shared" si="85"/>
        <v>-23</v>
      </c>
      <c r="N3321" s="18"/>
      <c r="O3321" s="135"/>
      <c r="P3321" s="175">
        <v>17450</v>
      </c>
      <c r="Q3321" s="25">
        <f>170.14/1126.2</f>
        <v>0.15107440951873555</v>
      </c>
      <c r="U3321" s="384">
        <v>0.1</v>
      </c>
      <c r="W3321" s="285">
        <f t="shared" si="84"/>
        <v>2899.8732907121289</v>
      </c>
    </row>
    <row r="3322" spans="1:23" ht="15" customHeight="1">
      <c r="A3322" s="3">
        <v>40556</v>
      </c>
      <c r="B3322" s="9">
        <v>34300</v>
      </c>
      <c r="C3322" s="5">
        <v>80700</v>
      </c>
      <c r="D3322" s="5" t="e">
        <f>E3322-(#REF!+#REF!+C3322)</f>
        <v>#REF!</v>
      </c>
      <c r="E3322" s="5">
        <v>211425</v>
      </c>
      <c r="K3322" s="22">
        <v>2699</v>
      </c>
      <c r="L3322" s="6">
        <v>2674</v>
      </c>
      <c r="M3322" s="125">
        <f t="shared" si="85"/>
        <v>-25</v>
      </c>
      <c r="N3322" s="18"/>
      <c r="O3322" s="135"/>
      <c r="P3322" s="175">
        <v>17500</v>
      </c>
      <c r="Q3322" s="25">
        <f>169.59/1120</f>
        <v>0.15141964285714285</v>
      </c>
      <c r="U3322" s="384">
        <v>0.1</v>
      </c>
      <c r="W3322" s="285">
        <f t="shared" si="84"/>
        <v>2914.8281250000005</v>
      </c>
    </row>
    <row r="3323" spans="1:23" ht="15" customHeight="1">
      <c r="A3323" s="3">
        <v>40557</v>
      </c>
      <c r="B3323" s="9">
        <v>34275</v>
      </c>
      <c r="C3323" s="5">
        <v>80400</v>
      </c>
      <c r="D3323" s="5" t="e">
        <f>E3323-(#REF!+#REF!+C3323)</f>
        <v>#REF!</v>
      </c>
      <c r="E3323" s="5">
        <v>210975</v>
      </c>
      <c r="K3323" s="22">
        <v>2652</v>
      </c>
      <c r="L3323" s="6">
        <v>2635</v>
      </c>
      <c r="M3323" s="125">
        <f t="shared" si="85"/>
        <v>-17</v>
      </c>
      <c r="N3323" s="18"/>
      <c r="O3323" s="135"/>
      <c r="P3323" s="175">
        <v>17500</v>
      </c>
      <c r="Q3323" s="25">
        <f>168.44/1112.2</f>
        <v>0.15144758137025713</v>
      </c>
      <c r="U3323" s="384">
        <v>0.1</v>
      </c>
      <c r="W3323" s="285">
        <f t="shared" si="84"/>
        <v>2915.3659413774499</v>
      </c>
    </row>
    <row r="3324" spans="1:23" ht="15" customHeight="1">
      <c r="A3324" s="3">
        <v>40560</v>
      </c>
      <c r="B3324" s="9">
        <v>37750</v>
      </c>
      <c r="C3324" s="5">
        <v>79975</v>
      </c>
      <c r="D3324" s="5" t="e">
        <f>E3324-(#REF!+#REF!+C3324)</f>
        <v>#REF!</v>
      </c>
      <c r="E3324" s="5">
        <v>214125</v>
      </c>
      <c r="K3324" s="22">
        <v>2720</v>
      </c>
      <c r="L3324" s="6">
        <v>2677</v>
      </c>
      <c r="M3324" s="125">
        <f t="shared" si="85"/>
        <v>-43</v>
      </c>
      <c r="N3324" s="18"/>
      <c r="O3324" s="135"/>
      <c r="P3324" s="175">
        <v>17550</v>
      </c>
      <c r="Q3324" s="25">
        <f>169.18/1114.7</f>
        <v>0.15177177715977394</v>
      </c>
      <c r="U3324" s="384">
        <v>0.1</v>
      </c>
      <c r="W3324" s="285">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25">
        <f t="shared" si="85"/>
        <v>-33</v>
      </c>
      <c r="N3325" s="18"/>
      <c r="O3325" s="135"/>
      <c r="P3325" s="175">
        <v>17500</v>
      </c>
      <c r="Q3325" s="25">
        <f>169.07/1114.7</f>
        <v>0.15167309590024219</v>
      </c>
      <c r="U3325" s="384">
        <v>0.1</v>
      </c>
      <c r="W3325" s="285">
        <f t="shared" si="84"/>
        <v>2919.7070960796627</v>
      </c>
    </row>
    <row r="3326" spans="1:23" ht="15" customHeight="1">
      <c r="A3326" s="3">
        <v>40562</v>
      </c>
      <c r="B3326" s="9">
        <v>76150</v>
      </c>
      <c r="C3326" s="5">
        <v>82875</v>
      </c>
      <c r="D3326" s="5" t="e">
        <f>E3326-(#REF!+#REF!+C3326)</f>
        <v>#REF!</v>
      </c>
      <c r="E3326" s="5">
        <v>261925</v>
      </c>
      <c r="K3326" s="22">
        <v>2650</v>
      </c>
      <c r="L3326" s="6">
        <v>2618</v>
      </c>
      <c r="M3326" s="125">
        <f t="shared" si="85"/>
        <v>-32</v>
      </c>
      <c r="N3326" s="18"/>
      <c r="O3326" s="135"/>
      <c r="P3326" s="175">
        <v>17500</v>
      </c>
      <c r="Q3326" s="25">
        <f>169.65/1116.8</f>
        <v>0.15190723495702008</v>
      </c>
      <c r="U3326" s="384">
        <v>0.1</v>
      </c>
      <c r="W3326" s="285">
        <f t="shared" si="84"/>
        <v>2924.2142729226366</v>
      </c>
    </row>
    <row r="3327" spans="1:23" ht="15" customHeight="1">
      <c r="A3327" s="3">
        <v>40563</v>
      </c>
      <c r="B3327" s="9">
        <v>84525</v>
      </c>
      <c r="C3327" s="5">
        <v>82475</v>
      </c>
      <c r="D3327" s="5" t="e">
        <f>E3327-(#REF!+#REF!+C3327)</f>
        <v>#REF!</v>
      </c>
      <c r="E3327" s="5">
        <v>264350</v>
      </c>
      <c r="K3327" s="22">
        <v>2530</v>
      </c>
      <c r="L3327" s="6">
        <v>2481</v>
      </c>
      <c r="M3327" s="125">
        <f t="shared" si="85"/>
        <v>-49</v>
      </c>
      <c r="N3327" s="18"/>
      <c r="O3327" s="135"/>
      <c r="P3327" s="175">
        <v>17400</v>
      </c>
      <c r="Q3327" s="25">
        <f>169.01/1112.5</f>
        <v>0.1519191011235955</v>
      </c>
      <c r="U3327" s="384">
        <v>0.1</v>
      </c>
      <c r="W3327" s="285">
        <f t="shared" si="84"/>
        <v>2907.7315955056179</v>
      </c>
    </row>
    <row r="3328" spans="1:23" ht="15" customHeight="1">
      <c r="A3328" s="3">
        <v>40564</v>
      </c>
      <c r="B3328" s="9">
        <v>84525</v>
      </c>
      <c r="C3328" s="5">
        <v>81950</v>
      </c>
      <c r="D3328" s="5" t="e">
        <f>E3328-(#REF!+#REF!+C3328)</f>
        <v>#REF!</v>
      </c>
      <c r="E3328" s="5">
        <v>264175</v>
      </c>
      <c r="K3328" s="22">
        <v>2550</v>
      </c>
      <c r="L3328" s="6">
        <v>2471</v>
      </c>
      <c r="M3328" s="125">
        <f t="shared" si="85"/>
        <v>-79</v>
      </c>
      <c r="N3328" s="18"/>
      <c r="O3328" s="135"/>
      <c r="P3328" s="175">
        <v>17400</v>
      </c>
      <c r="Q3328" s="25">
        <f>169.82/1118.2</f>
        <v>0.15186907529958862</v>
      </c>
      <c r="U3328" s="384">
        <v>0.1</v>
      </c>
      <c r="W3328" s="285">
        <f t="shared" si="84"/>
        <v>2906.7741012341266</v>
      </c>
    </row>
    <row r="3329" spans="1:23" ht="15" customHeight="1">
      <c r="A3329" s="3">
        <v>40567</v>
      </c>
      <c r="B3329" s="9">
        <v>84525</v>
      </c>
      <c r="C3329" s="5">
        <v>81900</v>
      </c>
      <c r="D3329" s="5" t="e">
        <f>E3329-(#REF!+#REF!+C3329)</f>
        <v>#REF!</v>
      </c>
      <c r="E3329" s="5">
        <v>266775</v>
      </c>
      <c r="K3329" s="22">
        <v>2490</v>
      </c>
      <c r="L3329" s="6">
        <v>2395</v>
      </c>
      <c r="M3329" s="125">
        <f t="shared" si="85"/>
        <v>-95</v>
      </c>
      <c r="N3329" s="18"/>
      <c r="O3329" s="135"/>
      <c r="P3329" s="175">
        <v>17350</v>
      </c>
      <c r="Q3329" s="25">
        <f>170.42/1122</f>
        <v>0.15188948306595365</v>
      </c>
      <c r="U3329" s="384">
        <v>0.1</v>
      </c>
      <c r="W3329" s="285">
        <f t="shared" si="84"/>
        <v>2898.8107843137254</v>
      </c>
    </row>
    <row r="3330" spans="1:23" ht="15" customHeight="1">
      <c r="A3330" s="3">
        <v>40568</v>
      </c>
      <c r="B3330" s="9">
        <v>86600</v>
      </c>
      <c r="C3330" s="5">
        <v>81575</v>
      </c>
      <c r="D3330" s="5" t="e">
        <f>E3330-(#REF!+#REF!+C3330)</f>
        <v>#REF!</v>
      </c>
      <c r="E3330" s="5">
        <v>271300</v>
      </c>
      <c r="K3330" s="22">
        <v>2535</v>
      </c>
      <c r="L3330" s="6">
        <v>2480</v>
      </c>
      <c r="M3330" s="125">
        <f t="shared" si="85"/>
        <v>-55</v>
      </c>
      <c r="N3330" s="18"/>
      <c r="O3330" s="135"/>
      <c r="P3330" s="175">
        <v>17200</v>
      </c>
      <c r="Q3330" s="25">
        <f>170.23/1120.3</f>
        <v>0.15195037043649023</v>
      </c>
      <c r="U3330" s="384">
        <v>0.1</v>
      </c>
      <c r="W3330" s="285">
        <f t="shared" si="84"/>
        <v>2874.9010086583958</v>
      </c>
    </row>
    <row r="3331" spans="1:23" ht="15" customHeight="1">
      <c r="A3331" s="3">
        <v>40569</v>
      </c>
      <c r="B3331" s="9">
        <v>86450</v>
      </c>
      <c r="C3331" s="5">
        <v>85000</v>
      </c>
      <c r="D3331" s="5" t="e">
        <f>E3331-(#REF!+#REF!+C3331)</f>
        <v>#REF!</v>
      </c>
      <c r="E3331" s="5">
        <v>275300</v>
      </c>
      <c r="K3331" s="22">
        <v>2444</v>
      </c>
      <c r="L3331" s="6">
        <v>2389</v>
      </c>
      <c r="M3331" s="125">
        <f t="shared" si="85"/>
        <v>-55</v>
      </c>
      <c r="N3331" s="18"/>
      <c r="O3331" s="135"/>
      <c r="P3331" s="175">
        <v>17200</v>
      </c>
      <c r="Q3331" s="25">
        <f>169.78/1117.6</f>
        <v>0.15191481746599858</v>
      </c>
      <c r="U3331" s="384">
        <v>0.1</v>
      </c>
      <c r="W3331" s="285">
        <f t="shared" si="84"/>
        <v>2874.2283464566935</v>
      </c>
    </row>
    <row r="3332" spans="1:23" ht="15" customHeight="1">
      <c r="A3332" s="3">
        <v>40570</v>
      </c>
      <c r="B3332" s="9">
        <v>87000</v>
      </c>
      <c r="C3332" s="5">
        <v>85275</v>
      </c>
      <c r="D3332" s="5" t="e">
        <f>E3332-(#REF!+#REF!+C3332)</f>
        <v>#REF!</v>
      </c>
      <c r="E3332" s="5">
        <v>276925</v>
      </c>
      <c r="K3332" s="22">
        <v>2490</v>
      </c>
      <c r="L3332" s="6">
        <v>2430</v>
      </c>
      <c r="M3332" s="125">
        <f t="shared" si="85"/>
        <v>-60</v>
      </c>
      <c r="N3332" s="18"/>
      <c r="O3332" s="135"/>
      <c r="P3332" s="175">
        <v>17100</v>
      </c>
      <c r="Q3332" s="25">
        <f>169.9/1118.2</f>
        <v>0.15194061885172599</v>
      </c>
      <c r="U3332" s="384">
        <v>0.1</v>
      </c>
      <c r="W3332" s="285">
        <f t="shared" si="84"/>
        <v>2858.003040600966</v>
      </c>
    </row>
    <row r="3333" spans="1:23" ht="15" customHeight="1">
      <c r="A3333" s="3">
        <v>40571</v>
      </c>
      <c r="B3333" s="9">
        <v>87950</v>
      </c>
      <c r="C3333" s="5">
        <v>85825</v>
      </c>
      <c r="D3333" s="5" t="e">
        <f>E3333-(#REF!+#REF!+C3333)</f>
        <v>#REF!</v>
      </c>
      <c r="E3333" s="5">
        <v>279025</v>
      </c>
      <c r="K3333" s="22">
        <v>2545</v>
      </c>
      <c r="L3333" s="6">
        <v>2466</v>
      </c>
      <c r="M3333" s="125">
        <f t="shared" si="85"/>
        <v>-79</v>
      </c>
      <c r="N3333" s="18"/>
      <c r="O3333" s="135"/>
      <c r="P3333" s="175">
        <v>17100</v>
      </c>
      <c r="Q3333" s="25">
        <f>169.29/1114.3</f>
        <v>0.15192497532082921</v>
      </c>
      <c r="U3333" s="384">
        <v>0.1</v>
      </c>
      <c r="W3333" s="285">
        <f t="shared" si="84"/>
        <v>2857.7087857847978</v>
      </c>
    </row>
    <row r="3334" spans="1:23" ht="15" customHeight="1" thickBot="1">
      <c r="A3334" s="11">
        <v>40574</v>
      </c>
      <c r="B3334" s="9">
        <v>87950</v>
      </c>
      <c r="C3334" s="13">
        <v>86650</v>
      </c>
      <c r="D3334" s="13" t="e">
        <f>E3334-(#REF!+#REF!+C3334)</f>
        <v>#REF!</v>
      </c>
      <c r="E3334" s="13">
        <v>279925</v>
      </c>
      <c r="F3334" s="12"/>
      <c r="G3334" s="13"/>
      <c r="H3334" s="13"/>
      <c r="I3334" s="119"/>
      <c r="J3334" s="119"/>
      <c r="K3334" s="23">
        <v>2576</v>
      </c>
      <c r="L3334" s="14">
        <v>2475.5</v>
      </c>
      <c r="M3334" s="126">
        <f t="shared" si="85"/>
        <v>-100.5</v>
      </c>
      <c r="N3334" s="85">
        <f>AVERAGE(K3315:K3334)</f>
        <v>2601.65</v>
      </c>
      <c r="O3334" s="143">
        <f>AVERAGE(K3315:K3334)</f>
        <v>2601.65</v>
      </c>
      <c r="P3334" s="176">
        <v>17100</v>
      </c>
      <c r="Q3334" s="27">
        <f>169.29/1114.3</f>
        <v>0.15192497532082921</v>
      </c>
      <c r="R3334" s="27"/>
      <c r="S3334" s="27"/>
      <c r="T3334" s="27"/>
      <c r="U3334" s="385">
        <v>0.1</v>
      </c>
      <c r="V3334" s="38">
        <f>AVERAGE(P3315:P3334)</f>
        <v>17327.5</v>
      </c>
      <c r="W3334" s="285">
        <f t="shared" si="84"/>
        <v>2857.7087857847978</v>
      </c>
    </row>
    <row r="3335" spans="1:23" ht="15" customHeight="1">
      <c r="A3335" s="3">
        <v>40575</v>
      </c>
      <c r="B3335" s="9">
        <v>88675</v>
      </c>
      <c r="C3335" s="5">
        <v>86575</v>
      </c>
      <c r="D3335" s="5" t="e">
        <f>E3335-(#REF!+#REF!+C3335)</f>
        <v>#REF!</v>
      </c>
      <c r="E3335" s="5">
        <v>282700</v>
      </c>
      <c r="K3335" s="22">
        <v>2620</v>
      </c>
      <c r="L3335" s="6">
        <v>2533</v>
      </c>
      <c r="M3335" s="125">
        <f t="shared" si="85"/>
        <v>-87</v>
      </c>
      <c r="N3335" s="18"/>
      <c r="O3335" s="135"/>
      <c r="P3335" s="175">
        <v>17200</v>
      </c>
      <c r="Q3335" s="25">
        <f>169.98/1122.7</f>
        <v>0.15140286808586442</v>
      </c>
      <c r="U3335" s="384">
        <v>0.1</v>
      </c>
      <c r="W3335" s="285">
        <f t="shared" si="84"/>
        <v>2864.5422641845548</v>
      </c>
    </row>
    <row r="3336" spans="1:23" ht="15" customHeight="1">
      <c r="A3336" s="3">
        <v>40576</v>
      </c>
      <c r="B3336" s="9">
        <v>89675</v>
      </c>
      <c r="C3336" s="5">
        <v>86475</v>
      </c>
      <c r="D3336" s="5" t="e">
        <f>E3336-(#REF!+#REF!+C3336)</f>
        <v>#REF!</v>
      </c>
      <c r="E3336" s="5">
        <v>284850</v>
      </c>
      <c r="K3336" s="22">
        <v>2613</v>
      </c>
      <c r="L3336" s="6">
        <v>2537</v>
      </c>
      <c r="M3336" s="125">
        <f t="shared" si="85"/>
        <v>-76</v>
      </c>
      <c r="N3336" s="18"/>
      <c r="O3336" s="135"/>
      <c r="P3336" s="207"/>
      <c r="Q3336" s="1363" t="s">
        <v>41</v>
      </c>
      <c r="R3336" s="1363"/>
      <c r="S3336" s="1363"/>
      <c r="T3336" s="1363"/>
      <c r="U3336" s="1363"/>
      <c r="W3336" s="285" t="e">
        <f t="shared" si="84"/>
        <v>#VALUE!</v>
      </c>
    </row>
    <row r="3337" spans="1:23" ht="15" customHeight="1">
      <c r="A3337" s="3">
        <v>40577</v>
      </c>
      <c r="B3337" s="9">
        <v>90600</v>
      </c>
      <c r="C3337" s="5">
        <v>87175</v>
      </c>
      <c r="D3337" s="5" t="e">
        <f>E3337-(#REF!+#REF!+C3337)</f>
        <v>#REF!</v>
      </c>
      <c r="E3337" s="5">
        <v>288925</v>
      </c>
      <c r="K3337" s="22">
        <v>2642</v>
      </c>
      <c r="L3337" s="6">
        <v>2580</v>
      </c>
      <c r="M3337" s="125">
        <f t="shared" si="85"/>
        <v>-62</v>
      </c>
      <c r="N3337" s="18"/>
      <c r="O3337" s="135"/>
      <c r="P3337" s="207"/>
      <c r="Q3337" s="1363"/>
      <c r="R3337" s="1363"/>
      <c r="S3337" s="1363"/>
      <c r="T3337" s="1363"/>
      <c r="U3337" s="1363"/>
      <c r="W3337" s="285">
        <f t="shared" si="84"/>
        <v>0</v>
      </c>
    </row>
    <row r="3338" spans="1:23" ht="15" customHeight="1">
      <c r="A3338" s="3">
        <v>40578</v>
      </c>
      <c r="B3338" s="9">
        <v>93225</v>
      </c>
      <c r="C3338" s="5">
        <v>87350</v>
      </c>
      <c r="D3338" s="5" t="e">
        <f>E3338-(#REF!+#REF!+C3338)</f>
        <v>#REF!</v>
      </c>
      <c r="E3338" s="5">
        <v>289275</v>
      </c>
      <c r="K3338" s="22">
        <v>2638</v>
      </c>
      <c r="L3338" s="6">
        <v>2573</v>
      </c>
      <c r="M3338" s="125">
        <f t="shared" si="85"/>
        <v>-65</v>
      </c>
      <c r="N3338" s="18"/>
      <c r="O3338" s="135"/>
      <c r="P3338" s="207"/>
      <c r="Q3338" s="1363"/>
      <c r="R3338" s="1363"/>
      <c r="S3338" s="1363"/>
      <c r="T3338" s="1363"/>
      <c r="U3338" s="1363"/>
      <c r="W3338" s="285">
        <f t="shared" si="84"/>
        <v>0</v>
      </c>
    </row>
    <row r="3339" spans="1:23" ht="15" customHeight="1">
      <c r="A3339" s="3">
        <v>40581</v>
      </c>
      <c r="B3339" s="9">
        <v>93225</v>
      </c>
      <c r="C3339" s="5">
        <v>87355</v>
      </c>
      <c r="D3339" s="5" t="e">
        <f>E3339-(#REF!+#REF!+C3339)</f>
        <v>#REF!</v>
      </c>
      <c r="E3339" s="5">
        <v>289400</v>
      </c>
      <c r="K3339" s="22">
        <v>2645</v>
      </c>
      <c r="L3339" s="6">
        <v>2585</v>
      </c>
      <c r="M3339" s="125">
        <f t="shared" si="85"/>
        <v>-60</v>
      </c>
      <c r="N3339" s="18"/>
      <c r="O3339" s="135"/>
      <c r="P3339" s="207"/>
      <c r="Q3339" s="1363"/>
      <c r="R3339" s="1363"/>
      <c r="S3339" s="1363"/>
      <c r="T3339" s="1363"/>
      <c r="U3339" s="1363"/>
      <c r="W3339" s="285">
        <f t="shared" si="84"/>
        <v>0</v>
      </c>
    </row>
    <row r="3340" spans="1:23" ht="15" customHeight="1">
      <c r="A3340" s="3">
        <v>40582</v>
      </c>
      <c r="B3340" s="9">
        <v>93225</v>
      </c>
      <c r="C3340" s="5">
        <v>87300</v>
      </c>
      <c r="D3340" s="5" t="e">
        <f>E3340-(#REF!+#REF!+C3340)</f>
        <v>#REF!</v>
      </c>
      <c r="E3340" s="5">
        <v>291850</v>
      </c>
      <c r="K3340" s="22">
        <v>2568</v>
      </c>
      <c r="L3340" s="6">
        <v>2527</v>
      </c>
      <c r="M3340" s="125">
        <f t="shared" si="85"/>
        <v>-41</v>
      </c>
      <c r="N3340" s="18"/>
      <c r="O3340" s="135"/>
      <c r="P3340" s="207"/>
      <c r="Q3340" s="1363"/>
      <c r="R3340" s="1363"/>
      <c r="S3340" s="1363"/>
      <c r="T3340" s="1363"/>
      <c r="U3340" s="1363"/>
      <c r="W3340" s="285">
        <f t="shared" si="84"/>
        <v>0</v>
      </c>
    </row>
    <row r="3341" spans="1:23" ht="15" customHeight="1">
      <c r="A3341" s="3">
        <v>40583</v>
      </c>
      <c r="B3341" s="9">
        <v>95025</v>
      </c>
      <c r="C3341" s="5">
        <v>87250</v>
      </c>
      <c r="D3341" s="5" t="e">
        <f>E3341-(#REF!+#REF!+C3341)</f>
        <v>#REF!</v>
      </c>
      <c r="E3341" s="5">
        <v>292975</v>
      </c>
      <c r="K3341" s="22">
        <v>2575</v>
      </c>
      <c r="L3341" s="6">
        <v>2545.5</v>
      </c>
      <c r="M3341" s="125">
        <f t="shared" si="85"/>
        <v>-29.5</v>
      </c>
      <c r="N3341" s="18"/>
      <c r="O3341" s="135"/>
      <c r="P3341" s="175">
        <v>17250</v>
      </c>
      <c r="Q3341" s="25">
        <f>168.49/1104.4</f>
        <v>0.15256247736327416</v>
      </c>
      <c r="U3341" s="384">
        <v>0.1</v>
      </c>
      <c r="W3341" s="285">
        <f t="shared" si="84"/>
        <v>2894.8730079681272</v>
      </c>
    </row>
    <row r="3342" spans="1:23" ht="15" customHeight="1">
      <c r="A3342" s="3">
        <v>40584</v>
      </c>
      <c r="B3342" s="9">
        <v>95525</v>
      </c>
      <c r="C3342" s="5">
        <v>87250</v>
      </c>
      <c r="D3342" s="5" t="e">
        <f>E3342-(#REF!+#REF!+C3342)</f>
        <v>#REF!</v>
      </c>
      <c r="E3342" s="5">
        <v>294775</v>
      </c>
      <c r="K3342" s="22">
        <v>2505.5</v>
      </c>
      <c r="L3342" s="6">
        <v>2485</v>
      </c>
      <c r="M3342" s="125">
        <f t="shared" si="85"/>
        <v>-20.5</v>
      </c>
      <c r="N3342" s="18"/>
      <c r="O3342" s="135"/>
      <c r="P3342" s="175">
        <v>17150</v>
      </c>
      <c r="Q3342" s="25">
        <f>167.58/1104.8</f>
        <v>0.15168356263577121</v>
      </c>
      <c r="U3342" s="384">
        <v>0.1</v>
      </c>
      <c r="W3342" s="285">
        <f t="shared" si="84"/>
        <v>2861.510409123824</v>
      </c>
    </row>
    <row r="3343" spans="1:23" ht="15" customHeight="1">
      <c r="A3343" s="3">
        <v>40585</v>
      </c>
      <c r="B3343" s="9">
        <v>96925</v>
      </c>
      <c r="C3343" s="5">
        <v>87475</v>
      </c>
      <c r="D3343" s="5" t="e">
        <f>E3343-(#REF!+#REF!+C3343)</f>
        <v>#REF!</v>
      </c>
      <c r="E3343" s="5">
        <v>295050</v>
      </c>
      <c r="K3343" s="22">
        <v>2525</v>
      </c>
      <c r="L3343" s="6">
        <v>2509</v>
      </c>
      <c r="M3343" s="125">
        <f t="shared" si="85"/>
        <v>-16</v>
      </c>
      <c r="N3343" s="18"/>
      <c r="O3343" s="135"/>
      <c r="P3343" s="175">
        <v>17200</v>
      </c>
      <c r="Q3343" s="25">
        <f>168.96/1112.9</f>
        <v>0.15181957049150865</v>
      </c>
      <c r="U3343" s="384">
        <v>0.1</v>
      </c>
      <c r="W3343" s="285">
        <f t="shared" si="84"/>
        <v>2872.4262736993442</v>
      </c>
    </row>
    <row r="3344" spans="1:23" ht="15" customHeight="1">
      <c r="A3344" s="3">
        <v>40588</v>
      </c>
      <c r="B3344" s="9">
        <v>96875</v>
      </c>
      <c r="C3344" s="5">
        <v>87675</v>
      </c>
      <c r="D3344" s="5" t="e">
        <f>E3344-(#REF!+#REF!+C3344)</f>
        <v>#REF!</v>
      </c>
      <c r="E3344" s="5">
        <v>295575</v>
      </c>
      <c r="K3344" s="22">
        <v>2631</v>
      </c>
      <c r="L3344" s="6">
        <v>2627</v>
      </c>
      <c r="M3344" s="125">
        <f t="shared" si="85"/>
        <v>-4</v>
      </c>
      <c r="N3344" s="18"/>
      <c r="O3344" s="135"/>
      <c r="P3344" s="175">
        <v>17250</v>
      </c>
      <c r="Q3344" s="25">
        <f>170.03/1120.7</f>
        <v>0.15171767645221737</v>
      </c>
      <c r="U3344" s="384">
        <v>0.1</v>
      </c>
      <c r="W3344" s="285">
        <f t="shared" si="84"/>
        <v>2878.8429106808248</v>
      </c>
    </row>
    <row r="3345" spans="1:23" ht="15" customHeight="1">
      <c r="A3345" s="3">
        <v>40589</v>
      </c>
      <c r="B3345" s="9">
        <v>97075</v>
      </c>
      <c r="C3345" s="5">
        <v>87850</v>
      </c>
      <c r="D3345" s="5" t="e">
        <f>E3345-(#REF!+#REF!+C3345)</f>
        <v>#REF!</v>
      </c>
      <c r="E3345" s="5">
        <v>297500</v>
      </c>
      <c r="K3345" s="22">
        <v>2654</v>
      </c>
      <c r="L3345" s="6">
        <v>2627</v>
      </c>
      <c r="M3345" s="125">
        <f t="shared" si="85"/>
        <v>-27</v>
      </c>
      <c r="N3345" s="18"/>
      <c r="O3345" s="135"/>
      <c r="P3345" s="175">
        <v>17300</v>
      </c>
      <c r="Q3345" s="25">
        <f>170.37/1123.9</f>
        <v>0.15158821959249041</v>
      </c>
      <c r="U3345" s="384">
        <v>0.1</v>
      </c>
      <c r="W3345" s="285">
        <f t="shared" si="84"/>
        <v>2884.7238188450929</v>
      </c>
    </row>
    <row r="3346" spans="1:23" ht="15" customHeight="1">
      <c r="A3346" s="3">
        <v>40590</v>
      </c>
      <c r="B3346" s="9">
        <v>98750</v>
      </c>
      <c r="C3346" s="5">
        <v>87825</v>
      </c>
      <c r="D3346" s="5" t="e">
        <f>E3346-(#REF!+#REF!+C3346)</f>
        <v>#REF!</v>
      </c>
      <c r="E3346" s="5">
        <v>297250</v>
      </c>
      <c r="K3346" s="22">
        <v>2619</v>
      </c>
      <c r="L3346" s="6">
        <v>2619</v>
      </c>
      <c r="M3346" s="125">
        <f t="shared" si="85"/>
        <v>0</v>
      </c>
      <c r="N3346" s="18"/>
      <c r="O3346" s="135"/>
      <c r="P3346" s="175">
        <v>17250</v>
      </c>
      <c r="Q3346" s="25">
        <f>170.36/1122.5</f>
        <v>0.1517683741648107</v>
      </c>
      <c r="U3346" s="384">
        <v>0.1</v>
      </c>
      <c r="W3346" s="285">
        <f t="shared" si="84"/>
        <v>2879.804899777283</v>
      </c>
    </row>
    <row r="3347" spans="1:23" ht="15" customHeight="1">
      <c r="A3347" s="3">
        <v>40591</v>
      </c>
      <c r="B3347" s="9">
        <v>98650</v>
      </c>
      <c r="C3347" s="5">
        <v>87725</v>
      </c>
      <c r="D3347" s="5" t="e">
        <f>E3347-(#REF!+#REF!+C3347)</f>
        <v>#REF!</v>
      </c>
      <c r="E3347" s="5">
        <v>297200</v>
      </c>
      <c r="K3347" s="22">
        <v>2587</v>
      </c>
      <c r="L3347" s="6">
        <v>2582</v>
      </c>
      <c r="M3347" s="125">
        <f t="shared" si="85"/>
        <v>-5</v>
      </c>
      <c r="N3347" s="18"/>
      <c r="O3347" s="135"/>
      <c r="P3347" s="175">
        <v>17250</v>
      </c>
      <c r="Q3347" s="25">
        <f>170.14/1120.7</f>
        <v>0.15181582939234406</v>
      </c>
      <c r="U3347" s="384">
        <v>0.1</v>
      </c>
      <c r="W3347" s="285">
        <f t="shared" si="84"/>
        <v>2880.7053627197288</v>
      </c>
    </row>
    <row r="3348" spans="1:23" ht="15" customHeight="1">
      <c r="A3348" s="3">
        <v>40592</v>
      </c>
      <c r="B3348" s="9">
        <v>99150</v>
      </c>
      <c r="C3348" s="5">
        <v>87725</v>
      </c>
      <c r="D3348" s="5" t="e">
        <f>E3348-(#REF!+#REF!+C3348)</f>
        <v>#REF!</v>
      </c>
      <c r="E3348" s="5">
        <v>296975</v>
      </c>
      <c r="K3348" s="22">
        <v>2613</v>
      </c>
      <c r="L3348" s="6">
        <v>2619</v>
      </c>
      <c r="M3348" s="125">
        <f t="shared" si="85"/>
        <v>6</v>
      </c>
      <c r="N3348" s="18"/>
      <c r="O3348" s="135"/>
      <c r="P3348" s="175">
        <v>17250</v>
      </c>
      <c r="Q3348" s="25">
        <f>169.56/1116.2</f>
        <v>0.15190826016842859</v>
      </c>
      <c r="U3348" s="384">
        <v>0.1</v>
      </c>
      <c r="W3348" s="285">
        <f t="shared" si="84"/>
        <v>2882.4592366959328</v>
      </c>
    </row>
    <row r="3349" spans="1:23" ht="15" customHeight="1">
      <c r="A3349" s="3">
        <v>40595</v>
      </c>
      <c r="B3349" s="9">
        <v>99150</v>
      </c>
      <c r="C3349" s="5">
        <v>87550</v>
      </c>
      <c r="D3349" s="5" t="e">
        <f>E3349-(#REF!+#REF!+C3349)</f>
        <v>#REF!</v>
      </c>
      <c r="E3349" s="5">
        <v>296750</v>
      </c>
      <c r="K3349" s="22">
        <v>2658</v>
      </c>
      <c r="L3349" s="6">
        <v>2665</v>
      </c>
      <c r="M3349" s="125">
        <f t="shared" si="85"/>
        <v>7</v>
      </c>
      <c r="N3349" s="18"/>
      <c r="O3349" s="135"/>
      <c r="P3349" s="175">
        <v>17350</v>
      </c>
      <c r="Q3349" s="25">
        <f>169.32/1113</f>
        <v>0.15212938005390836</v>
      </c>
      <c r="U3349" s="384">
        <v>0.1</v>
      </c>
      <c r="W3349" s="285">
        <f t="shared" si="84"/>
        <v>2903.3892183288413</v>
      </c>
    </row>
    <row r="3350" spans="1:23" ht="15" customHeight="1">
      <c r="A3350" s="3">
        <v>40596</v>
      </c>
      <c r="B3350" s="9">
        <v>98425</v>
      </c>
      <c r="C3350" s="5">
        <v>87200</v>
      </c>
      <c r="D3350" s="5" t="e">
        <f>E3350-(#REF!+#REF!+C3350)</f>
        <v>#REF!</v>
      </c>
      <c r="E3350" s="5">
        <v>295650</v>
      </c>
      <c r="K3350" s="22">
        <v>2563</v>
      </c>
      <c r="L3350" s="6">
        <v>2571</v>
      </c>
      <c r="M3350" s="125">
        <f t="shared" si="85"/>
        <v>8</v>
      </c>
      <c r="N3350" s="18"/>
      <c r="O3350" s="135"/>
      <c r="P3350" s="175">
        <v>17450</v>
      </c>
      <c r="Q3350" s="25">
        <f>170/1116.4</f>
        <v>0.15227517018989609</v>
      </c>
      <c r="U3350" s="384">
        <v>0.1</v>
      </c>
      <c r="W3350" s="285">
        <f t="shared" si="84"/>
        <v>2922.9218917950557</v>
      </c>
    </row>
    <row r="3351" spans="1:23" ht="15" customHeight="1">
      <c r="A3351" s="3">
        <v>40597</v>
      </c>
      <c r="B3351" s="9">
        <v>97800</v>
      </c>
      <c r="C3351" s="5">
        <v>87075</v>
      </c>
      <c r="D3351" s="5" t="e">
        <f>E3351-(#REF!+#REF!+C3351)</f>
        <v>#REF!</v>
      </c>
      <c r="E3351" s="5">
        <v>294850</v>
      </c>
      <c r="K3351" s="22">
        <v>2545</v>
      </c>
      <c r="L3351" s="6">
        <v>2548</v>
      </c>
      <c r="M3351" s="125">
        <f t="shared" si="85"/>
        <v>3</v>
      </c>
      <c r="N3351" s="18"/>
      <c r="O3351" s="135"/>
      <c r="P3351" s="175">
        <v>17450</v>
      </c>
      <c r="Q3351" s="25">
        <f>171.11/1125.9</f>
        <v>0.15197619682032151</v>
      </c>
      <c r="U3351" s="384">
        <v>0.1</v>
      </c>
      <c r="W3351" s="285">
        <f t="shared" si="84"/>
        <v>2917.1830979660713</v>
      </c>
    </row>
    <row r="3352" spans="1:23" ht="15" customHeight="1">
      <c r="A3352" s="3">
        <v>40598</v>
      </c>
      <c r="B3352" s="9">
        <v>97150</v>
      </c>
      <c r="C3352" s="5">
        <v>86800</v>
      </c>
      <c r="D3352" s="5" t="e">
        <f>E3352-(#REF!+#REF!+C3352)</f>
        <v>#REF!</v>
      </c>
      <c r="E3352" s="5">
        <v>294325</v>
      </c>
      <c r="K3352" s="22">
        <v>2485</v>
      </c>
      <c r="L3352" s="6">
        <v>2480</v>
      </c>
      <c r="M3352" s="125">
        <f t="shared" si="85"/>
        <v>-5</v>
      </c>
      <c r="N3352" s="18"/>
      <c r="O3352" s="135"/>
      <c r="P3352" s="175">
        <v>17450</v>
      </c>
      <c r="Q3352" s="25">
        <f>171.24/1125.8</f>
        <v>0.15210516965713272</v>
      </c>
      <c r="U3352" s="384">
        <v>0.1</v>
      </c>
      <c r="W3352" s="285">
        <f t="shared" si="84"/>
        <v>2919.6587315686629</v>
      </c>
    </row>
    <row r="3353" spans="1:23" ht="15" customHeight="1">
      <c r="A3353" s="3">
        <v>40599</v>
      </c>
      <c r="B3353" s="9">
        <v>96875</v>
      </c>
      <c r="C3353" s="5">
        <v>86575</v>
      </c>
      <c r="D3353" s="5" t="e">
        <f>E3353-(#REF!+#REF!+C3353)</f>
        <v>#REF!</v>
      </c>
      <c r="E3353" s="5">
        <v>294575</v>
      </c>
      <c r="K3353" s="22">
        <v>2512</v>
      </c>
      <c r="L3353" s="6">
        <v>2501</v>
      </c>
      <c r="M3353" s="125">
        <f t="shared" si="85"/>
        <v>-11</v>
      </c>
      <c r="N3353" s="18"/>
      <c r="O3353" s="135"/>
      <c r="P3353" s="175">
        <v>17450</v>
      </c>
      <c r="Q3353" s="25">
        <f>171.4/1126.9</f>
        <v>0.15209867778862365</v>
      </c>
      <c r="U3353" s="384">
        <v>0.1</v>
      </c>
      <c r="W3353" s="285">
        <f t="shared" si="84"/>
        <v>2919.5341201526312</v>
      </c>
    </row>
    <row r="3354" spans="1:23" ht="15" customHeight="1" thickBot="1">
      <c r="A3354" s="11">
        <v>40602</v>
      </c>
      <c r="B3354" s="9">
        <v>97375</v>
      </c>
      <c r="C3354" s="13">
        <v>86350</v>
      </c>
      <c r="D3354" s="13" t="e">
        <f>E3354-(#REF!+#REF!+C3354)</f>
        <v>#REF!</v>
      </c>
      <c r="E3354" s="13">
        <v>294125</v>
      </c>
      <c r="F3354" s="12"/>
      <c r="G3354" s="13"/>
      <c r="H3354" s="13"/>
      <c r="I3354" s="119"/>
      <c r="J3354" s="119"/>
      <c r="K3354" s="23">
        <v>2535</v>
      </c>
      <c r="L3354" s="14">
        <v>2528</v>
      </c>
      <c r="M3354" s="126">
        <f t="shared" si="85"/>
        <v>-7</v>
      </c>
      <c r="N3354" s="85">
        <f>AVERAGE(K3335:K3354)</f>
        <v>2586.6750000000002</v>
      </c>
      <c r="O3354" s="143">
        <f>AVERAGE(K3315:K3355)</f>
        <v>2593.6463414634145</v>
      </c>
      <c r="P3354" s="176">
        <v>17450</v>
      </c>
      <c r="Q3354" s="27">
        <f>171.56/1127.9</f>
        <v>0.15210568312793687</v>
      </c>
      <c r="R3354" s="27"/>
      <c r="S3354" s="27"/>
      <c r="T3354" s="27"/>
      <c r="U3354" s="385">
        <v>0.1</v>
      </c>
      <c r="V3354" s="38">
        <f>AVERAGE(P3335:P3354)</f>
        <v>17313.333333333332</v>
      </c>
      <c r="W3354" s="285">
        <f t="shared" si="84"/>
        <v>2919.6685876407487</v>
      </c>
    </row>
    <row r="3355" spans="1:23" ht="15" customHeight="1">
      <c r="A3355" s="29">
        <v>40603</v>
      </c>
      <c r="B3355" s="9">
        <v>97375</v>
      </c>
      <c r="C3355" s="31">
        <v>86175</v>
      </c>
      <c r="D3355" s="31" t="e">
        <f>E3355-(#REF!+#REF!+C3355)</f>
        <v>#REF!</v>
      </c>
      <c r="E3355" s="31">
        <v>293850</v>
      </c>
      <c r="F3355" s="30"/>
      <c r="G3355" s="31"/>
      <c r="H3355" s="31"/>
      <c r="I3355" s="123"/>
      <c r="J3355" s="123"/>
      <c r="K3355" s="32">
        <v>2573</v>
      </c>
      <c r="L3355" s="33">
        <v>2560</v>
      </c>
      <c r="M3355" s="125">
        <f t="shared" si="85"/>
        <v>-13</v>
      </c>
      <c r="N3355" s="20"/>
      <c r="O3355" s="138"/>
      <c r="P3355" s="178">
        <v>17500</v>
      </c>
      <c r="Q3355" s="34">
        <f>171.56/1127.9</f>
        <v>0.15210568312793687</v>
      </c>
      <c r="R3355" s="34"/>
      <c r="S3355" s="34"/>
      <c r="T3355" s="34"/>
      <c r="U3355" s="386">
        <v>0.1</v>
      </c>
      <c r="V3355" s="37"/>
      <c r="W3355" s="285">
        <f t="shared" si="84"/>
        <v>2928.0344002127854</v>
      </c>
    </row>
    <row r="3356" spans="1:23" ht="15" customHeight="1">
      <c r="A3356" s="3">
        <v>40604</v>
      </c>
      <c r="B3356" s="9">
        <v>97375</v>
      </c>
      <c r="C3356" s="5">
        <v>86200</v>
      </c>
      <c r="D3356" s="5" t="e">
        <f>E3356-(#REF!+#REF!+C3356)</f>
        <v>#REF!</v>
      </c>
      <c r="E3356" s="5">
        <v>293425</v>
      </c>
      <c r="K3356" s="22">
        <v>2532</v>
      </c>
      <c r="L3356" s="6">
        <v>2525</v>
      </c>
      <c r="M3356" s="125">
        <f t="shared" si="85"/>
        <v>-7</v>
      </c>
      <c r="N3356" s="18"/>
      <c r="O3356" s="135"/>
      <c r="P3356" s="175">
        <v>17500</v>
      </c>
      <c r="Q3356" s="25">
        <f>171.8/1128.8</f>
        <v>0.15219702338766833</v>
      </c>
      <c r="U3356" s="384">
        <v>0.1</v>
      </c>
      <c r="W3356" s="285">
        <f t="shared" si="84"/>
        <v>2929.7927002126157</v>
      </c>
    </row>
    <row r="3357" spans="1:23" ht="15" customHeight="1">
      <c r="A3357" s="3">
        <v>40605</v>
      </c>
      <c r="B3357" s="9">
        <v>97025</v>
      </c>
      <c r="C3357" s="5">
        <v>86175</v>
      </c>
      <c r="D3357" s="5" t="e">
        <f>E3357-(#REF!+#REF!+C3357)</f>
        <v>#REF!</v>
      </c>
      <c r="E3357" s="5">
        <v>292725</v>
      </c>
      <c r="K3357" s="22">
        <v>2611.5</v>
      </c>
      <c r="L3357" s="6">
        <v>2600</v>
      </c>
      <c r="M3357" s="125">
        <f t="shared" si="85"/>
        <v>-11.5</v>
      </c>
      <c r="N3357" s="18"/>
      <c r="O3357" s="135"/>
      <c r="P3357" s="175">
        <v>17500</v>
      </c>
      <c r="Q3357" s="25">
        <f>171.8/1128.8</f>
        <v>0.15219702338766833</v>
      </c>
      <c r="U3357" s="384">
        <v>0.1</v>
      </c>
      <c r="W3357" s="285">
        <f t="shared" si="84"/>
        <v>2929.7927002126157</v>
      </c>
    </row>
    <row r="3358" spans="1:23" ht="15" customHeight="1">
      <c r="A3358" s="3">
        <v>40606</v>
      </c>
      <c r="B3358" s="9">
        <v>96800</v>
      </c>
      <c r="C3358" s="5">
        <v>86000</v>
      </c>
      <c r="D3358" s="5" t="e">
        <f>E3358-(#REF!+#REF!+C3358)</f>
        <v>#REF!</v>
      </c>
      <c r="E3358" s="5">
        <v>291500</v>
      </c>
      <c r="K3358" s="22">
        <v>2672</v>
      </c>
      <c r="L3358" s="6">
        <v>2655</v>
      </c>
      <c r="M3358" s="125">
        <f t="shared" si="85"/>
        <v>-17</v>
      </c>
      <c r="N3358" s="18"/>
      <c r="O3358" s="135"/>
      <c r="P3358" s="175">
        <v>17550</v>
      </c>
      <c r="Q3358" s="25">
        <f>170.81/1122.6</f>
        <v>0.15215570995902372</v>
      </c>
      <c r="U3358" s="384">
        <v>0.1</v>
      </c>
      <c r="W3358" s="285">
        <f t="shared" si="84"/>
        <v>2937.3659807589534</v>
      </c>
    </row>
    <row r="3359" spans="1:23" ht="15" customHeight="1">
      <c r="A3359" s="3">
        <v>40609</v>
      </c>
      <c r="B3359" s="9">
        <v>96500</v>
      </c>
      <c r="C3359" s="5">
        <v>85675</v>
      </c>
      <c r="D3359" s="5" t="e">
        <f>E3359-(#REF!+#REF!+C3359)</f>
        <v>#REF!</v>
      </c>
      <c r="E3359" s="5">
        <v>290100</v>
      </c>
      <c r="K3359" s="22">
        <v>2620</v>
      </c>
      <c r="L3359" s="6">
        <v>2610</v>
      </c>
      <c r="M3359" s="125">
        <f t="shared" si="85"/>
        <v>-10</v>
      </c>
      <c r="N3359" s="18"/>
      <c r="O3359" s="135"/>
      <c r="P3359" s="175">
        <v>17550</v>
      </c>
      <c r="Q3359" s="25">
        <f>169.96/1116.2</f>
        <v>0.15226661888550438</v>
      </c>
      <c r="U3359" s="384">
        <v>0.1</v>
      </c>
      <c r="W3359" s="285">
        <f t="shared" si="84"/>
        <v>2939.5070775846625</v>
      </c>
    </row>
    <row r="3360" spans="1:23" ht="15" customHeight="1">
      <c r="A3360" s="3">
        <v>40610</v>
      </c>
      <c r="B3360" s="9">
        <v>96350</v>
      </c>
      <c r="C3360" s="5">
        <v>85375</v>
      </c>
      <c r="D3360" s="5" t="e">
        <f>E3360-(#REF!+#REF!+C3360)</f>
        <v>#REF!</v>
      </c>
      <c r="E3360" s="5">
        <v>289050</v>
      </c>
      <c r="K3360" s="22">
        <v>2559</v>
      </c>
      <c r="L3360" s="6">
        <v>2537</v>
      </c>
      <c r="M3360" s="125">
        <f t="shared" si="85"/>
        <v>-22</v>
      </c>
      <c r="N3360" s="18"/>
      <c r="O3360" s="135"/>
      <c r="P3360" s="175">
        <v>17450</v>
      </c>
      <c r="Q3360" s="25">
        <f>170.5/1117.9</f>
        <v>0.15251811432149565</v>
      </c>
      <c r="U3360" s="384">
        <v>0.1</v>
      </c>
      <c r="W3360" s="285">
        <f t="shared" si="84"/>
        <v>2927.585204401109</v>
      </c>
    </row>
    <row r="3361" spans="1:23" ht="15" customHeight="1">
      <c r="A3361" s="3">
        <v>40611</v>
      </c>
      <c r="B3361" s="9">
        <v>97600</v>
      </c>
      <c r="C3361" s="5">
        <v>85475</v>
      </c>
      <c r="D3361" s="5" t="e">
        <f>E3361-(#REF!+#REF!+C3361)</f>
        <v>#REF!</v>
      </c>
      <c r="E3361" s="5">
        <v>289525</v>
      </c>
      <c r="K3361" s="22">
        <v>2590</v>
      </c>
      <c r="L3361" s="6">
        <v>2575</v>
      </c>
      <c r="M3361" s="125">
        <f t="shared" si="85"/>
        <v>-15</v>
      </c>
      <c r="N3361" s="18"/>
      <c r="O3361" s="135"/>
      <c r="P3361" s="175">
        <v>17450</v>
      </c>
      <c r="Q3361" s="25">
        <f>170.11/1117.4</f>
        <v>0.15223733667442277</v>
      </c>
      <c r="U3361" s="384">
        <v>0.1</v>
      </c>
      <c r="W3361" s="285">
        <f t="shared" si="84"/>
        <v>2922.195677465545</v>
      </c>
    </row>
    <row r="3362" spans="1:23" ht="15" customHeight="1">
      <c r="A3362" s="3">
        <v>40612</v>
      </c>
      <c r="B3362" s="9">
        <v>97575</v>
      </c>
      <c r="C3362" s="5">
        <v>85450</v>
      </c>
      <c r="D3362" s="5" t="e">
        <f>E3362-(#REF!+#REF!+C3362)</f>
        <v>#REF!</v>
      </c>
      <c r="E3362" s="5">
        <v>289150</v>
      </c>
      <c r="K3362" s="22">
        <v>2459.5</v>
      </c>
      <c r="L3362" s="6">
        <v>2445</v>
      </c>
      <c r="M3362" s="125">
        <f t="shared" si="85"/>
        <v>-14.5</v>
      </c>
      <c r="N3362" s="18"/>
      <c r="O3362" s="135"/>
      <c r="P3362" s="175">
        <v>17300</v>
      </c>
      <c r="Q3362" s="25">
        <f>169.99/1115.2</f>
        <v>0.15243005738880919</v>
      </c>
      <c r="U3362" s="384">
        <v>0.1</v>
      </c>
      <c r="W3362" s="285">
        <f t="shared" si="84"/>
        <v>2900.7439921090395</v>
      </c>
    </row>
    <row r="3363" spans="1:23" ht="15" customHeight="1">
      <c r="A3363" s="3">
        <v>40613</v>
      </c>
      <c r="B3363" s="9">
        <v>97475</v>
      </c>
      <c r="C3363" s="5">
        <v>85275</v>
      </c>
      <c r="D3363" s="5" t="e">
        <f>E3363-(#REF!+#REF!+C3363)</f>
        <v>#REF!</v>
      </c>
      <c r="E3363" s="5">
        <v>288250</v>
      </c>
      <c r="K3363" s="22">
        <v>2428.5</v>
      </c>
      <c r="L3363" s="6">
        <v>2415</v>
      </c>
      <c r="M3363" s="125">
        <f t="shared" si="85"/>
        <v>-13.5</v>
      </c>
      <c r="N3363" s="18"/>
      <c r="O3363" s="135"/>
      <c r="P3363" s="175">
        <v>17250</v>
      </c>
      <c r="Q3363" s="25">
        <f>170.13/1118.4</f>
        <v>0.15211909871244633</v>
      </c>
      <c r="U3363" s="384">
        <v>0.1</v>
      </c>
      <c r="W3363" s="285">
        <f t="shared" si="84"/>
        <v>2886.4598980686692</v>
      </c>
    </row>
    <row r="3364" spans="1:23" ht="15" customHeight="1">
      <c r="A3364" s="3">
        <v>40616</v>
      </c>
      <c r="B3364" s="9">
        <v>97475</v>
      </c>
      <c r="C3364" s="5">
        <v>85200</v>
      </c>
      <c r="D3364" s="5" t="e">
        <f>E3364-(#REF!+#REF!+C3364)</f>
        <v>#REF!</v>
      </c>
      <c r="E3364" s="5">
        <v>288150</v>
      </c>
      <c r="K3364" s="22">
        <v>2506.5</v>
      </c>
      <c r="L3364" s="6">
        <v>2490</v>
      </c>
      <c r="M3364" s="125">
        <f t="shared" si="85"/>
        <v>-16.5</v>
      </c>
      <c r="N3364" s="18"/>
      <c r="O3364" s="135"/>
      <c r="P3364" s="175">
        <v>17200</v>
      </c>
      <c r="Q3364" s="25">
        <f>171.05/1124.5</f>
        <v>0.15211204979991108</v>
      </c>
      <c r="U3364" s="384">
        <v>0.1</v>
      </c>
      <c r="W3364" s="285">
        <f t="shared" si="84"/>
        <v>2877.9599822143182</v>
      </c>
    </row>
    <row r="3365" spans="1:23" ht="15" customHeight="1">
      <c r="A3365" s="3">
        <v>40617</v>
      </c>
      <c r="B3365" s="9">
        <v>98100</v>
      </c>
      <c r="C3365" s="5">
        <v>85875</v>
      </c>
      <c r="D3365" s="5" t="e">
        <f>E3365-(#REF!+#REF!+C3365)</f>
        <v>#REF!</v>
      </c>
      <c r="E3365" s="5">
        <v>288800</v>
      </c>
      <c r="K3365" s="22">
        <v>2490</v>
      </c>
      <c r="L3365" s="6">
        <v>2470</v>
      </c>
      <c r="M3365" s="125">
        <f t="shared" si="85"/>
        <v>-20</v>
      </c>
      <c r="N3365" s="18"/>
      <c r="O3365" s="135"/>
      <c r="P3365" s="175">
        <v>17250</v>
      </c>
      <c r="Q3365" s="25">
        <f>171.96/1129.8</f>
        <v>0.1522039298990972</v>
      </c>
      <c r="U3365" s="384">
        <v>0.1</v>
      </c>
      <c r="W3365" s="285">
        <f t="shared" si="84"/>
        <v>2888.0695698353693</v>
      </c>
    </row>
    <row r="3366" spans="1:23" ht="15" customHeight="1">
      <c r="A3366" s="3">
        <v>40618</v>
      </c>
      <c r="B3366" s="9">
        <v>99175</v>
      </c>
      <c r="C3366" s="5">
        <v>85525</v>
      </c>
      <c r="D3366" s="5" t="e">
        <f>E3366-(#REF!+#REF!+C3366)</f>
        <v>#REF!</v>
      </c>
      <c r="E3366" s="5">
        <v>289925</v>
      </c>
      <c r="K3366" s="22">
        <v>2593</v>
      </c>
      <c r="L3366" s="6">
        <v>2578</v>
      </c>
      <c r="M3366" s="125">
        <f t="shared" si="85"/>
        <v>-15</v>
      </c>
      <c r="N3366" s="18"/>
      <c r="O3366" s="135"/>
      <c r="P3366" s="175">
        <v>17250</v>
      </c>
      <c r="Q3366" s="25">
        <f>172.13/1131.3</f>
        <v>0.15215239105453904</v>
      </c>
      <c r="U3366" s="384">
        <v>0.1</v>
      </c>
      <c r="W3366" s="285">
        <f t="shared" si="84"/>
        <v>2887.0916202598787</v>
      </c>
    </row>
    <row r="3367" spans="1:23" ht="15" customHeight="1">
      <c r="A3367" s="3">
        <v>40619</v>
      </c>
      <c r="B3367" s="9">
        <v>99600</v>
      </c>
      <c r="C3367" s="5">
        <v>84775</v>
      </c>
      <c r="D3367" s="5" t="e">
        <f>E3367-(#REF!+#REF!+C3367)</f>
        <v>#REF!</v>
      </c>
      <c r="E3367" s="5">
        <v>289500</v>
      </c>
      <c r="K3367" s="22">
        <v>2690</v>
      </c>
      <c r="L3367" s="6">
        <v>2667</v>
      </c>
      <c r="M3367" s="125">
        <f t="shared" si="85"/>
        <v>-23</v>
      </c>
      <c r="N3367" s="18"/>
      <c r="O3367" s="135"/>
      <c r="P3367" s="175">
        <v>17300</v>
      </c>
      <c r="Q3367" s="25">
        <f>172.38/1132.8</f>
        <v>0.15217161016949152</v>
      </c>
      <c r="U3367" s="384">
        <v>0.1</v>
      </c>
      <c r="W3367" s="285">
        <f t="shared" si="84"/>
        <v>2895.8257415254238</v>
      </c>
    </row>
    <row r="3368" spans="1:23" ht="15" customHeight="1">
      <c r="A3368" s="3">
        <v>40620</v>
      </c>
      <c r="B3368" s="9">
        <v>100200</v>
      </c>
      <c r="C3368" s="5">
        <v>84550</v>
      </c>
      <c r="D3368" s="5" t="e">
        <f>E3368-(#REF!+#REF!+C3368)</f>
        <v>#REF!</v>
      </c>
      <c r="E3368" s="5">
        <v>288650</v>
      </c>
      <c r="K3368" s="22">
        <v>2722</v>
      </c>
      <c r="L3368" s="6">
        <v>2700</v>
      </c>
      <c r="M3368" s="125">
        <f t="shared" si="85"/>
        <v>-22</v>
      </c>
      <c r="N3368" s="18"/>
      <c r="O3368" s="135"/>
      <c r="P3368" s="175">
        <v>17400</v>
      </c>
      <c r="Q3368" s="25">
        <f>173.01/1137.6</f>
        <v>0.15208333333333335</v>
      </c>
      <c r="U3368" s="384">
        <v>0.1</v>
      </c>
      <c r="W3368" s="285">
        <f t="shared" si="84"/>
        <v>2910.8750000000009</v>
      </c>
    </row>
    <row r="3369" spans="1:23" ht="15" customHeight="1">
      <c r="A3369" s="3">
        <v>40623</v>
      </c>
      <c r="B3369" s="9">
        <v>100200</v>
      </c>
      <c r="C3369" s="5">
        <v>84150</v>
      </c>
      <c r="D3369" s="5" t="e">
        <f>E3369-(#REF!+#REF!+C3369)</f>
        <v>#REF!</v>
      </c>
      <c r="E3369" s="5">
        <v>287650</v>
      </c>
      <c r="K3369" s="22">
        <v>2712.5</v>
      </c>
      <c r="L3369" s="6">
        <v>2691</v>
      </c>
      <c r="M3369" s="125">
        <f t="shared" si="85"/>
        <v>-21.5</v>
      </c>
      <c r="N3369" s="18"/>
      <c r="O3369" s="135"/>
      <c r="P3369" s="175">
        <v>17500</v>
      </c>
      <c r="Q3369" s="25">
        <f>171.77/1128.3</f>
        <v>0.15223787999645486</v>
      </c>
      <c r="U3369" s="384">
        <v>0.1</v>
      </c>
      <c r="W3369" s="285">
        <f t="shared" si="84"/>
        <v>2930.5791899317564</v>
      </c>
    </row>
    <row r="3370" spans="1:23" ht="15" customHeight="1">
      <c r="A3370" s="3">
        <v>40624</v>
      </c>
      <c r="B3370" s="9">
        <v>100100</v>
      </c>
      <c r="C3370" s="5">
        <v>83750</v>
      </c>
      <c r="D3370" s="5" t="e">
        <f>E3370-(#REF!+#REF!+C3370)</f>
        <v>#REF!</v>
      </c>
      <c r="E3370" s="5">
        <v>287050</v>
      </c>
      <c r="K3370" s="22">
        <v>2663</v>
      </c>
      <c r="L3370" s="6">
        <v>2638</v>
      </c>
      <c r="M3370" s="125">
        <f t="shared" si="85"/>
        <v>-25</v>
      </c>
      <c r="N3370" s="18"/>
      <c r="O3370" s="135"/>
      <c r="P3370" s="175">
        <v>17500</v>
      </c>
      <c r="Q3370" s="25">
        <f>171.5/1125.9</f>
        <v>0.15232258637534415</v>
      </c>
      <c r="U3370" s="384">
        <v>0.1</v>
      </c>
      <c r="W3370" s="285">
        <f t="shared" si="84"/>
        <v>2932.209787725375</v>
      </c>
    </row>
    <row r="3371" spans="1:23" ht="15" customHeight="1">
      <c r="A3371" s="3">
        <v>40625</v>
      </c>
      <c r="B3371" s="9">
        <v>100075</v>
      </c>
      <c r="C3371" s="5">
        <v>83550</v>
      </c>
      <c r="D3371" s="5" t="e">
        <f>E3371-(#REF!+#REF!+C3371)</f>
        <v>#REF!</v>
      </c>
      <c r="E3371" s="5">
        <v>286900</v>
      </c>
      <c r="K3371" s="22">
        <v>2730</v>
      </c>
      <c r="L3371" s="6">
        <v>2705</v>
      </c>
      <c r="M3371" s="125">
        <f t="shared" si="85"/>
        <v>-25</v>
      </c>
      <c r="N3371" s="18"/>
      <c r="O3371" s="135"/>
      <c r="P3371" s="175">
        <v>17600</v>
      </c>
      <c r="Q3371" s="25">
        <f>171.19/1121.7</f>
        <v>0.15261656414371044</v>
      </c>
      <c r="U3371" s="384">
        <v>0.1</v>
      </c>
      <c r="W3371" s="285">
        <f t="shared" si="84"/>
        <v>2954.6566818222345</v>
      </c>
    </row>
    <row r="3372" spans="1:23" ht="15" customHeight="1">
      <c r="A3372" s="3">
        <v>40626</v>
      </c>
      <c r="B3372" s="9">
        <v>100525</v>
      </c>
      <c r="C3372" s="5">
        <v>83250</v>
      </c>
      <c r="D3372" s="5" t="e">
        <f>E3372-(#REF!+#REF!+C3372)</f>
        <v>#REF!</v>
      </c>
      <c r="E3372" s="5">
        <v>285625</v>
      </c>
      <c r="K3372" s="22">
        <v>2730</v>
      </c>
      <c r="L3372" s="6">
        <v>2700</v>
      </c>
      <c r="M3372" s="125">
        <f t="shared" si="85"/>
        <v>-30</v>
      </c>
      <c r="N3372" s="18"/>
      <c r="O3372" s="135"/>
      <c r="P3372" s="175">
        <v>18100</v>
      </c>
      <c r="Q3372" s="25">
        <f>171.35/1123.7</f>
        <v>0.1524873186793628</v>
      </c>
      <c r="U3372" s="384">
        <v>0.1</v>
      </c>
      <c r="W3372" s="285">
        <f t="shared" si="84"/>
        <v>3036.0225149061134</v>
      </c>
    </row>
    <row r="3373" spans="1:23" ht="15" customHeight="1">
      <c r="A3373" s="3">
        <v>40627</v>
      </c>
      <c r="B3373" s="9">
        <v>100225</v>
      </c>
      <c r="C3373" s="5">
        <v>83000</v>
      </c>
      <c r="D3373" s="5" t="e">
        <f>E3373-(#REF!+#REF!+C3373)</f>
        <v>#REF!</v>
      </c>
      <c r="E3373" s="5">
        <v>283975</v>
      </c>
      <c r="K3373" s="22">
        <v>2705</v>
      </c>
      <c r="L3373" s="6">
        <v>2670</v>
      </c>
      <c r="M3373" s="125">
        <f t="shared" si="85"/>
        <v>-35</v>
      </c>
      <c r="N3373" s="18"/>
      <c r="O3373" s="135"/>
      <c r="P3373" s="175">
        <v>17800</v>
      </c>
      <c r="Q3373" s="25">
        <f>171.15/1122.8</f>
        <v>0.15243142144638405</v>
      </c>
      <c r="U3373" s="384">
        <v>0.1</v>
      </c>
      <c r="W3373" s="285">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25">
        <f t="shared" si="85"/>
        <v>-39</v>
      </c>
      <c r="N3374" s="18"/>
      <c r="O3374" s="135"/>
      <c r="P3374" s="175">
        <v>17700</v>
      </c>
      <c r="Q3374" s="25">
        <f>169.97/1114.5</f>
        <v>0.15250785105428444</v>
      </c>
      <c r="U3374" s="384">
        <v>0.1</v>
      </c>
      <c r="W3374" s="285">
        <f t="shared" si="86"/>
        <v>2969.3278600269182</v>
      </c>
    </row>
    <row r="3375" spans="1:23" ht="15" customHeight="1">
      <c r="A3375" s="3">
        <v>40631</v>
      </c>
      <c r="B3375" s="9">
        <v>100350</v>
      </c>
      <c r="C3375" s="5">
        <v>82675</v>
      </c>
      <c r="D3375" s="5" t="e">
        <f>E3375-(#REF!+#REF!+C3375)</f>
        <v>#REF!</v>
      </c>
      <c r="E3375" s="5">
        <v>283675</v>
      </c>
      <c r="K3375" s="22">
        <v>2670</v>
      </c>
      <c r="L3375" s="6">
        <v>2621</v>
      </c>
      <c r="M3375" s="125">
        <f t="shared" si="85"/>
        <v>-49</v>
      </c>
      <c r="N3375" s="18"/>
      <c r="O3375" s="135"/>
      <c r="P3375" s="175">
        <v>17600</v>
      </c>
      <c r="Q3375" s="25">
        <f>169.72/1114.2</f>
        <v>0.1523245377849578</v>
      </c>
      <c r="U3375" s="384">
        <v>0.1</v>
      </c>
      <c r="W3375" s="285">
        <f t="shared" si="86"/>
        <v>2949.0030515167832</v>
      </c>
    </row>
    <row r="3376" spans="1:23" ht="15" customHeight="1">
      <c r="A3376" s="3">
        <v>40632</v>
      </c>
      <c r="B3376" s="9">
        <v>100025</v>
      </c>
      <c r="C3376" s="5">
        <v>83025</v>
      </c>
      <c r="D3376" s="5" t="e">
        <f>E3376-(#REF!+#REF!+C3376)</f>
        <v>#REF!</v>
      </c>
      <c r="E3376" s="5">
        <v>282425</v>
      </c>
      <c r="K3376" s="22">
        <v>2700</v>
      </c>
      <c r="L3376" s="6">
        <v>2662</v>
      </c>
      <c r="M3376" s="125">
        <f t="shared" ref="M3376:M3392" si="87">L3376-K3376</f>
        <v>-38</v>
      </c>
      <c r="N3376" s="18"/>
      <c r="O3376" s="135"/>
      <c r="P3376" s="175">
        <v>17600</v>
      </c>
      <c r="Q3376" s="25">
        <f>169.88/1114.6</f>
        <v>0.15241342185537413</v>
      </c>
      <c r="U3376" s="384">
        <v>0.1</v>
      </c>
      <c r="W3376" s="285">
        <f t="shared" si="86"/>
        <v>2950.7238471200435</v>
      </c>
    </row>
    <row r="3377" spans="1:23" ht="15" customHeight="1" thickBot="1">
      <c r="A3377" s="11">
        <v>40633</v>
      </c>
      <c r="B3377" s="9">
        <v>100025</v>
      </c>
      <c r="C3377" s="13">
        <v>82600</v>
      </c>
      <c r="D3377" s="13" t="e">
        <f>E3377-(#REF!+#REF!+C3377)</f>
        <v>#REF!</v>
      </c>
      <c r="E3377" s="13">
        <v>281300</v>
      </c>
      <c r="F3377" s="12"/>
      <c r="G3377" s="13"/>
      <c r="H3377" s="13"/>
      <c r="I3377" s="119"/>
      <c r="J3377" s="119"/>
      <c r="K3377" s="23">
        <v>2720</v>
      </c>
      <c r="L3377" s="14">
        <v>2671</v>
      </c>
      <c r="M3377" s="126">
        <f t="shared" si="87"/>
        <v>-49</v>
      </c>
      <c r="N3377" s="85">
        <f>AVERAGE(K3355:K3377)</f>
        <v>2624.195652173913</v>
      </c>
      <c r="O3377" s="143">
        <f>AVERAGE(K3315:K3377)</f>
        <v>2605.1269841269841</v>
      </c>
      <c r="P3377" s="176">
        <v>17500</v>
      </c>
      <c r="Q3377" s="27">
        <f>168.88/1107.2</f>
        <v>0.15252890173410402</v>
      </c>
      <c r="R3377" s="27"/>
      <c r="S3377" s="27"/>
      <c r="T3377" s="27"/>
      <c r="U3377" s="385">
        <v>0.1</v>
      </c>
      <c r="V3377" s="38">
        <f>AVERAGE(P3355:P3377)</f>
        <v>17493.478260869564</v>
      </c>
      <c r="W3377" s="285">
        <f t="shared" si="86"/>
        <v>2936.1813583815024</v>
      </c>
    </row>
    <row r="3378" spans="1:23" ht="15" customHeight="1">
      <c r="A3378" s="29">
        <v>40634</v>
      </c>
      <c r="B3378" s="9">
        <v>100025</v>
      </c>
      <c r="C3378" s="31">
        <v>83050</v>
      </c>
      <c r="D3378" s="31" t="e">
        <f>E3378-(#REF!+#REF!+C3378)</f>
        <v>#REF!</v>
      </c>
      <c r="E3378" s="31">
        <v>281500</v>
      </c>
      <c r="F3378" s="30"/>
      <c r="G3378" s="31"/>
      <c r="H3378" s="31"/>
      <c r="I3378" s="123"/>
      <c r="J3378" s="123"/>
      <c r="K3378" s="32">
        <v>2730.5</v>
      </c>
      <c r="L3378" s="33">
        <v>2668</v>
      </c>
      <c r="M3378" s="125">
        <f t="shared" si="87"/>
        <v>-62.5</v>
      </c>
      <c r="N3378" s="20"/>
      <c r="O3378" s="138"/>
      <c r="P3378" s="178">
        <v>17500</v>
      </c>
      <c r="Q3378" s="34">
        <f>167.99/1100.1</f>
        <v>0.15270429960912646</v>
      </c>
      <c r="R3378" s="34"/>
      <c r="S3378" s="34"/>
      <c r="T3378" s="34"/>
      <c r="U3378" s="386">
        <v>0.1</v>
      </c>
      <c r="V3378" s="37"/>
      <c r="W3378" s="285">
        <f t="shared" si="86"/>
        <v>2939.5577674756846</v>
      </c>
    </row>
    <row r="3379" spans="1:23" ht="15" customHeight="1">
      <c r="A3379" s="3">
        <v>40637</v>
      </c>
      <c r="B3379" s="9">
        <v>100025</v>
      </c>
      <c r="C3379" s="5">
        <v>82950</v>
      </c>
      <c r="D3379" s="5" t="e">
        <f>E3379-(#REF!+#REF!+C3379)</f>
        <v>#REF!</v>
      </c>
      <c r="E3379" s="5">
        <v>281200</v>
      </c>
      <c r="K3379" s="22">
        <v>2840</v>
      </c>
      <c r="L3379" s="6">
        <v>2767</v>
      </c>
      <c r="M3379" s="125">
        <f t="shared" si="87"/>
        <v>-73</v>
      </c>
      <c r="N3379" s="18"/>
      <c r="O3379" s="135"/>
      <c r="P3379" s="195"/>
      <c r="Q3379" s="1363" t="s">
        <v>41</v>
      </c>
      <c r="R3379" s="1363"/>
      <c r="S3379" s="1363"/>
      <c r="T3379" s="1363"/>
      <c r="U3379" s="1363"/>
      <c r="W3379" s="285" t="e">
        <f t="shared" si="86"/>
        <v>#VALUE!</v>
      </c>
    </row>
    <row r="3380" spans="1:23" ht="15" customHeight="1">
      <c r="A3380" s="3">
        <v>40638</v>
      </c>
      <c r="B3380" s="9">
        <v>100025</v>
      </c>
      <c r="C3380" s="5">
        <v>82900</v>
      </c>
      <c r="D3380" s="5" t="e">
        <f>E3380-(#REF!+#REF!+C3380)</f>
        <v>#REF!</v>
      </c>
      <c r="E3380" s="5">
        <v>279425</v>
      </c>
      <c r="K3380" s="22">
        <v>2778</v>
      </c>
      <c r="L3380" s="6">
        <v>2723</v>
      </c>
      <c r="M3380" s="125">
        <f t="shared" si="87"/>
        <v>-55</v>
      </c>
      <c r="N3380" s="18"/>
      <c r="O3380" s="135"/>
      <c r="P3380" s="207"/>
      <c r="Q3380" s="1363"/>
      <c r="R3380" s="1363"/>
      <c r="S3380" s="1363"/>
      <c r="T3380" s="1363"/>
      <c r="U3380" s="1363"/>
      <c r="W3380" s="285">
        <f t="shared" si="86"/>
        <v>0</v>
      </c>
    </row>
    <row r="3381" spans="1:23" ht="15" customHeight="1">
      <c r="A3381" s="3">
        <v>40639</v>
      </c>
      <c r="B3381" s="9">
        <v>99850</v>
      </c>
      <c r="C3381" s="5">
        <v>82400</v>
      </c>
      <c r="D3381" s="5" t="e">
        <f>E3381-(#REF!+#REF!+C3381)</f>
        <v>#REF!</v>
      </c>
      <c r="E3381" s="5">
        <v>278400</v>
      </c>
      <c r="K3381" s="22">
        <v>2815</v>
      </c>
      <c r="L3381" s="6">
        <v>2775</v>
      </c>
      <c r="M3381" s="125">
        <f t="shared" si="87"/>
        <v>-40</v>
      </c>
      <c r="N3381" s="18"/>
      <c r="O3381" s="135"/>
      <c r="P3381" s="175">
        <v>17600</v>
      </c>
      <c r="Q3381" s="25">
        <f>166.58/1089.7</f>
        <v>0.15286776176929431</v>
      </c>
      <c r="U3381" s="384">
        <v>0.1</v>
      </c>
      <c r="W3381" s="285">
        <f t="shared" si="86"/>
        <v>2959.519867853538</v>
      </c>
    </row>
    <row r="3382" spans="1:23" ht="15" customHeight="1">
      <c r="A3382" s="3">
        <v>40640</v>
      </c>
      <c r="B3382" s="9">
        <v>99950</v>
      </c>
      <c r="C3382" s="5">
        <v>82600</v>
      </c>
      <c r="D3382" s="5" t="e">
        <f>E3382-(#REF!+#REF!+C3382)</f>
        <v>#REF!</v>
      </c>
      <c r="E3382" s="5">
        <v>278125</v>
      </c>
      <c r="K3382" s="22">
        <v>2878</v>
      </c>
      <c r="L3382" s="6">
        <v>2821.5</v>
      </c>
      <c r="M3382" s="125">
        <f t="shared" si="87"/>
        <v>-56.5</v>
      </c>
      <c r="N3382" s="18"/>
      <c r="O3382" s="135"/>
      <c r="P3382" s="175">
        <v>17600</v>
      </c>
      <c r="Q3382" s="25">
        <f>165.87/1085.5</f>
        <v>0.15280515891294336</v>
      </c>
      <c r="U3382" s="384">
        <v>0.1</v>
      </c>
      <c r="W3382" s="285">
        <f t="shared" si="86"/>
        <v>2958.3078765545838</v>
      </c>
    </row>
    <row r="3383" spans="1:23" ht="15" customHeight="1">
      <c r="A3383" s="3">
        <v>40641</v>
      </c>
      <c r="B3383" s="9">
        <v>99950</v>
      </c>
      <c r="C3383" s="5">
        <v>82475</v>
      </c>
      <c r="D3383" s="5" t="e">
        <f>E3383-(#REF!+#REF!+C3383)</f>
        <v>#REF!</v>
      </c>
      <c r="E3383" s="5">
        <v>277550</v>
      </c>
      <c r="K3383" s="22">
        <v>2905</v>
      </c>
      <c r="L3383" s="6">
        <v>2853</v>
      </c>
      <c r="M3383" s="125">
        <f t="shared" si="87"/>
        <v>-52</v>
      </c>
      <c r="N3383" s="18"/>
      <c r="O3383" s="135"/>
      <c r="P3383" s="175">
        <v>17600</v>
      </c>
      <c r="Q3383" s="25">
        <f>166.3/1088</f>
        <v>0.15284926470588237</v>
      </c>
      <c r="U3383" s="384">
        <v>0.1</v>
      </c>
      <c r="W3383" s="285">
        <f t="shared" si="86"/>
        <v>2959.1617647058829</v>
      </c>
    </row>
    <row r="3384" spans="1:23" ht="15" customHeight="1">
      <c r="A3384" s="3">
        <v>40644</v>
      </c>
      <c r="B3384" s="9">
        <v>99850</v>
      </c>
      <c r="C3384" s="5">
        <v>81625</v>
      </c>
      <c r="D3384" s="5" t="e">
        <f>E3384-(#REF!+#REF!+C3384)</f>
        <v>#REF!</v>
      </c>
      <c r="E3384" s="5">
        <v>276575</v>
      </c>
      <c r="K3384" s="22">
        <v>2939</v>
      </c>
      <c r="L3384" s="6">
        <v>2848.5</v>
      </c>
      <c r="M3384" s="125">
        <f t="shared" si="87"/>
        <v>-90.5</v>
      </c>
      <c r="N3384" s="18"/>
      <c r="O3384" s="135"/>
      <c r="P3384" s="175">
        <v>17700</v>
      </c>
      <c r="Q3384" s="25">
        <f>166.08/1085.4</f>
        <v>0.15301271420674406</v>
      </c>
      <c r="U3384" s="384">
        <v>0.1</v>
      </c>
      <c r="W3384" s="285">
        <f t="shared" si="86"/>
        <v>2979.157545605307</v>
      </c>
    </row>
    <row r="3385" spans="1:23" ht="15" customHeight="1">
      <c r="A3385" s="3">
        <v>40645</v>
      </c>
      <c r="B3385" s="9">
        <v>99850</v>
      </c>
      <c r="C3385" s="5">
        <v>80800</v>
      </c>
      <c r="D3385" s="5" t="e">
        <f>E3385-(#REF!+#REF!+C3385)</f>
        <v>#REF!</v>
      </c>
      <c r="E3385" s="5">
        <v>275450</v>
      </c>
      <c r="K3385" s="22">
        <v>2880</v>
      </c>
      <c r="L3385" s="6">
        <v>2810</v>
      </c>
      <c r="M3385" s="125">
        <f t="shared" si="87"/>
        <v>-70</v>
      </c>
      <c r="N3385" s="18"/>
      <c r="O3385" s="135"/>
      <c r="P3385" s="175">
        <v>17600</v>
      </c>
      <c r="Q3385" s="25">
        <f>165.85/1084.4</f>
        <v>0.15294171892290667</v>
      </c>
      <c r="U3385" s="384">
        <v>0.1</v>
      </c>
      <c r="W3385" s="285">
        <f t="shared" si="86"/>
        <v>2960.9516783474733</v>
      </c>
    </row>
    <row r="3386" spans="1:23" ht="15" customHeight="1">
      <c r="A3386" s="3">
        <v>40646</v>
      </c>
      <c r="B3386" s="9">
        <v>100225</v>
      </c>
      <c r="C3386" s="5">
        <v>80525</v>
      </c>
      <c r="D3386" s="5" t="e">
        <f>E3386-(#REF!+#REF!+C3386)</f>
        <v>#REF!</v>
      </c>
      <c r="E3386" s="5">
        <v>280400</v>
      </c>
      <c r="K3386" s="22">
        <v>2817.5</v>
      </c>
      <c r="L3386" s="6">
        <v>2755.5</v>
      </c>
      <c r="M3386" s="125">
        <f t="shared" si="87"/>
        <v>-62</v>
      </c>
      <c r="N3386" s="18"/>
      <c r="O3386" s="135"/>
      <c r="P3386" s="175">
        <v>17450</v>
      </c>
      <c r="Q3386" s="25">
        <f>166.91/1091.7</f>
        <v>0.15288998809196666</v>
      </c>
      <c r="U3386" s="384">
        <v>0.1</v>
      </c>
      <c r="W3386" s="285">
        <f t="shared" si="86"/>
        <v>2934.7233214253001</v>
      </c>
    </row>
    <row r="3387" spans="1:23" ht="15" customHeight="1">
      <c r="A3387" s="3">
        <v>40647</v>
      </c>
      <c r="B3387" s="9">
        <v>105550</v>
      </c>
      <c r="C3387" s="5">
        <v>80250</v>
      </c>
      <c r="D3387" s="5" t="e">
        <f>E3387-(#REF!+#REF!+C3387)</f>
        <v>#REF!</v>
      </c>
      <c r="E3387" s="5">
        <v>283850</v>
      </c>
      <c r="K3387" s="22">
        <v>2683</v>
      </c>
      <c r="L3387" s="6">
        <v>2625.5</v>
      </c>
      <c r="M3387" s="125">
        <f t="shared" si="87"/>
        <v>-57.5</v>
      </c>
      <c r="N3387" s="18"/>
      <c r="O3387" s="135"/>
      <c r="P3387" s="175">
        <v>17400</v>
      </c>
      <c r="Q3387" s="25">
        <f>167.21/1092.5</f>
        <v>0.15305263157894738</v>
      </c>
      <c r="U3387" s="384">
        <v>0.1</v>
      </c>
      <c r="W3387" s="285">
        <f t="shared" si="86"/>
        <v>2929.427368421053</v>
      </c>
    </row>
    <row r="3388" spans="1:23" ht="15" customHeight="1">
      <c r="A3388" s="3">
        <v>40648</v>
      </c>
      <c r="B3388" s="9">
        <v>109000</v>
      </c>
      <c r="C3388" s="5">
        <v>79850</v>
      </c>
      <c r="D3388" s="5" t="e">
        <f>E3388-(#REF!+#REF!+C3388)</f>
        <v>#REF!</v>
      </c>
      <c r="E3388" s="5">
        <v>287075</v>
      </c>
      <c r="K3388" s="22">
        <v>2732</v>
      </c>
      <c r="L3388" s="6">
        <v>2670</v>
      </c>
      <c r="M3388" s="125">
        <f t="shared" si="87"/>
        <v>-62</v>
      </c>
      <c r="N3388" s="18"/>
      <c r="O3388" s="135"/>
      <c r="P3388" s="175">
        <v>17400</v>
      </c>
      <c r="Q3388" s="25">
        <f>166.8/1089.4</f>
        <v>0.1531118046631173</v>
      </c>
      <c r="U3388" s="384">
        <v>0.1</v>
      </c>
      <c r="W3388" s="285">
        <f t="shared" si="86"/>
        <v>2930.5599412520655</v>
      </c>
    </row>
    <row r="3389" spans="1:23" ht="15" customHeight="1">
      <c r="A3389" s="3">
        <v>40651</v>
      </c>
      <c r="B3389" s="9">
        <v>113050</v>
      </c>
      <c r="C3389" s="5">
        <v>79675</v>
      </c>
      <c r="D3389" s="5" t="e">
        <f>E3389-(#REF!+#REF!+C3389)</f>
        <v>#REF!</v>
      </c>
      <c r="E3389" s="5">
        <v>291775</v>
      </c>
      <c r="K3389" s="22">
        <v>2720</v>
      </c>
      <c r="L3389" s="6">
        <v>2640</v>
      </c>
      <c r="M3389" s="125">
        <f t="shared" si="87"/>
        <v>-80</v>
      </c>
      <c r="N3389" s="18"/>
      <c r="O3389" s="135"/>
      <c r="P3389" s="175">
        <v>17300</v>
      </c>
      <c r="Q3389" s="25">
        <f>166.57/1087.9</f>
        <v>0.15311149921867817</v>
      </c>
      <c r="U3389" s="384">
        <v>0.1</v>
      </c>
      <c r="W3389" s="285">
        <f t="shared" si="86"/>
        <v>2913.7118301314463</v>
      </c>
    </row>
    <row r="3390" spans="1:23" ht="15" customHeight="1">
      <c r="A3390" s="3">
        <v>40652</v>
      </c>
      <c r="B3390" s="9">
        <v>117450</v>
      </c>
      <c r="C3390" s="5">
        <v>79450</v>
      </c>
      <c r="D3390" s="5" t="e">
        <f>E3390-(#REF!+#REF!+C3390)</f>
        <v>#REF!</v>
      </c>
      <c r="E3390" s="5">
        <v>298425</v>
      </c>
      <c r="K3390" s="22">
        <v>2598</v>
      </c>
      <c r="L3390" s="6">
        <v>2542.5</v>
      </c>
      <c r="M3390" s="125">
        <f t="shared" si="87"/>
        <v>-55.5</v>
      </c>
      <c r="N3390" s="18"/>
      <c r="O3390" s="135"/>
      <c r="P3390" s="175">
        <v>17200</v>
      </c>
      <c r="Q3390" s="25">
        <f>166.94/1089.9</f>
        <v>0.15317001559776125</v>
      </c>
      <c r="U3390" s="384">
        <v>0.1</v>
      </c>
      <c r="W3390" s="285">
        <f t="shared" si="86"/>
        <v>2897.9766951096431</v>
      </c>
    </row>
    <row r="3391" spans="1:23" ht="15" customHeight="1">
      <c r="A3391" s="3">
        <v>40653</v>
      </c>
      <c r="B3391" s="9">
        <v>121950</v>
      </c>
      <c r="C3391" s="5">
        <v>79950</v>
      </c>
      <c r="D3391" s="5" t="e">
        <f>E3391-(#REF!+#REF!+C3391)</f>
        <v>#REF!</v>
      </c>
      <c r="E3391" s="5">
        <v>301950</v>
      </c>
      <c r="K3391" s="22">
        <v>2661</v>
      </c>
      <c r="L3391" s="6">
        <v>2600.5</v>
      </c>
      <c r="M3391" s="125">
        <f t="shared" si="87"/>
        <v>-60.5</v>
      </c>
      <c r="N3391" s="18"/>
      <c r="O3391" s="135"/>
      <c r="P3391" s="175">
        <v>17050</v>
      </c>
      <c r="Q3391" s="25">
        <f>167.34/1092.8</f>
        <v>0.15312957540263544</v>
      </c>
      <c r="U3391" s="384">
        <v>0.1</v>
      </c>
      <c r="W3391" s="285">
        <f t="shared" si="86"/>
        <v>2871.945186676428</v>
      </c>
    </row>
    <row r="3392" spans="1:23" ht="15" customHeight="1">
      <c r="A3392" s="3">
        <v>40654</v>
      </c>
      <c r="B3392" s="9">
        <v>122825</v>
      </c>
      <c r="C3392" s="5">
        <v>79875</v>
      </c>
      <c r="D3392" s="5" t="e">
        <f>E3392-(#REF!+#REF!+C3392)</f>
        <v>#REF!</v>
      </c>
      <c r="E3392" s="5">
        <v>304625</v>
      </c>
      <c r="K3392" s="22">
        <v>2670</v>
      </c>
      <c r="L3392" s="6">
        <v>2638</v>
      </c>
      <c r="M3392" s="125">
        <f t="shared" si="87"/>
        <v>-32</v>
      </c>
      <c r="N3392" s="18"/>
      <c r="O3392" s="135"/>
      <c r="P3392" s="175">
        <v>17100</v>
      </c>
      <c r="Q3392" s="25">
        <f>166.07/1083.7</f>
        <v>0.15324351757866567</v>
      </c>
      <c r="U3392" s="384">
        <v>0.1</v>
      </c>
      <c r="W3392" s="285">
        <f t="shared" si="86"/>
        <v>2882.5105656547016</v>
      </c>
    </row>
    <row r="3393" spans="1:23" ht="15" customHeight="1">
      <c r="A3393" s="3">
        <v>40655</v>
      </c>
      <c r="B3393" s="9">
        <v>0</v>
      </c>
      <c r="C3393" s="24"/>
      <c r="D3393" s="24"/>
      <c r="E3393" s="24"/>
      <c r="F3393" s="1318" t="s">
        <v>39</v>
      </c>
      <c r="G3393" s="1318"/>
      <c r="H3393" s="1318"/>
      <c r="I3393" s="1318"/>
      <c r="J3393" s="5"/>
      <c r="K3393" s="24"/>
      <c r="L3393" s="24"/>
      <c r="M3393" s="24"/>
      <c r="N3393" s="18"/>
      <c r="O3393" s="135"/>
      <c r="P3393" s="175"/>
      <c r="Q3393" s="1363" t="s">
        <v>36</v>
      </c>
      <c r="R3393" s="1363"/>
      <c r="S3393" s="1363"/>
      <c r="T3393" s="1363"/>
      <c r="U3393" s="1363"/>
      <c r="W3393" s="285" t="e">
        <f t="shared" si="86"/>
        <v>#VALUE!</v>
      </c>
    </row>
    <row r="3394" spans="1:23" ht="15" customHeight="1">
      <c r="A3394" s="3">
        <v>40658</v>
      </c>
      <c r="B3394" s="9">
        <v>0</v>
      </c>
      <c r="C3394" s="24"/>
      <c r="D3394" s="24"/>
      <c r="E3394" s="24"/>
      <c r="F3394" s="1318"/>
      <c r="G3394" s="1318"/>
      <c r="H3394" s="1318"/>
      <c r="I3394" s="1318"/>
      <c r="J3394" s="5"/>
      <c r="K3394" s="24"/>
      <c r="L3394" s="24"/>
      <c r="M3394" s="24"/>
      <c r="N3394" s="18"/>
      <c r="O3394" s="135"/>
      <c r="P3394" s="207"/>
      <c r="Q3394" s="1363"/>
      <c r="R3394" s="1363"/>
      <c r="S3394" s="1363"/>
      <c r="T3394" s="1363"/>
      <c r="U3394" s="1363"/>
      <c r="W3394" s="285">
        <f t="shared" si="86"/>
        <v>0</v>
      </c>
    </row>
    <row r="3395" spans="1:23" ht="15" customHeight="1">
      <c r="A3395" s="3">
        <v>40659</v>
      </c>
      <c r="B3395" s="9">
        <v>123750</v>
      </c>
      <c r="C3395" s="5">
        <v>79825</v>
      </c>
      <c r="D3395" s="5" t="e">
        <f>E3395-(#REF!+#REF!+C3395)</f>
        <v>#REF!</v>
      </c>
      <c r="E3395" s="5">
        <v>304500</v>
      </c>
      <c r="K3395" s="22">
        <v>2582.5</v>
      </c>
      <c r="L3395" s="6">
        <v>2538</v>
      </c>
      <c r="M3395" s="125">
        <f>L3395-K3395</f>
        <v>-44.5</v>
      </c>
      <c r="N3395" s="18"/>
      <c r="O3395" s="135"/>
      <c r="P3395" s="175">
        <v>16600</v>
      </c>
      <c r="Q3395" s="25">
        <f>165.68/1081.5</f>
        <v>0.15319463707813222</v>
      </c>
      <c r="U3395" s="384">
        <v>0.1</v>
      </c>
      <c r="W3395" s="285">
        <f t="shared" si="86"/>
        <v>2797.3340730466944</v>
      </c>
    </row>
    <row r="3396" spans="1:23" ht="15" customHeight="1">
      <c r="A3396" s="3">
        <v>40660</v>
      </c>
      <c r="B3396" s="9">
        <v>123875</v>
      </c>
      <c r="C3396" s="5">
        <v>79825</v>
      </c>
      <c r="D3396" s="5" t="e">
        <f>E3396-(#REF!+#REF!+C3396)</f>
        <v>#REF!</v>
      </c>
      <c r="E3396" s="5">
        <v>307375</v>
      </c>
      <c r="K3396" s="22">
        <v>2580</v>
      </c>
      <c r="L3396" s="6">
        <v>2530.5</v>
      </c>
      <c r="M3396" s="125">
        <f>L3396-K3396</f>
        <v>-49.5</v>
      </c>
      <c r="N3396" s="18"/>
      <c r="O3396" s="135"/>
      <c r="P3396" s="175">
        <v>16700</v>
      </c>
      <c r="Q3396" s="25">
        <f>166.29/1085.5</f>
        <v>0.15319207738369414</v>
      </c>
      <c r="U3396" s="384">
        <v>0.1</v>
      </c>
      <c r="W3396" s="285">
        <f t="shared" si="86"/>
        <v>2814.1384615384618</v>
      </c>
    </row>
    <row r="3397" spans="1:23" ht="15" customHeight="1">
      <c r="A3397" s="3">
        <v>40661</v>
      </c>
      <c r="B3397" s="9">
        <v>125900</v>
      </c>
      <c r="C3397" s="5">
        <v>79775</v>
      </c>
      <c r="D3397" s="5" t="e">
        <f>E3397-(#REF!+#REF!+C3397)</f>
        <v>#REF!</v>
      </c>
      <c r="E3397" s="5">
        <v>308375</v>
      </c>
      <c r="K3397" s="22">
        <v>2531</v>
      </c>
      <c r="L3397" s="6">
        <v>2513</v>
      </c>
      <c r="M3397" s="125">
        <f>L3397-K3397</f>
        <v>-18</v>
      </c>
      <c r="N3397" s="18"/>
      <c r="O3397" s="135"/>
      <c r="P3397" s="175">
        <v>16700</v>
      </c>
      <c r="Q3397" s="25">
        <f>165.84/1079.9</f>
        <v>0.15356977497916474</v>
      </c>
      <c r="U3397" s="384">
        <v>0.1</v>
      </c>
      <c r="W3397" s="285">
        <f t="shared" si="86"/>
        <v>2821.0767663672564</v>
      </c>
    </row>
    <row r="3398" spans="1:23" ht="15" customHeight="1" thickBot="1">
      <c r="A3398" s="11">
        <v>40662</v>
      </c>
      <c r="B3398" s="9">
        <v>0</v>
      </c>
      <c r="C3398" s="209"/>
      <c r="D3398" s="209"/>
      <c r="E3398" s="209"/>
      <c r="F3398" s="1408" t="s">
        <v>38</v>
      </c>
      <c r="G3398" s="1408"/>
      <c r="H3398" s="1408"/>
      <c r="I3398" s="1408"/>
      <c r="J3398" s="13"/>
      <c r="K3398" s="209"/>
      <c r="L3398" s="209"/>
      <c r="M3398" s="209"/>
      <c r="N3398" s="85">
        <f>AVERAGE(K3378:K3398)</f>
        <v>2741.1388888888887</v>
      </c>
      <c r="O3398" s="143">
        <f>AVERAGE(K3315:K3398)</f>
        <v>2635.3518518518517</v>
      </c>
      <c r="P3398" s="176">
        <v>16650</v>
      </c>
      <c r="Q3398" s="27">
        <f>164.92/1072.3</f>
        <v>0.15380024246945817</v>
      </c>
      <c r="R3398" s="27"/>
      <c r="S3398" s="27"/>
      <c r="T3398" s="27"/>
      <c r="U3398" s="385">
        <v>0.1</v>
      </c>
      <c r="V3398" s="38">
        <f>AVERAGE(P3378:P3398)</f>
        <v>17244.117647058825</v>
      </c>
      <c r="W3398" s="285">
        <f t="shared" si="86"/>
        <v>2816.8514408281267</v>
      </c>
    </row>
    <row r="3399" spans="1:23" ht="15" customHeight="1">
      <c r="A3399" s="29">
        <v>40665</v>
      </c>
      <c r="B3399" s="9">
        <v>0</v>
      </c>
      <c r="C3399" s="210"/>
      <c r="D3399" s="210"/>
      <c r="E3399" s="210"/>
      <c r="F3399" s="1328" t="s">
        <v>38</v>
      </c>
      <c r="G3399" s="1328"/>
      <c r="H3399" s="1328"/>
      <c r="I3399" s="1328"/>
      <c r="J3399" s="31"/>
      <c r="K3399" s="210"/>
      <c r="L3399" s="210"/>
      <c r="M3399" s="210"/>
      <c r="N3399" s="96"/>
      <c r="O3399" s="140"/>
      <c r="P3399" s="211"/>
      <c r="Q3399" s="1395" t="s">
        <v>41</v>
      </c>
      <c r="R3399" s="1395"/>
      <c r="S3399" s="1395"/>
      <c r="T3399" s="1395"/>
      <c r="U3399" s="1395"/>
      <c r="V3399" s="35"/>
      <c r="W3399" s="285" t="e">
        <f t="shared" si="86"/>
        <v>#VALUE!</v>
      </c>
    </row>
    <row r="3400" spans="1:23" ht="15" customHeight="1">
      <c r="A3400" s="3">
        <v>40666</v>
      </c>
      <c r="B3400" s="9">
        <v>126775</v>
      </c>
      <c r="C3400" s="5">
        <v>79750</v>
      </c>
      <c r="D3400" s="5" t="e">
        <f>E3400-(#REF!+#REF!+C3400)</f>
        <v>#REF!</v>
      </c>
      <c r="E3400" s="5">
        <v>310250</v>
      </c>
      <c r="K3400" s="22">
        <v>2545</v>
      </c>
      <c r="L3400" s="6">
        <v>2516</v>
      </c>
      <c r="M3400" s="125">
        <f t="shared" ref="M3400:M3463" si="88">L3400-K3400</f>
        <v>-29</v>
      </c>
      <c r="N3400" s="18"/>
      <c r="O3400" s="135"/>
      <c r="P3400" s="175">
        <v>16600</v>
      </c>
      <c r="Q3400" s="25">
        <f>164.31/1066.8</f>
        <v>0.15402137232845894</v>
      </c>
      <c r="U3400" s="384">
        <v>0.1</v>
      </c>
      <c r="W3400" s="285">
        <f t="shared" si="86"/>
        <v>2812.4302587176608</v>
      </c>
    </row>
    <row r="3401" spans="1:23" ht="15" customHeight="1">
      <c r="A3401" s="3">
        <v>40667</v>
      </c>
      <c r="B3401" s="9">
        <v>127000</v>
      </c>
      <c r="C3401" s="5">
        <v>80025</v>
      </c>
      <c r="D3401" s="5" t="e">
        <f>E3401-(#REF!+#REF!+C3401)</f>
        <v>#REF!</v>
      </c>
      <c r="E3401" s="5">
        <v>311050</v>
      </c>
      <c r="K3401" s="22">
        <v>2519</v>
      </c>
      <c r="L3401" s="6">
        <v>2496</v>
      </c>
      <c r="M3401" s="125">
        <f t="shared" si="88"/>
        <v>-23</v>
      </c>
      <c r="N3401" s="18"/>
      <c r="O3401" s="135"/>
      <c r="P3401" s="175">
        <v>16600</v>
      </c>
      <c r="Q3401" s="25">
        <f>164.75/1070.2</f>
        <v>0.15394318818912353</v>
      </c>
      <c r="U3401" s="384">
        <v>0.1</v>
      </c>
      <c r="W3401" s="285">
        <f t="shared" si="86"/>
        <v>2811.0026163333955</v>
      </c>
    </row>
    <row r="3402" spans="1:23" ht="15" customHeight="1">
      <c r="A3402" s="3">
        <v>40668</v>
      </c>
      <c r="B3402" s="9">
        <v>127000</v>
      </c>
      <c r="C3402" s="5">
        <v>79350</v>
      </c>
      <c r="D3402" s="5" t="e">
        <f>E3402-(#REF!+#REF!+C3402)</f>
        <v>#REF!</v>
      </c>
      <c r="E3402" s="5">
        <v>311450</v>
      </c>
      <c r="K3402" s="22">
        <v>2379</v>
      </c>
      <c r="L3402" s="6">
        <v>2345</v>
      </c>
      <c r="M3402" s="125">
        <f t="shared" si="88"/>
        <v>-34</v>
      </c>
      <c r="N3402" s="18"/>
      <c r="O3402" s="135"/>
      <c r="P3402" s="175">
        <v>16000</v>
      </c>
      <c r="Q3402" s="25">
        <f>164.75/1070.2</f>
        <v>0.15394318818912353</v>
      </c>
      <c r="U3402" s="384">
        <v>0.1</v>
      </c>
      <c r="W3402" s="285">
        <f t="shared" si="86"/>
        <v>2709.4001121285742</v>
      </c>
    </row>
    <row r="3403" spans="1:23" ht="15" customHeight="1">
      <c r="A3403" s="3">
        <v>40669</v>
      </c>
      <c r="B3403" s="9">
        <v>127125</v>
      </c>
      <c r="C3403" s="5">
        <v>79225</v>
      </c>
      <c r="D3403" s="5" t="e">
        <f>E3403-(#REF!+#REF!+C3403)</f>
        <v>#REF!</v>
      </c>
      <c r="E3403" s="5">
        <v>311450</v>
      </c>
      <c r="K3403" s="22">
        <v>2295</v>
      </c>
      <c r="L3403" s="6">
        <v>2260</v>
      </c>
      <c r="M3403" s="125">
        <f t="shared" si="88"/>
        <v>-35</v>
      </c>
      <c r="N3403" s="18"/>
      <c r="O3403" s="135"/>
      <c r="P3403" s="175">
        <v>15900</v>
      </c>
      <c r="Q3403" s="25">
        <f>165.49/1074.6</f>
        <v>0.15400148892611207</v>
      </c>
      <c r="U3403" s="384">
        <v>0.1</v>
      </c>
      <c r="W3403" s="285">
        <f t="shared" si="86"/>
        <v>2693.4860413177003</v>
      </c>
    </row>
    <row r="3404" spans="1:23" ht="15" customHeight="1">
      <c r="A3404" s="3">
        <v>40672</v>
      </c>
      <c r="B3404" s="9">
        <v>127500</v>
      </c>
      <c r="C3404" s="5">
        <v>79200</v>
      </c>
      <c r="D3404" s="5" t="e">
        <f>E3404-(#REF!+#REF!+C3404)</f>
        <v>#REF!</v>
      </c>
      <c r="E3404" s="5">
        <v>312475</v>
      </c>
      <c r="K3404" s="22">
        <v>2380</v>
      </c>
      <c r="L3404" s="6">
        <v>2331</v>
      </c>
      <c r="M3404" s="125">
        <f t="shared" si="88"/>
        <v>-49</v>
      </c>
      <c r="N3404" s="18"/>
      <c r="O3404" s="135"/>
      <c r="P3404" s="175">
        <v>16000</v>
      </c>
      <c r="Q3404" s="25">
        <f>165.49/1074.6</f>
        <v>0.15400148892611207</v>
      </c>
      <c r="U3404" s="384">
        <v>0.1</v>
      </c>
      <c r="W3404" s="285">
        <f t="shared" si="86"/>
        <v>2710.4262050995726</v>
      </c>
    </row>
    <row r="3405" spans="1:23" ht="15" customHeight="1">
      <c r="A3405" s="3">
        <v>40673</v>
      </c>
      <c r="B3405" s="9">
        <v>128125</v>
      </c>
      <c r="C3405" s="5">
        <v>79775</v>
      </c>
      <c r="D3405" s="5" t="e">
        <f>E3405-(#REF!+#REF!+C3405)</f>
        <v>#REF!</v>
      </c>
      <c r="E3405" s="5">
        <v>313175</v>
      </c>
      <c r="K3405" s="22">
        <v>2380</v>
      </c>
      <c r="L3405" s="6">
        <v>2339</v>
      </c>
      <c r="M3405" s="125">
        <f t="shared" si="88"/>
        <v>-41</v>
      </c>
      <c r="N3405" s="18"/>
      <c r="O3405" s="135"/>
      <c r="P3405" s="175">
        <v>16000</v>
      </c>
      <c r="Q3405" s="25">
        <f>165.49/1074.6</f>
        <v>0.15400148892611207</v>
      </c>
      <c r="U3405" s="384">
        <v>0.1</v>
      </c>
      <c r="W3405" s="285">
        <f t="shared" si="86"/>
        <v>2710.4262050995726</v>
      </c>
    </row>
    <row r="3406" spans="1:23" ht="15" customHeight="1">
      <c r="A3406" s="3">
        <v>40674</v>
      </c>
      <c r="B3406" s="9">
        <v>128000</v>
      </c>
      <c r="C3406" s="5">
        <v>79750</v>
      </c>
      <c r="D3406" s="5" t="e">
        <f>E3406-(#REF!+#REF!+C3406)</f>
        <v>#REF!</v>
      </c>
      <c r="E3406" s="5">
        <v>313325</v>
      </c>
      <c r="K3406" s="22">
        <v>2359</v>
      </c>
      <c r="L3406" s="6">
        <v>2330</v>
      </c>
      <c r="M3406" s="125">
        <f t="shared" si="88"/>
        <v>-29</v>
      </c>
      <c r="N3406" s="18"/>
      <c r="O3406" s="135"/>
      <c r="P3406" s="175">
        <v>16050</v>
      </c>
      <c r="Q3406" s="25">
        <f>166.35/1079.9</f>
        <v>0.15404204092971568</v>
      </c>
      <c r="U3406" s="384">
        <v>0.1</v>
      </c>
      <c r="W3406" s="285">
        <f t="shared" si="86"/>
        <v>2719.6122326141308</v>
      </c>
    </row>
    <row r="3407" spans="1:23" ht="15" customHeight="1">
      <c r="A3407" s="3">
        <v>40675</v>
      </c>
      <c r="B3407" s="9">
        <v>128675</v>
      </c>
      <c r="C3407" s="5">
        <v>79650</v>
      </c>
      <c r="D3407" s="5" t="e">
        <f>E3407-(#REF!+#REF!+C3407)</f>
        <v>#REF!</v>
      </c>
      <c r="E3407" s="5">
        <v>315825</v>
      </c>
      <c r="K3407" s="22">
        <v>2272</v>
      </c>
      <c r="L3407" s="6">
        <v>2255</v>
      </c>
      <c r="M3407" s="125">
        <f t="shared" si="88"/>
        <v>-17</v>
      </c>
      <c r="N3407" s="18"/>
      <c r="O3407" s="135"/>
      <c r="P3407" s="175">
        <v>15750</v>
      </c>
      <c r="Q3407" s="25">
        <f>165.57/1074.9</f>
        <v>0.15403293329612056</v>
      </c>
      <c r="U3407" s="384">
        <v>0.1</v>
      </c>
      <c r="W3407" s="285">
        <f t="shared" si="86"/>
        <v>2668.6205693552893</v>
      </c>
    </row>
    <row r="3408" spans="1:23" ht="15" customHeight="1">
      <c r="A3408" s="3">
        <v>40676</v>
      </c>
      <c r="B3408" s="9">
        <v>130850</v>
      </c>
      <c r="C3408" s="5">
        <v>79650</v>
      </c>
      <c r="D3408" s="5" t="e">
        <f>E3408-(#REF!+#REF!+C3408)</f>
        <v>#REF!</v>
      </c>
      <c r="E3408" s="5">
        <v>316525</v>
      </c>
      <c r="K3408" s="22">
        <v>2365</v>
      </c>
      <c r="L3408" s="6">
        <v>2351.5</v>
      </c>
      <c r="M3408" s="125">
        <f t="shared" si="88"/>
        <v>-13.5</v>
      </c>
      <c r="N3408" s="18"/>
      <c r="O3408" s="135"/>
      <c r="P3408" s="175">
        <v>15850</v>
      </c>
      <c r="Q3408" s="25">
        <f>166.6/1082.7</f>
        <v>0.15387457282719127</v>
      </c>
      <c r="U3408" s="384">
        <v>0.1</v>
      </c>
      <c r="W3408" s="285">
        <f t="shared" si="86"/>
        <v>2682.80317724208</v>
      </c>
    </row>
    <row r="3409" spans="1:23" ht="15" customHeight="1">
      <c r="A3409" s="3">
        <v>40679</v>
      </c>
      <c r="B3409" s="9">
        <v>130700</v>
      </c>
      <c r="C3409" s="5">
        <v>79550</v>
      </c>
      <c r="D3409" s="5" t="e">
        <f>E3409-(#REF!+#REF!+C3409)</f>
        <v>#REF!</v>
      </c>
      <c r="E3409" s="5">
        <v>316450</v>
      </c>
      <c r="K3409" s="22">
        <v>2277</v>
      </c>
      <c r="L3409" s="6">
        <v>2270</v>
      </c>
      <c r="M3409" s="125">
        <f t="shared" si="88"/>
        <v>-7</v>
      </c>
      <c r="N3409" s="18"/>
      <c r="O3409" s="135"/>
      <c r="P3409" s="175">
        <v>15850</v>
      </c>
      <c r="Q3409" s="25">
        <f>167.57/1088.9</f>
        <v>0.15388924602810172</v>
      </c>
      <c r="U3409" s="384">
        <v>0.1</v>
      </c>
      <c r="W3409" s="285">
        <f t="shared" si="86"/>
        <v>2683.0590044999535</v>
      </c>
    </row>
    <row r="3410" spans="1:23" ht="15" customHeight="1">
      <c r="A3410" s="3">
        <v>40680</v>
      </c>
      <c r="B3410" s="9">
        <v>131175</v>
      </c>
      <c r="C3410" s="5">
        <v>79550</v>
      </c>
      <c r="D3410" s="5" t="e">
        <f>E3410-(#REF!+#REF!+C3410)</f>
        <v>#REF!</v>
      </c>
      <c r="E3410" s="5">
        <v>316300</v>
      </c>
      <c r="K3410" s="22">
        <v>2309</v>
      </c>
      <c r="L3410" s="6">
        <v>2305</v>
      </c>
      <c r="M3410" s="125">
        <f t="shared" si="88"/>
        <v>-4</v>
      </c>
      <c r="N3410" s="18"/>
      <c r="O3410" s="135"/>
      <c r="P3410" s="175">
        <v>15750</v>
      </c>
      <c r="Q3410" s="25">
        <f>167.9/1092.8</f>
        <v>0.15364202049780382</v>
      </c>
      <c r="U3410" s="384">
        <v>0.1</v>
      </c>
      <c r="W3410" s="285">
        <f t="shared" si="86"/>
        <v>2661.8480051244514</v>
      </c>
    </row>
    <row r="3411" spans="1:23" ht="15" customHeight="1">
      <c r="A3411" s="3">
        <v>40681</v>
      </c>
      <c r="B3411" s="9">
        <v>130875</v>
      </c>
      <c r="C3411" s="5">
        <v>79625</v>
      </c>
      <c r="D3411" s="5" t="e">
        <f>E3411-(#REF!+#REF!+C3411)</f>
        <v>#REF!</v>
      </c>
      <c r="E3411" s="5">
        <v>316875</v>
      </c>
      <c r="K3411" s="22">
        <v>2362</v>
      </c>
      <c r="L3411" s="6">
        <v>2358</v>
      </c>
      <c r="M3411" s="125">
        <f t="shared" si="88"/>
        <v>-4</v>
      </c>
      <c r="N3411" s="18"/>
      <c r="O3411" s="135"/>
      <c r="P3411" s="175">
        <v>15950</v>
      </c>
      <c r="Q3411" s="25">
        <f>167.76/1091.4</f>
        <v>0.15371083012644307</v>
      </c>
      <c r="U3411" s="384">
        <v>0.1</v>
      </c>
      <c r="W3411" s="285">
        <f t="shared" si="86"/>
        <v>2696.8565145684438</v>
      </c>
    </row>
    <row r="3412" spans="1:23" ht="15" customHeight="1">
      <c r="A3412" s="3">
        <v>40682</v>
      </c>
      <c r="B3412" s="9">
        <v>131075</v>
      </c>
      <c r="C3412" s="5">
        <v>79625</v>
      </c>
      <c r="D3412" s="5" t="e">
        <f>E3412-(#REF!+#REF!+C3412)</f>
        <v>#REF!</v>
      </c>
      <c r="E3412" s="5">
        <v>316875</v>
      </c>
      <c r="K3412" s="22">
        <v>2455.5</v>
      </c>
      <c r="L3412" s="6">
        <v>2454</v>
      </c>
      <c r="M3412" s="125">
        <f t="shared" si="88"/>
        <v>-1.5</v>
      </c>
      <c r="N3412" s="18"/>
      <c r="O3412" s="135"/>
      <c r="P3412" s="175">
        <v>16300</v>
      </c>
      <c r="Q3412" s="25">
        <f>167.03/1086.7</f>
        <v>0.15370387411429096</v>
      </c>
      <c r="U3412" s="384">
        <v>0.1</v>
      </c>
      <c r="W3412" s="285">
        <f t="shared" si="86"/>
        <v>2755.9104628692371</v>
      </c>
    </row>
    <row r="3413" spans="1:23" ht="15" customHeight="1">
      <c r="A3413" s="3">
        <v>40683</v>
      </c>
      <c r="B3413" s="9">
        <v>131425</v>
      </c>
      <c r="C3413" s="5">
        <v>79725</v>
      </c>
      <c r="D3413" s="5" t="e">
        <f>E3413-(#REF!+#REF!+C3413)</f>
        <v>#REF!</v>
      </c>
      <c r="E3413" s="5">
        <v>317800</v>
      </c>
      <c r="K3413" s="22">
        <v>2485</v>
      </c>
      <c r="L3413" s="6">
        <v>2476</v>
      </c>
      <c r="M3413" s="125">
        <f t="shared" si="88"/>
        <v>-9</v>
      </c>
      <c r="N3413" s="18"/>
      <c r="O3413" s="135"/>
      <c r="P3413" s="175">
        <v>16150</v>
      </c>
      <c r="Q3413" s="25">
        <f>166.75/1084.7</f>
        <v>0.15372914169816537</v>
      </c>
      <c r="U3413" s="384">
        <v>0.1</v>
      </c>
      <c r="W3413" s="285">
        <f t="shared" si="86"/>
        <v>2730.9982022679078</v>
      </c>
    </row>
    <row r="3414" spans="1:23" ht="15" customHeight="1">
      <c r="A3414" s="3">
        <v>40686</v>
      </c>
      <c r="B3414" s="9">
        <v>132325</v>
      </c>
      <c r="C3414" s="5">
        <v>79800</v>
      </c>
      <c r="D3414" s="5" t="e">
        <f>E3414-(#REF!+#REF!+C3414)</f>
        <v>#REF!</v>
      </c>
      <c r="E3414" s="5">
        <v>318850</v>
      </c>
      <c r="K3414" s="22">
        <v>2421</v>
      </c>
      <c r="L3414" s="6">
        <v>2416</v>
      </c>
      <c r="M3414" s="125">
        <f t="shared" si="88"/>
        <v>-5</v>
      </c>
      <c r="N3414" s="18"/>
      <c r="O3414" s="135"/>
      <c r="P3414" s="175">
        <v>16100</v>
      </c>
      <c r="Q3414" s="25">
        <f>166.77/1082.7</f>
        <v>0.15403158769742312</v>
      </c>
      <c r="U3414" s="384">
        <v>0.1</v>
      </c>
      <c r="W3414" s="285">
        <f t="shared" si="86"/>
        <v>2727.8994181213634</v>
      </c>
    </row>
    <row r="3415" spans="1:23" ht="15" customHeight="1">
      <c r="A3415" s="3">
        <v>40687</v>
      </c>
      <c r="B3415" s="9">
        <v>132850</v>
      </c>
      <c r="C3415" s="5">
        <v>79800</v>
      </c>
      <c r="D3415" s="5" t="e">
        <f>E3415-(#REF!+#REF!+C3415)</f>
        <v>#REF!</v>
      </c>
      <c r="E3415" s="5">
        <v>319825</v>
      </c>
      <c r="K3415" s="22">
        <v>2491</v>
      </c>
      <c r="L3415" s="6">
        <v>2476</v>
      </c>
      <c r="M3415" s="125">
        <f t="shared" si="88"/>
        <v>-15</v>
      </c>
      <c r="N3415" s="18"/>
      <c r="O3415" s="135"/>
      <c r="P3415" s="175">
        <v>16000</v>
      </c>
      <c r="Q3415" s="25">
        <f>167.82/1091.7</f>
        <v>0.15372355042594119</v>
      </c>
      <c r="U3415" s="384">
        <v>0.1</v>
      </c>
      <c r="W3415" s="285">
        <f t="shared" si="86"/>
        <v>2705.5344874965654</v>
      </c>
    </row>
    <row r="3416" spans="1:23" ht="15" customHeight="1">
      <c r="A3416" s="3">
        <v>40688</v>
      </c>
      <c r="B3416" s="9">
        <v>133375</v>
      </c>
      <c r="C3416" s="5">
        <v>79850</v>
      </c>
      <c r="D3416" s="5" t="e">
        <f>E3416-(#REF!+#REF!+C3416)</f>
        <v>#REF!</v>
      </c>
      <c r="E3416" s="5">
        <v>320650</v>
      </c>
      <c r="K3416" s="22">
        <v>2532</v>
      </c>
      <c r="L3416" s="6">
        <v>2520</v>
      </c>
      <c r="M3416" s="125">
        <f t="shared" si="88"/>
        <v>-12</v>
      </c>
      <c r="N3416" s="18"/>
      <c r="O3416" s="135"/>
      <c r="P3416" s="175">
        <v>16100</v>
      </c>
      <c r="Q3416" s="25">
        <f>168.47/1094.8</f>
        <v>0.15388198757763977</v>
      </c>
      <c r="U3416" s="384">
        <v>0.1</v>
      </c>
      <c r="W3416" s="285">
        <f t="shared" si="86"/>
        <v>2725.2500000000009</v>
      </c>
    </row>
    <row r="3417" spans="1:23" ht="15" customHeight="1">
      <c r="A3417" s="3">
        <v>40689</v>
      </c>
      <c r="B3417" s="9">
        <v>134200</v>
      </c>
      <c r="C3417" s="5">
        <v>79750</v>
      </c>
      <c r="D3417" s="5" t="e">
        <f>E3417-(#REF!+#REF!+C3417)</f>
        <v>#REF!</v>
      </c>
      <c r="E3417" s="5">
        <v>320625</v>
      </c>
      <c r="K3417" s="22">
        <v>2503</v>
      </c>
      <c r="L3417" s="6">
        <v>2489</v>
      </c>
      <c r="M3417" s="125">
        <f t="shared" si="88"/>
        <v>-14</v>
      </c>
      <c r="N3417" s="18"/>
      <c r="O3417" s="135"/>
      <c r="P3417" s="175">
        <v>16300</v>
      </c>
      <c r="Q3417" s="25">
        <f>168.82/1096.3</f>
        <v>0.15399069597737847</v>
      </c>
      <c r="U3417" s="384">
        <v>0.1</v>
      </c>
      <c r="W3417" s="285">
        <f t="shared" si="86"/>
        <v>2761.0531788743961</v>
      </c>
    </row>
    <row r="3418" spans="1:23" ht="15" customHeight="1">
      <c r="A3418" s="3">
        <v>40690</v>
      </c>
      <c r="B3418" s="9">
        <v>134400</v>
      </c>
      <c r="C3418" s="5">
        <v>79900</v>
      </c>
      <c r="D3418" s="5" t="e">
        <f>E3418-(#REF!+#REF!+C3418)</f>
        <v>#REF!</v>
      </c>
      <c r="E3418" s="5">
        <v>322050</v>
      </c>
      <c r="K3418" s="22">
        <v>2545</v>
      </c>
      <c r="L3418" s="6">
        <v>2525</v>
      </c>
      <c r="M3418" s="125">
        <f t="shared" si="88"/>
        <v>-20</v>
      </c>
      <c r="N3418" s="18"/>
      <c r="O3418" s="135"/>
      <c r="P3418" s="175">
        <v>16300</v>
      </c>
      <c r="Q3418" s="25">
        <f>168.01/1090.5</f>
        <v>0.15406694176983035</v>
      </c>
      <c r="U3418" s="384">
        <v>0.1</v>
      </c>
      <c r="W3418" s="285">
        <f t="shared" si="86"/>
        <v>2762.4202659330585</v>
      </c>
    </row>
    <row r="3419" spans="1:23" ht="15" customHeight="1">
      <c r="A3419" s="3">
        <v>40693</v>
      </c>
      <c r="B3419" s="9">
        <v>0</v>
      </c>
      <c r="C3419" s="24"/>
      <c r="D3419" s="24"/>
      <c r="E3419" s="24"/>
      <c r="F3419" s="1318" t="s">
        <v>38</v>
      </c>
      <c r="G3419" s="1318"/>
      <c r="H3419" s="1318"/>
      <c r="I3419" s="1318"/>
      <c r="J3419" s="5"/>
      <c r="K3419" s="24"/>
      <c r="L3419" s="24"/>
      <c r="M3419" s="24"/>
      <c r="N3419" s="18"/>
      <c r="O3419" s="135"/>
      <c r="P3419" s="175">
        <v>16300</v>
      </c>
      <c r="Q3419" s="25">
        <f>166.75/1082.2</f>
        <v>0.15408427277767511</v>
      </c>
      <c r="U3419" s="384">
        <v>0.1</v>
      </c>
      <c r="W3419" s="285">
        <f t="shared" si="86"/>
        <v>2762.7310109037148</v>
      </c>
    </row>
    <row r="3420" spans="1:23" ht="15" customHeight="1" thickBot="1">
      <c r="A3420" s="11">
        <v>40694</v>
      </c>
      <c r="B3420" s="9">
        <v>134300</v>
      </c>
      <c r="C3420" s="13">
        <v>79975</v>
      </c>
      <c r="D3420" s="13" t="e">
        <f>E3420-(#REF!+#REF!+C3420)</f>
        <v>#REF!</v>
      </c>
      <c r="E3420" s="13">
        <v>322200</v>
      </c>
      <c r="F3420" s="12"/>
      <c r="G3420" s="13"/>
      <c r="H3420" s="13"/>
      <c r="I3420" s="119"/>
      <c r="J3420" s="119"/>
      <c r="K3420" s="23">
        <v>2533</v>
      </c>
      <c r="L3420" s="14">
        <v>2515</v>
      </c>
      <c r="M3420" s="126">
        <f t="shared" si="88"/>
        <v>-18</v>
      </c>
      <c r="N3420" s="85">
        <f>AVERAGE(K3400:K3420)</f>
        <v>2420.375</v>
      </c>
      <c r="O3420" s="143">
        <f>AVERAGE(K3315:K3420)</f>
        <v>2592.7821782178216</v>
      </c>
      <c r="P3420" s="176">
        <v>16300</v>
      </c>
      <c r="Q3420" s="27">
        <f>166.68/1080.6</f>
        <v>0.15424764019988896</v>
      </c>
      <c r="R3420" s="27"/>
      <c r="S3420" s="27"/>
      <c r="T3420" s="27"/>
      <c r="U3420" s="385">
        <v>0.1</v>
      </c>
      <c r="V3420" s="38">
        <f>AVERAGE(P3399:P3420)</f>
        <v>16102.380952380952</v>
      </c>
      <c r="W3420" s="285">
        <f t="shared" si="86"/>
        <v>2765.6601887840093</v>
      </c>
    </row>
    <row r="3421" spans="1:23" ht="15" customHeight="1">
      <c r="A3421" s="29">
        <v>40695</v>
      </c>
      <c r="B3421" s="9">
        <v>135375</v>
      </c>
      <c r="C3421" s="31">
        <v>79950</v>
      </c>
      <c r="D3421" s="31" t="e">
        <f>E3421-(#REF!+#REF!+C3421)</f>
        <v>#REF!</v>
      </c>
      <c r="E3421" s="31">
        <v>323300</v>
      </c>
      <c r="F3421" s="30"/>
      <c r="G3421" s="31"/>
      <c r="H3421" s="31"/>
      <c r="I3421" s="123"/>
      <c r="J3421" s="123"/>
      <c r="K3421" s="32">
        <v>2513</v>
      </c>
      <c r="L3421" s="33">
        <v>2507</v>
      </c>
      <c r="M3421" s="125">
        <f t="shared" si="88"/>
        <v>-6</v>
      </c>
      <c r="N3421" s="20"/>
      <c r="O3421" s="138"/>
      <c r="P3421" s="178">
        <v>16200</v>
      </c>
      <c r="Q3421" s="34">
        <f>166.2/1076.9</f>
        <v>0.1543318785402544</v>
      </c>
      <c r="R3421" s="34"/>
      <c r="S3421" s="34"/>
      <c r="T3421" s="34"/>
      <c r="U3421" s="386">
        <v>0.1</v>
      </c>
      <c r="V3421" s="37"/>
      <c r="W3421" s="285">
        <f t="shared" si="86"/>
        <v>2750.1940755873338</v>
      </c>
    </row>
    <row r="3422" spans="1:23" ht="15" customHeight="1">
      <c r="A3422" s="3">
        <v>40696</v>
      </c>
      <c r="B3422" s="9">
        <v>135500</v>
      </c>
      <c r="C3422" s="5">
        <v>79950</v>
      </c>
      <c r="D3422" s="5" t="e">
        <f>E3422-(#REF!+#REF!+C3422)</f>
        <v>#REF!</v>
      </c>
      <c r="E3422" s="5">
        <v>323375</v>
      </c>
      <c r="K3422" s="22">
        <v>2485</v>
      </c>
      <c r="L3422" s="6">
        <v>2477</v>
      </c>
      <c r="M3422" s="125">
        <f t="shared" si="88"/>
        <v>-8</v>
      </c>
      <c r="N3422" s="18"/>
      <c r="O3422" s="135"/>
      <c r="P3422" s="175">
        <v>16100</v>
      </c>
      <c r="Q3422" s="25">
        <f>166.14/1076.4</f>
        <v>0.15434782608695649</v>
      </c>
      <c r="U3422" s="384">
        <v>0.1</v>
      </c>
      <c r="W3422" s="285">
        <f t="shared" si="86"/>
        <v>2733.4999999999995</v>
      </c>
    </row>
    <row r="3423" spans="1:23" ht="15" customHeight="1">
      <c r="A3423" s="3">
        <v>40697</v>
      </c>
      <c r="B3423" s="9">
        <v>135275</v>
      </c>
      <c r="C3423" s="5">
        <v>80300</v>
      </c>
      <c r="D3423" s="5" t="e">
        <f>E3423-(#REF!+#REF!+C3423)</f>
        <v>#REF!</v>
      </c>
      <c r="E3423" s="5">
        <v>323825</v>
      </c>
      <c r="K3423" s="22">
        <v>2426</v>
      </c>
      <c r="L3423" s="6">
        <v>2425</v>
      </c>
      <c r="M3423" s="125">
        <f t="shared" si="88"/>
        <v>-1</v>
      </c>
      <c r="N3423" s="18"/>
      <c r="O3423" s="135"/>
      <c r="P3423" s="175">
        <v>16100</v>
      </c>
      <c r="Q3423" s="25">
        <f>166.64/1080.4</f>
        <v>0.15423917067752682</v>
      </c>
      <c r="U3423" s="384">
        <v>0.1</v>
      </c>
      <c r="W3423" s="285">
        <f t="shared" si="86"/>
        <v>2731.5757126990002</v>
      </c>
    </row>
    <row r="3424" spans="1:23" ht="15" customHeight="1">
      <c r="A3424" s="3">
        <v>40700</v>
      </c>
      <c r="B3424" s="9">
        <v>134850</v>
      </c>
      <c r="C3424" s="5">
        <v>80275</v>
      </c>
      <c r="D3424" s="5" t="e">
        <f>E3424-(#REF!+#REF!+C3424)</f>
        <v>#REF!</v>
      </c>
      <c r="E3424" s="5">
        <v>323050</v>
      </c>
      <c r="K3424" s="22">
        <v>2471</v>
      </c>
      <c r="L3424" s="6">
        <v>2471</v>
      </c>
      <c r="M3424" s="125">
        <f t="shared" si="88"/>
        <v>0</v>
      </c>
      <c r="N3424" s="18"/>
      <c r="O3424" s="135"/>
      <c r="P3424" s="207"/>
      <c r="Q3424" s="1363" t="s">
        <v>41</v>
      </c>
      <c r="R3424" s="1363"/>
      <c r="S3424" s="1363"/>
      <c r="T3424" s="1363"/>
      <c r="U3424" s="1363"/>
    </row>
    <row r="3425" spans="1:23" ht="15" customHeight="1">
      <c r="A3425" s="3">
        <v>40701</v>
      </c>
      <c r="B3425" s="9">
        <v>134975</v>
      </c>
      <c r="C3425" s="5">
        <v>80750</v>
      </c>
      <c r="D3425" s="5" t="e">
        <f>E3425-(#REF!+#REF!+C3425)</f>
        <v>#REF!</v>
      </c>
      <c r="E3425" s="5">
        <v>323400</v>
      </c>
      <c r="K3425" s="22">
        <v>2510</v>
      </c>
      <c r="L3425" s="6">
        <v>2506</v>
      </c>
      <c r="M3425" s="125">
        <f t="shared" si="88"/>
        <v>-4</v>
      </c>
      <c r="N3425" s="18"/>
      <c r="O3425" s="135"/>
      <c r="P3425" s="175">
        <v>16200</v>
      </c>
      <c r="Q3425" s="25">
        <f>166.3/1077.5</f>
        <v>0.154338747099768</v>
      </c>
      <c r="U3425" s="384">
        <v>0.1</v>
      </c>
      <c r="W3425" s="285">
        <f t="shared" si="86"/>
        <v>2750.316473317866</v>
      </c>
    </row>
    <row r="3426" spans="1:23" ht="15" customHeight="1">
      <c r="A3426" s="3">
        <v>40702</v>
      </c>
      <c r="B3426" s="9">
        <v>134700</v>
      </c>
      <c r="C3426" s="5">
        <v>80750</v>
      </c>
      <c r="D3426" s="5" t="e">
        <f>E3426-(#REF!+#REF!+C3426)</f>
        <v>#REF!</v>
      </c>
      <c r="E3426" s="5">
        <v>323250</v>
      </c>
      <c r="K3426" s="22">
        <v>2520.5</v>
      </c>
      <c r="L3426" s="6">
        <v>2522</v>
      </c>
      <c r="M3426" s="125">
        <f t="shared" si="88"/>
        <v>1.5</v>
      </c>
      <c r="N3426" s="18"/>
      <c r="O3426" s="135"/>
      <c r="P3426" s="175">
        <v>16200</v>
      </c>
      <c r="Q3426" s="25">
        <f>166.71/1080.6</f>
        <v>0.1542754025541366</v>
      </c>
      <c r="U3426" s="384">
        <v>0.1</v>
      </c>
      <c r="W3426" s="285">
        <f t="shared" si="86"/>
        <v>2749.1876735147148</v>
      </c>
    </row>
    <row r="3427" spans="1:23" ht="15" customHeight="1">
      <c r="A3427" s="3">
        <v>40703</v>
      </c>
      <c r="B3427" s="9">
        <v>134525</v>
      </c>
      <c r="C3427" s="5">
        <v>80750</v>
      </c>
      <c r="D3427" s="5" t="e">
        <f>E3427-(#REF!+#REF!+C3427)</f>
        <v>#REF!</v>
      </c>
      <c r="E3427" s="5">
        <v>323225</v>
      </c>
      <c r="K3427" s="22">
        <v>2571</v>
      </c>
      <c r="L3427" s="6">
        <v>2578</v>
      </c>
      <c r="M3427" s="125">
        <f t="shared" si="88"/>
        <v>7</v>
      </c>
      <c r="N3427" s="18"/>
      <c r="O3427" s="135"/>
      <c r="P3427" s="175">
        <v>16200</v>
      </c>
      <c r="Q3427" s="25">
        <f>167.01/1081.5</f>
        <v>0.15442441054091538</v>
      </c>
      <c r="U3427" s="384">
        <v>0.1</v>
      </c>
      <c r="W3427" s="285">
        <f t="shared" si="86"/>
        <v>2751.8429958391125</v>
      </c>
    </row>
    <row r="3428" spans="1:23" ht="15" customHeight="1">
      <c r="A3428" s="3">
        <v>40704</v>
      </c>
      <c r="B3428" s="9">
        <v>134150</v>
      </c>
      <c r="C3428" s="5">
        <v>80725</v>
      </c>
      <c r="D3428" s="5" t="e">
        <f>E3428-(#REF!+#REF!+C3428)</f>
        <v>#REF!</v>
      </c>
      <c r="E3428" s="5">
        <v>322200</v>
      </c>
      <c r="K3428" s="22">
        <v>2577.5</v>
      </c>
      <c r="L3428" s="6">
        <v>2580.5</v>
      </c>
      <c r="M3428" s="125">
        <f t="shared" si="88"/>
        <v>3</v>
      </c>
      <c r="N3428" s="18"/>
      <c r="O3428" s="135"/>
      <c r="P3428" s="175">
        <v>16200</v>
      </c>
      <c r="Q3428" s="25">
        <f>167.22/1083.1</f>
        <v>0.15439017634567445</v>
      </c>
      <c r="U3428" s="384">
        <v>0.1</v>
      </c>
      <c r="W3428" s="285">
        <f t="shared" si="86"/>
        <v>2751.2329424799191</v>
      </c>
    </row>
    <row r="3429" spans="1:23" ht="15" customHeight="1">
      <c r="A3429" s="3">
        <v>40707</v>
      </c>
      <c r="B3429" s="9">
        <v>133675</v>
      </c>
      <c r="C3429" s="5">
        <v>80725</v>
      </c>
      <c r="D3429" s="5" t="e">
        <f>E3429-(#REF!+#REF!+C3429)</f>
        <v>#REF!</v>
      </c>
      <c r="E3429" s="5">
        <v>321825</v>
      </c>
      <c r="K3429" s="22">
        <v>2512.5</v>
      </c>
      <c r="L3429" s="6">
        <v>2525</v>
      </c>
      <c r="M3429" s="125">
        <f t="shared" si="88"/>
        <v>12.5</v>
      </c>
      <c r="N3429" s="18"/>
      <c r="O3429" s="135"/>
      <c r="P3429" s="175">
        <v>16150</v>
      </c>
      <c r="Q3429" s="25">
        <f>166.84/1181.2</f>
        <v>0.14124619031493396</v>
      </c>
      <c r="U3429" s="384">
        <v>0.1</v>
      </c>
      <c r="W3429" s="285">
        <f t="shared" si="86"/>
        <v>2509.2385709448022</v>
      </c>
    </row>
    <row r="3430" spans="1:23" ht="15" customHeight="1">
      <c r="A3430" s="3">
        <v>40708</v>
      </c>
      <c r="B3430" s="9">
        <v>133300</v>
      </c>
      <c r="C3430" s="5">
        <v>80625</v>
      </c>
      <c r="D3430" s="5" t="e">
        <f>E3430-(#REF!+#REF!+C3430)</f>
        <v>#REF!</v>
      </c>
      <c r="E3430" s="5">
        <v>321725</v>
      </c>
      <c r="K3430" s="22">
        <v>2550.5</v>
      </c>
      <c r="L3430" s="6">
        <v>2565</v>
      </c>
      <c r="M3430" s="125">
        <f t="shared" si="88"/>
        <v>14.5</v>
      </c>
      <c r="N3430" s="18"/>
      <c r="O3430" s="135"/>
      <c r="P3430" s="175">
        <v>16150</v>
      </c>
      <c r="Q3430" s="25">
        <f>167.5/1085.9</f>
        <v>0.15424993093286674</v>
      </c>
      <c r="U3430" s="384">
        <v>0.1</v>
      </c>
      <c r="W3430" s="285">
        <f t="shared" si="86"/>
        <v>2740.2500230223777</v>
      </c>
    </row>
    <row r="3431" spans="1:23" ht="15" customHeight="1">
      <c r="A3431" s="3">
        <v>40709</v>
      </c>
      <c r="B3431" s="9">
        <v>133300</v>
      </c>
      <c r="C3431" s="5">
        <v>80475</v>
      </c>
      <c r="D3431" s="5" t="e">
        <f>E3431-(#REF!+#REF!+C3431)</f>
        <v>#REF!</v>
      </c>
      <c r="E3431" s="5">
        <v>323100</v>
      </c>
      <c r="K3431" s="22">
        <v>2542</v>
      </c>
      <c r="L3431" s="6">
        <v>2565</v>
      </c>
      <c r="M3431" s="125">
        <f t="shared" si="88"/>
        <v>23</v>
      </c>
      <c r="N3431" s="18"/>
      <c r="O3431" s="135"/>
      <c r="P3431" s="175">
        <v>16250</v>
      </c>
      <c r="Q3431" s="25">
        <f>167.22/1083.5</f>
        <v>0.15433317951084449</v>
      </c>
      <c r="U3431" s="384">
        <v>0.1</v>
      </c>
      <c r="W3431" s="285">
        <f t="shared" si="86"/>
        <v>2758.7055837563457</v>
      </c>
    </row>
    <row r="3432" spans="1:23" ht="15" customHeight="1">
      <c r="A3432" s="3">
        <v>40710</v>
      </c>
      <c r="B3432" s="9">
        <v>133300</v>
      </c>
      <c r="C3432" s="5">
        <v>80400</v>
      </c>
      <c r="D3432" s="5" t="e">
        <f>E3432-(#REF!+#REF!+C3432)</f>
        <v>#REF!</v>
      </c>
      <c r="E3432" s="5">
        <v>322950</v>
      </c>
      <c r="K3432" s="22">
        <v>2472</v>
      </c>
      <c r="L3432" s="6">
        <v>2493</v>
      </c>
      <c r="M3432" s="125">
        <f t="shared" si="88"/>
        <v>21</v>
      </c>
      <c r="N3432" s="18"/>
      <c r="O3432" s="135"/>
      <c r="P3432" s="175">
        <v>16050</v>
      </c>
      <c r="Q3432" s="25">
        <f>167.01/1082.5</f>
        <v>0.15428175519630485</v>
      </c>
      <c r="U3432" s="384">
        <v>0.1</v>
      </c>
      <c r="W3432" s="285">
        <f t="shared" si="86"/>
        <v>2723.8443879907627</v>
      </c>
    </row>
    <row r="3433" spans="1:23" ht="15" customHeight="1">
      <c r="A3433" s="3">
        <v>40711</v>
      </c>
      <c r="B3433" s="9">
        <v>133300</v>
      </c>
      <c r="C3433" s="5">
        <v>80250</v>
      </c>
      <c r="D3433" s="5" t="e">
        <f>E3433-(#REF!+#REF!+C3433)</f>
        <v>#REF!</v>
      </c>
      <c r="E3433" s="5">
        <v>322700</v>
      </c>
      <c r="K3433" s="22">
        <v>2461</v>
      </c>
      <c r="L3433" s="6">
        <v>2480</v>
      </c>
      <c r="M3433" s="125">
        <f t="shared" si="88"/>
        <v>19</v>
      </c>
      <c r="N3433" s="18"/>
      <c r="O3433" s="135"/>
      <c r="P3433" s="175">
        <v>16000</v>
      </c>
      <c r="Q3433" s="25">
        <f>168.16/1088.9</f>
        <v>0.15443107723390576</v>
      </c>
      <c r="U3433" s="384">
        <v>0.1</v>
      </c>
      <c r="W3433" s="285">
        <f t="shared" si="86"/>
        <v>2717.9869593167418</v>
      </c>
    </row>
    <row r="3434" spans="1:23" ht="15" customHeight="1">
      <c r="A3434" s="3">
        <v>40714</v>
      </c>
      <c r="B3434" s="9">
        <v>133250</v>
      </c>
      <c r="C3434" s="5">
        <v>80200</v>
      </c>
      <c r="D3434" s="5" t="e">
        <f>E3434-(#REF!+#REF!+C3434)</f>
        <v>#REF!</v>
      </c>
      <c r="E3434" s="5">
        <v>322575</v>
      </c>
      <c r="K3434" s="22">
        <v>2380</v>
      </c>
      <c r="L3434" s="6">
        <v>2405</v>
      </c>
      <c r="M3434" s="125">
        <f t="shared" si="88"/>
        <v>25</v>
      </c>
      <c r="N3434" s="18"/>
      <c r="O3434" s="135"/>
      <c r="P3434" s="175">
        <v>15900</v>
      </c>
      <c r="Q3434" s="25">
        <f>168.01/1087.2</f>
        <v>0.15453458425312727</v>
      </c>
      <c r="U3434" s="384">
        <v>0.1</v>
      </c>
      <c r="W3434" s="285">
        <f t="shared" si="86"/>
        <v>2702.8098785871962</v>
      </c>
    </row>
    <row r="3435" spans="1:23" ht="15" customHeight="1">
      <c r="A3435" s="3">
        <v>40715</v>
      </c>
      <c r="B3435" s="9">
        <v>132500</v>
      </c>
      <c r="C3435" s="5">
        <v>80200</v>
      </c>
      <c r="D3435" s="5" t="e">
        <f>E3435-(#REF!+#REF!+C3435)</f>
        <v>#REF!</v>
      </c>
      <c r="E3435" s="5">
        <v>321825</v>
      </c>
      <c r="K3435" s="22">
        <v>2442</v>
      </c>
      <c r="L3435" s="6">
        <v>2462</v>
      </c>
      <c r="M3435" s="125">
        <f t="shared" si="88"/>
        <v>20</v>
      </c>
      <c r="N3435" s="18"/>
      <c r="O3435" s="135"/>
      <c r="P3435" s="175">
        <v>15950</v>
      </c>
      <c r="Q3435" s="25">
        <f>167.34/1083.2</f>
        <v>0.15448670605612999</v>
      </c>
      <c r="U3435" s="384">
        <v>0.1</v>
      </c>
      <c r="W3435" s="285">
        <f t="shared" si="86"/>
        <v>2710.4692577548012</v>
      </c>
    </row>
    <row r="3436" spans="1:23" ht="15" customHeight="1">
      <c r="A3436" s="3">
        <v>40716</v>
      </c>
      <c r="B3436" s="9">
        <v>132200</v>
      </c>
      <c r="C3436" s="5">
        <v>80275</v>
      </c>
      <c r="D3436" s="5" t="e">
        <f>E3436-(#REF!+#REF!+C3436)</f>
        <v>#REF!</v>
      </c>
      <c r="E3436" s="5">
        <v>321600</v>
      </c>
      <c r="K3436" s="22">
        <v>2455.5</v>
      </c>
      <c r="L3436" s="6">
        <v>2466</v>
      </c>
      <c r="M3436" s="125">
        <f t="shared" si="88"/>
        <v>10.5</v>
      </c>
      <c r="N3436" s="18"/>
      <c r="O3436" s="135"/>
      <c r="P3436" s="175">
        <v>16000</v>
      </c>
      <c r="Q3436" s="25">
        <f>167.31/1081.7</f>
        <v>0.15467319959323286</v>
      </c>
      <c r="U3436" s="384">
        <v>0.1</v>
      </c>
      <c r="W3436" s="285">
        <f t="shared" si="86"/>
        <v>2722.2483128408985</v>
      </c>
    </row>
    <row r="3437" spans="1:23" ht="15" customHeight="1">
      <c r="A3437" s="3">
        <v>40717</v>
      </c>
      <c r="B3437" s="9">
        <v>132200</v>
      </c>
      <c r="C3437" s="5">
        <v>80250</v>
      </c>
      <c r="D3437" s="5" t="e">
        <f>E3437-(#REF!+#REF!+C3437)</f>
        <v>#REF!</v>
      </c>
      <c r="E3437" s="5">
        <v>321775</v>
      </c>
      <c r="K3437" s="22">
        <v>2517.5</v>
      </c>
      <c r="L3437" s="6">
        <v>2530</v>
      </c>
      <c r="M3437" s="125">
        <f t="shared" si="88"/>
        <v>12.5</v>
      </c>
      <c r="N3437" s="18"/>
      <c r="O3437" s="135"/>
      <c r="P3437" s="175">
        <v>16100</v>
      </c>
      <c r="Q3437" s="25">
        <f>166.33/1075</f>
        <v>0.15472558139534884</v>
      </c>
      <c r="U3437" s="384">
        <v>0.1</v>
      </c>
      <c r="W3437" s="285">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25">
        <f t="shared" si="88"/>
        <v>5.5</v>
      </c>
      <c r="N3438" s="18"/>
      <c r="O3438" s="135"/>
      <c r="P3438" s="175">
        <v>16200</v>
      </c>
      <c r="Q3438" s="25">
        <f>166.47/1076.7</f>
        <v>0.15461131234327111</v>
      </c>
      <c r="U3438" s="384">
        <v>0.1</v>
      </c>
      <c r="W3438" s="285">
        <f t="shared" si="89"/>
        <v>2755.1735859570913</v>
      </c>
    </row>
    <row r="3439" spans="1:23" ht="15" customHeight="1">
      <c r="A3439" s="3">
        <v>40721</v>
      </c>
      <c r="B3439" s="9">
        <v>132975</v>
      </c>
      <c r="C3439" s="5">
        <v>80200</v>
      </c>
      <c r="D3439" s="5" t="e">
        <f>E3439-(#REF!+#REF!+C3439)</f>
        <v>#REF!</v>
      </c>
      <c r="E3439" s="5">
        <v>322500</v>
      </c>
      <c r="K3439" s="22">
        <v>2545.5</v>
      </c>
      <c r="L3439" s="6">
        <v>2556</v>
      </c>
      <c r="M3439" s="125">
        <f t="shared" si="88"/>
        <v>10.5</v>
      </c>
      <c r="N3439" s="18"/>
      <c r="O3439" s="135"/>
      <c r="P3439" s="175">
        <v>16100</v>
      </c>
      <c r="Q3439" s="25">
        <f>166.47/1077.9</f>
        <v>0.15443918730865572</v>
      </c>
      <c r="U3439" s="384">
        <v>0.1</v>
      </c>
      <c r="W3439" s="285">
        <f t="shared" si="89"/>
        <v>2735.1180072362931</v>
      </c>
    </row>
    <row r="3440" spans="1:23" ht="15" customHeight="1">
      <c r="A3440" s="3">
        <v>40722</v>
      </c>
      <c r="B3440" s="9">
        <v>132950</v>
      </c>
      <c r="C3440" s="5">
        <v>80700</v>
      </c>
      <c r="D3440" s="5" t="e">
        <f>E3440-(#REF!+#REF!+C3440)</f>
        <v>#REF!</v>
      </c>
      <c r="E3440" s="5">
        <v>322975</v>
      </c>
      <c r="K3440" s="22">
        <v>2553</v>
      </c>
      <c r="L3440" s="6">
        <v>2566</v>
      </c>
      <c r="M3440" s="125">
        <f t="shared" si="88"/>
        <v>13</v>
      </c>
      <c r="N3440" s="18"/>
      <c r="O3440" s="135"/>
      <c r="P3440" s="175">
        <v>16150</v>
      </c>
      <c r="Q3440" s="25">
        <f>167.64/1086.7</f>
        <v>0.15426520658875492</v>
      </c>
      <c r="U3440" s="384">
        <v>0.1</v>
      </c>
      <c r="W3440" s="285">
        <f t="shared" si="89"/>
        <v>2740.5213950492316</v>
      </c>
    </row>
    <row r="3441" spans="1:23" ht="15" customHeight="1">
      <c r="A3441" s="3">
        <v>40723</v>
      </c>
      <c r="B3441" s="9">
        <v>132175</v>
      </c>
      <c r="C3441" s="5">
        <v>80875</v>
      </c>
      <c r="D3441" s="5" t="e">
        <f>E3441-(#REF!+#REF!+C3441)</f>
        <v>#REF!</v>
      </c>
      <c r="E3441" s="5">
        <v>322675</v>
      </c>
      <c r="K3441" s="22">
        <v>2585.5</v>
      </c>
      <c r="L3441" s="6">
        <v>2605.5</v>
      </c>
      <c r="M3441" s="125">
        <f t="shared" si="88"/>
        <v>20</v>
      </c>
      <c r="N3441" s="18"/>
      <c r="O3441" s="135"/>
      <c r="P3441" s="175">
        <v>16150</v>
      </c>
      <c r="Q3441" s="25">
        <f>167.22/1081.8</f>
        <v>0.15457570715474211</v>
      </c>
      <c r="U3441" s="384">
        <v>0.1</v>
      </c>
      <c r="W3441" s="285">
        <f t="shared" si="89"/>
        <v>2746.0374376039936</v>
      </c>
    </row>
    <row r="3442" spans="1:23" ht="15" customHeight="1" thickBot="1">
      <c r="A3442" s="11">
        <v>40724</v>
      </c>
      <c r="B3442" s="9">
        <v>130650</v>
      </c>
      <c r="C3442" s="13">
        <v>80900</v>
      </c>
      <c r="D3442" s="13" t="e">
        <f>E3442-(#REF!+#REF!+C3442)</f>
        <v>#REF!</v>
      </c>
      <c r="E3442" s="13">
        <v>320300</v>
      </c>
      <c r="F3442" s="12"/>
      <c r="G3442" s="13"/>
      <c r="H3442" s="13"/>
      <c r="I3442" s="119"/>
      <c r="J3442" s="119"/>
      <c r="K3442" s="23">
        <v>2622.5</v>
      </c>
      <c r="L3442" s="14">
        <v>2640</v>
      </c>
      <c r="M3442" s="126">
        <f t="shared" si="88"/>
        <v>17.5</v>
      </c>
      <c r="N3442" s="85">
        <f>AVERAGE(K3421:K3442)</f>
        <v>2512.2045454545455</v>
      </c>
      <c r="O3442" s="143">
        <f>AVERAGE(K3315:K3442)</f>
        <v>2578.3699186991871</v>
      </c>
      <c r="P3442" s="176">
        <v>16300</v>
      </c>
      <c r="Q3442" s="27">
        <f>166.8/1078.1</f>
        <v>0.15471663111028663</v>
      </c>
      <c r="R3442" s="27"/>
      <c r="S3442" s="27"/>
      <c r="T3442" s="27"/>
      <c r="U3442" s="385">
        <v>0.1</v>
      </c>
      <c r="V3442" s="38">
        <f>AVERAGE(P3421:P3442)</f>
        <v>16126.190476190477</v>
      </c>
      <c r="W3442" s="285">
        <f t="shared" si="89"/>
        <v>2774.0691958074394</v>
      </c>
    </row>
    <row r="3443" spans="1:23" ht="15" customHeight="1">
      <c r="A3443" s="29">
        <v>40725</v>
      </c>
      <c r="B3443" s="9">
        <v>128625</v>
      </c>
      <c r="C3443" s="31">
        <v>80825</v>
      </c>
      <c r="D3443" s="31" t="e">
        <f>E3443-(#REF!+#REF!+C3443)</f>
        <v>#REF!</v>
      </c>
      <c r="E3443" s="31">
        <v>318600</v>
      </c>
      <c r="F3443" s="30"/>
      <c r="G3443" s="31"/>
      <c r="H3443" s="31"/>
      <c r="I3443" s="123"/>
      <c r="J3443" s="123"/>
      <c r="K3443" s="32">
        <v>2636.5</v>
      </c>
      <c r="L3443" s="33">
        <v>2660</v>
      </c>
      <c r="M3443" s="125">
        <f t="shared" si="88"/>
        <v>23.5</v>
      </c>
      <c r="N3443" s="20"/>
      <c r="O3443" s="138"/>
      <c r="P3443" s="178">
        <v>16300</v>
      </c>
      <c r="Q3443" s="34">
        <f>165.54/1070.1</f>
        <v>0.15469582282029717</v>
      </c>
      <c r="R3443" s="34"/>
      <c r="S3443" s="34"/>
      <c r="T3443" s="34"/>
      <c r="U3443" s="386">
        <v>0.1</v>
      </c>
      <c r="V3443" s="37"/>
      <c r="W3443" s="285">
        <f t="shared" si="89"/>
        <v>2773.6961031679284</v>
      </c>
    </row>
    <row r="3444" spans="1:23" ht="15" customHeight="1">
      <c r="A3444" s="3">
        <v>40728</v>
      </c>
      <c r="B3444" s="9">
        <v>126775</v>
      </c>
      <c r="C3444" s="5">
        <v>80800</v>
      </c>
      <c r="D3444" s="5" t="e">
        <f>E3444-(#REF!+#REF!+C3444)</f>
        <v>#REF!</v>
      </c>
      <c r="E3444" s="5">
        <v>316675</v>
      </c>
      <c r="K3444" s="22">
        <v>2655</v>
      </c>
      <c r="L3444" s="6">
        <v>2668</v>
      </c>
      <c r="M3444" s="125">
        <f t="shared" si="88"/>
        <v>13</v>
      </c>
      <c r="N3444" s="18"/>
      <c r="O3444" s="135"/>
      <c r="P3444" s="175">
        <v>16500</v>
      </c>
      <c r="Q3444" s="25">
        <f>164.95/1066.4</f>
        <v>0.1546792948237059</v>
      </c>
      <c r="U3444" s="384">
        <v>0.1</v>
      </c>
      <c r="W3444" s="285">
        <f t="shared" si="89"/>
        <v>2807.4292010502627</v>
      </c>
    </row>
    <row r="3445" spans="1:23" ht="15" customHeight="1">
      <c r="A3445" s="3">
        <v>40729</v>
      </c>
      <c r="B3445" s="9">
        <v>124500</v>
      </c>
      <c r="C3445" s="5">
        <v>80975</v>
      </c>
      <c r="D3445" s="5" t="e">
        <f>E3445-(#REF!+#REF!+C3445)</f>
        <v>#REF!</v>
      </c>
      <c r="E3445" s="5">
        <v>314900</v>
      </c>
      <c r="K3445" s="22">
        <v>2660.5</v>
      </c>
      <c r="L3445" s="6">
        <v>2669</v>
      </c>
      <c r="M3445" s="125">
        <f t="shared" si="88"/>
        <v>8.5</v>
      </c>
      <c r="N3445" s="18"/>
      <c r="O3445" s="135"/>
      <c r="P3445" s="175">
        <v>16500</v>
      </c>
      <c r="Q3445" s="25">
        <f>164.6/1063.8</f>
        <v>0.15472833239330702</v>
      </c>
      <c r="U3445" s="384">
        <v>0.1</v>
      </c>
      <c r="W3445" s="285">
        <f t="shared" si="89"/>
        <v>2808.3192329385229</v>
      </c>
    </row>
    <row r="3446" spans="1:23" ht="15" customHeight="1">
      <c r="A3446" s="3">
        <v>40730</v>
      </c>
      <c r="B3446" s="9">
        <v>122550</v>
      </c>
      <c r="C3446" s="5">
        <v>80975</v>
      </c>
      <c r="D3446" s="5" t="e">
        <f>E3446-(#REF!+#REF!+C3446)</f>
        <v>#REF!</v>
      </c>
      <c r="E3446" s="5">
        <v>314900</v>
      </c>
      <c r="K3446" s="22">
        <v>2661</v>
      </c>
      <c r="L3446" s="6">
        <v>2676</v>
      </c>
      <c r="M3446" s="125">
        <f t="shared" si="88"/>
        <v>15</v>
      </c>
      <c r="N3446" s="18"/>
      <c r="O3446" s="135"/>
      <c r="P3446" s="175">
        <v>16550</v>
      </c>
      <c r="Q3446" s="25">
        <f>164.75/1065.6</f>
        <v>0.15460773273273273</v>
      </c>
      <c r="U3446" s="384">
        <v>0.1</v>
      </c>
      <c r="W3446" s="285">
        <f t="shared" si="89"/>
        <v>2814.6337743993995</v>
      </c>
    </row>
    <row r="3447" spans="1:23" ht="15" customHeight="1">
      <c r="A3447" s="3">
        <v>40731</v>
      </c>
      <c r="B3447" s="9">
        <v>120375</v>
      </c>
      <c r="C3447" s="5">
        <v>81075</v>
      </c>
      <c r="D3447" s="5" t="e">
        <f>E3447-(#REF!+#REF!+C3447)</f>
        <v>#REF!</v>
      </c>
      <c r="E3447" s="5">
        <v>309425</v>
      </c>
      <c r="K3447" s="22">
        <v>2694</v>
      </c>
      <c r="L3447" s="6">
        <v>2704</v>
      </c>
      <c r="M3447" s="125">
        <f t="shared" si="88"/>
        <v>10</v>
      </c>
      <c r="N3447" s="18"/>
      <c r="O3447" s="135"/>
      <c r="P3447" s="175">
        <v>16550</v>
      </c>
      <c r="Q3447" s="25">
        <f>164.64/1064.9</f>
        <v>0.15460606629730489</v>
      </c>
      <c r="U3447" s="384">
        <v>0.1</v>
      </c>
      <c r="W3447" s="285">
        <f t="shared" si="89"/>
        <v>2814.6034369424356</v>
      </c>
    </row>
    <row r="3448" spans="1:23" ht="15" customHeight="1">
      <c r="A3448" s="3">
        <v>40732</v>
      </c>
      <c r="B3448" s="9">
        <v>118675</v>
      </c>
      <c r="C3448" s="5">
        <v>81050</v>
      </c>
      <c r="D3448" s="5" t="e">
        <f>E3448-(#REF!+#REF!+C3448)</f>
        <v>#REF!</v>
      </c>
      <c r="E3448" s="5">
        <v>308300</v>
      </c>
      <c r="K3448" s="22">
        <v>2706</v>
      </c>
      <c r="L3448" s="6">
        <v>2717.5</v>
      </c>
      <c r="M3448" s="125">
        <f t="shared" si="88"/>
        <v>11.5</v>
      </c>
      <c r="N3448" s="18"/>
      <c r="O3448" s="135"/>
      <c r="P3448" s="175">
        <v>16700</v>
      </c>
      <c r="Q3448" s="25">
        <f>164.61/1064.3</f>
        <v>0.15466503805318052</v>
      </c>
      <c r="U3448" s="384">
        <v>0.1</v>
      </c>
      <c r="W3448" s="285">
        <f t="shared" si="89"/>
        <v>2841.1967490369261</v>
      </c>
    </row>
    <row r="3449" spans="1:23" ht="15" customHeight="1">
      <c r="A3449" s="3">
        <v>40735</v>
      </c>
      <c r="B3449" s="9">
        <v>116900</v>
      </c>
      <c r="C3449" s="5">
        <v>81050</v>
      </c>
      <c r="D3449" s="5" t="e">
        <f>E3449-(#REF!+#REF!+C3449)</f>
        <v>#REF!</v>
      </c>
      <c r="E3449" s="5">
        <v>306725</v>
      </c>
      <c r="K3449" s="22">
        <v>2650.5</v>
      </c>
      <c r="L3449" s="6">
        <v>2663.5</v>
      </c>
      <c r="M3449" s="125">
        <f t="shared" si="88"/>
        <v>13</v>
      </c>
      <c r="N3449" s="18"/>
      <c r="O3449" s="135"/>
      <c r="P3449" s="175">
        <v>16700</v>
      </c>
      <c r="Q3449" s="25">
        <f>163.72/1058.4</f>
        <v>0.15468631897203325</v>
      </c>
      <c r="U3449" s="384">
        <v>0.1</v>
      </c>
      <c r="W3449" s="285">
        <f t="shared" si="89"/>
        <v>2841.5876795162508</v>
      </c>
    </row>
    <row r="3450" spans="1:23" ht="15" customHeight="1">
      <c r="A3450" s="3">
        <v>40736</v>
      </c>
      <c r="B3450" s="9">
        <v>117175</v>
      </c>
      <c r="C3450" s="5">
        <v>81050</v>
      </c>
      <c r="D3450" s="5" t="e">
        <f>E3450-(#REF!+#REF!+C3450)</f>
        <v>#REF!</v>
      </c>
      <c r="E3450" s="5">
        <v>308650</v>
      </c>
      <c r="K3450" s="22">
        <v>2660</v>
      </c>
      <c r="L3450" s="6">
        <v>2670</v>
      </c>
      <c r="M3450" s="125">
        <f t="shared" si="88"/>
        <v>10</v>
      </c>
      <c r="N3450" s="18"/>
      <c r="O3450" s="135"/>
      <c r="P3450" s="175">
        <v>16700</v>
      </c>
      <c r="Q3450" s="25">
        <f>163.86/1059.7</f>
        <v>0.15462866849108239</v>
      </c>
      <c r="U3450" s="384">
        <v>0.1</v>
      </c>
      <c r="W3450" s="285">
        <f t="shared" si="89"/>
        <v>2840.5286401811836</v>
      </c>
    </row>
    <row r="3451" spans="1:23" ht="15" customHeight="1">
      <c r="A3451" s="3">
        <v>40737</v>
      </c>
      <c r="B3451" s="9">
        <v>116600</v>
      </c>
      <c r="C3451" s="5">
        <v>81025</v>
      </c>
      <c r="D3451" s="5" t="e">
        <f>E3451-(#REF!+#REF!+C3451)</f>
        <v>#REF!</v>
      </c>
      <c r="E3451" s="5">
        <v>307350</v>
      </c>
      <c r="K3451" s="22">
        <v>2745</v>
      </c>
      <c r="L3451" s="6">
        <v>2752</v>
      </c>
      <c r="M3451" s="125">
        <f t="shared" si="88"/>
        <v>7</v>
      </c>
      <c r="N3451" s="18"/>
      <c r="O3451" s="135"/>
      <c r="P3451" s="175">
        <v>16850</v>
      </c>
      <c r="Q3451" s="25">
        <f>164.73/1066.2</f>
        <v>0.15450196961170509</v>
      </c>
      <c r="U3451" s="384">
        <v>0.1</v>
      </c>
      <c r="W3451" s="285">
        <f t="shared" si="89"/>
        <v>2863.694006752954</v>
      </c>
    </row>
    <row r="3452" spans="1:23" ht="15" customHeight="1">
      <c r="A3452" s="3">
        <v>40738</v>
      </c>
      <c r="B3452" s="9">
        <v>115425</v>
      </c>
      <c r="C3452" s="5">
        <v>81000</v>
      </c>
      <c r="D3452" s="5" t="e">
        <f>E3452-(#REF!+#REF!+C3452)</f>
        <v>#REF!</v>
      </c>
      <c r="E3452" s="5">
        <v>306150</v>
      </c>
      <c r="K3452" s="22">
        <v>2687</v>
      </c>
      <c r="L3452" s="6">
        <v>2698</v>
      </c>
      <c r="M3452" s="125">
        <f t="shared" si="88"/>
        <v>11</v>
      </c>
      <c r="N3452" s="18"/>
      <c r="O3452" s="135"/>
      <c r="P3452" s="175">
        <v>17000</v>
      </c>
      <c r="Q3452" s="25">
        <f>164.38/1063.2</f>
        <v>0.15460872836719336</v>
      </c>
      <c r="U3452" s="384">
        <v>0.1</v>
      </c>
      <c r="W3452" s="285">
        <f t="shared" si="89"/>
        <v>2891.1832204665161</v>
      </c>
    </row>
    <row r="3453" spans="1:23" ht="15" customHeight="1">
      <c r="A3453" s="3">
        <v>40739</v>
      </c>
      <c r="B3453" s="9">
        <v>115975</v>
      </c>
      <c r="C3453" s="5">
        <v>81000</v>
      </c>
      <c r="D3453" s="5" t="e">
        <f>E3453-(#REF!+#REF!+C3453)</f>
        <v>#REF!</v>
      </c>
      <c r="E3453" s="5">
        <v>307850</v>
      </c>
      <c r="K3453" s="22">
        <v>2650</v>
      </c>
      <c r="L3453" s="6">
        <v>2663.5</v>
      </c>
      <c r="M3453" s="125">
        <f t="shared" si="88"/>
        <v>13.5</v>
      </c>
      <c r="N3453" s="18"/>
      <c r="O3453" s="135"/>
      <c r="P3453" s="175">
        <v>17000</v>
      </c>
      <c r="Q3453" s="25">
        <f>163.65/1056.7</f>
        <v>0.15486893157944545</v>
      </c>
      <c r="U3453" s="384">
        <v>0.1</v>
      </c>
      <c r="W3453" s="285">
        <f t="shared" si="89"/>
        <v>2896.04902053563</v>
      </c>
    </row>
    <row r="3454" spans="1:23" ht="15" customHeight="1">
      <c r="A3454" s="3">
        <v>40742</v>
      </c>
      <c r="B3454" s="9">
        <v>115425</v>
      </c>
      <c r="C3454" s="5">
        <v>81000</v>
      </c>
      <c r="D3454" s="5" t="e">
        <f>E3454-(#REF!+#REF!+C3454)</f>
        <v>#REF!</v>
      </c>
      <c r="E3454" s="5">
        <v>307525</v>
      </c>
      <c r="K3454" s="22">
        <v>2730</v>
      </c>
      <c r="L3454" s="6">
        <v>2736.5</v>
      </c>
      <c r="M3454" s="125">
        <f t="shared" si="88"/>
        <v>6.5</v>
      </c>
      <c r="N3454" s="18"/>
      <c r="O3454" s="135"/>
      <c r="P3454" s="175">
        <v>17050</v>
      </c>
      <c r="Q3454" s="25">
        <f>163.58/1057.3</f>
        <v>0.15471483968599264</v>
      </c>
      <c r="U3454" s="384">
        <v>0.1</v>
      </c>
      <c r="W3454" s="285">
        <f t="shared" si="89"/>
        <v>2901.676818310792</v>
      </c>
    </row>
    <row r="3455" spans="1:23" ht="15" customHeight="1">
      <c r="A3455" s="3">
        <v>40743</v>
      </c>
      <c r="B3455" s="9">
        <v>116600</v>
      </c>
      <c r="C3455" s="5">
        <v>81000</v>
      </c>
      <c r="D3455" s="5" t="e">
        <f>E3455-(#REF!+#REF!+C3455)</f>
        <v>#REF!</v>
      </c>
      <c r="E3455" s="5">
        <v>309250</v>
      </c>
      <c r="K3455" s="22">
        <v>2741.5</v>
      </c>
      <c r="L3455" s="6">
        <v>2763</v>
      </c>
      <c r="M3455" s="125">
        <f t="shared" si="88"/>
        <v>21.5</v>
      </c>
      <c r="N3455" s="18"/>
      <c r="O3455" s="135"/>
      <c r="P3455" s="175">
        <v>17100</v>
      </c>
      <c r="Q3455" s="25">
        <f>164.04/1061.2</f>
        <v>0.15457972107048623</v>
      </c>
      <c r="U3455" s="384">
        <v>0.1</v>
      </c>
      <c r="W3455" s="285">
        <f t="shared" si="89"/>
        <v>2907.644553335846</v>
      </c>
    </row>
    <row r="3456" spans="1:23" ht="15" customHeight="1">
      <c r="A3456" s="3">
        <v>40744</v>
      </c>
      <c r="B3456" s="9">
        <v>117200</v>
      </c>
      <c r="C3456" s="5">
        <v>81000</v>
      </c>
      <c r="D3456" s="5" t="e">
        <f>E3456-(#REF!+#REF!+C3456)</f>
        <v>#REF!</v>
      </c>
      <c r="E3456" s="5">
        <v>310275</v>
      </c>
      <c r="K3456" s="22">
        <v>2720</v>
      </c>
      <c r="L3456" s="6">
        <v>2745</v>
      </c>
      <c r="M3456" s="125">
        <f t="shared" si="88"/>
        <v>25</v>
      </c>
      <c r="N3456" s="18"/>
      <c r="O3456" s="135"/>
      <c r="P3456" s="175">
        <v>17150</v>
      </c>
      <c r="Q3456" s="25">
        <f>163.95/1059.7</f>
        <v>0.15471359818816643</v>
      </c>
      <c r="U3456" s="384">
        <v>0.1</v>
      </c>
      <c r="W3456" s="285">
        <f t="shared" si="89"/>
        <v>2918.6720298197602</v>
      </c>
    </row>
    <row r="3457" spans="1:23" ht="15" customHeight="1">
      <c r="A3457" s="3">
        <v>40745</v>
      </c>
      <c r="B3457" s="9">
        <v>117325</v>
      </c>
      <c r="C3457" s="5">
        <v>81000</v>
      </c>
      <c r="D3457" s="5" t="e">
        <f>E3457-(#REF!+#REF!+C3457)</f>
        <v>#REF!</v>
      </c>
      <c r="E3457" s="5">
        <v>310150</v>
      </c>
      <c r="K3457" s="22">
        <v>2667</v>
      </c>
      <c r="L3457" s="6">
        <v>2690</v>
      </c>
      <c r="M3457" s="125">
        <f t="shared" si="88"/>
        <v>23</v>
      </c>
      <c r="N3457" s="18"/>
      <c r="O3457" s="135"/>
      <c r="P3457" s="175">
        <v>17100</v>
      </c>
      <c r="Q3457" s="25">
        <f>163.39/1055.3</f>
        <v>0.15482801099213492</v>
      </c>
      <c r="U3457" s="384">
        <v>0.1</v>
      </c>
      <c r="W3457" s="285">
        <f t="shared" si="89"/>
        <v>2912.314886762058</v>
      </c>
    </row>
    <row r="3458" spans="1:23" ht="15" customHeight="1">
      <c r="A3458" s="3">
        <v>40746</v>
      </c>
      <c r="B3458" s="9">
        <v>117475</v>
      </c>
      <c r="C3458" s="5">
        <v>81050</v>
      </c>
      <c r="D3458" s="5" t="e">
        <f>E3458-(#REF!+#REF!+C3458)</f>
        <v>#REF!</v>
      </c>
      <c r="E3458" s="5">
        <v>310200</v>
      </c>
      <c r="K3458" s="22">
        <v>2707.5</v>
      </c>
      <c r="L3458" s="6">
        <v>2727</v>
      </c>
      <c r="M3458" s="125">
        <f t="shared" si="88"/>
        <v>19.5</v>
      </c>
      <c r="N3458" s="18"/>
      <c r="O3458" s="135"/>
      <c r="P3458" s="175">
        <v>17100</v>
      </c>
      <c r="Q3458" s="25">
        <f>163.6/1055.3</f>
        <v>0.15502700653842511</v>
      </c>
      <c r="U3458" s="384">
        <v>0.1</v>
      </c>
      <c r="W3458" s="285">
        <f t="shared" si="89"/>
        <v>2916.0579929877767</v>
      </c>
    </row>
    <row r="3459" spans="1:23" ht="15" customHeight="1">
      <c r="A3459" s="3">
        <v>40749</v>
      </c>
      <c r="B3459" s="9">
        <v>117675</v>
      </c>
      <c r="C3459" s="5">
        <v>81150</v>
      </c>
      <c r="D3459" s="5" t="e">
        <f>E3459-(#REF!+#REF!+C3459)</f>
        <v>#REF!</v>
      </c>
      <c r="E3459" s="5">
        <v>310800</v>
      </c>
      <c r="K3459" s="22">
        <v>2670</v>
      </c>
      <c r="L3459" s="6">
        <v>2682</v>
      </c>
      <c r="M3459" s="125">
        <f t="shared" si="88"/>
        <v>12</v>
      </c>
      <c r="N3459" s="18"/>
      <c r="O3459" s="135"/>
      <c r="P3459" s="175">
        <v>17050</v>
      </c>
      <c r="Q3459" s="25">
        <f>163.08/1051.2</f>
        <v>0.15513698630136988</v>
      </c>
      <c r="U3459" s="384">
        <v>0.1</v>
      </c>
      <c r="W3459" s="285">
        <f t="shared" si="89"/>
        <v>2909.5941780821922</v>
      </c>
    </row>
    <row r="3460" spans="1:23" ht="15" customHeight="1">
      <c r="A3460" s="3">
        <v>40750</v>
      </c>
      <c r="B3460" s="9">
        <v>118000</v>
      </c>
      <c r="C3460" s="5">
        <v>81500</v>
      </c>
      <c r="D3460" s="5" t="e">
        <f>E3460-(#REF!+#REF!+C3460)</f>
        <v>#REF!</v>
      </c>
      <c r="E3460" s="5">
        <v>311525</v>
      </c>
      <c r="K3460" s="22">
        <v>2705.5</v>
      </c>
      <c r="L3460" s="6">
        <v>2728</v>
      </c>
      <c r="M3460" s="125">
        <f t="shared" si="88"/>
        <v>22.5</v>
      </c>
      <c r="N3460" s="18"/>
      <c r="O3460" s="135"/>
      <c r="P3460" s="175">
        <v>17050</v>
      </c>
      <c r="Q3460" s="25">
        <f>163.45/1052.9</f>
        <v>0.15523791433184536</v>
      </c>
      <c r="U3460" s="384">
        <v>0.1</v>
      </c>
      <c r="W3460" s="285">
        <f t="shared" si="89"/>
        <v>2911.48708329376</v>
      </c>
    </row>
    <row r="3461" spans="1:23" ht="15" customHeight="1">
      <c r="A3461" s="3">
        <v>40751</v>
      </c>
      <c r="B3461" s="9">
        <v>117650</v>
      </c>
      <c r="C3461" s="5">
        <v>81550</v>
      </c>
      <c r="D3461" s="5" t="e">
        <f>E3461-(#REF!+#REF!+C3461)</f>
        <v>#REF!</v>
      </c>
      <c r="E3461" s="5">
        <v>311375</v>
      </c>
      <c r="K3461" s="22">
        <v>2694</v>
      </c>
      <c r="L3461" s="6">
        <v>2717</v>
      </c>
      <c r="M3461" s="125">
        <f t="shared" si="88"/>
        <v>23</v>
      </c>
      <c r="N3461" s="18"/>
      <c r="O3461" s="135"/>
      <c r="P3461" s="175">
        <v>17150</v>
      </c>
      <c r="Q3461" s="25">
        <f>163.45/1052.9</f>
        <v>0.15523791433184536</v>
      </c>
      <c r="U3461" s="384">
        <v>0.1</v>
      </c>
      <c r="W3461" s="285">
        <f t="shared" si="89"/>
        <v>2928.563253870263</v>
      </c>
    </row>
    <row r="3462" spans="1:23" ht="15" customHeight="1">
      <c r="A3462" s="3">
        <v>40752</v>
      </c>
      <c r="B3462" s="9">
        <v>117275</v>
      </c>
      <c r="C3462" s="5">
        <v>81750</v>
      </c>
      <c r="D3462" s="5" t="e">
        <f>E3462-(#REF!+#REF!+C3462)</f>
        <v>#REF!</v>
      </c>
      <c r="E3462" s="5">
        <v>311925</v>
      </c>
      <c r="K3462" s="22">
        <v>2680</v>
      </c>
      <c r="L3462" s="6">
        <v>2695</v>
      </c>
      <c r="M3462" s="125">
        <f t="shared" si="88"/>
        <v>15</v>
      </c>
      <c r="N3462" s="18"/>
      <c r="O3462" s="135"/>
      <c r="P3462" s="175">
        <v>17100</v>
      </c>
      <c r="Q3462" s="25">
        <f>162.98/1050.2</f>
        <v>0.15518948771662538</v>
      </c>
      <c r="U3462" s="384">
        <v>0.1</v>
      </c>
      <c r="W3462" s="285">
        <f t="shared" si="89"/>
        <v>2919.1142639497234</v>
      </c>
    </row>
    <row r="3463" spans="1:23" ht="15" customHeight="1" thickBot="1">
      <c r="A3463" s="11">
        <v>40753</v>
      </c>
      <c r="B3463" s="9">
        <v>117250</v>
      </c>
      <c r="C3463" s="13">
        <v>81875</v>
      </c>
      <c r="D3463" s="13" t="e">
        <f>E3463-(#REF!+#REF!+C3463)</f>
        <v>#REF!</v>
      </c>
      <c r="E3463" s="13">
        <v>311450</v>
      </c>
      <c r="F3463" s="12"/>
      <c r="G3463" s="13"/>
      <c r="H3463" s="13"/>
      <c r="I3463" s="119"/>
      <c r="J3463" s="119"/>
      <c r="K3463" s="23">
        <v>2613.5</v>
      </c>
      <c r="L3463" s="14">
        <v>2632</v>
      </c>
      <c r="M3463" s="126">
        <f t="shared" si="88"/>
        <v>18.5</v>
      </c>
      <c r="N3463" s="85">
        <f>AVERAGE(K3443:K3463)</f>
        <v>2682.5952380952381</v>
      </c>
      <c r="O3463" s="143">
        <f>AVERAGE(K3315:K3463)</f>
        <v>2593.5694444444443</v>
      </c>
      <c r="P3463" s="176">
        <v>17100</v>
      </c>
      <c r="Q3463" s="27">
        <f>163.39/1052.6</f>
        <v>0.15522515675470264</v>
      </c>
      <c r="R3463" s="27"/>
      <c r="S3463" s="27"/>
      <c r="T3463" s="27"/>
      <c r="U3463" s="385">
        <v>0.1</v>
      </c>
      <c r="V3463" s="38">
        <f>AVERAGE(P3443:P3463)</f>
        <v>16871.428571428572</v>
      </c>
      <c r="W3463" s="285">
        <f t="shared" si="89"/>
        <v>2919.7851985559569</v>
      </c>
    </row>
    <row r="3464" spans="1:23" ht="15" customHeight="1">
      <c r="A3464" s="29">
        <v>40756</v>
      </c>
      <c r="B3464" s="9">
        <v>116475</v>
      </c>
      <c r="C3464" s="31">
        <v>81875</v>
      </c>
      <c r="D3464" s="31" t="e">
        <f>E3464-(#REF!+#REF!+C3464)</f>
        <v>#REF!</v>
      </c>
      <c r="E3464" s="31">
        <v>310675</v>
      </c>
      <c r="F3464" s="30"/>
      <c r="G3464" s="31"/>
      <c r="H3464" s="31"/>
      <c r="I3464" s="123"/>
      <c r="J3464" s="123"/>
      <c r="K3464" s="32">
        <v>2627.5</v>
      </c>
      <c r="L3464" s="33">
        <v>2645</v>
      </c>
      <c r="M3464" s="125">
        <f t="shared" ref="M3464:M3527" si="90">L3464-K3464</f>
        <v>17.5</v>
      </c>
      <c r="N3464" s="20"/>
      <c r="O3464" s="138"/>
      <c r="P3464" s="178">
        <v>17050</v>
      </c>
      <c r="Q3464" s="34">
        <f>163.6/1053.1</f>
        <v>0.15535086886335581</v>
      </c>
      <c r="R3464" s="34"/>
      <c r="S3464" s="34"/>
      <c r="T3464" s="34"/>
      <c r="U3464" s="386">
        <v>0.1</v>
      </c>
      <c r="V3464" s="37"/>
      <c r="W3464" s="285">
        <f t="shared" si="89"/>
        <v>2913.6055455322385</v>
      </c>
    </row>
    <row r="3465" spans="1:23" ht="15" customHeight="1">
      <c r="A3465" s="3">
        <v>40757</v>
      </c>
      <c r="B3465" s="9">
        <v>116175</v>
      </c>
      <c r="C3465" s="5">
        <v>82000</v>
      </c>
      <c r="D3465" s="5" t="e">
        <f>E3465-(#REF!+#REF!+C3465)</f>
        <v>#REF!</v>
      </c>
      <c r="E3465" s="5">
        <v>310750</v>
      </c>
      <c r="K3465" s="22">
        <v>2539.5</v>
      </c>
      <c r="L3465" s="6">
        <v>2558</v>
      </c>
      <c r="M3465" s="125">
        <f t="shared" si="90"/>
        <v>18.5</v>
      </c>
      <c r="N3465" s="18"/>
      <c r="O3465" s="135"/>
      <c r="P3465" s="175">
        <v>16900</v>
      </c>
      <c r="Q3465" s="25">
        <f>163.12/1049.5</f>
        <v>0.15542639352072415</v>
      </c>
      <c r="U3465" s="384">
        <v>0.1</v>
      </c>
      <c r="W3465" s="285">
        <f t="shared" si="89"/>
        <v>2889.3766555502625</v>
      </c>
    </row>
    <row r="3466" spans="1:23" ht="15" customHeight="1">
      <c r="A3466" s="3">
        <v>40758</v>
      </c>
      <c r="B3466" s="9">
        <v>115625</v>
      </c>
      <c r="C3466" s="5">
        <v>82000</v>
      </c>
      <c r="D3466" s="5" t="e">
        <f>E3466-(#REF!+#REF!+C3466)</f>
        <v>#REF!</v>
      </c>
      <c r="E3466" s="5">
        <v>309675</v>
      </c>
      <c r="K3466" s="22">
        <v>2522.5</v>
      </c>
      <c r="L3466" s="6">
        <v>2537</v>
      </c>
      <c r="M3466" s="125">
        <f t="shared" si="90"/>
        <v>14.5</v>
      </c>
      <c r="N3466" s="18"/>
      <c r="O3466" s="135"/>
      <c r="P3466" s="175">
        <v>16850</v>
      </c>
      <c r="Q3466" s="25">
        <f>163.29/1051.3</f>
        <v>0.15532198230761915</v>
      </c>
      <c r="U3466" s="384">
        <v>0.1</v>
      </c>
      <c r="W3466" s="285">
        <f t="shared" si="89"/>
        <v>2878.8929420717213</v>
      </c>
    </row>
    <row r="3467" spans="1:23" ht="15" customHeight="1">
      <c r="A3467" s="3">
        <v>40759</v>
      </c>
      <c r="B3467" s="9">
        <v>116025</v>
      </c>
      <c r="C3467" s="5">
        <v>82000</v>
      </c>
      <c r="D3467" s="5" t="e">
        <f>E3467-(#REF!+#REF!+C3467)</f>
        <v>#REF!</v>
      </c>
      <c r="E3467" s="5">
        <v>309950</v>
      </c>
      <c r="K3467" s="22">
        <v>2493</v>
      </c>
      <c r="L3467" s="6">
        <v>2510</v>
      </c>
      <c r="M3467" s="125">
        <f t="shared" si="90"/>
        <v>17</v>
      </c>
      <c r="N3467" s="18"/>
      <c r="O3467" s="135"/>
      <c r="P3467" s="175">
        <v>16650</v>
      </c>
      <c r="Q3467" s="25">
        <f>164.53/1058.6</f>
        <v>0.15542225580955982</v>
      </c>
      <c r="U3467" s="384">
        <v>0.1</v>
      </c>
      <c r="W3467" s="285">
        <f t="shared" si="89"/>
        <v>2846.5586151520884</v>
      </c>
    </row>
    <row r="3468" spans="1:23" ht="15" customHeight="1">
      <c r="A3468" s="3">
        <v>40760</v>
      </c>
      <c r="B3468" s="9">
        <v>115975</v>
      </c>
      <c r="C3468" s="5">
        <v>82000</v>
      </c>
      <c r="D3468" s="5" t="e">
        <f>E3468-(#REF!+#REF!+C3468)</f>
        <v>#REF!</v>
      </c>
      <c r="E3468" s="5">
        <v>309800</v>
      </c>
      <c r="K3468" s="22">
        <v>2419</v>
      </c>
      <c r="L3468" s="6">
        <v>2445</v>
      </c>
      <c r="M3468" s="125">
        <f t="shared" si="90"/>
        <v>26</v>
      </c>
      <c r="N3468" s="18"/>
      <c r="O3468" s="135"/>
      <c r="P3468" s="175">
        <v>16100</v>
      </c>
      <c r="Q3468" s="25">
        <f>164.41/1058.5</f>
        <v>0.15532357109116673</v>
      </c>
      <c r="U3468" s="384">
        <v>0.1</v>
      </c>
      <c r="W3468" s="285">
        <f t="shared" si="89"/>
        <v>2750.7804440245632</v>
      </c>
    </row>
    <row r="3469" spans="1:23" ht="15" customHeight="1">
      <c r="A3469" s="3">
        <v>40763</v>
      </c>
      <c r="B3469" s="9">
        <v>116600</v>
      </c>
      <c r="C3469" s="5">
        <v>82000</v>
      </c>
      <c r="D3469" s="5" t="e">
        <f>E3469-(#REF!+#REF!+C3469)</f>
        <v>#REF!</v>
      </c>
      <c r="E3469" s="5">
        <v>310650</v>
      </c>
      <c r="K3469" s="22">
        <v>2345</v>
      </c>
      <c r="L3469" s="6">
        <v>2347</v>
      </c>
      <c r="M3469" s="125">
        <f t="shared" si="90"/>
        <v>2</v>
      </c>
      <c r="N3469" s="18"/>
      <c r="O3469" s="135"/>
      <c r="P3469" s="175">
        <v>16000</v>
      </c>
      <c r="Q3469" s="25">
        <f>166.04/1069.4</f>
        <v>0.15526463437441554</v>
      </c>
      <c r="U3469" s="384">
        <v>0.1</v>
      </c>
      <c r="W3469" s="285">
        <f t="shared" si="89"/>
        <v>2732.657564989714</v>
      </c>
    </row>
    <row r="3470" spans="1:23" ht="15" customHeight="1">
      <c r="A3470" s="3">
        <v>40764</v>
      </c>
      <c r="B3470" s="9">
        <v>116175</v>
      </c>
      <c r="C3470" s="5">
        <v>82250</v>
      </c>
      <c r="D3470" s="5" t="e">
        <f>E3470-(#REF!+#REF!+C3470)</f>
        <v>#REF!</v>
      </c>
      <c r="E3470" s="5">
        <v>310475</v>
      </c>
      <c r="K3470" s="22">
        <v>2278</v>
      </c>
      <c r="L3470" s="6">
        <v>2290</v>
      </c>
      <c r="M3470" s="125">
        <f t="shared" si="90"/>
        <v>12</v>
      </c>
      <c r="N3470" s="18"/>
      <c r="O3470" s="135"/>
      <c r="P3470" s="175">
        <v>15600</v>
      </c>
      <c r="Q3470" s="25">
        <f>166.82/1073.5</f>
        <v>0.15539823008849557</v>
      </c>
      <c r="U3470" s="384">
        <v>0.1</v>
      </c>
      <c r="W3470" s="285">
        <f t="shared" si="89"/>
        <v>2666.6336283185842</v>
      </c>
    </row>
    <row r="3471" spans="1:23" ht="15" customHeight="1">
      <c r="A3471" s="3">
        <v>40765</v>
      </c>
      <c r="B3471" s="9">
        <v>116175</v>
      </c>
      <c r="C3471" s="5">
        <v>82350</v>
      </c>
      <c r="D3471" s="5" t="e">
        <f>E3471-(#REF!+#REF!+C3471)</f>
        <v>#REF!</v>
      </c>
      <c r="E3471" s="5">
        <v>309825</v>
      </c>
      <c r="K3471" s="22">
        <v>2338.5</v>
      </c>
      <c r="L3471" s="6">
        <v>2354</v>
      </c>
      <c r="M3471" s="125">
        <f t="shared" si="90"/>
        <v>15.5</v>
      </c>
      <c r="N3471" s="18"/>
      <c r="O3471" s="135"/>
      <c r="P3471" s="175">
        <v>15900</v>
      </c>
      <c r="Q3471" s="25">
        <f>169.84/1092.2</f>
        <v>0.15550265519135689</v>
      </c>
      <c r="U3471" s="384">
        <v>0.1</v>
      </c>
      <c r="W3471" s="285">
        <f t="shared" si="89"/>
        <v>2719.7414392968321</v>
      </c>
    </row>
    <row r="3472" spans="1:23" ht="15" customHeight="1">
      <c r="A3472" s="3">
        <v>40766</v>
      </c>
      <c r="B3472" s="9">
        <v>115500</v>
      </c>
      <c r="C3472" s="5">
        <v>82350</v>
      </c>
      <c r="D3472" s="5" t="e">
        <f>E3472-(#REF!+#REF!+C3472)</f>
        <v>#REF!</v>
      </c>
      <c r="E3472" s="5">
        <v>309150</v>
      </c>
      <c r="K3472" s="22">
        <v>2300.5</v>
      </c>
      <c r="L3472" s="6">
        <v>2309</v>
      </c>
      <c r="M3472" s="125">
        <f t="shared" si="90"/>
        <v>8.5</v>
      </c>
      <c r="N3472" s="18"/>
      <c r="O3472" s="135"/>
      <c r="P3472" s="175">
        <v>16000</v>
      </c>
      <c r="Q3472" s="25">
        <f>168.35/1080.4</f>
        <v>0.15582191780821916</v>
      </c>
      <c r="U3472" s="384">
        <v>0.1</v>
      </c>
      <c r="W3472" s="285">
        <f t="shared" si="89"/>
        <v>2742.4657534246571</v>
      </c>
    </row>
    <row r="3473" spans="1:23" ht="15" customHeight="1">
      <c r="A3473" s="3">
        <v>40767</v>
      </c>
      <c r="B3473" s="9">
        <v>114825</v>
      </c>
      <c r="C3473" s="5">
        <v>82400</v>
      </c>
      <c r="D3473" s="5" t="e">
        <f>E3473-(#REF!+#REF!+C3473)</f>
        <v>#REF!</v>
      </c>
      <c r="E3473" s="5">
        <v>308525</v>
      </c>
      <c r="K3473" s="22">
        <v>2387</v>
      </c>
      <c r="L3473" s="6">
        <v>2388</v>
      </c>
      <c r="M3473" s="125">
        <f t="shared" si="90"/>
        <v>1</v>
      </c>
      <c r="N3473" s="18"/>
      <c r="O3473" s="135"/>
      <c r="P3473" s="175">
        <v>16200</v>
      </c>
      <c r="Q3473" s="25">
        <f>169.79/1085.7</f>
        <v>0.1563875840471585</v>
      </c>
      <c r="U3473" s="384">
        <v>0.1</v>
      </c>
      <c r="W3473" s="285">
        <f t="shared" si="89"/>
        <v>2786.8267477203649</v>
      </c>
    </row>
    <row r="3474" spans="1:23" ht="15" customHeight="1">
      <c r="A3474" s="3">
        <v>40770</v>
      </c>
      <c r="B3474" s="9">
        <v>114625</v>
      </c>
      <c r="C3474" s="5">
        <v>82475</v>
      </c>
      <c r="D3474" s="5" t="e">
        <f>E3474-(#REF!+#REF!+C3474)</f>
        <v>#REF!</v>
      </c>
      <c r="E3474" s="5">
        <v>308300</v>
      </c>
      <c r="K3474" s="22">
        <v>2355</v>
      </c>
      <c r="L3474" s="6">
        <v>2359</v>
      </c>
      <c r="M3474" s="125">
        <f t="shared" si="90"/>
        <v>4</v>
      </c>
      <c r="N3474" s="18"/>
      <c r="O3474" s="135"/>
      <c r="P3474" s="175">
        <v>16250</v>
      </c>
      <c r="Q3474" s="25">
        <f>169.79/1085.7</f>
        <v>0.1563875840471585</v>
      </c>
      <c r="U3474" s="384">
        <v>0.1</v>
      </c>
      <c r="W3474" s="285">
        <f t="shared" si="89"/>
        <v>2795.4280648429585</v>
      </c>
    </row>
    <row r="3475" spans="1:23" ht="15" customHeight="1">
      <c r="A3475" s="3">
        <v>40771</v>
      </c>
      <c r="B3475" s="9">
        <v>125550</v>
      </c>
      <c r="C3475" s="5">
        <v>82475</v>
      </c>
      <c r="D3475" s="5" t="e">
        <f>E3475-(#REF!+#REF!+C3475)</f>
        <v>#REF!</v>
      </c>
      <c r="E3475" s="5">
        <v>319225</v>
      </c>
      <c r="K3475" s="22">
        <v>2355</v>
      </c>
      <c r="L3475" s="6">
        <v>2345.5</v>
      </c>
      <c r="M3475" s="125">
        <f t="shared" si="90"/>
        <v>-9.5</v>
      </c>
      <c r="N3475" s="18"/>
      <c r="O3475" s="135"/>
      <c r="P3475" s="175">
        <v>16200</v>
      </c>
      <c r="Q3475" s="25">
        <f>168.79/1078.7</f>
        <v>0.15647538703995548</v>
      </c>
      <c r="U3475" s="384">
        <v>0.1</v>
      </c>
      <c r="W3475" s="285">
        <f t="shared" si="89"/>
        <v>2788.3913970520066</v>
      </c>
    </row>
    <row r="3476" spans="1:23" ht="15" customHeight="1">
      <c r="A3476" s="3">
        <v>40772</v>
      </c>
      <c r="B3476" s="9">
        <v>124750</v>
      </c>
      <c r="C3476" s="5">
        <v>82525</v>
      </c>
      <c r="D3476" s="5" t="e">
        <f>E3476-(#REF!+#REF!+C3476)</f>
        <v>#REF!</v>
      </c>
      <c r="E3476" s="5">
        <v>318575</v>
      </c>
      <c r="K3476" s="22">
        <v>2396</v>
      </c>
      <c r="L3476" s="6">
        <v>2389</v>
      </c>
      <c r="M3476" s="125">
        <f t="shared" si="90"/>
        <v>-7</v>
      </c>
      <c r="N3476" s="18"/>
      <c r="O3476" s="135"/>
      <c r="P3476" s="175">
        <v>16200</v>
      </c>
      <c r="Q3476" s="25">
        <f>167.64/1070</f>
        <v>0.15667289719626168</v>
      </c>
      <c r="U3476" s="384">
        <v>0.1</v>
      </c>
      <c r="W3476" s="285">
        <f t="shared" si="89"/>
        <v>2791.9110280373834</v>
      </c>
    </row>
    <row r="3477" spans="1:23" ht="15" customHeight="1">
      <c r="A3477" s="3">
        <v>40773</v>
      </c>
      <c r="B3477" s="9">
        <v>124350</v>
      </c>
      <c r="C3477" s="5">
        <v>82525</v>
      </c>
      <c r="D3477" s="5" t="e">
        <f>E3477-(#REF!+#REF!+C3477)</f>
        <v>#REF!</v>
      </c>
      <c r="E3477" s="5">
        <v>318125</v>
      </c>
      <c r="K3477" s="22">
        <v>2340</v>
      </c>
      <c r="L3477" s="6">
        <v>2332.5</v>
      </c>
      <c r="M3477" s="125">
        <f t="shared" si="90"/>
        <v>-7.5</v>
      </c>
      <c r="N3477" s="18"/>
      <c r="O3477" s="135"/>
      <c r="P3477" s="175">
        <v>16300</v>
      </c>
      <c r="Q3477" s="25">
        <f>167.95/1072.7</f>
        <v>0.1565675398527081</v>
      </c>
      <c r="U3477" s="384">
        <v>0.1</v>
      </c>
      <c r="W3477" s="285">
        <f t="shared" si="89"/>
        <v>2807.2559895590566</v>
      </c>
    </row>
    <row r="3478" spans="1:23" ht="15" customHeight="1">
      <c r="A3478" s="3">
        <v>40774</v>
      </c>
      <c r="B3478" s="9">
        <v>123775</v>
      </c>
      <c r="C3478" s="5">
        <v>82575</v>
      </c>
      <c r="D3478" s="5" t="e">
        <f>E3478-(#REF!+#REF!+C3478)</f>
        <v>#REF!</v>
      </c>
      <c r="E3478" s="5">
        <v>318050</v>
      </c>
      <c r="K3478" s="22">
        <v>2316</v>
      </c>
      <c r="L3478" s="6">
        <v>2319.5</v>
      </c>
      <c r="M3478" s="125">
        <f t="shared" si="90"/>
        <v>3.5</v>
      </c>
      <c r="N3478" s="18"/>
      <c r="O3478" s="135"/>
      <c r="P3478" s="175">
        <v>16100</v>
      </c>
      <c r="Q3478" s="25">
        <f>167.86/1072.3</f>
        <v>0.15654201249650287</v>
      </c>
      <c r="U3478" s="384">
        <v>0.1</v>
      </c>
      <c r="W3478" s="285">
        <f t="shared" si="89"/>
        <v>2772.359041313066</v>
      </c>
    </row>
    <row r="3479" spans="1:23" ht="15" customHeight="1">
      <c r="A3479" s="3">
        <v>40777</v>
      </c>
      <c r="B3479" s="9">
        <v>123450</v>
      </c>
      <c r="C3479" s="5">
        <v>82825</v>
      </c>
      <c r="D3479" s="5" t="e">
        <f>E3479-(#REF!+#REF!+C3479)</f>
        <v>#REF!</v>
      </c>
      <c r="E3479" s="5">
        <v>316450</v>
      </c>
      <c r="K3479" s="22">
        <v>2300</v>
      </c>
      <c r="L3479" s="6">
        <v>2297</v>
      </c>
      <c r="M3479" s="125">
        <f t="shared" si="90"/>
        <v>-3</v>
      </c>
      <c r="N3479" s="18"/>
      <c r="O3479" s="135"/>
      <c r="P3479" s="175">
        <v>16250</v>
      </c>
      <c r="Q3479" s="25">
        <f>169.43/1082.9</f>
        <v>0.15645950687967494</v>
      </c>
      <c r="U3479" s="384">
        <v>0.1</v>
      </c>
      <c r="W3479" s="285">
        <f t="shared" si="89"/>
        <v>2796.7136854741898</v>
      </c>
    </row>
    <row r="3480" spans="1:23" ht="15" customHeight="1">
      <c r="A3480" s="3">
        <v>40778</v>
      </c>
      <c r="B3480" s="9">
        <v>121650</v>
      </c>
      <c r="C3480" s="5">
        <v>82900</v>
      </c>
      <c r="D3480" s="5" t="e">
        <f>E3480-(#REF!+#REF!+C3480)</f>
        <v>#REF!</v>
      </c>
      <c r="E3480" s="5">
        <v>315750</v>
      </c>
      <c r="K3480" s="22">
        <v>2324.5</v>
      </c>
      <c r="L3480" s="6">
        <v>2320</v>
      </c>
      <c r="M3480" s="125">
        <f t="shared" si="90"/>
        <v>-4.5</v>
      </c>
      <c r="N3480" s="18"/>
      <c r="O3480" s="135"/>
      <c r="P3480" s="175">
        <v>16150</v>
      </c>
      <c r="Q3480" s="25">
        <f>169.31/1083.4</f>
        <v>0.15627653682850284</v>
      </c>
      <c r="U3480" s="384">
        <v>0.1</v>
      </c>
      <c r="W3480" s="285">
        <f t="shared" si="89"/>
        <v>2776.2526767583536</v>
      </c>
    </row>
    <row r="3481" spans="1:23" ht="15" customHeight="1">
      <c r="A3481" s="3">
        <v>40779</v>
      </c>
      <c r="B3481" s="9">
        <v>120800</v>
      </c>
      <c r="C3481" s="5">
        <v>82900</v>
      </c>
      <c r="D3481" s="5" t="e">
        <f>E3481-(#REF!+#REF!+C3481)</f>
        <v>#REF!</v>
      </c>
      <c r="E3481" s="5">
        <v>315025</v>
      </c>
      <c r="K3481" s="22">
        <v>2344</v>
      </c>
      <c r="L3481" s="6">
        <v>2342</v>
      </c>
      <c r="M3481" s="125">
        <f t="shared" si="90"/>
        <v>-2</v>
      </c>
      <c r="N3481" s="18"/>
      <c r="O3481" s="135"/>
      <c r="P3481" s="175">
        <v>16250</v>
      </c>
      <c r="Q3481" s="25">
        <f>168.99/1081</f>
        <v>0.15632747456059204</v>
      </c>
      <c r="U3481" s="384">
        <v>0.1</v>
      </c>
      <c r="W3481" s="285">
        <f t="shared" si="89"/>
        <v>2794.353607770583</v>
      </c>
    </row>
    <row r="3482" spans="1:23" ht="15" customHeight="1">
      <c r="A3482" s="3">
        <v>40780</v>
      </c>
      <c r="B3482" s="9">
        <v>119575</v>
      </c>
      <c r="C3482" s="5">
        <v>83100</v>
      </c>
      <c r="D3482" s="5" t="e">
        <f>E3482-(#REF!+#REF!+C3482)</f>
        <v>#REF!</v>
      </c>
      <c r="E3482" s="5">
        <v>314000</v>
      </c>
      <c r="K3482" s="22">
        <v>2399.5</v>
      </c>
      <c r="L3482" s="6">
        <v>2395</v>
      </c>
      <c r="M3482" s="125">
        <f t="shared" si="90"/>
        <v>-4.5</v>
      </c>
      <c r="N3482" s="18"/>
      <c r="O3482" s="135"/>
      <c r="P3482" s="175">
        <v>16250</v>
      </c>
      <c r="Q3482" s="25">
        <f>168.91/1079</f>
        <v>0.15654309545875811</v>
      </c>
      <c r="U3482" s="384">
        <v>0.1</v>
      </c>
      <c r="W3482" s="285">
        <f t="shared" si="89"/>
        <v>2798.2078313253014</v>
      </c>
    </row>
    <row r="3483" spans="1:23" ht="15" customHeight="1">
      <c r="A3483" s="3">
        <v>40781</v>
      </c>
      <c r="B3483" s="9">
        <v>119525</v>
      </c>
      <c r="C3483" s="5">
        <v>83100</v>
      </c>
      <c r="D3483" s="5" t="e">
        <f>E3483-(#REF!+#REF!+C3483)</f>
        <v>#REF!</v>
      </c>
      <c r="E3483" s="5">
        <v>317200</v>
      </c>
      <c r="K3483" s="22">
        <v>2471</v>
      </c>
      <c r="L3483" s="6">
        <v>2465</v>
      </c>
      <c r="M3483" s="125">
        <f t="shared" si="90"/>
        <v>-6</v>
      </c>
      <c r="N3483" s="18"/>
      <c r="O3483" s="135"/>
      <c r="P3483" s="175">
        <v>16275</v>
      </c>
      <c r="Q3483" s="25">
        <f>169.87/1085.3</f>
        <v>0.15651893485672166</v>
      </c>
      <c r="U3483" s="384">
        <v>0.1</v>
      </c>
      <c r="W3483" s="285">
        <f t="shared" si="89"/>
        <v>2802.08023127246</v>
      </c>
    </row>
    <row r="3484" spans="1:23" ht="15" customHeight="1">
      <c r="A3484" s="3">
        <v>40784</v>
      </c>
      <c r="B3484" s="9">
        <v>0</v>
      </c>
      <c r="C3484" s="24"/>
      <c r="D3484" s="24"/>
      <c r="E3484" s="24"/>
      <c r="F3484" s="1318" t="s">
        <v>38</v>
      </c>
      <c r="G3484" s="1318"/>
      <c r="H3484" s="1318"/>
      <c r="I3484" s="1318"/>
      <c r="J3484" s="5"/>
      <c r="K3484" s="24"/>
      <c r="L3484" s="24"/>
      <c r="M3484" s="24"/>
      <c r="N3484" s="18"/>
      <c r="O3484" s="135"/>
      <c r="P3484" s="175">
        <v>16375</v>
      </c>
      <c r="Q3484" s="25">
        <f>169.79/1084.5</f>
        <v>0.15656062701705856</v>
      </c>
      <c r="U3484" s="384">
        <v>0.1</v>
      </c>
      <c r="W3484" s="285">
        <f t="shared" si="89"/>
        <v>2820.0482941447676</v>
      </c>
    </row>
    <row r="3485" spans="1:23" ht="15" customHeight="1">
      <c r="A3485" s="3">
        <v>40785</v>
      </c>
      <c r="B3485" s="9">
        <v>122775</v>
      </c>
      <c r="C3485" s="5">
        <v>83100</v>
      </c>
      <c r="D3485" s="5" t="e">
        <f>E3485-(#REF!+#REF!+C3485)</f>
        <v>#REF!</v>
      </c>
      <c r="E3485" s="5">
        <v>317875</v>
      </c>
      <c r="K3485" s="22">
        <v>2497</v>
      </c>
      <c r="L3485" s="6">
        <v>2493</v>
      </c>
      <c r="M3485" s="125">
        <f t="shared" si="90"/>
        <v>-4</v>
      </c>
      <c r="N3485" s="18"/>
      <c r="O3485" s="135"/>
      <c r="P3485" s="175">
        <v>16475</v>
      </c>
      <c r="Q3485" s="25">
        <f>168.62/1076</f>
        <v>0.15671003717472121</v>
      </c>
      <c r="U3485" s="384">
        <v>0.1</v>
      </c>
      <c r="W3485" s="285">
        <f t="shared" si="89"/>
        <v>2839.9776486988853</v>
      </c>
    </row>
    <row r="3486" spans="1:23" ht="15" customHeight="1" thickBot="1">
      <c r="A3486" s="11">
        <v>40786</v>
      </c>
      <c r="B3486" s="9">
        <v>123450</v>
      </c>
      <c r="C3486" s="13">
        <v>82825</v>
      </c>
      <c r="D3486" s="13" t="e">
        <f>E3486-(#REF!+#REF!+C3486)</f>
        <v>#REF!</v>
      </c>
      <c r="E3486" s="13">
        <v>317600</v>
      </c>
      <c r="F3486" s="12"/>
      <c r="G3486" s="13"/>
      <c r="H3486" s="13"/>
      <c r="I3486" s="119"/>
      <c r="J3486" s="119"/>
      <c r="K3486" s="23">
        <v>2555</v>
      </c>
      <c r="L3486" s="14">
        <v>2546</v>
      </c>
      <c r="M3486" s="126">
        <f t="shared" si="90"/>
        <v>-9</v>
      </c>
      <c r="N3486" s="85">
        <f>AVERAGE(K3464:K3486)</f>
        <v>2404.7045454545455</v>
      </c>
      <c r="O3486" s="143">
        <f>AVERAGE(K3315:K3486)</f>
        <v>2568.5391566265062</v>
      </c>
      <c r="P3486" s="176">
        <v>16425</v>
      </c>
      <c r="Q3486" s="27">
        <f>167.96/1071.7</f>
        <v>0.15672296351590931</v>
      </c>
      <c r="R3486" s="27"/>
      <c r="S3486" s="27"/>
      <c r="T3486" s="27"/>
      <c r="U3486" s="385">
        <v>0.1</v>
      </c>
      <c r="V3486" s="38">
        <f>AVERAGE(P3464:P3486)</f>
        <v>16293.478260869566</v>
      </c>
      <c r="W3486" s="285">
        <f t="shared" si="89"/>
        <v>2831.5921433236917</v>
      </c>
    </row>
    <row r="3487" spans="1:23" ht="15" customHeight="1">
      <c r="A3487" s="29">
        <v>40787</v>
      </c>
      <c r="B3487" s="9">
        <v>123450</v>
      </c>
      <c r="C3487" s="31">
        <v>82800</v>
      </c>
      <c r="D3487" s="31" t="e">
        <f>E3487-(#REF!+#REF!+C3487)</f>
        <v>#REF!</v>
      </c>
      <c r="E3487" s="31">
        <v>318250</v>
      </c>
      <c r="F3487" s="30"/>
      <c r="G3487" s="31"/>
      <c r="H3487" s="31"/>
      <c r="I3487" s="123"/>
      <c r="J3487" s="123"/>
      <c r="K3487" s="32">
        <v>2559</v>
      </c>
      <c r="L3487" s="33">
        <v>2542</v>
      </c>
      <c r="M3487" s="125">
        <f t="shared" si="90"/>
        <v>-17</v>
      </c>
      <c r="N3487" s="20"/>
      <c r="O3487" s="138"/>
      <c r="P3487" s="178">
        <v>16425</v>
      </c>
      <c r="Q3487" s="34">
        <f>167.8/1070.4</f>
        <v>0.15676382660687593</v>
      </c>
      <c r="R3487" s="34"/>
      <c r="S3487" s="34"/>
      <c r="T3487" s="34"/>
      <c r="U3487" s="386">
        <v>0.1</v>
      </c>
      <c r="V3487" s="37"/>
      <c r="W3487" s="285">
        <f t="shared" si="89"/>
        <v>2832.3304372197313</v>
      </c>
    </row>
    <row r="3488" spans="1:23" ht="15" customHeight="1">
      <c r="A3488" s="3">
        <v>40788</v>
      </c>
      <c r="B3488" s="9">
        <v>124100</v>
      </c>
      <c r="C3488" s="5">
        <v>82650</v>
      </c>
      <c r="D3488" s="5" t="e">
        <f>E3488-(#REF!+#REF!+C3488)</f>
        <v>#REF!</v>
      </c>
      <c r="E3488" s="5">
        <v>321500</v>
      </c>
      <c r="K3488" s="22">
        <v>2527</v>
      </c>
      <c r="L3488" s="6">
        <v>2507</v>
      </c>
      <c r="M3488" s="125">
        <f t="shared" si="90"/>
        <v>-20</v>
      </c>
      <c r="N3488" s="18"/>
      <c r="O3488" s="135"/>
      <c r="P3488" s="175">
        <v>16325</v>
      </c>
      <c r="Q3488" s="25">
        <f>166.58/1063</f>
        <v>0.15670743179680152</v>
      </c>
      <c r="U3488" s="384">
        <v>0.1</v>
      </c>
      <c r="W3488" s="285">
        <f t="shared" si="89"/>
        <v>2814.0737064910636</v>
      </c>
    </row>
    <row r="3489" spans="1:23" ht="15" customHeight="1">
      <c r="A3489" s="3">
        <v>40791</v>
      </c>
      <c r="B3489" s="9">
        <v>127500</v>
      </c>
      <c r="C3489" s="5">
        <v>82275</v>
      </c>
      <c r="D3489" s="5" t="e">
        <f>E3489-(#REF!+#REF!+C3489)</f>
        <v>#REF!</v>
      </c>
      <c r="E3489" s="5">
        <v>321100</v>
      </c>
      <c r="K3489" s="22">
        <v>2444</v>
      </c>
      <c r="L3489" s="6">
        <v>2430</v>
      </c>
      <c r="M3489" s="125">
        <f t="shared" si="90"/>
        <v>-14</v>
      </c>
      <c r="N3489" s="18"/>
      <c r="O3489" s="135"/>
      <c r="P3489" s="175">
        <v>16275</v>
      </c>
      <c r="Q3489" s="25">
        <f>166.49/1062.7</f>
        <v>0.15666698033311377</v>
      </c>
      <c r="U3489" s="384">
        <v>0.1</v>
      </c>
      <c r="W3489" s="285">
        <f t="shared" si="89"/>
        <v>2804.7306154135695</v>
      </c>
    </row>
    <row r="3490" spans="1:23" ht="15" customHeight="1">
      <c r="A3490" s="3">
        <v>40792</v>
      </c>
      <c r="B3490" s="9">
        <v>127500</v>
      </c>
      <c r="C3490" s="5">
        <v>82575</v>
      </c>
      <c r="D3490" s="5" t="e">
        <f>E3490-(#REF!+#REF!+C3490)</f>
        <v>#REF!</v>
      </c>
      <c r="E3490" s="5">
        <v>321350</v>
      </c>
      <c r="K3490" s="22">
        <v>2424</v>
      </c>
      <c r="L3490" s="6">
        <v>2407.5</v>
      </c>
      <c r="M3490" s="125">
        <f t="shared" si="90"/>
        <v>-16.5</v>
      </c>
      <c r="N3490" s="18"/>
      <c r="O3490" s="135"/>
      <c r="P3490" s="175">
        <v>16175</v>
      </c>
      <c r="Q3490" s="25">
        <f>167.29/1068.3</f>
        <v>0.15659458953477487</v>
      </c>
      <c r="U3490" s="384">
        <v>0.1</v>
      </c>
      <c r="W3490" s="285">
        <f t="shared" si="89"/>
        <v>2786.209234297482</v>
      </c>
    </row>
    <row r="3491" spans="1:23" ht="15" customHeight="1">
      <c r="A3491" s="3">
        <v>40793</v>
      </c>
      <c r="B3491" s="9">
        <v>127575</v>
      </c>
      <c r="C3491" s="5">
        <v>82625</v>
      </c>
      <c r="D3491" s="5" t="e">
        <f>E3491-(#REF!+#REF!+C3491)</f>
        <v>#REF!</v>
      </c>
      <c r="E3491" s="5">
        <v>321450</v>
      </c>
      <c r="K3491" s="97">
        <v>2432</v>
      </c>
      <c r="L3491" s="6">
        <v>2410.5</v>
      </c>
      <c r="M3491" s="125">
        <f t="shared" si="90"/>
        <v>-21.5</v>
      </c>
      <c r="N3491" s="18"/>
      <c r="O3491" s="135"/>
      <c r="P3491" s="175">
        <v>16225</v>
      </c>
      <c r="Q3491" s="25">
        <f>167.72/1071.8</f>
        <v>0.15648441873483859</v>
      </c>
      <c r="U3491" s="384">
        <v>0.1</v>
      </c>
      <c r="W3491" s="285">
        <f t="shared" si="89"/>
        <v>2792.8556633700318</v>
      </c>
    </row>
    <row r="3492" spans="1:23" ht="15" customHeight="1">
      <c r="A3492" s="3">
        <v>40794</v>
      </c>
      <c r="B3492" s="9">
        <v>127575</v>
      </c>
      <c r="C3492" s="5">
        <v>82200</v>
      </c>
      <c r="D3492" s="5" t="e">
        <f>E3492-(#REF!+#REF!+C3492)</f>
        <v>#REF!</v>
      </c>
      <c r="E3492" s="5">
        <v>321050</v>
      </c>
      <c r="K3492" s="22">
        <v>2423.5</v>
      </c>
      <c r="L3492" s="6">
        <v>2405</v>
      </c>
      <c r="M3492" s="125">
        <f t="shared" si="90"/>
        <v>-18.5</v>
      </c>
      <c r="N3492" s="18"/>
      <c r="O3492" s="135"/>
      <c r="P3492" s="175">
        <v>16325</v>
      </c>
      <c r="Q3492" s="25">
        <f>167.64/1071.7</f>
        <v>0.15642437249230193</v>
      </c>
      <c r="U3492" s="384">
        <v>0.1</v>
      </c>
      <c r="W3492" s="285">
        <f t="shared" si="89"/>
        <v>2808.9906690305124</v>
      </c>
    </row>
    <row r="3493" spans="1:23" ht="15" customHeight="1">
      <c r="A3493" s="3">
        <v>40795</v>
      </c>
      <c r="B3493" s="9">
        <v>127850</v>
      </c>
      <c r="C3493" s="5">
        <v>80475</v>
      </c>
      <c r="D3493" s="5" t="e">
        <f>E3493-(#REF!+#REF!+C3493)</f>
        <v>#REF!</v>
      </c>
      <c r="E3493" s="5">
        <v>320125</v>
      </c>
      <c r="K3493" s="22">
        <v>2455</v>
      </c>
      <c r="L3493" s="6">
        <v>2435.5</v>
      </c>
      <c r="M3493" s="125">
        <f t="shared" si="90"/>
        <v>-19.5</v>
      </c>
      <c r="N3493" s="18"/>
      <c r="O3493" s="135"/>
      <c r="P3493" s="175">
        <v>16275</v>
      </c>
      <c r="Q3493" s="25">
        <f>168.05/1072.8</f>
        <v>0.15664615958240122</v>
      </c>
      <c r="U3493" s="384">
        <v>0.1</v>
      </c>
      <c r="W3493" s="285">
        <f t="shared" si="89"/>
        <v>2804.3578719239381</v>
      </c>
    </row>
    <row r="3494" spans="1:23" ht="15" customHeight="1">
      <c r="A3494" s="3">
        <v>40798</v>
      </c>
      <c r="B3494" s="9">
        <v>127850</v>
      </c>
      <c r="C3494" s="5">
        <v>80475</v>
      </c>
      <c r="D3494" s="5" t="e">
        <f>E3494-(#REF!+#REF!+C3494)</f>
        <v>#REF!</v>
      </c>
      <c r="E3494" s="5">
        <v>319150</v>
      </c>
      <c r="K3494" s="22">
        <v>2430</v>
      </c>
      <c r="L3494" s="6">
        <v>2405</v>
      </c>
      <c r="M3494" s="125">
        <f t="shared" si="90"/>
        <v>-25</v>
      </c>
      <c r="N3494" s="18"/>
      <c r="O3494" s="135"/>
      <c r="P3494" s="175">
        <v>16175</v>
      </c>
      <c r="Q3494" s="25">
        <f>168.05/1072.8</f>
        <v>0.15664615958240122</v>
      </c>
      <c r="U3494" s="384">
        <v>0.1</v>
      </c>
      <c r="W3494" s="285">
        <f t="shared" si="89"/>
        <v>2787.126794369874</v>
      </c>
    </row>
    <row r="3495" spans="1:23" ht="15" customHeight="1">
      <c r="A3495" s="3">
        <v>40799</v>
      </c>
      <c r="B3495" s="9">
        <v>132750</v>
      </c>
      <c r="C3495" s="5">
        <v>79650</v>
      </c>
      <c r="D3495" s="5" t="e">
        <f>E3495-(#REF!+#REF!+C3495)</f>
        <v>#REF!</v>
      </c>
      <c r="E3495" s="5">
        <v>323775</v>
      </c>
      <c r="K3495" s="22">
        <v>2425.5</v>
      </c>
      <c r="L3495" s="6">
        <v>2406</v>
      </c>
      <c r="M3495" s="125">
        <f t="shared" si="90"/>
        <v>-19.5</v>
      </c>
      <c r="N3495" s="18"/>
      <c r="O3495" s="135"/>
      <c r="P3495" s="175">
        <v>16175</v>
      </c>
      <c r="Q3495" s="25">
        <f>168.05/1072.8</f>
        <v>0.15664615958240122</v>
      </c>
      <c r="U3495" s="384">
        <v>0.1</v>
      </c>
      <c r="W3495" s="285">
        <f t="shared" si="89"/>
        <v>2787.126794369874</v>
      </c>
    </row>
    <row r="3496" spans="1:23" ht="15" customHeight="1">
      <c r="A3496" s="3">
        <v>40800</v>
      </c>
      <c r="B3496" s="9">
        <v>133275</v>
      </c>
      <c r="C3496" s="5">
        <v>79025</v>
      </c>
      <c r="D3496" s="5" t="e">
        <f>E3496-(#REF!+#REF!+C3496)</f>
        <v>#REF!</v>
      </c>
      <c r="E3496" s="5">
        <v>323000</v>
      </c>
      <c r="K3496" s="22">
        <v>2383</v>
      </c>
      <c r="L3496" s="6">
        <v>2363</v>
      </c>
      <c r="M3496" s="125">
        <f t="shared" si="90"/>
        <v>-20</v>
      </c>
      <c r="N3496" s="18"/>
      <c r="O3496" s="135"/>
      <c r="P3496" s="175">
        <v>16175</v>
      </c>
      <c r="Q3496" s="25">
        <f>168.15/1076</f>
        <v>0.15627323420074349</v>
      </c>
      <c r="U3496" s="384">
        <v>0.1</v>
      </c>
      <c r="W3496" s="285">
        <f t="shared" si="89"/>
        <v>2780.4915195167287</v>
      </c>
    </row>
    <row r="3497" spans="1:23" ht="15" customHeight="1">
      <c r="A3497" s="3">
        <v>40801</v>
      </c>
      <c r="B3497" s="9">
        <v>133275</v>
      </c>
      <c r="C3497" s="5">
        <v>78650</v>
      </c>
      <c r="D3497" s="5" t="e">
        <f>E3497-(#REF!+#REF!+C3497)</f>
        <v>#REF!</v>
      </c>
      <c r="E3497" s="5">
        <v>322675</v>
      </c>
      <c r="K3497" s="22">
        <v>2406</v>
      </c>
      <c r="L3497" s="6">
        <v>2390</v>
      </c>
      <c r="M3497" s="125">
        <f t="shared" si="90"/>
        <v>-16</v>
      </c>
      <c r="N3497" s="18"/>
      <c r="O3497" s="135"/>
      <c r="P3497" s="175">
        <v>16100</v>
      </c>
      <c r="Q3497" s="25">
        <f>172.15/1100.4</f>
        <v>0.15644311159578334</v>
      </c>
      <c r="U3497" s="384">
        <v>0.1</v>
      </c>
      <c r="W3497" s="285">
        <f t="shared" si="89"/>
        <v>2770.607506361323</v>
      </c>
    </row>
    <row r="3498" spans="1:23" ht="15" customHeight="1">
      <c r="A3498" s="3">
        <v>40802</v>
      </c>
      <c r="B3498" s="9">
        <v>136725</v>
      </c>
      <c r="C3498" s="5">
        <v>79475</v>
      </c>
      <c r="D3498" s="5" t="e">
        <f>E3498-(#REF!+#REF!+C3498)</f>
        <v>#REF!</v>
      </c>
      <c r="E3498" s="5">
        <v>327750</v>
      </c>
      <c r="K3498" s="22">
        <v>2426</v>
      </c>
      <c r="L3498" s="6">
        <v>2411.5</v>
      </c>
      <c r="M3498" s="125">
        <f t="shared" si="90"/>
        <v>-14.5</v>
      </c>
      <c r="N3498" s="18"/>
      <c r="O3498" s="135"/>
      <c r="P3498" s="175">
        <v>16100</v>
      </c>
      <c r="Q3498" s="25">
        <f>173.38/1108.1</f>
        <v>0.15646602292211895</v>
      </c>
      <c r="U3498" s="384">
        <v>0.1</v>
      </c>
      <c r="W3498" s="285">
        <f t="shared" si="89"/>
        <v>2771.0132659507267</v>
      </c>
    </row>
    <row r="3499" spans="1:23" ht="15" customHeight="1">
      <c r="A3499" s="3">
        <v>40805</v>
      </c>
      <c r="B3499" s="9">
        <v>136750</v>
      </c>
      <c r="C3499" s="5">
        <v>79400</v>
      </c>
      <c r="D3499" s="5" t="e">
        <f>E3499-(#REF!+#REF!+C3499)</f>
        <v>#REF!</v>
      </c>
      <c r="E3499" s="5">
        <v>330175</v>
      </c>
      <c r="K3499" s="22">
        <v>2321</v>
      </c>
      <c r="L3499" s="6">
        <v>2320</v>
      </c>
      <c r="M3499" s="125">
        <f t="shared" si="90"/>
        <v>-1</v>
      </c>
      <c r="N3499" s="18"/>
      <c r="O3499" s="135"/>
      <c r="P3499" s="175">
        <v>15950</v>
      </c>
      <c r="Q3499" s="25">
        <f>173.39/1106.9</f>
        <v>0.15664468334989609</v>
      </c>
      <c r="U3499" s="384">
        <v>0.1</v>
      </c>
      <c r="W3499" s="285">
        <f t="shared" si="89"/>
        <v>2748.3309693739275</v>
      </c>
    </row>
    <row r="3500" spans="1:23" ht="15" customHeight="1">
      <c r="A3500" s="3">
        <v>40806</v>
      </c>
      <c r="B3500" s="9">
        <v>136650</v>
      </c>
      <c r="C3500" s="5">
        <v>79375</v>
      </c>
      <c r="D3500" s="5" t="e">
        <f>E3500-(#REF!+#REF!+C3500)</f>
        <v>#REF!</v>
      </c>
      <c r="E3500" s="5">
        <v>345425</v>
      </c>
      <c r="K3500" s="22">
        <v>2330</v>
      </c>
      <c r="L3500" s="6">
        <v>2319</v>
      </c>
      <c r="M3500" s="125">
        <f t="shared" si="90"/>
        <v>-11</v>
      </c>
      <c r="N3500" s="18"/>
      <c r="O3500" s="135"/>
      <c r="P3500" s="175">
        <v>15700</v>
      </c>
      <c r="Q3500" s="25">
        <f>175.73/1122.3</f>
        <v>0.15658023701327631</v>
      </c>
      <c r="U3500" s="384">
        <v>0.1</v>
      </c>
      <c r="W3500" s="285">
        <f t="shared" si="89"/>
        <v>2704.1406932192822</v>
      </c>
    </row>
    <row r="3501" spans="1:23" ht="15" customHeight="1">
      <c r="A3501" s="3">
        <v>40807</v>
      </c>
      <c r="B3501" s="9">
        <v>173575</v>
      </c>
      <c r="C3501" s="5">
        <v>78600</v>
      </c>
      <c r="D3501" s="5" t="e">
        <f>E3501-(#REF!+#REF!+C3501)</f>
        <v>#REF!</v>
      </c>
      <c r="E3501" s="5">
        <v>374825</v>
      </c>
      <c r="K3501" s="22">
        <v>2260</v>
      </c>
      <c r="L3501" s="6">
        <v>2253</v>
      </c>
      <c r="M3501" s="125">
        <f t="shared" si="90"/>
        <v>-7</v>
      </c>
      <c r="N3501" s="18"/>
      <c r="O3501" s="135"/>
      <c r="P3501" s="175">
        <v>15700</v>
      </c>
      <c r="Q3501" s="25">
        <f>180.23/1150.6</f>
        <v>0.1566400139057883</v>
      </c>
      <c r="U3501" s="384">
        <v>0.1</v>
      </c>
      <c r="W3501" s="285">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25">
        <f t="shared" si="90"/>
        <v>-7</v>
      </c>
      <c r="N3502" s="18"/>
      <c r="O3502" s="135"/>
      <c r="P3502" s="175">
        <v>15400</v>
      </c>
      <c r="Q3502" s="25">
        <f>179.76/1147.2</f>
        <v>0.15669456066945606</v>
      </c>
      <c r="U3502" s="384">
        <v>0.1</v>
      </c>
      <c r="W3502" s="285">
        <f t="shared" si="91"/>
        <v>2654.4058577405858</v>
      </c>
    </row>
    <row r="3503" spans="1:23" ht="15" customHeight="1">
      <c r="A3503" s="3">
        <v>40809</v>
      </c>
      <c r="B3503" s="9">
        <v>182050</v>
      </c>
      <c r="C3503" s="5">
        <v>78975</v>
      </c>
      <c r="D3503" s="5" t="e">
        <f>E3503-(#REF!+#REF!+C3503)</f>
        <v>#REF!</v>
      </c>
      <c r="E3503" s="5">
        <v>374025</v>
      </c>
      <c r="K3503" s="22">
        <v>2050</v>
      </c>
      <c r="L3503" s="6">
        <v>2023</v>
      </c>
      <c r="M3503" s="125">
        <f t="shared" si="90"/>
        <v>-27</v>
      </c>
      <c r="N3503" s="18"/>
      <c r="O3503" s="135"/>
      <c r="P3503" s="175">
        <v>14700</v>
      </c>
      <c r="Q3503" s="25">
        <f>184.31/1177.5</f>
        <v>0.15652653927813165</v>
      </c>
      <c r="U3503" s="384">
        <v>0.1</v>
      </c>
      <c r="W3503" s="285">
        <f t="shared" si="91"/>
        <v>2531.0341401273886</v>
      </c>
    </row>
    <row r="3504" spans="1:23" ht="15" customHeight="1">
      <c r="A3504" s="3">
        <v>40812</v>
      </c>
      <c r="B3504" s="9">
        <v>182300</v>
      </c>
      <c r="C3504" s="5">
        <v>79125</v>
      </c>
      <c r="D3504" s="5" t="e">
        <f>E3504-(#REF!+#REF!+C3504)</f>
        <v>#REF!</v>
      </c>
      <c r="E3504" s="5">
        <v>373800</v>
      </c>
      <c r="K3504" s="22">
        <v>1994</v>
      </c>
      <c r="L3504" s="6">
        <v>1974.5</v>
      </c>
      <c r="M3504" s="125">
        <f t="shared" si="90"/>
        <v>-19.5</v>
      </c>
      <c r="N3504" s="18"/>
      <c r="O3504" s="135"/>
      <c r="P3504" s="175">
        <v>14200</v>
      </c>
      <c r="Q3504" s="25">
        <f>185.66/1186</f>
        <v>0.15654300168634064</v>
      </c>
      <c r="U3504" s="384">
        <v>0.1</v>
      </c>
      <c r="W3504" s="285">
        <f t="shared" si="91"/>
        <v>2445.2016863406411</v>
      </c>
    </row>
    <row r="3505" spans="1:23" ht="15" customHeight="1">
      <c r="A3505" s="3">
        <v>40813</v>
      </c>
      <c r="B3505" s="9">
        <v>182875</v>
      </c>
      <c r="C3505" s="5">
        <v>79000</v>
      </c>
      <c r="D3505" s="5" t="e">
        <f>E3505-(#REF!+#REF!+C3505)</f>
        <v>#REF!</v>
      </c>
      <c r="E3505" s="5">
        <v>374225</v>
      </c>
      <c r="K3505" s="22">
        <v>2015</v>
      </c>
      <c r="L3505" s="6">
        <v>1982</v>
      </c>
      <c r="M3505" s="125">
        <f t="shared" si="90"/>
        <v>-33</v>
      </c>
      <c r="N3505" s="18"/>
      <c r="O3505" s="135"/>
      <c r="P3505" s="175">
        <v>14250</v>
      </c>
      <c r="Q3505" s="25">
        <f>185.15/1184.6</f>
        <v>0.15629748438291408</v>
      </c>
      <c r="U3505" s="384">
        <v>0.1</v>
      </c>
      <c r="W3505" s="285">
        <f t="shared" si="91"/>
        <v>2449.9630677021783</v>
      </c>
    </row>
    <row r="3506" spans="1:23" ht="15" customHeight="1">
      <c r="A3506" s="3">
        <v>40814</v>
      </c>
      <c r="B3506" s="9">
        <v>182875</v>
      </c>
      <c r="C3506" s="5">
        <v>78325</v>
      </c>
      <c r="D3506" s="5" t="e">
        <f>E3506-(#REF!+#REF!+C3506)</f>
        <v>#REF!</v>
      </c>
      <c r="E3506" s="5">
        <v>373700</v>
      </c>
      <c r="K3506" s="22">
        <v>2035</v>
      </c>
      <c r="L3506" s="6">
        <v>2015</v>
      </c>
      <c r="M3506" s="125">
        <f t="shared" si="90"/>
        <v>-20</v>
      </c>
      <c r="N3506" s="18"/>
      <c r="O3506" s="135"/>
      <c r="P3506" s="175">
        <v>14375</v>
      </c>
      <c r="Q3506" s="25">
        <f>184.38/1179.7</f>
        <v>0.15629397304399423</v>
      </c>
      <c r="U3506" s="384">
        <v>0.1</v>
      </c>
      <c r="W3506" s="285">
        <f t="shared" si="91"/>
        <v>2471.3984487581588</v>
      </c>
    </row>
    <row r="3507" spans="1:23" ht="15" customHeight="1">
      <c r="A3507" s="3">
        <v>40815</v>
      </c>
      <c r="B3507" s="9">
        <v>182875</v>
      </c>
      <c r="C3507" s="5">
        <v>78075</v>
      </c>
      <c r="D3507" s="5" t="e">
        <f>E3507-(#REF!+#REF!+C3507)</f>
        <v>#REF!</v>
      </c>
      <c r="E3507" s="5">
        <v>373425</v>
      </c>
      <c r="K3507" s="22">
        <v>2006</v>
      </c>
      <c r="L3507" s="6">
        <v>2000</v>
      </c>
      <c r="M3507" s="125">
        <f t="shared" si="90"/>
        <v>-6</v>
      </c>
      <c r="N3507" s="18"/>
      <c r="O3507" s="135"/>
      <c r="P3507" s="175">
        <v>14125</v>
      </c>
      <c r="Q3507" s="25">
        <f>183.41/1172.7</f>
        <v>0.15639976123475738</v>
      </c>
      <c r="U3507" s="384">
        <v>0.1</v>
      </c>
      <c r="W3507" s="285">
        <f t="shared" si="91"/>
        <v>2430.0612901850432</v>
      </c>
    </row>
    <row r="3508" spans="1:23" ht="15" customHeight="1" thickBot="1">
      <c r="A3508" s="11">
        <v>40816</v>
      </c>
      <c r="B3508" s="9">
        <v>182875</v>
      </c>
      <c r="C3508" s="13">
        <v>77900</v>
      </c>
      <c r="D3508" s="13" t="e">
        <f>E3508-(#REF!+#REF!+C3508)</f>
        <v>#REF!</v>
      </c>
      <c r="E3508" s="13">
        <v>373425</v>
      </c>
      <c r="F3508" s="12"/>
      <c r="G3508" s="13"/>
      <c r="H3508" s="13"/>
      <c r="I3508" s="119"/>
      <c r="J3508" s="119"/>
      <c r="K3508" s="23">
        <v>2060.5</v>
      </c>
      <c r="L3508" s="14">
        <v>2037</v>
      </c>
      <c r="M3508" s="126">
        <f t="shared" si="90"/>
        <v>-23.5</v>
      </c>
      <c r="N3508" s="85">
        <f>AVERAGE(K3487:K3508)</f>
        <v>2298.7954545454545</v>
      </c>
      <c r="O3508" s="143">
        <f>AVERAGE(K3315:K3508)</f>
        <v>2536.9734042553191</v>
      </c>
      <c r="P3508" s="176">
        <v>14525</v>
      </c>
      <c r="Q3508" s="27">
        <f>184.37/1179.5</f>
        <v>0.15631199660873252</v>
      </c>
      <c r="R3508" s="27"/>
      <c r="S3508" s="27"/>
      <c r="T3508" s="27"/>
      <c r="U3508" s="385">
        <v>0.1</v>
      </c>
      <c r="V3508" s="38">
        <f>AVERAGE(P3487:P3508)</f>
        <v>15621.59090909091</v>
      </c>
      <c r="W3508" s="285">
        <f t="shared" si="91"/>
        <v>2497.4749258160241</v>
      </c>
    </row>
    <row r="3509" spans="1:23" ht="15" customHeight="1">
      <c r="A3509" s="29">
        <v>40819</v>
      </c>
      <c r="B3509" s="9">
        <v>182675</v>
      </c>
      <c r="C3509" s="31">
        <v>78650</v>
      </c>
      <c r="D3509" s="31" t="e">
        <f>E3509-(#REF!+#REF!+C3509)</f>
        <v>#REF!</v>
      </c>
      <c r="E3509" s="31">
        <v>374125</v>
      </c>
      <c r="F3509" s="30"/>
      <c r="G3509" s="31"/>
      <c r="H3509" s="31"/>
      <c r="I3509" s="123"/>
      <c r="J3509" s="123"/>
      <c r="K3509" s="32">
        <v>1999.5</v>
      </c>
      <c r="L3509" s="33">
        <v>1961</v>
      </c>
      <c r="M3509" s="125">
        <f t="shared" si="90"/>
        <v>-38.5</v>
      </c>
      <c r="N3509" s="20"/>
      <c r="O3509" s="138"/>
      <c r="P3509" s="208"/>
      <c r="Q3509" s="1362" t="s">
        <v>41</v>
      </c>
      <c r="R3509" s="1362"/>
      <c r="S3509" s="1362"/>
      <c r="T3509" s="1362"/>
      <c r="U3509" s="1362"/>
      <c r="V3509" s="37"/>
      <c r="W3509" s="287"/>
    </row>
    <row r="3510" spans="1:23" ht="15" customHeight="1">
      <c r="A3510" s="3">
        <v>40820</v>
      </c>
      <c r="B3510" s="9">
        <v>182675</v>
      </c>
      <c r="C3510" s="5">
        <v>78600</v>
      </c>
      <c r="D3510" s="5" t="e">
        <f>E3510-(#REF!+#REF!+C3510)</f>
        <v>#REF!</v>
      </c>
      <c r="E3510" s="5">
        <v>374550</v>
      </c>
      <c r="K3510" s="22">
        <v>1961</v>
      </c>
      <c r="L3510" s="6">
        <v>1920.5</v>
      </c>
      <c r="M3510" s="125">
        <f t="shared" si="90"/>
        <v>-40.5</v>
      </c>
      <c r="N3510" s="18"/>
      <c r="O3510" s="135"/>
      <c r="P3510" s="207"/>
      <c r="Q3510" s="1363"/>
      <c r="R3510" s="1363"/>
      <c r="S3510" s="1363"/>
      <c r="T3510" s="1363"/>
      <c r="U3510" s="1363"/>
      <c r="W3510" s="288"/>
    </row>
    <row r="3511" spans="1:23" ht="15" customHeight="1">
      <c r="A3511" s="3">
        <v>40821</v>
      </c>
      <c r="B3511" s="9">
        <v>183475</v>
      </c>
      <c r="C3511" s="5">
        <v>78425</v>
      </c>
      <c r="D3511" s="5" t="e">
        <f>E3511-(#REF!+#REF!+C3511)</f>
        <v>#REF!</v>
      </c>
      <c r="E3511" s="5">
        <v>379700</v>
      </c>
      <c r="K3511" s="22">
        <v>1947</v>
      </c>
      <c r="L3511" s="6">
        <v>1910</v>
      </c>
      <c r="M3511" s="125">
        <f t="shared" si="90"/>
        <v>-37</v>
      </c>
      <c r="N3511" s="18"/>
      <c r="O3511" s="135"/>
      <c r="P3511" s="207"/>
      <c r="Q3511" s="1363"/>
      <c r="R3511" s="1363"/>
      <c r="S3511" s="1363"/>
      <c r="T3511" s="1363"/>
      <c r="U3511" s="1363"/>
      <c r="W3511" s="288"/>
    </row>
    <row r="3512" spans="1:23" ht="15" customHeight="1">
      <c r="A3512" s="3">
        <v>40822</v>
      </c>
      <c r="B3512" s="9">
        <v>188725</v>
      </c>
      <c r="C3512" s="5">
        <v>78425</v>
      </c>
      <c r="D3512" s="5" t="e">
        <f>E3512-(#REF!+#REF!+C3512)</f>
        <v>#REF!</v>
      </c>
      <c r="E3512" s="5">
        <v>380875</v>
      </c>
      <c r="K3512" s="22">
        <v>1944.5</v>
      </c>
      <c r="L3512" s="6">
        <v>1925.5</v>
      </c>
      <c r="M3512" s="125">
        <f t="shared" si="90"/>
        <v>-19</v>
      </c>
      <c r="N3512" s="18"/>
      <c r="O3512" s="135"/>
      <c r="P3512" s="207"/>
      <c r="Q3512" s="1363"/>
      <c r="R3512" s="1363"/>
      <c r="S3512" s="1363"/>
      <c r="T3512" s="1363"/>
      <c r="U3512" s="1363"/>
      <c r="W3512" s="288"/>
    </row>
    <row r="3513" spans="1:23" ht="15" customHeight="1">
      <c r="A3513" s="3">
        <v>40823</v>
      </c>
      <c r="B3513" s="9">
        <v>189975</v>
      </c>
      <c r="C3513" s="5">
        <v>78425</v>
      </c>
      <c r="D3513" s="5" t="e">
        <f>E3513-(#REF!+#REF!+C3513)</f>
        <v>#REF!</v>
      </c>
      <c r="E3513" s="5">
        <v>380400</v>
      </c>
      <c r="K3513" s="22">
        <v>1946</v>
      </c>
      <c r="L3513" s="6">
        <v>1932</v>
      </c>
      <c r="M3513" s="125">
        <f t="shared" si="90"/>
        <v>-14</v>
      </c>
      <c r="N3513" s="18"/>
      <c r="O3513" s="135"/>
      <c r="P3513" s="207"/>
      <c r="Q3513" s="1363"/>
      <c r="R3513" s="1363"/>
      <c r="S3513" s="1363"/>
      <c r="T3513" s="1363"/>
      <c r="U3513" s="1363"/>
      <c r="W3513" s="288"/>
    </row>
    <row r="3514" spans="1:23" ht="15" customHeight="1">
      <c r="A3514" s="3">
        <v>40826</v>
      </c>
      <c r="B3514" s="9">
        <v>189525</v>
      </c>
      <c r="C3514" s="5">
        <v>78300</v>
      </c>
      <c r="D3514" s="5" t="e">
        <f>E3514-(#REF!+#REF!+C3514)</f>
        <v>#REF!</v>
      </c>
      <c r="E3514" s="5">
        <v>382000</v>
      </c>
      <c r="K3514" s="22">
        <v>1976</v>
      </c>
      <c r="L3514" s="6">
        <v>1957</v>
      </c>
      <c r="M3514" s="125">
        <f t="shared" si="90"/>
        <v>-19</v>
      </c>
      <c r="N3514" s="18"/>
      <c r="O3514" s="135"/>
      <c r="P3514" s="175">
        <v>14775</v>
      </c>
      <c r="Q3514" s="25">
        <f>185.08/1179.9</f>
        <v>0.15686075091109417</v>
      </c>
      <c r="U3514" s="384">
        <v>0.1</v>
      </c>
      <c r="W3514" s="285">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25">
        <f t="shared" si="90"/>
        <v>8.5</v>
      </c>
      <c r="N3515" s="18"/>
      <c r="O3515" s="135"/>
      <c r="P3515" s="175">
        <v>14850</v>
      </c>
      <c r="Q3515" s="25">
        <f>184.78/1173</f>
        <v>0.15752770673486785</v>
      </c>
      <c r="U3515" s="384">
        <v>0.1</v>
      </c>
      <c r="W3515" s="285">
        <f t="shared" si="92"/>
        <v>2573.2150895140667</v>
      </c>
    </row>
    <row r="3516" spans="1:23" ht="15" customHeight="1">
      <c r="A3516" s="3">
        <v>40828</v>
      </c>
      <c r="B3516" s="9">
        <v>194625</v>
      </c>
      <c r="C3516" s="5">
        <v>78200</v>
      </c>
      <c r="D3516" s="5" t="e">
        <f>E3516-(#REF!+#REF!+C3516)</f>
        <v>#REF!</v>
      </c>
      <c r="E3516" s="5">
        <v>386850</v>
      </c>
      <c r="K3516" s="22">
        <v>2009.5</v>
      </c>
      <c r="L3516" s="6">
        <v>2016.5</v>
      </c>
      <c r="M3516" s="125">
        <f t="shared" si="90"/>
        <v>7</v>
      </c>
      <c r="N3516" s="18"/>
      <c r="O3516" s="135"/>
      <c r="P3516" s="175">
        <v>14850</v>
      </c>
      <c r="Q3516" s="25">
        <f>182.62/1164.2</f>
        <v>0.15686308194468304</v>
      </c>
      <c r="U3516" s="384">
        <v>0.1</v>
      </c>
      <c r="W3516" s="285">
        <f t="shared" si="92"/>
        <v>2562.3584435663975</v>
      </c>
    </row>
    <row r="3517" spans="1:23" ht="15" customHeight="1">
      <c r="A3517" s="3">
        <v>40829</v>
      </c>
      <c r="B3517" s="9">
        <v>195825</v>
      </c>
      <c r="C3517" s="5">
        <v>78075</v>
      </c>
      <c r="D3517" s="5" t="e">
        <f>E3517-(#REF!+#REF!+C3517)</f>
        <v>#REF!</v>
      </c>
      <c r="E3517" s="5">
        <v>388325</v>
      </c>
      <c r="K3517" s="22">
        <v>1996</v>
      </c>
      <c r="L3517" s="6">
        <v>2015</v>
      </c>
      <c r="M3517" s="125">
        <f t="shared" si="90"/>
        <v>19</v>
      </c>
      <c r="N3517" s="18"/>
      <c r="O3517" s="135"/>
      <c r="P3517" s="175">
        <v>14950</v>
      </c>
      <c r="Q3517" s="25">
        <f>184.37/1172.4</f>
        <v>0.15725861480723302</v>
      </c>
      <c r="U3517" s="384">
        <v>0.1</v>
      </c>
      <c r="W3517" s="285">
        <f t="shared" si="92"/>
        <v>2586.1179205049475</v>
      </c>
    </row>
    <row r="3518" spans="1:23" ht="15" customHeight="1">
      <c r="A3518" s="3">
        <v>40830</v>
      </c>
      <c r="B3518" s="9">
        <v>197525</v>
      </c>
      <c r="C3518" s="5">
        <v>77925</v>
      </c>
      <c r="D3518" s="5" t="e">
        <f>E3518-(#REF!+#REF!+C3518)</f>
        <v>#REF!</v>
      </c>
      <c r="E3518" s="5">
        <v>388500</v>
      </c>
      <c r="K3518" s="22">
        <v>2008</v>
      </c>
      <c r="L3518" s="6">
        <v>2028</v>
      </c>
      <c r="M3518" s="125">
        <f t="shared" si="90"/>
        <v>20</v>
      </c>
      <c r="N3518" s="18"/>
      <c r="O3518" s="135"/>
      <c r="P3518" s="175">
        <v>14950</v>
      </c>
      <c r="Q3518" s="25">
        <f>181.42/1158</f>
        <v>0.15666666666666665</v>
      </c>
      <c r="U3518" s="384">
        <v>0.1</v>
      </c>
      <c r="W3518" s="285">
        <f t="shared" si="92"/>
        <v>2576.3833333333332</v>
      </c>
    </row>
    <row r="3519" spans="1:23" ht="15" customHeight="1">
      <c r="A3519" s="3">
        <v>40833</v>
      </c>
      <c r="B3519" s="9">
        <v>197875</v>
      </c>
      <c r="C3519" s="5">
        <v>77725</v>
      </c>
      <c r="D3519" s="5" t="e">
        <f>E3519-(#REF!+#REF!+C3519)</f>
        <v>#REF!</v>
      </c>
      <c r="E3519" s="5">
        <v>388500</v>
      </c>
      <c r="K3519" s="22">
        <v>1990.5</v>
      </c>
      <c r="L3519" s="6">
        <v>2022.5</v>
      </c>
      <c r="M3519" s="125">
        <f t="shared" si="90"/>
        <v>32</v>
      </c>
      <c r="N3519" s="18"/>
      <c r="O3519" s="135"/>
      <c r="P3519" s="175">
        <v>15000</v>
      </c>
      <c r="Q3519" s="25">
        <f>181.83/1160.3</f>
        <v>0.15670947168835647</v>
      </c>
      <c r="U3519" s="384">
        <v>0.1</v>
      </c>
      <c r="W3519" s="285">
        <f t="shared" si="92"/>
        <v>2585.7062828578819</v>
      </c>
    </row>
    <row r="3520" spans="1:23" ht="15" customHeight="1">
      <c r="A3520" s="3">
        <v>40834</v>
      </c>
      <c r="B3520" s="9">
        <v>197975</v>
      </c>
      <c r="C3520" s="5">
        <v>77650</v>
      </c>
      <c r="D3520" s="5" t="e">
        <f>E3520-(#REF!+#REF!+C3520)</f>
        <v>#REF!</v>
      </c>
      <c r="E3520" s="5">
        <v>387825</v>
      </c>
      <c r="K3520" s="22">
        <v>1906</v>
      </c>
      <c r="L3520" s="6">
        <v>1935</v>
      </c>
      <c r="M3520" s="125">
        <f t="shared" si="90"/>
        <v>29</v>
      </c>
      <c r="N3520" s="18"/>
      <c r="O3520" s="135"/>
      <c r="P3520" s="175">
        <v>14650</v>
      </c>
      <c r="Q3520" s="25">
        <f>179.86/1145.7</f>
        <v>0.15698699485030987</v>
      </c>
      <c r="U3520" s="384">
        <v>0.1</v>
      </c>
      <c r="W3520" s="285">
        <f t="shared" si="92"/>
        <v>2529.8454220127437</v>
      </c>
    </row>
    <row r="3521" spans="1:23" ht="15" customHeight="1">
      <c r="A3521" s="3">
        <v>40835</v>
      </c>
      <c r="B3521" s="9">
        <v>197525</v>
      </c>
      <c r="C3521" s="5">
        <v>77575</v>
      </c>
      <c r="D3521" s="5" t="e">
        <f>E3521-(#REF!+#REF!+C3521)</f>
        <v>#REF!</v>
      </c>
      <c r="E3521" s="5">
        <v>388350</v>
      </c>
      <c r="K3521" s="22">
        <v>1890</v>
      </c>
      <c r="L3521" s="6">
        <v>1915</v>
      </c>
      <c r="M3521" s="125">
        <f t="shared" si="90"/>
        <v>25</v>
      </c>
      <c r="N3521" s="18"/>
      <c r="O3521" s="135"/>
      <c r="P3521" s="175">
        <v>14650</v>
      </c>
      <c r="Q3521" s="25">
        <f>179.77/1147.1</f>
        <v>0.15671693836631509</v>
      </c>
      <c r="U3521" s="384">
        <v>0.1</v>
      </c>
      <c r="W3521" s="285">
        <f t="shared" si="92"/>
        <v>2525.4934617731678</v>
      </c>
    </row>
    <row r="3522" spans="1:23" ht="15" customHeight="1">
      <c r="A3522" s="3">
        <v>40836</v>
      </c>
      <c r="B3522" s="9">
        <v>198250</v>
      </c>
      <c r="C3522" s="5">
        <v>77325</v>
      </c>
      <c r="D3522" s="5" t="e">
        <f>E3522-(#REF!+#REF!+C3522)</f>
        <v>#REF!</v>
      </c>
      <c r="E3522" s="5">
        <v>387925</v>
      </c>
      <c r="K3522" s="22">
        <v>1791.5</v>
      </c>
      <c r="L3522" s="6">
        <v>1832</v>
      </c>
      <c r="M3522" s="125">
        <f t="shared" si="90"/>
        <v>40.5</v>
      </c>
      <c r="N3522" s="18"/>
      <c r="O3522" s="135"/>
      <c r="P3522" s="175">
        <v>14050</v>
      </c>
      <c r="Q3522" s="25">
        <f>178.39/1137.7</f>
        <v>0.15679880460578358</v>
      </c>
      <c r="U3522" s="384">
        <v>0.1</v>
      </c>
      <c r="W3522" s="285">
        <f t="shared" si="92"/>
        <v>2423.3255251823853</v>
      </c>
    </row>
    <row r="3523" spans="1:23" ht="15" customHeight="1">
      <c r="A3523" s="3">
        <v>40837</v>
      </c>
      <c r="B3523" s="9">
        <v>198150</v>
      </c>
      <c r="C3523" s="5">
        <v>77250</v>
      </c>
      <c r="D3523" s="5" t="e">
        <f>E3523-(#REF!+#REF!+C3523)</f>
        <v>#REF!</v>
      </c>
      <c r="E3523" s="5">
        <v>387950</v>
      </c>
      <c r="K3523" s="22">
        <v>1841</v>
      </c>
      <c r="L3523" s="6">
        <v>1868</v>
      </c>
      <c r="M3523" s="125">
        <f t="shared" si="90"/>
        <v>27</v>
      </c>
      <c r="N3523" s="18"/>
      <c r="O3523" s="135"/>
      <c r="P3523" s="175">
        <v>14400</v>
      </c>
      <c r="Q3523" s="25">
        <f>178.48/1139.5</f>
        <v>0.15663010092145677</v>
      </c>
      <c r="U3523" s="384">
        <v>0.1</v>
      </c>
      <c r="W3523" s="285">
        <f t="shared" si="92"/>
        <v>2481.020798595875</v>
      </c>
    </row>
    <row r="3524" spans="1:23" ht="15" customHeight="1">
      <c r="A3524" s="3">
        <v>40840</v>
      </c>
      <c r="B3524" s="9">
        <v>198350</v>
      </c>
      <c r="C3524" s="5">
        <v>77200</v>
      </c>
      <c r="D3524" s="5" t="e">
        <f>E3524-(#REF!+#REF!+C3524)</f>
        <v>#REF!</v>
      </c>
      <c r="E3524" s="5">
        <v>388275</v>
      </c>
      <c r="K3524" s="22">
        <v>1940.5</v>
      </c>
      <c r="L3524" s="6">
        <v>1970</v>
      </c>
      <c r="M3524" s="125">
        <f t="shared" si="90"/>
        <v>29.5</v>
      </c>
      <c r="N3524" s="18"/>
      <c r="O3524" s="135"/>
      <c r="P3524" s="175">
        <v>14750</v>
      </c>
      <c r="Q3524" s="25">
        <f>180.07/1149.5</f>
        <v>0.15665071770334926</v>
      </c>
      <c r="U3524" s="384">
        <v>0.1</v>
      </c>
      <c r="W3524" s="285">
        <f t="shared" si="92"/>
        <v>2541.6578947368421</v>
      </c>
    </row>
    <row r="3525" spans="1:23" ht="15" customHeight="1">
      <c r="A3525" s="3">
        <v>40841</v>
      </c>
      <c r="B3525" s="9">
        <v>198850</v>
      </c>
      <c r="C3525" s="5">
        <v>77200</v>
      </c>
      <c r="D3525" s="5" t="e">
        <f>E3525-(#REF!+#REF!+C3525)</f>
        <v>#REF!</v>
      </c>
      <c r="E3525" s="5">
        <v>388150</v>
      </c>
      <c r="K3525" s="22">
        <v>1961.5</v>
      </c>
      <c r="L3525" s="6">
        <v>1990</v>
      </c>
      <c r="M3525" s="125">
        <f t="shared" si="90"/>
        <v>28.5</v>
      </c>
      <c r="N3525" s="18"/>
      <c r="O3525" s="135"/>
      <c r="P3525" s="175">
        <v>15100</v>
      </c>
      <c r="Q3525" s="25">
        <f>178.46/1137.7</f>
        <v>0.15686033224927484</v>
      </c>
      <c r="U3525" s="384">
        <v>0.1</v>
      </c>
      <c r="W3525" s="285">
        <f t="shared" si="92"/>
        <v>2605.4501186604552</v>
      </c>
    </row>
    <row r="3526" spans="1:23" ht="15" customHeight="1">
      <c r="A3526" s="3">
        <v>40842</v>
      </c>
      <c r="B3526" s="9">
        <v>198825</v>
      </c>
      <c r="C3526" s="5">
        <v>77200</v>
      </c>
      <c r="D3526" s="5" t="e">
        <f>E3526-(#REF!+#REF!+C3526)</f>
        <v>#REF!</v>
      </c>
      <c r="E3526" s="5">
        <v>388475</v>
      </c>
      <c r="K3526" s="22">
        <v>1937.5</v>
      </c>
      <c r="L3526" s="6">
        <v>1962.5</v>
      </c>
      <c r="M3526" s="125">
        <f t="shared" si="90"/>
        <v>25</v>
      </c>
      <c r="N3526" s="18"/>
      <c r="O3526" s="135"/>
      <c r="P3526" s="175">
        <v>15050</v>
      </c>
      <c r="Q3526" s="25">
        <f>177.31/1127.9</f>
        <v>0.15720365280609983</v>
      </c>
      <c r="U3526" s="384">
        <v>0.1</v>
      </c>
      <c r="W3526" s="285">
        <f t="shared" si="92"/>
        <v>2602.5064722049829</v>
      </c>
    </row>
    <row r="3527" spans="1:23" ht="15" customHeight="1">
      <c r="A3527" s="3">
        <v>40843</v>
      </c>
      <c r="B3527" s="9">
        <v>198725</v>
      </c>
      <c r="C3527" s="5">
        <v>77200</v>
      </c>
      <c r="D3527" s="5" t="e">
        <f>E3527-(#REF!+#REF!+C3527)</f>
        <v>#REF!</v>
      </c>
      <c r="E3527" s="5">
        <v>388375</v>
      </c>
      <c r="K3527" s="22">
        <v>1951</v>
      </c>
      <c r="L3527" s="6">
        <v>1980</v>
      </c>
      <c r="M3527" s="125">
        <f t="shared" si="90"/>
        <v>29</v>
      </c>
      <c r="N3527" s="18"/>
      <c r="O3527" s="135"/>
      <c r="P3527" s="175">
        <v>15050</v>
      </c>
      <c r="Q3527" s="25">
        <f>177.91/1130.4</f>
        <v>0.15738676574663835</v>
      </c>
      <c r="U3527" s="384">
        <v>0.1</v>
      </c>
      <c r="W3527" s="285">
        <f t="shared" si="92"/>
        <v>2605.5379069355977</v>
      </c>
    </row>
    <row r="3528" spans="1:23" ht="15" customHeight="1">
      <c r="A3528" s="3">
        <v>40844</v>
      </c>
      <c r="B3528" s="9">
        <v>198725</v>
      </c>
      <c r="C3528" s="5">
        <v>77100</v>
      </c>
      <c r="D3528" s="5" t="e">
        <f>E3528-(#REF!+#REF!+C3528)</f>
        <v>#REF!</v>
      </c>
      <c r="E3528" s="5">
        <v>387900</v>
      </c>
      <c r="K3528" s="22">
        <v>1986</v>
      </c>
      <c r="L3528" s="6">
        <v>2010</v>
      </c>
      <c r="M3528" s="125">
        <f t="shared" ref="M3528:M3568" si="93">L3528-K3528</f>
        <v>24</v>
      </c>
      <c r="N3528" s="18"/>
      <c r="O3528" s="135"/>
      <c r="P3528" s="175">
        <v>15400</v>
      </c>
      <c r="Q3528" s="25">
        <f>176.82/1124.5</f>
        <v>0.15724321920853712</v>
      </c>
      <c r="U3528" s="384">
        <v>0.1</v>
      </c>
      <c r="W3528" s="285">
        <f t="shared" si="92"/>
        <v>2663.7001333926191</v>
      </c>
    </row>
    <row r="3529" spans="1:23" ht="15" customHeight="1" thickBot="1">
      <c r="A3529" s="11">
        <v>40847</v>
      </c>
      <c r="B3529" s="9">
        <v>198725</v>
      </c>
      <c r="C3529" s="13">
        <v>76750</v>
      </c>
      <c r="D3529" s="13" t="e">
        <f>E3529-(#REF!+#REF!+C3529)</f>
        <v>#REF!</v>
      </c>
      <c r="E3529" s="13">
        <v>387800</v>
      </c>
      <c r="F3529" s="12"/>
      <c r="G3529" s="13"/>
      <c r="H3529" s="13"/>
      <c r="I3529" s="119"/>
      <c r="J3529" s="119"/>
      <c r="K3529" s="23">
        <v>1981</v>
      </c>
      <c r="L3529" s="14">
        <v>2006</v>
      </c>
      <c r="M3529" s="126">
        <f t="shared" si="93"/>
        <v>25</v>
      </c>
      <c r="N3529" s="85">
        <f>AVERAGE(K3509:K3529)</f>
        <v>1948.5952380952381</v>
      </c>
      <c r="O3529" s="143">
        <f>AVERAGE(K3315:K3529)</f>
        <v>2477.8540669856461</v>
      </c>
      <c r="P3529" s="176">
        <v>15400</v>
      </c>
      <c r="Q3529" s="27">
        <f>173.7/1104.5</f>
        <v>0.15726573110004527</v>
      </c>
      <c r="R3529" s="27"/>
      <c r="S3529" s="27"/>
      <c r="T3529" s="27"/>
      <c r="U3529" s="385">
        <v>0.1</v>
      </c>
      <c r="V3529" s="38">
        <f>AVERAGE(P3509:P3529)</f>
        <v>14867.1875</v>
      </c>
      <c r="W3529" s="285">
        <f t="shared" si="92"/>
        <v>2664.0814848347668</v>
      </c>
    </row>
    <row r="3530" spans="1:23" ht="15" customHeight="1">
      <c r="A3530" s="29">
        <v>40848</v>
      </c>
      <c r="B3530" s="9">
        <v>199000</v>
      </c>
      <c r="C3530" s="31">
        <v>76600</v>
      </c>
      <c r="D3530" s="31" t="e">
        <f>E3530-(#REF!+#REF!+C3530)</f>
        <v>#REF!</v>
      </c>
      <c r="E3530" s="31">
        <v>387425</v>
      </c>
      <c r="F3530" s="30"/>
      <c r="G3530" s="31"/>
      <c r="H3530" s="31"/>
      <c r="I3530" s="123"/>
      <c r="J3530" s="123"/>
      <c r="K3530" s="32">
        <v>1997</v>
      </c>
      <c r="L3530" s="33">
        <v>2019</v>
      </c>
      <c r="M3530" s="125">
        <f t="shared" si="93"/>
        <v>22</v>
      </c>
      <c r="N3530" s="20"/>
      <c r="O3530" s="138"/>
      <c r="P3530" s="178">
        <v>15400</v>
      </c>
      <c r="Q3530" s="34">
        <f>173.9/1105.2</f>
        <v>0.15734708650018095</v>
      </c>
      <c r="R3530" s="34"/>
      <c r="S3530" s="34"/>
      <c r="T3530" s="34"/>
      <c r="U3530" s="386">
        <v>0.1</v>
      </c>
      <c r="V3530" s="37"/>
      <c r="W3530" s="285">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25">
        <f t="shared" si="93"/>
        <v>22</v>
      </c>
      <c r="N3531" s="18"/>
      <c r="O3531" s="135"/>
      <c r="P3531" s="175">
        <v>15150</v>
      </c>
      <c r="Q3531" s="25">
        <f>175.28/1113.9</f>
        <v>0.15735703384504893</v>
      </c>
      <c r="U3531" s="384">
        <v>0.1</v>
      </c>
      <c r="W3531" s="285">
        <f t="shared" si="94"/>
        <v>2622.3549690277405</v>
      </c>
    </row>
    <row r="3532" spans="1:23" ht="15" customHeight="1">
      <c r="A3532" s="3">
        <v>40850</v>
      </c>
      <c r="B3532" s="9">
        <v>198925</v>
      </c>
      <c r="C3532" s="5">
        <v>75425</v>
      </c>
      <c r="D3532" s="5" t="e">
        <f>E3532-(#REF!+#REF!+C3532)</f>
        <v>#REF!</v>
      </c>
      <c r="E3532" s="5">
        <v>385300</v>
      </c>
      <c r="K3532" s="22">
        <v>1993</v>
      </c>
      <c r="L3532" s="6">
        <v>2012</v>
      </c>
      <c r="M3532" s="125">
        <f t="shared" si="93"/>
        <v>19</v>
      </c>
      <c r="N3532" s="18"/>
      <c r="O3532" s="135"/>
      <c r="P3532" s="175">
        <v>15200</v>
      </c>
      <c r="Q3532" s="25">
        <f>177.18/1126.2</f>
        <v>0.15732551944592435</v>
      </c>
      <c r="U3532" s="384">
        <v>0.1</v>
      </c>
      <c r="W3532" s="285">
        <f t="shared" si="94"/>
        <v>2630.4826851358553</v>
      </c>
    </row>
    <row r="3533" spans="1:23" ht="15" customHeight="1">
      <c r="A3533" s="3">
        <v>40851</v>
      </c>
      <c r="B3533" s="9">
        <v>199100</v>
      </c>
      <c r="C3533" s="5">
        <v>75075</v>
      </c>
      <c r="D3533" s="5" t="e">
        <f>E3533-(#REF!+#REF!+C3533)</f>
        <v>#REF!</v>
      </c>
      <c r="E3533" s="5">
        <v>384575</v>
      </c>
      <c r="K3533" s="22">
        <v>2022</v>
      </c>
      <c r="L3533" s="6">
        <v>2048</v>
      </c>
      <c r="M3533" s="125">
        <f t="shared" si="93"/>
        <v>26</v>
      </c>
      <c r="N3533" s="18"/>
      <c r="O3533" s="135"/>
      <c r="P3533" s="175">
        <v>15400</v>
      </c>
      <c r="Q3533" s="25">
        <f>178.15/1131.5</f>
        <v>0.15744586831639418</v>
      </c>
      <c r="U3533" s="384">
        <v>0.1</v>
      </c>
      <c r="W3533" s="285">
        <f t="shared" si="94"/>
        <v>2667.133009279718</v>
      </c>
    </row>
    <row r="3534" spans="1:23" ht="15" customHeight="1">
      <c r="A3534" s="3">
        <v>40854</v>
      </c>
      <c r="B3534" s="9">
        <v>199000</v>
      </c>
      <c r="C3534" s="5">
        <v>74750</v>
      </c>
      <c r="D3534" s="5" t="e">
        <f>E3534-(#REF!+#REF!+C3534)</f>
        <v>#REF!</v>
      </c>
      <c r="E3534" s="5">
        <v>383400</v>
      </c>
      <c r="K3534" s="22">
        <v>1976</v>
      </c>
      <c r="L3534" s="6">
        <v>1999</v>
      </c>
      <c r="M3534" s="125">
        <f t="shared" si="93"/>
        <v>23</v>
      </c>
      <c r="N3534" s="18"/>
      <c r="O3534" s="135"/>
      <c r="P3534" s="175">
        <v>15400</v>
      </c>
      <c r="Q3534" s="25">
        <f>175.6/1115</f>
        <v>0.15748878923766815</v>
      </c>
      <c r="U3534" s="384">
        <v>0.1</v>
      </c>
      <c r="W3534" s="285">
        <f t="shared" si="94"/>
        <v>2667.8600896860989</v>
      </c>
    </row>
    <row r="3535" spans="1:23" ht="15" customHeight="1">
      <c r="A3535" s="3">
        <v>40855</v>
      </c>
      <c r="B3535" s="9">
        <v>198400</v>
      </c>
      <c r="C3535" s="5">
        <v>74100</v>
      </c>
      <c r="D3535" s="5" t="e">
        <f>E3535-(#REF!+#REF!+C3535)</f>
        <v>#REF!</v>
      </c>
      <c r="E3535" s="5">
        <v>382175</v>
      </c>
      <c r="K3535" s="22">
        <v>1995.5</v>
      </c>
      <c r="L3535" s="6">
        <v>2020</v>
      </c>
      <c r="M3535" s="125">
        <f t="shared" si="93"/>
        <v>24.5</v>
      </c>
      <c r="N3535" s="18"/>
      <c r="O3535" s="135"/>
      <c r="P3535" s="175">
        <v>15350</v>
      </c>
      <c r="Q3535" s="25">
        <f>175.89/1116.3</f>
        <v>0.15756517065305026</v>
      </c>
      <c r="U3535" s="384">
        <v>0.1</v>
      </c>
      <c r="W3535" s="285">
        <f t="shared" si="94"/>
        <v>2660.4879064767538</v>
      </c>
    </row>
    <row r="3536" spans="1:23" ht="15" customHeight="1">
      <c r="A3536" s="3">
        <v>40856</v>
      </c>
      <c r="B3536" s="9">
        <v>198300</v>
      </c>
      <c r="C3536" s="5">
        <v>73425</v>
      </c>
      <c r="D3536" s="5" t="e">
        <f>E3536-(#REF!+#REF!+C3536)</f>
        <v>#REF!</v>
      </c>
      <c r="E3536" s="5">
        <v>380050</v>
      </c>
      <c r="K3536" s="22">
        <v>1966.5</v>
      </c>
      <c r="L3536" s="6">
        <v>1992</v>
      </c>
      <c r="M3536" s="125">
        <f t="shared" si="93"/>
        <v>25.5</v>
      </c>
      <c r="N3536" s="18"/>
      <c r="O3536" s="135"/>
      <c r="P3536" s="175">
        <v>15400</v>
      </c>
      <c r="Q3536" s="25">
        <f>175.97/1115.7</f>
        <v>0.15772160975172536</v>
      </c>
      <c r="U3536" s="384">
        <v>0.1</v>
      </c>
      <c r="W3536" s="285">
        <f t="shared" si="94"/>
        <v>2671.8040691942278</v>
      </c>
    </row>
    <row r="3537" spans="1:23" ht="15" customHeight="1">
      <c r="A3537" s="3">
        <v>40857</v>
      </c>
      <c r="B3537" s="9">
        <v>197300</v>
      </c>
      <c r="C3537" s="5">
        <v>72525</v>
      </c>
      <c r="D3537" s="5" t="e">
        <f>E3537-(#REF!+#REF!+C3537)</f>
        <v>#REF!</v>
      </c>
      <c r="E3537" s="5">
        <v>378775</v>
      </c>
      <c r="K3537" s="22">
        <v>1921.5</v>
      </c>
      <c r="L3537" s="6">
        <v>1947</v>
      </c>
      <c r="M3537" s="125">
        <f t="shared" si="93"/>
        <v>25.5</v>
      </c>
      <c r="N3537" s="18"/>
      <c r="O3537" s="135"/>
      <c r="P3537" s="175">
        <v>14750</v>
      </c>
      <c r="Q3537" s="25">
        <f>178.72/1134.3</f>
        <v>0.15755972846689589</v>
      </c>
      <c r="U3537" s="384">
        <v>0.1</v>
      </c>
      <c r="W3537" s="285">
        <f t="shared" si="94"/>
        <v>2556.4065943753858</v>
      </c>
    </row>
    <row r="3538" spans="1:23" ht="15" customHeight="1">
      <c r="A3538" s="3">
        <v>40858</v>
      </c>
      <c r="B3538" s="9">
        <v>197525</v>
      </c>
      <c r="C3538" s="5">
        <v>71600</v>
      </c>
      <c r="D3538" s="5" t="e">
        <f>E3538-(#REF!+#REF!+C3538)</f>
        <v>#REF!</v>
      </c>
      <c r="E3538" s="5">
        <v>376850</v>
      </c>
      <c r="K3538" s="22">
        <v>1949</v>
      </c>
      <c r="L3538" s="6">
        <v>1970</v>
      </c>
      <c r="M3538" s="125">
        <f t="shared" si="93"/>
        <v>21</v>
      </c>
      <c r="N3538" s="18"/>
      <c r="O3538" s="135"/>
      <c r="P3538" s="175">
        <v>14900</v>
      </c>
      <c r="Q3538" s="25">
        <f>178.72/1134.3</f>
        <v>0.15755972846689589</v>
      </c>
      <c r="U3538" s="384">
        <v>0.1</v>
      </c>
      <c r="W3538" s="285">
        <f t="shared" si="94"/>
        <v>2582.4039495724242</v>
      </c>
    </row>
    <row r="3539" spans="1:23" ht="15" customHeight="1">
      <c r="A3539" s="3">
        <v>40861</v>
      </c>
      <c r="B3539" s="9">
        <v>196825</v>
      </c>
      <c r="C3539" s="5">
        <v>70500</v>
      </c>
      <c r="D3539" s="5" t="e">
        <f>E3539-(#REF!+#REF!+C3539)</f>
        <v>#REF!</v>
      </c>
      <c r="E3539" s="5">
        <v>374900</v>
      </c>
      <c r="K3539" s="22">
        <v>1990.5</v>
      </c>
      <c r="L3539" s="6">
        <v>2017</v>
      </c>
      <c r="M3539" s="125">
        <f t="shared" si="93"/>
        <v>26.5</v>
      </c>
      <c r="N3539" s="18"/>
      <c r="O3539" s="135"/>
      <c r="P3539" s="175">
        <v>15500</v>
      </c>
      <c r="Q3539" s="25">
        <f>177.75/1127.3</f>
        <v>0.15767763683136699</v>
      </c>
      <c r="U3539" s="384">
        <v>0.1</v>
      </c>
      <c r="W3539" s="285">
        <f t="shared" si="94"/>
        <v>2688.4037079748073</v>
      </c>
    </row>
    <row r="3540" spans="1:23" ht="15" customHeight="1">
      <c r="A3540" s="3">
        <v>40862</v>
      </c>
      <c r="B3540" s="9">
        <v>196425</v>
      </c>
      <c r="C3540" s="5">
        <v>70450</v>
      </c>
      <c r="D3540" s="5" t="e">
        <f>E3540-(#REF!+#REF!+C3540)</f>
        <v>#REF!</v>
      </c>
      <c r="E3540" s="5">
        <v>375950</v>
      </c>
      <c r="K3540" s="22">
        <v>1983</v>
      </c>
      <c r="L3540" s="6">
        <v>2012</v>
      </c>
      <c r="M3540" s="125">
        <f t="shared" si="93"/>
        <v>29</v>
      </c>
      <c r="N3540" s="18"/>
      <c r="O3540" s="135"/>
      <c r="P3540" s="175">
        <v>15400</v>
      </c>
      <c r="Q3540" s="25">
        <f>176.32/1120.6</f>
        <v>0.15734427985008032</v>
      </c>
      <c r="U3540" s="384">
        <v>0.1</v>
      </c>
      <c r="W3540" s="285">
        <f t="shared" si="94"/>
        <v>2665.4121006603609</v>
      </c>
    </row>
    <row r="3541" spans="1:23" ht="15" customHeight="1">
      <c r="A3541" s="3">
        <v>40863</v>
      </c>
      <c r="B3541" s="9">
        <v>197950</v>
      </c>
      <c r="C3541" s="5">
        <v>75075</v>
      </c>
      <c r="D3541" s="5" t="e">
        <f>E3541-(#REF!+#REF!+C3541)</f>
        <v>#REF!</v>
      </c>
      <c r="E3541" s="5">
        <v>380300</v>
      </c>
      <c r="K3541" s="22">
        <v>1982</v>
      </c>
      <c r="L3541" s="6">
        <v>2005</v>
      </c>
      <c r="M3541" s="125">
        <f t="shared" si="93"/>
        <v>23</v>
      </c>
      <c r="N3541" s="18"/>
      <c r="O3541" s="135"/>
      <c r="P3541" s="175">
        <v>15350</v>
      </c>
      <c r="Q3541" s="25">
        <f>177.43/1126.2</f>
        <v>0.15754750488367963</v>
      </c>
      <c r="U3541" s="384">
        <v>0.1</v>
      </c>
      <c r="W3541" s="285">
        <f t="shared" si="94"/>
        <v>2660.1896199609305</v>
      </c>
    </row>
    <row r="3542" spans="1:23" ht="15" customHeight="1">
      <c r="A3542" s="3">
        <v>40864</v>
      </c>
      <c r="B3542" s="9">
        <v>197700</v>
      </c>
      <c r="C3542" s="5">
        <v>73925</v>
      </c>
      <c r="D3542" s="5" t="e">
        <f>E3542-(#REF!+#REF!+C3542)</f>
        <v>#REF!</v>
      </c>
      <c r="E3542" s="5">
        <v>375800</v>
      </c>
      <c r="K3542" s="22">
        <v>1975</v>
      </c>
      <c r="L3542" s="6">
        <v>2000</v>
      </c>
      <c r="M3542" s="125">
        <f t="shared" si="93"/>
        <v>25</v>
      </c>
      <c r="N3542" s="18"/>
      <c r="O3542" s="135"/>
      <c r="P3542" s="175">
        <v>15350</v>
      </c>
      <c r="Q3542" s="25">
        <f>178.8/1134.5</f>
        <v>0.15760246804759806</v>
      </c>
      <c r="U3542" s="384">
        <v>0.1</v>
      </c>
      <c r="W3542" s="285">
        <f t="shared" si="94"/>
        <v>2661.1176729836934</v>
      </c>
    </row>
    <row r="3543" spans="1:23" ht="15" customHeight="1">
      <c r="A3543" s="3">
        <v>40865</v>
      </c>
      <c r="B3543" s="9">
        <v>197625</v>
      </c>
      <c r="C3543" s="5">
        <v>73325</v>
      </c>
      <c r="D3543" s="5" t="e">
        <f>E3543-(#REF!+#REF!+C3543)</f>
        <v>#REF!</v>
      </c>
      <c r="E3543" s="5">
        <v>374950</v>
      </c>
      <c r="K3543" s="22">
        <v>1996</v>
      </c>
      <c r="L3543" s="6">
        <v>2026</v>
      </c>
      <c r="M3543" s="125">
        <f t="shared" si="93"/>
        <v>30</v>
      </c>
      <c r="N3543" s="18"/>
      <c r="O3543" s="135"/>
      <c r="P3543" s="175">
        <v>15250</v>
      </c>
      <c r="Q3543" s="25">
        <f>178.8/1134.5</f>
        <v>0.15760246804759806</v>
      </c>
      <c r="U3543" s="384">
        <v>0.1</v>
      </c>
      <c r="W3543" s="285">
        <f t="shared" si="94"/>
        <v>2643.7814014984579</v>
      </c>
    </row>
    <row r="3544" spans="1:23" ht="15" customHeight="1">
      <c r="A3544" s="3">
        <v>40868</v>
      </c>
      <c r="B3544" s="9">
        <v>197600</v>
      </c>
      <c r="C3544" s="5">
        <v>72175</v>
      </c>
      <c r="D3544" s="5" t="e">
        <f>E3544-(#REF!+#REF!+C3544)</f>
        <v>#REF!</v>
      </c>
      <c r="E3544" s="5">
        <v>373825</v>
      </c>
      <c r="K3544" s="22">
        <v>2001</v>
      </c>
      <c r="L3544" s="6">
        <v>2026</v>
      </c>
      <c r="M3544" s="125">
        <f t="shared" si="93"/>
        <v>25</v>
      </c>
      <c r="N3544" s="18"/>
      <c r="O3544" s="135"/>
      <c r="P3544" s="175">
        <v>15400</v>
      </c>
      <c r="Q3544" s="25">
        <f>178.77/1136.4</f>
        <v>0.15731256599788807</v>
      </c>
      <c r="U3544" s="384">
        <v>0.1</v>
      </c>
      <c r="W3544" s="285">
        <f t="shared" si="94"/>
        <v>2664.874868004224</v>
      </c>
    </row>
    <row r="3545" spans="1:23" ht="15" customHeight="1">
      <c r="A3545" s="3">
        <v>40869</v>
      </c>
      <c r="B3545" s="9">
        <v>197450</v>
      </c>
      <c r="C3545" s="5">
        <v>71475</v>
      </c>
      <c r="D3545" s="5" t="e">
        <f>E3545-(#REF!+#REF!+C3545)</f>
        <v>#REF!</v>
      </c>
      <c r="E3545" s="5">
        <v>372650</v>
      </c>
      <c r="K3545" s="22">
        <v>1976</v>
      </c>
      <c r="L3545" s="6">
        <v>1999.5</v>
      </c>
      <c r="M3545" s="125">
        <f t="shared" si="93"/>
        <v>23.5</v>
      </c>
      <c r="N3545" s="18"/>
      <c r="O3545" s="135"/>
      <c r="P3545" s="175">
        <v>15350</v>
      </c>
      <c r="Q3545" s="25">
        <f>179.13/1139.6</f>
        <v>0.15718673218673221</v>
      </c>
      <c r="U3545" s="384">
        <v>0.1</v>
      </c>
      <c r="W3545" s="285">
        <f t="shared" si="94"/>
        <v>2654.0979729729734</v>
      </c>
    </row>
    <row r="3546" spans="1:23" ht="15" customHeight="1">
      <c r="A3546" s="3">
        <v>40870</v>
      </c>
      <c r="B3546" s="9">
        <v>197075</v>
      </c>
      <c r="C3546" s="5">
        <v>70400</v>
      </c>
      <c r="D3546" s="5" t="e">
        <f>E3546-(#REF!+#REF!+C3546)</f>
        <v>#REF!</v>
      </c>
      <c r="E3546" s="5">
        <v>371225</v>
      </c>
      <c r="K3546" s="22">
        <v>1957</v>
      </c>
      <c r="L3546" s="6">
        <v>1980</v>
      </c>
      <c r="M3546" s="125">
        <f t="shared" si="93"/>
        <v>23</v>
      </c>
      <c r="N3546" s="18"/>
      <c r="O3546" s="135"/>
      <c r="P3546" s="175">
        <v>15400</v>
      </c>
      <c r="Q3546" s="25">
        <f>180.25/1146.6</f>
        <v>0.15720390720390723</v>
      </c>
      <c r="U3546" s="384">
        <v>0.1</v>
      </c>
      <c r="W3546" s="285">
        <f t="shared" si="94"/>
        <v>2663.0341880341889</v>
      </c>
    </row>
    <row r="3547" spans="1:23" ht="15" customHeight="1">
      <c r="A3547" s="3">
        <v>40871</v>
      </c>
      <c r="B3547" s="9">
        <v>196975</v>
      </c>
      <c r="C3547" s="5">
        <v>69475</v>
      </c>
      <c r="D3547" s="5" t="e">
        <f>E3547-(#REF!+#REF!+C3547)</f>
        <v>#REF!</v>
      </c>
      <c r="E3547" s="5">
        <v>369975</v>
      </c>
      <c r="K3547" s="22">
        <v>1982.5</v>
      </c>
      <c r="L3547" s="6">
        <v>2005</v>
      </c>
      <c r="M3547" s="125">
        <f t="shared" si="93"/>
        <v>22.5</v>
      </c>
      <c r="N3547" s="18"/>
      <c r="O3547" s="135"/>
      <c r="P3547" s="175">
        <v>15200</v>
      </c>
      <c r="Q3547" s="25">
        <f>180.74/1149.2</f>
        <v>0.15727462582666202</v>
      </c>
      <c r="U3547" s="384">
        <v>0.1</v>
      </c>
      <c r="W3547" s="285">
        <f t="shared" si="94"/>
        <v>2629.6317438217889</v>
      </c>
    </row>
    <row r="3548" spans="1:23" ht="15" customHeight="1">
      <c r="A3548" s="3">
        <v>40872</v>
      </c>
      <c r="B3548" s="9">
        <v>196825</v>
      </c>
      <c r="C3548" s="5">
        <v>68925</v>
      </c>
      <c r="D3548" s="5" t="e">
        <f>E3548-(#REF!+#REF!+C3548)</f>
        <v>#REF!</v>
      </c>
      <c r="E3548" s="5">
        <v>375050</v>
      </c>
      <c r="K3548" s="22">
        <v>1975</v>
      </c>
      <c r="L3548" s="6">
        <v>1995.5</v>
      </c>
      <c r="M3548" s="125">
        <f t="shared" si="93"/>
        <v>20.5</v>
      </c>
      <c r="N3548" s="18"/>
      <c r="O3548" s="135"/>
      <c r="P3548" s="175">
        <v>15250</v>
      </c>
      <c r="Q3548" s="25">
        <f>181.88/1157.1</f>
        <v>0.15718606861982543</v>
      </c>
      <c r="U3548" s="384">
        <v>0.1</v>
      </c>
      <c r="W3548" s="285">
        <f t="shared" si="94"/>
        <v>2636.7963010975718</v>
      </c>
    </row>
    <row r="3549" spans="1:23" ht="15" customHeight="1">
      <c r="A3549" s="3">
        <v>40875</v>
      </c>
      <c r="B3549" s="9">
        <v>199625</v>
      </c>
      <c r="C3549" s="5">
        <v>68925</v>
      </c>
      <c r="D3549" s="5" t="e">
        <f>E3549-(#REF!+#REF!+C3549)</f>
        <v>#REF!</v>
      </c>
      <c r="E3549" s="5">
        <v>371975</v>
      </c>
      <c r="K3549" s="22">
        <v>2004</v>
      </c>
      <c r="L3549" s="6">
        <v>2026</v>
      </c>
      <c r="M3549" s="125">
        <f t="shared" si="93"/>
        <v>22</v>
      </c>
      <c r="N3549" s="18"/>
      <c r="O3549" s="135"/>
      <c r="P3549" s="175">
        <v>15450</v>
      </c>
      <c r="Q3549" s="25">
        <f>181.76/1159.9</f>
        <v>0.15670316406586773</v>
      </c>
      <c r="U3549" s="384">
        <v>0.1</v>
      </c>
      <c r="W3549" s="285">
        <f t="shared" si="94"/>
        <v>2663.1702732994222</v>
      </c>
    </row>
    <row r="3550" spans="1:23" ht="15" customHeight="1">
      <c r="A3550" s="3">
        <v>40876</v>
      </c>
      <c r="B3550" s="9">
        <v>199625</v>
      </c>
      <c r="C3550" s="5">
        <v>68875</v>
      </c>
      <c r="D3550" s="5" t="e">
        <f>E3550-(#REF!+#REF!+C3550)</f>
        <v>#REF!</v>
      </c>
      <c r="E3550" s="5">
        <v>371700</v>
      </c>
      <c r="K3550" s="22">
        <v>1999</v>
      </c>
      <c r="L3550" s="6">
        <v>2025</v>
      </c>
      <c r="M3550" s="125">
        <f t="shared" si="93"/>
        <v>26</v>
      </c>
      <c r="N3550" s="18"/>
      <c r="O3550" s="135"/>
      <c r="P3550" s="175">
        <v>15450</v>
      </c>
      <c r="Q3550" s="25">
        <f>180.88/1154.9</f>
        <v>0.15661962074638494</v>
      </c>
      <c r="U3550" s="384">
        <v>0.1</v>
      </c>
      <c r="W3550" s="285">
        <f t="shared" si="94"/>
        <v>2661.7504545848119</v>
      </c>
    </row>
    <row r="3551" spans="1:23" ht="15" customHeight="1" thickBot="1">
      <c r="A3551" s="11">
        <v>40877</v>
      </c>
      <c r="B3551" s="9">
        <v>199625</v>
      </c>
      <c r="C3551" s="13">
        <v>68350</v>
      </c>
      <c r="D3551" s="13" t="e">
        <f>E3551-(#REF!+#REF!+C3551)</f>
        <v>#REF!</v>
      </c>
      <c r="E3551" s="13">
        <v>369825</v>
      </c>
      <c r="F3551" s="12"/>
      <c r="G3551" s="13"/>
      <c r="H3551" s="13"/>
      <c r="I3551" s="119"/>
      <c r="J3551" s="119"/>
      <c r="K3551" s="23">
        <v>1985.5</v>
      </c>
      <c r="L3551" s="14">
        <v>2010</v>
      </c>
      <c r="M3551" s="126">
        <f t="shared" si="93"/>
        <v>24.5</v>
      </c>
      <c r="N3551" s="85">
        <f>AVERAGE(K3530:K3551)</f>
        <v>1982.0454545454545</v>
      </c>
      <c r="O3551" s="143">
        <f>AVERAGE(K3315:K3551)</f>
        <v>2430.6341991341992</v>
      </c>
      <c r="P3551" s="176">
        <v>15350</v>
      </c>
      <c r="Q3551" s="27">
        <f>180.38/1150.3</f>
        <v>0.15681126662609754</v>
      </c>
      <c r="R3551" s="27"/>
      <c r="S3551" s="27"/>
      <c r="T3551" s="27"/>
      <c r="U3551" s="385">
        <v>0.1</v>
      </c>
      <c r="V3551" s="38">
        <f>AVERAGE(P3530:P3551)</f>
        <v>15302.272727272728</v>
      </c>
      <c r="W3551" s="285">
        <f t="shared" si="94"/>
        <v>2647.7582369816569</v>
      </c>
    </row>
    <row r="3552" spans="1:23" ht="15" customHeight="1">
      <c r="A3552" s="29">
        <v>40878</v>
      </c>
      <c r="B3552" s="9">
        <v>198775</v>
      </c>
      <c r="C3552" s="31">
        <v>68100</v>
      </c>
      <c r="D3552" s="31" t="e">
        <f>E3552-(#REF!+#REF!+C3552)</f>
        <v>#REF!</v>
      </c>
      <c r="E3552" s="31">
        <v>369250</v>
      </c>
      <c r="F3552" s="30"/>
      <c r="G3552" s="31"/>
      <c r="H3552" s="31"/>
      <c r="I3552" s="123"/>
      <c r="J3552" s="123"/>
      <c r="K3552" s="32">
        <v>2062</v>
      </c>
      <c r="L3552" s="33">
        <v>2062</v>
      </c>
      <c r="M3552" s="125">
        <f t="shared" si="93"/>
        <v>0</v>
      </c>
      <c r="N3552" s="20"/>
      <c r="O3552" s="138"/>
      <c r="P3552" s="178">
        <v>15750</v>
      </c>
      <c r="Q3552" s="34">
        <f>178.81/1140.6</f>
        <v>0.15676836752586359</v>
      </c>
      <c r="R3552" s="34"/>
      <c r="S3552" s="34"/>
      <c r="T3552" s="34"/>
      <c r="U3552" s="386">
        <v>0.1</v>
      </c>
      <c r="V3552" s="37"/>
      <c r="W3552" s="285">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25">
        <f t="shared" si="93"/>
        <v>13.5</v>
      </c>
      <c r="N3553" s="18"/>
      <c r="O3553" s="135"/>
      <c r="P3553" s="175">
        <v>15650</v>
      </c>
      <c r="Q3553" s="25">
        <f>177/1127.2</f>
        <v>0.15702625975869411</v>
      </c>
      <c r="U3553" s="384">
        <v>0.1</v>
      </c>
      <c r="W3553" s="285">
        <f t="shared" si="95"/>
        <v>2703.207061745919</v>
      </c>
    </row>
    <row r="3554" spans="1:23" ht="15" customHeight="1">
      <c r="A3554" s="3">
        <v>40882</v>
      </c>
      <c r="B3554" s="9">
        <v>196175</v>
      </c>
      <c r="C3554" s="5">
        <v>67950</v>
      </c>
      <c r="D3554" s="5" t="e">
        <f>E3554-(#REF!+#REF!+C3554)</f>
        <v>#REF!</v>
      </c>
      <c r="E3554" s="5">
        <v>366375</v>
      </c>
      <c r="K3554" s="22">
        <v>2077</v>
      </c>
      <c r="L3554" s="6">
        <v>2095.5</v>
      </c>
      <c r="M3554" s="125">
        <f t="shared" si="93"/>
        <v>18.5</v>
      </c>
      <c r="N3554" s="18"/>
      <c r="O3554" s="135"/>
      <c r="P3554" s="175">
        <v>15600</v>
      </c>
      <c r="Q3554" s="25">
        <f>177.3/1127.7</f>
        <v>0.15722266560255388</v>
      </c>
      <c r="U3554" s="384">
        <v>0.1</v>
      </c>
      <c r="W3554" s="285">
        <f t="shared" si="95"/>
        <v>2697.9409417398247</v>
      </c>
    </row>
    <row r="3555" spans="1:23" ht="15" customHeight="1">
      <c r="A3555" s="3">
        <v>40883</v>
      </c>
      <c r="B3555" s="9">
        <v>195575</v>
      </c>
      <c r="C3555" s="5">
        <v>67900</v>
      </c>
      <c r="D3555" s="5" t="e">
        <f>E3555-(#REF!+#REF!+C3555)</f>
        <v>#REF!</v>
      </c>
      <c r="E3555" s="5">
        <v>365225</v>
      </c>
      <c r="K3555" s="22">
        <v>2063.5</v>
      </c>
      <c r="L3555" s="6">
        <v>2084</v>
      </c>
      <c r="M3555" s="125">
        <f t="shared" si="93"/>
        <v>20.5</v>
      </c>
      <c r="N3555" s="18"/>
      <c r="O3555" s="135"/>
      <c r="P3555" s="175">
        <v>15550</v>
      </c>
      <c r="Q3555" s="25">
        <f>177.61/1130.3</f>
        <v>0.15713527382110945</v>
      </c>
      <c r="U3555" s="384">
        <v>0.1</v>
      </c>
      <c r="W3555" s="285">
        <f t="shared" si="95"/>
        <v>2687.7988587100772</v>
      </c>
    </row>
    <row r="3556" spans="1:23" ht="15" customHeight="1">
      <c r="A3556" s="3">
        <v>40884</v>
      </c>
      <c r="B3556" s="9">
        <v>195225</v>
      </c>
      <c r="C3556" s="5">
        <v>67250</v>
      </c>
      <c r="D3556" s="5" t="e">
        <f>E3556-(#REF!+#REF!+C3556)</f>
        <v>#REF!</v>
      </c>
      <c r="E3556" s="5">
        <v>364400</v>
      </c>
      <c r="K3556" s="22">
        <v>2100</v>
      </c>
      <c r="L3556" s="6">
        <v>2120</v>
      </c>
      <c r="M3556" s="125">
        <f t="shared" si="93"/>
        <v>20</v>
      </c>
      <c r="N3556" s="18"/>
      <c r="O3556" s="135"/>
      <c r="P3556" s="175">
        <v>15650</v>
      </c>
      <c r="Q3556" s="25">
        <f>177.73/1131.2</f>
        <v>0.15711633663366334</v>
      </c>
      <c r="U3556" s="384">
        <v>0.1</v>
      </c>
      <c r="W3556" s="285">
        <f t="shared" si="95"/>
        <v>2704.7577351485143</v>
      </c>
    </row>
    <row r="3557" spans="1:23" ht="15" customHeight="1">
      <c r="A3557" s="3">
        <v>40885</v>
      </c>
      <c r="B3557" s="9">
        <v>195225</v>
      </c>
      <c r="C3557" s="5">
        <v>66750</v>
      </c>
      <c r="D3557" s="5" t="e">
        <f>E3557-(#REF!+#REF!+C3557)</f>
        <v>#REF!</v>
      </c>
      <c r="E3557" s="5">
        <v>363325</v>
      </c>
      <c r="K3557" s="22">
        <v>2119</v>
      </c>
      <c r="L3557" s="6">
        <v>2136</v>
      </c>
      <c r="M3557" s="125">
        <f t="shared" si="93"/>
        <v>17</v>
      </c>
      <c r="N3557" s="18"/>
      <c r="O3557" s="135"/>
      <c r="P3557" s="175">
        <v>15725</v>
      </c>
      <c r="Q3557" s="25">
        <f>177.06/1126.8</f>
        <v>0.1571352502662407</v>
      </c>
      <c r="U3557" s="384">
        <v>0.1</v>
      </c>
      <c r="W3557" s="285">
        <f t="shared" si="95"/>
        <v>2718.0469914802984</v>
      </c>
    </row>
    <row r="3558" spans="1:23" ht="15" customHeight="1">
      <c r="A3558" s="3">
        <v>40886</v>
      </c>
      <c r="B3558" s="9">
        <v>195100</v>
      </c>
      <c r="C3558" s="5">
        <v>66225</v>
      </c>
      <c r="D3558" s="5" t="e">
        <f>E3558-(#REF!+#REF!+C3558)</f>
        <v>#REF!</v>
      </c>
      <c r="E3558" s="5">
        <v>361700</v>
      </c>
      <c r="K3558" s="22">
        <v>2092.5</v>
      </c>
      <c r="L3558" s="6">
        <v>2110</v>
      </c>
      <c r="M3558" s="125">
        <f t="shared" si="93"/>
        <v>17.5</v>
      </c>
      <c r="N3558" s="18"/>
      <c r="O3558" s="135"/>
      <c r="P3558" s="175">
        <v>15600</v>
      </c>
      <c r="Q3558" s="25">
        <f>177.74/1130.9</f>
        <v>0.15716685825448756</v>
      </c>
      <c r="U3558" s="384">
        <v>0.1</v>
      </c>
      <c r="W3558" s="285">
        <f t="shared" si="95"/>
        <v>2696.9832876470068</v>
      </c>
    </row>
    <row r="3559" spans="1:23" ht="15" customHeight="1">
      <c r="A3559" s="3">
        <v>40889</v>
      </c>
      <c r="B3559" s="9">
        <v>193625</v>
      </c>
      <c r="C3559" s="5">
        <v>65800</v>
      </c>
      <c r="D3559" s="5" t="e">
        <f>E3559-(#REF!+#REF!+C3559)</f>
        <v>#REF!</v>
      </c>
      <c r="E3559" s="5">
        <v>360300</v>
      </c>
      <c r="K3559" s="22">
        <v>2088</v>
      </c>
      <c r="L3559" s="6">
        <v>2109</v>
      </c>
      <c r="M3559" s="125">
        <f t="shared" si="93"/>
        <v>21</v>
      </c>
      <c r="N3559" s="18"/>
      <c r="O3559" s="135"/>
      <c r="P3559" s="175">
        <v>15600</v>
      </c>
      <c r="Q3559" s="25">
        <f>179.48/1142.3</f>
        <v>0.15712159677842949</v>
      </c>
      <c r="U3559" s="384">
        <v>0.1</v>
      </c>
      <c r="W3559" s="285">
        <f t="shared" si="95"/>
        <v>2696.2066007178501</v>
      </c>
    </row>
    <row r="3560" spans="1:23" ht="15" customHeight="1">
      <c r="A3560" s="3">
        <v>40890</v>
      </c>
      <c r="B3560" s="9">
        <v>192425</v>
      </c>
      <c r="C3560" s="5">
        <v>65600</v>
      </c>
      <c r="D3560" s="5" t="e">
        <f>E3560-(#REF!+#REF!+C3560)</f>
        <v>#REF!</v>
      </c>
      <c r="E3560" s="5">
        <v>358900</v>
      </c>
      <c r="K3560" s="22">
        <v>2077</v>
      </c>
      <c r="L3560" s="6">
        <v>2095.5</v>
      </c>
      <c r="M3560" s="125">
        <f t="shared" si="93"/>
        <v>18.5</v>
      </c>
      <c r="N3560" s="18"/>
      <c r="O3560" s="135"/>
      <c r="P3560" s="175">
        <v>15500</v>
      </c>
      <c r="Q3560" s="25">
        <f>180.01/1145</f>
        <v>0.15721397379912663</v>
      </c>
      <c r="U3560" s="384">
        <v>0.1</v>
      </c>
      <c r="W3560" s="285">
        <f t="shared" si="95"/>
        <v>2680.4982532751092</v>
      </c>
    </row>
    <row r="3561" spans="1:23" ht="15" customHeight="1">
      <c r="A3561" s="3">
        <v>40891</v>
      </c>
      <c r="B3561" s="9">
        <v>191800</v>
      </c>
      <c r="C3561" s="5">
        <v>65500</v>
      </c>
      <c r="D3561" s="5" t="e">
        <f>E3561-(#REF!+#REF!+C3561)</f>
        <v>#REF!</v>
      </c>
      <c r="E3561" s="5">
        <v>360325</v>
      </c>
      <c r="K3561" s="22">
        <v>2017</v>
      </c>
      <c r="L3561" s="6">
        <v>2037</v>
      </c>
      <c r="M3561" s="125">
        <f t="shared" si="93"/>
        <v>20</v>
      </c>
      <c r="N3561" s="18"/>
      <c r="O3561" s="135"/>
      <c r="P3561" s="175">
        <v>15350</v>
      </c>
      <c r="Q3561" s="25">
        <f>181.51/1155.4</f>
        <v>0.15709710922624198</v>
      </c>
      <c r="U3561" s="384">
        <v>0.1</v>
      </c>
      <c r="W3561" s="285">
        <f t="shared" si="95"/>
        <v>2652.5846892850959</v>
      </c>
    </row>
    <row r="3562" spans="1:23" ht="15" customHeight="1">
      <c r="A3562" s="3">
        <v>40892</v>
      </c>
      <c r="B3562" s="9">
        <v>192475</v>
      </c>
      <c r="C3562" s="5">
        <v>65450</v>
      </c>
      <c r="D3562" s="5" t="e">
        <f>E3562-(#REF!+#REF!+C3562)</f>
        <v>#REF!</v>
      </c>
      <c r="E3562" s="5">
        <v>359650</v>
      </c>
      <c r="K3562" s="22">
        <v>1980</v>
      </c>
      <c r="L3562" s="6">
        <v>1990.5</v>
      </c>
      <c r="M3562" s="125">
        <f t="shared" si="93"/>
        <v>10.5</v>
      </c>
      <c r="N3562" s="18"/>
      <c r="O3562" s="135"/>
      <c r="P3562" s="175">
        <v>15150</v>
      </c>
      <c r="Q3562" s="25">
        <f>181.83/1158.5</f>
        <v>0.15695295640914977</v>
      </c>
      <c r="U3562" s="384">
        <v>0.1</v>
      </c>
      <c r="W3562" s="285">
        <f t="shared" si="95"/>
        <v>2615.621018558481</v>
      </c>
    </row>
    <row r="3563" spans="1:23" ht="15" customHeight="1">
      <c r="A3563" s="3">
        <v>40893</v>
      </c>
      <c r="B3563" s="9">
        <v>191975</v>
      </c>
      <c r="C3563" s="5">
        <v>65275</v>
      </c>
      <c r="D3563" s="5" t="e">
        <f>E3563-(#REF!+#REF!+C3563)</f>
        <v>#REF!</v>
      </c>
      <c r="E3563" s="5">
        <v>358075</v>
      </c>
      <c r="K3563" s="22">
        <v>1980</v>
      </c>
      <c r="L3563" s="6">
        <v>2000</v>
      </c>
      <c r="M3563" s="125">
        <f t="shared" si="93"/>
        <v>20</v>
      </c>
      <c r="N3563" s="18"/>
      <c r="O3563" s="135"/>
      <c r="P3563" s="175">
        <v>15200</v>
      </c>
      <c r="Q3563" s="25">
        <f>182.22/1161.4</f>
        <v>0.15689684863096262</v>
      </c>
      <c r="U3563" s="384">
        <v>0.1</v>
      </c>
      <c r="W3563" s="285">
        <f t="shared" si="95"/>
        <v>2623.3153091096951</v>
      </c>
    </row>
    <row r="3564" spans="1:23" ht="15" customHeight="1">
      <c r="A3564" s="3">
        <v>40896</v>
      </c>
      <c r="B3564" s="9">
        <v>190850</v>
      </c>
      <c r="C3564" s="5">
        <v>65075</v>
      </c>
      <c r="D3564" s="5" t="e">
        <f>E3564-(#REF!+#REF!+C3564)</f>
        <v>#REF!</v>
      </c>
      <c r="E3564" s="5">
        <v>362650</v>
      </c>
      <c r="K3564" s="22">
        <v>1937.5</v>
      </c>
      <c r="L3564" s="6">
        <v>1954</v>
      </c>
      <c r="M3564" s="125">
        <f t="shared" si="93"/>
        <v>16.5</v>
      </c>
      <c r="N3564" s="18"/>
      <c r="O3564" s="135"/>
      <c r="P3564" s="175">
        <v>15150</v>
      </c>
      <c r="Q3564" s="25">
        <f>182.11/1156.5</f>
        <v>0.15746649373108518</v>
      </c>
      <c r="U3564" s="384">
        <v>0.1</v>
      </c>
      <c r="W3564" s="285">
        <f t="shared" si="95"/>
        <v>2624.1791180285345</v>
      </c>
    </row>
    <row r="3565" spans="1:23" ht="15" customHeight="1">
      <c r="A3565" s="3">
        <v>40897</v>
      </c>
      <c r="B3565" s="9">
        <v>195600</v>
      </c>
      <c r="C3565" s="5">
        <v>64950</v>
      </c>
      <c r="D3565" s="5" t="e">
        <f>E3565-(#REF!+#REF!+C3565)</f>
        <v>#REF!</v>
      </c>
      <c r="E3565" s="5">
        <v>361075</v>
      </c>
      <c r="K3565" s="22">
        <v>1933</v>
      </c>
      <c r="L3565" s="6">
        <v>1952</v>
      </c>
      <c r="M3565" s="125">
        <f t="shared" si="93"/>
        <v>19</v>
      </c>
      <c r="N3565" s="18"/>
      <c r="O3565" s="135"/>
      <c r="P3565" s="175">
        <v>15150</v>
      </c>
      <c r="Q3565" s="25">
        <f>184.53/1169.5</f>
        <v>0.15778537836682344</v>
      </c>
      <c r="U3565" s="384">
        <v>0.1</v>
      </c>
      <c r="W3565" s="285">
        <f t="shared" si="95"/>
        <v>2629.4933304831125</v>
      </c>
    </row>
    <row r="3566" spans="1:23" ht="15" customHeight="1">
      <c r="A3566" s="3">
        <v>40898</v>
      </c>
      <c r="B3566" s="9">
        <v>194650</v>
      </c>
      <c r="C3566" s="5">
        <v>64800</v>
      </c>
      <c r="D3566" s="5" t="e">
        <f>E3566-(#REF!+#REF!+C3566)</f>
        <v>#REF!</v>
      </c>
      <c r="E3566" s="5">
        <v>358450</v>
      </c>
      <c r="K3566" s="22">
        <v>1933.5</v>
      </c>
      <c r="L3566" s="6">
        <v>1961</v>
      </c>
      <c r="M3566" s="125">
        <f t="shared" si="93"/>
        <v>27.5</v>
      </c>
      <c r="N3566" s="18"/>
      <c r="O3566" s="135"/>
      <c r="P3566" s="175">
        <v>15250</v>
      </c>
      <c r="Q3566" s="25">
        <f>183.89/1167.1</f>
        <v>0.15756147716562419</v>
      </c>
      <c r="U3566" s="384">
        <v>0.1</v>
      </c>
      <c r="W3566" s="285">
        <f t="shared" si="95"/>
        <v>2643.0937794533456</v>
      </c>
    </row>
    <row r="3567" spans="1:23" ht="15" customHeight="1">
      <c r="A3567" s="3">
        <v>40899</v>
      </c>
      <c r="B3567" s="9">
        <v>192300</v>
      </c>
      <c r="C3567" s="5">
        <v>64725</v>
      </c>
      <c r="D3567" s="5" t="e">
        <f>E3567-(#REF!+#REF!+C3567)</f>
        <v>#REF!</v>
      </c>
      <c r="E3567" s="5">
        <v>357775</v>
      </c>
      <c r="K3567" s="22">
        <v>1955.5</v>
      </c>
      <c r="L3567" s="6">
        <v>1976</v>
      </c>
      <c r="M3567" s="125">
        <f t="shared" si="93"/>
        <v>20.5</v>
      </c>
      <c r="N3567" s="18"/>
      <c r="O3567" s="135"/>
      <c r="P3567" s="175">
        <v>15200</v>
      </c>
      <c r="Q3567" s="25">
        <f>181.56/1150.9</f>
        <v>0.15775480059084193</v>
      </c>
      <c r="U3567" s="384">
        <v>0.1</v>
      </c>
      <c r="W3567" s="285">
        <f t="shared" si="95"/>
        <v>2637.6602658788775</v>
      </c>
    </row>
    <row r="3568" spans="1:23" ht="15" customHeight="1">
      <c r="A3568" s="3">
        <v>40900</v>
      </c>
      <c r="B3568" s="9">
        <v>190600</v>
      </c>
      <c r="C3568" s="5">
        <v>64625</v>
      </c>
      <c r="D3568" s="5" t="e">
        <f>E3568-(#REF!+#REF!+C3568)</f>
        <v>#REF!</v>
      </c>
      <c r="E3568" s="5">
        <v>356225</v>
      </c>
      <c r="K3568" s="22">
        <v>1986</v>
      </c>
      <c r="L3568" s="6">
        <v>2010</v>
      </c>
      <c r="M3568" s="125">
        <f t="shared" si="93"/>
        <v>24</v>
      </c>
      <c r="N3568" s="18"/>
      <c r="O3568" s="135"/>
      <c r="P3568" s="175">
        <v>15300</v>
      </c>
      <c r="Q3568" s="25">
        <f>182.38/1156.2</f>
        <v>0.15774087528109323</v>
      </c>
      <c r="U3568" s="384">
        <v>0.1</v>
      </c>
      <c r="W3568" s="285">
        <f t="shared" si="95"/>
        <v>2654.778930980799</v>
      </c>
    </row>
    <row r="3569" spans="1:23" ht="15" customHeight="1">
      <c r="A3569" s="3">
        <v>40903</v>
      </c>
      <c r="B3569" s="9">
        <v>0</v>
      </c>
      <c r="C3569" s="24"/>
      <c r="D3569" s="24"/>
      <c r="E3569" s="24"/>
      <c r="F3569" s="1318" t="s">
        <v>38</v>
      </c>
      <c r="G3569" s="1318"/>
      <c r="H3569" s="1318"/>
      <c r="I3569" s="1318"/>
      <c r="J3569" s="5"/>
      <c r="K3569" s="24"/>
      <c r="L3569" s="24"/>
      <c r="M3569" s="24"/>
      <c r="N3569" s="18"/>
      <c r="O3569" s="135"/>
      <c r="P3569" s="207"/>
      <c r="Q3569" s="1363" t="s">
        <v>41</v>
      </c>
      <c r="R3569" s="1363"/>
      <c r="S3569" s="1363"/>
      <c r="T3569" s="1363"/>
      <c r="U3569" s="1363"/>
      <c r="W3569" s="288"/>
    </row>
    <row r="3570" spans="1:23" ht="15" customHeight="1">
      <c r="A3570" s="3">
        <v>40904</v>
      </c>
      <c r="B3570" s="9">
        <v>0</v>
      </c>
      <c r="C3570" s="24"/>
      <c r="D3570" s="24"/>
      <c r="E3570" s="24"/>
      <c r="F3570" s="1318"/>
      <c r="G3570" s="1318"/>
      <c r="H3570" s="1318"/>
      <c r="I3570" s="1318"/>
      <c r="J3570" s="5"/>
      <c r="K3570" s="24"/>
      <c r="L3570" s="24"/>
      <c r="M3570" s="24"/>
      <c r="N3570" s="18"/>
      <c r="O3570" s="135"/>
      <c r="P3570" s="207"/>
      <c r="Q3570" s="1363"/>
      <c r="R3570" s="1363"/>
      <c r="S3570" s="1363"/>
      <c r="T3570" s="1363"/>
      <c r="U3570" s="1363"/>
      <c r="W3570" s="288"/>
    </row>
    <row r="3571" spans="1:23" ht="15" customHeight="1">
      <c r="A3571" s="3">
        <v>40905</v>
      </c>
      <c r="B3571" s="9">
        <v>189350</v>
      </c>
      <c r="C3571" s="5">
        <v>64725</v>
      </c>
      <c r="D3571" s="5" t="e">
        <f>E3571-(#REF!+#REF!+C3571)</f>
        <v>#REF!</v>
      </c>
      <c r="E3571" s="5">
        <v>356175</v>
      </c>
      <c r="K3571" s="22">
        <v>1950.5</v>
      </c>
      <c r="L3571" s="6">
        <v>1977</v>
      </c>
      <c r="M3571" s="125">
        <f t="shared" ref="M3571:M3597" si="96">L3571-K3571</f>
        <v>26.5</v>
      </c>
      <c r="N3571" s="18"/>
      <c r="O3571" s="135"/>
      <c r="P3571" s="175">
        <v>15250</v>
      </c>
      <c r="Q3571" s="25">
        <f>182.92/1156.4</f>
        <v>0.1581805603597371</v>
      </c>
      <c r="U3571" s="384">
        <v>0.1</v>
      </c>
      <c r="W3571" s="285">
        <f>(P3571*Q3571)*(1+U3571)</f>
        <v>2653.47890003459</v>
      </c>
    </row>
    <row r="3572" spans="1:23" ht="15" customHeight="1">
      <c r="A3572" s="3">
        <v>40906</v>
      </c>
      <c r="B3572" s="9">
        <v>188400</v>
      </c>
      <c r="C3572" s="5">
        <v>64625</v>
      </c>
      <c r="D3572" s="5" t="e">
        <f>E3572-(#REF!+#REF!+C3572)</f>
        <v>#REF!</v>
      </c>
      <c r="E3572" s="5">
        <v>353250</v>
      </c>
      <c r="K3572" s="22">
        <v>1945</v>
      </c>
      <c r="L3572" s="6">
        <v>1964</v>
      </c>
      <c r="M3572" s="125">
        <f t="shared" si="96"/>
        <v>19</v>
      </c>
      <c r="N3572" s="18"/>
      <c r="O3572" s="135"/>
      <c r="P3572" s="175">
        <v>15100</v>
      </c>
      <c r="Q3572" s="25">
        <f>183.09/1157.4</f>
        <v>0.15819077242094348</v>
      </c>
      <c r="U3572" s="384">
        <v>0.1</v>
      </c>
      <c r="W3572" s="285">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19"/>
      <c r="J3573" s="119"/>
      <c r="K3573" s="23">
        <v>1980</v>
      </c>
      <c r="L3573" s="14">
        <v>2003</v>
      </c>
      <c r="M3573" s="125">
        <f t="shared" si="96"/>
        <v>23</v>
      </c>
      <c r="N3573" s="85">
        <f>AVERAGE(K3552:K3573)</f>
        <v>2018.9749999999999</v>
      </c>
      <c r="O3573" s="143">
        <f>AVERAGE(K3315:K3573)</f>
        <v>2397.8326693227091</v>
      </c>
      <c r="P3573" s="176">
        <v>15200</v>
      </c>
      <c r="Q3573" s="27">
        <f>182.51/1153.3</f>
        <v>0.15825023844619787</v>
      </c>
      <c r="R3573" s="27"/>
      <c r="S3573" s="27"/>
      <c r="T3573" s="27"/>
      <c r="U3573" s="385">
        <v>0.1</v>
      </c>
      <c r="V3573" s="38">
        <f>AVERAGE(P3552:P3573)</f>
        <v>15396.25</v>
      </c>
      <c r="W3573" s="285">
        <f>(P3573*Q3573)*(1+U3573)</f>
        <v>2645.9439868204286</v>
      </c>
    </row>
    <row r="3574" spans="1:23" ht="15" customHeight="1">
      <c r="A3574" s="29">
        <v>40910</v>
      </c>
      <c r="B3574" s="9">
        <v>0</v>
      </c>
      <c r="C3574" s="210"/>
      <c r="D3574" s="210"/>
      <c r="E3574" s="210"/>
      <c r="F3574" s="1328" t="s">
        <v>38</v>
      </c>
      <c r="G3574" s="1328"/>
      <c r="H3574" s="1328"/>
      <c r="I3574" s="1328"/>
      <c r="J3574" s="31"/>
      <c r="K3574" s="210"/>
      <c r="L3574" s="210"/>
      <c r="M3574" s="210"/>
      <c r="N3574" s="20"/>
      <c r="P3574" s="208"/>
      <c r="Q3574" s="1362" t="s">
        <v>41</v>
      </c>
      <c r="R3574" s="1362"/>
      <c r="S3574" s="1362"/>
      <c r="T3574" s="1362"/>
      <c r="U3574" s="1362"/>
      <c r="V3574" s="37"/>
      <c r="W3574" s="287"/>
    </row>
    <row r="3575" spans="1:23" ht="15" customHeight="1">
      <c r="A3575" s="3">
        <v>40911</v>
      </c>
      <c r="B3575" s="9">
        <v>186600</v>
      </c>
      <c r="C3575" s="5">
        <v>64725</v>
      </c>
      <c r="D3575" s="5" t="e">
        <f>E3575-(#REF!+#REF!+C3575)</f>
        <v>#REF!</v>
      </c>
      <c r="E3575" s="5">
        <v>351725</v>
      </c>
      <c r="F3575" s="4">
        <v>150</v>
      </c>
      <c r="G3575" s="5">
        <v>1500</v>
      </c>
      <c r="H3575" s="5">
        <v>28750</v>
      </c>
      <c r="I3575" s="118">
        <f t="shared" ref="I3575:I3595" si="97">H3575/E3575</f>
        <v>8.1739995735304577E-2</v>
      </c>
      <c r="K3575" s="22">
        <v>1994.5</v>
      </c>
      <c r="L3575" s="6">
        <v>2016</v>
      </c>
      <c r="M3575" s="125">
        <f t="shared" si="96"/>
        <v>21.5</v>
      </c>
      <c r="N3575" s="18"/>
      <c r="O3575" s="135" t="s">
        <v>42</v>
      </c>
      <c r="P3575" s="207"/>
      <c r="Q3575" s="1363"/>
      <c r="R3575" s="1363"/>
      <c r="S3575" s="1363"/>
      <c r="T3575" s="1363"/>
      <c r="U3575" s="1363"/>
      <c r="W3575" s="288"/>
    </row>
    <row r="3576" spans="1:23" ht="15" customHeight="1">
      <c r="A3576" s="3">
        <v>40912</v>
      </c>
      <c r="B3576" s="9">
        <v>185350</v>
      </c>
      <c r="C3576" s="5">
        <v>64725</v>
      </c>
      <c r="D3576" s="5" t="e">
        <f>E3576-(#REF!+#REF!+C3576)</f>
        <v>#REF!</v>
      </c>
      <c r="E3576" s="5">
        <v>353075</v>
      </c>
      <c r="F3576" s="4">
        <v>2725</v>
      </c>
      <c r="G3576" s="5">
        <v>1375</v>
      </c>
      <c r="H3576" s="5">
        <v>27775</v>
      </c>
      <c r="I3576" s="118">
        <f t="shared" si="97"/>
        <v>7.8666005806131839E-2</v>
      </c>
      <c r="K3576" s="22">
        <v>2043</v>
      </c>
      <c r="L3576" s="6">
        <v>2067</v>
      </c>
      <c r="M3576" s="125">
        <f t="shared" si="96"/>
        <v>24</v>
      </c>
      <c r="N3576" s="18"/>
      <c r="O3576" s="135"/>
      <c r="P3576" s="175">
        <v>15300</v>
      </c>
      <c r="Q3576" s="25">
        <f>182.86/1150.9</f>
        <v>0.15888435137718307</v>
      </c>
      <c r="U3576" s="384">
        <v>0.1</v>
      </c>
      <c r="W3576" s="285">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18">
        <f t="shared" si="97"/>
        <v>7.5458291885746764E-2</v>
      </c>
      <c r="K3577" s="22">
        <v>2015.5</v>
      </c>
      <c r="L3577" s="6">
        <v>2038</v>
      </c>
      <c r="M3577" s="125">
        <f t="shared" si="96"/>
        <v>22.5</v>
      </c>
      <c r="N3577" s="18"/>
      <c r="O3577" s="135"/>
      <c r="P3577" s="175">
        <v>15300</v>
      </c>
      <c r="Q3577" s="25">
        <f>182.29/1147.4</f>
        <v>0.15887223287432453</v>
      </c>
      <c r="U3577" s="384">
        <v>0.1</v>
      </c>
      <c r="W3577" s="285">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18">
        <f t="shared" si="97"/>
        <v>6.9544707311843326E-2</v>
      </c>
      <c r="K3578" s="22">
        <v>1975.5</v>
      </c>
      <c r="L3578" s="6">
        <v>1995.5</v>
      </c>
      <c r="M3578" s="125">
        <f t="shared" si="96"/>
        <v>20</v>
      </c>
      <c r="N3578" s="18"/>
      <c r="O3578" s="135"/>
      <c r="P3578" s="175">
        <v>15200</v>
      </c>
      <c r="Q3578" s="25">
        <f>182.54/1150.3</f>
        <v>0.15868903764235417</v>
      </c>
      <c r="U3578" s="384">
        <v>0.1</v>
      </c>
      <c r="W3578" s="285">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18">
        <f t="shared" si="97"/>
        <v>6.6547915924474524E-2</v>
      </c>
      <c r="K3579" s="22">
        <v>1942.5</v>
      </c>
      <c r="L3579" s="6">
        <v>1963.5</v>
      </c>
      <c r="M3579" s="125">
        <f t="shared" si="96"/>
        <v>21</v>
      </c>
      <c r="N3579" s="18"/>
      <c r="O3579" s="135"/>
      <c r="P3579" s="175">
        <v>15200</v>
      </c>
      <c r="Q3579" s="25">
        <f>183.6/1158.4</f>
        <v>0.15849447513812154</v>
      </c>
      <c r="U3579" s="384">
        <v>0.1</v>
      </c>
      <c r="W3579" s="285">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18">
        <f t="shared" si="97"/>
        <v>6.5682604703722017E-2</v>
      </c>
      <c r="K3580" s="22">
        <v>1999</v>
      </c>
      <c r="L3580" s="6">
        <v>2027</v>
      </c>
      <c r="M3580" s="125">
        <f t="shared" si="96"/>
        <v>28</v>
      </c>
      <c r="N3580" s="18"/>
      <c r="O3580" s="135"/>
      <c r="P3580" s="175">
        <v>15200</v>
      </c>
      <c r="Q3580" s="25">
        <f>184.38/1164.3</f>
        <v>0.15836124710126256</v>
      </c>
      <c r="U3580" s="384">
        <v>0.1</v>
      </c>
      <c r="W3580" s="285">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18">
        <f t="shared" si="97"/>
        <v>9.1198303287380697E-2</v>
      </c>
      <c r="K3581" s="22">
        <v>1968.5</v>
      </c>
      <c r="L3581" s="6">
        <v>1997</v>
      </c>
      <c r="M3581" s="125">
        <f t="shared" si="96"/>
        <v>28.5</v>
      </c>
      <c r="N3581" s="18"/>
      <c r="O3581" s="135"/>
      <c r="P3581" s="175">
        <v>15330</v>
      </c>
      <c r="Q3581" s="25">
        <f>183.09/1156.2</f>
        <v>0.15835495588998444</v>
      </c>
      <c r="U3581" s="384">
        <v>0.1</v>
      </c>
      <c r="W3581" s="285">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18">
        <f t="shared" si="97"/>
        <v>8.939458386502197E-2</v>
      </c>
      <c r="K3582" s="22">
        <v>2000</v>
      </c>
      <c r="L3582" s="6">
        <v>2022</v>
      </c>
      <c r="M3582" s="125">
        <f t="shared" si="96"/>
        <v>22</v>
      </c>
      <c r="N3582" s="18"/>
      <c r="O3582" s="135"/>
      <c r="P3582" s="175">
        <v>15300</v>
      </c>
      <c r="Q3582" s="25">
        <f>183.59/1159.4</f>
        <v>0.1583491461100569</v>
      </c>
      <c r="U3582" s="384">
        <v>0.1</v>
      </c>
      <c r="W3582" s="285">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18">
        <f t="shared" si="97"/>
        <v>8.9007092198581564E-2</v>
      </c>
      <c r="K3583" s="22">
        <v>2004</v>
      </c>
      <c r="L3583" s="6">
        <v>2022.5</v>
      </c>
      <c r="M3583" s="125">
        <f t="shared" si="96"/>
        <v>18.5</v>
      </c>
      <c r="N3583" s="18"/>
      <c r="O3583" s="135"/>
      <c r="P3583" s="175">
        <v>15350</v>
      </c>
      <c r="Q3583" s="25">
        <f>183.41/1158.8</f>
        <v>0.1582758025543666</v>
      </c>
      <c r="U3583" s="384">
        <v>0.1</v>
      </c>
      <c r="W3583" s="285">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18">
        <f t="shared" si="97"/>
        <v>8.7379329926178306E-2</v>
      </c>
      <c r="K3584" s="22">
        <v>1989</v>
      </c>
      <c r="L3584" s="6">
        <v>2020</v>
      </c>
      <c r="M3584" s="125">
        <f t="shared" si="96"/>
        <v>31</v>
      </c>
      <c r="N3584" s="18"/>
      <c r="O3584" s="135"/>
      <c r="P3584" s="175">
        <v>15350</v>
      </c>
      <c r="Q3584" s="25">
        <f>182.44/1150.6</f>
        <v>0.15856075091256736</v>
      </c>
      <c r="U3584" s="384">
        <v>0.1</v>
      </c>
      <c r="W3584" s="285">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18">
        <f t="shared" si="97"/>
        <v>8.5665456099124113E-2</v>
      </c>
      <c r="K3585" s="22">
        <v>2046</v>
      </c>
      <c r="L3585" s="6">
        <v>2074</v>
      </c>
      <c r="M3585" s="125">
        <f t="shared" si="96"/>
        <v>28</v>
      </c>
      <c r="N3585" s="18"/>
      <c r="O3585" s="135"/>
      <c r="P3585" s="175">
        <v>15500</v>
      </c>
      <c r="Q3585" s="25">
        <f>182.7/1154</f>
        <v>0.15831889081455805</v>
      </c>
      <c r="U3585" s="384">
        <v>0.1</v>
      </c>
      <c r="W3585" s="285">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18">
        <f t="shared" si="97"/>
        <v>8.1019181219582015E-2</v>
      </c>
      <c r="K3586" s="22">
        <v>2092</v>
      </c>
      <c r="L3586" s="6">
        <v>2116</v>
      </c>
      <c r="M3586" s="125">
        <f t="shared" si="96"/>
        <v>24</v>
      </c>
      <c r="N3586" s="18"/>
      <c r="O3586" s="135"/>
      <c r="P3586" s="175">
        <v>15600</v>
      </c>
      <c r="Q3586" s="25">
        <f>181.66/1147</f>
        <v>0.15837837837837837</v>
      </c>
      <c r="U3586" s="384">
        <v>0.1</v>
      </c>
      <c r="W3586" s="285">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18">
        <f t="shared" si="97"/>
        <v>0.12696822215860293</v>
      </c>
      <c r="K3587" s="22">
        <v>2131.5</v>
      </c>
      <c r="L3587" s="6">
        <v>2162</v>
      </c>
      <c r="M3587" s="125">
        <f t="shared" si="96"/>
        <v>30.5</v>
      </c>
      <c r="N3587" s="18"/>
      <c r="O3587" s="135"/>
      <c r="P3587" s="175">
        <v>15700</v>
      </c>
      <c r="Q3587" s="25">
        <f>181.1/1143.1</f>
        <v>0.15842883387280204</v>
      </c>
      <c r="U3587" s="384">
        <v>0.1</v>
      </c>
      <c r="W3587" s="285">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18">
        <f t="shared" si="97"/>
        <v>0.12416372922811308</v>
      </c>
      <c r="K3588" s="22">
        <v>2130.5</v>
      </c>
      <c r="L3588" s="6">
        <v>2160</v>
      </c>
      <c r="M3588" s="125">
        <f t="shared" si="96"/>
        <v>29.5</v>
      </c>
      <c r="N3588" s="18"/>
      <c r="O3588" s="135"/>
      <c r="P3588" s="175">
        <v>15850</v>
      </c>
      <c r="Q3588" s="25">
        <f>179.9/1136.4</f>
        <v>0.15830693417810629</v>
      </c>
      <c r="U3588" s="384">
        <v>0.1</v>
      </c>
      <c r="W3588" s="285">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18">
        <f t="shared" si="97"/>
        <v>0.13366086265443247</v>
      </c>
      <c r="K3589" s="22">
        <v>2178</v>
      </c>
      <c r="L3589" s="6">
        <v>2206</v>
      </c>
      <c r="M3589" s="125">
        <f t="shared" si="96"/>
        <v>28</v>
      </c>
      <c r="N3589" s="18"/>
      <c r="O3589" s="135"/>
      <c r="P3589" s="207"/>
      <c r="Q3589" s="1363" t="s">
        <v>41</v>
      </c>
      <c r="R3589" s="1363"/>
      <c r="S3589" s="1363"/>
      <c r="T3589" s="1363"/>
      <c r="U3589" s="1363"/>
      <c r="W3589" s="288"/>
    </row>
    <row r="3590" spans="1:23" ht="15" customHeight="1">
      <c r="A3590" s="3">
        <v>40932</v>
      </c>
      <c r="B3590" s="9">
        <v>182675</v>
      </c>
      <c r="C3590" s="5">
        <v>64875</v>
      </c>
      <c r="D3590" s="5" t="e">
        <f>E3590-(#REF!+#REF!+C3590)</f>
        <v>#REF!</v>
      </c>
      <c r="E3590" s="5">
        <v>345925</v>
      </c>
      <c r="F3590" s="4">
        <v>0</v>
      </c>
      <c r="G3590" s="5">
        <v>100</v>
      </c>
      <c r="H3590" s="5">
        <v>47675</v>
      </c>
      <c r="I3590" s="118">
        <f t="shared" si="97"/>
        <v>0.13781889137818892</v>
      </c>
      <c r="K3590" s="22">
        <v>2216</v>
      </c>
      <c r="L3590" s="6">
        <v>2242</v>
      </c>
      <c r="M3590" s="125">
        <f t="shared" si="96"/>
        <v>26</v>
      </c>
      <c r="N3590" s="18"/>
      <c r="O3590" s="135"/>
      <c r="P3590" s="207"/>
      <c r="Q3590" s="1363"/>
      <c r="R3590" s="1363"/>
      <c r="S3590" s="1363"/>
      <c r="T3590" s="1363"/>
      <c r="U3590" s="1363"/>
      <c r="W3590" s="288"/>
    </row>
    <row r="3591" spans="1:23" ht="15" customHeight="1">
      <c r="A3591" s="3">
        <v>40933</v>
      </c>
      <c r="B3591" s="9">
        <v>182675</v>
      </c>
      <c r="C3591" s="5">
        <v>64875</v>
      </c>
      <c r="D3591" s="5" t="e">
        <f>E3591-(#REF!+#REF!+C3591)</f>
        <v>#REF!</v>
      </c>
      <c r="E3591" s="5">
        <v>345850</v>
      </c>
      <c r="F3591" s="4">
        <v>0</v>
      </c>
      <c r="G3591" s="5">
        <v>75</v>
      </c>
      <c r="H3591" s="5">
        <v>47600</v>
      </c>
      <c r="I3591" s="118">
        <f t="shared" si="97"/>
        <v>0.1376319213531878</v>
      </c>
      <c r="K3591" s="22">
        <v>2196</v>
      </c>
      <c r="L3591" s="6">
        <v>2223</v>
      </c>
      <c r="M3591" s="125">
        <f t="shared" si="96"/>
        <v>27</v>
      </c>
      <c r="N3591" s="18"/>
      <c r="O3591" s="135"/>
      <c r="P3591" s="207"/>
      <c r="Q3591" s="1363"/>
      <c r="R3591" s="1363"/>
      <c r="S3591" s="1363"/>
      <c r="T3591" s="1363"/>
      <c r="U3591" s="1363"/>
      <c r="W3591" s="288"/>
    </row>
    <row r="3592" spans="1:23" ht="15" customHeight="1">
      <c r="A3592" s="3">
        <v>40934</v>
      </c>
      <c r="B3592" s="9">
        <v>182675</v>
      </c>
      <c r="C3592" s="5">
        <v>64875</v>
      </c>
      <c r="D3592" s="5" t="e">
        <f>E3592-(#REF!+#REF!+C3592)</f>
        <v>#REF!</v>
      </c>
      <c r="E3592" s="5">
        <v>344525</v>
      </c>
      <c r="F3592" s="4">
        <v>0</v>
      </c>
      <c r="G3592" s="5">
        <v>1325</v>
      </c>
      <c r="H3592" s="5">
        <v>46775</v>
      </c>
      <c r="I3592" s="118">
        <f t="shared" si="97"/>
        <v>0.13576663522240767</v>
      </c>
      <c r="K3592" s="22">
        <v>2277</v>
      </c>
      <c r="L3592" s="6">
        <v>2300</v>
      </c>
      <c r="M3592" s="125">
        <f t="shared" si="96"/>
        <v>23</v>
      </c>
      <c r="N3592" s="18"/>
      <c r="O3592" s="135"/>
      <c r="P3592" s="207"/>
      <c r="Q3592" s="1363"/>
      <c r="R3592" s="1363"/>
      <c r="S3592" s="1363"/>
      <c r="T3592" s="1363"/>
      <c r="U3592" s="1363"/>
      <c r="W3592" s="288"/>
    </row>
    <row r="3593" spans="1:23" ht="15" customHeight="1">
      <c r="A3593" s="3">
        <v>40935</v>
      </c>
      <c r="B3593" s="9">
        <v>181775</v>
      </c>
      <c r="C3593" s="5">
        <v>65075</v>
      </c>
      <c r="D3593" s="5" t="e">
        <f>E3593-(#REF!+#REF!+C3593)</f>
        <v>#REF!</v>
      </c>
      <c r="E3593" s="5">
        <v>343050</v>
      </c>
      <c r="F3593" s="4">
        <v>200</v>
      </c>
      <c r="G3593" s="5">
        <v>1675</v>
      </c>
      <c r="H3593" s="5">
        <v>47975</v>
      </c>
      <c r="I3593" s="118">
        <f t="shared" si="97"/>
        <v>0.13984841859787203</v>
      </c>
      <c r="K3593" s="22">
        <v>2288</v>
      </c>
      <c r="L3593" s="6">
        <v>2318</v>
      </c>
      <c r="M3593" s="125">
        <f t="shared" si="96"/>
        <v>30</v>
      </c>
      <c r="N3593" s="18"/>
      <c r="O3593" s="135"/>
      <c r="P3593" s="207"/>
      <c r="Q3593" s="1363"/>
      <c r="R3593" s="1363"/>
      <c r="S3593" s="1363"/>
      <c r="T3593" s="1363"/>
      <c r="U3593" s="1363"/>
      <c r="W3593" s="288"/>
    </row>
    <row r="3594" spans="1:23" ht="15" customHeight="1">
      <c r="A3594" s="3">
        <v>40938</v>
      </c>
      <c r="B3594" s="9">
        <v>180375</v>
      </c>
      <c r="C3594" s="5">
        <v>68200</v>
      </c>
      <c r="D3594" s="5" t="e">
        <f>E3594-(#REF!+#REF!+C3594)</f>
        <v>#REF!</v>
      </c>
      <c r="E3594" s="5">
        <v>345100</v>
      </c>
      <c r="F3594" s="4">
        <v>3125</v>
      </c>
      <c r="G3594" s="5">
        <v>1075</v>
      </c>
      <c r="H3594" s="5">
        <v>46925</v>
      </c>
      <c r="I3594" s="118">
        <f t="shared" si="97"/>
        <v>0.13597507968704722</v>
      </c>
      <c r="K3594" s="22">
        <v>2238</v>
      </c>
      <c r="L3594" s="6">
        <v>2267</v>
      </c>
      <c r="M3594" s="125">
        <f t="shared" si="96"/>
        <v>29</v>
      </c>
      <c r="N3594" s="18"/>
      <c r="O3594" s="135"/>
      <c r="P3594" s="175">
        <v>16050</v>
      </c>
      <c r="Q3594" s="25">
        <f>177.42/1123.8</f>
        <v>0.1578750667378537</v>
      </c>
      <c r="U3594" s="384">
        <v>0.1</v>
      </c>
      <c r="W3594" s="285">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18">
        <f t="shared" si="97"/>
        <v>0.12783973564642709</v>
      </c>
      <c r="K3595" s="22">
        <v>2251</v>
      </c>
      <c r="L3595" s="6">
        <v>2282</v>
      </c>
      <c r="M3595" s="125">
        <f t="shared" si="96"/>
        <v>31</v>
      </c>
      <c r="N3595" s="113">
        <f>AVERAGE(K3575:K3595)</f>
        <v>2094.0714285714284</v>
      </c>
      <c r="O3595" s="145">
        <f>AVERAGE(K3575:K3595)</f>
        <v>2094.0714285714284</v>
      </c>
      <c r="P3595" s="175">
        <v>16000</v>
      </c>
      <c r="Q3595" s="25">
        <f>177.62/1125</f>
        <v>0.15788444444444444</v>
      </c>
      <c r="U3595" s="384">
        <v>0.1</v>
      </c>
      <c r="W3595" s="285">
        <f t="shared" ref="W3595:W3617" si="99">(P3595*Q3595)*(1+U3595)</f>
        <v>2778.766222222222</v>
      </c>
    </row>
    <row r="3596" spans="1:23" ht="15" customHeight="1" thickBot="1">
      <c r="A3596" s="214"/>
      <c r="B3596" s="1401"/>
      <c r="C3596" s="1401"/>
      <c r="D3596" s="1401"/>
      <c r="E3596" s="214"/>
      <c r="F3596" s="405">
        <f>SUM(F3575:F3595)</f>
        <v>28750</v>
      </c>
      <c r="G3596" s="112">
        <f>SUM(G3575:G3595)</f>
        <v>24400</v>
      </c>
      <c r="H3596" s="112"/>
      <c r="I3596" s="124"/>
      <c r="J3596" s="124"/>
      <c r="K3596" s="109"/>
      <c r="L3596" s="110"/>
      <c r="M3596" s="128"/>
      <c r="N3596" s="111"/>
      <c r="O3596" s="146"/>
      <c r="P3596" s="179"/>
      <c r="Q3596" s="155"/>
      <c r="R3596" s="155"/>
      <c r="S3596" s="155"/>
      <c r="T3596" s="155"/>
      <c r="U3596" s="152"/>
      <c r="V3596" s="153">
        <f>AVERAGE(P3574:P3595)</f>
        <v>15482</v>
      </c>
      <c r="W3596" s="289"/>
    </row>
    <row r="3597" spans="1:23" ht="15" customHeight="1">
      <c r="A3597" s="3">
        <v>40940</v>
      </c>
      <c r="B3597" s="9">
        <v>197575</v>
      </c>
      <c r="C3597" s="5">
        <v>68200</v>
      </c>
      <c r="D3597" s="5" t="e">
        <f>E3597-(#REF!+#REF!+C3597)</f>
        <v>#REF!</v>
      </c>
      <c r="E3597" s="5">
        <v>366225</v>
      </c>
      <c r="F3597" s="4">
        <v>3100</v>
      </c>
      <c r="G3597" s="5">
        <v>25</v>
      </c>
      <c r="H3597" s="5">
        <v>46425</v>
      </c>
      <c r="I3597" s="118">
        <f t="shared" ref="I3597:I3617" si="100">H3597/E3597</f>
        <v>0.12676633217284455</v>
      </c>
      <c r="K3597" s="22">
        <v>2210</v>
      </c>
      <c r="L3597" s="6">
        <v>2242</v>
      </c>
      <c r="M3597" s="125">
        <f t="shared" si="96"/>
        <v>32</v>
      </c>
      <c r="N3597" s="18"/>
      <c r="P3597" s="175">
        <v>15900</v>
      </c>
      <c r="Q3597" s="25">
        <f>178.44/1125.8</f>
        <v>0.15850062178006752</v>
      </c>
      <c r="U3597" s="384">
        <v>0.1</v>
      </c>
      <c r="W3597" s="285">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18">
        <f t="shared" si="100"/>
        <v>0.1254054054054054</v>
      </c>
      <c r="K3598" s="22">
        <v>2184</v>
      </c>
      <c r="L3598" s="6">
        <v>2215</v>
      </c>
      <c r="M3598" s="125">
        <f>L3598-K3598</f>
        <v>31</v>
      </c>
      <c r="N3598" s="18"/>
      <c r="O3598" s="135"/>
      <c r="P3598" s="175">
        <v>15850</v>
      </c>
      <c r="Q3598" s="25">
        <f>178.58/1126.4</f>
        <v>0.15854048295454545</v>
      </c>
      <c r="U3598" s="384">
        <v>0.1</v>
      </c>
      <c r="W3598" s="285">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18">
        <f t="shared" si="100"/>
        <v>0.11464162003730349</v>
      </c>
      <c r="K3599" s="22">
        <v>2147</v>
      </c>
      <c r="L3599" s="6">
        <v>2177.5</v>
      </c>
      <c r="M3599" s="125">
        <f t="shared" ref="M3599:M3645" si="101">L3599-K3599</f>
        <v>30.5</v>
      </c>
      <c r="N3599" s="18"/>
      <c r="O3599" s="135"/>
      <c r="P3599" s="175">
        <v>15900</v>
      </c>
      <c r="Q3599" s="25">
        <f>177.48/1118.5</f>
        <v>0.15867679928475636</v>
      </c>
      <c r="U3599" s="384">
        <v>0.1</v>
      </c>
      <c r="W3599" s="285">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18">
        <f t="shared" si="100"/>
        <v>0.11346051227321238</v>
      </c>
      <c r="K3600" s="22">
        <v>2165.5</v>
      </c>
      <c r="L3600" s="6">
        <v>2202</v>
      </c>
      <c r="M3600" s="125">
        <f t="shared" si="101"/>
        <v>36.5</v>
      </c>
      <c r="N3600" s="18"/>
      <c r="O3600" s="135"/>
      <c r="P3600" s="175">
        <v>16000</v>
      </c>
      <c r="Q3600" s="25">
        <f>177.52/1118.9</f>
        <v>0.15865582268299222</v>
      </c>
      <c r="U3600" s="384">
        <v>0.1</v>
      </c>
      <c r="W3600" s="285">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18">
        <f t="shared" si="100"/>
        <v>0.11308336657359394</v>
      </c>
      <c r="K3601" s="22">
        <v>2126</v>
      </c>
      <c r="L3601" s="6">
        <v>2160</v>
      </c>
      <c r="M3601" s="125">
        <f t="shared" si="101"/>
        <v>34</v>
      </c>
      <c r="N3601" s="18"/>
      <c r="O3601" s="135"/>
      <c r="P3601" s="175">
        <v>15900</v>
      </c>
      <c r="Q3601" s="25">
        <f>177.42/1119.9</f>
        <v>0.15842485936244305</v>
      </c>
      <c r="U3601" s="384">
        <v>0.1</v>
      </c>
      <c r="W3601" s="285">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18">
        <f t="shared" si="100"/>
        <v>0.11302439997340602</v>
      </c>
      <c r="K3602" s="22">
        <v>2190.5</v>
      </c>
      <c r="L3602" s="6">
        <v>2223</v>
      </c>
      <c r="M3602" s="125">
        <f t="shared" si="101"/>
        <v>32.5</v>
      </c>
      <c r="N3602" s="18"/>
      <c r="O3602" s="135"/>
      <c r="P3602" s="175">
        <v>15950</v>
      </c>
      <c r="Q3602" s="25">
        <f>177.88/1121.5</f>
        <v>0.15860900579580919</v>
      </c>
      <c r="U3602" s="384">
        <v>0.1</v>
      </c>
      <c r="W3602" s="285">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18">
        <f t="shared" si="100"/>
        <v>0.11026864500947775</v>
      </c>
      <c r="K3603" s="22">
        <v>2141.5</v>
      </c>
      <c r="L3603" s="6">
        <v>2175.5</v>
      </c>
      <c r="M3603" s="125">
        <f t="shared" si="101"/>
        <v>34</v>
      </c>
      <c r="N3603" s="18"/>
      <c r="O3603" s="135"/>
      <c r="P3603" s="175">
        <v>15950</v>
      </c>
      <c r="Q3603" s="25">
        <f>177.4/1116.7</f>
        <v>0.1588609295244918</v>
      </c>
      <c r="U3603" s="384">
        <v>0.1</v>
      </c>
      <c r="W3603" s="285">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18">
        <f t="shared" si="100"/>
        <v>0.11140878201777313</v>
      </c>
      <c r="K3604" s="22">
        <v>2169</v>
      </c>
      <c r="L3604" s="6">
        <v>2195</v>
      </c>
      <c r="M3604" s="125">
        <f t="shared" si="101"/>
        <v>26</v>
      </c>
      <c r="N3604" s="18"/>
      <c r="O3604" s="135"/>
      <c r="P3604" s="175">
        <v>15950</v>
      </c>
      <c r="Q3604" s="25">
        <f>177.62/1118.1</f>
        <v>0.15885877828458994</v>
      </c>
      <c r="U3604" s="384">
        <v>0.1</v>
      </c>
      <c r="W3604" s="285">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18">
        <f t="shared" si="100"/>
        <v>0.11401440733464309</v>
      </c>
      <c r="K3605" s="22">
        <v>2127.5</v>
      </c>
      <c r="L3605" s="6">
        <v>2165</v>
      </c>
      <c r="M3605" s="125">
        <f t="shared" si="101"/>
        <v>37.5</v>
      </c>
      <c r="N3605" s="18"/>
      <c r="O3605" s="135"/>
      <c r="P3605" s="175">
        <v>15800</v>
      </c>
      <c r="Q3605" s="25">
        <f>177.98/1121.2</f>
        <v>0.15874063503389224</v>
      </c>
      <c r="U3605" s="384">
        <v>0.1</v>
      </c>
      <c r="W3605" s="285">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18">
        <f t="shared" si="100"/>
        <v>0.11780036486838676</v>
      </c>
      <c r="K3606" s="22">
        <v>2076</v>
      </c>
      <c r="L3606" s="6">
        <v>2108</v>
      </c>
      <c r="M3606" s="125">
        <f t="shared" si="101"/>
        <v>32</v>
      </c>
      <c r="N3606" s="18"/>
      <c r="O3606" s="135"/>
      <c r="P3606" s="175">
        <v>15800</v>
      </c>
      <c r="Q3606" s="25">
        <f>178.35/1123.2</f>
        <v>0.15878739316239315</v>
      </c>
      <c r="U3606" s="384">
        <v>0.1</v>
      </c>
      <c r="W3606" s="285">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18">
        <f t="shared" si="100"/>
        <v>0.11701017479780851</v>
      </c>
      <c r="K3607" s="22">
        <v>2048.5</v>
      </c>
      <c r="L3607" s="6">
        <v>2088</v>
      </c>
      <c r="M3607" s="125">
        <f t="shared" si="101"/>
        <v>39.5</v>
      </c>
      <c r="N3607" s="18"/>
      <c r="O3607" s="135"/>
      <c r="P3607" s="175">
        <v>15750</v>
      </c>
      <c r="Q3607" s="25">
        <f>178.36/1123.6</f>
        <v>0.15873976504093987</v>
      </c>
      <c r="U3607" s="384">
        <v>0.1</v>
      </c>
      <c r="W3607" s="285">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18">
        <f t="shared" si="100"/>
        <v>0.11066029710097507</v>
      </c>
      <c r="K3608" s="22">
        <v>1985</v>
      </c>
      <c r="L3608" s="6">
        <v>2008</v>
      </c>
      <c r="M3608" s="125">
        <f t="shared" si="101"/>
        <v>23</v>
      </c>
      <c r="N3608" s="18"/>
      <c r="O3608" s="135"/>
      <c r="P3608" s="175">
        <v>15500</v>
      </c>
      <c r="Q3608" s="25">
        <f>178.26/1123.1</f>
        <v>0.15872139613569586</v>
      </c>
      <c r="U3608" s="384">
        <v>0.1</v>
      </c>
      <c r="W3608" s="285">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18">
        <f t="shared" si="100"/>
        <v>0.11670616113744076</v>
      </c>
      <c r="K3609" s="22">
        <v>2029</v>
      </c>
      <c r="L3609" s="6">
        <v>2055</v>
      </c>
      <c r="M3609" s="125">
        <f t="shared" si="101"/>
        <v>26</v>
      </c>
      <c r="N3609" s="18"/>
      <c r="P3609" s="175">
        <v>15600</v>
      </c>
      <c r="Q3609" s="25">
        <f>178.97/1127.8</f>
        <v>0.15868948395105514</v>
      </c>
      <c r="U3609" s="384">
        <v>0.1</v>
      </c>
      <c r="W3609" s="285">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18">
        <f t="shared" si="100"/>
        <v>0.11208893006021306</v>
      </c>
      <c r="K3610" s="22">
        <v>2028</v>
      </c>
      <c r="L3610" s="6">
        <v>2060</v>
      </c>
      <c r="M3610" s="125">
        <f t="shared" si="101"/>
        <v>32</v>
      </c>
      <c r="N3610" s="18"/>
      <c r="O3610" s="135"/>
      <c r="P3610" s="175">
        <v>15650</v>
      </c>
      <c r="Q3610" s="25">
        <f>178.51/1124.4</f>
        <v>0.15876022767698325</v>
      </c>
      <c r="U3610" s="384">
        <v>0.1</v>
      </c>
      <c r="W3610" s="285">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18">
        <f t="shared" si="100"/>
        <v>0.10718797792406411</v>
      </c>
      <c r="K3611" s="22">
        <v>2057</v>
      </c>
      <c r="L3611" s="6">
        <v>2087</v>
      </c>
      <c r="M3611" s="125">
        <f t="shared" si="101"/>
        <v>30</v>
      </c>
      <c r="N3611" s="18"/>
      <c r="O3611" s="135"/>
      <c r="P3611" s="175">
        <v>15675</v>
      </c>
      <c r="Q3611" s="25">
        <f>178.16/1122.7</f>
        <v>0.15868887503340162</v>
      </c>
      <c r="U3611" s="384">
        <v>0.1</v>
      </c>
      <c r="W3611" s="285">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18">
        <f t="shared" si="100"/>
        <v>0.10528425412519206</v>
      </c>
      <c r="K3612" s="22">
        <v>2070</v>
      </c>
      <c r="L3612" s="6">
        <v>2102</v>
      </c>
      <c r="M3612" s="125">
        <f t="shared" si="101"/>
        <v>32</v>
      </c>
      <c r="N3612" s="18"/>
      <c r="O3612" s="135"/>
      <c r="P3612" s="175">
        <v>15750</v>
      </c>
      <c r="Q3612" s="25">
        <f>178.56/1124.3</f>
        <v>0.15881882059948413</v>
      </c>
      <c r="U3612" s="384">
        <v>0.1</v>
      </c>
      <c r="W3612" s="285">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18">
        <f t="shared" si="100"/>
        <v>0.1027019760720527</v>
      </c>
      <c r="K3613" s="22">
        <v>2114</v>
      </c>
      <c r="L3613" s="6">
        <v>2145</v>
      </c>
      <c r="M3613" s="125">
        <f t="shared" si="101"/>
        <v>31</v>
      </c>
      <c r="N3613" s="18"/>
      <c r="O3613" s="135"/>
      <c r="P3613" s="175">
        <v>15800</v>
      </c>
      <c r="Q3613" s="25">
        <f>178.91/1126.3</f>
        <v>0.15884755393767203</v>
      </c>
      <c r="U3613" s="384">
        <v>0.1</v>
      </c>
      <c r="W3613" s="285">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18">
        <f t="shared" si="100"/>
        <v>9.8178137651821859E-2</v>
      </c>
      <c r="K3614" s="22">
        <v>2153.5</v>
      </c>
      <c r="L3614" s="6">
        <v>2183</v>
      </c>
      <c r="M3614" s="125">
        <f t="shared" si="101"/>
        <v>29.5</v>
      </c>
      <c r="N3614" s="18"/>
      <c r="O3614" s="135"/>
      <c r="P3614" s="175">
        <v>15850</v>
      </c>
      <c r="Q3614" s="25">
        <f>179.12/1128.3</f>
        <v>0.15875210493663033</v>
      </c>
      <c r="U3614" s="384">
        <v>0.1</v>
      </c>
      <c r="W3614" s="285">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18">
        <f t="shared" si="100"/>
        <v>9.5199293814082972E-2</v>
      </c>
      <c r="K3615" s="22">
        <v>2156</v>
      </c>
      <c r="L3615" s="6">
        <v>2187</v>
      </c>
      <c r="M3615" s="125">
        <f t="shared" si="101"/>
        <v>31</v>
      </c>
      <c r="N3615" s="18"/>
      <c r="O3615" s="135"/>
      <c r="P3615" s="175">
        <v>15950</v>
      </c>
      <c r="Q3615" s="25">
        <f>178.59/1124.7</f>
        <v>0.15878901040277407</v>
      </c>
      <c r="U3615" s="384">
        <v>0.1</v>
      </c>
      <c r="W3615" s="285">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18">
        <f t="shared" si="100"/>
        <v>8.8203092924592857E-2</v>
      </c>
      <c r="K3616" s="22">
        <v>2238</v>
      </c>
      <c r="L3616" s="6">
        <v>2268</v>
      </c>
      <c r="M3616" s="125">
        <f t="shared" si="101"/>
        <v>30</v>
      </c>
      <c r="N3616" s="18"/>
      <c r="O3616" s="135"/>
      <c r="P3616" s="175">
        <v>16000</v>
      </c>
      <c r="Q3616" s="25">
        <f>179.05/1128.4</f>
        <v>0.15867600141793689</v>
      </c>
      <c r="U3616" s="384">
        <v>0.1</v>
      </c>
      <c r="W3616" s="285">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18">
        <f t="shared" si="100"/>
        <v>8.2264813065190984E-2</v>
      </c>
      <c r="K3617" s="22">
        <v>2232.5</v>
      </c>
      <c r="L3617" s="6">
        <v>2261</v>
      </c>
      <c r="M3617" s="125">
        <f t="shared" si="101"/>
        <v>28.5</v>
      </c>
      <c r="N3617" s="113">
        <f>AVERAGE(K3597:K3617)</f>
        <v>2126.1190476190477</v>
      </c>
      <c r="O3617" s="145">
        <f>AVERAGE(K3575:K3617)</f>
        <v>2110.0952380952381</v>
      </c>
      <c r="P3617" s="175">
        <v>16170</v>
      </c>
      <c r="Q3617" s="25">
        <f>179.05/1128.4</f>
        <v>0.15867600141793689</v>
      </c>
      <c r="U3617" s="384">
        <v>0.1</v>
      </c>
      <c r="W3617" s="285">
        <f t="shared" si="99"/>
        <v>2822.3700372208436</v>
      </c>
    </row>
    <row r="3618" spans="1:24" s="116" customFormat="1" ht="15" customHeight="1" thickBot="1">
      <c r="A3618" s="215"/>
      <c r="B3618" s="1366"/>
      <c r="C3618" s="1366"/>
      <c r="D3618" s="1366"/>
      <c r="E3618" s="215"/>
      <c r="F3618" s="405">
        <f>SUM(F3597:F3617)</f>
        <v>33500</v>
      </c>
      <c r="G3618" s="112">
        <f>SUM(G3597:G3617)</f>
        <v>26200</v>
      </c>
      <c r="H3618" s="112"/>
      <c r="I3618" s="124"/>
      <c r="J3618" s="124"/>
      <c r="K3618" s="109"/>
      <c r="L3618" s="114"/>
      <c r="M3618" s="129"/>
      <c r="N3618" s="115"/>
      <c r="O3618" s="147"/>
      <c r="P3618" s="180"/>
      <c r="Q3618" s="154"/>
      <c r="R3618" s="154"/>
      <c r="S3618" s="154"/>
      <c r="T3618" s="154"/>
      <c r="U3618" s="387"/>
      <c r="V3618" s="153">
        <f>AVERAGE(P3597:P3617)</f>
        <v>15842.619047619048</v>
      </c>
      <c r="W3618" s="290"/>
      <c r="X3618" s="444"/>
    </row>
    <row r="3619" spans="1:24" ht="15" customHeight="1">
      <c r="A3619" s="29">
        <v>40969</v>
      </c>
      <c r="B3619" s="9">
        <v>202350</v>
      </c>
      <c r="C3619" s="31">
        <v>71875</v>
      </c>
      <c r="D3619" s="31" t="e">
        <f>E3619-(#REF!+#REF!+C3619)</f>
        <v>#REF!</v>
      </c>
      <c r="E3619" s="31">
        <v>369950</v>
      </c>
      <c r="F3619" s="30">
        <v>2025</v>
      </c>
      <c r="G3619" s="31">
        <v>2525</v>
      </c>
      <c r="H3619" s="31">
        <v>27950</v>
      </c>
      <c r="I3619" s="118">
        <f t="shared" ref="I3619:I3640" si="102">H3619/E3619</f>
        <v>7.5550750101365055E-2</v>
      </c>
      <c r="K3619" s="32">
        <v>2155.5</v>
      </c>
      <c r="L3619" s="33">
        <v>2190</v>
      </c>
      <c r="M3619" s="127">
        <f t="shared" si="101"/>
        <v>34.5</v>
      </c>
      <c r="N3619" s="20"/>
      <c r="O3619" s="138"/>
      <c r="P3619" s="178">
        <v>15900</v>
      </c>
      <c r="Q3619" s="34">
        <f>177.78/1120.1</f>
        <v>0.15871797160967771</v>
      </c>
      <c r="R3619" s="34"/>
      <c r="S3619" s="34"/>
      <c r="T3619" s="34"/>
      <c r="U3619" s="386">
        <v>0.1</v>
      </c>
      <c r="V3619" s="37"/>
      <c r="W3619" s="285">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18">
        <f t="shared" si="102"/>
        <v>6.7839367287107114E-2</v>
      </c>
      <c r="K3620" s="22">
        <v>2135</v>
      </c>
      <c r="L3620" s="6">
        <v>2164</v>
      </c>
      <c r="M3620" s="125">
        <f t="shared" si="101"/>
        <v>29</v>
      </c>
      <c r="N3620" s="18"/>
      <c r="O3620" s="135"/>
      <c r="P3620" s="175">
        <v>15900</v>
      </c>
      <c r="Q3620" s="25">
        <f>177.78/1120.1</f>
        <v>0.15871797160967771</v>
      </c>
      <c r="U3620" s="384">
        <v>0.1</v>
      </c>
      <c r="W3620" s="285">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18">
        <f t="shared" si="102"/>
        <v>6.3939144736842105E-2</v>
      </c>
      <c r="K3621" s="22">
        <v>2122.5</v>
      </c>
      <c r="L3621" s="6">
        <v>2154.5</v>
      </c>
      <c r="M3621" s="125">
        <f t="shared" si="101"/>
        <v>32</v>
      </c>
      <c r="N3621" s="18"/>
      <c r="O3621" s="135"/>
      <c r="P3621" s="175">
        <v>15900</v>
      </c>
      <c r="Q3621" s="25">
        <f>176.93/1114.5</f>
        <v>0.15875280394795874</v>
      </c>
      <c r="U3621" s="384">
        <v>0.1</v>
      </c>
      <c r="W3621" s="285">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18">
        <f t="shared" si="102"/>
        <v>6.1752988047808766E-2</v>
      </c>
      <c r="K3622" s="22">
        <v>2068.5</v>
      </c>
      <c r="L3622" s="6">
        <v>2095</v>
      </c>
      <c r="M3622" s="125">
        <f t="shared" si="101"/>
        <v>26.5</v>
      </c>
      <c r="N3622" s="18"/>
      <c r="O3622" s="135"/>
      <c r="P3622" s="175">
        <v>15850</v>
      </c>
      <c r="Q3622" s="25">
        <f>177.31/1118.4</f>
        <v>0.15853898426323318</v>
      </c>
      <c r="U3622" s="384">
        <v>0.1</v>
      </c>
      <c r="W3622" s="285">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18">
        <f t="shared" si="102"/>
        <v>6.1752988047808766E-2</v>
      </c>
      <c r="K3623" s="22">
        <v>2040</v>
      </c>
      <c r="L3623" s="6">
        <v>2074</v>
      </c>
      <c r="M3623" s="125">
        <f t="shared" si="101"/>
        <v>34</v>
      </c>
      <c r="N3623" s="18"/>
      <c r="O3623" s="135"/>
      <c r="P3623" s="175">
        <v>15650</v>
      </c>
      <c r="Q3623" s="25">
        <f>177.6/1120.3</f>
        <v>0.15852896545568151</v>
      </c>
      <c r="U3623" s="384">
        <v>0.1</v>
      </c>
      <c r="W3623" s="285">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18">
        <f t="shared" si="102"/>
        <v>6.087913599779872E-2</v>
      </c>
      <c r="K3624" s="22">
        <v>2087</v>
      </c>
      <c r="L3624" s="6">
        <v>2115.5</v>
      </c>
      <c r="M3624" s="125">
        <f t="shared" si="101"/>
        <v>28.5</v>
      </c>
      <c r="N3624" s="18"/>
      <c r="O3624" s="135"/>
      <c r="P3624" s="175">
        <v>15650</v>
      </c>
      <c r="Q3624" s="25">
        <f>178.51/1126.4</f>
        <v>0.15847833806818179</v>
      </c>
      <c r="U3624" s="384">
        <v>0.1</v>
      </c>
      <c r="W3624" s="285">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18">
        <f t="shared" si="102"/>
        <v>5.9779614325068869E-2</v>
      </c>
      <c r="K3625" s="22">
        <v>2090.5</v>
      </c>
      <c r="L3625" s="6">
        <v>2117</v>
      </c>
      <c r="M3625" s="125">
        <f t="shared" si="101"/>
        <v>26.5</v>
      </c>
      <c r="N3625" s="18"/>
      <c r="O3625" s="135"/>
      <c r="P3625" s="175">
        <v>15800</v>
      </c>
      <c r="Q3625" s="25">
        <f>177.28/1119.8</f>
        <v>0.15831398464011431</v>
      </c>
      <c r="U3625" s="384">
        <v>0.1</v>
      </c>
      <c r="V3625" s="26"/>
      <c r="W3625" s="285">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18">
        <f t="shared" si="102"/>
        <v>5.9126847713991064E-2</v>
      </c>
      <c r="K3626" s="22">
        <v>2085.5</v>
      </c>
      <c r="L3626" s="6">
        <v>2108.5</v>
      </c>
      <c r="M3626" s="125">
        <f t="shared" si="101"/>
        <v>23</v>
      </c>
      <c r="N3626" s="18"/>
      <c r="O3626" s="135"/>
      <c r="P3626" s="175">
        <v>15850</v>
      </c>
      <c r="Q3626" s="25">
        <f>176.86/1116.1</f>
        <v>0.15846250335991402</v>
      </c>
      <c r="U3626" s="384">
        <v>0.1</v>
      </c>
      <c r="W3626" s="285">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18">
        <f t="shared" si="102"/>
        <v>5.933073290905358E-2</v>
      </c>
      <c r="K3627" s="22">
        <v>2122</v>
      </c>
      <c r="L3627" s="6">
        <v>2155</v>
      </c>
      <c r="M3627" s="125">
        <f t="shared" si="101"/>
        <v>33</v>
      </c>
      <c r="N3627" s="18"/>
      <c r="O3627" s="135"/>
      <c r="P3627" s="175">
        <v>15900</v>
      </c>
      <c r="Q3627" s="25">
        <f>177.37/1122.1</f>
        <v>0.15806969075839944</v>
      </c>
      <c r="U3627" s="384">
        <v>0.1</v>
      </c>
      <c r="W3627" s="285">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18">
        <f t="shared" si="102"/>
        <v>6.4549250462043947E-2</v>
      </c>
      <c r="K3628" s="22">
        <v>2108</v>
      </c>
      <c r="L3628" s="6">
        <v>2138</v>
      </c>
      <c r="M3628" s="125">
        <f t="shared" si="101"/>
        <v>30</v>
      </c>
      <c r="N3628" s="18"/>
      <c r="O3628" s="135"/>
      <c r="P3628" s="175">
        <v>15950</v>
      </c>
      <c r="Q3628" s="25">
        <f>177.24/1121.5</f>
        <v>0.1580383415069104</v>
      </c>
      <c r="U3628" s="384">
        <v>0.1</v>
      </c>
      <c r="W3628" s="285">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18">
        <f t="shared" si="102"/>
        <v>6.4228978362092584E-2</v>
      </c>
      <c r="K3629" s="22">
        <v>2095.5</v>
      </c>
      <c r="L3629" s="6">
        <v>2126</v>
      </c>
      <c r="M3629" s="125">
        <f t="shared" si="101"/>
        <v>30.5</v>
      </c>
      <c r="N3629" s="18"/>
      <c r="O3629" s="135"/>
      <c r="P3629" s="175">
        <v>15850</v>
      </c>
      <c r="Q3629" s="25">
        <f>177.48/1123.8</f>
        <v>0.1579284570208222</v>
      </c>
      <c r="U3629" s="384">
        <v>0.1</v>
      </c>
      <c r="W3629" s="285">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18">
        <f t="shared" si="102"/>
        <v>6.3373083475298131E-2</v>
      </c>
      <c r="K3630" s="22">
        <v>2107</v>
      </c>
      <c r="L3630" s="6">
        <v>2132</v>
      </c>
      <c r="M3630" s="125">
        <f t="shared" si="101"/>
        <v>25</v>
      </c>
      <c r="N3630" s="18"/>
      <c r="O3630" s="135"/>
      <c r="P3630" s="175">
        <v>15900</v>
      </c>
      <c r="Q3630" s="25">
        <f>178.4/1129.1</f>
        <v>0.15800194845452131</v>
      </c>
      <c r="U3630" s="384">
        <v>0.1</v>
      </c>
      <c r="W3630" s="285">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18">
        <f t="shared" si="102"/>
        <v>6.2457615624576156E-2</v>
      </c>
      <c r="K3631" s="22">
        <v>2095</v>
      </c>
      <c r="L3631" s="6">
        <v>2101.5</v>
      </c>
      <c r="M3631" s="125">
        <f t="shared" si="101"/>
        <v>6.5</v>
      </c>
      <c r="N3631" s="18"/>
      <c r="O3631" s="135"/>
      <c r="P3631" s="175">
        <v>15850</v>
      </c>
      <c r="Q3631" s="25">
        <f>177.84/1124.4</f>
        <v>0.15816435432230522</v>
      </c>
      <c r="U3631" s="384">
        <v>0.1</v>
      </c>
      <c r="W3631" s="285">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18">
        <f t="shared" si="102"/>
        <v>6.0992907801418438E-2</v>
      </c>
      <c r="K3632" s="22">
        <v>2042.5</v>
      </c>
      <c r="L3632" s="6">
        <v>2064</v>
      </c>
      <c r="M3632" s="125">
        <f t="shared" si="101"/>
        <v>21.5</v>
      </c>
      <c r="N3632" s="18"/>
      <c r="O3632" s="135"/>
      <c r="P3632" s="175">
        <v>15850</v>
      </c>
      <c r="Q3632" s="25">
        <f>177.62/1123</f>
        <v>0.15816562778272486</v>
      </c>
      <c r="U3632" s="384">
        <v>0.1</v>
      </c>
      <c r="W3632" s="285">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18">
        <f t="shared" si="102"/>
        <v>5.9686359334865484E-2</v>
      </c>
      <c r="K3633" s="22">
        <v>2026</v>
      </c>
      <c r="L3633" s="6">
        <v>2036</v>
      </c>
      <c r="M3633" s="125">
        <f t="shared" si="101"/>
        <v>10</v>
      </c>
      <c r="N3633" s="18"/>
      <c r="O3633" s="135"/>
      <c r="P3633" s="175">
        <v>15750</v>
      </c>
      <c r="Q3633" s="25">
        <f>177.59/1123.1</f>
        <v>0.15812483305137567</v>
      </c>
      <c r="U3633" s="384">
        <v>0.1</v>
      </c>
      <c r="W3633" s="285">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18">
        <f t="shared" si="102"/>
        <v>5.811154206232446E-2</v>
      </c>
      <c r="K3634" s="22">
        <v>2000</v>
      </c>
      <c r="L3634" s="6">
        <v>2005</v>
      </c>
      <c r="M3634" s="125">
        <f t="shared" si="101"/>
        <v>5</v>
      </c>
      <c r="N3634" s="18"/>
      <c r="O3634" s="135"/>
      <c r="P3634" s="175">
        <v>15650</v>
      </c>
      <c r="Q3634" s="25">
        <f>178.31/1127.4</f>
        <v>0.15816036899059782</v>
      </c>
      <c r="U3634" s="384">
        <v>0.1</v>
      </c>
      <c r="W3634" s="285">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18">
        <f t="shared" si="102"/>
        <v>5.631914180355347E-2</v>
      </c>
      <c r="K3635" s="22">
        <v>1995</v>
      </c>
      <c r="L3635" s="6">
        <v>1995</v>
      </c>
      <c r="M3635" s="125">
        <f t="shared" si="101"/>
        <v>0</v>
      </c>
      <c r="N3635" s="18"/>
      <c r="O3635" s="135"/>
      <c r="P3635" s="175">
        <v>15650</v>
      </c>
      <c r="Q3635" s="25">
        <f>179.42/1130.3</f>
        <v>0.15873661859683269</v>
      </c>
      <c r="U3635" s="384">
        <v>0.1</v>
      </c>
      <c r="W3635" s="285">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18">
        <f t="shared" si="102"/>
        <v>5.496112181830265E-2</v>
      </c>
      <c r="K3636" s="22">
        <v>1982</v>
      </c>
      <c r="L3636" s="6">
        <v>1990</v>
      </c>
      <c r="M3636" s="125">
        <f t="shared" si="101"/>
        <v>8</v>
      </c>
      <c r="N3636" s="18"/>
      <c r="O3636" s="135"/>
      <c r="P3636" s="175">
        <v>15700</v>
      </c>
      <c r="Q3636" s="25">
        <f>179.85/1133.8</f>
        <v>0.1586258599400247</v>
      </c>
      <c r="U3636" s="384">
        <v>0.1</v>
      </c>
      <c r="W3636" s="285">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18">
        <f t="shared" si="102"/>
        <v>5.4874411823182451E-2</v>
      </c>
      <c r="K3637" s="22">
        <v>1998</v>
      </c>
      <c r="L3637" s="6">
        <v>1997.5</v>
      </c>
      <c r="M3637" s="125">
        <f t="shared" si="101"/>
        <v>-0.5</v>
      </c>
      <c r="N3637" s="18"/>
      <c r="O3637" s="135"/>
      <c r="P3637" s="175">
        <v>15700</v>
      </c>
      <c r="Q3637" s="25">
        <f>180.22/1138.1</f>
        <v>0.15835163869607241</v>
      </c>
      <c r="U3637" s="384">
        <v>0.1</v>
      </c>
      <c r="W3637" s="285">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18">
        <f t="shared" si="102"/>
        <v>5.6322144089160142E-2</v>
      </c>
      <c r="K3638" s="22">
        <v>1987</v>
      </c>
      <c r="L3638" s="6">
        <v>1995</v>
      </c>
      <c r="M3638" s="125">
        <f t="shared" si="101"/>
        <v>8</v>
      </c>
      <c r="N3638" s="18"/>
      <c r="O3638" s="135"/>
      <c r="P3638" s="175">
        <v>15700</v>
      </c>
      <c r="Q3638" s="25">
        <f>180.26/1136.8</f>
        <v>0.15856790992258973</v>
      </c>
      <c r="U3638" s="384">
        <v>0.1</v>
      </c>
      <c r="W3638" s="285">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18">
        <f t="shared" si="102"/>
        <v>5.9592540978167095E-2</v>
      </c>
      <c r="K3639" s="22">
        <v>1989</v>
      </c>
      <c r="L3639" s="6">
        <v>1978</v>
      </c>
      <c r="M3639" s="125">
        <f t="shared" si="101"/>
        <v>-11</v>
      </c>
      <c r="N3639" s="18"/>
      <c r="O3639" s="135"/>
      <c r="P3639" s="175">
        <v>15650</v>
      </c>
      <c r="Q3639" s="25">
        <f>180.36/1137.2</f>
        <v>0.15860007034822371</v>
      </c>
      <c r="U3639" s="384">
        <v>0.1</v>
      </c>
      <c r="W3639" s="285">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18">
        <f t="shared" si="102"/>
        <v>5.9217951271327091E-2</v>
      </c>
      <c r="K3640" s="22">
        <v>2020.5</v>
      </c>
      <c r="L3640" s="6">
        <v>2021</v>
      </c>
      <c r="M3640" s="125">
        <f t="shared" si="101"/>
        <v>0.5</v>
      </c>
      <c r="N3640" s="113">
        <f>AVERAGE(K3619:K3640)</f>
        <v>2061.4545454545455</v>
      </c>
      <c r="O3640" s="145">
        <f>AVERAGE(K3575:K3640)</f>
        <v>2093.375</v>
      </c>
      <c r="P3640" s="175">
        <v>15650</v>
      </c>
      <c r="Q3640" s="25">
        <f>180.44/1134.8</f>
        <v>0.15900599224532957</v>
      </c>
      <c r="U3640" s="384">
        <v>0.1</v>
      </c>
      <c r="W3640" s="285">
        <f t="shared" si="103"/>
        <v>2737.288156503349</v>
      </c>
    </row>
    <row r="3641" spans="1:24" s="116" customFormat="1" ht="15" customHeight="1" thickBot="1">
      <c r="A3641" s="215"/>
      <c r="B3641" s="1366"/>
      <c r="C3641" s="1366"/>
      <c r="D3641" s="1366"/>
      <c r="E3641" s="215"/>
      <c r="F3641" s="405">
        <f>SUM(F3619:F3640)</f>
        <v>20150</v>
      </c>
      <c r="G3641" s="112">
        <f>SUM(G3619:G3640)</f>
        <v>15825</v>
      </c>
      <c r="H3641" s="112"/>
      <c r="I3641" s="124"/>
      <c r="J3641" s="124"/>
      <c r="K3641" s="109"/>
      <c r="L3641" s="114"/>
      <c r="M3641" s="129"/>
      <c r="N3641" s="115"/>
      <c r="O3641" s="147"/>
      <c r="P3641" s="180"/>
      <c r="Q3641" s="154"/>
      <c r="R3641" s="154"/>
      <c r="S3641" s="154"/>
      <c r="T3641" s="154"/>
      <c r="U3641" s="387"/>
      <c r="V3641" s="153">
        <f>AVERAGE(P3619:P3640)</f>
        <v>15784.09090909091</v>
      </c>
      <c r="W3641" s="290"/>
      <c r="X3641" s="444"/>
    </row>
    <row r="3642" spans="1:24" ht="15" customHeight="1">
      <c r="A3642" s="29">
        <v>41001</v>
      </c>
      <c r="B3642" s="9">
        <v>202150</v>
      </c>
      <c r="C3642" s="31">
        <v>75100</v>
      </c>
      <c r="D3642" s="31" t="e">
        <f>E3642-(#REF!+#REF!+C3642)</f>
        <v>#REF!</v>
      </c>
      <c r="E3642" s="31">
        <v>376800</v>
      </c>
      <c r="F3642" s="30">
        <v>1150</v>
      </c>
      <c r="G3642" s="31">
        <v>925</v>
      </c>
      <c r="H3642" s="31">
        <v>21575</v>
      </c>
      <c r="I3642" s="118">
        <f>H3642/E3642</f>
        <v>5.7258492569002124E-2</v>
      </c>
      <c r="K3642" s="32">
        <v>2007</v>
      </c>
      <c r="L3642" s="33">
        <v>2010</v>
      </c>
      <c r="M3642" s="127">
        <f t="shared" si="101"/>
        <v>3</v>
      </c>
      <c r="N3642" s="20"/>
      <c r="O3642" s="138"/>
      <c r="P3642" s="208"/>
      <c r="Q3642" s="1362" t="s">
        <v>41</v>
      </c>
      <c r="R3642" s="1362"/>
      <c r="S3642" s="1362"/>
      <c r="T3642" s="1362"/>
      <c r="U3642" s="1362"/>
      <c r="V3642" s="37"/>
      <c r="W3642" s="287"/>
    </row>
    <row r="3643" spans="1:24" ht="15" customHeight="1">
      <c r="A3643" s="3">
        <v>41002</v>
      </c>
      <c r="B3643" s="9">
        <v>202350</v>
      </c>
      <c r="C3643" s="5">
        <v>75100</v>
      </c>
      <c r="D3643" s="5" t="e">
        <f>E3643-(#REF!+#REF!+C3643)</f>
        <v>#REF!</v>
      </c>
      <c r="E3643" s="5">
        <v>376300</v>
      </c>
      <c r="F3643" s="4">
        <v>900</v>
      </c>
      <c r="G3643" s="5">
        <v>1400</v>
      </c>
      <c r="H3643" s="5">
        <v>20275</v>
      </c>
      <c r="I3643" s="118">
        <f>H3643/E3643</f>
        <v>5.3879883072017007E-2</v>
      </c>
      <c r="K3643" s="22">
        <v>2045</v>
      </c>
      <c r="L3643" s="6">
        <v>2046.5</v>
      </c>
      <c r="M3643" s="125">
        <f t="shared" si="101"/>
        <v>1.5</v>
      </c>
      <c r="N3643" s="18"/>
      <c r="O3643" s="135"/>
      <c r="P3643" s="207"/>
      <c r="Q3643" s="1363"/>
      <c r="R3643" s="1363"/>
      <c r="S3643" s="1363"/>
      <c r="T3643" s="1363"/>
      <c r="U3643" s="1363"/>
      <c r="W3643" s="288"/>
    </row>
    <row r="3644" spans="1:24" ht="15" customHeight="1">
      <c r="A3644" s="3">
        <v>41003</v>
      </c>
      <c r="B3644" s="9">
        <v>201350</v>
      </c>
      <c r="C3644" s="5">
        <v>74100</v>
      </c>
      <c r="D3644" s="5" t="e">
        <f>E3644-(#REF!+#REF!+C3644)</f>
        <v>#REF!</v>
      </c>
      <c r="E3644" s="5">
        <v>374300</v>
      </c>
      <c r="F3644" s="4">
        <v>0</v>
      </c>
      <c r="G3644" s="5">
        <v>2000</v>
      </c>
      <c r="H3644" s="5">
        <v>18400</v>
      </c>
      <c r="I3644" s="118">
        <f>H3644/E3644</f>
        <v>4.9158429067592838E-2</v>
      </c>
      <c r="K3644" s="22">
        <v>2014</v>
      </c>
      <c r="L3644" s="6">
        <v>2017.5</v>
      </c>
      <c r="M3644" s="125">
        <f t="shared" si="101"/>
        <v>3.5</v>
      </c>
      <c r="N3644" s="18"/>
      <c r="O3644" s="135"/>
      <c r="P3644" s="207"/>
      <c r="Q3644" s="1363"/>
      <c r="R3644" s="1363"/>
      <c r="S3644" s="1363"/>
      <c r="T3644" s="1363"/>
      <c r="U3644" s="1363"/>
      <c r="W3644" s="288"/>
    </row>
    <row r="3645" spans="1:24" ht="15" customHeight="1">
      <c r="A3645" s="3">
        <v>41004</v>
      </c>
      <c r="B3645" s="9">
        <v>200775</v>
      </c>
      <c r="C3645" s="5">
        <v>73600</v>
      </c>
      <c r="D3645" s="5" t="e">
        <f>E3645-(#REF!+#REF!+C3645)</f>
        <v>#REF!</v>
      </c>
      <c r="E3645" s="5">
        <v>374575</v>
      </c>
      <c r="F3645" s="4">
        <v>1875</v>
      </c>
      <c r="G3645" s="5">
        <v>1600</v>
      </c>
      <c r="H3645" s="5">
        <v>16800</v>
      </c>
      <c r="I3645" s="118">
        <f>H3645/E3645</f>
        <v>4.4850830941733963E-2</v>
      </c>
      <c r="K3645" s="22">
        <v>1994</v>
      </c>
      <c r="L3645" s="6">
        <v>1990</v>
      </c>
      <c r="M3645" s="125">
        <f t="shared" si="101"/>
        <v>-4</v>
      </c>
      <c r="N3645" s="18"/>
      <c r="O3645" s="135"/>
      <c r="P3645" s="175">
        <v>15550</v>
      </c>
      <c r="Q3645" s="25">
        <f>179.07/1127.8</f>
        <v>0.15877815215463734</v>
      </c>
      <c r="U3645" s="384">
        <v>0.1</v>
      </c>
      <c r="W3645" s="285">
        <f t="shared" ref="W3645:W3661" si="104">(P3645*Q3645)*(1+U3645)</f>
        <v>2715.9002926050721</v>
      </c>
    </row>
    <row r="3646" spans="1:24" ht="15" customHeight="1">
      <c r="A3646" s="3">
        <v>41005</v>
      </c>
      <c r="B3646" s="9">
        <v>0</v>
      </c>
      <c r="C3646" s="24"/>
      <c r="D3646" s="24"/>
      <c r="E3646" s="24"/>
      <c r="F3646" s="1318" t="s">
        <v>38</v>
      </c>
      <c r="G3646" s="1318"/>
      <c r="H3646" s="1318"/>
      <c r="I3646" s="1318"/>
      <c r="J3646" s="5"/>
      <c r="K3646" s="24"/>
      <c r="L3646" s="24"/>
      <c r="M3646" s="24"/>
      <c r="N3646" s="18"/>
      <c r="O3646" s="135"/>
      <c r="P3646" s="175">
        <v>15550</v>
      </c>
      <c r="Q3646" s="25">
        <f>178.9/1129.5</f>
        <v>0.15838866755201417</v>
      </c>
      <c r="U3646" s="384">
        <v>0.1</v>
      </c>
      <c r="W3646" s="285">
        <f t="shared" si="104"/>
        <v>2709.2381584772024</v>
      </c>
    </row>
    <row r="3647" spans="1:24" ht="15" customHeight="1">
      <c r="A3647" s="3">
        <v>41008</v>
      </c>
      <c r="B3647" s="9">
        <v>0</v>
      </c>
      <c r="C3647" s="24"/>
      <c r="D3647" s="24"/>
      <c r="E3647" s="24"/>
      <c r="F3647" s="1318"/>
      <c r="G3647" s="1318"/>
      <c r="H3647" s="1318"/>
      <c r="I3647" s="1318"/>
      <c r="J3647" s="5"/>
      <c r="K3647" s="24"/>
      <c r="L3647" s="24"/>
      <c r="M3647" s="24"/>
      <c r="N3647" s="18"/>
      <c r="O3647" s="135"/>
      <c r="P3647" s="175">
        <v>15700</v>
      </c>
      <c r="Q3647" s="25">
        <f>179.27/1130.7</f>
        <v>0.15854780224639603</v>
      </c>
      <c r="U3647" s="384">
        <v>0.1</v>
      </c>
      <c r="W3647" s="285">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18">
        <f t="shared" ref="I3648:I3662" si="105">H3648/E3648</f>
        <v>3.9973217274857718E-2</v>
      </c>
      <c r="K3648" s="22">
        <v>2038</v>
      </c>
      <c r="L3648" s="6">
        <v>2039</v>
      </c>
      <c r="M3648" s="125">
        <f t="shared" ref="M3648:M3688" si="106">L3648-K3648</f>
        <v>1</v>
      </c>
      <c r="N3648" s="18"/>
      <c r="O3648" s="135"/>
      <c r="P3648" s="175">
        <v>15700</v>
      </c>
      <c r="Q3648" s="25">
        <f>180.32/1137.6</f>
        <v>0.15850914205344585</v>
      </c>
      <c r="U3648" s="384">
        <v>0.1</v>
      </c>
      <c r="W3648" s="285">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18">
        <f t="shared" si="105"/>
        <v>3.3277535989286913E-2</v>
      </c>
      <c r="K3649" s="22">
        <v>2019</v>
      </c>
      <c r="L3649" s="6">
        <v>2018</v>
      </c>
      <c r="M3649" s="125">
        <f t="shared" si="106"/>
        <v>-1</v>
      </c>
      <c r="N3649" s="18"/>
      <c r="O3649" s="135"/>
      <c r="P3649" s="175">
        <v>15600</v>
      </c>
      <c r="Q3649" s="25">
        <f>180.32/1137.6</f>
        <v>0.15850914205344585</v>
      </c>
      <c r="U3649" s="384">
        <v>0.1</v>
      </c>
      <c r="W3649" s="285">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18">
        <f t="shared" si="105"/>
        <v>3.0651853834828002E-2</v>
      </c>
      <c r="K3650" s="22">
        <v>2081</v>
      </c>
      <c r="L3650" s="6">
        <v>2072</v>
      </c>
      <c r="M3650" s="125">
        <f t="shared" si="106"/>
        <v>-9</v>
      </c>
      <c r="N3650" s="18"/>
      <c r="O3650" s="135"/>
      <c r="P3650" s="175">
        <v>15650</v>
      </c>
      <c r="Q3650" s="25">
        <f>180.39/1137.9</f>
        <v>0.15852886896915369</v>
      </c>
      <c r="U3650" s="384">
        <v>0.1</v>
      </c>
      <c r="W3650" s="285">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18">
        <f t="shared" si="105"/>
        <v>6.3607085346215786E-2</v>
      </c>
      <c r="K3651" s="22">
        <v>2073</v>
      </c>
      <c r="L3651" s="6">
        <v>2081</v>
      </c>
      <c r="M3651" s="125">
        <f t="shared" si="106"/>
        <v>8</v>
      </c>
      <c r="N3651" s="18"/>
      <c r="O3651" s="135"/>
      <c r="P3651" s="175">
        <v>15700</v>
      </c>
      <c r="Q3651" s="25">
        <f>181.12/1142.3</f>
        <v>0.15855729668213256</v>
      </c>
      <c r="U3651" s="384">
        <v>0.1</v>
      </c>
      <c r="W3651" s="285">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18">
        <f t="shared" si="105"/>
        <v>6.3663865546218487E-2</v>
      </c>
      <c r="K3652" s="22">
        <v>2033.5</v>
      </c>
      <c r="L3652" s="6">
        <v>2046</v>
      </c>
      <c r="M3652" s="125">
        <f t="shared" si="106"/>
        <v>12.5</v>
      </c>
      <c r="N3652" s="18"/>
      <c r="O3652" s="135"/>
      <c r="P3652" s="175">
        <v>15550</v>
      </c>
      <c r="Q3652" s="25">
        <f>179.94/1134.1</f>
        <v>0.15866325720835905</v>
      </c>
      <c r="U3652" s="384">
        <v>0.1</v>
      </c>
      <c r="W3652" s="285">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18">
        <f t="shared" si="105"/>
        <v>6.3467492260061917E-2</v>
      </c>
      <c r="K3653" s="22">
        <v>2066</v>
      </c>
      <c r="L3653" s="6">
        <v>2083</v>
      </c>
      <c r="M3653" s="125">
        <f t="shared" si="106"/>
        <v>17</v>
      </c>
      <c r="N3653" s="18"/>
      <c r="O3653" s="135"/>
      <c r="P3653" s="175">
        <v>15550</v>
      </c>
      <c r="Q3653" s="25">
        <f>180.14/1137.7</f>
        <v>0.15833699569306495</v>
      </c>
      <c r="U3653" s="384">
        <v>0.1</v>
      </c>
      <c r="W3653" s="285">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18">
        <f t="shared" si="105"/>
        <v>5.983308655269888E-2</v>
      </c>
      <c r="K3654" s="22">
        <v>2042</v>
      </c>
      <c r="L3654" s="6">
        <v>2060</v>
      </c>
      <c r="M3654" s="125">
        <f t="shared" si="106"/>
        <v>18</v>
      </c>
      <c r="N3654" s="18"/>
      <c r="O3654" s="135"/>
      <c r="P3654" s="175">
        <v>15600</v>
      </c>
      <c r="Q3654" s="25">
        <f>180.72/1138.9</f>
        <v>0.1586794275177803</v>
      </c>
      <c r="U3654" s="384">
        <v>0.1</v>
      </c>
      <c r="W3654" s="285">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18">
        <f t="shared" si="105"/>
        <v>7.2866018368449484E-2</v>
      </c>
      <c r="K3655" s="22">
        <v>2039.5</v>
      </c>
      <c r="L3655" s="6">
        <v>2048</v>
      </c>
      <c r="M3655" s="125">
        <f t="shared" si="106"/>
        <v>8.5</v>
      </c>
      <c r="N3655" s="18"/>
      <c r="O3655" s="135"/>
      <c r="P3655" s="175">
        <v>15600</v>
      </c>
      <c r="Q3655" s="25">
        <f>180.33/1136.6</f>
        <v>0.15865739926095374</v>
      </c>
      <c r="U3655" s="384">
        <v>0.1</v>
      </c>
      <c r="W3655" s="285">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18">
        <f t="shared" si="105"/>
        <v>8.8243261546796695E-2</v>
      </c>
      <c r="K3656" s="22">
        <v>2100</v>
      </c>
      <c r="L3656" s="6">
        <v>2105</v>
      </c>
      <c r="M3656" s="125">
        <f t="shared" si="106"/>
        <v>5</v>
      </c>
      <c r="N3656" s="18"/>
      <c r="O3656" s="135"/>
      <c r="P3656" s="175">
        <v>15650</v>
      </c>
      <c r="Q3656" s="25">
        <f>180.92/1140.5</f>
        <v>0.15863217886891712</v>
      </c>
      <c r="U3656" s="384">
        <v>0.1</v>
      </c>
      <c r="W3656" s="285">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18">
        <f t="shared" si="105"/>
        <v>0.10084147665580891</v>
      </c>
      <c r="K3657" s="22">
        <v>2087</v>
      </c>
      <c r="L3657" s="6">
        <v>2088</v>
      </c>
      <c r="M3657" s="125">
        <f t="shared" si="106"/>
        <v>1</v>
      </c>
      <c r="N3657" s="18"/>
      <c r="O3657" s="135"/>
      <c r="P3657" s="175">
        <v>15700</v>
      </c>
      <c r="Q3657" s="25">
        <f>180.74/1140.2</f>
        <v>0.15851604981582179</v>
      </c>
      <c r="U3657" s="384">
        <v>0.1</v>
      </c>
      <c r="W3657" s="285">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18">
        <f t="shared" si="105"/>
        <v>0.12555290915277306</v>
      </c>
      <c r="K3658" s="22">
        <v>2080</v>
      </c>
      <c r="L3658" s="6">
        <v>2085</v>
      </c>
      <c r="M3658" s="125">
        <f t="shared" si="106"/>
        <v>5</v>
      </c>
      <c r="N3658" s="18"/>
      <c r="O3658" s="135"/>
      <c r="P3658" s="175">
        <v>15600</v>
      </c>
      <c r="Q3658" s="25">
        <f>180.53/1138.9</f>
        <v>0.15851259987707436</v>
      </c>
      <c r="U3658" s="384">
        <v>0.1</v>
      </c>
      <c r="W3658" s="285">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18">
        <f t="shared" si="105"/>
        <v>0.1514077305883155</v>
      </c>
      <c r="K3659" s="22">
        <v>2083</v>
      </c>
      <c r="L3659" s="6">
        <v>2090.5</v>
      </c>
      <c r="M3659" s="125">
        <f t="shared" si="106"/>
        <v>7.5</v>
      </c>
      <c r="N3659" s="18"/>
      <c r="O3659" s="135"/>
      <c r="P3659" s="175">
        <v>15625</v>
      </c>
      <c r="Q3659" s="25">
        <f>180.93/1141.2</f>
        <v>0.15854363827549947</v>
      </c>
      <c r="U3659" s="384">
        <v>0.1</v>
      </c>
      <c r="W3659" s="285">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18">
        <f t="shared" si="105"/>
        <v>0.15315685067378071</v>
      </c>
      <c r="K3660" s="22">
        <v>2113</v>
      </c>
      <c r="L3660" s="6">
        <v>2115</v>
      </c>
      <c r="M3660" s="125">
        <f t="shared" si="106"/>
        <v>2</v>
      </c>
      <c r="N3660" s="18"/>
      <c r="O3660" s="135"/>
      <c r="P3660" s="175">
        <v>15625</v>
      </c>
      <c r="Q3660" s="25">
        <f>180.74/1139.4</f>
        <v>0.15862734772687379</v>
      </c>
      <c r="U3660" s="384">
        <v>0.1</v>
      </c>
      <c r="W3660" s="285">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18">
        <f t="shared" si="105"/>
        <v>0.18892328861369109</v>
      </c>
      <c r="K3661" s="22">
        <v>2127</v>
      </c>
      <c r="L3661" s="6">
        <v>2137</v>
      </c>
      <c r="M3661" s="125">
        <f t="shared" si="106"/>
        <v>10</v>
      </c>
      <c r="N3661" s="18"/>
      <c r="O3661" s="135"/>
      <c r="P3661" s="175">
        <v>15700</v>
      </c>
      <c r="Q3661" s="25">
        <f>180.44/1137.8</f>
        <v>0.1585867463526103</v>
      </c>
      <c r="U3661" s="384">
        <v>0.1</v>
      </c>
      <c r="W3661" s="285">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18">
        <f t="shared" si="105"/>
        <v>0.2415855354659249</v>
      </c>
      <c r="K3662" s="22">
        <v>2156</v>
      </c>
      <c r="L3662" s="6">
        <v>2155</v>
      </c>
      <c r="M3662" s="125">
        <f t="shared" si="106"/>
        <v>-1</v>
      </c>
      <c r="N3662" s="113">
        <f>AVERAGE(K3642:K3662)</f>
        <v>2063.0526315789475</v>
      </c>
      <c r="O3662" s="145">
        <f>AVERAGE(K3575:K3662)</f>
        <v>2086.4337349397592</v>
      </c>
      <c r="P3662" s="207"/>
      <c r="Q3662" s="1363" t="s">
        <v>41</v>
      </c>
      <c r="R3662" s="1363"/>
      <c r="S3662" s="1363"/>
      <c r="T3662" s="1363"/>
      <c r="U3662" s="1363"/>
      <c r="W3662" s="288"/>
    </row>
    <row r="3663" spans="1:24" s="116" customFormat="1" ht="15" customHeight="1" thickBot="1">
      <c r="A3663" s="215"/>
      <c r="B3663" s="1366"/>
      <c r="C3663" s="1366"/>
      <c r="D3663" s="1366"/>
      <c r="E3663" s="215"/>
      <c r="F3663" s="405">
        <f>SUM(F3642:F3662)</f>
        <v>12825</v>
      </c>
      <c r="G3663" s="112">
        <f>SUM(G3642:G3662)</f>
        <v>27625</v>
      </c>
      <c r="H3663" s="112"/>
      <c r="I3663" s="124"/>
      <c r="J3663" s="124"/>
      <c r="K3663" s="109"/>
      <c r="L3663" s="114"/>
      <c r="M3663" s="129"/>
      <c r="N3663" s="115"/>
      <c r="O3663" s="147"/>
      <c r="P3663" s="180"/>
      <c r="Q3663" s="154"/>
      <c r="R3663" s="154"/>
      <c r="S3663" s="154"/>
      <c r="T3663" s="154"/>
      <c r="U3663" s="387"/>
      <c r="V3663" s="153">
        <f>AVERAGE(P3642:P3662)</f>
        <v>15626.470588235294</v>
      </c>
      <c r="W3663" s="290"/>
      <c r="X3663" s="444"/>
    </row>
    <row r="3664" spans="1:24" ht="15" customHeight="1">
      <c r="A3664" s="29">
        <v>41030</v>
      </c>
      <c r="B3664" s="9">
        <v>197950</v>
      </c>
      <c r="C3664" s="31">
        <v>61525</v>
      </c>
      <c r="D3664" s="31" t="e">
        <f>E3664-(#REF!+#REF!+C3664)</f>
        <v>#REF!</v>
      </c>
      <c r="E3664" s="31">
        <v>359500</v>
      </c>
      <c r="F3664" s="30">
        <v>500</v>
      </c>
      <c r="G3664" s="31">
        <v>2100</v>
      </c>
      <c r="H3664" s="31">
        <v>86850</v>
      </c>
      <c r="I3664" s="118">
        <f>H3664/E3664</f>
        <v>0.2415855354659249</v>
      </c>
      <c r="K3664" s="32">
        <v>2150.5</v>
      </c>
      <c r="L3664" s="33">
        <v>2155</v>
      </c>
      <c r="M3664" s="127">
        <f t="shared" si="106"/>
        <v>4.5</v>
      </c>
      <c r="N3664" s="20"/>
      <c r="O3664" s="138"/>
      <c r="P3664" s="208"/>
      <c r="Q3664" s="1362" t="s">
        <v>41</v>
      </c>
      <c r="R3664" s="1362"/>
      <c r="S3664" s="1362"/>
      <c r="T3664" s="1362"/>
      <c r="U3664" s="1362"/>
      <c r="V3664" s="37"/>
      <c r="W3664" s="287"/>
    </row>
    <row r="3665" spans="1:23" ht="15" customHeight="1">
      <c r="A3665" s="3">
        <v>41031</v>
      </c>
      <c r="B3665" s="9">
        <v>196950</v>
      </c>
      <c r="C3665" s="5">
        <v>61525</v>
      </c>
      <c r="D3665" s="5" t="e">
        <f>E3665-(#REF!+#REF!+C3665)</f>
        <v>#REF!</v>
      </c>
      <c r="E3665" s="5">
        <v>361000</v>
      </c>
      <c r="F3665" s="4">
        <v>1500</v>
      </c>
      <c r="G3665" s="5">
        <v>0</v>
      </c>
      <c r="H3665" s="5">
        <v>86875</v>
      </c>
      <c r="I3665" s="118">
        <f>H3665/E3665</f>
        <v>0.24065096952908588</v>
      </c>
      <c r="K3665" s="22">
        <v>2143.5</v>
      </c>
      <c r="L3665" s="6">
        <v>2150</v>
      </c>
      <c r="M3665" s="125">
        <f t="shared" si="106"/>
        <v>6.5</v>
      </c>
      <c r="N3665" s="18"/>
      <c r="O3665" s="135"/>
      <c r="P3665" s="175">
        <v>15750</v>
      </c>
      <c r="Q3665" s="25">
        <f>179.34/1131.6</f>
        <v>0.15848356309650055</v>
      </c>
      <c r="U3665" s="384">
        <v>0.1</v>
      </c>
      <c r="W3665" s="285">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18">
        <f>H3666/E3666</f>
        <v>0.23971414695066953</v>
      </c>
      <c r="K3666" s="22">
        <v>2104.5</v>
      </c>
      <c r="L3666" s="6">
        <v>2110</v>
      </c>
      <c r="M3666" s="125">
        <f t="shared" si="106"/>
        <v>5.5</v>
      </c>
      <c r="N3666" s="18"/>
      <c r="O3666" s="135"/>
      <c r="P3666" s="175">
        <v>15700</v>
      </c>
      <c r="Q3666" s="25">
        <f>178.65/1126.9</f>
        <v>0.15853225663324164</v>
      </c>
      <c r="U3666" s="384">
        <v>0.1</v>
      </c>
      <c r="W3666" s="285">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18">
        <f>H3667/E3667</f>
        <v>0.24182185952430774</v>
      </c>
      <c r="K3667" s="22">
        <v>2080</v>
      </c>
      <c r="L3667" s="6">
        <v>2090</v>
      </c>
      <c r="M3667" s="125">
        <f t="shared" si="106"/>
        <v>10</v>
      </c>
      <c r="N3667" s="18"/>
      <c r="O3667" s="135"/>
      <c r="P3667" s="175">
        <v>15650</v>
      </c>
      <c r="Q3667" s="25">
        <f>179.22/1130</f>
        <v>0.15860176991150443</v>
      </c>
      <c r="U3667" s="384">
        <v>0.1</v>
      </c>
      <c r="W3667" s="285">
        <f t="shared" si="107"/>
        <v>2730.3294690265488</v>
      </c>
    </row>
    <row r="3668" spans="1:23" ht="15" customHeight="1">
      <c r="A3668" s="3">
        <v>41036</v>
      </c>
      <c r="B3668" s="9">
        <v>0</v>
      </c>
      <c r="C3668" s="24"/>
      <c r="D3668" s="24"/>
      <c r="E3668" s="24"/>
      <c r="F3668" s="1318" t="s">
        <v>39</v>
      </c>
      <c r="G3668" s="1318"/>
      <c r="H3668" s="1318"/>
      <c r="I3668" s="1318"/>
      <c r="J3668" s="5"/>
      <c r="K3668" s="24"/>
      <c r="L3668" s="24"/>
      <c r="M3668" s="24"/>
      <c r="N3668" s="18"/>
      <c r="O3668" s="135"/>
      <c r="P3668" s="175">
        <v>15575</v>
      </c>
      <c r="Q3668" s="25">
        <f>179.43/1131.5</f>
        <v>0.15857711003093239</v>
      </c>
      <c r="U3668" s="384">
        <v>0.1</v>
      </c>
      <c r="W3668" s="285">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18">
        <f t="shared" ref="I3669:I3686" si="108">H3669/E3669</f>
        <v>0.23750087651637333</v>
      </c>
      <c r="K3669" s="22">
        <v>2077.5</v>
      </c>
      <c r="L3669" s="6">
        <v>2085</v>
      </c>
      <c r="M3669" s="125">
        <f t="shared" si="106"/>
        <v>7.5</v>
      </c>
      <c r="N3669" s="18"/>
      <c r="O3669" s="135"/>
      <c r="P3669" s="175">
        <v>15600</v>
      </c>
      <c r="Q3669" s="25">
        <f>180.55/1138.9</f>
        <v>0.15853016068135919</v>
      </c>
      <c r="U3669" s="384">
        <v>0.1</v>
      </c>
      <c r="W3669" s="285">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18">
        <f t="shared" si="108"/>
        <v>0.2352858051296545</v>
      </c>
      <c r="K3670" s="22">
        <v>2036</v>
      </c>
      <c r="L3670" s="6">
        <v>2047</v>
      </c>
      <c r="M3670" s="125">
        <f t="shared" si="106"/>
        <v>11</v>
      </c>
      <c r="N3670" s="18"/>
      <c r="O3670" s="135"/>
      <c r="P3670" s="175">
        <v>15550</v>
      </c>
      <c r="Q3670" s="25">
        <f>180.04/1135.7</f>
        <v>0.15852778022365061</v>
      </c>
      <c r="U3670" s="384">
        <v>0.1</v>
      </c>
      <c r="W3670" s="285">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18">
        <f t="shared" si="108"/>
        <v>0.23272134401361028</v>
      </c>
      <c r="K3671" s="22">
        <v>2063</v>
      </c>
      <c r="L3671" s="6">
        <v>2076.5</v>
      </c>
      <c r="M3671" s="125">
        <f t="shared" si="106"/>
        <v>13.5</v>
      </c>
      <c r="N3671" s="18"/>
      <c r="O3671" s="135"/>
      <c r="P3671" s="175">
        <v>15550</v>
      </c>
      <c r="Q3671" s="25">
        <f>180.66/1140</f>
        <v>0.15847368421052632</v>
      </c>
      <c r="U3671" s="384">
        <v>0.1</v>
      </c>
      <c r="W3671" s="285">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18">
        <f t="shared" si="108"/>
        <v>0.23182752996241401</v>
      </c>
      <c r="K3672" s="22">
        <v>2053</v>
      </c>
      <c r="L3672" s="6">
        <v>2065</v>
      </c>
      <c r="M3672" s="125">
        <f t="shared" si="106"/>
        <v>12</v>
      </c>
      <c r="N3672" s="18"/>
      <c r="O3672" s="135"/>
      <c r="P3672" s="175">
        <v>15500</v>
      </c>
      <c r="Q3672" s="25">
        <f>180.94/1142.5</f>
        <v>0.15837199124726478</v>
      </c>
      <c r="U3672" s="384">
        <v>0.1</v>
      </c>
      <c r="W3672" s="285">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18">
        <f t="shared" si="108"/>
        <v>0.23128237882336242</v>
      </c>
      <c r="K3673" s="22">
        <v>2026.5</v>
      </c>
      <c r="L3673" s="6">
        <v>2036</v>
      </c>
      <c r="M3673" s="125">
        <f t="shared" si="106"/>
        <v>9.5</v>
      </c>
      <c r="N3673" s="18"/>
      <c r="O3673" s="135"/>
      <c r="P3673" s="175">
        <v>15500</v>
      </c>
      <c r="Q3673" s="25">
        <f>181.48/1145.2</f>
        <v>0.15847013622074746</v>
      </c>
      <c r="U3673" s="384">
        <v>0.1</v>
      </c>
      <c r="W3673" s="285">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18">
        <f t="shared" si="108"/>
        <v>0.22660818713450293</v>
      </c>
      <c r="K3674" s="22">
        <v>2016.5</v>
      </c>
      <c r="L3674" s="6">
        <v>2020</v>
      </c>
      <c r="M3674" s="125">
        <f t="shared" si="106"/>
        <v>3.5</v>
      </c>
      <c r="N3674" s="18"/>
      <c r="O3674" s="135"/>
      <c r="P3674" s="175">
        <v>15450</v>
      </c>
      <c r="Q3674" s="25">
        <f>181.72/1148.7</f>
        <v>0.15819622181596588</v>
      </c>
      <c r="U3674" s="384">
        <v>0.1</v>
      </c>
      <c r="W3674" s="285">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18">
        <f t="shared" si="108"/>
        <v>0.2270036905507973</v>
      </c>
      <c r="K3675" s="22">
        <v>1973</v>
      </c>
      <c r="L3675" s="6">
        <v>1984</v>
      </c>
      <c r="M3675" s="125">
        <f t="shared" si="106"/>
        <v>11</v>
      </c>
      <c r="N3675" s="18"/>
      <c r="O3675" s="135"/>
      <c r="P3675" s="175">
        <v>15400</v>
      </c>
      <c r="Q3675" s="25">
        <f>182.67/1154.1</f>
        <v>0.15827917858071225</v>
      </c>
      <c r="U3675" s="384">
        <v>0.1</v>
      </c>
      <c r="W3675" s="285">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18">
        <f t="shared" si="108"/>
        <v>0.22689602339995821</v>
      </c>
      <c r="K3676" s="22">
        <v>1930</v>
      </c>
      <c r="L3676" s="6">
        <v>1941</v>
      </c>
      <c r="M3676" s="125">
        <f t="shared" si="106"/>
        <v>11</v>
      </c>
      <c r="N3676" s="18"/>
      <c r="O3676" s="135"/>
      <c r="P3676" s="175">
        <v>15300</v>
      </c>
      <c r="Q3676" s="25">
        <f>183.78/1161.9</f>
        <v>0.15817195972114639</v>
      </c>
      <c r="U3676" s="384">
        <v>0.1</v>
      </c>
      <c r="W3676" s="285">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18">
        <f t="shared" si="108"/>
        <v>0.22518684081860724</v>
      </c>
      <c r="K3677" s="22">
        <v>1950</v>
      </c>
      <c r="L3677" s="6">
        <v>1959</v>
      </c>
      <c r="M3677" s="125">
        <f t="shared" si="106"/>
        <v>9</v>
      </c>
      <c r="N3677" s="18"/>
      <c r="O3677" s="135"/>
      <c r="P3677" s="175">
        <v>15200</v>
      </c>
      <c r="Q3677" s="25">
        <f>183.88/1163.2</f>
        <v>0.15808115543328746</v>
      </c>
      <c r="U3677" s="384">
        <v>0.1</v>
      </c>
      <c r="W3677" s="285">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18">
        <f t="shared" si="108"/>
        <v>0.22178770949720669</v>
      </c>
      <c r="K3678" s="22">
        <v>1942</v>
      </c>
      <c r="L3678" s="6">
        <v>1956</v>
      </c>
      <c r="M3678" s="125">
        <f t="shared" si="106"/>
        <v>14</v>
      </c>
      <c r="N3678" s="18"/>
      <c r="O3678" s="135"/>
      <c r="P3678" s="175">
        <v>15250</v>
      </c>
      <c r="Q3678" s="25">
        <f>185.38/1173.1</f>
        <v>0.15802574375586054</v>
      </c>
      <c r="U3678" s="384">
        <v>0.1</v>
      </c>
      <c r="W3678" s="285">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18">
        <f t="shared" si="108"/>
        <v>0.22026308424293312</v>
      </c>
      <c r="K3679" s="22">
        <v>1928.5</v>
      </c>
      <c r="L3679" s="6">
        <v>1940</v>
      </c>
      <c r="M3679" s="125">
        <f t="shared" si="106"/>
        <v>11.5</v>
      </c>
      <c r="N3679" s="18"/>
      <c r="O3679" s="135"/>
      <c r="P3679" s="175">
        <v>15275</v>
      </c>
      <c r="Q3679" s="25">
        <f>184.37/1166.7</f>
        <v>0.15802691351675666</v>
      </c>
      <c r="U3679" s="384">
        <v>0.1</v>
      </c>
      <c r="W3679" s="285">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18">
        <f t="shared" si="108"/>
        <v>0.21233554958268497</v>
      </c>
      <c r="K3680" s="22">
        <v>1922</v>
      </c>
      <c r="L3680" s="6">
        <v>1934</v>
      </c>
      <c r="M3680" s="125">
        <f t="shared" si="106"/>
        <v>12</v>
      </c>
      <c r="N3680" s="18"/>
      <c r="O3680" s="135"/>
      <c r="P3680" s="175">
        <v>15250</v>
      </c>
      <c r="Q3680" s="25">
        <f>184.08/1163.9</f>
        <v>0.15815791734685111</v>
      </c>
      <c r="U3680" s="384">
        <v>0.1</v>
      </c>
      <c r="W3680" s="285">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18">
        <f t="shared" si="108"/>
        <v>0.21018295277265636</v>
      </c>
      <c r="K3681" s="22">
        <v>1934</v>
      </c>
      <c r="L3681" s="6">
        <v>1947</v>
      </c>
      <c r="M3681" s="125">
        <f t="shared" si="106"/>
        <v>13</v>
      </c>
      <c r="N3681" s="18"/>
      <c r="P3681" s="175">
        <v>15200</v>
      </c>
      <c r="Q3681" s="25">
        <f>184.96/1171.7</f>
        <v>0.15785610651190579</v>
      </c>
      <c r="U3681" s="384">
        <v>0.1</v>
      </c>
      <c r="W3681" s="285">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18">
        <f t="shared" si="108"/>
        <v>0.20189003436426117</v>
      </c>
      <c r="K3682" s="22">
        <v>1945</v>
      </c>
      <c r="L3682" s="6">
        <v>1958</v>
      </c>
      <c r="M3682" s="125">
        <f t="shared" si="106"/>
        <v>13</v>
      </c>
      <c r="N3682" s="18"/>
      <c r="O3682" s="135"/>
      <c r="P3682" s="175">
        <v>15200</v>
      </c>
      <c r="Q3682" s="25">
        <f>185.54/1177.2</f>
        <v>0.1576112810057764</v>
      </c>
      <c r="U3682" s="384">
        <v>0.1</v>
      </c>
      <c r="W3682" s="285">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18">
        <f t="shared" si="108"/>
        <v>0.19982993197278912</v>
      </c>
      <c r="K3683" s="22">
        <v>1933.5</v>
      </c>
      <c r="L3683" s="6">
        <v>1950</v>
      </c>
      <c r="M3683" s="125">
        <f t="shared" si="106"/>
        <v>16.5</v>
      </c>
      <c r="N3683" s="18"/>
      <c r="O3683" s="135"/>
      <c r="P3683" s="175">
        <v>15200</v>
      </c>
      <c r="Q3683" s="25">
        <f>185.54/1177.2</f>
        <v>0.1576112810057764</v>
      </c>
      <c r="U3683" s="384">
        <v>0.1</v>
      </c>
      <c r="W3683" s="285">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18">
        <f t="shared" si="108"/>
        <v>0.19532530463906506</v>
      </c>
      <c r="K3684" s="22">
        <v>1932</v>
      </c>
      <c r="L3684" s="6">
        <v>1945</v>
      </c>
      <c r="M3684" s="125">
        <f t="shared" si="106"/>
        <v>13</v>
      </c>
      <c r="N3684" s="18"/>
      <c r="O3684" s="135"/>
      <c r="P3684" s="175">
        <v>15250</v>
      </c>
      <c r="Q3684" s="25">
        <f>186.03/1180.4</f>
        <v>0.15759911894273126</v>
      </c>
      <c r="U3684" s="384">
        <v>0.1</v>
      </c>
      <c r="W3684" s="285">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18">
        <f t="shared" si="108"/>
        <v>0.18854159216078964</v>
      </c>
      <c r="K3685" s="22">
        <v>1912.5</v>
      </c>
      <c r="L3685" s="6">
        <v>1929.5</v>
      </c>
      <c r="M3685" s="125">
        <f t="shared" si="106"/>
        <v>17</v>
      </c>
      <c r="N3685" s="18"/>
      <c r="O3685" s="135"/>
      <c r="P3685" s="175">
        <v>15175</v>
      </c>
      <c r="Q3685" s="25">
        <f>185.66/1178.6</f>
        <v>0.15752587816052946</v>
      </c>
      <c r="U3685" s="384">
        <v>0.1</v>
      </c>
      <c r="W3685" s="285">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18">
        <f t="shared" si="108"/>
        <v>0.18629764714295929</v>
      </c>
      <c r="K3686" s="22">
        <v>1922.5</v>
      </c>
      <c r="L3686" s="6">
        <v>1941</v>
      </c>
      <c r="M3686" s="125">
        <f t="shared" si="106"/>
        <v>18.5</v>
      </c>
      <c r="N3686" s="113">
        <f>AVERAGE(K3664:K3686)</f>
        <v>1998.909090909091</v>
      </c>
      <c r="O3686" s="145">
        <f>AVERAGE(K3575:K3686)</f>
        <v>2068.0952380952381</v>
      </c>
      <c r="P3686" s="175">
        <v>15100</v>
      </c>
      <c r="Q3686" s="25">
        <f>185.25/1177.8</f>
        <v>0.15728476821192053</v>
      </c>
      <c r="U3686" s="384">
        <v>0.1</v>
      </c>
      <c r="W3686" s="285">
        <f t="shared" si="107"/>
        <v>2612.5</v>
      </c>
    </row>
    <row r="3687" spans="1:24" s="116" customFormat="1" ht="15" customHeight="1" thickBot="1">
      <c r="A3687" s="215"/>
      <c r="B3687" s="1366"/>
      <c r="C3687" s="1366"/>
      <c r="D3687" s="1366"/>
      <c r="E3687" s="215"/>
      <c r="F3687" s="405">
        <f>SUM(F3664:F3686)</f>
        <v>19450</v>
      </c>
      <c r="G3687" s="112">
        <f>SUM(G3664:G3686)</f>
        <v>30975</v>
      </c>
      <c r="H3687" s="112"/>
      <c r="I3687" s="124"/>
      <c r="J3687" s="124"/>
      <c r="K3687" s="109"/>
      <c r="L3687" s="114"/>
      <c r="M3687" s="129"/>
      <c r="N3687" s="115"/>
      <c r="O3687" s="147"/>
      <c r="P3687" s="180"/>
      <c r="Q3687" s="154"/>
      <c r="R3687" s="154"/>
      <c r="S3687" s="154"/>
      <c r="T3687" s="154"/>
      <c r="U3687" s="387"/>
      <c r="V3687" s="153">
        <f>AVERAGE(P3665:P3686)</f>
        <v>15392.045454545454</v>
      </c>
      <c r="W3687" s="290"/>
      <c r="X3687" s="444"/>
    </row>
    <row r="3688" spans="1:24" ht="15" customHeight="1">
      <c r="A3688" s="29">
        <v>41061</v>
      </c>
      <c r="B3688" s="9">
        <v>190150</v>
      </c>
      <c r="C3688" s="31">
        <v>68000</v>
      </c>
      <c r="D3688" s="31" t="e">
        <f>E3688-(#REF!+#REF!+C3688)</f>
        <v>#REF!</v>
      </c>
      <c r="E3688" s="31">
        <v>348175</v>
      </c>
      <c r="F3688" s="30">
        <v>500</v>
      </c>
      <c r="G3688" s="31">
        <v>1900</v>
      </c>
      <c r="H3688" s="31">
        <v>63225</v>
      </c>
      <c r="I3688" s="118">
        <f>H3688/E3688</f>
        <v>0.18158971781431751</v>
      </c>
      <c r="K3688" s="32">
        <v>1880.5</v>
      </c>
      <c r="L3688" s="33">
        <v>1898</v>
      </c>
      <c r="M3688" s="127">
        <f t="shared" si="106"/>
        <v>17.5</v>
      </c>
      <c r="N3688" s="20"/>
      <c r="O3688" s="138"/>
      <c r="P3688" s="178">
        <v>15000</v>
      </c>
      <c r="Q3688" s="34">
        <f>185.53/1181.6</f>
        <v>0.15701591062965473</v>
      </c>
      <c r="R3688" s="34"/>
      <c r="S3688" s="34"/>
      <c r="T3688" s="34"/>
      <c r="U3688" s="386">
        <v>0.1</v>
      </c>
      <c r="V3688" s="37"/>
      <c r="W3688" s="285">
        <f t="shared" ref="W3688:W3702" si="109">(P3688*Q3688)*(1+U3688)</f>
        <v>2590.7625253893029</v>
      </c>
    </row>
    <row r="3689" spans="1:24" ht="15" customHeight="1">
      <c r="A3689" s="3">
        <v>41064</v>
      </c>
      <c r="B3689" s="9">
        <v>0</v>
      </c>
      <c r="C3689" s="24"/>
      <c r="D3689" s="24"/>
      <c r="E3689" s="24"/>
      <c r="F3689" s="1318" t="s">
        <v>38</v>
      </c>
      <c r="G3689" s="1318"/>
      <c r="H3689" s="1318"/>
      <c r="I3689" s="1318"/>
      <c r="J3689" s="5"/>
      <c r="K3689" s="24"/>
      <c r="L3689" s="24"/>
      <c r="M3689" s="24"/>
      <c r="N3689" s="18"/>
      <c r="O3689" s="135"/>
      <c r="P3689" s="175">
        <v>15000</v>
      </c>
      <c r="Q3689" s="25">
        <f>185.3/1180.3</f>
        <v>0.15699398458019148</v>
      </c>
      <c r="U3689" s="384">
        <v>0.1</v>
      </c>
      <c r="W3689" s="285">
        <f t="shared" si="109"/>
        <v>2590.4007455731594</v>
      </c>
    </row>
    <row r="3690" spans="1:24" ht="15" customHeight="1">
      <c r="A3690" s="3">
        <v>41065</v>
      </c>
      <c r="B3690" s="9">
        <v>0</v>
      </c>
      <c r="C3690" s="24"/>
      <c r="D3690" s="24"/>
      <c r="E3690" s="24"/>
      <c r="F3690" s="1318"/>
      <c r="G3690" s="1318"/>
      <c r="H3690" s="1318"/>
      <c r="I3690" s="1318"/>
      <c r="J3690" s="5"/>
      <c r="K3690" s="24"/>
      <c r="L3690" s="24"/>
      <c r="M3690" s="24"/>
      <c r="N3690" s="18"/>
      <c r="O3690" s="135"/>
      <c r="P3690" s="175">
        <v>15075</v>
      </c>
      <c r="Q3690" s="25">
        <f>185.69/1181.8</f>
        <v>0.15712472499576918</v>
      </c>
      <c r="U3690" s="384">
        <v>0.1</v>
      </c>
      <c r="W3690" s="285">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18">
        <f t="shared" ref="I3691:I3708" si="110">H3691/E3691</f>
        <v>0.1761646803900325</v>
      </c>
      <c r="K3691" s="22">
        <v>1907.5</v>
      </c>
      <c r="L3691" s="6">
        <v>1929</v>
      </c>
      <c r="M3691" s="125">
        <f t="shared" ref="M3691:M3750" si="111">L3691-K3691</f>
        <v>21.5</v>
      </c>
      <c r="N3691" s="18"/>
      <c r="O3691" s="135"/>
      <c r="P3691" s="175">
        <v>15100</v>
      </c>
      <c r="Q3691" s="25">
        <f>185.69/1181.8</f>
        <v>0.15712472499576918</v>
      </c>
      <c r="U3691" s="384">
        <v>0.1</v>
      </c>
      <c r="W3691" s="285">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18">
        <f t="shared" si="110"/>
        <v>0.17100506146059291</v>
      </c>
      <c r="K3692" s="22">
        <v>1916</v>
      </c>
      <c r="L3692" s="6">
        <v>1939</v>
      </c>
      <c r="M3692" s="125">
        <f t="shared" si="111"/>
        <v>23</v>
      </c>
      <c r="N3692" s="18"/>
      <c r="P3692" s="175">
        <v>15100</v>
      </c>
      <c r="Q3692" s="25">
        <f>185.16/1178.4</f>
        <v>0.15712830957230142</v>
      </c>
      <c r="U3692" s="384">
        <v>0.1</v>
      </c>
      <c r="W3692" s="285">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18">
        <f t="shared" si="110"/>
        <v>0.16897125895895171</v>
      </c>
      <c r="K3693" s="22">
        <v>1884</v>
      </c>
      <c r="L3693" s="6">
        <v>1901</v>
      </c>
      <c r="M3693" s="125">
        <f t="shared" si="111"/>
        <v>17</v>
      </c>
      <c r="N3693" s="18"/>
      <c r="O3693" s="135"/>
      <c r="P3693" s="175">
        <v>15075</v>
      </c>
      <c r="Q3693" s="25">
        <f>183.96/1170.7</f>
        <v>0.1571367557871359</v>
      </c>
      <c r="U3693" s="384">
        <v>0.1</v>
      </c>
      <c r="W3693" s="285">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18">
        <f t="shared" si="110"/>
        <v>0.16815314335436155</v>
      </c>
      <c r="K3694" s="22">
        <v>1895</v>
      </c>
      <c r="L3694" s="6">
        <v>1906.5</v>
      </c>
      <c r="M3694" s="125">
        <f t="shared" si="111"/>
        <v>11.5</v>
      </c>
      <c r="N3694" s="18"/>
      <c r="O3694" s="135"/>
      <c r="P3694" s="175">
        <v>15100</v>
      </c>
      <c r="Q3694" s="25">
        <f>184.14/1173</f>
        <v>0.15698209718670075</v>
      </c>
      <c r="U3694" s="384">
        <v>0.1</v>
      </c>
      <c r="W3694" s="285">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18">
        <f t="shared" si="110"/>
        <v>0.16597841049047307</v>
      </c>
      <c r="K3695" s="22">
        <v>1893.5</v>
      </c>
      <c r="L3695" s="6">
        <v>1905</v>
      </c>
      <c r="M3695" s="125">
        <f t="shared" si="111"/>
        <v>11.5</v>
      </c>
      <c r="N3695" s="18"/>
      <c r="O3695" s="135"/>
      <c r="P3695" s="175">
        <v>15050</v>
      </c>
      <c r="Q3695" s="25">
        <f>183.23/1167</f>
        <v>0.15700942587832048</v>
      </c>
      <c r="U3695" s="384">
        <v>0.1</v>
      </c>
      <c r="W3695" s="285">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18">
        <f t="shared" si="110"/>
        <v>0.16515492344532326</v>
      </c>
      <c r="K3696" s="22">
        <v>1883</v>
      </c>
      <c r="L3696" s="6">
        <v>1897</v>
      </c>
      <c r="M3696" s="125">
        <f t="shared" si="111"/>
        <v>14</v>
      </c>
      <c r="N3696" s="18"/>
      <c r="O3696" s="135"/>
      <c r="P3696" s="175">
        <v>15075</v>
      </c>
      <c r="Q3696" s="25">
        <f>183.74/1170.5</f>
        <v>0.15697565143101239</v>
      </c>
      <c r="U3696" s="384">
        <v>0.1</v>
      </c>
      <c r="W3696" s="285">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18">
        <f t="shared" si="110"/>
        <v>0.16394157401351647</v>
      </c>
      <c r="K3697" s="22">
        <v>1885</v>
      </c>
      <c r="L3697" s="6">
        <v>1898</v>
      </c>
      <c r="M3697" s="125">
        <f t="shared" si="111"/>
        <v>13</v>
      </c>
      <c r="N3697" s="18"/>
      <c r="O3697" s="135"/>
      <c r="P3697" s="175">
        <v>15050</v>
      </c>
      <c r="Q3697" s="25">
        <f>183.36/1167.8</f>
        <v>0.15701318718958729</v>
      </c>
      <c r="U3697" s="384">
        <v>0.1</v>
      </c>
      <c r="W3697" s="285">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18">
        <f t="shared" si="110"/>
        <v>0.16250906453952138</v>
      </c>
      <c r="K3698" s="22">
        <v>1914.5</v>
      </c>
      <c r="L3698" s="6">
        <v>1930</v>
      </c>
      <c r="M3698" s="125">
        <f t="shared" si="111"/>
        <v>15.5</v>
      </c>
      <c r="N3698" s="18"/>
      <c r="O3698" s="135"/>
      <c r="P3698" s="175">
        <v>15100</v>
      </c>
      <c r="Q3698" s="25">
        <f>183.16/1166.8</f>
        <v>0.15697634556050738</v>
      </c>
      <c r="U3698" s="384">
        <v>0.1</v>
      </c>
      <c r="W3698" s="285">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18">
        <f t="shared" si="110"/>
        <v>0.16231694939828911</v>
      </c>
      <c r="K3699" s="22">
        <v>1893.5</v>
      </c>
      <c r="L3699" s="6">
        <v>1909</v>
      </c>
      <c r="M3699" s="125">
        <f t="shared" si="111"/>
        <v>15.5</v>
      </c>
      <c r="N3699" s="18"/>
      <c r="O3699" s="135"/>
      <c r="P3699" s="175">
        <v>15150</v>
      </c>
      <c r="Q3699" s="25">
        <f>182.86/1164</f>
        <v>0.15709621993127149</v>
      </c>
      <c r="U3699" s="384">
        <v>0.1</v>
      </c>
      <c r="W3699" s="285">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18">
        <f t="shared" si="110"/>
        <v>0.16164542294322132</v>
      </c>
      <c r="K3700" s="22">
        <v>1885.5</v>
      </c>
      <c r="L3700" s="6">
        <v>1904</v>
      </c>
      <c r="M3700" s="125">
        <f t="shared" si="111"/>
        <v>18.5</v>
      </c>
      <c r="N3700" s="18"/>
      <c r="O3700" s="135"/>
      <c r="P3700" s="175">
        <v>15100</v>
      </c>
      <c r="Q3700" s="25">
        <f>182.22/1158.4</f>
        <v>0.15730317679558009</v>
      </c>
      <c r="U3700" s="384">
        <v>0.1</v>
      </c>
      <c r="W3700" s="285">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18">
        <f t="shared" si="110"/>
        <v>0.16026795361233162</v>
      </c>
      <c r="K3701" s="22">
        <v>1899</v>
      </c>
      <c r="L3701" s="6">
        <v>1915</v>
      </c>
      <c r="M3701" s="125">
        <f t="shared" si="111"/>
        <v>16</v>
      </c>
      <c r="N3701" s="18"/>
      <c r="O3701" s="135"/>
      <c r="P3701" s="175">
        <v>15100</v>
      </c>
      <c r="Q3701" s="25">
        <f>182.26/1158.2</f>
        <v>0.15736487653255049</v>
      </c>
      <c r="U3701" s="384">
        <v>0.1</v>
      </c>
      <c r="W3701" s="285">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18">
        <f t="shared" si="110"/>
        <v>0.16014696347525395</v>
      </c>
      <c r="K3702" s="22">
        <v>1842</v>
      </c>
      <c r="L3702" s="6">
        <v>1862</v>
      </c>
      <c r="M3702" s="125">
        <f t="shared" si="111"/>
        <v>20</v>
      </c>
      <c r="N3702" s="18"/>
      <c r="O3702" s="135"/>
      <c r="P3702" s="175">
        <v>15000</v>
      </c>
      <c r="Q3702" s="25">
        <f>181.25/1152.7</f>
        <v>0.15723952459443047</v>
      </c>
      <c r="U3702" s="384">
        <v>0.1</v>
      </c>
      <c r="W3702" s="285">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18">
        <f t="shared" si="110"/>
        <v>0.15726495726495726</v>
      </c>
      <c r="K3703" s="22">
        <v>1791.5</v>
      </c>
      <c r="L3703" s="6">
        <v>1815</v>
      </c>
      <c r="M3703" s="125">
        <f t="shared" si="111"/>
        <v>23.5</v>
      </c>
      <c r="N3703" s="18"/>
      <c r="O3703" s="135"/>
      <c r="P3703" s="207"/>
      <c r="Q3703" s="1363" t="s">
        <v>41</v>
      </c>
      <c r="R3703" s="1363"/>
      <c r="S3703" s="1363"/>
      <c r="T3703" s="1363"/>
      <c r="U3703" s="1363"/>
      <c r="W3703" s="288"/>
    </row>
    <row r="3704" spans="1:24" ht="15" customHeight="1">
      <c r="A3704" s="3">
        <v>41085</v>
      </c>
      <c r="B3704" s="9">
        <v>200600</v>
      </c>
      <c r="C3704" s="5">
        <v>68425</v>
      </c>
      <c r="D3704" s="5" t="e">
        <f>E3704-(#REF!+#REF!+C3704)</f>
        <v>#REF!</v>
      </c>
      <c r="E3704" s="5">
        <v>351150</v>
      </c>
      <c r="F3704" s="4">
        <v>400</v>
      </c>
      <c r="G3704" s="5">
        <v>250</v>
      </c>
      <c r="H3704" s="5">
        <v>54975</v>
      </c>
      <c r="I3704" s="118">
        <f t="shared" si="110"/>
        <v>0.15655702691157625</v>
      </c>
      <c r="K3704" s="22">
        <v>1792.5</v>
      </c>
      <c r="L3704" s="6">
        <v>1805.5</v>
      </c>
      <c r="M3704" s="125">
        <f t="shared" si="111"/>
        <v>13</v>
      </c>
      <c r="N3704" s="18"/>
      <c r="O3704" s="135"/>
      <c r="P3704" s="175">
        <v>14950</v>
      </c>
      <c r="Q3704" s="25">
        <f>181.81/1157.2</f>
        <v>0.15711199446940891</v>
      </c>
      <c r="U3704" s="384">
        <v>0.1</v>
      </c>
      <c r="W3704" s="285">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18">
        <f t="shared" si="110"/>
        <v>0.15579787613142329</v>
      </c>
      <c r="K3705" s="22">
        <v>1768</v>
      </c>
      <c r="L3705" s="6">
        <v>1782</v>
      </c>
      <c r="M3705" s="125">
        <f t="shared" si="111"/>
        <v>14</v>
      </c>
      <c r="N3705" s="18"/>
      <c r="O3705" s="135"/>
      <c r="P3705" s="175">
        <v>14875</v>
      </c>
      <c r="Q3705" s="25">
        <f>182.42/1160.8</f>
        <v>0.15715024121295657</v>
      </c>
      <c r="U3705" s="384">
        <v>0.1</v>
      </c>
      <c r="W3705" s="285">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18">
        <f t="shared" si="110"/>
        <v>0.15423487544483985</v>
      </c>
      <c r="K3706" s="22">
        <v>1744</v>
      </c>
      <c r="L3706" s="6">
        <v>1760</v>
      </c>
      <c r="M3706" s="125">
        <f t="shared" si="111"/>
        <v>16</v>
      </c>
      <c r="N3706" s="18"/>
      <c r="O3706" s="135"/>
      <c r="P3706" s="175">
        <v>14600</v>
      </c>
      <c r="Q3706" s="25">
        <f>182.29/1159.9</f>
        <v>0.15716010000862141</v>
      </c>
      <c r="U3706" s="384">
        <v>0.1</v>
      </c>
      <c r="W3706" s="285">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18">
        <f t="shared" si="110"/>
        <v>0.15296885023879109</v>
      </c>
      <c r="K3707" s="22">
        <v>1769</v>
      </c>
      <c r="L3707" s="6">
        <v>1784.5</v>
      </c>
      <c r="M3707" s="125">
        <f t="shared" si="111"/>
        <v>15.5</v>
      </c>
      <c r="N3707" s="18"/>
      <c r="O3707" s="135"/>
      <c r="P3707" s="175">
        <v>14550</v>
      </c>
      <c r="Q3707" s="25">
        <f>182.02/1157.1</f>
        <v>0.15730706075533663</v>
      </c>
      <c r="U3707" s="384">
        <v>0.1</v>
      </c>
      <c r="W3707" s="285">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18">
        <f t="shared" si="110"/>
        <v>0.15158435626605765</v>
      </c>
      <c r="K3708" s="22">
        <v>1796</v>
      </c>
      <c r="L3708" s="6">
        <v>1813</v>
      </c>
      <c r="M3708" s="125">
        <f t="shared" si="111"/>
        <v>17</v>
      </c>
      <c r="N3708" s="113">
        <f>AVERAGE(K3688:K3708)</f>
        <v>1854.7368421052631</v>
      </c>
      <c r="O3708" s="145">
        <f>AVERAGE(K3575:K3708)</f>
        <v>2035.4032258064517</v>
      </c>
      <c r="P3708" s="175">
        <v>14650</v>
      </c>
      <c r="Q3708" s="25">
        <f>181.49/1153.8</f>
        <v>0.15729762523834287</v>
      </c>
      <c r="U3708" s="384">
        <v>0.1</v>
      </c>
      <c r="W3708" s="285">
        <f>(P3708*Q3708)*(1+U3708)</f>
        <v>2534.8512307158958</v>
      </c>
    </row>
    <row r="3709" spans="1:24" s="116" customFormat="1" ht="15" customHeight="1" thickBot="1">
      <c r="A3709" s="215"/>
      <c r="B3709" s="1366"/>
      <c r="C3709" s="1366"/>
      <c r="D3709" s="1366"/>
      <c r="E3709" s="215"/>
      <c r="F3709" s="405">
        <f>SUM(F3688:F3708)</f>
        <v>13750</v>
      </c>
      <c r="G3709" s="112">
        <f>SUM(G3688:G3708)</f>
        <v>13025</v>
      </c>
      <c r="H3709" s="112"/>
      <c r="I3709" s="124"/>
      <c r="J3709" s="124"/>
      <c r="K3709" s="109"/>
      <c r="L3709" s="114"/>
      <c r="M3709" s="129"/>
      <c r="N3709" s="115"/>
      <c r="O3709" s="147"/>
      <c r="P3709" s="180"/>
      <c r="Q3709" s="154"/>
      <c r="R3709" s="154"/>
      <c r="S3709" s="154"/>
      <c r="T3709" s="154"/>
      <c r="U3709" s="387"/>
      <c r="V3709" s="153">
        <f>AVERAGE(P3688:P3708)</f>
        <v>14985</v>
      </c>
      <c r="W3709" s="290"/>
      <c r="X3709" s="444"/>
    </row>
    <row r="3710" spans="1:24" ht="15" customHeight="1">
      <c r="A3710" s="29">
        <v>41092</v>
      </c>
      <c r="B3710" s="9">
        <v>201850</v>
      </c>
      <c r="C3710" s="31">
        <v>68425</v>
      </c>
      <c r="D3710" s="31" t="e">
        <f>E3710-(#REF!+#REF!+C3710)</f>
        <v>#REF!</v>
      </c>
      <c r="E3710" s="31">
        <v>349725</v>
      </c>
      <c r="F3710" s="30">
        <v>0</v>
      </c>
      <c r="G3710" s="31">
        <v>575</v>
      </c>
      <c r="H3710" s="31">
        <v>52525</v>
      </c>
      <c r="I3710" s="118">
        <f t="shared" ref="I3710:I3731" si="112">H3710/E3710</f>
        <v>0.15018943455572234</v>
      </c>
      <c r="K3710" s="32">
        <v>1851.5</v>
      </c>
      <c r="L3710" s="33">
        <v>1868</v>
      </c>
      <c r="M3710" s="127">
        <f t="shared" si="111"/>
        <v>16.5</v>
      </c>
      <c r="N3710" s="20"/>
      <c r="O3710" s="138"/>
      <c r="P3710" s="178">
        <v>14775</v>
      </c>
      <c r="Q3710" s="34">
        <f>181.3/1151.9</f>
        <v>0.15739213473391786</v>
      </c>
      <c r="R3710" s="34"/>
      <c r="S3710" s="34"/>
      <c r="T3710" s="34"/>
      <c r="U3710" s="386">
        <v>0.1</v>
      </c>
      <c r="V3710" s="37"/>
      <c r="W3710" s="285">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18">
        <f t="shared" si="112"/>
        <v>0.14941294387170675</v>
      </c>
      <c r="K3711" s="22">
        <v>1900.5</v>
      </c>
      <c r="L3711" s="6">
        <v>1914</v>
      </c>
      <c r="M3711" s="125">
        <f t="shared" si="111"/>
        <v>13.5</v>
      </c>
      <c r="N3711" s="18"/>
      <c r="P3711" s="175">
        <v>14875</v>
      </c>
      <c r="Q3711" s="25">
        <f>180.15/1143.7</f>
        <v>0.15751508262656291</v>
      </c>
      <c r="U3711" s="384">
        <v>0.1</v>
      </c>
      <c r="W3711" s="285">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18">
        <f t="shared" si="112"/>
        <v>0.14695776664280602</v>
      </c>
      <c r="K3712" s="22">
        <v>1895.5</v>
      </c>
      <c r="L3712" s="6">
        <v>1906</v>
      </c>
      <c r="M3712" s="125">
        <f t="shared" si="111"/>
        <v>10.5</v>
      </c>
      <c r="N3712" s="18"/>
      <c r="O3712" s="135"/>
      <c r="P3712" s="175">
        <v>14950</v>
      </c>
      <c r="Q3712" s="25">
        <f>179.71/1141.6</f>
        <v>0.15741941135248774</v>
      </c>
      <c r="U3712" s="384">
        <v>0.1</v>
      </c>
      <c r="W3712" s="285">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18">
        <f t="shared" si="112"/>
        <v>0.14674029979201034</v>
      </c>
      <c r="K3713" s="22">
        <v>1901.5</v>
      </c>
      <c r="L3713" s="6">
        <v>1917</v>
      </c>
      <c r="M3713" s="125">
        <f t="shared" si="111"/>
        <v>15.5</v>
      </c>
      <c r="N3713" s="18"/>
      <c r="O3713" s="135"/>
      <c r="P3713" s="175">
        <v>15000</v>
      </c>
      <c r="Q3713" s="25">
        <f>178.85/1135.3</f>
        <v>0.15753545318418039</v>
      </c>
      <c r="U3713" s="384">
        <v>0.1</v>
      </c>
      <c r="W3713" s="285">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18">
        <f t="shared" si="112"/>
        <v>0.14405624506779541</v>
      </c>
      <c r="K3714" s="22">
        <v>1858</v>
      </c>
      <c r="L3714" s="6">
        <v>1871</v>
      </c>
      <c r="M3714" s="125">
        <f t="shared" si="111"/>
        <v>13</v>
      </c>
      <c r="N3714" s="18"/>
      <c r="O3714" s="135"/>
      <c r="P3714" s="175">
        <v>14950</v>
      </c>
      <c r="Q3714" s="25">
        <f>178.81/1136.5</f>
        <v>0.15733391992960846</v>
      </c>
      <c r="U3714" s="384">
        <v>0.1</v>
      </c>
      <c r="W3714" s="285">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18">
        <f t="shared" si="112"/>
        <v>0.14064636867487224</v>
      </c>
      <c r="K3715" s="22">
        <v>1839.5</v>
      </c>
      <c r="L3715" s="6">
        <v>1855</v>
      </c>
      <c r="M3715" s="125">
        <f t="shared" si="111"/>
        <v>15.5</v>
      </c>
      <c r="N3715" s="18"/>
      <c r="O3715" s="135"/>
      <c r="P3715" s="175">
        <v>14925</v>
      </c>
      <c r="Q3715" s="25">
        <f>178.87/1138.4</f>
        <v>0.15712403373155304</v>
      </c>
      <c r="U3715" s="384">
        <v>0.1</v>
      </c>
      <c r="W3715" s="285">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18">
        <f t="shared" si="112"/>
        <v>0.13825416276219996</v>
      </c>
      <c r="K3716" s="22">
        <v>1863</v>
      </c>
      <c r="L3716" s="6">
        <v>1879</v>
      </c>
      <c r="M3716" s="125">
        <f t="shared" si="111"/>
        <v>16</v>
      </c>
      <c r="N3716" s="18"/>
      <c r="O3716" s="135"/>
      <c r="P3716" s="175">
        <v>15000</v>
      </c>
      <c r="Q3716" s="25">
        <f>179.3/1142.4</f>
        <v>0.15695028011204482</v>
      </c>
      <c r="U3716" s="384">
        <v>0.1</v>
      </c>
      <c r="W3716" s="285">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18">
        <f t="shared" si="112"/>
        <v>0.13548806002452926</v>
      </c>
      <c r="K3717" s="22">
        <v>1861.5</v>
      </c>
      <c r="L3717" s="6">
        <v>1869</v>
      </c>
      <c r="M3717" s="125">
        <f t="shared" si="111"/>
        <v>7.5</v>
      </c>
      <c r="N3717" s="18"/>
      <c r="O3717" s="135"/>
      <c r="P3717" s="175">
        <v>14975</v>
      </c>
      <c r="Q3717" s="25">
        <f>179.57/1143.1</f>
        <v>0.15709036829673695</v>
      </c>
      <c r="U3717" s="384">
        <v>0.1</v>
      </c>
      <c r="W3717" s="285">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18">
        <f t="shared" si="112"/>
        <v>0.1378886478669559</v>
      </c>
      <c r="K3718" s="22">
        <v>1830</v>
      </c>
      <c r="L3718" s="6">
        <v>1845</v>
      </c>
      <c r="M3718" s="125">
        <f t="shared" si="111"/>
        <v>15</v>
      </c>
      <c r="N3718" s="18"/>
      <c r="P3718" s="175">
        <v>14975</v>
      </c>
      <c r="Q3718" s="25">
        <f>179.65/1144.1</f>
        <v>0.15702298750109259</v>
      </c>
      <c r="U3718" s="384">
        <v>0.1</v>
      </c>
      <c r="W3718" s="285">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18">
        <f t="shared" si="112"/>
        <v>0.1352390626133643</v>
      </c>
      <c r="K3719" s="22">
        <v>1874.5</v>
      </c>
      <c r="L3719" s="6">
        <v>1881</v>
      </c>
      <c r="M3719" s="125">
        <f t="shared" si="111"/>
        <v>6.5</v>
      </c>
      <c r="N3719" s="18"/>
      <c r="O3719" s="135"/>
      <c r="P3719" s="175">
        <v>15000</v>
      </c>
      <c r="Q3719" s="25">
        <f>179.78/1145.8</f>
        <v>0.15690347355559436</v>
      </c>
      <c r="U3719" s="384">
        <v>0.1</v>
      </c>
      <c r="W3719" s="285">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18">
        <f t="shared" si="112"/>
        <v>0.13266273051971719</v>
      </c>
      <c r="K3720" s="22">
        <v>1851</v>
      </c>
      <c r="L3720" s="6">
        <v>1869</v>
      </c>
      <c r="M3720" s="125">
        <f t="shared" si="111"/>
        <v>18</v>
      </c>
      <c r="N3720" s="18"/>
      <c r="O3720" s="135"/>
      <c r="P3720" s="175">
        <v>15050</v>
      </c>
      <c r="Q3720" s="25">
        <f>180.49/1151.4</f>
        <v>0.15675699148862254</v>
      </c>
      <c r="U3720" s="384">
        <v>0.1</v>
      </c>
      <c r="W3720" s="285">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18">
        <f t="shared" si="112"/>
        <v>0.13251256647483062</v>
      </c>
      <c r="K3721" s="22">
        <v>1889</v>
      </c>
      <c r="L3721" s="6">
        <v>1908</v>
      </c>
      <c r="M3721" s="125">
        <f t="shared" si="111"/>
        <v>19</v>
      </c>
      <c r="N3721" s="18"/>
      <c r="O3721" s="135"/>
      <c r="P3721" s="175">
        <v>15100</v>
      </c>
      <c r="Q3721" s="25">
        <f>179.91/1147.6</f>
        <v>0.15677065179505054</v>
      </c>
      <c r="U3721" s="384">
        <v>0.1</v>
      </c>
      <c r="W3721" s="285">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18">
        <f t="shared" si="112"/>
        <v>0.14532416215425142</v>
      </c>
      <c r="K3722" s="22">
        <v>1872.5</v>
      </c>
      <c r="L3722" s="6">
        <v>1884</v>
      </c>
      <c r="M3722" s="125">
        <f t="shared" si="111"/>
        <v>11.5</v>
      </c>
      <c r="N3722" s="18"/>
      <c r="O3722" s="135"/>
      <c r="P3722" s="175">
        <v>15100</v>
      </c>
      <c r="Q3722" s="25">
        <f>179.43/1143.5</f>
        <v>0.15691298644512464</v>
      </c>
      <c r="U3722" s="384">
        <v>0.1</v>
      </c>
      <c r="W3722" s="285">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18">
        <f t="shared" si="112"/>
        <v>0.13969235298447044</v>
      </c>
      <c r="K3723" s="22">
        <v>1920.5</v>
      </c>
      <c r="L3723" s="6">
        <v>1928</v>
      </c>
      <c r="M3723" s="125">
        <f t="shared" si="111"/>
        <v>7.5</v>
      </c>
      <c r="N3723" s="18"/>
      <c r="O3723" s="135"/>
      <c r="P3723" s="175">
        <v>15100</v>
      </c>
      <c r="Q3723" s="25">
        <f>179.01/1140.2</f>
        <v>0.15699877214523766</v>
      </c>
      <c r="U3723" s="384">
        <v>0.1</v>
      </c>
      <c r="W3723" s="285">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18">
        <f t="shared" si="112"/>
        <v>0.16337840833518066</v>
      </c>
      <c r="K3724" s="22">
        <v>1899</v>
      </c>
      <c r="L3724" s="6">
        <v>1906</v>
      </c>
      <c r="M3724" s="125">
        <f t="shared" si="111"/>
        <v>7</v>
      </c>
      <c r="N3724" s="18"/>
      <c r="O3724" s="135"/>
      <c r="P3724" s="175">
        <v>15100</v>
      </c>
      <c r="Q3724" s="25">
        <f>178.66/1138.6</f>
        <v>0.156911997189531</v>
      </c>
      <c r="U3724" s="384">
        <v>0.1</v>
      </c>
      <c r="W3724" s="285">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18">
        <f t="shared" si="112"/>
        <v>0.16285119667013528</v>
      </c>
      <c r="K3725" s="22">
        <v>1850.5</v>
      </c>
      <c r="L3725" s="6">
        <v>1859</v>
      </c>
      <c r="M3725" s="125">
        <f t="shared" si="111"/>
        <v>8.5</v>
      </c>
      <c r="N3725" s="18"/>
      <c r="P3725" s="175">
        <v>15000</v>
      </c>
      <c r="Q3725" s="25">
        <f>178.97/1140.7</f>
        <v>0.15689488910318225</v>
      </c>
      <c r="U3725" s="384">
        <v>0.1</v>
      </c>
      <c r="W3725" s="285">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18">
        <f t="shared" si="112"/>
        <v>0.1605196356577572</v>
      </c>
      <c r="K3726" s="22">
        <v>1840.5</v>
      </c>
      <c r="L3726" s="6">
        <v>1852.5</v>
      </c>
      <c r="M3726" s="125">
        <f t="shared" si="111"/>
        <v>12</v>
      </c>
      <c r="N3726" s="18"/>
      <c r="O3726" s="135"/>
      <c r="P3726" s="175">
        <v>14950</v>
      </c>
      <c r="Q3726" s="25">
        <f>179.59/1146.9</f>
        <v>0.15658732234719677</v>
      </c>
      <c r="U3726" s="384">
        <v>0.1</v>
      </c>
      <c r="W3726" s="285">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18">
        <f t="shared" si="112"/>
        <v>0.1550946798917944</v>
      </c>
      <c r="K3727" s="22">
        <v>1849</v>
      </c>
      <c r="L3727" s="6">
        <v>1864.5</v>
      </c>
      <c r="M3727" s="125">
        <f t="shared" si="111"/>
        <v>15.5</v>
      </c>
      <c r="N3727" s="18"/>
      <c r="O3727" s="135"/>
      <c r="P3727" s="175">
        <v>14950</v>
      </c>
      <c r="Q3727" s="25">
        <f>179.78/1148.1</f>
        <v>0.15658914728682172</v>
      </c>
      <c r="U3727" s="384">
        <v>0.1</v>
      </c>
      <c r="W3727" s="285">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18">
        <f t="shared" si="112"/>
        <v>0.14837490551776267</v>
      </c>
      <c r="K3728" s="22">
        <v>1870</v>
      </c>
      <c r="L3728" s="6">
        <v>1880</v>
      </c>
      <c r="M3728" s="125">
        <f t="shared" si="111"/>
        <v>10</v>
      </c>
      <c r="N3728" s="18"/>
      <c r="O3728" s="135"/>
      <c r="P3728" s="175">
        <v>14950</v>
      </c>
      <c r="Q3728" s="25">
        <f>180.15/1150.9</f>
        <v>0.15652967243027197</v>
      </c>
      <c r="U3728" s="384">
        <v>0.1</v>
      </c>
      <c r="W3728" s="285">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18">
        <f t="shared" si="112"/>
        <v>0.14165210122349722</v>
      </c>
      <c r="K3729" s="22">
        <v>1907.5</v>
      </c>
      <c r="L3729" s="6">
        <v>1917.5</v>
      </c>
      <c r="M3729" s="125">
        <f t="shared" si="111"/>
        <v>10</v>
      </c>
      <c r="N3729" s="18"/>
      <c r="O3729" s="135"/>
      <c r="P3729" s="175">
        <v>15000</v>
      </c>
      <c r="Q3729" s="25">
        <f>179.69/1147.2</f>
        <v>0.15663354253835424</v>
      </c>
      <c r="U3729" s="384">
        <v>0.1</v>
      </c>
      <c r="W3729" s="285">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18">
        <f t="shared" si="112"/>
        <v>0.13799939005794448</v>
      </c>
      <c r="K3730" s="22">
        <v>1909</v>
      </c>
      <c r="L3730" s="6">
        <v>1917</v>
      </c>
      <c r="M3730" s="125">
        <f t="shared" si="111"/>
        <v>8</v>
      </c>
      <c r="N3730" s="18"/>
      <c r="O3730" s="135"/>
      <c r="P3730" s="175">
        <v>15050</v>
      </c>
      <c r="Q3730" s="25">
        <f>178.64/1139.9</f>
        <v>0.15671550135976839</v>
      </c>
      <c r="U3730" s="384">
        <v>0.1</v>
      </c>
      <c r="W3730" s="285">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18">
        <f t="shared" si="112"/>
        <v>0.13549472396390885</v>
      </c>
      <c r="K3731" s="22">
        <v>1946.5</v>
      </c>
      <c r="L3731" s="6">
        <v>1957</v>
      </c>
      <c r="M3731" s="125">
        <f t="shared" si="111"/>
        <v>10.5</v>
      </c>
      <c r="N3731" s="113">
        <f>AVERAGE(K3710:K3731)</f>
        <v>1876.3863636363637</v>
      </c>
      <c r="O3731" s="145">
        <f>AVERAGE(K3575:K3731)</f>
        <v>2011.4417808219177</v>
      </c>
      <c r="P3731" s="175">
        <v>15050</v>
      </c>
      <c r="Q3731" s="25">
        <f>178.1/1136.2</f>
        <v>0.15675057208237986</v>
      </c>
      <c r="U3731" s="384">
        <v>0.1</v>
      </c>
      <c r="W3731" s="285">
        <f t="shared" ref="W3731:W3754" si="114">(P3731*Q3731)*(1+U3731)</f>
        <v>2595.005720823799</v>
      </c>
    </row>
    <row r="3732" spans="1:24" s="116" customFormat="1" ht="15" customHeight="1" thickBot="1">
      <c r="A3732" s="215"/>
      <c r="B3732" s="1366"/>
      <c r="C3732" s="1366"/>
      <c r="D3732" s="1366"/>
      <c r="E3732" s="215"/>
      <c r="F3732" s="405">
        <f>SUM(F3710:F3731)</f>
        <v>6450</v>
      </c>
      <c r="G3732" s="112">
        <f>SUM(G3710:G3731)</f>
        <v>30700</v>
      </c>
      <c r="H3732" s="112"/>
      <c r="I3732" s="124"/>
      <c r="J3732" s="124"/>
      <c r="K3732" s="109"/>
      <c r="L3732" s="114"/>
      <c r="M3732" s="129"/>
      <c r="N3732" s="115"/>
      <c r="O3732" s="147"/>
      <c r="P3732" s="180"/>
      <c r="Q3732" s="154"/>
      <c r="R3732" s="154"/>
      <c r="S3732" s="154"/>
      <c r="T3732" s="154"/>
      <c r="U3732" s="387"/>
      <c r="V3732" s="153">
        <f>AVERAGE(P3710:P3731)</f>
        <v>14992.045454545454</v>
      </c>
      <c r="W3732" s="290"/>
      <c r="X3732" s="444"/>
    </row>
    <row r="3733" spans="1:24" ht="15" customHeight="1">
      <c r="A3733" s="29">
        <v>41122</v>
      </c>
      <c r="B3733" s="9">
        <v>193800</v>
      </c>
      <c r="C3733" s="31">
        <v>68750</v>
      </c>
      <c r="D3733" s="31" t="e">
        <f>E3733-(#REF!+#REF!+C3733)</f>
        <v>#REF!</v>
      </c>
      <c r="E3733" s="31">
        <v>326775</v>
      </c>
      <c r="F3733" s="30">
        <v>500</v>
      </c>
      <c r="G3733" s="31">
        <v>675</v>
      </c>
      <c r="H3733" s="31">
        <v>44125</v>
      </c>
      <c r="I3733" s="118">
        <f t="shared" ref="I3733:I3750" si="115">H3733/E3733</f>
        <v>0.13503174967485274</v>
      </c>
      <c r="K3733" s="32">
        <v>1886.5</v>
      </c>
      <c r="L3733" s="33">
        <v>1900</v>
      </c>
      <c r="M3733" s="127">
        <f t="shared" si="111"/>
        <v>13.5</v>
      </c>
      <c r="N3733" s="20"/>
      <c r="O3733" s="138"/>
      <c r="P3733" s="178">
        <v>15050</v>
      </c>
      <c r="Q3733" s="34">
        <f>178.12/1133.2</f>
        <v>0.15718319802329686</v>
      </c>
      <c r="R3733" s="34"/>
      <c r="S3733" s="34"/>
      <c r="T3733" s="34"/>
      <c r="U3733" s="386">
        <v>0.1</v>
      </c>
      <c r="V3733" s="37"/>
      <c r="W3733" s="285">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18">
        <f t="shared" si="115"/>
        <v>0.13379960468298616</v>
      </c>
      <c r="K3734" s="22">
        <v>1868.5</v>
      </c>
      <c r="L3734" s="6">
        <v>1882</v>
      </c>
      <c r="M3734" s="125">
        <f t="shared" si="111"/>
        <v>13.5</v>
      </c>
      <c r="N3734" s="18"/>
      <c r="O3734" s="135"/>
      <c r="P3734" s="175">
        <v>15000</v>
      </c>
      <c r="Q3734" s="25">
        <f>177.05/1127.6</f>
        <v>0.15701489890031928</v>
      </c>
      <c r="U3734" s="384">
        <v>0.1</v>
      </c>
      <c r="W3734" s="285">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18">
        <f t="shared" si="115"/>
        <v>0.12916539284622439</v>
      </c>
      <c r="K3735" s="22">
        <v>1862</v>
      </c>
      <c r="L3735" s="6">
        <v>1866.5</v>
      </c>
      <c r="M3735" s="125">
        <f t="shared" si="111"/>
        <v>4.5</v>
      </c>
      <c r="N3735" s="18"/>
      <c r="P3735" s="175">
        <v>15300</v>
      </c>
      <c r="Q3735" s="25">
        <f>177.53/1130.4</f>
        <v>0.15705060155697098</v>
      </c>
      <c r="U3735" s="384">
        <v>0.1</v>
      </c>
      <c r="W3735" s="285">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18">
        <f t="shared" si="115"/>
        <v>0.12769866789159393</v>
      </c>
      <c r="K3736" s="22">
        <v>1868.5</v>
      </c>
      <c r="L3736" s="6">
        <v>1887</v>
      </c>
      <c r="M3736" s="125">
        <f t="shared" si="111"/>
        <v>18.5</v>
      </c>
      <c r="N3736" s="18"/>
      <c r="O3736" s="135"/>
      <c r="P3736" s="175">
        <v>15050</v>
      </c>
      <c r="Q3736" s="25">
        <f>178.2/1135.6</f>
        <v>0.15692145121521664</v>
      </c>
      <c r="U3736" s="384">
        <v>0.1</v>
      </c>
      <c r="W3736" s="285">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18">
        <f t="shared" si="115"/>
        <v>0.12583390844260409</v>
      </c>
      <c r="K3737" s="22">
        <v>1899</v>
      </c>
      <c r="L3737" s="6">
        <v>1910</v>
      </c>
      <c r="M3737" s="125">
        <f t="shared" si="111"/>
        <v>11</v>
      </c>
      <c r="N3737" s="18"/>
      <c r="O3737" s="135"/>
      <c r="P3737" s="175">
        <v>15050</v>
      </c>
      <c r="Q3737" s="25">
        <f>176.73/1126.5</f>
        <v>0.15688415446071904</v>
      </c>
      <c r="U3737" s="384">
        <v>0.1</v>
      </c>
      <c r="W3737" s="285">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18">
        <f t="shared" si="115"/>
        <v>0.12058484032320123</v>
      </c>
      <c r="K3738" s="22">
        <v>1896.5</v>
      </c>
      <c r="L3738" s="6">
        <v>1901.5</v>
      </c>
      <c r="M3738" s="125">
        <f t="shared" si="111"/>
        <v>5</v>
      </c>
      <c r="N3738" s="18"/>
      <c r="O3738" s="135"/>
      <c r="P3738" s="175">
        <v>15100</v>
      </c>
      <c r="Q3738" s="25">
        <f>177.06/1127.3</f>
        <v>0.15706555486560811</v>
      </c>
      <c r="U3738" s="384">
        <v>0.1</v>
      </c>
      <c r="W3738" s="285">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18">
        <f t="shared" si="115"/>
        <v>0.11774243360098827</v>
      </c>
      <c r="K3739" s="22">
        <v>1893</v>
      </c>
      <c r="L3739" s="6">
        <v>1900.5</v>
      </c>
      <c r="M3739" s="125">
        <f t="shared" si="111"/>
        <v>7.5</v>
      </c>
      <c r="N3739" s="18"/>
      <c r="O3739" s="135"/>
      <c r="P3739" s="175">
        <v>15100</v>
      </c>
      <c r="Q3739" s="25">
        <f>177.3/1128</f>
        <v>0.15718085106382979</v>
      </c>
      <c r="U3739" s="384">
        <v>0.1</v>
      </c>
      <c r="W3739" s="285">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18">
        <f t="shared" si="115"/>
        <v>0.11271498771498771</v>
      </c>
      <c r="K3740" s="22">
        <v>1889</v>
      </c>
      <c r="L3740" s="6">
        <v>1900</v>
      </c>
      <c r="M3740" s="125">
        <f t="shared" si="111"/>
        <v>11</v>
      </c>
      <c r="N3740" s="18"/>
      <c r="O3740" s="135"/>
      <c r="P3740" s="175">
        <v>15100</v>
      </c>
      <c r="Q3740" s="25">
        <f>177.09/1126.2</f>
        <v>0.15724560468833243</v>
      </c>
      <c r="U3740" s="384">
        <v>0.1</v>
      </c>
      <c r="W3740" s="285">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18">
        <f t="shared" si="115"/>
        <v>0.10681712784046993</v>
      </c>
      <c r="K3741" s="22">
        <v>1866</v>
      </c>
      <c r="L3741" s="6">
        <v>1876</v>
      </c>
      <c r="M3741" s="125">
        <f t="shared" si="111"/>
        <v>10</v>
      </c>
      <c r="N3741" s="18"/>
      <c r="O3741" s="135"/>
      <c r="P3741" s="175">
        <v>15100</v>
      </c>
      <c r="Q3741" s="25">
        <f>177.36/1128.1</f>
        <v>0.157220104600656</v>
      </c>
      <c r="U3741" s="384">
        <v>0.1</v>
      </c>
      <c r="W3741" s="285">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18">
        <f t="shared" si="115"/>
        <v>0.10404400371862411</v>
      </c>
      <c r="K3742" s="22">
        <v>1862.5</v>
      </c>
      <c r="L3742" s="6">
        <v>1867</v>
      </c>
      <c r="M3742" s="125">
        <f t="shared" si="111"/>
        <v>4.5</v>
      </c>
      <c r="N3742" s="18"/>
      <c r="O3742" s="135"/>
      <c r="P3742" s="175">
        <v>15050</v>
      </c>
      <c r="Q3742" s="25">
        <f>177.81/1131.2</f>
        <v>0.15718705799151345</v>
      </c>
      <c r="U3742" s="384">
        <v>0.1</v>
      </c>
      <c r="W3742" s="285">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18">
        <f t="shared" si="115"/>
        <v>9.9649669131957955E-2</v>
      </c>
      <c r="K3743" s="22">
        <v>1835</v>
      </c>
      <c r="L3743" s="6">
        <v>1850</v>
      </c>
      <c r="M3743" s="125">
        <f t="shared" si="111"/>
        <v>15</v>
      </c>
      <c r="N3743" s="18"/>
      <c r="O3743" s="135"/>
      <c r="P3743" s="175">
        <v>15000</v>
      </c>
      <c r="Q3743" s="25">
        <f>177.81/1131.2</f>
        <v>0.15718705799151345</v>
      </c>
      <c r="U3743" s="384">
        <v>0.1</v>
      </c>
      <c r="W3743" s="285">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18">
        <f t="shared" si="115"/>
        <v>0.10511142278323204</v>
      </c>
      <c r="K3744" s="22">
        <v>1816.5</v>
      </c>
      <c r="L3744" s="6">
        <v>1835.5</v>
      </c>
      <c r="M3744" s="125">
        <f t="shared" si="111"/>
        <v>19</v>
      </c>
      <c r="N3744" s="18"/>
      <c r="P3744" s="175">
        <v>14950</v>
      </c>
      <c r="Q3744" s="25">
        <f>177.5/1129.3</f>
        <v>0.15717701230850969</v>
      </c>
      <c r="U3744" s="384">
        <v>0.1</v>
      </c>
      <c r="W3744" s="285">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18">
        <f t="shared" si="115"/>
        <v>0.17434210526315788</v>
      </c>
      <c r="K3745" s="22">
        <v>1871</v>
      </c>
      <c r="L3745" s="6">
        <v>1885</v>
      </c>
      <c r="M3745" s="125">
        <f t="shared" si="111"/>
        <v>14</v>
      </c>
      <c r="N3745" s="18"/>
      <c r="P3745" s="175">
        <v>14950</v>
      </c>
      <c r="Q3745" s="25">
        <f>177.99/1133.1</f>
        <v>0.15708234048186392</v>
      </c>
      <c r="U3745" s="384">
        <v>0.1</v>
      </c>
      <c r="W3745" s="285">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18">
        <f t="shared" si="115"/>
        <v>0.17045901897488386</v>
      </c>
      <c r="K3746" s="22">
        <v>1871</v>
      </c>
      <c r="L3746" s="6">
        <v>1883</v>
      </c>
      <c r="M3746" s="125">
        <f t="shared" si="111"/>
        <v>12</v>
      </c>
      <c r="N3746" s="18"/>
      <c r="O3746" s="135"/>
      <c r="P3746" s="175">
        <v>14950</v>
      </c>
      <c r="Q3746" s="25">
        <f>178.24/1133.3</f>
        <v>0.15727521397688168</v>
      </c>
      <c r="U3746" s="384">
        <v>0.1</v>
      </c>
      <c r="W3746" s="285">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18">
        <f t="shared" si="115"/>
        <v>0.18518518518518517</v>
      </c>
      <c r="K3747" s="22">
        <v>1913</v>
      </c>
      <c r="L3747" s="6">
        <v>1922</v>
      </c>
      <c r="M3747" s="125">
        <f t="shared" si="111"/>
        <v>9</v>
      </c>
      <c r="N3747" s="18"/>
      <c r="O3747" s="135"/>
      <c r="P3747" s="175">
        <v>15000</v>
      </c>
      <c r="Q3747" s="25">
        <f>178.56/1135.5</f>
        <v>0.15725231175693527</v>
      </c>
      <c r="U3747" s="384">
        <v>0.1</v>
      </c>
      <c r="W3747" s="285">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18">
        <f t="shared" si="115"/>
        <v>0.20654235145385588</v>
      </c>
      <c r="K3748" s="22">
        <v>1905</v>
      </c>
      <c r="L3748" s="6">
        <v>1916</v>
      </c>
      <c r="M3748" s="125">
        <f t="shared" si="111"/>
        <v>11</v>
      </c>
      <c r="N3748" s="18"/>
      <c r="O3748" s="135"/>
      <c r="P3748" s="175">
        <v>15000</v>
      </c>
      <c r="Q3748" s="25">
        <f>178.18/1132.5</f>
        <v>0.15733333333333335</v>
      </c>
      <c r="U3748" s="384">
        <v>0.1</v>
      </c>
      <c r="W3748" s="285">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18">
        <f t="shared" si="115"/>
        <v>0.24121279290690309</v>
      </c>
      <c r="K3749" s="22">
        <v>1921.5</v>
      </c>
      <c r="L3749" s="6">
        <v>1932</v>
      </c>
      <c r="M3749" s="125">
        <f t="shared" si="111"/>
        <v>10.5</v>
      </c>
      <c r="N3749" s="18"/>
      <c r="O3749" s="135"/>
      <c r="P3749" s="175">
        <v>15050</v>
      </c>
      <c r="Q3749" s="25">
        <f>178.46/1133.5</f>
        <v>0.15744155271283636</v>
      </c>
      <c r="U3749" s="384">
        <v>0.1</v>
      </c>
      <c r="W3749" s="285">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18">
        <f t="shared" si="115"/>
        <v>0.24418881396271322</v>
      </c>
      <c r="K3750" s="22">
        <v>1942</v>
      </c>
      <c r="L3750" s="6">
        <v>1951</v>
      </c>
      <c r="M3750" s="125">
        <f t="shared" si="111"/>
        <v>9</v>
      </c>
      <c r="N3750" s="18"/>
      <c r="O3750" s="135"/>
      <c r="P3750" s="175">
        <v>15100</v>
      </c>
      <c r="Q3750" s="25">
        <f>177.97/1130.8</f>
        <v>0.15738415281216839</v>
      </c>
      <c r="U3750" s="384">
        <v>0.1</v>
      </c>
      <c r="W3750" s="285">
        <f t="shared" si="114"/>
        <v>2614.1507782101176</v>
      </c>
    </row>
    <row r="3751" spans="1:24" ht="15" customHeight="1">
      <c r="A3751" s="3">
        <v>41148</v>
      </c>
      <c r="B3751" s="9">
        <v>0</v>
      </c>
      <c r="C3751" s="24"/>
      <c r="D3751" s="24"/>
      <c r="E3751" s="24"/>
      <c r="F3751" s="1318" t="s">
        <v>38</v>
      </c>
      <c r="G3751" s="1318"/>
      <c r="H3751" s="1318"/>
      <c r="I3751" s="1318"/>
      <c r="J3751" s="5"/>
      <c r="K3751" s="24"/>
      <c r="L3751" s="24"/>
      <c r="M3751" s="24"/>
      <c r="N3751" s="18"/>
      <c r="O3751" s="135"/>
      <c r="P3751" s="175">
        <v>15150</v>
      </c>
      <c r="Q3751" s="25">
        <f>178.4/1133.7</f>
        <v>0.15736085384140425</v>
      </c>
      <c r="U3751" s="384">
        <v>0.1</v>
      </c>
      <c r="W3751" s="285">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18">
        <f>H3752/E3752</f>
        <v>0.24363462762571611</v>
      </c>
      <c r="K3752" s="22">
        <v>1954.5</v>
      </c>
      <c r="L3752" s="6">
        <v>1967</v>
      </c>
      <c r="M3752" s="125">
        <f>L3752-K3752</f>
        <v>12.5</v>
      </c>
      <c r="N3752" s="18"/>
      <c r="O3752" s="135"/>
      <c r="P3752" s="175">
        <v>15100</v>
      </c>
      <c r="Q3752" s="25">
        <f>178.64/1135.6</f>
        <v>0.15730891158858754</v>
      </c>
      <c r="U3752" s="384">
        <v>0.1</v>
      </c>
      <c r="W3752" s="285">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18">
        <f>H3753/E3753</f>
        <v>0.23922258657922099</v>
      </c>
      <c r="K3753" s="22">
        <v>1959</v>
      </c>
      <c r="L3753" s="6">
        <v>1963</v>
      </c>
      <c r="M3753" s="125">
        <f t="shared" ref="M3753:M3814" si="116">L3753-K3753</f>
        <v>4</v>
      </c>
      <c r="N3753" s="18"/>
      <c r="O3753" s="135"/>
      <c r="P3753" s="175">
        <v>15100</v>
      </c>
      <c r="Q3753" s="25">
        <f>179/1137.2</f>
        <v>0.15740415054519874</v>
      </c>
      <c r="U3753" s="384">
        <v>0.1</v>
      </c>
      <c r="V3753" s="26"/>
      <c r="W3753" s="285">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18">
        <f>H3754/E3754</f>
        <v>0.25082269845091903</v>
      </c>
      <c r="K3754" s="22">
        <v>1963</v>
      </c>
      <c r="L3754" s="6">
        <v>1967</v>
      </c>
      <c r="M3754" s="125">
        <f t="shared" si="116"/>
        <v>4</v>
      </c>
      <c r="N3754" s="18"/>
      <c r="O3754" s="135"/>
      <c r="P3754" s="175">
        <v>15100</v>
      </c>
      <c r="Q3754" s="25">
        <f>178.54/1134</f>
        <v>0.15744268077601412</v>
      </c>
      <c r="U3754" s="384">
        <v>0.1</v>
      </c>
      <c r="W3754" s="285">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18">
        <f>H3755/E3755</f>
        <v>0.36755580626964302</v>
      </c>
      <c r="K3755" s="22">
        <v>1963.5</v>
      </c>
      <c r="L3755" s="6">
        <v>1962</v>
      </c>
      <c r="M3755" s="125">
        <f t="shared" si="116"/>
        <v>-1.5</v>
      </c>
      <c r="N3755" s="113">
        <f>AVERAGE(K3733:K3755)</f>
        <v>1895.75</v>
      </c>
      <c r="O3755" s="145">
        <f>AVERAGE(K3575:K3755)</f>
        <v>1996.2916666666667</v>
      </c>
      <c r="P3755" s="175">
        <v>15100</v>
      </c>
      <c r="Q3755" s="25">
        <f>178.68/1134.6</f>
        <v>0.15748281332628242</v>
      </c>
      <c r="U3755" s="384">
        <v>0.1</v>
      </c>
      <c r="W3755" s="285">
        <f t="shared" ref="W3755:W3768" si="117">(P3755*Q3755)*(1+U3755)</f>
        <v>2615.7895293495512</v>
      </c>
    </row>
    <row r="3756" spans="1:24" s="116" customFormat="1" ht="15" customHeight="1" thickBot="1">
      <c r="A3756" s="215"/>
      <c r="B3756" s="215"/>
      <c r="C3756" s="215"/>
      <c r="D3756" s="215"/>
      <c r="E3756" s="215"/>
      <c r="F3756" s="405">
        <f>SUM(F3733:F3755)</f>
        <v>8300</v>
      </c>
      <c r="G3756" s="112">
        <f>SUM(G3733:G3755)</f>
        <v>25025</v>
      </c>
      <c r="H3756" s="112"/>
      <c r="I3756" s="124"/>
      <c r="J3756" s="124"/>
      <c r="K3756" s="109"/>
      <c r="L3756" s="114"/>
      <c r="M3756" s="129"/>
      <c r="N3756" s="115"/>
      <c r="O3756" s="147"/>
      <c r="P3756" s="180"/>
      <c r="Q3756" s="154"/>
      <c r="R3756" s="154"/>
      <c r="S3756" s="154"/>
      <c r="T3756" s="154"/>
      <c r="U3756" s="387"/>
      <c r="V3756" s="153">
        <f>AVERAGE(P3735:P3755)</f>
        <v>15066.666666666666</v>
      </c>
      <c r="W3756" s="290"/>
      <c r="X3756" s="444"/>
    </row>
    <row r="3757" spans="1:24" ht="15" customHeight="1">
      <c r="A3757" s="29">
        <v>41155</v>
      </c>
      <c r="B3757" s="9">
        <v>193575</v>
      </c>
      <c r="C3757" s="31">
        <v>67100</v>
      </c>
      <c r="D3757" s="31" t="e">
        <f>E3757-(#REF!+#REF!+C3757)</f>
        <v>#REF!</v>
      </c>
      <c r="E3757" s="31">
        <v>307875</v>
      </c>
      <c r="F3757" s="30">
        <v>0</v>
      </c>
      <c r="G3757" s="31">
        <v>2350</v>
      </c>
      <c r="H3757" s="31">
        <v>111675</v>
      </c>
      <c r="I3757" s="118">
        <f t="shared" ref="I3757:I3776" si="118">H3757/E3757</f>
        <v>0.36272838002436053</v>
      </c>
      <c r="K3757" s="32">
        <v>1982</v>
      </c>
      <c r="L3757" s="33">
        <v>1982</v>
      </c>
      <c r="M3757" s="127">
        <f t="shared" si="116"/>
        <v>0</v>
      </c>
      <c r="N3757" s="20"/>
      <c r="O3757" s="138"/>
      <c r="P3757" s="178">
        <v>15150</v>
      </c>
      <c r="Q3757" s="34">
        <f>178.69/1134.4</f>
        <v>0.15751939351198871</v>
      </c>
      <c r="R3757" s="34"/>
      <c r="S3757" s="34"/>
      <c r="T3757" s="34"/>
      <c r="U3757" s="386">
        <v>0.1</v>
      </c>
      <c r="V3757" s="37"/>
      <c r="W3757" s="285">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18">
        <f t="shared" si="118"/>
        <v>0.36855016763431186</v>
      </c>
      <c r="K3758" s="22">
        <v>1999</v>
      </c>
      <c r="L3758" s="6">
        <v>1999.5</v>
      </c>
      <c r="M3758" s="125">
        <f t="shared" si="116"/>
        <v>0.5</v>
      </c>
      <c r="N3758" s="18"/>
      <c r="O3758" s="135"/>
      <c r="P3758" s="175">
        <v>15150</v>
      </c>
      <c r="Q3758" s="25">
        <f>178.5/1131.8</f>
        <v>0.15771337692171764</v>
      </c>
      <c r="U3758" s="384">
        <v>0.1</v>
      </c>
      <c r="W3758" s="285">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18">
        <f t="shared" si="118"/>
        <v>0.36595779620658508</v>
      </c>
      <c r="K3759" s="22">
        <v>1991.5</v>
      </c>
      <c r="L3759" s="6">
        <v>1996.5</v>
      </c>
      <c r="M3759" s="125">
        <f t="shared" si="116"/>
        <v>5</v>
      </c>
      <c r="N3759" s="18"/>
      <c r="O3759" s="135"/>
      <c r="P3759" s="175">
        <v>15150</v>
      </c>
      <c r="Q3759" s="25">
        <f>178.32/1131.8</f>
        <v>0.15755433822230075</v>
      </c>
      <c r="U3759" s="384">
        <v>0.1</v>
      </c>
      <c r="W3759" s="285">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18">
        <f t="shared" si="118"/>
        <v>0.36480721903199342</v>
      </c>
      <c r="K3760" s="22">
        <v>2036</v>
      </c>
      <c r="L3760" s="6">
        <v>2045.5</v>
      </c>
      <c r="M3760" s="125">
        <f t="shared" si="116"/>
        <v>9.5</v>
      </c>
      <c r="N3760" s="18"/>
      <c r="O3760" s="135"/>
      <c r="P3760" s="175">
        <v>15250</v>
      </c>
      <c r="Q3760" s="25">
        <f>178.76/1135</f>
        <v>0.15749779735682817</v>
      </c>
      <c r="U3760" s="384">
        <v>0.1</v>
      </c>
      <c r="W3760" s="285">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18">
        <f t="shared" si="118"/>
        <v>0.36208601087493819</v>
      </c>
      <c r="K3761" s="22">
        <v>2061.5</v>
      </c>
      <c r="L3761" s="6">
        <v>2071</v>
      </c>
      <c r="M3761" s="125">
        <f t="shared" si="116"/>
        <v>9.5</v>
      </c>
      <c r="N3761" s="18"/>
      <c r="O3761" s="135"/>
      <c r="P3761" s="175">
        <v>15300</v>
      </c>
      <c r="Q3761" s="25">
        <f>178.88/1134.6</f>
        <v>0.15765908690287328</v>
      </c>
      <c r="U3761" s="384">
        <v>0.1</v>
      </c>
      <c r="W3761" s="285">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18">
        <f t="shared" si="118"/>
        <v>0.37126834900214417</v>
      </c>
      <c r="K3762" s="22">
        <v>2117.5</v>
      </c>
      <c r="L3762" s="6">
        <v>2130.5</v>
      </c>
      <c r="M3762" s="125">
        <f t="shared" si="116"/>
        <v>13</v>
      </c>
      <c r="N3762" s="18"/>
      <c r="O3762" s="135"/>
      <c r="P3762" s="175">
        <v>15500</v>
      </c>
      <c r="Q3762" s="25">
        <f>178.23/1130.5</f>
        <v>0.15765590446704997</v>
      </c>
      <c r="U3762" s="384">
        <v>0.1</v>
      </c>
      <c r="W3762" s="285">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18">
        <f t="shared" si="118"/>
        <v>0.36604024613337766</v>
      </c>
      <c r="K3763" s="22">
        <v>2101.5</v>
      </c>
      <c r="L3763" s="6">
        <v>2116</v>
      </c>
      <c r="M3763" s="125">
        <f t="shared" si="116"/>
        <v>14.5</v>
      </c>
      <c r="N3763" s="18"/>
      <c r="O3763" s="135"/>
      <c r="P3763" s="175">
        <v>15500</v>
      </c>
      <c r="Q3763" s="25">
        <f>178.07/1128.6</f>
        <v>0.15777954988481305</v>
      </c>
      <c r="U3763" s="384">
        <v>0.1</v>
      </c>
      <c r="W3763" s="285">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18">
        <f t="shared" si="118"/>
        <v>0.36126005361930297</v>
      </c>
      <c r="K3764" s="22">
        <v>2120.5</v>
      </c>
      <c r="L3764" s="6">
        <v>2133</v>
      </c>
      <c r="M3764" s="125">
        <f t="shared" si="116"/>
        <v>12.5</v>
      </c>
      <c r="N3764" s="18"/>
      <c r="O3764" s="135"/>
      <c r="P3764" s="175">
        <v>15500</v>
      </c>
      <c r="Q3764" s="25">
        <f>178.26/1129.3</f>
        <v>0.15784999557247853</v>
      </c>
      <c r="U3764" s="384">
        <v>0.1</v>
      </c>
      <c r="W3764" s="285">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18">
        <f t="shared" si="118"/>
        <v>0.35570016056790332</v>
      </c>
      <c r="K3765" s="22">
        <v>2112.5</v>
      </c>
      <c r="L3765" s="6">
        <v>2128</v>
      </c>
      <c r="M3765" s="125">
        <f t="shared" si="116"/>
        <v>15.5</v>
      </c>
      <c r="N3765" s="18"/>
      <c r="O3765" s="135"/>
      <c r="P3765" s="175">
        <v>15550</v>
      </c>
      <c r="Q3765" s="25">
        <f>178.01/1126.2</f>
        <v>0.15806251109927189</v>
      </c>
      <c r="U3765" s="384">
        <v>0.1</v>
      </c>
      <c r="W3765" s="285">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18">
        <f t="shared" si="118"/>
        <v>0.37227148703956342</v>
      </c>
      <c r="K3766" s="22">
        <v>2243.5</v>
      </c>
      <c r="L3766" s="6">
        <v>2254</v>
      </c>
      <c r="M3766" s="125">
        <f t="shared" si="116"/>
        <v>10.5</v>
      </c>
      <c r="N3766" s="18"/>
      <c r="O3766" s="135"/>
      <c r="P3766" s="175">
        <v>15800</v>
      </c>
      <c r="Q3766" s="25">
        <f>178.18/1127.8</f>
        <v>0.15798900514275582</v>
      </c>
      <c r="U3766" s="384">
        <v>0.1</v>
      </c>
      <c r="W3766" s="285">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18">
        <f t="shared" si="118"/>
        <v>0.36730835338604334</v>
      </c>
      <c r="K3767" s="22">
        <v>2243</v>
      </c>
      <c r="L3767" s="6">
        <v>2251</v>
      </c>
      <c r="M3767" s="125">
        <f t="shared" si="116"/>
        <v>8</v>
      </c>
      <c r="N3767" s="18"/>
      <c r="O3767" s="135"/>
      <c r="P3767" s="175">
        <v>15800</v>
      </c>
      <c r="Q3767" s="25">
        <f>177.42/1120.4</f>
        <v>0.15835415922884682</v>
      </c>
      <c r="U3767" s="384">
        <v>0.1</v>
      </c>
      <c r="W3767" s="285">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18">
        <f t="shared" si="118"/>
        <v>0.36163576503205686</v>
      </c>
      <c r="K3768" s="22">
        <v>2235</v>
      </c>
      <c r="L3768" s="6">
        <v>2244</v>
      </c>
      <c r="M3768" s="125">
        <f t="shared" si="116"/>
        <v>9</v>
      </c>
      <c r="N3768" s="18"/>
      <c r="O3768" s="135"/>
      <c r="P3768" s="175">
        <v>15750</v>
      </c>
      <c r="Q3768" s="25">
        <f>176.49/1115</f>
        <v>0.15828699551569508</v>
      </c>
      <c r="U3768" s="384">
        <v>0.1</v>
      </c>
      <c r="W3768" s="285">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18">
        <f t="shared" si="118"/>
        <v>0.3558314390627732</v>
      </c>
      <c r="K3769" s="22">
        <v>2271.5</v>
      </c>
      <c r="L3769" s="6">
        <v>2281.5</v>
      </c>
      <c r="M3769" s="125">
        <f t="shared" si="116"/>
        <v>10</v>
      </c>
      <c r="N3769" s="18"/>
      <c r="O3769" s="135"/>
      <c r="P3769" s="175">
        <v>15750</v>
      </c>
      <c r="Q3769" s="25">
        <f>176.88/1117</f>
        <v>0.15835273052820054</v>
      </c>
      <c r="U3769" s="384">
        <v>0.1</v>
      </c>
      <c r="W3769" s="285">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18">
        <f t="shared" si="118"/>
        <v>0.35094671950682521</v>
      </c>
      <c r="K3770" s="22">
        <v>2229</v>
      </c>
      <c r="L3770" s="6">
        <v>2237</v>
      </c>
      <c r="M3770" s="125">
        <f t="shared" si="116"/>
        <v>8</v>
      </c>
      <c r="N3770" s="18"/>
      <c r="O3770" s="135"/>
      <c r="P3770" s="175">
        <v>15700</v>
      </c>
      <c r="Q3770" s="25">
        <f>177.06/1117.1</f>
        <v>0.15849968668874767</v>
      </c>
      <c r="U3770" s="384">
        <v>0.1</v>
      </c>
      <c r="W3770" s="285">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18">
        <f t="shared" si="118"/>
        <v>0.34394006170118996</v>
      </c>
      <c r="K3771" s="22">
        <v>2276.5</v>
      </c>
      <c r="L3771" s="6">
        <v>2285</v>
      </c>
      <c r="M3771" s="125">
        <f t="shared" si="116"/>
        <v>8.5</v>
      </c>
      <c r="N3771" s="18"/>
      <c r="O3771" s="135"/>
      <c r="P3771" s="175">
        <v>15750</v>
      </c>
      <c r="Q3771" s="25">
        <f>177.39/1118.2</f>
        <v>0.15863888392058664</v>
      </c>
      <c r="U3771" s="384">
        <v>0.1</v>
      </c>
      <c r="W3771" s="285">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18">
        <f t="shared" si="118"/>
        <v>0.34222222222222221</v>
      </c>
      <c r="K3772" s="22">
        <v>2241.5</v>
      </c>
      <c r="L3772" s="6">
        <v>2250.5</v>
      </c>
      <c r="M3772" s="125">
        <f t="shared" si="116"/>
        <v>9</v>
      </c>
      <c r="N3772" s="18"/>
      <c r="O3772" s="135"/>
      <c r="P3772" s="175">
        <v>15700</v>
      </c>
      <c r="Q3772" s="25">
        <f>177.53/1119.4</f>
        <v>0.15859388958370554</v>
      </c>
      <c r="U3772" s="384">
        <v>0.1</v>
      </c>
      <c r="W3772" s="285">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18">
        <f t="shared" si="118"/>
        <v>0.33357348703170031</v>
      </c>
      <c r="K3773" s="22">
        <v>2285</v>
      </c>
      <c r="L3773" s="6">
        <v>2292.5</v>
      </c>
      <c r="M3773" s="125">
        <f t="shared" si="116"/>
        <v>7.5</v>
      </c>
      <c r="N3773" s="18"/>
      <c r="O3773" s="135"/>
      <c r="P3773" s="175">
        <v>15700</v>
      </c>
      <c r="Q3773" s="25">
        <f>177.48/1119.8</f>
        <v>0.15849258796213608</v>
      </c>
      <c r="U3773" s="384">
        <v>0.1</v>
      </c>
      <c r="W3773" s="285">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18">
        <f t="shared" si="118"/>
        <v>0.32524847269079965</v>
      </c>
      <c r="K3774" s="22">
        <v>2273</v>
      </c>
      <c r="L3774" s="6">
        <v>2283</v>
      </c>
      <c r="M3774" s="125">
        <f t="shared" si="116"/>
        <v>10</v>
      </c>
      <c r="N3774" s="18"/>
      <c r="O3774" s="135"/>
      <c r="P3774" s="175">
        <v>15750</v>
      </c>
      <c r="Q3774" s="25">
        <f>177.38/1118.6</f>
        <v>0.15857321652065082</v>
      </c>
      <c r="U3774" s="384">
        <v>0.1</v>
      </c>
      <c r="W3774" s="285">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18">
        <f t="shared" si="118"/>
        <v>0.31646037317568815</v>
      </c>
      <c r="K3775" s="22">
        <v>2265.5</v>
      </c>
      <c r="L3775" s="6">
        <v>2274</v>
      </c>
      <c r="M3775" s="125">
        <f t="shared" si="116"/>
        <v>8.5</v>
      </c>
      <c r="N3775" s="18"/>
      <c r="O3775" s="135"/>
      <c r="P3775" s="175">
        <v>15700</v>
      </c>
      <c r="Q3775" s="25">
        <f>177.83/1120.7</f>
        <v>0.15867761220665655</v>
      </c>
      <c r="U3775" s="384">
        <v>0.1</v>
      </c>
      <c r="W3775" s="285">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18">
        <f t="shared" si="118"/>
        <v>0.30892790437056405</v>
      </c>
      <c r="K3776" s="22">
        <v>2300</v>
      </c>
      <c r="L3776" s="6">
        <v>2301</v>
      </c>
      <c r="M3776" s="125">
        <f t="shared" si="116"/>
        <v>1</v>
      </c>
      <c r="N3776" s="113">
        <f>AVERAGE(K3757:K3776)</f>
        <v>2169.2750000000001</v>
      </c>
      <c r="O3776" s="145">
        <f>AVERAGE(K3575:K3776)</f>
        <v>2014.6941489361702</v>
      </c>
      <c r="P3776" s="175">
        <v>15700</v>
      </c>
      <c r="Q3776" s="25">
        <f>177.49/1118.6</f>
        <v>0.15867155372787414</v>
      </c>
      <c r="U3776" s="384">
        <v>0.1</v>
      </c>
      <c r="W3776" s="285">
        <f t="shared" si="119"/>
        <v>2740.2577328803868</v>
      </c>
    </row>
    <row r="3777" spans="1:24" s="116" customFormat="1" ht="15" customHeight="1" thickBot="1">
      <c r="A3777" s="215"/>
      <c r="B3777" s="1366"/>
      <c r="C3777" s="1366"/>
      <c r="D3777" s="1366"/>
      <c r="E3777" s="215"/>
      <c r="F3777" s="405">
        <f>SUM(F3757:F3776)</f>
        <v>3475</v>
      </c>
      <c r="G3777" s="112">
        <f>SUM(G3757:G3776)</f>
        <v>46000</v>
      </c>
      <c r="H3777" s="112"/>
      <c r="I3777" s="124"/>
      <c r="J3777" s="124"/>
      <c r="K3777" s="109"/>
      <c r="L3777" s="114"/>
      <c r="M3777" s="129"/>
      <c r="N3777" s="115"/>
      <c r="O3777" s="147"/>
      <c r="P3777" s="180"/>
      <c r="Q3777" s="154"/>
      <c r="R3777" s="154"/>
      <c r="S3777" s="154"/>
      <c r="T3777" s="154"/>
      <c r="U3777" s="387"/>
      <c r="V3777" s="153">
        <f>AVERAGE(P3757:P3776)</f>
        <v>15557.5</v>
      </c>
      <c r="W3777" s="290"/>
      <c r="X3777" s="444"/>
    </row>
    <row r="3778" spans="1:24" ht="15" customHeight="1">
      <c r="A3778" s="3">
        <v>41183</v>
      </c>
      <c r="B3778" s="9">
        <v>164825</v>
      </c>
      <c r="C3778" s="5">
        <v>60625</v>
      </c>
      <c r="D3778" s="5" t="e">
        <f>E3778-(#REF!+#REF!+C3778)</f>
        <v>#REF!</v>
      </c>
      <c r="E3778" s="5">
        <v>265075</v>
      </c>
      <c r="F3778" s="4">
        <v>625</v>
      </c>
      <c r="G3778" s="5">
        <v>3250</v>
      </c>
      <c r="H3778" s="5">
        <v>79450</v>
      </c>
      <c r="I3778" s="118">
        <f t="shared" ref="I3778:I3800" si="120">H3778/E3778</f>
        <v>0.29972649250212202</v>
      </c>
      <c r="K3778" s="22">
        <v>2238.5</v>
      </c>
      <c r="L3778" s="6">
        <v>2247.5</v>
      </c>
      <c r="M3778" s="125">
        <f t="shared" si="116"/>
        <v>9</v>
      </c>
      <c r="N3778" s="18"/>
      <c r="O3778" s="135"/>
      <c r="P3778" s="212"/>
      <c r="Q3778" s="1361" t="s">
        <v>41</v>
      </c>
      <c r="R3778" s="1361"/>
      <c r="S3778" s="1361"/>
      <c r="T3778" s="1361"/>
      <c r="U3778" s="1361"/>
      <c r="V3778" s="210"/>
      <c r="W3778" s="291"/>
    </row>
    <row r="3779" spans="1:24" ht="15" customHeight="1">
      <c r="A3779" s="3">
        <v>41184</v>
      </c>
      <c r="B3779" s="9">
        <v>162425</v>
      </c>
      <c r="C3779" s="5">
        <v>60175</v>
      </c>
      <c r="D3779" s="5" t="e">
        <f>E3779-(#REF!+#REF!+C3779)</f>
        <v>#REF!</v>
      </c>
      <c r="E3779" s="5">
        <v>261975</v>
      </c>
      <c r="F3779" s="4">
        <v>0</v>
      </c>
      <c r="G3779" s="5">
        <v>3100</v>
      </c>
      <c r="H3779" s="5">
        <v>76450</v>
      </c>
      <c r="I3779" s="118">
        <f t="shared" si="120"/>
        <v>0.2918217387155263</v>
      </c>
      <c r="K3779" s="22">
        <v>2315</v>
      </c>
      <c r="L3779" s="6">
        <v>2322</v>
      </c>
      <c r="M3779" s="125">
        <f t="shared" si="116"/>
        <v>7</v>
      </c>
      <c r="N3779" s="18"/>
      <c r="O3779" s="135"/>
      <c r="P3779" s="213"/>
      <c r="Q3779" s="1333"/>
      <c r="R3779" s="1333"/>
      <c r="S3779" s="1333"/>
      <c r="T3779" s="1333"/>
      <c r="U3779" s="1333"/>
      <c r="V3779" s="24"/>
      <c r="W3779" s="292"/>
    </row>
    <row r="3780" spans="1:24" ht="15" customHeight="1">
      <c r="A3780" s="3">
        <v>41185</v>
      </c>
      <c r="B3780" s="9">
        <v>159400</v>
      </c>
      <c r="C3780" s="5">
        <v>59825</v>
      </c>
      <c r="D3780" s="5" t="e">
        <f>E3780-(#REF!+#REF!+C3780)</f>
        <v>#REF!</v>
      </c>
      <c r="E3780" s="5">
        <v>259900</v>
      </c>
      <c r="F3780" s="4">
        <v>0</v>
      </c>
      <c r="G3780" s="5">
        <v>2075</v>
      </c>
      <c r="H3780" s="5">
        <v>74575</v>
      </c>
      <c r="I3780" s="118">
        <f t="shared" si="120"/>
        <v>0.28693728357060405</v>
      </c>
      <c r="K3780" s="22">
        <v>2293.5</v>
      </c>
      <c r="L3780" s="6">
        <v>2303</v>
      </c>
      <c r="M3780" s="125">
        <f t="shared" si="116"/>
        <v>9.5</v>
      </c>
      <c r="N3780" s="18"/>
      <c r="O3780" s="135"/>
      <c r="P3780" s="213"/>
      <c r="Q3780" s="1333"/>
      <c r="R3780" s="1333"/>
      <c r="S3780" s="1333"/>
      <c r="T3780" s="1333"/>
      <c r="U3780" s="1333"/>
      <c r="V3780" s="24"/>
      <c r="W3780" s="292"/>
    </row>
    <row r="3781" spans="1:24" ht="15" customHeight="1">
      <c r="A3781" s="3">
        <v>41186</v>
      </c>
      <c r="B3781" s="9">
        <v>157700</v>
      </c>
      <c r="C3781" s="5">
        <v>59350</v>
      </c>
      <c r="D3781" s="5" t="e">
        <f>E3781-(#REF!+#REF!+C3781)</f>
        <v>#REF!</v>
      </c>
      <c r="E3781" s="5">
        <v>257775</v>
      </c>
      <c r="F3781" s="4">
        <v>0</v>
      </c>
      <c r="G3781" s="5">
        <v>2125</v>
      </c>
      <c r="H3781" s="5">
        <v>72675</v>
      </c>
      <c r="I3781" s="118">
        <f t="shared" si="120"/>
        <v>0.28193191736979922</v>
      </c>
      <c r="K3781" s="22">
        <v>2308.5</v>
      </c>
      <c r="L3781" s="6">
        <v>2313</v>
      </c>
      <c r="M3781" s="125">
        <f t="shared" si="116"/>
        <v>4.5</v>
      </c>
      <c r="N3781" s="18"/>
      <c r="P3781" s="213"/>
      <c r="Q3781" s="1333"/>
      <c r="R3781" s="1333"/>
      <c r="S3781" s="1333"/>
      <c r="T3781" s="1333"/>
      <c r="U3781" s="1333"/>
      <c r="V3781" s="24"/>
      <c r="W3781" s="292"/>
    </row>
    <row r="3782" spans="1:24" ht="15" customHeight="1">
      <c r="A3782" s="3">
        <v>41187</v>
      </c>
      <c r="B3782" s="9">
        <v>156050</v>
      </c>
      <c r="C3782" s="5">
        <v>58800</v>
      </c>
      <c r="D3782" s="5" t="e">
        <f>E3782-(#REF!+#REF!+C3782)</f>
        <v>#REF!</v>
      </c>
      <c r="E3782" s="5">
        <v>254575</v>
      </c>
      <c r="F3782" s="4">
        <v>350</v>
      </c>
      <c r="G3782" s="5">
        <v>3550</v>
      </c>
      <c r="H3782" s="5">
        <v>106625</v>
      </c>
      <c r="I3782" s="118">
        <f t="shared" si="120"/>
        <v>0.41883531375822447</v>
      </c>
      <c r="K3782" s="22">
        <v>2265</v>
      </c>
      <c r="L3782" s="6">
        <v>2269</v>
      </c>
      <c r="M3782" s="125">
        <f t="shared" si="116"/>
        <v>4</v>
      </c>
      <c r="N3782" s="18"/>
      <c r="O3782" s="135"/>
      <c r="P3782" s="213"/>
      <c r="Q3782" s="1333"/>
      <c r="R3782" s="1333"/>
      <c r="S3782" s="1333"/>
      <c r="T3782" s="1333"/>
      <c r="U3782" s="1333"/>
      <c r="V3782" s="24"/>
      <c r="W3782" s="292"/>
    </row>
    <row r="3783" spans="1:24" ht="15" customHeight="1">
      <c r="A3783" s="3">
        <v>41190</v>
      </c>
      <c r="B3783" s="9">
        <v>153650</v>
      </c>
      <c r="C3783" s="5">
        <v>58325</v>
      </c>
      <c r="D3783" s="5" t="e">
        <f>E3783-(#REF!+#REF!+C3783)</f>
        <v>#REF!</v>
      </c>
      <c r="E3783" s="5">
        <v>251350</v>
      </c>
      <c r="F3783" s="4">
        <v>0</v>
      </c>
      <c r="G3783" s="5">
        <v>3225</v>
      </c>
      <c r="H3783" s="5">
        <v>103400</v>
      </c>
      <c r="I3783" s="118">
        <f t="shared" si="120"/>
        <v>0.4113785557986871</v>
      </c>
      <c r="K3783" s="22">
        <v>2243</v>
      </c>
      <c r="L3783" s="6">
        <v>2252</v>
      </c>
      <c r="M3783" s="125">
        <f t="shared" si="116"/>
        <v>9</v>
      </c>
      <c r="N3783" s="18"/>
      <c r="O3783" s="135"/>
      <c r="P3783" s="175">
        <v>15700</v>
      </c>
      <c r="Q3783" s="25">
        <f>176.72/1110.6</f>
        <v>0.15912119575004502</v>
      </c>
      <c r="U3783" s="384">
        <v>0.1</v>
      </c>
      <c r="W3783" s="285">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18">
        <f t="shared" si="120"/>
        <v>0.41517046600766594</v>
      </c>
      <c r="K3784" s="22">
        <v>2251</v>
      </c>
      <c r="L3784" s="6">
        <v>2257.5</v>
      </c>
      <c r="M3784" s="125">
        <f t="shared" si="116"/>
        <v>6.5</v>
      </c>
      <c r="N3784" s="18"/>
      <c r="O3784" s="135"/>
      <c r="P3784" s="175">
        <v>15700</v>
      </c>
      <c r="Q3784" s="25">
        <f>176.74/1111.3</f>
        <v>0.15903896337622606</v>
      </c>
      <c r="U3784" s="384">
        <v>0.1</v>
      </c>
      <c r="W3784" s="285">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18">
        <f t="shared" si="120"/>
        <v>0.37564693704714408</v>
      </c>
      <c r="K3785" s="22">
        <v>2215</v>
      </c>
      <c r="L3785" s="6">
        <v>2221</v>
      </c>
      <c r="M3785" s="125">
        <f t="shared" si="116"/>
        <v>6</v>
      </c>
      <c r="N3785" s="18"/>
      <c r="O3785" s="135"/>
      <c r="P3785" s="175">
        <v>15650</v>
      </c>
      <c r="Q3785" s="25">
        <f>176.63/1110.6</f>
        <v>0.15904015847289754</v>
      </c>
      <c r="U3785" s="384">
        <v>0.1</v>
      </c>
      <c r="W3785" s="285">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18">
        <f t="shared" si="120"/>
        <v>0.34249133102160578</v>
      </c>
      <c r="K3786" s="22">
        <v>2208</v>
      </c>
      <c r="L3786" s="6">
        <v>2213</v>
      </c>
      <c r="M3786" s="125">
        <f t="shared" si="116"/>
        <v>5</v>
      </c>
      <c r="N3786" s="18"/>
      <c r="O3786" s="135"/>
      <c r="P3786" s="175">
        <v>15600</v>
      </c>
      <c r="Q3786" s="25">
        <f>177.34/1114.3</f>
        <v>0.15914924167638878</v>
      </c>
      <c r="U3786" s="384">
        <v>0.1</v>
      </c>
      <c r="W3786" s="285">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18">
        <f t="shared" si="120"/>
        <v>0.31375853062600051</v>
      </c>
      <c r="K3787" s="22">
        <v>2169</v>
      </c>
      <c r="L3787" s="6">
        <v>2166</v>
      </c>
      <c r="M3787" s="125">
        <f t="shared" si="116"/>
        <v>-3</v>
      </c>
      <c r="N3787" s="18"/>
      <c r="O3787" s="135"/>
      <c r="P3787" s="175">
        <v>15600</v>
      </c>
      <c r="Q3787" s="25">
        <f>177.7/1115.4</f>
        <v>0.15931504393042853</v>
      </c>
      <c r="U3787" s="384">
        <v>0.1</v>
      </c>
      <c r="W3787" s="285">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18">
        <f t="shared" si="120"/>
        <v>0.30833609545906532</v>
      </c>
      <c r="K3788" s="22">
        <v>2139</v>
      </c>
      <c r="L3788" s="6">
        <v>2147</v>
      </c>
      <c r="M3788" s="125">
        <f t="shared" si="116"/>
        <v>8</v>
      </c>
      <c r="N3788" s="18"/>
      <c r="O3788" s="135"/>
      <c r="P3788" s="175">
        <v>15550</v>
      </c>
      <c r="Q3788" s="25">
        <f>177.29/1111.1</f>
        <v>0.15956259562595626</v>
      </c>
      <c r="U3788" s="384">
        <v>0.1</v>
      </c>
      <c r="W3788" s="285">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18">
        <f t="shared" si="120"/>
        <v>0.36423400183073978</v>
      </c>
      <c r="K3789" s="22">
        <v>2128</v>
      </c>
      <c r="L3789" s="6">
        <v>2128</v>
      </c>
      <c r="M3789" s="125">
        <f t="shared" si="116"/>
        <v>0</v>
      </c>
      <c r="N3789" s="18"/>
      <c r="O3789" s="135"/>
      <c r="P3789" s="175">
        <v>15550</v>
      </c>
      <c r="Q3789" s="25">
        <f>177.36/1112.1</f>
        <v>0.15948206096574052</v>
      </c>
      <c r="U3789" s="384">
        <v>0.1</v>
      </c>
      <c r="W3789" s="285">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18">
        <f t="shared" si="120"/>
        <v>0.36812447434819173</v>
      </c>
      <c r="K3790" s="22">
        <v>2112</v>
      </c>
      <c r="L3790" s="6">
        <v>2119</v>
      </c>
      <c r="M3790" s="125">
        <f t="shared" si="116"/>
        <v>7</v>
      </c>
      <c r="N3790" s="117"/>
      <c r="O3790" s="148"/>
      <c r="P3790" s="175">
        <v>15500</v>
      </c>
      <c r="Q3790" s="25">
        <f>176.74/1107.1</f>
        <v>0.15964230873453167</v>
      </c>
      <c r="U3790" s="384">
        <v>0.1</v>
      </c>
      <c r="W3790" s="285">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18">
        <f t="shared" si="120"/>
        <v>0.36389806112945561</v>
      </c>
      <c r="K3791" s="22">
        <v>2167</v>
      </c>
      <c r="L3791" s="6">
        <v>2170</v>
      </c>
      <c r="M3791" s="125">
        <f t="shared" si="116"/>
        <v>3</v>
      </c>
      <c r="N3791" s="117"/>
      <c r="O3791" s="148"/>
      <c r="P3791" s="175">
        <v>15550</v>
      </c>
      <c r="Q3791" s="25">
        <f>176.67/1105</f>
        <v>0.15988235294117645</v>
      </c>
      <c r="U3791" s="384">
        <v>0.1</v>
      </c>
      <c r="W3791" s="285">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18">
        <f t="shared" si="120"/>
        <v>0.37813909934451351</v>
      </c>
      <c r="K3792" s="22">
        <v>2134.5</v>
      </c>
      <c r="L3792" s="6">
        <v>2141</v>
      </c>
      <c r="M3792" s="125">
        <f t="shared" si="116"/>
        <v>6.5</v>
      </c>
      <c r="N3792" s="117"/>
      <c r="O3792" s="148"/>
      <c r="P3792" s="175">
        <v>15450</v>
      </c>
      <c r="Q3792" s="25">
        <f>176.76/1104.8</f>
        <v>0.15999275887038378</v>
      </c>
      <c r="U3792" s="384">
        <v>0.1</v>
      </c>
      <c r="W3792" s="285">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18">
        <f t="shared" si="120"/>
        <v>0.36487049221287582</v>
      </c>
      <c r="K3793" s="22">
        <v>2093.5</v>
      </c>
      <c r="L3793" s="6">
        <v>2094</v>
      </c>
      <c r="M3793" s="125">
        <f t="shared" si="116"/>
        <v>0.5</v>
      </c>
      <c r="N3793" s="117"/>
      <c r="O3793" s="148"/>
      <c r="P3793" s="175">
        <v>15400</v>
      </c>
      <c r="Q3793" s="25">
        <f>176.74/1105.3</f>
        <v>0.15990228897132003</v>
      </c>
      <c r="U3793" s="384">
        <v>0.1</v>
      </c>
      <c r="W3793" s="285">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18">
        <f t="shared" si="120"/>
        <v>0.34954407294832829</v>
      </c>
      <c r="K3794" s="22">
        <v>2024</v>
      </c>
      <c r="L3794" s="6">
        <v>2026</v>
      </c>
      <c r="M3794" s="125">
        <f t="shared" si="116"/>
        <v>2</v>
      </c>
      <c r="N3794" s="117"/>
      <c r="O3794" s="148"/>
      <c r="P3794" s="175">
        <v>15350</v>
      </c>
      <c r="Q3794" s="25">
        <f>176.69/1105.1</f>
        <v>0.15988598316894401</v>
      </c>
      <c r="U3794" s="384">
        <v>0.1</v>
      </c>
      <c r="W3794" s="285">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18">
        <f t="shared" si="120"/>
        <v>0.34624969852882065</v>
      </c>
      <c r="K3795" s="22">
        <v>2020</v>
      </c>
      <c r="L3795" s="6">
        <v>2016</v>
      </c>
      <c r="M3795" s="125">
        <f t="shared" si="116"/>
        <v>-4</v>
      </c>
      <c r="N3795" s="117"/>
      <c r="O3795" s="148"/>
      <c r="P3795" s="175">
        <v>15150</v>
      </c>
      <c r="Q3795" s="25">
        <f>176.43/1102.3</f>
        <v>0.16005624603102606</v>
      </c>
      <c r="U3795" s="384">
        <v>0.1</v>
      </c>
      <c r="W3795" s="285">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18">
        <f t="shared" si="120"/>
        <v>0.34959257765227914</v>
      </c>
      <c r="K3796" s="22">
        <v>2029.5</v>
      </c>
      <c r="L3796" s="6">
        <v>2025</v>
      </c>
      <c r="M3796" s="125">
        <f t="shared" si="116"/>
        <v>-4.5</v>
      </c>
      <c r="N3796" s="117"/>
      <c r="O3796" s="148"/>
      <c r="P3796" s="175">
        <v>15150</v>
      </c>
      <c r="Q3796" s="25">
        <f>176.65/1103.7</f>
        <v>0.16005255051191447</v>
      </c>
      <c r="U3796" s="384">
        <v>0.1</v>
      </c>
      <c r="W3796" s="285">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18">
        <f t="shared" si="120"/>
        <v>0.34423588173688874</v>
      </c>
      <c r="K3797" s="22">
        <v>2002</v>
      </c>
      <c r="L3797" s="6">
        <v>1997</v>
      </c>
      <c r="M3797" s="125">
        <f t="shared" si="116"/>
        <v>-5</v>
      </c>
      <c r="N3797" s="117"/>
      <c r="O3797" s="148"/>
      <c r="P3797" s="175">
        <v>15100</v>
      </c>
      <c r="Q3797" s="25">
        <f>176.46/1101.4</f>
        <v>0.16021427274378064</v>
      </c>
      <c r="U3797" s="384">
        <v>0.1</v>
      </c>
      <c r="W3797" s="285">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18">
        <f t="shared" si="120"/>
        <v>0.49207928369174253</v>
      </c>
      <c r="K3798" s="22">
        <v>2010</v>
      </c>
      <c r="L3798" s="6">
        <v>2006</v>
      </c>
      <c r="M3798" s="125">
        <f t="shared" si="116"/>
        <v>-4</v>
      </c>
      <c r="N3798" s="117"/>
      <c r="P3798" s="175">
        <v>15000</v>
      </c>
      <c r="Q3798" s="25">
        <f>175.48/1096.5</f>
        <v>0.16003647970816232</v>
      </c>
      <c r="U3798" s="384">
        <v>0.1</v>
      </c>
      <c r="W3798" s="285">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18">
        <f t="shared" si="120"/>
        <v>0.4011238549765222</v>
      </c>
      <c r="K3799" s="22">
        <v>2064.5</v>
      </c>
      <c r="L3799" s="6">
        <v>2052.5</v>
      </c>
      <c r="M3799" s="125">
        <f t="shared" si="116"/>
        <v>-12</v>
      </c>
      <c r="N3799" s="117"/>
      <c r="O3799" s="148"/>
      <c r="P3799" s="175">
        <v>14950</v>
      </c>
      <c r="Q3799" s="25">
        <f>175.52/1095.9</f>
        <v>0.16016059859476228</v>
      </c>
      <c r="U3799" s="384">
        <v>0.1</v>
      </c>
      <c r="W3799" s="285">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18">
        <f t="shared" si="120"/>
        <v>0.39973767456214798</v>
      </c>
      <c r="K3800" s="22">
        <v>2095.5</v>
      </c>
      <c r="L3800" s="6">
        <v>2081</v>
      </c>
      <c r="M3800" s="125">
        <f t="shared" si="116"/>
        <v>-14.5</v>
      </c>
      <c r="N3800" s="113">
        <f>AVERAGE(K3778:K3800)</f>
        <v>2153.304347826087</v>
      </c>
      <c r="O3800" s="145">
        <f>AVERAGE(K3575:K3800)</f>
        <v>2029.8033175355449</v>
      </c>
      <c r="P3800" s="175">
        <v>15000</v>
      </c>
      <c r="Q3800" s="25">
        <f>175.32/1094.1</f>
        <v>0.16024129421442282</v>
      </c>
      <c r="U3800" s="384">
        <v>0.1</v>
      </c>
      <c r="W3800" s="285">
        <f t="shared" si="121"/>
        <v>2643.9813545379766</v>
      </c>
    </row>
    <row r="3801" spans="1:24" s="116" customFormat="1" ht="15" customHeight="1" thickBot="1">
      <c r="A3801" s="215"/>
      <c r="B3801" s="1366"/>
      <c r="C3801" s="1366"/>
      <c r="D3801" s="1366"/>
      <c r="E3801" s="215"/>
      <c r="F3801" s="406">
        <f>SUM(F3778:F3800)</f>
        <v>131875</v>
      </c>
      <c r="G3801" s="112">
        <f>SUM(G3778:G3800)</f>
        <v>54975</v>
      </c>
      <c r="H3801" s="112"/>
      <c r="I3801" s="124"/>
      <c r="J3801" s="124"/>
      <c r="K3801" s="109"/>
      <c r="L3801" s="114"/>
      <c r="M3801" s="129"/>
      <c r="N3801" s="115"/>
      <c r="O3801" s="147"/>
      <c r="P3801" s="180"/>
      <c r="Q3801" s="154"/>
      <c r="R3801" s="154"/>
      <c r="S3801" s="154"/>
      <c r="T3801" s="154"/>
      <c r="U3801" s="387"/>
      <c r="V3801" s="153">
        <f>AVERAGE(P3783:P3800)</f>
        <v>15386.111111111111</v>
      </c>
      <c r="W3801" s="290"/>
      <c r="X3801" s="444"/>
    </row>
    <row r="3802" spans="1:24" ht="15" customHeight="1">
      <c r="A3802" s="3">
        <v>41214</v>
      </c>
      <c r="B3802" s="9">
        <v>122900</v>
      </c>
      <c r="C3802" s="5">
        <v>53950</v>
      </c>
      <c r="D3802" s="5" t="e">
        <f>E3802-(#REF!+#REF!+C3802)</f>
        <v>#REF!</v>
      </c>
      <c r="E3802" s="5">
        <v>322525</v>
      </c>
      <c r="F3802" s="4">
        <v>0</v>
      </c>
      <c r="G3802" s="5">
        <v>1500</v>
      </c>
      <c r="H3802" s="5">
        <v>128025</v>
      </c>
      <c r="I3802" s="118">
        <f t="shared" ref="I3802:I3823" si="122">H3802/E3802</f>
        <v>0.39694597318037361</v>
      </c>
      <c r="K3802" s="22">
        <v>2123</v>
      </c>
      <c r="L3802" s="6">
        <v>2110</v>
      </c>
      <c r="M3802" s="125">
        <f t="shared" si="116"/>
        <v>-13</v>
      </c>
      <c r="N3802" s="117"/>
      <c r="O3802" s="148"/>
      <c r="P3802" s="175">
        <v>15000</v>
      </c>
      <c r="Q3802" s="25">
        <f>174.85/1090.6</f>
        <v>0.16032459196772419</v>
      </c>
      <c r="U3802" s="384">
        <v>0.1</v>
      </c>
      <c r="W3802" s="285">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18">
        <f t="shared" si="122"/>
        <v>0.42680074836295601</v>
      </c>
      <c r="K3803" s="22">
        <v>2148</v>
      </c>
      <c r="L3803" s="6">
        <v>2135</v>
      </c>
      <c r="M3803" s="125">
        <f t="shared" si="116"/>
        <v>-13</v>
      </c>
      <c r="N3803" s="117"/>
      <c r="O3803" s="148"/>
      <c r="P3803" s="175">
        <v>15050</v>
      </c>
      <c r="Q3803" s="25">
        <f>174.79/1090.9</f>
        <v>0.1602255018791823</v>
      </c>
      <c r="U3803" s="384">
        <v>0.1</v>
      </c>
      <c r="W3803" s="285">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18">
        <f t="shared" si="122"/>
        <v>0.42383638928067702</v>
      </c>
      <c r="K3804" s="22">
        <v>2096.5</v>
      </c>
      <c r="L3804" s="6">
        <v>2093</v>
      </c>
      <c r="M3804" s="125">
        <f t="shared" si="116"/>
        <v>-3.5</v>
      </c>
      <c r="N3804" s="117"/>
      <c r="P3804" s="175">
        <v>14950</v>
      </c>
      <c r="Q3804" s="25">
        <f>174.83/1091.2</f>
        <v>0.16021810850439883</v>
      </c>
      <c r="U3804" s="384">
        <v>0.1</v>
      </c>
      <c r="W3804" s="285">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18">
        <f t="shared" si="122"/>
        <v>0.42288674358370615</v>
      </c>
      <c r="K3805" s="22">
        <v>2170</v>
      </c>
      <c r="L3805" s="6">
        <v>2156</v>
      </c>
      <c r="M3805" s="125">
        <f t="shared" si="116"/>
        <v>-14</v>
      </c>
      <c r="N3805" s="117"/>
      <c r="O3805" s="148"/>
      <c r="P3805" s="175">
        <v>15000</v>
      </c>
      <c r="Q3805" s="25">
        <f>174.8/1091.7</f>
        <v>0.16011724832829533</v>
      </c>
      <c r="U3805" s="384">
        <v>0.1</v>
      </c>
      <c r="W3805" s="285">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18">
        <f t="shared" si="122"/>
        <v>0.42093243030398486</v>
      </c>
      <c r="K3806" s="22">
        <v>2203</v>
      </c>
      <c r="L3806" s="6">
        <v>2177</v>
      </c>
      <c r="M3806" s="125">
        <f t="shared" si="116"/>
        <v>-26</v>
      </c>
      <c r="N3806" s="117"/>
      <c r="P3806" s="175">
        <v>15000</v>
      </c>
      <c r="Q3806" s="25">
        <f>174.76/1091.5</f>
        <v>0.16010994044892349</v>
      </c>
      <c r="U3806" s="384">
        <v>0.1</v>
      </c>
      <c r="W3806" s="285">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18">
        <f t="shared" si="122"/>
        <v>0.41601143674052893</v>
      </c>
      <c r="K3807" s="22">
        <v>2203</v>
      </c>
      <c r="L3807" s="6">
        <v>2185</v>
      </c>
      <c r="M3807" s="125">
        <f t="shared" si="116"/>
        <v>-18</v>
      </c>
      <c r="N3807" s="117"/>
      <c r="O3807" s="148"/>
      <c r="P3807" s="175">
        <v>15000</v>
      </c>
      <c r="Q3807" s="25">
        <f>174.11/1087.1</f>
        <v>0.16016005887222889</v>
      </c>
      <c r="U3807" s="384">
        <v>0.1</v>
      </c>
      <c r="W3807" s="285">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18">
        <f t="shared" si="122"/>
        <v>0.38285928143712578</v>
      </c>
      <c r="K3808" s="22">
        <v>2180</v>
      </c>
      <c r="L3808" s="6">
        <v>2156.5</v>
      </c>
      <c r="M3808" s="125">
        <f t="shared" si="116"/>
        <v>-23.5</v>
      </c>
      <c r="N3808" s="117"/>
      <c r="O3808" s="148"/>
      <c r="P3808" s="175">
        <v>15050</v>
      </c>
      <c r="Q3808" s="25">
        <f>174.31/1088.2</f>
        <v>0.16018195184708692</v>
      </c>
      <c r="U3808" s="384">
        <v>0.1</v>
      </c>
      <c r="W3808" s="285">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18">
        <f t="shared" si="122"/>
        <v>0.37731289177554567</v>
      </c>
      <c r="K3809" s="22">
        <v>2180</v>
      </c>
      <c r="L3809" s="6">
        <v>2150.5</v>
      </c>
      <c r="M3809" s="125">
        <f t="shared" si="116"/>
        <v>-29.5</v>
      </c>
      <c r="N3809" s="117"/>
      <c r="O3809" s="148"/>
      <c r="P3809" s="175">
        <v>14850</v>
      </c>
      <c r="Q3809" s="25">
        <f>174.47/1089.6</f>
        <v>0.16012298091042584</v>
      </c>
      <c r="U3809" s="384">
        <v>0.1</v>
      </c>
      <c r="W3809" s="285">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18">
        <f t="shared" si="122"/>
        <v>0.37147431010824822</v>
      </c>
      <c r="K3810" s="22">
        <v>2163.5</v>
      </c>
      <c r="L3810" s="6">
        <v>2149</v>
      </c>
      <c r="M3810" s="125">
        <f t="shared" si="116"/>
        <v>-14.5</v>
      </c>
      <c r="N3810" s="117"/>
      <c r="O3810" s="148"/>
      <c r="P3810" s="175">
        <v>14900</v>
      </c>
      <c r="Q3810" s="25">
        <f>174.73/1088.4</f>
        <v>0.16053840499816241</v>
      </c>
      <c r="U3810" s="384">
        <v>0.1</v>
      </c>
      <c r="W3810" s="285">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18">
        <f t="shared" si="122"/>
        <v>0.3694072657743786</v>
      </c>
      <c r="K3811" s="22">
        <v>2188</v>
      </c>
      <c r="L3811" s="6">
        <v>2168</v>
      </c>
      <c r="M3811" s="125">
        <f t="shared" si="116"/>
        <v>-20</v>
      </c>
      <c r="N3811" s="117"/>
      <c r="O3811" s="148"/>
      <c r="P3811" s="175">
        <v>14900</v>
      </c>
      <c r="Q3811" s="25">
        <f>175.12/1090.3</f>
        <v>0.16061634412547007</v>
      </c>
      <c r="U3811" s="384">
        <v>0.1</v>
      </c>
      <c r="W3811" s="285">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18">
        <f t="shared" si="122"/>
        <v>0.36341877702285363</v>
      </c>
      <c r="K3812" s="22">
        <v>2188</v>
      </c>
      <c r="L3812" s="6">
        <v>2177</v>
      </c>
      <c r="M3812" s="125">
        <f t="shared" si="116"/>
        <v>-11</v>
      </c>
      <c r="N3812" s="117"/>
      <c r="O3812" s="148"/>
      <c r="P3812" s="175">
        <v>14850</v>
      </c>
      <c r="Q3812" s="25">
        <f>174.66/1087.3</f>
        <v>0.16063643888531223</v>
      </c>
      <c r="U3812" s="384">
        <v>0.1</v>
      </c>
      <c r="W3812" s="285">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18">
        <f t="shared" si="122"/>
        <v>0.345221971407073</v>
      </c>
      <c r="K3813" s="22">
        <v>2180</v>
      </c>
      <c r="L3813" s="6">
        <v>2163</v>
      </c>
      <c r="M3813" s="125">
        <f t="shared" si="116"/>
        <v>-17</v>
      </c>
      <c r="N3813" s="117"/>
      <c r="O3813" s="148"/>
      <c r="P3813" s="175">
        <v>14900</v>
      </c>
      <c r="Q3813" s="25">
        <f>174.34/1086.7</f>
        <v>0.16043066163614614</v>
      </c>
      <c r="U3813" s="384">
        <v>0.1</v>
      </c>
      <c r="W3813" s="285">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18">
        <f t="shared" si="122"/>
        <v>0.32920353982300887</v>
      </c>
      <c r="K3814" s="22">
        <v>2174.5</v>
      </c>
      <c r="L3814" s="6">
        <v>2168</v>
      </c>
      <c r="M3814" s="125">
        <f t="shared" si="116"/>
        <v>-6.5</v>
      </c>
      <c r="N3814" s="117"/>
      <c r="O3814" s="148"/>
      <c r="P3814" s="175">
        <v>14900</v>
      </c>
      <c r="Q3814" s="25">
        <f>174.69/1089.3</f>
        <v>0.16036904434040211</v>
      </c>
      <c r="U3814" s="384">
        <v>0.1</v>
      </c>
      <c r="W3814" s="285">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18">
        <f t="shared" si="122"/>
        <v>0.32406925763543137</v>
      </c>
      <c r="K3815" s="22">
        <v>2187</v>
      </c>
      <c r="L3815" s="6">
        <v>2183</v>
      </c>
      <c r="M3815" s="125">
        <f t="shared" ref="M3815:M3820" si="124">L3815-K3815</f>
        <v>-4</v>
      </c>
      <c r="N3815" s="117"/>
      <c r="O3815" s="148"/>
      <c r="P3815" s="175">
        <v>14850</v>
      </c>
      <c r="Q3815" s="25">
        <f>174.34/1086.9</f>
        <v>0.16040114085932466</v>
      </c>
      <c r="U3815" s="384">
        <v>0.1</v>
      </c>
      <c r="W3815" s="285">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18">
        <f t="shared" si="122"/>
        <v>0.38935361216730036</v>
      </c>
      <c r="K3816" s="22">
        <v>2147</v>
      </c>
      <c r="L3816" s="6">
        <v>2148</v>
      </c>
      <c r="M3816" s="125">
        <f t="shared" si="124"/>
        <v>1</v>
      </c>
      <c r="N3816" s="117"/>
      <c r="O3816" s="148"/>
      <c r="P3816" s="175">
        <v>14800</v>
      </c>
      <c r="Q3816" s="25">
        <f>173.76/1083</f>
        <v>0.16044321329639888</v>
      </c>
      <c r="U3816" s="384">
        <v>0.1</v>
      </c>
      <c r="W3816" s="285">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18">
        <f t="shared" si="122"/>
        <v>0.38935361216730036</v>
      </c>
      <c r="K3817" s="22">
        <v>2166</v>
      </c>
      <c r="L3817" s="6">
        <v>2168</v>
      </c>
      <c r="M3817" s="125">
        <f t="shared" si="124"/>
        <v>2</v>
      </c>
      <c r="N3817" s="117"/>
      <c r="O3817" s="148"/>
      <c r="P3817" s="175">
        <v>14800</v>
      </c>
      <c r="Q3817" s="25">
        <f>173.86/1083.2</f>
        <v>0.1605059084194978</v>
      </c>
      <c r="U3817" s="384">
        <v>0.1</v>
      </c>
      <c r="W3817" s="285">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18">
        <f t="shared" si="122"/>
        <v>0.44042597330751676</v>
      </c>
      <c r="K3818" s="22">
        <v>2170</v>
      </c>
      <c r="L3818" s="6">
        <v>2173</v>
      </c>
      <c r="M3818" s="125">
        <f t="shared" si="124"/>
        <v>3</v>
      </c>
      <c r="N3818" s="117"/>
      <c r="O3818" s="148"/>
      <c r="P3818" s="175">
        <v>14750</v>
      </c>
      <c r="Q3818" s="25">
        <f>174.04/1084.1</f>
        <v>0.16053869569227933</v>
      </c>
      <c r="U3818" s="384">
        <v>0.1</v>
      </c>
      <c r="W3818" s="285">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18">
        <f t="shared" si="122"/>
        <v>0.44034857182377757</v>
      </c>
      <c r="K3819" s="22">
        <v>2201</v>
      </c>
      <c r="L3819" s="6">
        <v>2205</v>
      </c>
      <c r="M3819" s="125">
        <f t="shared" si="124"/>
        <v>4</v>
      </c>
      <c r="N3819" s="117"/>
      <c r="O3819" s="148"/>
      <c r="P3819" s="175">
        <v>14850</v>
      </c>
      <c r="Q3819" s="25">
        <f>174.4/1086.2</f>
        <v>0.16055974958571165</v>
      </c>
      <c r="U3819" s="384">
        <v>0.1</v>
      </c>
      <c r="W3819" s="285">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18">
        <f t="shared" si="122"/>
        <v>0.44041773289992392</v>
      </c>
      <c r="K3820" s="22">
        <v>2198.5</v>
      </c>
      <c r="L3820" s="6">
        <v>2201.5</v>
      </c>
      <c r="M3820" s="125">
        <f t="shared" si="124"/>
        <v>3</v>
      </c>
      <c r="N3820" s="117"/>
      <c r="O3820" s="148"/>
      <c r="P3820" s="175">
        <v>14800</v>
      </c>
      <c r="Q3820" s="25">
        <f>174.27/1084.9</f>
        <v>0.16063231634252004</v>
      </c>
      <c r="U3820" s="384">
        <v>0.1</v>
      </c>
      <c r="W3820" s="285">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18">
        <f t="shared" si="122"/>
        <v>0.44041773289992392</v>
      </c>
      <c r="K3821" s="22">
        <v>2188</v>
      </c>
      <c r="L3821" s="6">
        <v>2187</v>
      </c>
      <c r="M3821" s="125">
        <f>L3821-K3821</f>
        <v>-1</v>
      </c>
      <c r="N3821" s="117"/>
      <c r="O3821" s="148"/>
      <c r="P3821" s="175">
        <v>14800</v>
      </c>
      <c r="Q3821" s="25">
        <f>174.23/1084.1</f>
        <v>0.16071395627709623</v>
      </c>
      <c r="U3821" s="384">
        <v>0.1</v>
      </c>
      <c r="W3821" s="285">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18">
        <f t="shared" si="122"/>
        <v>0.43935421553746379</v>
      </c>
      <c r="K3822" s="22">
        <v>2239</v>
      </c>
      <c r="L3822" s="6">
        <v>2239</v>
      </c>
      <c r="M3822" s="125">
        <f>L3822-K3822</f>
        <v>0</v>
      </c>
      <c r="N3822" s="117"/>
      <c r="O3822" s="148"/>
      <c r="P3822" s="175">
        <v>14800</v>
      </c>
      <c r="Q3822" s="25">
        <f>174.29/1085.4</f>
        <v>0.16057674590012896</v>
      </c>
      <c r="U3822" s="384">
        <v>0.1</v>
      </c>
      <c r="W3822" s="285">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18">
        <f t="shared" si="122"/>
        <v>0.43923814781588572</v>
      </c>
      <c r="K3823" s="22">
        <v>2254.5</v>
      </c>
      <c r="L3823" s="6">
        <v>2254</v>
      </c>
      <c r="M3823" s="125">
        <f>L3823-K3823</f>
        <v>-0.5</v>
      </c>
      <c r="N3823" s="113">
        <f>AVERAGE(K3802:K3823)</f>
        <v>2179.4772727272725</v>
      </c>
      <c r="O3823" s="145">
        <f>AVERAGE(K3575:K3823)</f>
        <v>2043.9356223175967</v>
      </c>
      <c r="P3823" s="175">
        <v>14800</v>
      </c>
      <c r="Q3823" s="25">
        <f>174.16/1084.7</f>
        <v>0.16056052364709136</v>
      </c>
      <c r="U3823" s="384">
        <v>0.1</v>
      </c>
      <c r="W3823" s="285">
        <f>(P3823*Q3823)*(1+U3823)</f>
        <v>2613.9253249746475</v>
      </c>
    </row>
    <row r="3824" spans="1:24" s="116" customFormat="1" ht="15" customHeight="1" thickBot="1">
      <c r="A3824" s="215"/>
      <c r="B3824" s="1366"/>
      <c r="C3824" s="1366"/>
      <c r="D3824" s="1366"/>
      <c r="E3824" s="215"/>
      <c r="F3824" s="405">
        <f>SUM(F3802:F3823)</f>
        <v>69875</v>
      </c>
      <c r="G3824" s="112">
        <f>SUM(G3802:G3823)</f>
        <v>31625</v>
      </c>
      <c r="H3824" s="112"/>
      <c r="I3824" s="124"/>
      <c r="J3824" s="124"/>
      <c r="K3824" s="109"/>
      <c r="L3824" s="114"/>
      <c r="M3824" s="129"/>
      <c r="N3824" s="115"/>
      <c r="O3824" s="147"/>
      <c r="P3824" s="180"/>
      <c r="Q3824" s="154"/>
      <c r="R3824" s="154"/>
      <c r="S3824" s="154"/>
      <c r="T3824" s="154"/>
      <c r="U3824" s="387"/>
      <c r="V3824" s="153">
        <f>AVERAGE(P3802:P3823)</f>
        <v>14890.90909090909</v>
      </c>
      <c r="W3824" s="290"/>
      <c r="X3824" s="444"/>
    </row>
    <row r="3825" spans="1:23" ht="15" customHeight="1">
      <c r="A3825" s="3">
        <v>41246</v>
      </c>
      <c r="B3825" s="9">
        <v>161550</v>
      </c>
      <c r="C3825" s="5">
        <v>53350</v>
      </c>
      <c r="D3825" s="5" t="e">
        <f>E3825-(#REF!+#REF!+C3825)</f>
        <v>#REF!</v>
      </c>
      <c r="E3825" s="5">
        <v>362275</v>
      </c>
      <c r="F3825" s="4">
        <v>0</v>
      </c>
      <c r="G3825" s="5">
        <v>0</v>
      </c>
      <c r="H3825" s="5">
        <v>159325</v>
      </c>
      <c r="I3825" s="118">
        <f t="shared" ref="I3825:I3840" si="125">H3825/E3825</f>
        <v>0.43979021461596851</v>
      </c>
      <c r="K3825" s="22">
        <v>2244</v>
      </c>
      <c r="L3825" s="6">
        <v>2241</v>
      </c>
      <c r="M3825" s="125">
        <f t="shared" ref="M3825:M3830" si="126">L3825-K3825</f>
        <v>-3</v>
      </c>
      <c r="N3825" s="117"/>
      <c r="O3825" s="148"/>
      <c r="P3825" s="175">
        <v>14800</v>
      </c>
      <c r="Q3825" s="25">
        <f>173.96/1083.2</f>
        <v>0.16059822747415067</v>
      </c>
      <c r="U3825" s="384">
        <v>0.1</v>
      </c>
      <c r="W3825" s="285">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18">
        <f t="shared" si="125"/>
        <v>0.44034228141605136</v>
      </c>
      <c r="K3826" s="22">
        <v>2230</v>
      </c>
      <c r="L3826" s="6">
        <v>2239</v>
      </c>
      <c r="M3826" s="125">
        <f t="shared" si="126"/>
        <v>9</v>
      </c>
      <c r="N3826" s="117"/>
      <c r="O3826" s="148"/>
      <c r="P3826" s="175">
        <v>14750</v>
      </c>
      <c r="Q3826" s="25">
        <f>173.98/1083.5</f>
        <v>0.16057221965851406</v>
      </c>
      <c r="U3826" s="384">
        <v>0.1</v>
      </c>
      <c r="W3826" s="285">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18">
        <f t="shared" si="125"/>
        <v>0.4492082151995021</v>
      </c>
      <c r="K3827" s="22">
        <v>2232</v>
      </c>
      <c r="L3827" s="6">
        <v>2238</v>
      </c>
      <c r="M3827" s="125">
        <f t="shared" si="126"/>
        <v>6</v>
      </c>
      <c r="N3827" s="117"/>
      <c r="O3827" s="148"/>
      <c r="P3827" s="175">
        <v>14750</v>
      </c>
      <c r="Q3827" s="25">
        <f>174.07/1083.7</f>
        <v>0.16062563440066438</v>
      </c>
      <c r="U3827" s="384">
        <v>0.1</v>
      </c>
      <c r="W3827" s="285">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18">
        <f t="shared" si="125"/>
        <v>0.46839580001390724</v>
      </c>
      <c r="K3828" s="22">
        <v>2224</v>
      </c>
      <c r="L3828" s="6">
        <v>2235</v>
      </c>
      <c r="M3828" s="125">
        <f t="shared" si="126"/>
        <v>11</v>
      </c>
      <c r="N3828" s="117"/>
      <c r="O3828" s="148"/>
      <c r="P3828" s="175">
        <v>14700</v>
      </c>
      <c r="Q3828" s="25">
        <f>173.89/1082.5</f>
        <v>0.16063741339491916</v>
      </c>
      <c r="U3828" s="384">
        <v>0.1</v>
      </c>
      <c r="W3828" s="285">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18">
        <f t="shared" si="125"/>
        <v>0.46452335924914195</v>
      </c>
      <c r="K3829" s="22">
        <v>2179</v>
      </c>
      <c r="L3829" s="6">
        <v>2193.5</v>
      </c>
      <c r="M3829" s="125">
        <f t="shared" si="126"/>
        <v>14.5</v>
      </c>
      <c r="N3829" s="117"/>
      <c r="O3829" s="148"/>
      <c r="P3829" s="175">
        <v>14700</v>
      </c>
      <c r="Q3829" s="25">
        <f>173.84/1082.7</f>
        <v>0.1605615590652997</v>
      </c>
      <c r="U3829" s="384">
        <v>0.1</v>
      </c>
      <c r="W3829" s="285">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18">
        <f t="shared" si="125"/>
        <v>0.46150595196168204</v>
      </c>
      <c r="K3830" s="22">
        <v>2258</v>
      </c>
      <c r="L3830" s="6">
        <v>2271</v>
      </c>
      <c r="M3830" s="125">
        <f t="shared" si="126"/>
        <v>13</v>
      </c>
      <c r="N3830" s="117"/>
      <c r="O3830" s="148"/>
      <c r="P3830" s="175">
        <v>14700</v>
      </c>
      <c r="Q3830" s="25">
        <f>173.77/1082.6</f>
        <v>0.16051173101791985</v>
      </c>
      <c r="U3830" s="384">
        <v>0.1</v>
      </c>
      <c r="W3830" s="285">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18">
        <f t="shared" si="125"/>
        <v>0.45841598186455085</v>
      </c>
      <c r="K3831" s="22">
        <v>2279</v>
      </c>
      <c r="L3831" s="6">
        <v>2295.5</v>
      </c>
      <c r="M3831" s="125">
        <f t="shared" ref="M3831:M3843" si="128">L3831-K3831</f>
        <v>16.5</v>
      </c>
      <c r="N3831" s="117"/>
      <c r="O3831" s="157"/>
      <c r="P3831" s="175">
        <v>14700</v>
      </c>
      <c r="Q3831" s="25">
        <f>173.26/1079.4</f>
        <v>0.16051510098202704</v>
      </c>
      <c r="U3831" s="384">
        <v>0.1</v>
      </c>
      <c r="W3831" s="285">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18">
        <f t="shared" si="125"/>
        <v>0.4560803590510793</v>
      </c>
      <c r="K3832" s="22">
        <v>2287</v>
      </c>
      <c r="L3832" s="6">
        <v>2304</v>
      </c>
      <c r="M3832" s="125">
        <f t="shared" si="128"/>
        <v>17</v>
      </c>
      <c r="N3832" s="117"/>
      <c r="O3832" s="148"/>
      <c r="P3832" s="175">
        <v>14700</v>
      </c>
      <c r="Q3832" s="25">
        <f>172.46/1077.3</f>
        <v>0.16008539868188992</v>
      </c>
      <c r="U3832" s="384">
        <v>0.1</v>
      </c>
      <c r="W3832" s="285">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18">
        <f t="shared" si="125"/>
        <v>0.45296267106111626</v>
      </c>
      <c r="K3833" s="22">
        <v>2279</v>
      </c>
      <c r="L3833" s="6">
        <v>2293</v>
      </c>
      <c r="M3833" s="125">
        <f t="shared" si="128"/>
        <v>14</v>
      </c>
      <c r="N3833" s="117"/>
      <c r="O3833" s="148"/>
      <c r="P3833" s="175">
        <v>14700</v>
      </c>
      <c r="Q3833" s="25">
        <f>172.08/1075.7</f>
        <v>0.15997025192897649</v>
      </c>
      <c r="U3833" s="384">
        <v>0.1</v>
      </c>
      <c r="W3833" s="285">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18">
        <f t="shared" si="125"/>
        <v>0.44980903653527421</v>
      </c>
      <c r="K3834" s="22">
        <v>2293</v>
      </c>
      <c r="L3834" s="6">
        <v>2303</v>
      </c>
      <c r="M3834" s="125">
        <f t="shared" si="128"/>
        <v>10</v>
      </c>
      <c r="N3834" s="117"/>
      <c r="O3834" s="148"/>
      <c r="P3834" s="175">
        <v>14700</v>
      </c>
      <c r="Q3834" s="25">
        <f>172.06/1072.3</f>
        <v>0.16045882682085238</v>
      </c>
      <c r="U3834" s="384">
        <v>0.1</v>
      </c>
      <c r="W3834" s="285">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18">
        <f t="shared" si="125"/>
        <v>0.44265285276521232</v>
      </c>
      <c r="K3835" s="22">
        <v>2270</v>
      </c>
      <c r="L3835" s="6">
        <v>2287</v>
      </c>
      <c r="M3835" s="125">
        <f t="shared" si="128"/>
        <v>17</v>
      </c>
      <c r="N3835" s="117"/>
      <c r="O3835" s="148"/>
      <c r="P3835" s="175">
        <v>14700</v>
      </c>
      <c r="Q3835" s="25">
        <f>172.06/1062.79</f>
        <v>0.16189463581704758</v>
      </c>
      <c r="U3835" s="384">
        <v>0.1</v>
      </c>
      <c r="W3835" s="285">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18">
        <f t="shared" si="125"/>
        <v>0.43523584208191629</v>
      </c>
      <c r="K3836" s="22">
        <v>2292.5</v>
      </c>
      <c r="L3836" s="6">
        <v>2310</v>
      </c>
      <c r="M3836" s="125">
        <f t="shared" si="128"/>
        <v>17.5</v>
      </c>
      <c r="N3836" s="117"/>
      <c r="O3836" s="135"/>
      <c r="P3836" s="175">
        <v>14750</v>
      </c>
      <c r="Q3836" s="25">
        <f>172.03/1072.9</f>
        <v>0.16034113151272253</v>
      </c>
      <c r="U3836" s="384">
        <v>0.1</v>
      </c>
      <c r="W3836" s="285">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18">
        <f t="shared" si="125"/>
        <v>0.43119880863737903</v>
      </c>
      <c r="K3837" s="22">
        <v>2311</v>
      </c>
      <c r="L3837" s="6">
        <v>2333</v>
      </c>
      <c r="M3837" s="125">
        <f t="shared" si="128"/>
        <v>22</v>
      </c>
      <c r="N3837" s="117"/>
      <c r="O3837" s="148"/>
      <c r="P3837" s="175">
        <v>14750</v>
      </c>
      <c r="Q3837" s="25">
        <f>172.03/1072.9</f>
        <v>0.16034113151272253</v>
      </c>
      <c r="U3837" s="384">
        <v>0.1</v>
      </c>
      <c r="W3837" s="285">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18">
        <f t="shared" si="125"/>
        <v>0.42736131934032984</v>
      </c>
      <c r="K3838" s="22">
        <v>2312</v>
      </c>
      <c r="L3838" s="6">
        <v>2331</v>
      </c>
      <c r="M3838" s="125">
        <f t="shared" si="128"/>
        <v>19</v>
      </c>
      <c r="N3838" s="117"/>
      <c r="O3838" s="148"/>
      <c r="P3838" s="175">
        <v>14750</v>
      </c>
      <c r="Q3838" s="25">
        <f>172.03/1071.8</f>
        <v>0.16050569136032844</v>
      </c>
      <c r="U3838" s="384">
        <v>0.1</v>
      </c>
      <c r="W3838" s="285">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18">
        <f t="shared" si="125"/>
        <v>0.42209953108455606</v>
      </c>
      <c r="K3839" s="22">
        <v>2276</v>
      </c>
      <c r="L3839" s="6">
        <v>2294</v>
      </c>
      <c r="M3839" s="125">
        <f t="shared" si="128"/>
        <v>18</v>
      </c>
      <c r="N3839" s="117"/>
      <c r="O3839" s="148"/>
      <c r="P3839" s="175">
        <v>14750</v>
      </c>
      <c r="Q3839" s="25">
        <f>172.29/1073.4</f>
        <v>0.16050866405813302</v>
      </c>
      <c r="U3839" s="384">
        <v>0.1</v>
      </c>
      <c r="W3839" s="285">
        <f t="shared" si="127"/>
        <v>2604.2530743432085</v>
      </c>
    </row>
    <row r="3840" spans="1:23" ht="15" customHeight="1">
      <c r="A3840" s="3">
        <v>41267</v>
      </c>
      <c r="B3840" s="9">
        <v>149900</v>
      </c>
      <c r="C3840" s="24">
        <v>53350</v>
      </c>
      <c r="D3840" s="5" t="e">
        <f>E3840-(#REF!+#REF!+C3840)</f>
        <v>#REF!</v>
      </c>
      <c r="E3840" s="24">
        <v>329150</v>
      </c>
      <c r="G3840" s="24"/>
      <c r="H3840" s="24">
        <v>167825</v>
      </c>
      <c r="I3840" s="118">
        <f t="shared" si="125"/>
        <v>0.5098739176667173</v>
      </c>
      <c r="K3840" s="22">
        <v>2299</v>
      </c>
      <c r="L3840" s="6">
        <v>2319</v>
      </c>
      <c r="M3840" s="125">
        <f t="shared" si="128"/>
        <v>20</v>
      </c>
      <c r="N3840" s="117"/>
      <c r="O3840" s="148"/>
      <c r="P3840" s="175">
        <v>14700</v>
      </c>
      <c r="Q3840" s="25">
        <f>172.66/1075.4</f>
        <v>0.16055421238608888</v>
      </c>
      <c r="U3840" s="384">
        <v>0.1</v>
      </c>
      <c r="W3840" s="285">
        <f t="shared" si="127"/>
        <v>2596.1616142830576</v>
      </c>
    </row>
    <row r="3841" spans="1:23" ht="15" customHeight="1">
      <c r="A3841" s="3">
        <v>41268</v>
      </c>
      <c r="B3841" s="9">
        <v>0</v>
      </c>
      <c r="C3841" s="24"/>
      <c r="D3841" s="24"/>
      <c r="E3841" s="24"/>
      <c r="F3841" s="1318" t="s">
        <v>38</v>
      </c>
      <c r="G3841" s="1318"/>
      <c r="H3841" s="1318"/>
      <c r="I3841" s="1318"/>
      <c r="J3841" s="5"/>
      <c r="K3841" s="24"/>
      <c r="L3841" s="24"/>
      <c r="M3841" s="24"/>
      <c r="N3841" s="117"/>
      <c r="O3841" s="148"/>
      <c r="P3841" s="175">
        <v>14700</v>
      </c>
      <c r="Q3841" s="25">
        <f>172.66/1075.4</f>
        <v>0.16055421238608888</v>
      </c>
      <c r="U3841" s="384">
        <v>0.1</v>
      </c>
      <c r="W3841" s="285">
        <f t="shared" si="127"/>
        <v>2596.1616142830576</v>
      </c>
    </row>
    <row r="3842" spans="1:23" ht="15" customHeight="1">
      <c r="A3842" s="3">
        <v>41269</v>
      </c>
      <c r="B3842" s="9">
        <v>0</v>
      </c>
      <c r="C3842" s="24"/>
      <c r="D3842" s="24"/>
      <c r="E3842" s="24"/>
      <c r="F3842" s="1318"/>
      <c r="G3842" s="1318"/>
      <c r="H3842" s="1318"/>
      <c r="I3842" s="1318"/>
      <c r="J3842" s="5"/>
      <c r="K3842" s="24"/>
      <c r="L3842" s="24"/>
      <c r="M3842" s="24"/>
      <c r="N3842" s="117"/>
      <c r="O3842" s="148"/>
      <c r="P3842" s="175">
        <v>14700</v>
      </c>
      <c r="Q3842" s="25">
        <f>172.66/1075.4</f>
        <v>0.16055421238608888</v>
      </c>
      <c r="U3842" s="384">
        <v>0.1</v>
      </c>
      <c r="W3842" s="285">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18">
        <f>H3843/E3843</f>
        <v>0.50808789867236381</v>
      </c>
      <c r="K3843" s="22">
        <v>2311</v>
      </c>
      <c r="L3843" s="6">
        <v>2326</v>
      </c>
      <c r="M3843" s="125">
        <f t="shared" si="128"/>
        <v>15</v>
      </c>
      <c r="N3843" s="117"/>
      <c r="O3843" s="148"/>
      <c r="P3843" s="175">
        <v>14700</v>
      </c>
      <c r="Q3843" s="25">
        <f>172.41/1074.8</f>
        <v>0.16041123930033496</v>
      </c>
      <c r="R3843" s="24">
        <f>P3843*Q3843</f>
        <v>2358.0452177149241</v>
      </c>
      <c r="S3843" s="158" t="e">
        <f>R3843*#REF!</f>
        <v>#REF!</v>
      </c>
      <c r="T3843" s="24" t="e">
        <f>(R3843+S3843)*U3843</f>
        <v>#REF!</v>
      </c>
      <c r="U3843" s="384">
        <v>0.1</v>
      </c>
      <c r="W3843" s="285">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18">
        <f>H3844/E3844</f>
        <v>0.49992269635126779</v>
      </c>
      <c r="K3844" s="22">
        <v>2318</v>
      </c>
      <c r="L3844" s="6">
        <v>2324</v>
      </c>
      <c r="M3844" s="125">
        <f>L3844-K3844</f>
        <v>6</v>
      </c>
      <c r="N3844" s="117"/>
      <c r="O3844" s="148"/>
      <c r="P3844" s="175">
        <v>14750</v>
      </c>
      <c r="Q3844" s="25">
        <f>172.21/1073.8</f>
        <v>0.16037437139132055</v>
      </c>
      <c r="R3844" s="24">
        <f>P3844*Q3844</f>
        <v>2365.5219780219782</v>
      </c>
      <c r="S3844" s="158" t="e">
        <f>R3844*#REF!</f>
        <v>#REF!</v>
      </c>
      <c r="T3844" s="158" t="e">
        <f>(R3844+S3844)*U3844</f>
        <v>#REF!</v>
      </c>
      <c r="U3844" s="384">
        <v>0.1</v>
      </c>
      <c r="W3844" s="285">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18">
        <f>H3845/E3845</f>
        <v>0.57316787637555611</v>
      </c>
      <c r="K3845" s="22">
        <v>2340</v>
      </c>
      <c r="L3845" s="6">
        <v>2342</v>
      </c>
      <c r="M3845" s="125">
        <f>L3845-K3845</f>
        <v>2</v>
      </c>
      <c r="N3845" s="113">
        <f>AVERAGE(K3825:K3845)</f>
        <v>2275.5</v>
      </c>
      <c r="O3845" s="145">
        <f>AVERAGE(K3575:K3845)</f>
        <v>2061.3948412698414</v>
      </c>
      <c r="P3845" s="175">
        <v>14750</v>
      </c>
      <c r="Q3845" s="25">
        <f>171.88/1071.1</f>
        <v>0.16047054430025209</v>
      </c>
      <c r="R3845" s="24">
        <f>P3845*Q3845</f>
        <v>2366.9405284287186</v>
      </c>
      <c r="S3845" s="158" t="e">
        <f>R3845*#REF!</f>
        <v>#REF!</v>
      </c>
      <c r="T3845" s="158" t="e">
        <f>(R3845+S3845)*U3845</f>
        <v>#REF!</v>
      </c>
      <c r="U3845" s="384">
        <v>0.1</v>
      </c>
      <c r="W3845" s="285">
        <f t="shared" si="127"/>
        <v>2603.6345812715908</v>
      </c>
    </row>
    <row r="3846" spans="1:23" ht="15" customHeight="1" thickBot="1">
      <c r="A3846" s="216"/>
      <c r="B3846" s="1330"/>
      <c r="C3846" s="1330"/>
      <c r="D3846" s="1330"/>
      <c r="E3846" s="216"/>
      <c r="F3846" s="407">
        <f>SUM(F3825:F3845)</f>
        <v>1225</v>
      </c>
      <c r="G3846" s="164">
        <f>SUM(G3825:G3845)</f>
        <v>41775</v>
      </c>
      <c r="H3846" s="164"/>
      <c r="I3846" s="165"/>
      <c r="J3846" s="165"/>
      <c r="K3846" s="166"/>
      <c r="L3846" s="167"/>
      <c r="M3846" s="168"/>
      <c r="N3846" s="169"/>
      <c r="O3846" s="170"/>
      <c r="P3846" s="181"/>
      <c r="Q3846" s="154"/>
      <c r="R3846" s="171"/>
      <c r="S3846" s="172"/>
      <c r="T3846" s="172"/>
      <c r="U3846" s="152"/>
      <c r="V3846" s="153">
        <f>AVERAGE(P3825:P3845)</f>
        <v>14723.809523809523</v>
      </c>
      <c r="W3846" s="289"/>
    </row>
    <row r="3847" spans="1:23" ht="15" customHeight="1">
      <c r="A3847" s="3">
        <v>41275</v>
      </c>
      <c r="B3847" s="9">
        <v>0</v>
      </c>
      <c r="C3847" s="210"/>
      <c r="D3847" s="210"/>
      <c r="E3847" s="210"/>
      <c r="F3847" s="1328" t="s">
        <v>38</v>
      </c>
      <c r="G3847" s="1328"/>
      <c r="H3847" s="1328"/>
      <c r="I3847" s="1328"/>
      <c r="J3847" s="31"/>
      <c r="K3847" s="210"/>
      <c r="L3847" s="210"/>
      <c r="M3847" s="210"/>
      <c r="O3847" s="156"/>
      <c r="P3847" s="208"/>
      <c r="Q3847" s="1362" t="s">
        <v>43</v>
      </c>
      <c r="R3847" s="1362"/>
      <c r="S3847" s="1362"/>
      <c r="T3847" s="1362"/>
      <c r="U3847" s="1362"/>
      <c r="V3847" s="37"/>
      <c r="W3847" s="287"/>
    </row>
    <row r="3848" spans="1:23" ht="15" customHeight="1">
      <c r="A3848" s="3">
        <v>41276</v>
      </c>
      <c r="B3848" s="9">
        <v>138825</v>
      </c>
      <c r="C3848" s="5">
        <v>53225</v>
      </c>
      <c r="D3848" s="5" t="e">
        <f>E3848-(#REF!+#REF!+C3848)</f>
        <v>#REF!</v>
      </c>
      <c r="E3848" s="5">
        <v>317700</v>
      </c>
      <c r="F3848" s="4">
        <v>0</v>
      </c>
      <c r="G3848" s="5">
        <v>2625</v>
      </c>
      <c r="H3848" s="5">
        <v>180975</v>
      </c>
      <c r="I3848" s="118">
        <f t="shared" ref="I3848:I3869" si="129">H3848/E3848</f>
        <v>0.56964117091595845</v>
      </c>
      <c r="K3848" s="22">
        <v>2385</v>
      </c>
      <c r="L3848" s="6">
        <v>2390</v>
      </c>
      <c r="M3848" s="125">
        <f>L3848-K3848</f>
        <v>5</v>
      </c>
      <c r="O3848" s="157"/>
      <c r="P3848" s="207"/>
      <c r="Q3848" s="1363"/>
      <c r="R3848" s="1363"/>
      <c r="S3848" s="1363"/>
      <c r="T3848" s="1363"/>
      <c r="U3848" s="1363"/>
      <c r="W3848" s="288"/>
    </row>
    <row r="3849" spans="1:23" ht="15" customHeight="1">
      <c r="A3849" s="3">
        <v>41277</v>
      </c>
      <c r="B3849" s="9">
        <v>136175</v>
      </c>
      <c r="C3849" s="5">
        <v>53225</v>
      </c>
      <c r="D3849" s="5" t="e">
        <f>E3849-(#REF!+#REF!+C3849)</f>
        <v>#REF!</v>
      </c>
      <c r="E3849" s="5">
        <v>314550</v>
      </c>
      <c r="F3849" s="4">
        <v>0</v>
      </c>
      <c r="G3849" s="5">
        <v>3150</v>
      </c>
      <c r="H3849" s="5">
        <v>177825</v>
      </c>
      <c r="I3849" s="118">
        <f t="shared" si="129"/>
        <v>0.56533142584644736</v>
      </c>
      <c r="K3849" s="22">
        <v>2412.5</v>
      </c>
      <c r="L3849" s="6">
        <v>2419.5</v>
      </c>
      <c r="M3849" s="125">
        <f>L3849-K3849</f>
        <v>7</v>
      </c>
      <c r="N3849" s="117"/>
      <c r="O3849" s="148"/>
      <c r="P3849" s="207"/>
      <c r="Q3849" s="1363"/>
      <c r="R3849" s="1363"/>
      <c r="S3849" s="1363"/>
      <c r="T3849" s="1363"/>
      <c r="U3849" s="1363"/>
      <c r="W3849" s="288"/>
    </row>
    <row r="3850" spans="1:23" ht="15" customHeight="1">
      <c r="A3850" s="3">
        <v>41278</v>
      </c>
      <c r="B3850" s="9">
        <v>133175</v>
      </c>
      <c r="C3850" s="5">
        <v>53175</v>
      </c>
      <c r="D3850" s="5" t="e">
        <f>E3850-(#REF!+#REF!+C3850)</f>
        <v>#REF!</v>
      </c>
      <c r="E3850" s="5">
        <v>312625</v>
      </c>
      <c r="F3850" s="4">
        <v>0</v>
      </c>
      <c r="G3850" s="5">
        <v>1925</v>
      </c>
      <c r="H3850" s="5">
        <v>175900</v>
      </c>
      <c r="I3850" s="118">
        <f t="shared" si="129"/>
        <v>0.56265493802479005</v>
      </c>
      <c r="K3850" s="22">
        <v>2343</v>
      </c>
      <c r="L3850" s="6">
        <v>2355</v>
      </c>
      <c r="M3850" s="125">
        <f>L3850-K3850</f>
        <v>12</v>
      </c>
      <c r="N3850" s="117"/>
      <c r="P3850" s="175">
        <v>14750</v>
      </c>
      <c r="Q3850" s="25">
        <f>170.75/1063.8</f>
        <v>0.16050949426583946</v>
      </c>
      <c r="R3850" s="24">
        <f>P3850*Q3850</f>
        <v>2367.5150404211322</v>
      </c>
      <c r="S3850" s="158" t="e">
        <f>R3850*#REF!</f>
        <v>#REF!</v>
      </c>
      <c r="T3850" s="158" t="e">
        <f>(R3850+S3850)*U3850</f>
        <v>#REF!</v>
      </c>
      <c r="U3850" s="384">
        <v>0.1</v>
      </c>
      <c r="W3850" s="285">
        <f>(P3850*Q3850)*(1+U3850)</f>
        <v>2604.2665444632457</v>
      </c>
    </row>
    <row r="3851" spans="1:23" ht="15" customHeight="1">
      <c r="A3851" s="3">
        <v>41281</v>
      </c>
      <c r="B3851" s="9">
        <v>131400</v>
      </c>
      <c r="C3851" s="5">
        <v>53000</v>
      </c>
      <c r="D3851" s="5" t="e">
        <f>E3851-(#REF!+#REF!+C3851)</f>
        <v>#REF!</v>
      </c>
      <c r="E3851" s="5">
        <v>309675</v>
      </c>
      <c r="H3851" s="5">
        <v>172950</v>
      </c>
      <c r="I3851" s="118">
        <f t="shared" si="129"/>
        <v>0.55848873819326716</v>
      </c>
      <c r="K3851" s="22">
        <v>2289</v>
      </c>
      <c r="L3851" s="6">
        <v>2295.5</v>
      </c>
      <c r="M3851" s="125">
        <f>L3851-K3851</f>
        <v>6.5</v>
      </c>
      <c r="N3851" s="117"/>
      <c r="O3851" s="148"/>
      <c r="P3851" s="175">
        <v>14750</v>
      </c>
      <c r="R3851" s="24"/>
      <c r="S3851" s="158"/>
      <c r="T3851" s="158"/>
    </row>
    <row r="3852" spans="1:23" ht="15" customHeight="1">
      <c r="A3852" s="3">
        <v>41282</v>
      </c>
      <c r="B3852" s="9">
        <v>128925</v>
      </c>
      <c r="C3852" s="5">
        <v>52925</v>
      </c>
      <c r="D3852" s="5" t="e">
        <f>E3852-(#REF!+#REF!+C3852)</f>
        <v>#REF!</v>
      </c>
      <c r="E3852" s="5">
        <v>308350</v>
      </c>
      <c r="H3852" s="5">
        <v>171625</v>
      </c>
      <c r="I3852" s="118">
        <f t="shared" si="129"/>
        <v>0.55659153559267072</v>
      </c>
      <c r="K3852" s="22">
        <v>2297</v>
      </c>
      <c r="L3852" s="6">
        <v>2328.5</v>
      </c>
      <c r="M3852" s="125">
        <f>L3852-K3852</f>
        <v>31.5</v>
      </c>
      <c r="N3852" s="117"/>
      <c r="O3852" s="148"/>
      <c r="P3852" s="175">
        <v>14750</v>
      </c>
      <c r="R3852" s="24"/>
      <c r="S3852" s="158"/>
      <c r="T3852" s="158"/>
    </row>
    <row r="3853" spans="1:23" ht="15" customHeight="1">
      <c r="A3853" s="3">
        <v>41283</v>
      </c>
      <c r="B3853" s="9">
        <v>127925</v>
      </c>
      <c r="C3853" s="5">
        <v>52750</v>
      </c>
      <c r="D3853" s="5" t="e">
        <f>E3853-(#REF!+#REF!+C3853)</f>
        <v>#REF!</v>
      </c>
      <c r="E3853" s="5">
        <v>329050</v>
      </c>
      <c r="F3853" s="4">
        <v>0</v>
      </c>
      <c r="G3853" s="5">
        <v>2100</v>
      </c>
      <c r="H3853" s="5">
        <v>169525</v>
      </c>
      <c r="I3853" s="118">
        <f t="shared" si="129"/>
        <v>0.5151952590791673</v>
      </c>
      <c r="K3853" s="22">
        <v>2323.5</v>
      </c>
      <c r="L3853" s="6">
        <v>2340</v>
      </c>
      <c r="M3853" s="125">
        <f t="shared" ref="M3853:M3911" si="130">L3853-K3853</f>
        <v>16.5</v>
      </c>
      <c r="N3853" s="117"/>
      <c r="O3853" s="148"/>
      <c r="P3853" s="175">
        <v>14750</v>
      </c>
      <c r="Q3853" s="25">
        <f>170.59/1062.1</f>
        <v>0.16061576122775634</v>
      </c>
      <c r="R3853" s="24">
        <f>P3853*Q3853</f>
        <v>2369.0824781094061</v>
      </c>
      <c r="S3853" s="158" t="e">
        <f>R3853*#REF!</f>
        <v>#REF!</v>
      </c>
      <c r="T3853" s="158" t="e">
        <f t="shared" ref="T3853:T3869" si="131">(R3853+S3853)*U3853</f>
        <v>#REF!</v>
      </c>
      <c r="U3853" s="384">
        <v>0.1</v>
      </c>
      <c r="W3853" s="285">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18">
        <f t="shared" si="129"/>
        <v>0.55120630231413092</v>
      </c>
      <c r="K3854" s="22">
        <v>2332</v>
      </c>
      <c r="L3854" s="6">
        <v>2347</v>
      </c>
      <c r="M3854" s="125">
        <f t="shared" si="130"/>
        <v>15</v>
      </c>
      <c r="N3854" s="117"/>
      <c r="P3854" s="175">
        <v>14750</v>
      </c>
      <c r="Q3854" s="25">
        <f>170.48/1061</f>
        <v>0.16067860508953816</v>
      </c>
      <c r="R3854" s="24">
        <f>P3854*Q3854</f>
        <v>2370.0094250706879</v>
      </c>
      <c r="S3854" s="158" t="e">
        <f>R3854*#REF!</f>
        <v>#REF!</v>
      </c>
      <c r="T3854" s="158" t="e">
        <f t="shared" si="131"/>
        <v>#REF!</v>
      </c>
      <c r="U3854" s="384">
        <v>0.1</v>
      </c>
      <c r="W3854" s="285">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18">
        <f t="shared" si="129"/>
        <v>0.54887404107894089</v>
      </c>
      <c r="K3855" s="22">
        <v>2323</v>
      </c>
      <c r="L3855" s="6">
        <v>2333</v>
      </c>
      <c r="M3855" s="125">
        <f t="shared" si="130"/>
        <v>10</v>
      </c>
      <c r="N3855" s="117"/>
      <c r="O3855" s="148"/>
      <c r="P3855" s="175">
        <v>14750</v>
      </c>
      <c r="Q3855" s="25">
        <f>169.96/1056.5</f>
        <v>0.16087079981069571</v>
      </c>
      <c r="R3855" s="24">
        <f>P3855*Q3855</f>
        <v>2372.8442972077619</v>
      </c>
      <c r="S3855" s="158" t="e">
        <f>R3855*#REF!</f>
        <v>#REF!</v>
      </c>
      <c r="T3855" s="158" t="e">
        <f t="shared" si="131"/>
        <v>#REF!</v>
      </c>
      <c r="U3855" s="384">
        <v>0.1</v>
      </c>
      <c r="W3855" s="285">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18">
        <f t="shared" si="129"/>
        <v>0.54655501202222034</v>
      </c>
      <c r="K3856" s="22">
        <v>2305</v>
      </c>
      <c r="L3856" s="6">
        <v>2313</v>
      </c>
      <c r="M3856" s="125">
        <f t="shared" si="130"/>
        <v>8</v>
      </c>
      <c r="N3856" s="117"/>
      <c r="O3856" s="148"/>
      <c r="P3856" s="175">
        <v>14700</v>
      </c>
      <c r="Q3856" s="25">
        <f>169.81/1056.1</f>
        <v>0.16078969794527034</v>
      </c>
      <c r="R3856" s="24">
        <f>P3856*Q3856</f>
        <v>2363.6085597954739</v>
      </c>
      <c r="S3856" s="158" t="e">
        <f>R3856*#REF!</f>
        <v>#REF!</v>
      </c>
      <c r="T3856" s="158" t="e">
        <f t="shared" si="131"/>
        <v>#REF!</v>
      </c>
      <c r="U3856" s="384">
        <v>0.1</v>
      </c>
      <c r="W3856" s="285">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18">
        <f t="shared" si="129"/>
        <v>0.54141447641157447</v>
      </c>
      <c r="K3857" s="22">
        <v>2257.5</v>
      </c>
      <c r="L3857" s="6">
        <v>2267</v>
      </c>
      <c r="M3857" s="125">
        <f t="shared" si="130"/>
        <v>9.5</v>
      </c>
      <c r="N3857" s="117"/>
      <c r="O3857" s="148"/>
      <c r="P3857" s="175">
        <v>14700</v>
      </c>
      <c r="Q3857" s="25">
        <f>170.6/1061.95</f>
        <v>0.16064786477706106</v>
      </c>
      <c r="R3857" s="24">
        <f t="shared" ref="R3857:R3890" si="133">P3857*Q3857</f>
        <v>2361.5236122227975</v>
      </c>
      <c r="S3857" s="158" t="e">
        <f>R3857*#REF!</f>
        <v>#REF!</v>
      </c>
      <c r="T3857" s="158" t="e">
        <f t="shared" si="131"/>
        <v>#REF!</v>
      </c>
      <c r="U3857" s="384">
        <v>0.1</v>
      </c>
      <c r="W3857" s="285">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18">
        <f t="shared" si="129"/>
        <v>0.54184468459411916</v>
      </c>
      <c r="K3858" s="22">
        <v>2254.5</v>
      </c>
      <c r="L3858" s="6">
        <v>2260</v>
      </c>
      <c r="M3858" s="125">
        <f t="shared" si="130"/>
        <v>5.5</v>
      </c>
      <c r="N3858" s="7"/>
      <c r="O3858" s="132"/>
      <c r="P3858" s="175">
        <v>14700</v>
      </c>
      <c r="Q3858" s="25">
        <f>170.34/1058.9</f>
        <v>0.16086504863537632</v>
      </c>
      <c r="R3858" s="24">
        <f t="shared" si="133"/>
        <v>2364.7162149400319</v>
      </c>
      <c r="S3858" s="158" t="e">
        <f>R3858*#REF!</f>
        <v>#REF!</v>
      </c>
      <c r="T3858" s="158" t="e">
        <f t="shared" si="131"/>
        <v>#REF!</v>
      </c>
      <c r="U3858" s="384">
        <v>0.1</v>
      </c>
      <c r="W3858" s="285">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18">
        <f t="shared" si="129"/>
        <v>0.53723134202064649</v>
      </c>
      <c r="K3859" s="22">
        <v>2270</v>
      </c>
      <c r="L3859" s="6">
        <v>2267</v>
      </c>
      <c r="M3859" s="125">
        <f t="shared" si="130"/>
        <v>-3</v>
      </c>
      <c r="N3859" s="7"/>
      <c r="O3859" s="132"/>
      <c r="P3859" s="175">
        <v>14700</v>
      </c>
      <c r="Q3859" s="25">
        <f>170.24/1058.2</f>
        <v>0.16087696087696088</v>
      </c>
      <c r="R3859" s="24">
        <f t="shared" si="133"/>
        <v>2364.891324891325</v>
      </c>
      <c r="S3859" s="158" t="e">
        <f>R3859*#REF!</f>
        <v>#REF!</v>
      </c>
      <c r="T3859" s="158" t="e">
        <f t="shared" si="131"/>
        <v>#REF!</v>
      </c>
      <c r="U3859" s="384">
        <v>0.1</v>
      </c>
      <c r="W3859" s="285">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18">
        <f t="shared" si="129"/>
        <v>0.53073805100489779</v>
      </c>
      <c r="K3860" s="22">
        <v>2320</v>
      </c>
      <c r="L3860" s="6">
        <v>2321</v>
      </c>
      <c r="M3860" s="125">
        <f t="shared" si="130"/>
        <v>1</v>
      </c>
      <c r="N3860" s="7"/>
      <c r="O3860" s="132"/>
      <c r="P3860" s="175">
        <v>14750</v>
      </c>
      <c r="Q3860" s="25">
        <f>169.92/1056.1</f>
        <v>0.16089385474860335</v>
      </c>
      <c r="R3860" s="24">
        <f t="shared" si="133"/>
        <v>2373.1843575418993</v>
      </c>
      <c r="S3860" s="158" t="e">
        <f>R3860*#REF!</f>
        <v>#REF!</v>
      </c>
      <c r="T3860" s="158" t="e">
        <f t="shared" si="131"/>
        <v>#REF!</v>
      </c>
      <c r="U3860" s="384">
        <v>0.1</v>
      </c>
      <c r="W3860" s="285">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18">
        <f t="shared" si="129"/>
        <v>0.52843803056027161</v>
      </c>
      <c r="K3861" s="22">
        <v>2296</v>
      </c>
      <c r="L3861" s="6">
        <v>2303</v>
      </c>
      <c r="M3861" s="125">
        <f t="shared" si="130"/>
        <v>7</v>
      </c>
      <c r="N3861" s="7"/>
      <c r="O3861" s="132"/>
      <c r="P3861" s="175">
        <v>14750</v>
      </c>
      <c r="Q3861" s="25">
        <f>170.38/1060</f>
        <v>0.16073584905660376</v>
      </c>
      <c r="R3861" s="24">
        <f t="shared" si="133"/>
        <v>2370.8537735849054</v>
      </c>
      <c r="S3861" s="158" t="e">
        <f>R3861*#REF!</f>
        <v>#REF!</v>
      </c>
      <c r="T3861" s="158" t="e">
        <f t="shared" si="131"/>
        <v>#REF!</v>
      </c>
      <c r="U3861" s="384">
        <v>0.1</v>
      </c>
      <c r="W3861" s="285">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18">
        <f t="shared" si="129"/>
        <v>0.52763605442176875</v>
      </c>
      <c r="K3862" s="22">
        <v>2315.5</v>
      </c>
      <c r="L3862" s="6">
        <v>2320</v>
      </c>
      <c r="M3862" s="125">
        <f t="shared" si="130"/>
        <v>4.5</v>
      </c>
      <c r="N3862" s="7"/>
      <c r="O3862" s="132"/>
      <c r="P3862" s="175">
        <v>14750</v>
      </c>
      <c r="Q3862" s="25">
        <f>171.13/1064.4</f>
        <v>0.16077602405110858</v>
      </c>
      <c r="R3862" s="24">
        <f t="shared" si="133"/>
        <v>2371.4463547538517</v>
      </c>
      <c r="S3862" s="158" t="e">
        <f>R3862*#REF!</f>
        <v>#REF!</v>
      </c>
      <c r="T3862" s="158" t="e">
        <f t="shared" si="131"/>
        <v>#REF!</v>
      </c>
      <c r="U3862" s="384">
        <v>0.1</v>
      </c>
      <c r="W3862" s="285">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18">
        <f t="shared" si="129"/>
        <v>0.52755570675284913</v>
      </c>
      <c r="K3863" s="22">
        <v>2372.5</v>
      </c>
      <c r="L3863" s="6">
        <v>2380</v>
      </c>
      <c r="M3863" s="125">
        <f t="shared" si="130"/>
        <v>7.5</v>
      </c>
      <c r="N3863" s="117"/>
      <c r="O3863" s="132"/>
      <c r="P3863" s="175">
        <v>14750</v>
      </c>
      <c r="Q3863" s="25">
        <f>171.34/1065.4</f>
        <v>0.16082222639384267</v>
      </c>
      <c r="R3863" s="24">
        <f t="shared" si="133"/>
        <v>2372.1278393091793</v>
      </c>
      <c r="S3863" s="158" t="e">
        <f>R3863*#REF!</f>
        <v>#REF!</v>
      </c>
      <c r="T3863" s="158" t="e">
        <f t="shared" si="131"/>
        <v>#REF!</v>
      </c>
      <c r="U3863" s="384">
        <v>0.1</v>
      </c>
      <c r="W3863" s="285">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18">
        <f t="shared" si="129"/>
        <v>0.54317311782220334</v>
      </c>
      <c r="K3864" s="22">
        <v>2369</v>
      </c>
      <c r="L3864" s="6">
        <v>2375</v>
      </c>
      <c r="M3864" s="125">
        <f t="shared" si="130"/>
        <v>6</v>
      </c>
      <c r="N3864" s="7"/>
      <c r="O3864" s="132"/>
      <c r="P3864" s="175">
        <v>14750</v>
      </c>
      <c r="Q3864" s="25">
        <f>171.82/1068.4</f>
        <v>0.16081991763384498</v>
      </c>
      <c r="R3864" s="24">
        <f t="shared" si="133"/>
        <v>2372.0937850992136</v>
      </c>
      <c r="S3864" s="158" t="e">
        <f>R3864*#REF!</f>
        <v>#REF!</v>
      </c>
      <c r="T3864" s="158" t="e">
        <f t="shared" si="131"/>
        <v>#REF!</v>
      </c>
      <c r="U3864" s="384">
        <v>0.1</v>
      </c>
      <c r="W3864" s="285">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18">
        <f t="shared" si="129"/>
        <v>0.54305650102110281</v>
      </c>
      <c r="K3865" s="22">
        <v>2399.5</v>
      </c>
      <c r="L3865" s="6">
        <v>2401.5</v>
      </c>
      <c r="M3865" s="125">
        <f t="shared" si="130"/>
        <v>2</v>
      </c>
      <c r="N3865" s="7"/>
      <c r="O3865" s="132"/>
      <c r="P3865" s="175">
        <v>14800</v>
      </c>
      <c r="Q3865" s="25">
        <f>172.3/1071.8</f>
        <v>0.16075760403060274</v>
      </c>
      <c r="R3865" s="24">
        <f t="shared" si="133"/>
        <v>2379.2125396529204</v>
      </c>
      <c r="S3865" s="158" t="e">
        <f>R3865*#REF!</f>
        <v>#REF!</v>
      </c>
      <c r="T3865" s="158" t="e">
        <f t="shared" si="131"/>
        <v>#REF!</v>
      </c>
      <c r="U3865" s="384">
        <v>0.1</v>
      </c>
      <c r="W3865" s="285">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18">
        <f t="shared" si="129"/>
        <v>0.54293982466592905</v>
      </c>
      <c r="K3866" s="22">
        <v>2367</v>
      </c>
      <c r="L3866" s="6">
        <v>2376</v>
      </c>
      <c r="M3866" s="125">
        <f t="shared" si="130"/>
        <v>9</v>
      </c>
      <c r="N3866" s="7"/>
      <c r="O3866" s="132"/>
      <c r="P3866" s="175">
        <v>14800</v>
      </c>
      <c r="Q3866" s="25">
        <f>173.96/1082.5</f>
        <v>0.16070207852193996</v>
      </c>
      <c r="R3866" s="24">
        <f t="shared" si="133"/>
        <v>2378.3907621247113</v>
      </c>
      <c r="S3866" s="158" t="e">
        <f>R3866*#REF!</f>
        <v>#REF!</v>
      </c>
      <c r="T3866" s="158" t="e">
        <f t="shared" si="131"/>
        <v>#REF!</v>
      </c>
      <c r="U3866" s="384">
        <v>0.1</v>
      </c>
      <c r="W3866" s="285">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18">
        <f t="shared" si="129"/>
        <v>0.54126089185033321</v>
      </c>
      <c r="K3867" s="22">
        <v>2378</v>
      </c>
      <c r="L3867" s="6">
        <v>2386</v>
      </c>
      <c r="M3867" s="125">
        <f t="shared" si="130"/>
        <v>8</v>
      </c>
      <c r="N3867" s="7"/>
      <c r="O3867" s="132"/>
      <c r="P3867" s="175">
        <v>14800</v>
      </c>
      <c r="Q3867" s="25">
        <f>174.8/1088</f>
        <v>0.16066176470588237</v>
      </c>
      <c r="R3867" s="24">
        <f t="shared" si="133"/>
        <v>2377.794117647059</v>
      </c>
      <c r="S3867" s="158" t="e">
        <f>R3867*#REF!</f>
        <v>#REF!</v>
      </c>
      <c r="T3867" s="158" t="e">
        <f t="shared" si="131"/>
        <v>#REF!</v>
      </c>
      <c r="U3867" s="384">
        <v>0.1</v>
      </c>
      <c r="W3867" s="285">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18">
        <f t="shared" si="129"/>
        <v>0.54032809295967188</v>
      </c>
      <c r="K3868" s="22">
        <v>2438.5</v>
      </c>
      <c r="L3868" s="6">
        <v>2449</v>
      </c>
      <c r="M3868" s="125">
        <f t="shared" si="130"/>
        <v>10.5</v>
      </c>
      <c r="N3868" s="7"/>
      <c r="O3868" s="132"/>
      <c r="P3868" s="175">
        <v>14800</v>
      </c>
      <c r="Q3868" s="25">
        <f>174.05/1082.7</f>
        <v>0.16075551861088022</v>
      </c>
      <c r="R3868" s="24">
        <f t="shared" si="133"/>
        <v>2379.1816754410274</v>
      </c>
      <c r="S3868" s="158" t="e">
        <f>R3868*#REF!</f>
        <v>#REF!</v>
      </c>
      <c r="T3868" s="158" t="e">
        <f t="shared" si="131"/>
        <v>#REF!</v>
      </c>
      <c r="U3868" s="384">
        <v>0.1</v>
      </c>
      <c r="W3868" s="285">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18">
        <f t="shared" si="129"/>
        <v>0.53756231734571081</v>
      </c>
      <c r="K3869" s="22">
        <v>2438</v>
      </c>
      <c r="L3869" s="6">
        <v>2442</v>
      </c>
      <c r="M3869" s="125">
        <f t="shared" si="130"/>
        <v>4</v>
      </c>
      <c r="N3869" s="113">
        <f>AVERAGE(K3848:K3869)</f>
        <v>2340.2727272727275</v>
      </c>
      <c r="O3869" s="145">
        <f>AVERAGE(K3848:K3869)</f>
        <v>2340.2727272727275</v>
      </c>
      <c r="P3869" s="175">
        <v>14800</v>
      </c>
      <c r="Q3869" s="25">
        <f>175.1/1088.9</f>
        <v>0.16080448158692257</v>
      </c>
      <c r="R3869" s="24">
        <f t="shared" si="133"/>
        <v>2379.9063274864538</v>
      </c>
      <c r="S3869" s="158" t="e">
        <f>R3869*#REF!</f>
        <v>#REF!</v>
      </c>
      <c r="T3869" s="158" t="e">
        <f t="shared" si="131"/>
        <v>#REF!</v>
      </c>
      <c r="U3869" s="384">
        <v>0.1</v>
      </c>
      <c r="W3869" s="285">
        <f t="shared" si="132"/>
        <v>2617.8969602350994</v>
      </c>
    </row>
    <row r="3870" spans="1:23" ht="15" customHeight="1" thickBot="1">
      <c r="A3870" s="216"/>
      <c r="B3870" s="1330"/>
      <c r="C3870" s="1330"/>
      <c r="D3870" s="1330"/>
      <c r="E3870" s="216"/>
      <c r="F3870" s="407">
        <f>SUM(F3848:F3869)</f>
        <v>2450</v>
      </c>
      <c r="G3870" s="164">
        <f>SUM(G3848:G3869)</f>
        <v>27650</v>
      </c>
      <c r="H3870" s="164"/>
      <c r="I3870" s="165"/>
      <c r="J3870" s="165"/>
      <c r="K3870" s="166"/>
      <c r="L3870" s="167"/>
      <c r="M3870" s="168"/>
      <c r="N3870" s="169"/>
      <c r="O3870" s="183"/>
      <c r="P3870" s="181"/>
      <c r="Q3870" s="154"/>
      <c r="R3870" s="248"/>
      <c r="S3870" s="249"/>
      <c r="T3870" s="249"/>
      <c r="U3870" s="152"/>
      <c r="V3870" s="153">
        <f>AVERAGE(P3850:P3869)</f>
        <v>14752.5</v>
      </c>
      <c r="W3870" s="289"/>
    </row>
    <row r="3871" spans="1:23" ht="15" customHeight="1">
      <c r="A3871" s="3">
        <v>41306</v>
      </c>
      <c r="B3871" s="9">
        <v>111450</v>
      </c>
      <c r="C3871" s="5">
        <v>51650</v>
      </c>
      <c r="D3871" s="5" t="e">
        <f>E3871-(#REF!+#REF!+C3871)</f>
        <v>#REF!</v>
      </c>
      <c r="E3871" s="5">
        <v>290125</v>
      </c>
      <c r="F3871" s="4">
        <v>0</v>
      </c>
      <c r="G3871" s="5">
        <v>725</v>
      </c>
      <c r="H3871" s="5">
        <v>155625</v>
      </c>
      <c r="I3871" s="118">
        <f t="shared" ref="I3871:I3890" si="134">H3871/E3871</f>
        <v>0.53640672124084443</v>
      </c>
      <c r="K3871" s="22">
        <v>2426</v>
      </c>
      <c r="L3871" s="6">
        <v>2437</v>
      </c>
      <c r="M3871" s="125">
        <f t="shared" si="130"/>
        <v>11</v>
      </c>
      <c r="N3871" s="7"/>
      <c r="O3871" s="132"/>
      <c r="P3871" s="175">
        <v>14850</v>
      </c>
      <c r="Q3871" s="25">
        <f>175.5/1092.9</f>
        <v>0.16058193796321713</v>
      </c>
      <c r="R3871" s="24">
        <f t="shared" si="133"/>
        <v>2384.6417787537744</v>
      </c>
      <c r="S3871" s="158" t="e">
        <f>R3871*#REF!</f>
        <v>#REF!</v>
      </c>
      <c r="T3871" s="158" t="e">
        <f t="shared" ref="T3871:T3876" si="135">(R3871+S3871)*U3871</f>
        <v>#REF!</v>
      </c>
      <c r="U3871" s="384">
        <v>0.1</v>
      </c>
      <c r="W3871" s="285"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18">
        <f t="shared" si="134"/>
        <v>0.53632681203137123</v>
      </c>
      <c r="K3872" s="22">
        <v>2443</v>
      </c>
      <c r="L3872" s="6">
        <v>2454</v>
      </c>
      <c r="M3872" s="125">
        <f t="shared" si="130"/>
        <v>11</v>
      </c>
      <c r="N3872" s="7"/>
      <c r="O3872" s="132"/>
      <c r="P3872" s="175">
        <v>14950</v>
      </c>
      <c r="Q3872" s="25">
        <f>174.72/1089</f>
        <v>0.16044077134986226</v>
      </c>
      <c r="R3872" s="24">
        <f t="shared" si="133"/>
        <v>2398.5895316804408</v>
      </c>
      <c r="S3872" s="158" t="e">
        <f>R3872*#REF!</f>
        <v>#REF!</v>
      </c>
      <c r="T3872" s="158" t="e">
        <f t="shared" si="135"/>
        <v>#REF!</v>
      </c>
      <c r="U3872" s="384">
        <v>0.1</v>
      </c>
      <c r="W3872" s="285">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18">
        <f t="shared" si="134"/>
        <v>0.53620689655172415</v>
      </c>
      <c r="K3873" s="22">
        <v>2448</v>
      </c>
      <c r="L3873" s="6">
        <v>2455</v>
      </c>
      <c r="M3873" s="125">
        <f t="shared" si="130"/>
        <v>7</v>
      </c>
      <c r="N3873" s="7"/>
      <c r="O3873" s="132"/>
      <c r="P3873" s="175">
        <v>14900</v>
      </c>
      <c r="Q3873" s="25">
        <f>174.46/1086.8</f>
        <v>0.16052631578947371</v>
      </c>
      <c r="R3873" s="24">
        <f t="shared" si="133"/>
        <v>2391.8421052631584</v>
      </c>
      <c r="S3873" s="158" t="e">
        <f>R3873*#REF!</f>
        <v>#REF!</v>
      </c>
      <c r="T3873" s="158" t="e">
        <f t="shared" si="135"/>
        <v>#REF!</v>
      </c>
      <c r="U3873" s="384">
        <v>0.1</v>
      </c>
      <c r="W3873" s="285">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18">
        <f t="shared" si="134"/>
        <v>0.53604691272852711</v>
      </c>
      <c r="K3874" s="22">
        <v>2424.5</v>
      </c>
      <c r="L3874" s="6">
        <v>2436</v>
      </c>
      <c r="M3874" s="125">
        <f t="shared" si="130"/>
        <v>11.5</v>
      </c>
      <c r="N3874" s="7"/>
      <c r="P3874" s="175">
        <v>14900</v>
      </c>
      <c r="Q3874" s="25">
        <f>174.72/1088.8</f>
        <v>0.16047024246877298</v>
      </c>
      <c r="R3874" s="24">
        <f t="shared" si="133"/>
        <v>2391.0066127847172</v>
      </c>
      <c r="S3874" s="158" t="e">
        <f>R3874*#REF!</f>
        <v>#REF!</v>
      </c>
      <c r="T3874" s="158" t="e">
        <f t="shared" si="135"/>
        <v>#REF!</v>
      </c>
      <c r="U3874" s="384">
        <v>0.1</v>
      </c>
      <c r="W3874" s="285">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18">
        <f t="shared" si="134"/>
        <v>0.53260869565217395</v>
      </c>
      <c r="K3875" s="22">
        <v>2406.5</v>
      </c>
      <c r="L3875" s="6">
        <v>2418</v>
      </c>
      <c r="M3875" s="125">
        <f t="shared" si="130"/>
        <v>11.5</v>
      </c>
      <c r="N3875" s="7"/>
      <c r="O3875" s="132"/>
      <c r="P3875" s="175">
        <v>14800</v>
      </c>
      <c r="Q3875" s="25">
        <f>174.78/1089.3</f>
        <v>0.1604516662076563</v>
      </c>
      <c r="R3875" s="24">
        <f t="shared" si="133"/>
        <v>2374.6846598733132</v>
      </c>
      <c r="S3875" s="158" t="e">
        <f>R3875*#REF!</f>
        <v>#REF!</v>
      </c>
      <c r="T3875" s="158" t="e">
        <f t="shared" si="135"/>
        <v>#REF!</v>
      </c>
      <c r="U3875" s="384">
        <v>0.1</v>
      </c>
      <c r="W3875" s="285">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18">
        <f t="shared" si="134"/>
        <v>0.5312391530718501</v>
      </c>
      <c r="K3876" s="22">
        <v>2409</v>
      </c>
      <c r="L3876" s="6">
        <v>2420</v>
      </c>
      <c r="M3876" s="125">
        <f t="shared" si="130"/>
        <v>11</v>
      </c>
      <c r="N3876" s="7"/>
      <c r="O3876" s="132"/>
      <c r="P3876" s="175">
        <v>14850</v>
      </c>
      <c r="Q3876" s="25">
        <f>174.78/1089.3</f>
        <v>0.1604516662076563</v>
      </c>
      <c r="R3876" s="24">
        <f t="shared" si="133"/>
        <v>2382.7072431836959</v>
      </c>
      <c r="S3876" s="158" t="e">
        <f>R3876*#REF!</f>
        <v>#REF!</v>
      </c>
      <c r="T3876" s="158" t="e">
        <f t="shared" si="135"/>
        <v>#REF!</v>
      </c>
      <c r="U3876" s="384">
        <v>0.1</v>
      </c>
      <c r="W3876" s="285">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18">
        <f t="shared" si="134"/>
        <v>0.53107638888888886</v>
      </c>
      <c r="K3877" s="22">
        <v>2409</v>
      </c>
      <c r="L3877" s="6">
        <v>2417</v>
      </c>
      <c r="M3877" s="125">
        <f t="shared" si="130"/>
        <v>8</v>
      </c>
      <c r="N3877" s="7"/>
      <c r="O3877" s="132"/>
      <c r="P3877" s="184"/>
      <c r="Q3877" s="1398" t="s">
        <v>43</v>
      </c>
      <c r="R3877" s="1398"/>
      <c r="S3877" s="1398"/>
      <c r="T3877" s="1398"/>
      <c r="U3877" s="1398"/>
      <c r="V3877" s="175"/>
      <c r="W3877" s="293"/>
    </row>
    <row r="3878" spans="1:23" ht="15" customHeight="1">
      <c r="A3878" s="3">
        <v>41317</v>
      </c>
      <c r="B3878" s="9">
        <v>108425</v>
      </c>
      <c r="C3878" s="5">
        <v>50825</v>
      </c>
      <c r="D3878" s="5" t="e">
        <f>E3878-(#REF!+#REF!+C3878)</f>
        <v>#REF!</v>
      </c>
      <c r="E3878" s="5">
        <v>287625</v>
      </c>
      <c r="F3878" s="4">
        <v>0</v>
      </c>
      <c r="G3878" s="5">
        <v>375</v>
      </c>
      <c r="H3878" s="5">
        <v>152650</v>
      </c>
      <c r="I3878" s="118">
        <f t="shared" si="134"/>
        <v>0.53072577140373756</v>
      </c>
      <c r="K3878" s="22">
        <v>2375.5</v>
      </c>
      <c r="L3878" s="6">
        <v>2388</v>
      </c>
      <c r="M3878" s="125">
        <f t="shared" si="130"/>
        <v>12.5</v>
      </c>
      <c r="N3878" s="7"/>
      <c r="O3878" s="132"/>
      <c r="P3878" s="184"/>
      <c r="Q3878" s="1398"/>
      <c r="R3878" s="1398"/>
      <c r="S3878" s="1398"/>
      <c r="T3878" s="1398"/>
      <c r="U3878" s="1398"/>
      <c r="V3878" s="175"/>
      <c r="W3878" s="293"/>
    </row>
    <row r="3879" spans="1:23" ht="15" customHeight="1">
      <c r="A3879" s="3">
        <v>41318</v>
      </c>
      <c r="B3879" s="9">
        <v>108425</v>
      </c>
      <c r="C3879" s="5">
        <v>50550</v>
      </c>
      <c r="D3879" s="5" t="e">
        <f>E3879-(#REF!+#REF!+C3879)</f>
        <v>#REF!</v>
      </c>
      <c r="E3879" s="5">
        <v>287350</v>
      </c>
      <c r="F3879" s="4">
        <v>0</v>
      </c>
      <c r="G3879" s="5">
        <v>275</v>
      </c>
      <c r="H3879" s="5">
        <v>152375</v>
      </c>
      <c r="I3879" s="118">
        <f t="shared" si="134"/>
        <v>0.53027666608665391</v>
      </c>
      <c r="K3879" s="22">
        <v>2423</v>
      </c>
      <c r="L3879" s="6">
        <v>2435</v>
      </c>
      <c r="M3879" s="125">
        <f t="shared" si="130"/>
        <v>12</v>
      </c>
      <c r="N3879" s="7"/>
      <c r="O3879" s="132"/>
      <c r="P3879" s="184"/>
      <c r="Q3879" s="1398"/>
      <c r="R3879" s="1398"/>
      <c r="S3879" s="1398"/>
      <c r="T3879" s="1398"/>
      <c r="U3879" s="1398"/>
      <c r="V3879" s="175"/>
      <c r="W3879" s="293"/>
    </row>
    <row r="3880" spans="1:23" ht="15" customHeight="1">
      <c r="A3880" s="3">
        <v>41319</v>
      </c>
      <c r="B3880" s="9">
        <v>108425</v>
      </c>
      <c r="C3880" s="5">
        <v>50275</v>
      </c>
      <c r="D3880" s="5" t="e">
        <f>E3880-(#REF!+#REF!+C3880)</f>
        <v>#REF!</v>
      </c>
      <c r="E3880" s="5">
        <v>287075</v>
      </c>
      <c r="F3880" s="4">
        <v>0</v>
      </c>
      <c r="G3880" s="5">
        <v>275</v>
      </c>
      <c r="H3880" s="5">
        <v>152100</v>
      </c>
      <c r="I3880" s="118">
        <f t="shared" si="134"/>
        <v>0.52982670033963253</v>
      </c>
      <c r="K3880" s="22">
        <v>2401</v>
      </c>
      <c r="L3880" s="6">
        <v>2411</v>
      </c>
      <c r="M3880" s="125">
        <f t="shared" si="130"/>
        <v>10</v>
      </c>
      <c r="N3880" s="7"/>
      <c r="O3880" s="132"/>
      <c r="P3880" s="184"/>
      <c r="Q3880" s="1398"/>
      <c r="R3880" s="1398"/>
      <c r="S3880" s="1398"/>
      <c r="T3880" s="1398"/>
      <c r="U3880" s="1398"/>
      <c r="V3880" s="175"/>
      <c r="W3880" s="293"/>
    </row>
    <row r="3881" spans="1:23" ht="15" customHeight="1">
      <c r="A3881" s="3">
        <v>41320</v>
      </c>
      <c r="B3881" s="9">
        <v>108425</v>
      </c>
      <c r="C3881" s="5">
        <v>49975</v>
      </c>
      <c r="D3881" s="5" t="e">
        <f>E3881-(#REF!+#REF!+C3881)</f>
        <v>#REF!</v>
      </c>
      <c r="E3881" s="5">
        <v>287150</v>
      </c>
      <c r="F3881" s="4">
        <v>375</v>
      </c>
      <c r="G3881" s="5">
        <v>300</v>
      </c>
      <c r="H3881" s="5">
        <v>151800</v>
      </c>
      <c r="I3881" s="118">
        <f t="shared" si="134"/>
        <v>0.52864356608044571</v>
      </c>
      <c r="K3881" s="22">
        <v>2404</v>
      </c>
      <c r="L3881" s="6">
        <v>2415</v>
      </c>
      <c r="M3881" s="125">
        <f t="shared" si="130"/>
        <v>11</v>
      </c>
      <c r="N3881" s="7"/>
      <c r="O3881" s="132"/>
      <c r="P3881" s="184"/>
      <c r="Q3881" s="1398"/>
      <c r="R3881" s="1398"/>
      <c r="S3881" s="1398"/>
      <c r="T3881" s="1398"/>
      <c r="U3881" s="1398"/>
      <c r="V3881" s="175"/>
      <c r="W3881" s="293"/>
    </row>
    <row r="3882" spans="1:23" ht="15" customHeight="1">
      <c r="A3882" s="3">
        <v>41323</v>
      </c>
      <c r="B3882" s="9">
        <v>108425</v>
      </c>
      <c r="C3882" s="5">
        <v>49775</v>
      </c>
      <c r="D3882" s="5" t="e">
        <f>E3882-(#REF!+#REF!+C3882)</f>
        <v>#REF!</v>
      </c>
      <c r="E3882" s="5">
        <v>288425</v>
      </c>
      <c r="F3882" s="4">
        <v>1475</v>
      </c>
      <c r="G3882" s="5">
        <v>200</v>
      </c>
      <c r="H3882" s="5">
        <v>151600</v>
      </c>
      <c r="I3882" s="118">
        <f t="shared" si="134"/>
        <v>0.52561324434428358</v>
      </c>
      <c r="K3882" s="22">
        <v>2395.5</v>
      </c>
      <c r="L3882" s="6">
        <v>2416.5</v>
      </c>
      <c r="M3882" s="125">
        <f t="shared" si="130"/>
        <v>21</v>
      </c>
      <c r="N3882" s="7"/>
      <c r="O3882" s="132"/>
      <c r="P3882" s="184">
        <v>14900</v>
      </c>
      <c r="Q3882" s="25">
        <f>173.42/1082.6</f>
        <v>0.1601884352484759</v>
      </c>
      <c r="R3882" s="24">
        <f t="shared" si="133"/>
        <v>2386.8076852022909</v>
      </c>
      <c r="S3882" s="158" t="e">
        <f>R3882*#REF!</f>
        <v>#REF!</v>
      </c>
      <c r="T3882" s="158" t="e">
        <f t="shared" ref="T3882:T3890" si="136">(R3882+S3882)*U3882</f>
        <v>#REF!</v>
      </c>
      <c r="U3882" s="388">
        <v>0.1</v>
      </c>
      <c r="V3882" s="175"/>
      <c r="W3882" s="285">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18">
        <f t="shared" si="134"/>
        <v>0.52544871239053148</v>
      </c>
      <c r="K3883" s="22">
        <v>2374</v>
      </c>
      <c r="L3883" s="6">
        <v>2396</v>
      </c>
      <c r="M3883" s="125">
        <f t="shared" si="130"/>
        <v>22</v>
      </c>
      <c r="N3883" s="7"/>
      <c r="O3883" s="132"/>
      <c r="P3883" s="175">
        <v>14900</v>
      </c>
      <c r="Q3883" s="25">
        <f>173.18/1081.4</f>
        <v>0.160144257444054</v>
      </c>
      <c r="R3883" s="24">
        <f t="shared" si="133"/>
        <v>2386.1494359164044</v>
      </c>
      <c r="S3883" s="158" t="e">
        <f>R3883*#REF!</f>
        <v>#REF!</v>
      </c>
      <c r="T3883" s="158" t="e">
        <f t="shared" si="136"/>
        <v>#REF!</v>
      </c>
      <c r="U3883" s="388">
        <v>0.1</v>
      </c>
      <c r="W3883" s="285">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18">
        <f t="shared" si="134"/>
        <v>0.52499350255566146</v>
      </c>
      <c r="K3884" s="22">
        <v>2364</v>
      </c>
      <c r="L3884" s="6">
        <v>2382</v>
      </c>
      <c r="M3884" s="125">
        <f t="shared" si="130"/>
        <v>18</v>
      </c>
      <c r="N3884" s="7"/>
      <c r="O3884" s="132"/>
      <c r="P3884" s="175">
        <v>14850</v>
      </c>
      <c r="Q3884" s="25">
        <f>172.79/1077.8</f>
        <v>0.16031731304509186</v>
      </c>
      <c r="R3884" s="24">
        <f t="shared" si="133"/>
        <v>2380.712098719614</v>
      </c>
      <c r="S3884" s="158" t="e">
        <f>R3884*#REF!</f>
        <v>#REF!</v>
      </c>
      <c r="T3884" s="158" t="e">
        <f t="shared" si="136"/>
        <v>#REF!</v>
      </c>
      <c r="U3884" s="388">
        <v>0.1</v>
      </c>
      <c r="W3884" s="285">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18">
        <f t="shared" si="134"/>
        <v>0.52487001733102256</v>
      </c>
      <c r="K3885" s="22">
        <v>2315</v>
      </c>
      <c r="L3885" s="6">
        <v>2330</v>
      </c>
      <c r="M3885" s="125">
        <f t="shared" si="130"/>
        <v>15</v>
      </c>
      <c r="N3885" s="7"/>
      <c r="O3885" s="132"/>
      <c r="P3885" s="175">
        <v>14850</v>
      </c>
      <c r="Q3885" s="25">
        <f>173.72/1084.1</f>
        <v>0.16024351997048245</v>
      </c>
      <c r="R3885" s="24">
        <f t="shared" si="133"/>
        <v>2379.6162715616642</v>
      </c>
      <c r="S3885" s="158" t="e">
        <f>R3885*#REF!</f>
        <v>#REF!</v>
      </c>
      <c r="T3885" s="158" t="e">
        <f t="shared" si="136"/>
        <v>#REF!</v>
      </c>
      <c r="U3885" s="388">
        <v>0.1</v>
      </c>
      <c r="W3885" s="285">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18">
        <f t="shared" si="134"/>
        <v>0.52426004687093131</v>
      </c>
      <c r="K3886" s="22">
        <v>2321</v>
      </c>
      <c r="L3886" s="6">
        <v>2334.5</v>
      </c>
      <c r="M3886" s="125">
        <f t="shared" si="130"/>
        <v>13.5</v>
      </c>
      <c r="N3886" s="7"/>
      <c r="O3886" s="132"/>
      <c r="P3886" s="175">
        <v>14850</v>
      </c>
      <c r="Q3886" s="25">
        <f>174.24/1086.4</f>
        <v>0.16038291605301913</v>
      </c>
      <c r="R3886" s="24">
        <f t="shared" si="133"/>
        <v>2381.6863033873342</v>
      </c>
      <c r="S3886" s="158" t="e">
        <f>R3886*#REF!</f>
        <v>#REF!</v>
      </c>
      <c r="T3886" s="158" t="e">
        <f t="shared" si="136"/>
        <v>#REF!</v>
      </c>
      <c r="U3886" s="388">
        <v>0.1</v>
      </c>
      <c r="W3886" s="285">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18">
        <f t="shared" si="134"/>
        <v>0.5240948163584267</v>
      </c>
      <c r="K3887" s="22">
        <v>2306.5</v>
      </c>
      <c r="L3887" s="6">
        <v>2313</v>
      </c>
      <c r="M3887" s="125">
        <f t="shared" si="130"/>
        <v>6.5</v>
      </c>
      <c r="N3887" s="7"/>
      <c r="O3887" s="132"/>
      <c r="P3887" s="175">
        <v>14750</v>
      </c>
      <c r="Q3887" s="25">
        <f>174.43/1087.4</f>
        <v>0.16041015265771563</v>
      </c>
      <c r="R3887" s="24">
        <f t="shared" si="133"/>
        <v>2366.0497517013055</v>
      </c>
      <c r="S3887" s="158" t="e">
        <f>R3887*#REF!</f>
        <v>#REF!</v>
      </c>
      <c r="T3887" s="158" t="e">
        <f t="shared" si="136"/>
        <v>#REF!</v>
      </c>
      <c r="U3887" s="388">
        <v>0.1</v>
      </c>
      <c r="W3887" s="285">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18">
        <f t="shared" si="134"/>
        <v>0.5235161402290871</v>
      </c>
      <c r="K3888" s="22">
        <v>2280</v>
      </c>
      <c r="L3888" s="6">
        <v>2290</v>
      </c>
      <c r="M3888" s="125">
        <f t="shared" si="130"/>
        <v>10</v>
      </c>
      <c r="N3888" s="7"/>
      <c r="O3888" s="132"/>
      <c r="P3888" s="175">
        <v>14800</v>
      </c>
      <c r="Q3888" s="25">
        <f>174.65/1088</f>
        <v>0.16052389705882353</v>
      </c>
      <c r="R3888" s="24">
        <f t="shared" si="133"/>
        <v>2375.7536764705883</v>
      </c>
      <c r="S3888" s="158" t="e">
        <f>R3888*#REF!</f>
        <v>#REF!</v>
      </c>
      <c r="T3888" s="158" t="e">
        <f t="shared" si="136"/>
        <v>#REF!</v>
      </c>
      <c r="U3888" s="388">
        <v>0.1</v>
      </c>
      <c r="W3888" s="285">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18">
        <f t="shared" si="134"/>
        <v>0.5251779822885918</v>
      </c>
      <c r="K3889" s="22">
        <v>2311</v>
      </c>
      <c r="L3889" s="6">
        <v>2316.5</v>
      </c>
      <c r="M3889" s="125">
        <f t="shared" si="130"/>
        <v>5.5</v>
      </c>
      <c r="N3889" s="7"/>
      <c r="O3889" s="132"/>
      <c r="P3889" s="175">
        <v>14800</v>
      </c>
      <c r="Q3889" s="25">
        <f>174.3/1085.4</f>
        <v>0.16058595909342177</v>
      </c>
      <c r="R3889" s="24">
        <f t="shared" si="133"/>
        <v>2376.6721945826421</v>
      </c>
      <c r="S3889" s="158" t="e">
        <f>R3889*#REF!</f>
        <v>#REF!</v>
      </c>
      <c r="T3889" s="158" t="e">
        <f t="shared" si="136"/>
        <v>#REF!</v>
      </c>
      <c r="U3889" s="388">
        <v>0.1</v>
      </c>
      <c r="W3889" s="285">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18">
        <f t="shared" si="134"/>
        <v>0.52075537377077707</v>
      </c>
      <c r="K3890" s="22">
        <v>2287.5</v>
      </c>
      <c r="L3890" s="6">
        <v>2295</v>
      </c>
      <c r="M3890" s="125">
        <f t="shared" si="130"/>
        <v>7.5</v>
      </c>
      <c r="N3890" s="113">
        <f>AVERAGE(K3871:K3890)</f>
        <v>2376.1999999999998</v>
      </c>
      <c r="O3890" s="145">
        <f>AVERAGE(K3848:K3890)</f>
        <v>2357.3809523809523</v>
      </c>
      <c r="P3890" s="175">
        <v>14800</v>
      </c>
      <c r="Q3890" s="25">
        <f>174.3/1085.4</f>
        <v>0.16058595909342177</v>
      </c>
      <c r="R3890" s="24">
        <f t="shared" si="133"/>
        <v>2376.6721945826421</v>
      </c>
      <c r="S3890" s="158" t="e">
        <f>R3890*#REF!</f>
        <v>#REF!</v>
      </c>
      <c r="T3890" s="158" t="e">
        <f t="shared" si="136"/>
        <v>#REF!</v>
      </c>
      <c r="U3890" s="388">
        <v>0.1</v>
      </c>
      <c r="W3890" s="285">
        <f t="shared" ref="W3890:W3911" si="138">(P3890*Q3890)*(1+U3890)</f>
        <v>2614.3394140409064</v>
      </c>
    </row>
    <row r="3891" spans="1:23" ht="15" customHeight="1" thickBot="1">
      <c r="A3891" s="216"/>
      <c r="B3891" s="1330"/>
      <c r="C3891" s="1330"/>
      <c r="D3891" s="1330"/>
      <c r="E3891" s="216"/>
      <c r="F3891" s="407">
        <f>SUM(F3871:F3890)</f>
        <v>3975</v>
      </c>
      <c r="G3891" s="164">
        <f>SUM(G3871:G3890)</f>
        <v>7550</v>
      </c>
      <c r="H3891" s="164"/>
      <c r="I3891" s="165"/>
      <c r="J3891" s="165"/>
      <c r="K3891" s="166"/>
      <c r="L3891" s="167"/>
      <c r="M3891" s="168"/>
      <c r="N3891" s="169"/>
      <c r="O3891" s="183"/>
      <c r="P3891" s="181"/>
      <c r="Q3891" s="154"/>
      <c r="R3891" s="248"/>
      <c r="S3891" s="249"/>
      <c r="T3891" s="249"/>
      <c r="U3891" s="152"/>
      <c r="V3891" s="153">
        <f>AVERAGE(P3871:P3890)</f>
        <v>14850</v>
      </c>
      <c r="W3891" s="289"/>
    </row>
    <row r="3892" spans="1:23" ht="15" customHeight="1">
      <c r="A3892" s="3">
        <v>41334</v>
      </c>
      <c r="B3892" s="9">
        <v>107950</v>
      </c>
      <c r="C3892" s="5">
        <v>49125</v>
      </c>
      <c r="D3892" s="5" t="e">
        <f>E3892-(#REF!+#REF!+C3892)</f>
        <v>#REF!</v>
      </c>
      <c r="E3892" s="5">
        <v>287225</v>
      </c>
      <c r="F3892" s="4">
        <v>0</v>
      </c>
      <c r="G3892" s="5">
        <v>25</v>
      </c>
      <c r="H3892" s="5">
        <v>149550</v>
      </c>
      <c r="I3892" s="118">
        <f t="shared" ref="I3892:I3911" si="139">H3892/E3892</f>
        <v>0.52067194707981546</v>
      </c>
      <c r="K3892" s="22">
        <v>2220</v>
      </c>
      <c r="L3892" s="6">
        <v>2237</v>
      </c>
      <c r="M3892" s="125">
        <f t="shared" si="130"/>
        <v>17</v>
      </c>
      <c r="N3892" s="7"/>
      <c r="O3892" s="132"/>
      <c r="P3892" s="175">
        <v>14700</v>
      </c>
      <c r="Q3892" s="25">
        <f>173.86/1081.9</f>
        <v>0.160698770681209</v>
      </c>
      <c r="R3892" s="24">
        <f t="shared" ref="R3892:R3902" si="140">P3892*Q3892</f>
        <v>2362.271929013772</v>
      </c>
      <c r="S3892" s="158" t="e">
        <f>R3892*#REF!</f>
        <v>#REF!</v>
      </c>
      <c r="T3892" s="158" t="e">
        <f t="shared" ref="T3892:T3912" si="141">(R3892+S3892)*U3892</f>
        <v>#REF!</v>
      </c>
      <c r="U3892" s="388">
        <v>0.1</v>
      </c>
      <c r="W3892" s="285">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18">
        <f t="shared" si="139"/>
        <v>0.52058849133803431</v>
      </c>
      <c r="K3893" s="22">
        <v>2235</v>
      </c>
      <c r="L3893" s="6">
        <v>2245</v>
      </c>
      <c r="M3893" s="125">
        <f t="shared" si="130"/>
        <v>10</v>
      </c>
      <c r="N3893" s="7"/>
      <c r="P3893" s="175">
        <v>14650</v>
      </c>
      <c r="Q3893" s="25">
        <f>175.32/1091.4</f>
        <v>0.16063771302913687</v>
      </c>
      <c r="R3893" s="24">
        <f t="shared" si="140"/>
        <v>2353.3424958768551</v>
      </c>
      <c r="S3893" s="158" t="e">
        <f>R3893*#REF!</f>
        <v>#REF!</v>
      </c>
      <c r="T3893" s="158" t="e">
        <f t="shared" si="141"/>
        <v>#REF!</v>
      </c>
      <c r="U3893" s="388">
        <v>0.1</v>
      </c>
      <c r="W3893" s="285">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18">
        <f t="shared" si="139"/>
        <v>0.52046325322187392</v>
      </c>
      <c r="K3894" s="22">
        <v>2207</v>
      </c>
      <c r="L3894" s="6">
        <v>2223</v>
      </c>
      <c r="M3894" s="125">
        <f t="shared" si="130"/>
        <v>16</v>
      </c>
      <c r="N3894" s="7"/>
      <c r="O3894" s="132"/>
      <c r="P3894" s="175">
        <v>14650</v>
      </c>
      <c r="Q3894" s="25">
        <f>174.73/1087</f>
        <v>0.16074517019319226</v>
      </c>
      <c r="R3894" s="24">
        <f t="shared" si="140"/>
        <v>2354.9167433302664</v>
      </c>
      <c r="S3894" s="158" t="e">
        <f>R3894*#REF!</f>
        <v>#REF!</v>
      </c>
      <c r="T3894" s="158" t="e">
        <f t="shared" si="141"/>
        <v>#REF!</v>
      </c>
      <c r="U3894" s="388">
        <v>0.1</v>
      </c>
      <c r="W3894" s="285">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18">
        <f t="shared" si="139"/>
        <v>0.51807438303788667</v>
      </c>
      <c r="K3895" s="22">
        <v>2202</v>
      </c>
      <c r="L3895" s="6">
        <v>2219</v>
      </c>
      <c r="M3895" s="125">
        <f t="shared" si="130"/>
        <v>17</v>
      </c>
      <c r="N3895" s="7"/>
      <c r="O3895" s="132"/>
      <c r="P3895" s="175">
        <v>14650</v>
      </c>
      <c r="Q3895" s="25">
        <f>174.27/1083.6</f>
        <v>0.16082502768549284</v>
      </c>
      <c r="R3895" s="24">
        <f t="shared" si="140"/>
        <v>2356.0866555924699</v>
      </c>
      <c r="S3895" s="158" t="e">
        <f>R3895*#REF!</f>
        <v>#REF!</v>
      </c>
      <c r="T3895" s="158" t="e">
        <f t="shared" si="141"/>
        <v>#REF!</v>
      </c>
      <c r="U3895" s="388">
        <v>0.1</v>
      </c>
      <c r="W3895" s="285">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18">
        <f t="shared" si="139"/>
        <v>0.52638476323606498</v>
      </c>
      <c r="K3896" s="22">
        <v>2167</v>
      </c>
      <c r="L3896" s="6">
        <v>2183.5</v>
      </c>
      <c r="M3896" s="125">
        <f t="shared" si="130"/>
        <v>16.5</v>
      </c>
      <c r="N3896" s="7"/>
      <c r="O3896" s="132"/>
      <c r="P3896" s="175">
        <v>14600</v>
      </c>
      <c r="Q3896" s="25">
        <f>174.66/1086.4</f>
        <v>0.16076951399116346</v>
      </c>
      <c r="R3896" s="24">
        <f t="shared" si="140"/>
        <v>2347.2349042709866</v>
      </c>
      <c r="S3896" s="158" t="e">
        <f>R3896*#REF!</f>
        <v>#REF!</v>
      </c>
      <c r="T3896" s="158" t="e">
        <f t="shared" si="141"/>
        <v>#REF!</v>
      </c>
      <c r="U3896" s="388">
        <v>0.1</v>
      </c>
      <c r="W3896" s="285">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18">
        <f t="shared" si="139"/>
        <v>0.52253990527977545</v>
      </c>
      <c r="K3897" s="22">
        <v>2195</v>
      </c>
      <c r="L3897" s="6">
        <v>2212</v>
      </c>
      <c r="M3897" s="125">
        <f t="shared" si="130"/>
        <v>17</v>
      </c>
      <c r="N3897" s="7"/>
      <c r="O3897" s="132"/>
      <c r="P3897" s="175">
        <v>14600</v>
      </c>
      <c r="Q3897" s="25">
        <f>175.44/1090.3</f>
        <v>0.16090984132807484</v>
      </c>
      <c r="R3897" s="24">
        <f t="shared" si="140"/>
        <v>2349.2836833898928</v>
      </c>
      <c r="S3897" s="158" t="e">
        <f>R3897*#REF!</f>
        <v>#REF!</v>
      </c>
      <c r="T3897" s="158" t="e">
        <f t="shared" si="141"/>
        <v>#REF!</v>
      </c>
      <c r="U3897" s="388">
        <v>0.1</v>
      </c>
      <c r="W3897" s="285">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18">
        <f t="shared" si="139"/>
        <v>0.54615654615654619</v>
      </c>
      <c r="K3898" s="22">
        <v>2171</v>
      </c>
      <c r="L3898" s="6">
        <v>2190</v>
      </c>
      <c r="M3898" s="125">
        <f t="shared" si="130"/>
        <v>19</v>
      </c>
      <c r="N3898" s="7"/>
      <c r="O3898" s="132"/>
      <c r="P3898" s="175">
        <v>14600</v>
      </c>
      <c r="Q3898" s="25">
        <f>176.63/1098.3</f>
        <v>0.16082126923427115</v>
      </c>
      <c r="R3898" s="24">
        <f t="shared" si="140"/>
        <v>2347.9905308203588</v>
      </c>
      <c r="S3898" s="158" t="e">
        <f>R3898*#REF!</f>
        <v>#REF!</v>
      </c>
      <c r="T3898" s="158" t="e">
        <f t="shared" si="141"/>
        <v>#REF!</v>
      </c>
      <c r="U3898" s="388">
        <v>0.1</v>
      </c>
      <c r="W3898" s="285">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18">
        <f t="shared" si="139"/>
        <v>0.54535827744440524</v>
      </c>
      <c r="K3899" s="22">
        <v>2219</v>
      </c>
      <c r="L3899" s="6">
        <v>2235</v>
      </c>
      <c r="M3899" s="125">
        <f t="shared" si="130"/>
        <v>16</v>
      </c>
      <c r="N3899" s="7"/>
      <c r="O3899" s="132"/>
      <c r="P3899" s="175">
        <v>14600</v>
      </c>
      <c r="Q3899" s="25">
        <f>176.15/1095</f>
        <v>0.16086757990867581</v>
      </c>
      <c r="R3899" s="24">
        <f t="shared" si="140"/>
        <v>2348.666666666667</v>
      </c>
      <c r="S3899" s="158" t="e">
        <f>R3899*#REF!</f>
        <v>#REF!</v>
      </c>
      <c r="T3899" s="158" t="e">
        <f t="shared" si="141"/>
        <v>#REF!</v>
      </c>
      <c r="U3899" s="388">
        <v>0.1</v>
      </c>
      <c r="W3899" s="285">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18">
        <f t="shared" si="139"/>
        <v>0.54228855721393032</v>
      </c>
      <c r="K3900" s="22">
        <v>2234</v>
      </c>
      <c r="L3900" s="6">
        <v>2247.5</v>
      </c>
      <c r="M3900" s="125">
        <f t="shared" si="130"/>
        <v>13.5</v>
      </c>
      <c r="N3900" s="7"/>
      <c r="O3900" s="132"/>
      <c r="P3900" s="175">
        <v>14600</v>
      </c>
      <c r="Q3900" s="25">
        <f>176.62/1097.5</f>
        <v>0.16092938496583145</v>
      </c>
      <c r="R3900" s="24">
        <f t="shared" si="140"/>
        <v>2349.5690205011392</v>
      </c>
      <c r="S3900" s="158" t="e">
        <f>R3900*#REF!</f>
        <v>#REF!</v>
      </c>
      <c r="T3900" s="158" t="e">
        <f t="shared" si="141"/>
        <v>#REF!</v>
      </c>
      <c r="U3900" s="388">
        <v>0.1</v>
      </c>
      <c r="W3900" s="285">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18">
        <f t="shared" si="139"/>
        <v>0.53835125448028676</v>
      </c>
      <c r="K3901" s="22">
        <v>2235</v>
      </c>
      <c r="L3901" s="6">
        <v>2255</v>
      </c>
      <c r="M3901" s="125">
        <f t="shared" si="130"/>
        <v>20</v>
      </c>
      <c r="N3901" s="7"/>
      <c r="O3901" s="132"/>
      <c r="P3901" s="175">
        <v>14550</v>
      </c>
      <c r="Q3901" s="25">
        <f>176.62/1097.5</f>
        <v>0.16092938496583145</v>
      </c>
      <c r="R3901" s="24">
        <f t="shared" si="140"/>
        <v>2341.5225512528477</v>
      </c>
      <c r="S3901" s="158" t="e">
        <f>R3901*#REF!</f>
        <v>#REF!</v>
      </c>
      <c r="T3901" s="158" t="e">
        <f t="shared" si="141"/>
        <v>#REF!</v>
      </c>
      <c r="U3901" s="388">
        <v>0.1</v>
      </c>
      <c r="W3901" s="285">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18">
        <f t="shared" si="139"/>
        <v>0.53585585585585582</v>
      </c>
      <c r="K3902" s="22">
        <v>2235</v>
      </c>
      <c r="L3902" s="6">
        <v>2255</v>
      </c>
      <c r="M3902" s="125">
        <f t="shared" si="130"/>
        <v>20</v>
      </c>
      <c r="N3902" s="7"/>
      <c r="O3902" s="132"/>
      <c r="P3902" s="175">
        <v>14550</v>
      </c>
      <c r="Q3902" s="25">
        <f>178.63/1109.9</f>
        <v>0.16094242724569779</v>
      </c>
      <c r="R3902" s="24">
        <f t="shared" si="140"/>
        <v>2341.7123164249028</v>
      </c>
      <c r="S3902" s="158" t="e">
        <f>R3902*#REF!</f>
        <v>#REF!</v>
      </c>
      <c r="T3902" s="158" t="e">
        <f t="shared" si="141"/>
        <v>#REF!</v>
      </c>
      <c r="U3902" s="388">
        <v>0.1</v>
      </c>
      <c r="W3902" s="285">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18">
        <f t="shared" si="139"/>
        <v>0.53248638838475504</v>
      </c>
      <c r="K3903" s="22">
        <v>2164.5</v>
      </c>
      <c r="L3903" s="6">
        <v>2185</v>
      </c>
      <c r="M3903" s="125">
        <f t="shared" si="130"/>
        <v>20.5</v>
      </c>
      <c r="N3903" s="7"/>
      <c r="O3903" s="132"/>
      <c r="P3903" s="175">
        <v>14450</v>
      </c>
      <c r="Q3903" s="25">
        <f>179.35/1114.8</f>
        <v>0.16088087549336205</v>
      </c>
      <c r="R3903" s="24">
        <f t="shared" ref="R3903:R3912" si="142">P3903*Q3903</f>
        <v>2324.7286508790817</v>
      </c>
      <c r="S3903" s="158" t="e">
        <f>R3903*#REF!</f>
        <v>#REF!</v>
      </c>
      <c r="T3903" s="158" t="e">
        <f t="shared" si="141"/>
        <v>#REF!</v>
      </c>
      <c r="U3903" s="388">
        <v>0.1</v>
      </c>
      <c r="W3903" s="285">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18">
        <f t="shared" si="139"/>
        <v>0.54764941690962099</v>
      </c>
      <c r="K3904" s="22">
        <v>2160</v>
      </c>
      <c r="L3904" s="6">
        <v>2180</v>
      </c>
      <c r="M3904" s="125">
        <f t="shared" si="130"/>
        <v>20</v>
      </c>
      <c r="N3904" s="7"/>
      <c r="O3904" s="132"/>
      <c r="P3904" s="175">
        <v>14450</v>
      </c>
      <c r="Q3904" s="25">
        <f>178.61/1110.2</f>
        <v>0.1608809223563322</v>
      </c>
      <c r="R3904" s="24">
        <f t="shared" si="142"/>
        <v>2324.7293280490003</v>
      </c>
      <c r="S3904" s="158" t="e">
        <f>R3904*#REF!</f>
        <v>#REF!</v>
      </c>
      <c r="T3904" s="158" t="e">
        <f t="shared" si="141"/>
        <v>#REF!</v>
      </c>
      <c r="U3904" s="388">
        <v>0.1</v>
      </c>
      <c r="W3904" s="285">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18">
        <f t="shared" si="139"/>
        <v>0.54277557786168151</v>
      </c>
      <c r="K3905" s="22">
        <v>2163</v>
      </c>
      <c r="L3905" s="6">
        <v>2186</v>
      </c>
      <c r="M3905" s="125">
        <f t="shared" si="130"/>
        <v>23</v>
      </c>
      <c r="N3905" s="7"/>
      <c r="O3905" s="132"/>
      <c r="P3905" s="175">
        <v>14450</v>
      </c>
      <c r="Q3905" s="25">
        <f>179.9/1117.5</f>
        <v>0.16098434004474274</v>
      </c>
      <c r="R3905" s="24">
        <f t="shared" si="142"/>
        <v>2326.2237136465328</v>
      </c>
      <c r="S3905" s="158" t="e">
        <f>R3905*#REF!</f>
        <v>#REF!</v>
      </c>
      <c r="T3905" s="158" t="e">
        <f t="shared" si="141"/>
        <v>#REF!</v>
      </c>
      <c r="U3905" s="388">
        <v>0.1</v>
      </c>
      <c r="W3905" s="285">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18">
        <f t="shared" si="139"/>
        <v>0.54023520696360772</v>
      </c>
      <c r="K3906" s="22">
        <v>2184</v>
      </c>
      <c r="L3906" s="6">
        <v>2208.5</v>
      </c>
      <c r="M3906" s="125">
        <f t="shared" si="130"/>
        <v>24.5</v>
      </c>
      <c r="N3906" s="7"/>
      <c r="O3906" s="132"/>
      <c r="P3906" s="175">
        <v>14500</v>
      </c>
      <c r="Q3906" s="25">
        <f>179.62/1116.2</f>
        <v>0.16092098190288479</v>
      </c>
      <c r="R3906" s="24">
        <f t="shared" si="142"/>
        <v>2333.3542375918296</v>
      </c>
      <c r="S3906" s="158" t="e">
        <f>R3906*#REF!</f>
        <v>#REF!</v>
      </c>
      <c r="T3906" s="158" t="e">
        <f t="shared" si="141"/>
        <v>#REF!</v>
      </c>
      <c r="U3906" s="388">
        <v>0.1</v>
      </c>
      <c r="W3906" s="285">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18">
        <f t="shared" si="139"/>
        <v>0.53766644939007358</v>
      </c>
      <c r="K3907" s="22">
        <v>2163.5</v>
      </c>
      <c r="L3907" s="6">
        <v>2185.5</v>
      </c>
      <c r="M3907" s="125">
        <f t="shared" si="130"/>
        <v>22</v>
      </c>
      <c r="N3907" s="7"/>
      <c r="P3907" s="175">
        <v>14450</v>
      </c>
      <c r="Q3907" s="25">
        <f>179.84/1117.2</f>
        <v>0.16097386322950233</v>
      </c>
      <c r="R3907" s="24">
        <f t="shared" si="142"/>
        <v>2326.0723236663089</v>
      </c>
      <c r="S3907" s="158" t="e">
        <f>R3907*#REF!</f>
        <v>#REF!</v>
      </c>
      <c r="T3907" s="158" t="e">
        <f t="shared" si="141"/>
        <v>#REF!</v>
      </c>
      <c r="U3907" s="388">
        <v>0.1</v>
      </c>
      <c r="W3907" s="285">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18">
        <f t="shared" si="139"/>
        <v>0.53506882666916378</v>
      </c>
      <c r="K3908" s="22">
        <v>2169</v>
      </c>
      <c r="L3908" s="6">
        <v>2191</v>
      </c>
      <c r="M3908" s="125">
        <f t="shared" si="130"/>
        <v>22</v>
      </c>
      <c r="N3908" s="7"/>
      <c r="O3908" s="132"/>
      <c r="P3908" s="175">
        <v>14450</v>
      </c>
      <c r="Q3908" s="25">
        <f>179.13/1112.5</f>
        <v>0.16101573033707864</v>
      </c>
      <c r="R3908" s="24">
        <f t="shared" si="142"/>
        <v>2326.6773033707864</v>
      </c>
      <c r="S3908" s="158" t="e">
        <f>R3908*#REF!</f>
        <v>#REF!</v>
      </c>
      <c r="T3908" s="158" t="e">
        <f t="shared" si="141"/>
        <v>#REF!</v>
      </c>
      <c r="U3908" s="388">
        <v>0.1</v>
      </c>
      <c r="W3908" s="285">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18">
        <f t="shared" si="139"/>
        <v>0.53144092489895667</v>
      </c>
      <c r="K3909" s="22">
        <v>2162.5</v>
      </c>
      <c r="L3909" s="6">
        <v>2184.5</v>
      </c>
      <c r="M3909" s="125">
        <f t="shared" si="130"/>
        <v>22</v>
      </c>
      <c r="N3909" s="7"/>
      <c r="O3909" s="132"/>
      <c r="P3909" s="175">
        <v>14450</v>
      </c>
      <c r="Q3909" s="25">
        <f>178.38/1107.9</f>
        <v>0.16100731112916328</v>
      </c>
      <c r="R3909" s="24">
        <f t="shared" si="142"/>
        <v>2326.5556458164092</v>
      </c>
      <c r="S3909" s="158" t="e">
        <f>R3909*#REF!</f>
        <v>#REF!</v>
      </c>
      <c r="T3909" s="158" t="e">
        <f t="shared" si="141"/>
        <v>#REF!</v>
      </c>
      <c r="U3909" s="388">
        <v>0.1</v>
      </c>
      <c r="W3909" s="285">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18">
        <f t="shared" si="139"/>
        <v>0.52878343888836377</v>
      </c>
      <c r="K3910" s="22">
        <v>2089</v>
      </c>
      <c r="L3910" s="6">
        <v>2110</v>
      </c>
      <c r="M3910" s="125">
        <f t="shared" si="130"/>
        <v>21</v>
      </c>
      <c r="N3910" s="7"/>
      <c r="P3910" s="175">
        <v>14450</v>
      </c>
      <c r="Q3910" s="25">
        <f>178.5/1109.2</f>
        <v>0.16092679408582761</v>
      </c>
      <c r="R3910" s="24">
        <f t="shared" si="142"/>
        <v>2325.392174540209</v>
      </c>
      <c r="S3910" s="158" t="e">
        <f>R3910*#REF!</f>
        <v>#REF!</v>
      </c>
      <c r="T3910" s="158" t="e">
        <f t="shared" si="141"/>
        <v>#REF!</v>
      </c>
      <c r="U3910" s="388">
        <v>0.1</v>
      </c>
      <c r="W3910" s="285">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18">
        <f t="shared" si="139"/>
        <v>0.52507374631268433</v>
      </c>
      <c r="K3911" s="22">
        <v>2094</v>
      </c>
      <c r="L3911" s="6">
        <v>2115</v>
      </c>
      <c r="M3911" s="125">
        <f t="shared" si="130"/>
        <v>21</v>
      </c>
      <c r="N3911" s="7"/>
      <c r="O3911" s="132"/>
      <c r="P3911" s="175">
        <v>14350</v>
      </c>
      <c r="Q3911" s="25">
        <f>178.95/1112.1</f>
        <v>0.16091178850822768</v>
      </c>
      <c r="R3911" s="24">
        <f t="shared" si="142"/>
        <v>2309.0841650930674</v>
      </c>
      <c r="S3911" s="158" t="e">
        <f>R3911*#REF!</f>
        <v>#REF!</v>
      </c>
      <c r="T3911" s="158" t="e">
        <f t="shared" si="141"/>
        <v>#REF!</v>
      </c>
      <c r="U3911" s="388">
        <v>0.1</v>
      </c>
      <c r="W3911" s="285">
        <f t="shared" si="138"/>
        <v>2539.9925816023742</v>
      </c>
    </row>
    <row r="3912" spans="1:23" ht="15" customHeight="1">
      <c r="A3912" s="3">
        <v>41362</v>
      </c>
      <c r="B3912" s="9">
        <v>0</v>
      </c>
      <c r="F3912" s="4" t="s">
        <v>39</v>
      </c>
      <c r="G3912" s="24"/>
      <c r="H3912" s="24"/>
      <c r="I3912" s="24"/>
      <c r="J3912" s="24"/>
      <c r="M3912" s="125"/>
      <c r="N3912" s="235">
        <f>AVERAGE(K3892:K3911)</f>
        <v>2183.4749999999999</v>
      </c>
      <c r="O3912" s="145">
        <f>AVERAGE(K3848:K3911)</f>
        <v>2301.2822580645161</v>
      </c>
      <c r="P3912" s="175">
        <v>14350</v>
      </c>
      <c r="Q3912" s="25">
        <f>178.95/1112.1</f>
        <v>0.16091178850822768</v>
      </c>
      <c r="R3912" s="24">
        <f t="shared" si="142"/>
        <v>2309.0841650930674</v>
      </c>
      <c r="S3912" s="158" t="e">
        <f>R3912*#REF!</f>
        <v>#REF!</v>
      </c>
      <c r="T3912" s="158" t="e">
        <f t="shared" si="141"/>
        <v>#REF!</v>
      </c>
      <c r="U3912" s="388">
        <v>0.1</v>
      </c>
      <c r="W3912" s="285">
        <f>(P3912*Q3912)*(1+U3912)</f>
        <v>2539.9925816023742</v>
      </c>
    </row>
    <row r="3913" spans="1:23" ht="15" customHeight="1" thickBot="1">
      <c r="A3913" s="216"/>
      <c r="B3913" s="1330"/>
      <c r="C3913" s="1330"/>
      <c r="D3913" s="1330"/>
      <c r="E3913" s="216"/>
      <c r="F3913" s="407">
        <f>SUM(F3892:F3912)</f>
        <v>4675</v>
      </c>
      <c r="G3913" s="164">
        <f>SUM(G3892:G3912)</f>
        <v>29200</v>
      </c>
      <c r="H3913" s="164"/>
      <c r="I3913" s="165"/>
      <c r="J3913" s="165"/>
      <c r="K3913" s="166"/>
      <c r="L3913" s="167"/>
      <c r="M3913" s="168"/>
      <c r="N3913" s="169"/>
      <c r="O3913" s="183"/>
      <c r="P3913" s="181"/>
      <c r="Q3913" s="154"/>
      <c r="R3913" s="248"/>
      <c r="S3913" s="249"/>
      <c r="T3913" s="249"/>
      <c r="U3913" s="152"/>
      <c r="V3913" s="153">
        <f>AVERAGE(P3892:P3912)</f>
        <v>14528.571428571429</v>
      </c>
      <c r="W3913" s="289"/>
    </row>
    <row r="3914" spans="1:23" ht="15" customHeight="1">
      <c r="A3914" s="3">
        <v>41365</v>
      </c>
      <c r="B3914" s="9">
        <v>0</v>
      </c>
      <c r="F3914" s="30" t="s">
        <v>39</v>
      </c>
      <c r="G3914" s="210"/>
      <c r="H3914" s="210"/>
      <c r="I3914" s="210"/>
      <c r="J3914" s="24"/>
      <c r="M3914" s="125"/>
      <c r="N3914" s="7"/>
      <c r="O3914" s="135"/>
      <c r="P3914" s="175">
        <v>14250</v>
      </c>
      <c r="Q3914" s="25">
        <f>179.12/1112.5</f>
        <v>0.16100674157303371</v>
      </c>
      <c r="R3914" s="24">
        <f>P3914*Q3914</f>
        <v>2294.3460674157304</v>
      </c>
      <c r="S3914" s="158" t="e">
        <f>R3914*#REF!</f>
        <v>#REF!</v>
      </c>
      <c r="T3914" s="158" t="e">
        <f>(R3914+S3914)*U3914</f>
        <v>#REF!</v>
      </c>
      <c r="U3914" s="388">
        <v>0.1</v>
      </c>
      <c r="W3914" s="285">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18">
        <f t="shared" ref="I3915:I3935" si="143">H3915/E3915</f>
        <v>0.52437744490029581</v>
      </c>
      <c r="K3915" s="22">
        <v>2078</v>
      </c>
      <c r="L3915" s="6">
        <v>2099</v>
      </c>
      <c r="M3915" s="125">
        <f t="shared" ref="M3915:M3980" si="144">L3915-K3915</f>
        <v>21</v>
      </c>
      <c r="N3915" s="7"/>
      <c r="O3915" s="135"/>
      <c r="P3915" s="175">
        <v>14300</v>
      </c>
      <c r="Q3915" s="25">
        <f>179.52/1112.8</f>
        <v>0.16132278936017255</v>
      </c>
      <c r="R3915" s="24">
        <f>P3915*Q3915</f>
        <v>2306.9158878504677</v>
      </c>
      <c r="S3915" s="158" t="e">
        <f>R3915*#REF!</f>
        <v>#REF!</v>
      </c>
      <c r="T3915" s="158" t="e">
        <f>(R3915+S3915)*U3915</f>
        <v>#REF!</v>
      </c>
      <c r="U3915" s="388">
        <v>0.1</v>
      </c>
      <c r="W3915" s="285">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18">
        <f t="shared" si="143"/>
        <v>0.52328583723821365</v>
      </c>
      <c r="K3916" s="22">
        <v>2039.5</v>
      </c>
      <c r="L3916" s="6">
        <v>2064.5</v>
      </c>
      <c r="M3916" s="125">
        <f t="shared" si="144"/>
        <v>25</v>
      </c>
      <c r="N3916" s="7"/>
      <c r="O3916" s="135"/>
      <c r="P3916" s="175">
        <v>14300</v>
      </c>
      <c r="Q3916" s="25">
        <f>179.52/1112.8</f>
        <v>0.16132278936017255</v>
      </c>
      <c r="R3916" s="24">
        <f>P3916*Q3916</f>
        <v>2306.9158878504677</v>
      </c>
      <c r="S3916" s="158" t="e">
        <f>R3916*#REF!</f>
        <v>#REF!</v>
      </c>
      <c r="T3916" s="158" t="e">
        <f>(R3916+S3916)*U3916</f>
        <v>#REF!</v>
      </c>
      <c r="U3916" s="388">
        <v>0.1</v>
      </c>
      <c r="W3916" s="285">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18">
        <f t="shared" si="143"/>
        <v>0.52290149482560366</v>
      </c>
      <c r="K3917" s="22">
        <v>2037.5</v>
      </c>
      <c r="L3917" s="6">
        <v>2062</v>
      </c>
      <c r="M3917" s="125">
        <f t="shared" si="144"/>
        <v>24.5</v>
      </c>
      <c r="N3917" s="7"/>
      <c r="O3917" s="135"/>
      <c r="P3917" s="175"/>
      <c r="Q3917" s="1398" t="s">
        <v>43</v>
      </c>
      <c r="R3917" s="1398"/>
      <c r="S3917" s="1398"/>
      <c r="T3917" s="1398"/>
      <c r="U3917" s="1398"/>
    </row>
    <row r="3918" spans="1:23" ht="15" customHeight="1">
      <c r="A3918" s="3">
        <v>41369</v>
      </c>
      <c r="B3918" s="9">
        <v>79425</v>
      </c>
      <c r="C3918" s="5">
        <v>47000</v>
      </c>
      <c r="D3918" s="5" t="e">
        <f>E3918-(#REF!+#REF!+C3918)</f>
        <v>#REF!</v>
      </c>
      <c r="E3918" s="5">
        <v>260400</v>
      </c>
      <c r="F3918" s="4">
        <v>125</v>
      </c>
      <c r="G3918" s="5">
        <v>625</v>
      </c>
      <c r="H3918" s="5">
        <v>136000</v>
      </c>
      <c r="I3918" s="118">
        <f t="shared" si="143"/>
        <v>0.52227342549923195</v>
      </c>
      <c r="K3918" s="22">
        <v>2042.5</v>
      </c>
      <c r="L3918" s="6">
        <v>2068.5</v>
      </c>
      <c r="M3918" s="125">
        <f t="shared" si="144"/>
        <v>26</v>
      </c>
      <c r="N3918" s="7"/>
      <c r="O3918" s="135"/>
      <c r="P3918" s="175"/>
      <c r="Q3918" s="1398"/>
      <c r="R3918" s="1398"/>
      <c r="S3918" s="1398"/>
      <c r="T3918" s="1398"/>
      <c r="U3918" s="1398"/>
    </row>
    <row r="3919" spans="1:23" ht="15" customHeight="1">
      <c r="A3919" s="3">
        <v>41372</v>
      </c>
      <c r="B3919" s="9">
        <v>46975</v>
      </c>
      <c r="C3919" s="5">
        <v>78975</v>
      </c>
      <c r="D3919" s="5" t="e">
        <f>E3919-(#REF!+#REF!+C3919)</f>
        <v>#REF!</v>
      </c>
      <c r="E3919" s="5">
        <v>260550</v>
      </c>
      <c r="F3919" s="4">
        <v>625</v>
      </c>
      <c r="G3919" s="5">
        <v>475</v>
      </c>
      <c r="H3919" s="5">
        <v>135750</v>
      </c>
      <c r="I3919" s="118">
        <f t="shared" si="143"/>
        <v>0.52101324122049508</v>
      </c>
      <c r="K3919" s="22">
        <v>2038</v>
      </c>
      <c r="L3919" s="6">
        <v>2066</v>
      </c>
      <c r="M3919" s="125">
        <f t="shared" si="144"/>
        <v>28</v>
      </c>
      <c r="N3919" s="7"/>
      <c r="O3919" s="132"/>
      <c r="P3919" s="175">
        <v>14300</v>
      </c>
      <c r="Q3919" s="25">
        <f>183.5/1138.3</f>
        <v>0.16120530615830625</v>
      </c>
      <c r="R3919" s="24">
        <f t="shared" ref="R3919:R3933" si="145">P3919*Q3919</f>
        <v>2305.2358780637792</v>
      </c>
      <c r="S3919" s="158" t="e">
        <f>R3919*#REF!</f>
        <v>#REF!</v>
      </c>
      <c r="T3919" s="158" t="e">
        <f t="shared" ref="T3919:T3933" si="146">(R3919+S3919)*U3919</f>
        <v>#REF!</v>
      </c>
      <c r="U3919" s="388">
        <v>0.1</v>
      </c>
      <c r="W3919" s="285">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18">
        <f t="shared" si="143"/>
        <v>0.52121735791090629</v>
      </c>
      <c r="K3920" s="22">
        <v>2049</v>
      </c>
      <c r="L3920" s="6">
        <v>2075.5</v>
      </c>
      <c r="M3920" s="125">
        <f t="shared" si="144"/>
        <v>26.5</v>
      </c>
      <c r="N3920" s="7"/>
      <c r="O3920" s="132"/>
      <c r="P3920" s="175">
        <v>14300</v>
      </c>
      <c r="Q3920" s="25">
        <f>183.62/1138.9</f>
        <v>0.16122574413908156</v>
      </c>
      <c r="R3920" s="24">
        <f t="shared" si="145"/>
        <v>2305.5281411888664</v>
      </c>
      <c r="S3920" s="158" t="e">
        <f>R3920*#REF!</f>
        <v>#REF!</v>
      </c>
      <c r="T3920" s="158" t="e">
        <f t="shared" si="146"/>
        <v>#REF!</v>
      </c>
      <c r="U3920" s="388">
        <v>0.1</v>
      </c>
      <c r="W3920" s="285">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18">
        <f t="shared" si="143"/>
        <v>0.55129682997118157</v>
      </c>
      <c r="K3921" s="22">
        <v>2088</v>
      </c>
      <c r="L3921" s="6">
        <v>2113.5</v>
      </c>
      <c r="M3921" s="125">
        <f t="shared" si="144"/>
        <v>25.5</v>
      </c>
      <c r="N3921" s="7"/>
      <c r="P3921" s="175">
        <v>14300</v>
      </c>
      <c r="Q3921" s="25">
        <f>183.77/1138.3</f>
        <v>0.16144250197663185</v>
      </c>
      <c r="R3921" s="24">
        <f t="shared" si="145"/>
        <v>2308.6277782658353</v>
      </c>
      <c r="S3921" s="158" t="e">
        <f>R3921*#REF!</f>
        <v>#REF!</v>
      </c>
      <c r="T3921" s="158" t="e">
        <f t="shared" si="146"/>
        <v>#REF!</v>
      </c>
      <c r="U3921" s="388">
        <v>0.1</v>
      </c>
      <c r="W3921" s="285">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18">
        <f t="shared" si="143"/>
        <v>0.55155184010761982</v>
      </c>
      <c r="K3922" s="22">
        <v>2061.5</v>
      </c>
      <c r="L3922" s="6">
        <v>2085</v>
      </c>
      <c r="M3922" s="125">
        <f t="shared" si="144"/>
        <v>23.5</v>
      </c>
      <c r="N3922" s="7"/>
      <c r="O3922" s="132"/>
      <c r="P3922" s="175">
        <v>14300</v>
      </c>
      <c r="Q3922" s="25">
        <f>182.2/1129</f>
        <v>0.16138175376439326</v>
      </c>
      <c r="R3922" s="24">
        <f t="shared" si="145"/>
        <v>2307.7590788308235</v>
      </c>
      <c r="S3922" s="158" t="e">
        <f>R3922*#REF!</f>
        <v>#REF!</v>
      </c>
      <c r="T3922" s="158" t="e">
        <f t="shared" si="146"/>
        <v>#REF!</v>
      </c>
      <c r="U3922" s="388">
        <v>0.1</v>
      </c>
      <c r="W3922" s="285">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18">
        <f t="shared" si="143"/>
        <v>0.55055421686746986</v>
      </c>
      <c r="K3923" s="22">
        <v>2047</v>
      </c>
      <c r="L3923" s="6">
        <v>2070</v>
      </c>
      <c r="M3923" s="125">
        <f t="shared" si="144"/>
        <v>23</v>
      </c>
      <c r="N3923" s="7"/>
      <c r="O3923" s="132"/>
      <c r="P3923" s="175">
        <v>14300</v>
      </c>
      <c r="Q3923" s="25">
        <f>182.67/1131.1</f>
        <v>0.16149765714790912</v>
      </c>
      <c r="R3923" s="24">
        <f t="shared" si="145"/>
        <v>2309.4164972151002</v>
      </c>
      <c r="S3923" s="158" t="e">
        <f>R3923*#REF!</f>
        <v>#REF!</v>
      </c>
      <c r="T3923" s="158" t="e">
        <f t="shared" si="146"/>
        <v>#REF!</v>
      </c>
      <c r="U3923" s="388">
        <v>0.1</v>
      </c>
      <c r="W3923" s="285">
        <f t="shared" si="147"/>
        <v>2540.3581469366104</v>
      </c>
      <c r="X3923" s="443">
        <f>W3923*0.73</f>
        <v>1854.4614472637256</v>
      </c>
    </row>
    <row r="3924" spans="1:24" ht="15" customHeight="1">
      <c r="A3924" s="3">
        <v>41379</v>
      </c>
      <c r="B3924" s="9">
        <v>46850</v>
      </c>
      <c r="C3924" s="5">
        <v>78000</v>
      </c>
      <c r="D3924" s="5" t="e">
        <f>E3924-(#REF!+#REF!+C3924)</f>
        <v>#REF!</v>
      </c>
      <c r="E3924" s="5">
        <v>259025</v>
      </c>
      <c r="F3924" s="4">
        <v>0</v>
      </c>
      <c r="G3924" s="5">
        <v>350</v>
      </c>
      <c r="H3924" s="5">
        <v>145150</v>
      </c>
      <c r="I3924" s="118">
        <f t="shared" si="143"/>
        <v>0.56037062059646747</v>
      </c>
      <c r="K3924" s="22">
        <v>1982.5</v>
      </c>
      <c r="L3924" s="6">
        <v>2008</v>
      </c>
      <c r="M3924" s="125">
        <f t="shared" si="144"/>
        <v>25.5</v>
      </c>
      <c r="N3924" s="7"/>
      <c r="O3924" s="132"/>
      <c r="P3924" s="175">
        <v>14075</v>
      </c>
      <c r="Q3924" s="25">
        <f>181.79/1124.7</f>
        <v>0.16163421356806257</v>
      </c>
      <c r="R3924" s="24">
        <f t="shared" si="145"/>
        <v>2275.0015559704807</v>
      </c>
      <c r="S3924" s="158" t="e">
        <f>R3924*#REF!</f>
        <v>#REF!</v>
      </c>
      <c r="T3924" s="158" t="e">
        <f t="shared" si="146"/>
        <v>#REF!</v>
      </c>
      <c r="U3924" s="388">
        <v>0.1</v>
      </c>
      <c r="W3924" s="285">
        <f t="shared" si="147"/>
        <v>2502.5017115675291</v>
      </c>
      <c r="X3924" s="443">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18">
        <f t="shared" si="143"/>
        <v>0.55935303745065945</v>
      </c>
      <c r="K3925" s="22">
        <v>2038</v>
      </c>
      <c r="L3925" s="6">
        <v>2060</v>
      </c>
      <c r="M3925" s="125">
        <f t="shared" si="144"/>
        <v>22</v>
      </c>
      <c r="N3925" s="7"/>
      <c r="O3925" s="132"/>
      <c r="P3925" s="175">
        <v>14075</v>
      </c>
      <c r="Q3925" s="25">
        <f>181.08/1119.6</f>
        <v>0.16173633440514473</v>
      </c>
      <c r="R3925" s="24">
        <f t="shared" si="145"/>
        <v>2276.4389067524121</v>
      </c>
      <c r="S3925" s="158" t="e">
        <f>R3925*#REF!</f>
        <v>#REF!</v>
      </c>
      <c r="T3925" s="158" t="e">
        <f t="shared" si="146"/>
        <v>#REF!</v>
      </c>
      <c r="U3925" s="388">
        <v>0.1</v>
      </c>
      <c r="W3925" s="285">
        <f t="shared" si="147"/>
        <v>2504.0827974276535</v>
      </c>
      <c r="X3925" s="443">
        <f>W3925*0.73</f>
        <v>1827.980442122187</v>
      </c>
    </row>
    <row r="3926" spans="1:24" ht="15" customHeight="1">
      <c r="A3926" s="3">
        <v>41381</v>
      </c>
      <c r="B3926" s="9">
        <v>46850</v>
      </c>
      <c r="C3926" s="5">
        <v>77500</v>
      </c>
      <c r="D3926" s="5" t="e">
        <f>E3926-(#REF!+#REF!+C3926)</f>
        <v>#REF!</v>
      </c>
      <c r="E3926" s="5">
        <v>259475</v>
      </c>
      <c r="F3926" s="4">
        <v>0</v>
      </c>
      <c r="G3926" s="5">
        <v>200</v>
      </c>
      <c r="H3926" s="5">
        <v>145050</v>
      </c>
      <c r="I3926" s="118">
        <f t="shared" si="143"/>
        <v>0.55901339242701609</v>
      </c>
      <c r="K3926" s="22">
        <v>2013</v>
      </c>
      <c r="L3926" s="6">
        <v>2039</v>
      </c>
      <c r="M3926" s="125">
        <f t="shared" si="144"/>
        <v>26</v>
      </c>
      <c r="N3926" s="7"/>
      <c r="O3926" s="132"/>
      <c r="P3926" s="175">
        <v>13985</v>
      </c>
      <c r="Q3926" s="25">
        <f>180.69/1115.3</f>
        <v>0.16201022146507665</v>
      </c>
      <c r="R3926" s="24">
        <f t="shared" si="145"/>
        <v>2265.7129471890971</v>
      </c>
      <c r="S3926" s="158" t="e">
        <f>R3926*#REF!</f>
        <v>#REF!</v>
      </c>
      <c r="T3926" s="158" t="e">
        <f t="shared" si="146"/>
        <v>#REF!</v>
      </c>
      <c r="U3926" s="388">
        <v>0.1</v>
      </c>
      <c r="W3926" s="285">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18">
        <f t="shared" si="143"/>
        <v>0.55836781830430182</v>
      </c>
      <c r="K3927" s="22">
        <v>1997.5</v>
      </c>
      <c r="L3927" s="6">
        <v>2014</v>
      </c>
      <c r="M3927" s="125">
        <f t="shared" si="144"/>
        <v>16.5</v>
      </c>
      <c r="N3927" s="7"/>
      <c r="O3927" s="132"/>
      <c r="P3927" s="184">
        <v>13665</v>
      </c>
      <c r="Q3927" s="25">
        <f>181.52/1122</f>
        <v>0.16178253119429592</v>
      </c>
      <c r="R3927" s="24">
        <f t="shared" si="145"/>
        <v>2210.7582887700537</v>
      </c>
      <c r="S3927" s="158" t="e">
        <f>R3927*#REF!</f>
        <v>#REF!</v>
      </c>
      <c r="T3927" s="158" t="e">
        <f t="shared" si="146"/>
        <v>#REF!</v>
      </c>
      <c r="U3927" s="388">
        <v>0.1</v>
      </c>
      <c r="W3927" s="285">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18">
        <f t="shared" si="143"/>
        <v>0.58466422936309415</v>
      </c>
      <c r="K3928" s="22">
        <v>2008.5</v>
      </c>
      <c r="L3928" s="6">
        <v>2023</v>
      </c>
      <c r="M3928" s="125">
        <f t="shared" si="144"/>
        <v>14.5</v>
      </c>
      <c r="O3928" s="157"/>
      <c r="P3928" s="184">
        <v>13730</v>
      </c>
      <c r="Q3928" s="25">
        <f>181.06/1118.5</f>
        <v>0.16187751452838622</v>
      </c>
      <c r="R3928" s="24">
        <f t="shared" si="145"/>
        <v>2222.578274474743</v>
      </c>
      <c r="S3928" s="158" t="e">
        <f>R3928*#REF!</f>
        <v>#REF!</v>
      </c>
      <c r="T3928" s="158" t="e">
        <f t="shared" si="146"/>
        <v>#REF!</v>
      </c>
      <c r="U3928" s="388">
        <v>0.1</v>
      </c>
      <c r="W3928" s="285">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18">
        <f t="shared" si="143"/>
        <v>0.58601116028477973</v>
      </c>
      <c r="K3929" s="22">
        <v>1997.5</v>
      </c>
      <c r="L3929" s="6">
        <v>2016</v>
      </c>
      <c r="M3929" s="125">
        <f t="shared" si="144"/>
        <v>18.5</v>
      </c>
      <c r="P3929" s="184">
        <v>13730</v>
      </c>
      <c r="Q3929" s="25">
        <f>181.43/1121.7</f>
        <v>0.16174556476776322</v>
      </c>
      <c r="R3929" s="24">
        <f t="shared" si="145"/>
        <v>2220.7666042613891</v>
      </c>
      <c r="S3929" s="158" t="e">
        <f>R3929*#REF!</f>
        <v>#REF!</v>
      </c>
      <c r="T3929" s="158" t="e">
        <f t="shared" si="146"/>
        <v>#REF!</v>
      </c>
      <c r="U3929" s="388">
        <v>0.1</v>
      </c>
      <c r="W3929" s="285">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18">
        <f t="shared" si="143"/>
        <v>0.58446827006664737</v>
      </c>
      <c r="K3930" s="22">
        <v>1990</v>
      </c>
      <c r="L3930" s="6">
        <v>2002</v>
      </c>
      <c r="M3930" s="125">
        <f t="shared" si="144"/>
        <v>12</v>
      </c>
      <c r="N3930" s="7"/>
      <c r="O3930" s="135"/>
      <c r="P3930" s="175">
        <v>13680</v>
      </c>
      <c r="Q3930" s="25">
        <f>181.28/1120.2</f>
        <v>0.16182824495625781</v>
      </c>
      <c r="R3930" s="24">
        <f t="shared" si="145"/>
        <v>2213.8103910016066</v>
      </c>
      <c r="S3930" s="158" t="e">
        <f>R3930*#REF!</f>
        <v>#REF!</v>
      </c>
      <c r="T3930" s="158" t="e">
        <f t="shared" si="146"/>
        <v>#REF!</v>
      </c>
      <c r="U3930" s="388">
        <v>0.1</v>
      </c>
      <c r="W3930" s="285">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18">
        <f t="shared" si="143"/>
        <v>0.58326893353941267</v>
      </c>
      <c r="K3931" s="22">
        <v>2009.5</v>
      </c>
      <c r="L3931" s="6">
        <v>2032</v>
      </c>
      <c r="M3931" s="125">
        <f t="shared" si="144"/>
        <v>22.5</v>
      </c>
      <c r="P3931" s="175">
        <v>13730</v>
      </c>
      <c r="Q3931" s="25">
        <f>181.14/1119.2</f>
        <v>0.16184774839170835</v>
      </c>
      <c r="R3931" s="24">
        <f t="shared" si="145"/>
        <v>2222.1695854181557</v>
      </c>
      <c r="S3931" s="158" t="e">
        <f>R3931*#REF!</f>
        <v>#REF!</v>
      </c>
      <c r="T3931" s="158" t="e">
        <f t="shared" si="146"/>
        <v>#REF!</v>
      </c>
      <c r="U3931" s="388">
        <v>0.1</v>
      </c>
      <c r="W3931" s="285">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18">
        <f t="shared" si="143"/>
        <v>0.58386535113174698</v>
      </c>
      <c r="K3932" s="22">
        <v>2041</v>
      </c>
      <c r="L3932" s="6">
        <v>2059</v>
      </c>
      <c r="M3932" s="125">
        <f t="shared" si="144"/>
        <v>18</v>
      </c>
      <c r="O3932" s="157"/>
      <c r="P3932" s="175">
        <v>13830</v>
      </c>
      <c r="Q3932" s="25">
        <f>180.5/1113.9</f>
        <v>0.16204327138881405</v>
      </c>
      <c r="R3932" s="24">
        <f t="shared" si="145"/>
        <v>2241.0584433072981</v>
      </c>
      <c r="S3932" s="158" t="e">
        <f>R3932*#REF!</f>
        <v>#REF!</v>
      </c>
      <c r="T3932" s="158" t="e">
        <f t="shared" si="146"/>
        <v>#REF!</v>
      </c>
      <c r="U3932" s="388">
        <v>0.1</v>
      </c>
      <c r="W3932" s="285">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18">
        <f t="shared" si="143"/>
        <v>0.58393948210648816</v>
      </c>
      <c r="K3933" s="22">
        <v>2037</v>
      </c>
      <c r="L3933" s="6">
        <v>2056</v>
      </c>
      <c r="M3933" s="125">
        <f t="shared" si="144"/>
        <v>19</v>
      </c>
      <c r="O3933" s="157"/>
      <c r="P3933" s="175">
        <v>13830</v>
      </c>
      <c r="Q3933" s="25">
        <f>180.21/1111</f>
        <v>0.16220522052205222</v>
      </c>
      <c r="R3933" s="24">
        <f t="shared" si="145"/>
        <v>2243.2981998199821</v>
      </c>
      <c r="S3933" s="158" t="e">
        <f>R3933*#REF!</f>
        <v>#REF!</v>
      </c>
      <c r="T3933" s="158" t="e">
        <f t="shared" si="146"/>
        <v>#REF!</v>
      </c>
      <c r="U3933" s="388">
        <v>0.1</v>
      </c>
      <c r="W3933" s="285">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18">
        <f t="shared" si="143"/>
        <v>0.58219711725749901</v>
      </c>
      <c r="K3934" s="22">
        <v>2021</v>
      </c>
      <c r="L3934" s="6">
        <v>2037.5</v>
      </c>
      <c r="M3934" s="125">
        <f t="shared" si="144"/>
        <v>16.5</v>
      </c>
      <c r="O3934" s="157"/>
      <c r="Q3934" s="1398" t="s">
        <v>35</v>
      </c>
      <c r="R3934" s="1398"/>
      <c r="S3934" s="1398"/>
      <c r="T3934" s="1398"/>
      <c r="U3934" s="1398"/>
    </row>
    <row r="3935" spans="1:24" ht="15" customHeight="1">
      <c r="A3935" s="3">
        <v>41394</v>
      </c>
      <c r="B3935" s="9">
        <v>44875</v>
      </c>
      <c r="C3935" s="5">
        <v>75775</v>
      </c>
      <c r="D3935" s="5" t="e">
        <f>E3935-(#REF!+#REF!+C3935)</f>
        <v>#REF!</v>
      </c>
      <c r="E3935" s="5">
        <v>255175</v>
      </c>
      <c r="F3935" s="4">
        <v>0</v>
      </c>
      <c r="G3935" s="5">
        <v>1525</v>
      </c>
      <c r="H3935" s="5">
        <v>161350</v>
      </c>
      <c r="I3935" s="118">
        <f t="shared" si="143"/>
        <v>0.63231115900852353</v>
      </c>
      <c r="K3935" s="22">
        <v>2019</v>
      </c>
      <c r="L3935" s="6">
        <v>2038</v>
      </c>
      <c r="M3935" s="125">
        <f t="shared" si="144"/>
        <v>19</v>
      </c>
      <c r="N3935" s="235">
        <f>AVERAGE(K3914:K3935)</f>
        <v>2030.2619047619048</v>
      </c>
      <c r="O3935" s="230">
        <f>AVERAGE(K3848:K3935)</f>
        <v>2232.7108433734938</v>
      </c>
      <c r="Q3935" s="1398"/>
      <c r="R3935" s="1398"/>
      <c r="S3935" s="1398"/>
      <c r="T3935" s="1398"/>
      <c r="U3935" s="1398"/>
    </row>
    <row r="3936" spans="1:24" ht="15" customHeight="1" thickBot="1">
      <c r="A3936" s="216"/>
      <c r="B3936" s="1330"/>
      <c r="C3936" s="1330"/>
      <c r="D3936" s="1330"/>
      <c r="E3936" s="216"/>
      <c r="F3936" s="407">
        <f>SUM(F3915:F3935)</f>
        <v>3325</v>
      </c>
      <c r="G3936" s="164">
        <f>SUM(G3915:G3935)</f>
        <v>10875</v>
      </c>
      <c r="H3936" s="164"/>
      <c r="I3936" s="165"/>
      <c r="J3936" s="165"/>
      <c r="K3936" s="166"/>
      <c r="L3936" s="167"/>
      <c r="M3936" s="168"/>
      <c r="N3936" s="169"/>
      <c r="O3936" s="183"/>
      <c r="P3936" s="181"/>
      <c r="Q3936" s="154"/>
      <c r="R3936" s="248"/>
      <c r="S3936" s="249"/>
      <c r="T3936" s="249"/>
      <c r="U3936" s="152"/>
      <c r="V3936" s="153">
        <f>AVERAGE(P3914:P3935)</f>
        <v>14037.777777777777</v>
      </c>
      <c r="W3936" s="289"/>
    </row>
    <row r="3937" spans="1:23" ht="15" customHeight="1">
      <c r="A3937" s="3">
        <v>41395</v>
      </c>
      <c r="B3937" s="9">
        <v>44525</v>
      </c>
      <c r="C3937" s="5">
        <v>75100</v>
      </c>
      <c r="D3937" s="5" t="e">
        <f>E3937-(#REF!+#REF!+C3937)</f>
        <v>#REF!</v>
      </c>
      <c r="E3937" s="5">
        <v>254325</v>
      </c>
      <c r="F3937" s="4">
        <v>200</v>
      </c>
      <c r="G3937" s="5">
        <v>1050</v>
      </c>
      <c r="H3937" s="5">
        <v>160300</v>
      </c>
      <c r="I3937" s="118">
        <f>H3937/E3937</f>
        <v>0.63029588125430058</v>
      </c>
      <c r="K3937" s="22">
        <v>1970</v>
      </c>
      <c r="L3937" s="6">
        <v>1989.5</v>
      </c>
      <c r="M3937" s="125">
        <f t="shared" si="144"/>
        <v>19.5</v>
      </c>
      <c r="O3937" s="156"/>
      <c r="Q3937" s="1342" t="s">
        <v>44</v>
      </c>
      <c r="R3937" s="1342"/>
      <c r="S3937" s="1342"/>
      <c r="T3937" s="1342"/>
      <c r="U3937" s="1342"/>
    </row>
    <row r="3938" spans="1:23" ht="15" customHeight="1">
      <c r="A3938" s="3">
        <v>41396</v>
      </c>
      <c r="B3938" s="9">
        <v>44125</v>
      </c>
      <c r="C3938" s="5">
        <v>74900</v>
      </c>
      <c r="D3938" s="5" t="e">
        <f>E3938-(#REF!+#REF!+C3938)</f>
        <v>#REF!</v>
      </c>
      <c r="E3938" s="5">
        <v>253925</v>
      </c>
      <c r="F3938" s="4">
        <v>0</v>
      </c>
      <c r="G3938" s="5">
        <v>400</v>
      </c>
      <c r="H3938" s="5">
        <v>160500</v>
      </c>
      <c r="I3938" s="118">
        <f>H3938/E3938</f>
        <v>0.63207640051196223</v>
      </c>
      <c r="K3938" s="22">
        <v>1979</v>
      </c>
      <c r="L3938" s="6">
        <v>1996</v>
      </c>
      <c r="M3938" s="125">
        <f t="shared" si="144"/>
        <v>17</v>
      </c>
      <c r="O3938" s="157"/>
      <c r="P3938" s="246">
        <v>13760</v>
      </c>
      <c r="Q3938" s="25">
        <f>178.64/1099.7</f>
        <v>0.16244430299172499</v>
      </c>
      <c r="R3938" s="24">
        <f t="shared" ref="R3938:R3955" si="148">P3938*Q3938</f>
        <v>2235.2336091661359</v>
      </c>
      <c r="S3938" s="158" t="e">
        <f>R3938*#REF!</f>
        <v>#REF!</v>
      </c>
      <c r="T3938" s="158" t="e">
        <f t="shared" ref="T3938:T3947" si="149">(R3938+S3938)*U3938</f>
        <v>#REF!</v>
      </c>
      <c r="U3938" s="388">
        <v>0.1</v>
      </c>
      <c r="W3938" s="285">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18">
        <f>H3939/E3939</f>
        <v>0.63322759714512289</v>
      </c>
      <c r="K3939" s="22">
        <v>1970</v>
      </c>
      <c r="L3939" s="6">
        <v>1980.5</v>
      </c>
      <c r="M3939" s="125">
        <f t="shared" si="144"/>
        <v>10.5</v>
      </c>
      <c r="N3939" s="242"/>
      <c r="P3939" s="247">
        <v>13760</v>
      </c>
      <c r="Q3939" s="25">
        <f>178.68/1099.9</f>
        <v>0.16245113192108374</v>
      </c>
      <c r="R3939" s="24">
        <f t="shared" si="148"/>
        <v>2235.3275752341124</v>
      </c>
      <c r="S3939" s="158" t="e">
        <f>R3939*#REF!</f>
        <v>#REF!</v>
      </c>
      <c r="T3939" s="158" t="e">
        <f t="shared" si="149"/>
        <v>#REF!</v>
      </c>
      <c r="U3939" s="388">
        <v>0.1</v>
      </c>
      <c r="W3939" s="285">
        <f t="shared" si="150"/>
        <v>2458.8603327575238</v>
      </c>
    </row>
    <row r="3940" spans="1:23" ht="15" customHeight="1">
      <c r="A3940" s="3">
        <v>41400</v>
      </c>
      <c r="B3940" s="9">
        <v>0</v>
      </c>
      <c r="C3940" s="24"/>
      <c r="D3940" s="24"/>
      <c r="E3940" s="24"/>
      <c r="F3940" s="4" t="s">
        <v>45</v>
      </c>
      <c r="G3940" s="24"/>
      <c r="H3940" s="24"/>
      <c r="I3940" s="24"/>
      <c r="J3940" s="24"/>
      <c r="M3940" s="125"/>
      <c r="N3940" s="242"/>
      <c r="O3940" s="243"/>
      <c r="P3940" s="247">
        <v>13800</v>
      </c>
      <c r="Q3940" s="25">
        <f>178.68/1099.9</f>
        <v>0.16245113192108374</v>
      </c>
      <c r="R3940" s="24">
        <f t="shared" si="148"/>
        <v>2241.8256205109556</v>
      </c>
      <c r="S3940" s="158" t="e">
        <f>R3940*#REF!</f>
        <v>#REF!</v>
      </c>
      <c r="T3940" s="158" t="e">
        <f t="shared" si="149"/>
        <v>#REF!</v>
      </c>
      <c r="U3940" s="388">
        <v>0.1</v>
      </c>
      <c r="W3940" s="285">
        <f t="shared" si="150"/>
        <v>2466.0081825620514</v>
      </c>
    </row>
    <row r="3941" spans="1:23" ht="15" customHeight="1">
      <c r="A3941" s="3">
        <v>41401</v>
      </c>
      <c r="B3941" s="9">
        <v>74450</v>
      </c>
      <c r="C3941" s="5">
        <v>42975</v>
      </c>
      <c r="D3941" s="5">
        <v>184925</v>
      </c>
      <c r="E3941" s="5">
        <v>251075</v>
      </c>
      <c r="F3941" s="4">
        <v>0</v>
      </c>
      <c r="G3941" s="5">
        <v>1125</v>
      </c>
      <c r="H3941" s="5">
        <v>158625</v>
      </c>
      <c r="I3941" s="118">
        <f t="shared" ref="I3941:I3954" si="151">H3941/E3941</f>
        <v>0.63178333167380263</v>
      </c>
      <c r="K3941" s="22">
        <v>2020</v>
      </c>
      <c r="L3941" s="6">
        <v>2037</v>
      </c>
      <c r="M3941" s="125">
        <f t="shared" si="144"/>
        <v>17</v>
      </c>
      <c r="O3941" s="157"/>
      <c r="P3941" s="247">
        <v>13880</v>
      </c>
      <c r="Q3941" s="25">
        <f>177.4/1094</f>
        <v>0.16215722120658135</v>
      </c>
      <c r="R3941" s="24">
        <f t="shared" si="148"/>
        <v>2250.7422303473491</v>
      </c>
      <c r="S3941" s="158" t="e">
        <f>R3941*#REF!</f>
        <v>#REF!</v>
      </c>
      <c r="T3941" s="158" t="e">
        <f t="shared" si="149"/>
        <v>#REF!</v>
      </c>
      <c r="U3941" s="388">
        <v>0.1</v>
      </c>
      <c r="W3941" s="285">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18">
        <f t="shared" si="151"/>
        <v>0.62882755842062854</v>
      </c>
      <c r="K3942" s="22">
        <v>2048.5</v>
      </c>
      <c r="L3942" s="6">
        <v>2067</v>
      </c>
      <c r="M3942" s="125">
        <f t="shared" si="144"/>
        <v>18.5</v>
      </c>
      <c r="O3942" s="157"/>
      <c r="P3942" s="247">
        <v>13880</v>
      </c>
      <c r="Q3942" s="25">
        <f>177.77/1094</f>
        <v>0.16249542961608776</v>
      </c>
      <c r="R3942" s="24">
        <f t="shared" si="148"/>
        <v>2255.4365630712982</v>
      </c>
      <c r="S3942" s="158" t="e">
        <f>R3942*#REF!</f>
        <v>#REF!</v>
      </c>
      <c r="T3942" s="158" t="e">
        <f t="shared" si="149"/>
        <v>#REF!</v>
      </c>
      <c r="U3942" s="388">
        <v>0.1</v>
      </c>
      <c r="W3942" s="285">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18">
        <f t="shared" si="151"/>
        <v>0.62808579522460539</v>
      </c>
      <c r="K3943" s="22">
        <v>2012.5</v>
      </c>
      <c r="L3943" s="6">
        <v>2032</v>
      </c>
      <c r="M3943" s="125">
        <f t="shared" si="144"/>
        <v>19.5</v>
      </c>
      <c r="O3943" s="157"/>
      <c r="P3943" s="247">
        <v>13880</v>
      </c>
      <c r="Q3943" s="25">
        <f>177.12/1087.7</f>
        <v>0.16283901811161167</v>
      </c>
      <c r="R3943" s="24">
        <f t="shared" si="148"/>
        <v>2260.20557138917</v>
      </c>
      <c r="S3943" s="158" t="e">
        <f>R3943*#REF!</f>
        <v>#REF!</v>
      </c>
      <c r="T3943" s="158" t="e">
        <f t="shared" si="149"/>
        <v>#REF!</v>
      </c>
      <c r="U3943" s="388">
        <v>0.1</v>
      </c>
      <c r="W3943" s="285">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18">
        <f t="shared" si="151"/>
        <v>0.64143832127941325</v>
      </c>
      <c r="K3944" s="22">
        <v>1983.5</v>
      </c>
      <c r="L3944" s="6">
        <v>2001</v>
      </c>
      <c r="M3944" s="125">
        <f t="shared" si="144"/>
        <v>17.5</v>
      </c>
      <c r="O3944" s="157"/>
      <c r="P3944" s="247">
        <v>13880</v>
      </c>
      <c r="Q3944" s="25">
        <f>177.3/1087</f>
        <v>0.16310947562097516</v>
      </c>
      <c r="R3944" s="24">
        <f t="shared" si="148"/>
        <v>2263.9595216191351</v>
      </c>
      <c r="S3944" s="158" t="e">
        <f>R3944*#REF!</f>
        <v>#REF!</v>
      </c>
      <c r="T3944" s="158" t="e">
        <f t="shared" si="149"/>
        <v>#REF!</v>
      </c>
      <c r="U3944" s="388">
        <v>0.1</v>
      </c>
      <c r="W3944" s="285">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18">
        <f t="shared" si="151"/>
        <v>0.65624038560147679</v>
      </c>
      <c r="K3945" s="22">
        <v>1981</v>
      </c>
      <c r="L3945" s="6">
        <v>1997.5</v>
      </c>
      <c r="M3945" s="125">
        <f t="shared" si="144"/>
        <v>16.5</v>
      </c>
      <c r="P3945" s="247">
        <v>13880</v>
      </c>
      <c r="Q3945" s="25">
        <f>179.53/1102.6</f>
        <v>0.16282423362960277</v>
      </c>
      <c r="R3945" s="24">
        <f t="shared" si="148"/>
        <v>2260.0003627788865</v>
      </c>
      <c r="S3945" s="158" t="e">
        <f>R3945*#REF!</f>
        <v>#REF!</v>
      </c>
      <c r="T3945" s="158" t="e">
        <f t="shared" si="149"/>
        <v>#REF!</v>
      </c>
      <c r="U3945" s="388">
        <v>0.1</v>
      </c>
      <c r="W3945" s="285">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18">
        <f t="shared" si="151"/>
        <v>0.64258090779564425</v>
      </c>
      <c r="K3946" s="22">
        <v>1976</v>
      </c>
      <c r="L3946" s="6">
        <v>1988.5</v>
      </c>
      <c r="M3946" s="125">
        <f t="shared" si="144"/>
        <v>12.5</v>
      </c>
      <c r="P3946" s="247">
        <v>13860</v>
      </c>
      <c r="Q3946" s="25">
        <f>180.6/1109.4</f>
        <v>0.16279069767441859</v>
      </c>
      <c r="R3946" s="24">
        <f t="shared" si="148"/>
        <v>2256.2790697674418</v>
      </c>
      <c r="S3946" s="158" t="e">
        <f>R3946*#REF!</f>
        <v>#REF!</v>
      </c>
      <c r="T3946" s="158" t="e">
        <f t="shared" si="149"/>
        <v>#REF!</v>
      </c>
      <c r="U3946" s="388">
        <v>0.1</v>
      </c>
      <c r="W3946" s="285">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18">
        <f t="shared" si="151"/>
        <v>0.6488089152438401</v>
      </c>
      <c r="K3947" s="22">
        <v>1949</v>
      </c>
      <c r="L3947" s="6">
        <v>1961</v>
      </c>
      <c r="M3947" s="125">
        <f t="shared" si="144"/>
        <v>12</v>
      </c>
      <c r="P3947" s="247">
        <v>13760</v>
      </c>
      <c r="Q3947" s="25">
        <f>181.19/1113.6</f>
        <v>0.16270653735632185</v>
      </c>
      <c r="R3947" s="24">
        <f t="shared" si="148"/>
        <v>2238.8419540229884</v>
      </c>
      <c r="S3947" s="158" t="e">
        <f>R3947*#REF!</f>
        <v>#REF!</v>
      </c>
      <c r="T3947" s="158" t="e">
        <f t="shared" si="149"/>
        <v>#REF!</v>
      </c>
      <c r="U3947" s="388">
        <v>0.1</v>
      </c>
      <c r="W3947" s="285">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18">
        <f t="shared" si="151"/>
        <v>0.64594039054470709</v>
      </c>
      <c r="K3948" s="22">
        <v>1966.5</v>
      </c>
      <c r="L3948" s="6">
        <v>1968</v>
      </c>
      <c r="M3948" s="125">
        <f t="shared" si="144"/>
        <v>1.5</v>
      </c>
      <c r="O3948" s="157"/>
      <c r="P3948" s="247">
        <v>13760</v>
      </c>
      <c r="Q3948" s="1326" t="s">
        <v>45</v>
      </c>
      <c r="R3948" s="1326"/>
      <c r="S3948" s="1326"/>
      <c r="T3948" s="1326"/>
      <c r="U3948" s="1326"/>
    </row>
    <row r="3949" spans="1:23" ht="15" customHeight="1">
      <c r="A3949" s="3">
        <v>41411</v>
      </c>
      <c r="B3949" s="9">
        <v>72850</v>
      </c>
      <c r="C3949" s="5">
        <v>38525</v>
      </c>
      <c r="D3949" s="5" t="e">
        <f>E3949-(#REF!+#REF!+C3949)</f>
        <v>#REF!</v>
      </c>
      <c r="E3949" s="5">
        <v>240875</v>
      </c>
      <c r="F3949" s="4">
        <v>525</v>
      </c>
      <c r="G3949" s="5">
        <v>2900</v>
      </c>
      <c r="H3949" s="5">
        <v>155300</v>
      </c>
      <c r="I3949" s="118">
        <f t="shared" si="151"/>
        <v>0.6447327451997924</v>
      </c>
      <c r="K3949" s="22">
        <v>2003</v>
      </c>
      <c r="L3949" s="6">
        <v>2010.5</v>
      </c>
      <c r="M3949" s="125">
        <f t="shared" si="144"/>
        <v>7.5</v>
      </c>
      <c r="O3949" s="157"/>
      <c r="P3949" s="247">
        <v>13760</v>
      </c>
      <c r="Q3949" s="25">
        <f>181.45/1114.3</f>
        <v>0.16283765592748811</v>
      </c>
      <c r="R3949" s="24">
        <f t="shared" si="148"/>
        <v>2240.6461455622366</v>
      </c>
      <c r="S3949" s="158" t="e">
        <f>R3949*#REF!</f>
        <v>#REF!</v>
      </c>
      <c r="T3949" s="158" t="e">
        <f t="shared" ref="T3949:T3959" si="153">(R3949+S3949)*U3949</f>
        <v>#REF!</v>
      </c>
      <c r="U3949" s="388">
        <v>0.1</v>
      </c>
      <c r="W3949" s="285">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18">
        <f t="shared" si="151"/>
        <v>0.64355091383812013</v>
      </c>
      <c r="K3950" s="22">
        <v>2002</v>
      </c>
      <c r="L3950" s="6">
        <v>2009</v>
      </c>
      <c r="M3950" s="125">
        <f t="shared" si="144"/>
        <v>7</v>
      </c>
      <c r="O3950" s="157"/>
      <c r="P3950" s="247">
        <v>13790</v>
      </c>
      <c r="Q3950" s="25">
        <f>182.13/1118.1</f>
        <v>0.16289240676147035</v>
      </c>
      <c r="R3950" s="24">
        <f t="shared" si="148"/>
        <v>2246.2862892406761</v>
      </c>
      <c r="S3950" s="158" t="e">
        <f>R3950*#REF!</f>
        <v>#REF!</v>
      </c>
      <c r="T3950" s="158" t="e">
        <f t="shared" si="153"/>
        <v>#REF!</v>
      </c>
      <c r="U3950" s="388">
        <v>0.1</v>
      </c>
      <c r="W3950" s="285">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18">
        <f t="shared" si="151"/>
        <v>0.64453083955027846</v>
      </c>
      <c r="K3951" s="22">
        <v>2040.5</v>
      </c>
      <c r="L3951" s="6">
        <v>2050.5</v>
      </c>
      <c r="M3951" s="125">
        <f t="shared" si="144"/>
        <v>10</v>
      </c>
      <c r="O3951" s="157"/>
      <c r="P3951" s="247">
        <v>13810</v>
      </c>
      <c r="Q3951" s="25">
        <f>181.38/1112.9</f>
        <v>0.1629796028394285</v>
      </c>
      <c r="R3951" s="24">
        <f t="shared" si="148"/>
        <v>2250.7483152125078</v>
      </c>
      <c r="S3951" s="158" t="e">
        <f>R3951*#REF!</f>
        <v>#REF!</v>
      </c>
      <c r="T3951" s="158" t="e">
        <f t="shared" si="153"/>
        <v>#REF!</v>
      </c>
      <c r="U3951" s="388">
        <v>0.1</v>
      </c>
      <c r="W3951" s="285">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18">
        <f t="shared" si="151"/>
        <v>0.64268331393503331</v>
      </c>
      <c r="K3952" s="22">
        <v>2053.5</v>
      </c>
      <c r="L3952" s="6">
        <v>2064</v>
      </c>
      <c r="M3952" s="125">
        <f t="shared" si="144"/>
        <v>10.5</v>
      </c>
      <c r="O3952" s="157"/>
      <c r="P3952" s="247">
        <v>13810</v>
      </c>
      <c r="Q3952" s="25">
        <f>181.44/1112.4</f>
        <v>0.16310679611650483</v>
      </c>
      <c r="R3952" s="24">
        <f t="shared" si="148"/>
        <v>2252.5048543689318</v>
      </c>
      <c r="S3952" s="158" t="e">
        <f>R3952*#REF!</f>
        <v>#REF!</v>
      </c>
      <c r="T3952" s="158" t="e">
        <f t="shared" si="153"/>
        <v>#REF!</v>
      </c>
      <c r="U3952" s="388">
        <v>0.1</v>
      </c>
      <c r="W3952" s="285">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18">
        <f t="shared" si="151"/>
        <v>0.77518388231531821</v>
      </c>
      <c r="K3953" s="22">
        <v>2025</v>
      </c>
      <c r="L3953" s="6">
        <v>2032</v>
      </c>
      <c r="M3953" s="125">
        <f t="shared" si="144"/>
        <v>7</v>
      </c>
      <c r="O3953" s="157"/>
      <c r="P3953" s="247">
        <v>13780</v>
      </c>
      <c r="Q3953" s="25">
        <f>183.19/1123.7</f>
        <v>0.16302393877369403</v>
      </c>
      <c r="R3953" s="24">
        <f t="shared" si="148"/>
        <v>2246.469876301504</v>
      </c>
      <c r="S3953" s="158" t="e">
        <f>R3953*#REF!</f>
        <v>#REF!</v>
      </c>
      <c r="T3953" s="158" t="e">
        <f t="shared" si="153"/>
        <v>#REF!</v>
      </c>
      <c r="U3953" s="388">
        <v>0.1</v>
      </c>
      <c r="W3953" s="285">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18">
        <f t="shared" si="151"/>
        <v>0.76729559748427678</v>
      </c>
      <c r="K3954" s="22">
        <v>2056</v>
      </c>
      <c r="L3954" s="6">
        <v>2058</v>
      </c>
      <c r="M3954" s="125">
        <f t="shared" si="144"/>
        <v>2</v>
      </c>
      <c r="O3954" s="157"/>
      <c r="P3954" s="247">
        <v>13810</v>
      </c>
      <c r="Q3954" s="25">
        <f>183.97/1128</f>
        <v>0.16309397163120568</v>
      </c>
      <c r="R3954" s="24">
        <f t="shared" si="148"/>
        <v>2252.3277482269505</v>
      </c>
      <c r="S3954" s="158" t="e">
        <f>R3954*#REF!</f>
        <v>#REF!</v>
      </c>
      <c r="T3954" s="158" t="e">
        <f t="shared" si="153"/>
        <v>#REF!</v>
      </c>
      <c r="U3954" s="388">
        <v>0.1</v>
      </c>
      <c r="W3954" s="285">
        <f t="shared" si="152"/>
        <v>2477.5605230496458</v>
      </c>
    </row>
    <row r="3955" spans="1:23" ht="15" customHeight="1">
      <c r="A3955" s="3">
        <v>41421</v>
      </c>
      <c r="B3955" s="9">
        <v>0</v>
      </c>
      <c r="C3955"/>
      <c r="D3955"/>
      <c r="E3955"/>
      <c r="F3955" s="4" t="s">
        <v>45</v>
      </c>
      <c r="G3955" s="24"/>
      <c r="H3955" s="24"/>
      <c r="I3955" s="24"/>
      <c r="J3955" s="24"/>
      <c r="O3955" s="157"/>
      <c r="P3955" s="247">
        <v>13810</v>
      </c>
      <c r="Q3955" s="25">
        <f>183.99/1126.2</f>
        <v>0.16337240277037826</v>
      </c>
      <c r="R3955" s="24">
        <f t="shared" si="148"/>
        <v>2256.1728822589239</v>
      </c>
      <c r="S3955" s="158" t="e">
        <f>R3955*#REF!</f>
        <v>#REF!</v>
      </c>
      <c r="T3955" s="158" t="e">
        <f t="shared" si="153"/>
        <v>#REF!</v>
      </c>
      <c r="U3955" s="388">
        <v>0.1</v>
      </c>
      <c r="W3955" s="285">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18">
        <f>H3956/E3956</f>
        <v>0.76877234803337302</v>
      </c>
      <c r="K3956" s="22">
        <v>2098</v>
      </c>
      <c r="L3956" s="6">
        <v>2099</v>
      </c>
      <c r="M3956" s="125">
        <f t="shared" si="144"/>
        <v>1</v>
      </c>
      <c r="O3956" s="157"/>
      <c r="P3956" s="247">
        <v>13810</v>
      </c>
      <c r="Q3956" s="25">
        <f>183.86/1125.5</f>
        <v>0.16335850733007554</v>
      </c>
      <c r="R3956" s="24">
        <f t="shared" ref="R3956:R3962" si="154">P3956*Q3956</f>
        <v>2255.9809862283432</v>
      </c>
      <c r="S3956" s="158" t="e">
        <f>R3956*#REF!</f>
        <v>#REF!</v>
      </c>
      <c r="T3956" s="158" t="e">
        <f t="shared" si="153"/>
        <v>#REF!</v>
      </c>
      <c r="U3956" s="388">
        <v>0.1</v>
      </c>
      <c r="W3956" s="285">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18">
        <f>H3957/E3957</f>
        <v>0.76049300466355763</v>
      </c>
      <c r="K3957" s="22">
        <v>2117</v>
      </c>
      <c r="L3957" s="6">
        <v>2114</v>
      </c>
      <c r="M3957" s="125">
        <f t="shared" si="144"/>
        <v>-3</v>
      </c>
      <c r="O3957" s="157"/>
      <c r="P3957" s="247">
        <v>13830</v>
      </c>
      <c r="Q3957" s="25">
        <f>184.6/1131</f>
        <v>0.16321839080459769</v>
      </c>
      <c r="R3957" s="24">
        <f t="shared" si="154"/>
        <v>2257.3103448275861</v>
      </c>
      <c r="S3957" s="158" t="e">
        <f>R3957*#REF!</f>
        <v>#REF!</v>
      </c>
      <c r="T3957" s="158" t="e">
        <f t="shared" si="153"/>
        <v>#REF!</v>
      </c>
      <c r="U3957" s="388">
        <v>0.1</v>
      </c>
      <c r="W3957" s="285">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18">
        <f>H3958/E3958</f>
        <v>0.76307796152548091</v>
      </c>
      <c r="K3958" s="22">
        <v>2150</v>
      </c>
      <c r="L3958" s="6">
        <v>2145</v>
      </c>
      <c r="M3958" s="125">
        <f t="shared" si="144"/>
        <v>-5</v>
      </c>
      <c r="O3958" s="157"/>
      <c r="P3958" s="247">
        <v>13860</v>
      </c>
      <c r="Q3958" s="25">
        <f>184.03/1128.3</f>
        <v>0.16310378445448906</v>
      </c>
      <c r="R3958" s="24">
        <f t="shared" si="154"/>
        <v>2260.6184525392182</v>
      </c>
      <c r="S3958" s="158" t="e">
        <f>R3958*#REF!</f>
        <v>#REF!</v>
      </c>
      <c r="T3958" s="158" t="e">
        <f t="shared" si="153"/>
        <v>#REF!</v>
      </c>
      <c r="U3958" s="388">
        <v>0.1</v>
      </c>
      <c r="W3958" s="285">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18">
        <f>H3959/E3959</f>
        <v>0.7610206173823898</v>
      </c>
      <c r="K3959" s="22">
        <v>2193</v>
      </c>
      <c r="L3959" s="6">
        <v>2187</v>
      </c>
      <c r="M3959" s="125">
        <f t="shared" si="144"/>
        <v>-6</v>
      </c>
      <c r="N3959" s="235">
        <f>AVERAGE(K3937:K3959)</f>
        <v>2028.2857142857142</v>
      </c>
      <c r="O3959" s="230">
        <f>AVERAGE(K3848:K3959)</f>
        <v>2191.4326923076924</v>
      </c>
      <c r="P3959" s="247">
        <v>13910</v>
      </c>
      <c r="Q3959" s="25">
        <f>183.64/1126.6</f>
        <v>0.16300372803124447</v>
      </c>
      <c r="R3959" s="24">
        <f t="shared" si="154"/>
        <v>2267.3818569146106</v>
      </c>
      <c r="S3959" s="158" t="e">
        <f>R3959*#REF!</f>
        <v>#REF!</v>
      </c>
      <c r="T3959" s="158" t="e">
        <f t="shared" si="153"/>
        <v>#REF!</v>
      </c>
      <c r="U3959" s="388">
        <v>0.1</v>
      </c>
      <c r="W3959" s="285">
        <f>(P3959*Q3959)*(1+U3959)</f>
        <v>2494.1200426060718</v>
      </c>
    </row>
    <row r="3960" spans="1:23" ht="15" customHeight="1" thickBot="1">
      <c r="A3960" s="216"/>
      <c r="B3960" s="1330"/>
      <c r="C3960" s="1330"/>
      <c r="D3960" s="1330"/>
      <c r="E3960" s="216"/>
      <c r="F3960" s="407">
        <f>SUM(F3937:F3959)</f>
        <v>7775</v>
      </c>
      <c r="G3960" s="164">
        <f>SUM(G3937:G3959)</f>
        <v>43475</v>
      </c>
      <c r="H3960" s="164"/>
      <c r="I3960" s="165"/>
      <c r="J3960" s="165"/>
      <c r="K3960" s="166"/>
      <c r="L3960" s="167"/>
      <c r="M3960" s="168"/>
      <c r="N3960" s="169"/>
      <c r="O3960" s="183"/>
      <c r="P3960" s="181"/>
      <c r="Q3960" s="154"/>
      <c r="R3960" s="248"/>
      <c r="S3960" s="249"/>
      <c r="T3960" s="249"/>
      <c r="U3960" s="152"/>
      <c r="V3960" s="153">
        <f>AVERAGE(P3938:P3959)</f>
        <v>13821.818181818182</v>
      </c>
      <c r="W3960" s="289"/>
    </row>
    <row r="3961" spans="1:23" ht="15" customHeight="1">
      <c r="A3961" s="3">
        <v>41428</v>
      </c>
      <c r="B3961" s="9">
        <v>67250</v>
      </c>
      <c r="C3961" s="5">
        <v>33125</v>
      </c>
      <c r="D3961" s="5" t="e">
        <f>E3961-(#REF!+#REF!+C3961)</f>
        <v>#REF!</v>
      </c>
      <c r="E3961" s="5">
        <v>217000</v>
      </c>
      <c r="F3961" s="4">
        <v>150</v>
      </c>
      <c r="G3961" s="5">
        <v>2625</v>
      </c>
      <c r="H3961" s="5">
        <v>164400</v>
      </c>
      <c r="I3961" s="118">
        <f t="shared" ref="I3961:I3980" si="155">H3961/E3961</f>
        <v>0.75760368663594468</v>
      </c>
      <c r="K3961" s="22">
        <v>2210</v>
      </c>
      <c r="L3961" s="6">
        <v>2207.5</v>
      </c>
      <c r="M3961" s="125">
        <f t="shared" si="144"/>
        <v>-2.5</v>
      </c>
      <c r="O3961" s="156"/>
      <c r="P3961" s="247">
        <v>13910</v>
      </c>
      <c r="Q3961" s="25">
        <f>183.98/1128.1</f>
        <v>0.16308837868983247</v>
      </c>
      <c r="R3961" s="24">
        <f t="shared" si="154"/>
        <v>2268.5593475755695</v>
      </c>
      <c r="S3961" s="158" t="e">
        <f>R3961*#REF!</f>
        <v>#REF!</v>
      </c>
      <c r="T3961" s="158" t="e">
        <f>(R3961+S3961)*U3961</f>
        <v>#REF!</v>
      </c>
      <c r="U3961" s="388">
        <v>0.1</v>
      </c>
      <c r="W3961" s="285">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18">
        <f t="shared" si="155"/>
        <v>0.75462420978693512</v>
      </c>
      <c r="K3962" s="22">
        <v>2219</v>
      </c>
      <c r="L3962" s="6">
        <v>2214</v>
      </c>
      <c r="M3962" s="125">
        <f t="shared" si="144"/>
        <v>-5</v>
      </c>
      <c r="O3962" s="157"/>
      <c r="P3962" s="247">
        <v>13950</v>
      </c>
      <c r="Q3962" s="25">
        <f>183.04/1121.8</f>
        <v>0.163166339811018</v>
      </c>
      <c r="R3962" s="24">
        <f t="shared" si="154"/>
        <v>2276.1704403637009</v>
      </c>
      <c r="S3962" s="158" t="e">
        <f>R3962*#REF!</f>
        <v>#REF!</v>
      </c>
      <c r="T3962" s="158" t="e">
        <f>(R3962+S3962)*U3962</f>
        <v>#REF!</v>
      </c>
      <c r="U3962" s="388">
        <v>0.1</v>
      </c>
      <c r="W3962" s="285">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18">
        <f t="shared" si="155"/>
        <v>0.75071292775665399</v>
      </c>
      <c r="K3963" s="22">
        <v>2246.5</v>
      </c>
      <c r="L3963" s="6">
        <v>2244.5</v>
      </c>
      <c r="M3963" s="125">
        <f t="shared" si="144"/>
        <v>-2</v>
      </c>
      <c r="O3963" s="157"/>
      <c r="P3963" s="247">
        <v>14020</v>
      </c>
      <c r="Q3963" s="1326" t="s">
        <v>45</v>
      </c>
      <c r="R3963" s="1326"/>
      <c r="S3963" s="1326"/>
      <c r="T3963" s="1326"/>
      <c r="U3963" s="1326"/>
    </row>
    <row r="3964" spans="1:23" ht="15" customHeight="1">
      <c r="A3964" s="3">
        <v>41431</v>
      </c>
      <c r="B3964" s="9">
        <v>65725</v>
      </c>
      <c r="C3964" s="5">
        <v>31475</v>
      </c>
      <c r="D3964" s="5" t="e">
        <f>E3964-(#REF!+#REF!+C3964)</f>
        <v>#REF!</v>
      </c>
      <c r="E3964" s="5">
        <v>207750</v>
      </c>
      <c r="F3964" s="4">
        <v>0</v>
      </c>
      <c r="G3964" s="5">
        <v>2650</v>
      </c>
      <c r="H3964" s="5">
        <v>155300</v>
      </c>
      <c r="I3964" s="118">
        <f t="shared" si="155"/>
        <v>0.74753309265944645</v>
      </c>
      <c r="K3964" s="22">
        <v>2205.5</v>
      </c>
      <c r="L3964" s="6">
        <v>2206</v>
      </c>
      <c r="M3964" s="125">
        <f t="shared" si="144"/>
        <v>0.5</v>
      </c>
      <c r="N3964" s="242"/>
      <c r="O3964" s="243"/>
      <c r="P3964" s="247">
        <v>14020</v>
      </c>
      <c r="Q3964" s="25">
        <f>182.39/1119.2</f>
        <v>0.16296461758398856</v>
      </c>
      <c r="R3964" s="24">
        <f>P3964*Q3964</f>
        <v>2284.7639385275197</v>
      </c>
      <c r="S3964" s="158" t="e">
        <f>R3964*#REF!</f>
        <v>#REF!</v>
      </c>
      <c r="T3964" s="158" t="e">
        <f>(R3964+S3964)*U3964</f>
        <v>#REF!</v>
      </c>
      <c r="U3964" s="388">
        <v>0.1</v>
      </c>
      <c r="W3964" s="285">
        <f>(P3964*Q3964)*(1+U3964)</f>
        <v>2513.2403323802719</v>
      </c>
    </row>
    <row r="3965" spans="1:23" ht="15" customHeight="1">
      <c r="A3965" s="3">
        <v>41432</v>
      </c>
      <c r="B3965" s="9">
        <v>65425</v>
      </c>
      <c r="C3965" s="250">
        <v>31500</v>
      </c>
      <c r="D3965" s="250" t="e">
        <f>E3965-(#REF!+#REF!+C3965)</f>
        <v>#REF!</v>
      </c>
      <c r="E3965" s="5">
        <v>205225</v>
      </c>
      <c r="F3965" s="4">
        <v>1125</v>
      </c>
      <c r="G3965" s="5">
        <v>3650</v>
      </c>
      <c r="H3965" s="5">
        <v>151650</v>
      </c>
      <c r="I3965" s="118">
        <f t="shared" si="155"/>
        <v>0.73894506029967111</v>
      </c>
      <c r="K3965" s="22">
        <v>2188</v>
      </c>
      <c r="L3965" s="6">
        <v>2192</v>
      </c>
      <c r="M3965" s="125">
        <f t="shared" si="144"/>
        <v>4</v>
      </c>
      <c r="O3965" s="157"/>
      <c r="P3965" s="247">
        <v>13990</v>
      </c>
      <c r="Q3965" s="25">
        <f>181.2/1111.4</f>
        <v>0.16303761022134242</v>
      </c>
      <c r="R3965" s="24">
        <f t="shared" ref="R3965:R3990" si="156">P3965*Q3965</f>
        <v>2280.8961669965802</v>
      </c>
      <c r="S3965" s="158" t="e">
        <f>R3965*#REF!</f>
        <v>#REF!</v>
      </c>
      <c r="T3965" s="158" t="e">
        <f>(R3965+S3965)*U3965</f>
        <v>#REF!</v>
      </c>
      <c r="U3965" s="388">
        <v>0.1</v>
      </c>
      <c r="W3965" s="285">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18">
        <f t="shared" si="155"/>
        <v>0.72932240173619489</v>
      </c>
      <c r="K3966" s="22">
        <v>2123</v>
      </c>
      <c r="L3966" s="6">
        <v>2132.5</v>
      </c>
      <c r="M3966" s="125">
        <f t="shared" si="144"/>
        <v>9.5</v>
      </c>
      <c r="Q3966" s="1326" t="s">
        <v>45</v>
      </c>
      <c r="R3966" s="1326"/>
      <c r="S3966" s="1326"/>
      <c r="T3966" s="1326"/>
      <c r="U3966" s="1326"/>
    </row>
    <row r="3967" spans="1:23" ht="15" customHeight="1">
      <c r="A3967" s="3">
        <v>41436</v>
      </c>
      <c r="B3967" s="9">
        <v>64550</v>
      </c>
      <c r="C3967" s="5">
        <v>30525</v>
      </c>
      <c r="D3967" s="5" t="e">
        <f>E3967-(#REF!+#REF!+C3967)</f>
        <v>#REF!</v>
      </c>
      <c r="E3967" s="5">
        <v>202550</v>
      </c>
      <c r="F3967" s="4">
        <v>150</v>
      </c>
      <c r="G3967" s="5">
        <v>4950</v>
      </c>
      <c r="H3967" s="5">
        <v>146275</v>
      </c>
      <c r="I3967" s="118">
        <f t="shared" si="155"/>
        <v>0.7221673660824488</v>
      </c>
      <c r="K3967" s="22">
        <v>2129</v>
      </c>
      <c r="L3967" s="6">
        <v>2140</v>
      </c>
      <c r="M3967" s="125">
        <f t="shared" si="144"/>
        <v>11</v>
      </c>
      <c r="O3967" s="157"/>
      <c r="Q3967" s="1326"/>
      <c r="R3967" s="1326"/>
      <c r="S3967" s="1326"/>
      <c r="T3967" s="1326"/>
      <c r="U3967" s="1326"/>
    </row>
    <row r="3968" spans="1:23" ht="15" customHeight="1">
      <c r="A3968" s="3">
        <v>41437</v>
      </c>
      <c r="B3968" s="9">
        <v>64075</v>
      </c>
      <c r="C3968" s="5">
        <v>30000</v>
      </c>
      <c r="D3968" s="5" t="e">
        <f>E3968-(#REF!+#REF!+C3968)</f>
        <v>#REF!</v>
      </c>
      <c r="E3968" s="5">
        <v>200325</v>
      </c>
      <c r="F3968" s="4">
        <v>300</v>
      </c>
      <c r="G3968" s="5">
        <v>2525</v>
      </c>
      <c r="H3968" s="5">
        <v>144325</v>
      </c>
      <c r="I3968" s="118">
        <f t="shared" si="155"/>
        <v>0.72045426182453509</v>
      </c>
      <c r="K3968" s="22">
        <v>2133</v>
      </c>
      <c r="L3968" s="6">
        <v>2138.5</v>
      </c>
      <c r="M3968" s="125">
        <f t="shared" si="144"/>
        <v>5.5</v>
      </c>
      <c r="Q3968" s="1326"/>
      <c r="R3968" s="1326"/>
      <c r="S3968" s="1326"/>
      <c r="T3968" s="1326"/>
      <c r="U3968" s="1326"/>
    </row>
    <row r="3969" spans="1:23" ht="15" customHeight="1">
      <c r="A3969" s="3">
        <v>41438</v>
      </c>
      <c r="B3969" s="9">
        <v>64075</v>
      </c>
      <c r="C3969" s="5">
        <v>29500</v>
      </c>
      <c r="D3969" s="5" t="e">
        <f>E3969-(#REF!+#REF!+C3969)</f>
        <v>#REF!</v>
      </c>
      <c r="E3969" s="5">
        <v>199975</v>
      </c>
      <c r="F3969" s="4">
        <v>2150</v>
      </c>
      <c r="G3969" s="5">
        <v>2500</v>
      </c>
      <c r="H3969" s="5">
        <v>141825</v>
      </c>
      <c r="I3969" s="118">
        <f t="shared" si="155"/>
        <v>0.70921365170646333</v>
      </c>
      <c r="K3969" s="22">
        <v>2092</v>
      </c>
      <c r="L3969" s="6">
        <v>2098</v>
      </c>
      <c r="M3969" s="125">
        <f t="shared" si="144"/>
        <v>6</v>
      </c>
      <c r="P3969" s="247">
        <v>13990</v>
      </c>
      <c r="Q3969" s="25">
        <f>184.99/1134.8</f>
        <v>0.16301550934085302</v>
      </c>
      <c r="R3969" s="24">
        <f t="shared" si="156"/>
        <v>2280.5869756785337</v>
      </c>
      <c r="S3969" s="158" t="e">
        <f>R3969*#REF!</f>
        <v>#REF!</v>
      </c>
      <c r="T3969" s="158" t="e">
        <f t="shared" ref="T3969:T3980" si="157">(R3969+S3969)*U3969</f>
        <v>#REF!</v>
      </c>
      <c r="U3969" s="388">
        <v>0.1</v>
      </c>
      <c r="W3969" s="285">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18">
        <f t="shared" si="155"/>
        <v>0.70534583227767922</v>
      </c>
      <c r="K3970" s="22">
        <v>2100</v>
      </c>
      <c r="L3970" s="6">
        <v>2109</v>
      </c>
      <c r="M3970" s="125">
        <f t="shared" si="144"/>
        <v>9</v>
      </c>
      <c r="O3970" s="157"/>
      <c r="P3970" s="247">
        <v>13940</v>
      </c>
      <c r="Q3970" s="25">
        <f>184.02/1128.2</f>
        <v>0.16310937776989895</v>
      </c>
      <c r="R3970" s="24">
        <f t="shared" si="156"/>
        <v>2273.7447261123912</v>
      </c>
      <c r="S3970" s="158" t="e">
        <f>R3970*#REF!</f>
        <v>#REF!</v>
      </c>
      <c r="T3970" s="158" t="e">
        <f t="shared" si="157"/>
        <v>#REF!</v>
      </c>
      <c r="U3970" s="388">
        <v>0.1</v>
      </c>
      <c r="W3970" s="285">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18">
        <f t="shared" si="155"/>
        <v>0.6973001038421599</v>
      </c>
      <c r="K3971" s="22">
        <v>2099.5</v>
      </c>
      <c r="L3971" s="6">
        <v>2105.5</v>
      </c>
      <c r="M3971" s="125">
        <f t="shared" si="144"/>
        <v>6</v>
      </c>
      <c r="P3971" s="247">
        <v>13940</v>
      </c>
      <c r="Q3971" s="25">
        <f>184.16/1128</f>
        <v>0.16326241134751773</v>
      </c>
      <c r="R3971" s="24">
        <f t="shared" si="156"/>
        <v>2275.8780141843972</v>
      </c>
      <c r="S3971" s="158" t="e">
        <f>R3971*#REF!</f>
        <v>#REF!</v>
      </c>
      <c r="T3971" s="158" t="e">
        <f t="shared" si="157"/>
        <v>#REF!</v>
      </c>
      <c r="U3971" s="388">
        <v>0.1</v>
      </c>
      <c r="W3971" s="285">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18">
        <f t="shared" si="155"/>
        <v>0.69161597460989155</v>
      </c>
      <c r="K3972" s="22">
        <v>2076</v>
      </c>
      <c r="L3972" s="6">
        <v>2084</v>
      </c>
      <c r="M3972" s="125">
        <f t="shared" si="144"/>
        <v>8</v>
      </c>
      <c r="P3972" s="247">
        <v>13920</v>
      </c>
      <c r="Q3972" s="25">
        <f>184.37/1129.9</f>
        <v>0.16317373218868925</v>
      </c>
      <c r="R3972" s="24">
        <f t="shared" si="156"/>
        <v>2271.3783520665543</v>
      </c>
      <c r="S3972" s="158" t="e">
        <f>R3972*#REF!</f>
        <v>#REF!</v>
      </c>
      <c r="T3972" s="158" t="e">
        <f t="shared" si="157"/>
        <v>#REF!</v>
      </c>
      <c r="U3972" s="388">
        <v>0.1</v>
      </c>
      <c r="W3972" s="285">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18">
        <f t="shared" si="155"/>
        <v>0.61405009163103241</v>
      </c>
      <c r="K3973" s="22">
        <v>2082</v>
      </c>
      <c r="L3973" s="6">
        <v>2091.5</v>
      </c>
      <c r="M3973" s="125">
        <f t="shared" si="144"/>
        <v>9.5</v>
      </c>
      <c r="N3973" s="242"/>
      <c r="P3973" s="247">
        <v>13910</v>
      </c>
      <c r="Q3973" s="25">
        <f>184.92/1133</f>
        <v>0.1632127096204766</v>
      </c>
      <c r="R3973" s="24">
        <f t="shared" si="156"/>
        <v>2270.2887908208295</v>
      </c>
      <c r="S3973" s="158" t="e">
        <f>R3973*#REF!</f>
        <v>#REF!</v>
      </c>
      <c r="T3973" s="158" t="e">
        <f t="shared" si="157"/>
        <v>#REF!</v>
      </c>
      <c r="U3973" s="388">
        <v>0.1</v>
      </c>
      <c r="W3973" s="285">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18">
        <f t="shared" si="155"/>
        <v>0.60061538461538466</v>
      </c>
      <c r="K3974" s="22">
        <v>2009</v>
      </c>
      <c r="L3974" s="6">
        <v>2017.5</v>
      </c>
      <c r="M3974" s="125">
        <f t="shared" si="144"/>
        <v>8.5</v>
      </c>
      <c r="P3974" s="247">
        <v>13880</v>
      </c>
      <c r="Q3974" s="25">
        <f>186.78/1144.6</f>
        <v>0.16318364494146428</v>
      </c>
      <c r="R3974" s="24">
        <f t="shared" si="156"/>
        <v>2264.9889917875244</v>
      </c>
      <c r="S3974" s="158" t="e">
        <f>R3974*#REF!</f>
        <v>#REF!</v>
      </c>
      <c r="T3974" s="158" t="e">
        <f t="shared" si="157"/>
        <v>#REF!</v>
      </c>
      <c r="U3974" s="388">
        <v>0.1</v>
      </c>
      <c r="W3974" s="285">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18">
        <f t="shared" si="155"/>
        <v>0.59238789096847133</v>
      </c>
      <c r="K3975" s="22">
        <v>2017</v>
      </c>
      <c r="L3975" s="6">
        <v>2026</v>
      </c>
      <c r="M3975" s="125">
        <f t="shared" si="144"/>
        <v>9</v>
      </c>
      <c r="P3975" s="247">
        <v>13880</v>
      </c>
      <c r="Q3975" s="25">
        <f>188.41/1155.6</f>
        <v>0.16304084458290066</v>
      </c>
      <c r="R3975" s="24">
        <f t="shared" si="156"/>
        <v>2263.0069228106613</v>
      </c>
      <c r="S3975" s="158" t="e">
        <f>R3975*#REF!</f>
        <v>#REF!</v>
      </c>
      <c r="T3975" s="158" t="e">
        <f t="shared" si="157"/>
        <v>#REF!</v>
      </c>
      <c r="U3975" s="388">
        <v>0.1</v>
      </c>
      <c r="W3975" s="285">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18">
        <f t="shared" si="155"/>
        <v>0.58583280153158901</v>
      </c>
      <c r="K3976" s="22">
        <v>1996</v>
      </c>
      <c r="L3976" s="6">
        <v>2003</v>
      </c>
      <c r="M3976" s="125">
        <f t="shared" si="144"/>
        <v>7</v>
      </c>
      <c r="P3976" s="247">
        <v>13820</v>
      </c>
      <c r="Q3976" s="25">
        <f>188.3/1157.1</f>
        <v>0.16273442226255297</v>
      </c>
      <c r="R3976" s="24">
        <f t="shared" si="156"/>
        <v>2248.9897156684819</v>
      </c>
      <c r="S3976" s="158" t="e">
        <f>R3976*#REF!</f>
        <v>#REF!</v>
      </c>
      <c r="T3976" s="158" t="e">
        <f t="shared" si="157"/>
        <v>#REF!</v>
      </c>
      <c r="U3976" s="388">
        <v>0.1</v>
      </c>
      <c r="W3976" s="285">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18">
        <f t="shared" si="155"/>
        <v>0.58226055612770344</v>
      </c>
      <c r="K3977" s="22">
        <v>2023</v>
      </c>
      <c r="L3977" s="6">
        <v>2028</v>
      </c>
      <c r="M3977" s="125">
        <f t="shared" si="144"/>
        <v>5</v>
      </c>
      <c r="P3977" s="247">
        <v>13740</v>
      </c>
      <c r="Q3977" s="25">
        <f>188.62/1159.1</f>
        <v>0.16272970408075232</v>
      </c>
      <c r="R3977" s="24">
        <f t="shared" si="156"/>
        <v>2235.9061340695371</v>
      </c>
      <c r="S3977" s="158" t="e">
        <f>R3977*#REF!</f>
        <v>#REF!</v>
      </c>
      <c r="T3977" s="158" t="e">
        <f t="shared" si="157"/>
        <v>#REF!</v>
      </c>
      <c r="U3977" s="388">
        <v>0.1</v>
      </c>
      <c r="W3977" s="285">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18">
        <f t="shared" si="155"/>
        <v>0.5805498458376156</v>
      </c>
      <c r="K3978" s="22">
        <v>2032</v>
      </c>
      <c r="L3978" s="6">
        <v>2039</v>
      </c>
      <c r="M3978" s="125">
        <f t="shared" si="144"/>
        <v>7</v>
      </c>
      <c r="P3978" s="247">
        <v>13740</v>
      </c>
      <c r="Q3978" s="25">
        <f>187.64/1153.4</f>
        <v>0.16268423790532335</v>
      </c>
      <c r="R3978" s="24">
        <f t="shared" si="156"/>
        <v>2235.281428819143</v>
      </c>
      <c r="S3978" s="158" t="e">
        <f>R3978*#REF!</f>
        <v>#REF!</v>
      </c>
      <c r="T3978" s="158" t="e">
        <f t="shared" si="157"/>
        <v>#REF!</v>
      </c>
      <c r="U3978" s="388">
        <v>0.1</v>
      </c>
      <c r="W3978" s="285">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18">
        <f t="shared" si="155"/>
        <v>0.57032828282828285</v>
      </c>
      <c r="K3979" s="22">
        <v>2038</v>
      </c>
      <c r="L3979" s="6">
        <v>2043</v>
      </c>
      <c r="M3979" s="125">
        <f t="shared" si="144"/>
        <v>5</v>
      </c>
      <c r="P3979" s="247">
        <v>13760</v>
      </c>
      <c r="Q3979" s="25">
        <f>186.97/1149.7</f>
        <v>0.16262503261720448</v>
      </c>
      <c r="R3979" s="24">
        <f t="shared" si="156"/>
        <v>2237.7204488127336</v>
      </c>
      <c r="S3979" s="158" t="e">
        <f>R3979*#REF!</f>
        <v>#REF!</v>
      </c>
      <c r="T3979" s="158" t="e">
        <f t="shared" si="157"/>
        <v>#REF!</v>
      </c>
      <c r="U3979" s="388">
        <v>0.1</v>
      </c>
      <c r="W3979" s="285">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18">
        <f t="shared" si="155"/>
        <v>0.56845688350983359</v>
      </c>
      <c r="K3980" s="22">
        <v>2058</v>
      </c>
      <c r="L3980" s="6">
        <v>2065.5</v>
      </c>
      <c r="M3980" s="125">
        <f t="shared" si="144"/>
        <v>7.5</v>
      </c>
      <c r="N3980" s="235">
        <f>AVERAGE(K3961:K3980)</f>
        <v>2103.8249999999998</v>
      </c>
      <c r="O3980" s="230">
        <f>AVERAGE(K3848:K3980)</f>
        <v>2177.3024193548385</v>
      </c>
      <c r="P3980" s="247">
        <v>13740</v>
      </c>
      <c r="Q3980" s="25">
        <f>186.6/1145.3</f>
        <v>0.16292674408451935</v>
      </c>
      <c r="R3980" s="24">
        <f t="shared" si="156"/>
        <v>2238.6134637212958</v>
      </c>
      <c r="S3980" s="158" t="e">
        <f>R3980*#REF!</f>
        <v>#REF!</v>
      </c>
      <c r="T3980" s="158" t="e">
        <f t="shared" si="157"/>
        <v>#REF!</v>
      </c>
      <c r="U3980" s="388">
        <v>0.1</v>
      </c>
      <c r="W3980" s="285">
        <f t="shared" ref="W3980:W4003" si="159">(P3980*Q3980)*(1+U3980)</f>
        <v>2462.4748100934257</v>
      </c>
    </row>
    <row r="3981" spans="1:23" ht="15" customHeight="1" thickBot="1">
      <c r="A3981" s="216"/>
      <c r="B3981" s="1330"/>
      <c r="C3981" s="1330"/>
      <c r="D3981" s="1330"/>
      <c r="E3981" s="216"/>
      <c r="F3981" s="407"/>
      <c r="G3981" s="164"/>
      <c r="H3981" s="164"/>
      <c r="I3981" s="165"/>
      <c r="J3981" s="165"/>
      <c r="K3981" s="166"/>
      <c r="L3981" s="167"/>
      <c r="M3981" s="168"/>
      <c r="N3981" s="169"/>
      <c r="O3981" s="183"/>
      <c r="P3981" s="180"/>
      <c r="Q3981" s="154"/>
      <c r="R3981" s="248"/>
      <c r="S3981" s="249"/>
      <c r="T3981" s="249"/>
      <c r="U3981" s="152"/>
      <c r="V3981" s="153">
        <f>AVERAGE(P3961:P3980)</f>
        <v>13891.176470588236</v>
      </c>
      <c r="W3981" s="294"/>
    </row>
    <row r="3982" spans="1:23" ht="15" customHeight="1">
      <c r="A3982" s="3">
        <v>41456</v>
      </c>
      <c r="B3982" s="9">
        <v>74550</v>
      </c>
      <c r="C3982" s="5">
        <v>26725</v>
      </c>
      <c r="D3982" s="5" t="e">
        <f>E3982-(C3982+#REF!+#REF!)</f>
        <v>#REF!</v>
      </c>
      <c r="E3982" s="5">
        <v>198200</v>
      </c>
      <c r="F3982" s="4">
        <v>0</v>
      </c>
      <c r="G3982" s="5">
        <v>100</v>
      </c>
      <c r="H3982" s="5">
        <v>112625</v>
      </c>
      <c r="I3982" s="118">
        <f t="shared" ref="I3982:I4004" si="160">H3982/E3982</f>
        <v>0.56823915237134204</v>
      </c>
      <c r="K3982" s="22">
        <v>2059</v>
      </c>
      <c r="L3982" s="6">
        <v>2071</v>
      </c>
      <c r="M3982" s="125">
        <f t="shared" ref="M3982:M4004" si="161">L3982-K3982</f>
        <v>12</v>
      </c>
      <c r="P3982" s="247">
        <v>13760</v>
      </c>
      <c r="Q3982" s="25">
        <f>185.38/1136.9</f>
        <v>0.16305743688978799</v>
      </c>
      <c r="R3982" s="24">
        <f t="shared" si="156"/>
        <v>2243.6703316034827</v>
      </c>
      <c r="S3982" s="158" t="e">
        <f>R3982*#REF!</f>
        <v>#REF!</v>
      </c>
      <c r="T3982" s="158" t="e">
        <f t="shared" ref="T3982:T4004" si="162">(R3982+S3982)*U3982</f>
        <v>#REF!</v>
      </c>
      <c r="U3982" s="388">
        <v>0.1</v>
      </c>
      <c r="W3982" s="285">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18">
        <f t="shared" si="160"/>
        <v>0.56791214339813179</v>
      </c>
      <c r="K3983" s="22">
        <v>2088</v>
      </c>
      <c r="L3983" s="6">
        <v>2098</v>
      </c>
      <c r="M3983" s="125">
        <f t="shared" si="161"/>
        <v>10</v>
      </c>
      <c r="P3983" s="247">
        <v>13840</v>
      </c>
      <c r="Q3983" s="25">
        <f>184.72/1132.9</f>
        <v>0.1630505781622385</v>
      </c>
      <c r="R3983" s="24">
        <f t="shared" si="156"/>
        <v>2256.6200017653809</v>
      </c>
      <c r="S3983" s="158" t="e">
        <f>R3983*#REF!</f>
        <v>#REF!</v>
      </c>
      <c r="T3983" s="158" t="e">
        <f t="shared" si="162"/>
        <v>#REF!</v>
      </c>
      <c r="U3983" s="388">
        <v>0.1</v>
      </c>
      <c r="W3983" s="285">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18">
        <f t="shared" si="160"/>
        <v>0.56725663716814156</v>
      </c>
      <c r="K3984" s="22">
        <v>2058</v>
      </c>
      <c r="L3984" s="6">
        <v>2070.5</v>
      </c>
      <c r="M3984" s="125">
        <f t="shared" si="161"/>
        <v>12.5</v>
      </c>
      <c r="P3984" s="247">
        <v>13740</v>
      </c>
      <c r="Q3984" s="25">
        <f>186.04/1140.6</f>
        <v>0.16310713659477469</v>
      </c>
      <c r="R3984" s="24">
        <f t="shared" si="156"/>
        <v>2241.0920568122042</v>
      </c>
      <c r="S3984" s="158" t="e">
        <f>R3984*#REF!</f>
        <v>#REF!</v>
      </c>
      <c r="T3984" s="158" t="e">
        <f t="shared" si="162"/>
        <v>#REF!</v>
      </c>
      <c r="U3984" s="388">
        <v>0.1</v>
      </c>
      <c r="W3984" s="285">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18">
        <f t="shared" si="160"/>
        <v>0.56396305200556751</v>
      </c>
      <c r="K3985" s="22">
        <v>2067.5</v>
      </c>
      <c r="L3985" s="6">
        <v>2075</v>
      </c>
      <c r="M3985" s="125">
        <f t="shared" si="161"/>
        <v>7.5</v>
      </c>
      <c r="O3985" s="157"/>
      <c r="P3985" s="247">
        <v>13810</v>
      </c>
      <c r="Q3985" s="25">
        <f>186.13/1140.2</f>
        <v>0.16324329065076301</v>
      </c>
      <c r="R3985" s="24">
        <f t="shared" si="156"/>
        <v>2254.3898438870374</v>
      </c>
      <c r="S3985" s="158" t="e">
        <f>R3985*#REF!</f>
        <v>#REF!</v>
      </c>
      <c r="T3985" s="158" t="e">
        <f t="shared" si="162"/>
        <v>#REF!</v>
      </c>
      <c r="U3985" s="388">
        <v>0.1</v>
      </c>
      <c r="W3985" s="285">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18">
        <f t="shared" si="160"/>
        <v>0.56341061700240724</v>
      </c>
      <c r="K3986" s="22">
        <v>2035.5</v>
      </c>
      <c r="L3986" s="6">
        <v>2046</v>
      </c>
      <c r="M3986" s="125">
        <f t="shared" si="161"/>
        <v>10.5</v>
      </c>
      <c r="P3986" s="247">
        <v>13810</v>
      </c>
      <c r="Q3986" s="25">
        <f>186.17/1141.7</f>
        <v>0.16306385215030217</v>
      </c>
      <c r="R3986" s="24">
        <f t="shared" si="156"/>
        <v>2251.9117981956729</v>
      </c>
      <c r="S3986" s="158" t="e">
        <f>R3986*#REF!</f>
        <v>#REF!</v>
      </c>
      <c r="T3986" s="158" t="e">
        <f t="shared" si="162"/>
        <v>#REF!</v>
      </c>
      <c r="U3986" s="388">
        <v>0.1</v>
      </c>
      <c r="W3986" s="285">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18">
        <f t="shared" si="160"/>
        <v>0.56340002548744739</v>
      </c>
      <c r="K3987" s="22">
        <v>2032</v>
      </c>
      <c r="L3987" s="6">
        <v>2049</v>
      </c>
      <c r="M3987" s="125">
        <f t="shared" si="161"/>
        <v>17</v>
      </c>
      <c r="P3987" s="247">
        <v>13760</v>
      </c>
      <c r="Q3987" s="25">
        <f>187.71/1151.4</f>
        <v>0.1630276185513288</v>
      </c>
      <c r="R3987" s="24">
        <f t="shared" si="156"/>
        <v>2243.2600312662844</v>
      </c>
      <c r="S3987" s="158" t="e">
        <f>R3987*#REF!</f>
        <v>#REF!</v>
      </c>
      <c r="T3987" s="158" t="e">
        <f t="shared" si="162"/>
        <v>#REF!</v>
      </c>
      <c r="U3987" s="388">
        <v>0.1</v>
      </c>
      <c r="W3987" s="285">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18">
        <f t="shared" si="160"/>
        <v>0.56295445847684655</v>
      </c>
      <c r="K3988" s="22">
        <v>2029</v>
      </c>
      <c r="L3988" s="6">
        <v>2048</v>
      </c>
      <c r="M3988" s="125">
        <f t="shared" si="161"/>
        <v>19</v>
      </c>
      <c r="P3988" s="247">
        <v>13780</v>
      </c>
      <c r="Q3988" s="25">
        <f>186.75/1144.7</f>
        <v>0.16314318161963834</v>
      </c>
      <c r="R3988" s="24">
        <f t="shared" si="156"/>
        <v>2248.1130427186163</v>
      </c>
      <c r="S3988" s="158" t="e">
        <f>R3988*#REF!</f>
        <v>#REF!</v>
      </c>
      <c r="T3988" s="158" t="e">
        <f t="shared" si="162"/>
        <v>#REF!</v>
      </c>
      <c r="U3988" s="388">
        <v>0.1</v>
      </c>
      <c r="W3988" s="285">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18">
        <f t="shared" si="160"/>
        <v>0.56048749198203973</v>
      </c>
      <c r="K3989" s="22">
        <v>2046</v>
      </c>
      <c r="L3989" s="6">
        <v>2065</v>
      </c>
      <c r="M3989" s="125">
        <f t="shared" si="161"/>
        <v>19</v>
      </c>
      <c r="P3989" s="247">
        <v>13780</v>
      </c>
      <c r="Q3989" s="25">
        <f>185.65/1138.8</f>
        <v>0.16302247980330173</v>
      </c>
      <c r="R3989" s="24">
        <f t="shared" si="156"/>
        <v>2246.449771689498</v>
      </c>
      <c r="S3989" s="158" t="e">
        <f>R3989*#REF!</f>
        <v>#REF!</v>
      </c>
      <c r="T3989" s="158" t="e">
        <f t="shared" si="162"/>
        <v>#REF!</v>
      </c>
      <c r="U3989" s="388">
        <v>0.1</v>
      </c>
      <c r="W3989" s="285">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18">
        <f t="shared" si="160"/>
        <v>0.55935691318327974</v>
      </c>
      <c r="K3990" s="22">
        <v>2093</v>
      </c>
      <c r="L3990" s="6">
        <v>2105.5</v>
      </c>
      <c r="M3990" s="125">
        <f t="shared" si="161"/>
        <v>12.5</v>
      </c>
      <c r="P3990" s="247">
        <v>13830</v>
      </c>
      <c r="Q3990" s="25">
        <f>185.35/1124.9</f>
        <v>0.16477020179571517</v>
      </c>
      <c r="R3990" s="24">
        <f t="shared" si="156"/>
        <v>2278.7718908347406</v>
      </c>
      <c r="S3990" s="158" t="e">
        <f>R3990*#REF!</f>
        <v>#REF!</v>
      </c>
      <c r="T3990" s="158" t="e">
        <f t="shared" si="162"/>
        <v>#REF!</v>
      </c>
      <c r="U3990" s="388">
        <v>0.1</v>
      </c>
      <c r="W3990" s="285">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18">
        <f t="shared" si="160"/>
        <v>0.5581065394041016</v>
      </c>
      <c r="K3991" s="22">
        <v>2050</v>
      </c>
      <c r="L3991" s="6">
        <v>2063</v>
      </c>
      <c r="M3991" s="125">
        <f t="shared" si="161"/>
        <v>13</v>
      </c>
      <c r="N3991" s="242"/>
      <c r="P3991" s="247">
        <v>13810</v>
      </c>
      <c r="Q3991" s="25">
        <f>182.86/1122.3</f>
        <v>0.162933262051145</v>
      </c>
      <c r="R3991" s="24">
        <f t="shared" ref="R3991:R4006" si="163">P3991*Q3991</f>
        <v>2250.1083489263124</v>
      </c>
      <c r="S3991" s="158" t="e">
        <f>R3991*#REF!</f>
        <v>#REF!</v>
      </c>
      <c r="T3991" s="158" t="e">
        <f t="shared" si="162"/>
        <v>#REF!</v>
      </c>
      <c r="U3991" s="388">
        <v>0.1</v>
      </c>
      <c r="W3991" s="285">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18">
        <f t="shared" si="160"/>
        <v>0.55684454756380508</v>
      </c>
      <c r="K3992" s="22">
        <v>2049.5</v>
      </c>
      <c r="L3992" s="6">
        <v>2063.5</v>
      </c>
      <c r="M3992" s="125">
        <f t="shared" si="161"/>
        <v>14</v>
      </c>
      <c r="P3992" s="247">
        <v>13810</v>
      </c>
      <c r="Q3992" s="25">
        <f>182.91/1122.6</f>
        <v>0.16293425975414219</v>
      </c>
      <c r="R3992" s="24">
        <f t="shared" si="163"/>
        <v>2250.1221272047037</v>
      </c>
      <c r="S3992" s="158" t="e">
        <f>R3992*#REF!</f>
        <v>#REF!</v>
      </c>
      <c r="T3992" s="158" t="e">
        <f t="shared" si="162"/>
        <v>#REF!</v>
      </c>
      <c r="U3992" s="388">
        <v>0.1</v>
      </c>
      <c r="W3992" s="285">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18">
        <f t="shared" si="160"/>
        <v>0.55684454756380508</v>
      </c>
      <c r="K3993" s="22">
        <v>2044.5</v>
      </c>
      <c r="L3993" s="6">
        <v>2062</v>
      </c>
      <c r="M3993" s="125">
        <f t="shared" si="161"/>
        <v>17.5</v>
      </c>
      <c r="P3993" s="247">
        <v>13810</v>
      </c>
      <c r="Q3993" s="25">
        <f>182.4/1119</f>
        <v>0.16300268096514745</v>
      </c>
      <c r="R3993" s="24">
        <f t="shared" si="163"/>
        <v>2251.0670241286862</v>
      </c>
      <c r="S3993" s="158" t="e">
        <f>R3993*#REF!</f>
        <v>#REF!</v>
      </c>
      <c r="T3993" s="158" t="e">
        <f t="shared" si="162"/>
        <v>#REF!</v>
      </c>
      <c r="U3993" s="388">
        <v>0.1</v>
      </c>
      <c r="W3993" s="285">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18">
        <f t="shared" si="160"/>
        <v>0.5484444444444444</v>
      </c>
      <c r="K3994" s="22">
        <v>2037.5</v>
      </c>
      <c r="L3994" s="6">
        <v>2049</v>
      </c>
      <c r="M3994" s="125">
        <f t="shared" si="161"/>
        <v>11.5</v>
      </c>
      <c r="P3994" s="247">
        <v>13810</v>
      </c>
      <c r="Q3994" s="25">
        <f>182.24/1118.1</f>
        <v>0.16299078794383332</v>
      </c>
      <c r="R3994" s="24">
        <f t="shared" si="163"/>
        <v>2250.9027815043382</v>
      </c>
      <c r="S3994" s="158" t="e">
        <f>R3994*#REF!</f>
        <v>#REF!</v>
      </c>
      <c r="T3994" s="158" t="e">
        <f t="shared" si="162"/>
        <v>#REF!</v>
      </c>
      <c r="U3994" s="388">
        <v>0.1</v>
      </c>
      <c r="W3994" s="285">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18">
        <f t="shared" si="160"/>
        <v>0.54752513042371798</v>
      </c>
      <c r="K3995" s="22">
        <v>2016.5</v>
      </c>
      <c r="L3995" s="6">
        <v>2030</v>
      </c>
      <c r="M3995" s="125">
        <f t="shared" si="161"/>
        <v>13.5</v>
      </c>
      <c r="O3995" s="157"/>
      <c r="P3995" s="247">
        <v>13780</v>
      </c>
      <c r="Q3995" s="25">
        <f>182.75/1122.3</f>
        <v>0.16283524904214561</v>
      </c>
      <c r="R3995" s="24">
        <f t="shared" si="163"/>
        <v>2243.8697318007667</v>
      </c>
      <c r="S3995" s="158" t="e">
        <f>R3995*#REF!</f>
        <v>#REF!</v>
      </c>
      <c r="T3995" s="158" t="e">
        <f t="shared" si="162"/>
        <v>#REF!</v>
      </c>
      <c r="U3995" s="388">
        <v>0.1</v>
      </c>
      <c r="W3995" s="285">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18">
        <f t="shared" si="160"/>
        <v>0.54752513042371798</v>
      </c>
      <c r="K3996" s="22">
        <v>2036</v>
      </c>
      <c r="L3996" s="6">
        <v>2054</v>
      </c>
      <c r="M3996" s="125">
        <f t="shared" si="161"/>
        <v>18</v>
      </c>
      <c r="O3996" s="157"/>
      <c r="P3996" s="247">
        <v>13810</v>
      </c>
      <c r="Q3996" s="25">
        <f>183.04/1123.5</f>
        <v>0.162919448153093</v>
      </c>
      <c r="R3996" s="24">
        <f t="shared" si="163"/>
        <v>2249.9175789942142</v>
      </c>
      <c r="S3996" s="158" t="e">
        <f>R3996*#REF!</f>
        <v>#REF!</v>
      </c>
      <c r="T3996" s="158" t="e">
        <f t="shared" si="162"/>
        <v>#REF!</v>
      </c>
      <c r="U3996" s="388">
        <v>0.1</v>
      </c>
      <c r="W3996" s="285">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18">
        <f t="shared" si="160"/>
        <v>0.54590226038641243</v>
      </c>
      <c r="K3997" s="22">
        <v>2036</v>
      </c>
      <c r="L3997" s="6">
        <v>2045.5</v>
      </c>
      <c r="M3997" s="125">
        <f t="shared" si="161"/>
        <v>9.5</v>
      </c>
      <c r="P3997" s="247">
        <v>13810</v>
      </c>
      <c r="Q3997" s="25">
        <f>182.14/1118.5</f>
        <v>0.16284309342869913</v>
      </c>
      <c r="R3997" s="24">
        <f t="shared" si="163"/>
        <v>2248.8631202503348</v>
      </c>
      <c r="S3997" s="158" t="e">
        <f>R3997*#REF!</f>
        <v>#REF!</v>
      </c>
      <c r="T3997" s="158" t="e">
        <f t="shared" si="162"/>
        <v>#REF!</v>
      </c>
      <c r="U3997" s="388">
        <v>0.1</v>
      </c>
      <c r="W3997" s="285">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18">
        <f t="shared" si="160"/>
        <v>0.5437051943151805</v>
      </c>
      <c r="K3998" s="22">
        <v>2039.5</v>
      </c>
      <c r="L3998" s="6">
        <v>2047.5</v>
      </c>
      <c r="M3998" s="125">
        <f t="shared" si="161"/>
        <v>8</v>
      </c>
      <c r="P3998" s="247">
        <v>13810</v>
      </c>
      <c r="Q3998" s="25">
        <f>181.92/1116.5</f>
        <v>0.16293775190326915</v>
      </c>
      <c r="R3998" s="24">
        <f t="shared" si="163"/>
        <v>2250.1703537841468</v>
      </c>
      <c r="S3998" s="158" t="e">
        <f>R3998*#REF!</f>
        <v>#REF!</v>
      </c>
      <c r="T3998" s="158" t="e">
        <f t="shared" si="162"/>
        <v>#REF!</v>
      </c>
      <c r="U3998" s="388">
        <v>0.1</v>
      </c>
      <c r="W3998" s="285">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18">
        <f t="shared" si="160"/>
        <v>0.5437051943151805</v>
      </c>
      <c r="K3999" s="22">
        <v>2063</v>
      </c>
      <c r="L3999" s="6">
        <v>2075</v>
      </c>
      <c r="M3999" s="125">
        <f t="shared" si="161"/>
        <v>12</v>
      </c>
      <c r="P3999" s="247">
        <v>13810</v>
      </c>
      <c r="Q3999" s="25">
        <f>181.57/1114.1</f>
        <v>0.16297459833049099</v>
      </c>
      <c r="R3999" s="24">
        <f t="shared" si="163"/>
        <v>2250.6792029440808</v>
      </c>
      <c r="S3999" s="158" t="e">
        <f>R3999*#REF!</f>
        <v>#REF!</v>
      </c>
      <c r="T3999" s="158" t="e">
        <f t="shared" si="162"/>
        <v>#REF!</v>
      </c>
      <c r="U3999" s="388">
        <v>0.1</v>
      </c>
      <c r="W3999" s="285">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18">
        <f t="shared" si="160"/>
        <v>0.54307304785894206</v>
      </c>
      <c r="K4000" s="22">
        <v>2050</v>
      </c>
      <c r="L4000" s="6">
        <v>2059</v>
      </c>
      <c r="M4000" s="125">
        <f t="shared" si="161"/>
        <v>9</v>
      </c>
      <c r="P4000" s="247">
        <v>13810</v>
      </c>
      <c r="Q4000" s="25">
        <f>182.13/1117.3</f>
        <v>0.16300903964915422</v>
      </c>
      <c r="R4000" s="24">
        <f t="shared" si="163"/>
        <v>2251.15483755482</v>
      </c>
      <c r="S4000" s="158" t="e">
        <f>R4000*#REF!</f>
        <v>#REF!</v>
      </c>
      <c r="T4000" s="158" t="e">
        <f t="shared" si="162"/>
        <v>#REF!</v>
      </c>
      <c r="U4000" s="388">
        <v>0.1</v>
      </c>
      <c r="W4000" s="285">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18">
        <f t="shared" si="160"/>
        <v>0.5418136020151133</v>
      </c>
      <c r="K4001" s="22">
        <v>2060.5</v>
      </c>
      <c r="L4001" s="6">
        <v>2066</v>
      </c>
      <c r="M4001" s="125">
        <f t="shared" si="161"/>
        <v>5.5</v>
      </c>
      <c r="P4001" s="247">
        <v>13810</v>
      </c>
      <c r="Q4001" s="25">
        <f>181.31/1111.7</f>
        <v>0.16309256094270036</v>
      </c>
      <c r="R4001" s="24">
        <f t="shared" si="163"/>
        <v>2252.308266618692</v>
      </c>
      <c r="S4001" s="158" t="e">
        <f>R4001*#REF!</f>
        <v>#REF!</v>
      </c>
      <c r="T4001" s="158" t="e">
        <f t="shared" si="162"/>
        <v>#REF!</v>
      </c>
      <c r="U4001" s="388">
        <v>0.1</v>
      </c>
      <c r="W4001" s="285">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18">
        <f t="shared" si="160"/>
        <v>0.54222334257625404</v>
      </c>
      <c r="K4002" s="22">
        <v>2056</v>
      </c>
      <c r="L4002" s="6">
        <v>2060</v>
      </c>
      <c r="M4002" s="125">
        <f t="shared" si="161"/>
        <v>4</v>
      </c>
      <c r="P4002" s="247">
        <v>13760</v>
      </c>
      <c r="Q4002" s="25">
        <f>180.91/1109.4</f>
        <v>0.16307012799711554</v>
      </c>
      <c r="R4002" s="24">
        <f t="shared" si="163"/>
        <v>2243.8449612403097</v>
      </c>
      <c r="S4002" s="158" t="e">
        <f>R4002*#REF!</f>
        <v>#REF!</v>
      </c>
      <c r="T4002" s="158" t="e">
        <f t="shared" si="162"/>
        <v>#REF!</v>
      </c>
      <c r="U4002" s="388">
        <v>0.1</v>
      </c>
      <c r="W4002" s="285">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18">
        <f t="shared" si="160"/>
        <v>0.53764514920714201</v>
      </c>
      <c r="K4003" s="22">
        <v>2029</v>
      </c>
      <c r="L4003" s="6">
        <v>2037</v>
      </c>
      <c r="M4003" s="125">
        <f t="shared" si="161"/>
        <v>8</v>
      </c>
      <c r="P4003" s="247">
        <v>13760</v>
      </c>
      <c r="Q4003" s="25">
        <f>181.61/1113.6</f>
        <v>0.16308369252873567</v>
      </c>
      <c r="R4003" s="24">
        <f t="shared" si="163"/>
        <v>2244.0316091954028</v>
      </c>
      <c r="S4003" s="158" t="e">
        <f>R4003*#REF!</f>
        <v>#REF!</v>
      </c>
      <c r="T4003" s="158" t="e">
        <f t="shared" si="162"/>
        <v>#REF!</v>
      </c>
      <c r="U4003" s="388">
        <v>0.1</v>
      </c>
      <c r="W4003" s="285">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18">
        <f t="shared" si="160"/>
        <v>0.53764514920714201</v>
      </c>
      <c r="K4004" s="22">
        <v>2033.5</v>
      </c>
      <c r="L4004" s="6">
        <v>2044</v>
      </c>
      <c r="M4004" s="125">
        <f t="shared" si="161"/>
        <v>10.5</v>
      </c>
      <c r="N4004" s="235">
        <f>AVERAGE(K3982:K4004)</f>
        <v>2048.2391304347825</v>
      </c>
      <c r="O4004" s="230">
        <f>AVERAGE(K3848:K4004)</f>
        <v>2157.1088435374149</v>
      </c>
      <c r="P4004" s="247">
        <v>13760</v>
      </c>
      <c r="Q4004" s="25">
        <f>182.68/1119.6</f>
        <v>0.16316541622007863</v>
      </c>
      <c r="R4004" s="24">
        <f t="shared" si="163"/>
        <v>2245.156127188282</v>
      </c>
      <c r="S4004" s="158" t="e">
        <f>R4004*#REF!</f>
        <v>#REF!</v>
      </c>
      <c r="T4004" s="158" t="e">
        <f t="shared" si="162"/>
        <v>#REF!</v>
      </c>
      <c r="U4004" s="388">
        <v>0.1</v>
      </c>
      <c r="W4004" s="285">
        <f t="shared" ref="W4004:W4026" si="164">(P4004*Q4004)*(1+U4004)</f>
        <v>2469.6717399071104</v>
      </c>
    </row>
    <row r="4005" spans="1:23" ht="15" customHeight="1" thickBot="1">
      <c r="A4005" s="216"/>
      <c r="B4005" s="1330"/>
      <c r="C4005" s="1330"/>
      <c r="D4005" s="1330"/>
      <c r="E4005" s="216"/>
      <c r="F4005" s="407"/>
      <c r="G4005" s="164"/>
      <c r="H4005" s="164"/>
      <c r="I4005" s="166"/>
      <c r="J4005" s="166"/>
      <c r="K4005" s="166"/>
      <c r="L4005" s="167"/>
      <c r="M4005" s="168"/>
      <c r="N4005" s="169"/>
      <c r="O4005" s="183"/>
      <c r="P4005" s="180"/>
      <c r="Q4005" s="154"/>
      <c r="R4005" s="248"/>
      <c r="S4005" s="249"/>
      <c r="T4005" s="249"/>
      <c r="U4005" s="152"/>
      <c r="V4005" s="153">
        <f>AVERAGE(P3982:P4004)</f>
        <v>13794.347826086956</v>
      </c>
      <c r="W4005" s="295"/>
    </row>
    <row r="4006" spans="1:23" ht="15" customHeight="1">
      <c r="A4006" s="3">
        <v>41487</v>
      </c>
      <c r="B4006" s="9">
        <v>73150</v>
      </c>
      <c r="C4006" s="5">
        <v>26600</v>
      </c>
      <c r="D4006" s="5" t="e">
        <f>E4006-C4006-#REF!-#REF!</f>
        <v>#REF!</v>
      </c>
      <c r="E4006" s="5">
        <v>200225</v>
      </c>
      <c r="F4006" s="4">
        <v>0</v>
      </c>
      <c r="G4006" s="5">
        <v>0</v>
      </c>
      <c r="H4006" s="5">
        <v>107650</v>
      </c>
      <c r="I4006" s="118">
        <f t="shared" ref="I4006:I4022" si="165">H4006/E4006</f>
        <v>0.53764514920714201</v>
      </c>
      <c r="K4006" s="22">
        <v>2090</v>
      </c>
      <c r="L4006" s="6">
        <v>2115</v>
      </c>
      <c r="M4006" s="125">
        <f t="shared" ref="M4006:M4027" si="166">L4006-K4006</f>
        <v>25</v>
      </c>
      <c r="N4006" s="242"/>
      <c r="P4006" s="247">
        <v>13810</v>
      </c>
      <c r="Q4006" s="25">
        <f>183.64/1125.8</f>
        <v>0.16311955942440931</v>
      </c>
      <c r="R4006" s="24">
        <f t="shared" si="163"/>
        <v>2252.6811156510926</v>
      </c>
      <c r="S4006" s="158" t="e">
        <f>R4006*#REF!</f>
        <v>#REF!</v>
      </c>
      <c r="T4006" s="158" t="e">
        <f t="shared" ref="T4006:T4027" si="167">(R4006+S4006)*U4006</f>
        <v>#REF!</v>
      </c>
      <c r="U4006" s="388">
        <v>0.1</v>
      </c>
      <c r="W4006" s="285">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18">
        <f t="shared" si="165"/>
        <v>0.5374141161773891</v>
      </c>
      <c r="K4007" s="22">
        <v>2111.5</v>
      </c>
      <c r="L4007" s="6">
        <v>2123</v>
      </c>
      <c r="M4007" s="125">
        <f t="shared" si="166"/>
        <v>11.5</v>
      </c>
      <c r="P4007" s="247">
        <v>13810</v>
      </c>
      <c r="Q4007" s="25">
        <f>183.61/1125.4</f>
        <v>0.16315087968722233</v>
      </c>
      <c r="R4007" s="24">
        <f t="shared" ref="R4007:R4019" si="168">P4007*Q4007</f>
        <v>2253.1136484805406</v>
      </c>
      <c r="S4007" s="158" t="e">
        <f>R4007*#REF!</f>
        <v>#REF!</v>
      </c>
      <c r="T4007" s="158" t="e">
        <f t="shared" si="167"/>
        <v>#REF!</v>
      </c>
      <c r="U4007" s="388">
        <v>0.1</v>
      </c>
      <c r="W4007" s="285">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18">
        <f t="shared" si="165"/>
        <v>0.5366036791390314</v>
      </c>
      <c r="K4008" s="22">
        <v>2112</v>
      </c>
      <c r="L4008" s="6">
        <v>2129</v>
      </c>
      <c r="M4008" s="125">
        <f t="shared" si="166"/>
        <v>17</v>
      </c>
      <c r="P4008" s="247">
        <v>13860</v>
      </c>
      <c r="Q4008" s="25">
        <f>182.26/1116.3</f>
        <v>0.16327152199229597</v>
      </c>
      <c r="R4008" s="24">
        <f t="shared" si="168"/>
        <v>2262.9432948132221</v>
      </c>
      <c r="S4008" s="158" t="e">
        <f>R4008*#REF!</f>
        <v>#REF!</v>
      </c>
      <c r="T4008" s="158" t="e">
        <f t="shared" si="167"/>
        <v>#REF!</v>
      </c>
      <c r="U4008" s="388">
        <v>0.1</v>
      </c>
      <c r="W4008" s="285">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18">
        <f t="shared" si="165"/>
        <v>0.53271728271728269</v>
      </c>
      <c r="K4009" s="22">
        <v>2118</v>
      </c>
      <c r="L4009" s="6">
        <v>2130.5</v>
      </c>
      <c r="M4009" s="125">
        <f t="shared" si="166"/>
        <v>12.5</v>
      </c>
      <c r="P4009" s="247">
        <v>13860</v>
      </c>
      <c r="Q4009" s="25">
        <f>182.01/1114.2</f>
        <v>0.16335487345180397</v>
      </c>
      <c r="R4009" s="24">
        <f t="shared" si="168"/>
        <v>2264.0985460420029</v>
      </c>
      <c r="S4009" s="158" t="e">
        <f>R4009*#REF!</f>
        <v>#REF!</v>
      </c>
      <c r="T4009" s="158" t="e">
        <f t="shared" si="167"/>
        <v>#REF!</v>
      </c>
      <c r="U4009" s="388">
        <v>0.1</v>
      </c>
      <c r="W4009" s="285">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18">
        <f t="shared" si="165"/>
        <v>0.53137132122730124</v>
      </c>
      <c r="K4010" s="22">
        <v>2090</v>
      </c>
      <c r="L4010" s="6">
        <v>2102</v>
      </c>
      <c r="M4010" s="125">
        <f t="shared" si="166"/>
        <v>12</v>
      </c>
      <c r="P4010" s="247">
        <v>13890</v>
      </c>
      <c r="Q4010" s="25">
        <f>182.59/1117.3</f>
        <v>0.1634207464423163</v>
      </c>
      <c r="R4010" s="24">
        <f t="shared" si="168"/>
        <v>2269.9141680837733</v>
      </c>
      <c r="S4010" s="158" t="e">
        <f>R4010*#REF!</f>
        <v>#REF!</v>
      </c>
      <c r="T4010" s="158" t="e">
        <f t="shared" si="167"/>
        <v>#REF!</v>
      </c>
      <c r="U4010" s="388">
        <v>0.1</v>
      </c>
      <c r="W4010" s="285">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18">
        <f t="shared" si="165"/>
        <v>0.52808707619166773</v>
      </c>
      <c r="K4011" s="22">
        <v>2120</v>
      </c>
      <c r="L4011" s="6">
        <v>2129</v>
      </c>
      <c r="M4011" s="125">
        <f t="shared" si="166"/>
        <v>9</v>
      </c>
      <c r="P4011" s="247">
        <v>13950</v>
      </c>
      <c r="Q4011" s="25">
        <f>181.92/1113.6</f>
        <v>0.16336206896551725</v>
      </c>
      <c r="R4011" s="24">
        <f t="shared" si="168"/>
        <v>2278.9008620689656</v>
      </c>
      <c r="S4011" s="158" t="e">
        <f>R4011*#REF!</f>
        <v>#REF!</v>
      </c>
      <c r="T4011" s="158" t="e">
        <f t="shared" si="167"/>
        <v>#REF!</v>
      </c>
      <c r="U4011" s="388">
        <v>0.1</v>
      </c>
      <c r="W4011" s="285">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18">
        <f t="shared" si="165"/>
        <v>0.52678459415380752</v>
      </c>
      <c r="K4012" s="22">
        <v>2152</v>
      </c>
      <c r="L4012" s="6">
        <v>2161</v>
      </c>
      <c r="M4012" s="125">
        <f t="shared" si="166"/>
        <v>9</v>
      </c>
      <c r="P4012" s="247">
        <v>14060</v>
      </c>
      <c r="Q4012" s="25">
        <f>181.64/1112</f>
        <v>0.16334532374100719</v>
      </c>
      <c r="R4012" s="24">
        <f t="shared" si="168"/>
        <v>2296.6352517985611</v>
      </c>
      <c r="S4012" s="158" t="e">
        <f>R4012*#REF!</f>
        <v>#REF!</v>
      </c>
      <c r="T4012" s="158" t="e">
        <f t="shared" si="167"/>
        <v>#REF!</v>
      </c>
      <c r="U4012" s="388">
        <v>0.1</v>
      </c>
      <c r="W4012" s="285">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18">
        <f t="shared" si="165"/>
        <v>0.52547490250345952</v>
      </c>
      <c r="K4013" s="22">
        <v>2180</v>
      </c>
      <c r="L4013" s="6">
        <v>2192</v>
      </c>
      <c r="M4013" s="125">
        <f t="shared" si="166"/>
        <v>12</v>
      </c>
      <c r="P4013" s="247">
        <v>14240</v>
      </c>
      <c r="Q4013" s="25">
        <f>181.79/1113</f>
        <v>0.16333333333333333</v>
      </c>
      <c r="R4013" s="24">
        <f t="shared" si="168"/>
        <v>2325.8666666666668</v>
      </c>
      <c r="S4013" s="158" t="e">
        <f>R4013*#REF!</f>
        <v>#REF!</v>
      </c>
      <c r="T4013" s="158" t="e">
        <f t="shared" si="167"/>
        <v>#REF!</v>
      </c>
      <c r="U4013" s="388">
        <v>0.1</v>
      </c>
      <c r="W4013" s="285">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18">
        <f t="shared" si="165"/>
        <v>0.52295434425192866</v>
      </c>
      <c r="K4014" s="22">
        <v>2178</v>
      </c>
      <c r="L4014" s="6">
        <v>2190</v>
      </c>
      <c r="M4014" s="125">
        <f t="shared" si="166"/>
        <v>12</v>
      </c>
      <c r="P4014" s="247">
        <v>14290</v>
      </c>
      <c r="Q4014" s="25">
        <f>182.38/1116.5</f>
        <v>0.16334975369458127</v>
      </c>
      <c r="R4014" s="24">
        <f t="shared" si="168"/>
        <v>2334.2679802955663</v>
      </c>
      <c r="S4014" s="158" t="e">
        <f>R4014*#REF!</f>
        <v>#REF!</v>
      </c>
      <c r="T4014" s="158" t="e">
        <f t="shared" si="167"/>
        <v>#REF!</v>
      </c>
      <c r="U4014" s="388">
        <v>0.1</v>
      </c>
      <c r="W4014" s="285">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18">
        <f t="shared" si="165"/>
        <v>0.5164722471478016</v>
      </c>
      <c r="K4015" s="22">
        <v>2169</v>
      </c>
      <c r="L4015" s="6">
        <v>2180</v>
      </c>
      <c r="M4015" s="125">
        <f t="shared" si="166"/>
        <v>11</v>
      </c>
      <c r="O4015" s="157"/>
      <c r="P4015" s="247">
        <v>14290</v>
      </c>
      <c r="Q4015" s="25">
        <f>182.38/1116.5</f>
        <v>0.16334975369458127</v>
      </c>
      <c r="R4015" s="24">
        <f t="shared" si="168"/>
        <v>2334.2679802955663</v>
      </c>
      <c r="S4015" s="158" t="e">
        <f>R4015*#REF!</f>
        <v>#REF!</v>
      </c>
      <c r="T4015" s="158" t="e">
        <f t="shared" si="167"/>
        <v>#REF!</v>
      </c>
      <c r="U4015" s="388">
        <v>0.1</v>
      </c>
      <c r="W4015" s="285">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18">
        <f t="shared" si="165"/>
        <v>0.51556192212527674</v>
      </c>
      <c r="K4016" s="22">
        <v>2190</v>
      </c>
      <c r="L4016" s="6">
        <v>2200</v>
      </c>
      <c r="M4016" s="125">
        <f t="shared" si="166"/>
        <v>10</v>
      </c>
      <c r="P4016" s="247">
        <v>14420</v>
      </c>
      <c r="Q4016" s="25">
        <f>183.15/1119.5</f>
        <v>0.16359982134881645</v>
      </c>
      <c r="R4016" s="24">
        <f t="shared" si="168"/>
        <v>2359.1094238499331</v>
      </c>
      <c r="S4016" s="158" t="e">
        <f>R4016*#REF!</f>
        <v>#REF!</v>
      </c>
      <c r="T4016" s="158" t="e">
        <f t="shared" si="167"/>
        <v>#REF!</v>
      </c>
      <c r="U4016" s="388">
        <v>0.1</v>
      </c>
      <c r="W4016" s="285">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18">
        <f t="shared" si="165"/>
        <v>0.51289773471258349</v>
      </c>
      <c r="K4017" s="22">
        <v>2224.5</v>
      </c>
      <c r="L4017" s="6">
        <v>2230.5</v>
      </c>
      <c r="M4017" s="125">
        <f t="shared" si="166"/>
        <v>6</v>
      </c>
      <c r="P4017" s="247">
        <v>14640</v>
      </c>
      <c r="Q4017" s="25">
        <f>182.34/1115</f>
        <v>0.16353363228699552</v>
      </c>
      <c r="R4017" s="24">
        <f t="shared" si="168"/>
        <v>2394.1323766816145</v>
      </c>
      <c r="S4017" s="158" t="e">
        <f>R4017*#REF!</f>
        <v>#REF!</v>
      </c>
      <c r="T4017" s="158" t="e">
        <f t="shared" si="167"/>
        <v>#REF!</v>
      </c>
      <c r="U4017" s="388">
        <v>0.1</v>
      </c>
      <c r="W4017" s="285">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18">
        <f t="shared" si="165"/>
        <v>0.50277777777777777</v>
      </c>
      <c r="K4018" s="22">
        <v>2238</v>
      </c>
      <c r="L4018" s="6">
        <v>2242.5</v>
      </c>
      <c r="M4018" s="125">
        <f t="shared" si="166"/>
        <v>4.5</v>
      </c>
      <c r="N4018" s="242"/>
      <c r="P4018" s="247">
        <v>14940</v>
      </c>
      <c r="Q4018" s="25">
        <f>181.89/1113.7</f>
        <v>0.16332046332046329</v>
      </c>
      <c r="R4018" s="24">
        <f t="shared" si="168"/>
        <v>2440.0077220077214</v>
      </c>
      <c r="S4018" s="158" t="e">
        <f>R4018*#REF!</f>
        <v>#REF!</v>
      </c>
      <c r="T4018" s="158" t="e">
        <f t="shared" si="167"/>
        <v>#REF!</v>
      </c>
      <c r="U4018" s="388">
        <v>0.1</v>
      </c>
      <c r="W4018" s="285">
        <f t="shared" si="164"/>
        <v>2684.0084942084936</v>
      </c>
    </row>
    <row r="4019" spans="1:23" ht="15" customHeight="1">
      <c r="A4019" s="3">
        <v>41506</v>
      </c>
      <c r="B4019" s="9">
        <v>75325</v>
      </c>
      <c r="C4019" s="5">
        <v>24500</v>
      </c>
      <c r="D4019" s="5" t="e">
        <f>E4019-C4019-#REF!-#REF!</f>
        <v>#REF!</v>
      </c>
      <c r="E4019" s="5">
        <v>186025</v>
      </c>
      <c r="G4019" s="5">
        <v>2975</v>
      </c>
      <c r="H4019" s="5">
        <v>92050</v>
      </c>
      <c r="I4019" s="118">
        <f t="shared" si="165"/>
        <v>0.49482596425211667</v>
      </c>
      <c r="K4019" s="22">
        <v>2229.5</v>
      </c>
      <c r="L4019" s="6">
        <v>2234</v>
      </c>
      <c r="M4019" s="125">
        <f t="shared" si="166"/>
        <v>4.5</v>
      </c>
      <c r="N4019" s="242"/>
      <c r="P4019" s="247">
        <v>14810</v>
      </c>
      <c r="Q4019" s="25">
        <f>183.18/1121.9</f>
        <v>0.163276584365808</v>
      </c>
      <c r="R4019" s="24">
        <f t="shared" si="168"/>
        <v>2418.1262144576162</v>
      </c>
      <c r="S4019" s="158" t="e">
        <f>R4019*#REF!</f>
        <v>#REF!</v>
      </c>
      <c r="T4019" s="158" t="e">
        <f t="shared" si="167"/>
        <v>#REF!</v>
      </c>
      <c r="U4019" s="388">
        <v>0.1</v>
      </c>
      <c r="W4019" s="285">
        <f t="shared" si="164"/>
        <v>2659.9388359033783</v>
      </c>
    </row>
    <row r="4020" spans="1:23" ht="15" customHeight="1">
      <c r="A4020" s="3">
        <v>41507</v>
      </c>
      <c r="B4020" s="9">
        <v>75325</v>
      </c>
      <c r="C4020" s="5">
        <v>24000</v>
      </c>
      <c r="D4020" s="5" t="e">
        <f>E4020-C4020-#REF!-#REF!</f>
        <v>#REF!</v>
      </c>
      <c r="E4020" s="5">
        <v>189600</v>
      </c>
      <c r="F4020" s="4">
        <v>3575</v>
      </c>
      <c r="H4020" s="5">
        <v>90275</v>
      </c>
      <c r="I4020" s="118">
        <f t="shared" si="165"/>
        <v>0.47613396624472576</v>
      </c>
      <c r="K4020" s="22">
        <v>2220</v>
      </c>
      <c r="L4020" s="6">
        <v>2228.5</v>
      </c>
      <c r="M4020" s="125">
        <f t="shared" si="166"/>
        <v>8.5</v>
      </c>
      <c r="N4020" s="242"/>
      <c r="P4020" s="247">
        <v>14760</v>
      </c>
      <c r="Q4020" s="25">
        <f>182.59/1118.1</f>
        <v>0.16330381897862448</v>
      </c>
      <c r="R4020" s="24">
        <f t="shared" ref="R4020:R4038" si="169">P4020*Q4020</f>
        <v>2410.3643681244971</v>
      </c>
      <c r="S4020" s="158" t="e">
        <f>R4020*#REF!</f>
        <v>#REF!</v>
      </c>
      <c r="T4020" s="158" t="e">
        <f t="shared" si="167"/>
        <v>#REF!</v>
      </c>
      <c r="U4020" s="388">
        <v>0.1</v>
      </c>
      <c r="W4020" s="285">
        <f t="shared" si="164"/>
        <v>2651.4008049369472</v>
      </c>
    </row>
    <row r="4021" spans="1:23" ht="15" customHeight="1">
      <c r="A4021" s="3">
        <v>41508</v>
      </c>
      <c r="B4021" s="9">
        <v>75325</v>
      </c>
      <c r="C4021" s="5">
        <v>23525</v>
      </c>
      <c r="D4021" s="5" t="e">
        <f>E4021-C4021-#REF!-#REF!</f>
        <v>#REF!</v>
      </c>
      <c r="E4021" s="5">
        <v>186625</v>
      </c>
      <c r="G4021" s="5">
        <v>2975</v>
      </c>
      <c r="H4021" s="5">
        <v>87500</v>
      </c>
      <c r="I4021" s="118">
        <f t="shared" si="165"/>
        <v>0.46885465505693236</v>
      </c>
      <c r="K4021" s="22">
        <v>2227.5</v>
      </c>
      <c r="L4021" s="6">
        <v>2240</v>
      </c>
      <c r="M4021" s="125">
        <f t="shared" si="166"/>
        <v>12.5</v>
      </c>
      <c r="P4021" s="247">
        <v>14790</v>
      </c>
      <c r="Q4021" s="25">
        <f>183.68/1124.3</f>
        <v>0.16337276527617187</v>
      </c>
      <c r="R4021" s="24">
        <f t="shared" si="169"/>
        <v>2416.2831984345821</v>
      </c>
      <c r="S4021" s="158" t="e">
        <f>R4021*#REF!</f>
        <v>#REF!</v>
      </c>
      <c r="T4021" s="158" t="e">
        <f t="shared" si="167"/>
        <v>#REF!</v>
      </c>
      <c r="U4021" s="388">
        <v>0.1</v>
      </c>
      <c r="W4021" s="285">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18">
        <f t="shared" si="165"/>
        <v>0.44982698961937717</v>
      </c>
      <c r="K4022" s="22">
        <v>2197</v>
      </c>
      <c r="L4022" s="6">
        <v>2209</v>
      </c>
      <c r="M4022" s="125">
        <f t="shared" si="166"/>
        <v>12</v>
      </c>
      <c r="O4022" s="157"/>
      <c r="P4022" s="247">
        <v>14790</v>
      </c>
      <c r="Q4022" s="25">
        <f>182.68/1118.2</f>
        <v>0.16336970130566983</v>
      </c>
      <c r="R4022" s="24">
        <f t="shared" si="169"/>
        <v>2416.2378823108565</v>
      </c>
      <c r="S4022" s="158" t="e">
        <f>R4022*#REF!</f>
        <v>#REF!</v>
      </c>
      <c r="T4022" s="158" t="e">
        <f t="shared" si="167"/>
        <v>#REF!</v>
      </c>
      <c r="U4022" s="388">
        <v>0.1</v>
      </c>
      <c r="W4022" s="285">
        <f t="shared" si="164"/>
        <v>2657.8616705419422</v>
      </c>
    </row>
    <row r="4023" spans="1:23" ht="15" customHeight="1">
      <c r="A4023" s="3">
        <v>41512</v>
      </c>
      <c r="B4023" s="9">
        <v>0</v>
      </c>
      <c r="C4023"/>
      <c r="E4023"/>
      <c r="F4023" s="4" t="s">
        <v>45</v>
      </c>
      <c r="G4023" s="24"/>
      <c r="H4023" s="24"/>
      <c r="M4023" s="125"/>
      <c r="O4023" s="157"/>
      <c r="P4023" s="247">
        <v>14860</v>
      </c>
      <c r="Q4023" s="25">
        <f>181.99/1114</f>
        <v>0.16336624775583483</v>
      </c>
      <c r="R4023" s="24">
        <f t="shared" si="169"/>
        <v>2427.6224416517057</v>
      </c>
      <c r="S4023" s="158" t="e">
        <f>R4023*#REF!</f>
        <v>#REF!</v>
      </c>
      <c r="T4023" s="158" t="e">
        <f t="shared" si="167"/>
        <v>#REF!</v>
      </c>
      <c r="U4023" s="388">
        <v>0.1</v>
      </c>
      <c r="W4023" s="285">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18">
        <f>H4024/E4024</f>
        <v>0.44591877764374749</v>
      </c>
      <c r="K4024" s="22">
        <v>2205.5</v>
      </c>
      <c r="L4024" s="6">
        <v>2222</v>
      </c>
      <c r="M4024" s="125">
        <f t="shared" si="166"/>
        <v>16.5</v>
      </c>
      <c r="P4024" s="247">
        <v>14860</v>
      </c>
      <c r="Q4024" s="25">
        <f>182.27/1115.8</f>
        <v>0.16335364760709806</v>
      </c>
      <c r="R4024" s="24">
        <f t="shared" si="169"/>
        <v>2427.4352034414769</v>
      </c>
      <c r="S4024" s="158" t="e">
        <f>R4024*#REF!</f>
        <v>#REF!</v>
      </c>
      <c r="T4024" s="158" t="e">
        <f t="shared" si="167"/>
        <v>#REF!</v>
      </c>
      <c r="U4024" s="388">
        <v>0.1</v>
      </c>
      <c r="W4024" s="285">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18">
        <f>H4025/E4025</f>
        <v>0.4399031997848884</v>
      </c>
      <c r="K4025" s="22">
        <v>2229.5</v>
      </c>
      <c r="L4025" s="6">
        <v>2227</v>
      </c>
      <c r="M4025" s="125">
        <f t="shared" si="166"/>
        <v>-2.5</v>
      </c>
      <c r="P4025" s="247">
        <v>14860</v>
      </c>
      <c r="Q4025" s="25">
        <f>182.51/1117</f>
        <v>0.16339301700984779</v>
      </c>
      <c r="R4025" s="24">
        <f t="shared" si="169"/>
        <v>2428.0202327663383</v>
      </c>
      <c r="S4025" s="158" t="e">
        <f>R4025*#REF!</f>
        <v>#REF!</v>
      </c>
      <c r="T4025" s="158" t="e">
        <f t="shared" si="167"/>
        <v>#REF!</v>
      </c>
      <c r="U4025" s="388">
        <v>0.1</v>
      </c>
      <c r="W4025" s="285">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18">
        <f>H4026/E4026</f>
        <v>0.43635875402792695</v>
      </c>
      <c r="K4026" s="22">
        <v>2200</v>
      </c>
      <c r="L4026" s="6">
        <v>2203</v>
      </c>
      <c r="M4026" s="125">
        <f t="shared" si="166"/>
        <v>3</v>
      </c>
      <c r="P4026" s="247">
        <v>14760</v>
      </c>
      <c r="Q4026" s="25">
        <f>181.51/1110.9</f>
        <v>0.16339004410838057</v>
      </c>
      <c r="R4026" s="24">
        <f t="shared" si="169"/>
        <v>2411.6370510396973</v>
      </c>
      <c r="S4026" s="158" t="e">
        <f>R4026*#REF!</f>
        <v>#REF!</v>
      </c>
      <c r="T4026" s="158" t="e">
        <f t="shared" si="167"/>
        <v>#REF!</v>
      </c>
      <c r="U4026" s="388">
        <v>0.1</v>
      </c>
      <c r="W4026" s="285">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18">
        <f>H4027/E4027</f>
        <v>0.4347650464521341</v>
      </c>
      <c r="K4027" s="22">
        <v>2160.5</v>
      </c>
      <c r="L4027" s="6">
        <v>2165</v>
      </c>
      <c r="M4027" s="125">
        <f t="shared" si="166"/>
        <v>4.5</v>
      </c>
      <c r="N4027" s="235">
        <f>AVERAGE(K4006:K4027)</f>
        <v>2173.4523809523807</v>
      </c>
      <c r="O4027" s="230">
        <f>AVERAGE(K3848:K4027)</f>
        <v>2159.1517857142858</v>
      </c>
      <c r="P4027" s="247">
        <v>14690</v>
      </c>
      <c r="Q4027" s="25">
        <f>181.32/1109.6</f>
        <v>0.16341023792357606</v>
      </c>
      <c r="R4027" s="24">
        <f t="shared" si="169"/>
        <v>2400.4963950973324</v>
      </c>
      <c r="S4027" s="158" t="e">
        <f>R4027*#REF!</f>
        <v>#REF!</v>
      </c>
      <c r="T4027" s="158" t="e">
        <f t="shared" si="167"/>
        <v>#REF!</v>
      </c>
      <c r="U4027" s="388">
        <v>0.1</v>
      </c>
      <c r="W4027" s="285">
        <f t="shared" ref="W4027:W4048" si="170">(P4027*Q4027)*(1+U4027)</f>
        <v>2640.5460346070658</v>
      </c>
    </row>
    <row r="4028" spans="1:23" ht="15" customHeight="1" thickBot="1">
      <c r="A4028" s="216"/>
      <c r="B4028" s="1330"/>
      <c r="C4028" s="1330"/>
      <c r="D4028" s="1330"/>
      <c r="E4028" s="216"/>
      <c r="F4028" s="407"/>
      <c r="G4028" s="164"/>
      <c r="H4028" s="164"/>
      <c r="I4028" s="166"/>
      <c r="J4028" s="166"/>
      <c r="K4028" s="166"/>
      <c r="L4028" s="167"/>
      <c r="M4028" s="168"/>
      <c r="N4028" s="169"/>
      <c r="O4028" s="183"/>
      <c r="P4028" s="180"/>
      <c r="Q4028" s="154"/>
      <c r="R4028" s="248"/>
      <c r="S4028" s="249"/>
      <c r="T4028" s="249"/>
      <c r="U4028" s="152"/>
      <c r="V4028" s="153">
        <f>AVERAGE(P4006:P4027)</f>
        <v>14420</v>
      </c>
      <c r="W4028" s="295"/>
    </row>
    <row r="4029" spans="1:23" ht="15" customHeight="1">
      <c r="A4029" s="3">
        <v>41519</v>
      </c>
      <c r="B4029" s="9">
        <v>78425</v>
      </c>
      <c r="C4029" s="5">
        <v>19925</v>
      </c>
      <c r="D4029" s="5" t="e">
        <f>E4029-C4029-#REF!-#REF!</f>
        <v>#REF!</v>
      </c>
      <c r="E4029" s="5">
        <v>185150</v>
      </c>
      <c r="F4029" s="4">
        <v>0</v>
      </c>
      <c r="G4029" s="5">
        <v>525</v>
      </c>
      <c r="H4029" s="5">
        <v>80200</v>
      </c>
      <c r="I4029" s="118">
        <f t="shared" ref="I4029:I4049" si="171">H4029/E4029</f>
        <v>0.43316230083715906</v>
      </c>
      <c r="K4029" s="22">
        <v>2152</v>
      </c>
      <c r="L4029" s="6">
        <v>2161.5</v>
      </c>
      <c r="M4029" s="125">
        <f t="shared" ref="M4029:M4113" si="172">L4029-K4029</f>
        <v>9.5</v>
      </c>
      <c r="P4029" s="247">
        <v>14690</v>
      </c>
      <c r="Q4029" s="25">
        <f>180.42/1104.1</f>
        <v>0.16340911149352413</v>
      </c>
      <c r="R4029" s="24">
        <f t="shared" si="169"/>
        <v>2400.4798478398693</v>
      </c>
      <c r="S4029" s="158" t="e">
        <f>R4029*#REF!</f>
        <v>#REF!</v>
      </c>
      <c r="T4029" s="158" t="e">
        <f t="shared" ref="T4029:T4038" si="173">(R4029+S4029)*U4029</f>
        <v>#REF!</v>
      </c>
      <c r="U4029" s="388">
        <v>0.1</v>
      </c>
      <c r="W4029" s="285">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18">
        <f t="shared" si="171"/>
        <v>0.4318581675463527</v>
      </c>
      <c r="K4030" s="22">
        <v>2151.5</v>
      </c>
      <c r="L4030" s="6">
        <v>2168</v>
      </c>
      <c r="M4030" s="125">
        <f t="shared" si="172"/>
        <v>16.5</v>
      </c>
      <c r="P4030" s="247">
        <v>14660</v>
      </c>
      <c r="Q4030" s="25">
        <f>179.05/1095.9</f>
        <v>0.16338169541016515</v>
      </c>
      <c r="R4030" s="24">
        <f t="shared" si="169"/>
        <v>2395.1756547130212</v>
      </c>
      <c r="S4030" s="158" t="e">
        <f>R4030*#REF!</f>
        <v>#REF!</v>
      </c>
      <c r="T4030" s="158" t="e">
        <f t="shared" si="173"/>
        <v>#REF!</v>
      </c>
      <c r="U4030" s="388">
        <v>0.1</v>
      </c>
      <c r="W4030" s="285">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18">
        <f t="shared" si="171"/>
        <v>0.43040194227137846</v>
      </c>
      <c r="K4031" s="22">
        <v>2122</v>
      </c>
      <c r="L4031" s="6">
        <v>2127.5</v>
      </c>
      <c r="M4031" s="125">
        <f t="shared" si="172"/>
        <v>5.5</v>
      </c>
      <c r="P4031" s="247">
        <v>14490</v>
      </c>
      <c r="Q4031" s="25">
        <f>179.7/1099.8</f>
        <v>0.16339334424440807</v>
      </c>
      <c r="R4031" s="24">
        <f t="shared" si="169"/>
        <v>2367.5695581014729</v>
      </c>
      <c r="S4031" s="158" t="e">
        <f>R4031*#REF!</f>
        <v>#REF!</v>
      </c>
      <c r="T4031" s="158" t="e">
        <f t="shared" si="173"/>
        <v>#REF!</v>
      </c>
      <c r="U4031" s="388">
        <v>0.1</v>
      </c>
      <c r="W4031" s="285">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18">
        <f t="shared" si="171"/>
        <v>0.42762266196801302</v>
      </c>
      <c r="K4032" s="22">
        <v>2122</v>
      </c>
      <c r="L4032" s="6">
        <v>2137</v>
      </c>
      <c r="M4032" s="125">
        <f t="shared" si="172"/>
        <v>15</v>
      </c>
      <c r="O4032" s="157"/>
      <c r="P4032" s="247">
        <v>14440</v>
      </c>
      <c r="Q4032" s="25">
        <f>178.73/1093.8</f>
        <v>0.16340281587127445</v>
      </c>
      <c r="R4032" s="24">
        <f t="shared" si="169"/>
        <v>2359.5366611812028</v>
      </c>
      <c r="S4032" s="158" t="e">
        <f>R4032*#REF!</f>
        <v>#REF!</v>
      </c>
      <c r="T4032" s="158" t="e">
        <f t="shared" si="173"/>
        <v>#REF!</v>
      </c>
      <c r="U4032" s="388">
        <v>0.1</v>
      </c>
      <c r="W4032" s="285">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18">
        <f t="shared" si="171"/>
        <v>0.42434569247546344</v>
      </c>
      <c r="K4033" s="22">
        <v>2151</v>
      </c>
      <c r="L4033" s="6">
        <v>2165</v>
      </c>
      <c r="M4033" s="125">
        <f t="shared" si="172"/>
        <v>14</v>
      </c>
      <c r="O4033" s="157"/>
      <c r="P4033" s="247">
        <v>14360</v>
      </c>
      <c r="Q4033" s="25">
        <f>178.97/1095.4</f>
        <v>0.16338323899945223</v>
      </c>
      <c r="R4033" s="24">
        <f t="shared" si="169"/>
        <v>2346.1833120321339</v>
      </c>
      <c r="S4033" s="158" t="e">
        <f>R4033*#REF!</f>
        <v>#REF!</v>
      </c>
      <c r="T4033" s="158" t="e">
        <f t="shared" si="173"/>
        <v>#REF!</v>
      </c>
      <c r="U4033" s="388">
        <v>0.1</v>
      </c>
      <c r="W4033" s="285">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18">
        <f t="shared" si="171"/>
        <v>0.42111034955448939</v>
      </c>
      <c r="K4034" s="22">
        <v>2134.5</v>
      </c>
      <c r="L4034" s="6">
        <v>2156.5</v>
      </c>
      <c r="M4034" s="125">
        <f t="shared" si="172"/>
        <v>22</v>
      </c>
      <c r="P4034" s="247">
        <v>14440</v>
      </c>
      <c r="Q4034" s="25">
        <f>177.78/1088.2</f>
        <v>0.16337070391472155</v>
      </c>
      <c r="R4034" s="24">
        <f t="shared" si="169"/>
        <v>2359.0729645285792</v>
      </c>
      <c r="S4034" s="158" t="e">
        <f>R4034*#REF!</f>
        <v>#REF!</v>
      </c>
      <c r="T4034" s="158" t="e">
        <f t="shared" si="173"/>
        <v>#REF!</v>
      </c>
      <c r="U4034" s="388">
        <v>0.1</v>
      </c>
      <c r="W4034" s="285">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18">
        <f t="shared" si="171"/>
        <v>0.41807909604519772</v>
      </c>
      <c r="K4035" s="22">
        <v>2125</v>
      </c>
      <c r="L4035" s="6">
        <v>2141.5</v>
      </c>
      <c r="M4035" s="125">
        <f t="shared" si="172"/>
        <v>16.5</v>
      </c>
      <c r="P4035" s="247">
        <v>14390</v>
      </c>
      <c r="Q4035" s="25">
        <f>177.27/1084.9</f>
        <v>0.16339754816112084</v>
      </c>
      <c r="R4035" s="24">
        <f t="shared" si="169"/>
        <v>2351.2907180385291</v>
      </c>
      <c r="S4035" s="158" t="e">
        <f>R4035*#REF!</f>
        <v>#REF!</v>
      </c>
      <c r="T4035" s="158" t="e">
        <f t="shared" si="173"/>
        <v>#REF!</v>
      </c>
      <c r="U4035" s="388">
        <v>0.1</v>
      </c>
      <c r="W4035" s="285">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18">
        <f t="shared" si="171"/>
        <v>0.41485381737564087</v>
      </c>
      <c r="K4036" s="22">
        <v>2120</v>
      </c>
      <c r="L4036" s="6">
        <v>2140</v>
      </c>
      <c r="M4036" s="125">
        <f t="shared" si="172"/>
        <v>20</v>
      </c>
      <c r="N4036" s="242"/>
      <c r="P4036" s="247">
        <v>14370</v>
      </c>
      <c r="Q4036" s="25">
        <f>177.67/1087.1</f>
        <v>0.16343482660288841</v>
      </c>
      <c r="R4036" s="24">
        <f t="shared" si="169"/>
        <v>2348.5584582835063</v>
      </c>
      <c r="S4036" s="158" t="e">
        <f>R4036*#REF!</f>
        <v>#REF!</v>
      </c>
      <c r="T4036" s="158" t="e">
        <f t="shared" si="173"/>
        <v>#REF!</v>
      </c>
      <c r="U4036" s="388">
        <v>0.1</v>
      </c>
      <c r="W4036" s="285">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18">
        <f t="shared" si="171"/>
        <v>0.40532381997804612</v>
      </c>
      <c r="K4037" s="22">
        <v>2083</v>
      </c>
      <c r="L4037" s="6">
        <v>2103.5</v>
      </c>
      <c r="M4037" s="125">
        <f t="shared" si="172"/>
        <v>20.5</v>
      </c>
      <c r="N4037" s="242"/>
      <c r="P4037" s="247">
        <v>14340</v>
      </c>
      <c r="Q4037" s="25">
        <f>178.8/1094.2</f>
        <v>0.16340705538292816</v>
      </c>
      <c r="R4037" s="24">
        <f t="shared" si="169"/>
        <v>2343.2571741911897</v>
      </c>
      <c r="S4037" s="158" t="e">
        <f>R4037*#REF!</f>
        <v>#REF!</v>
      </c>
      <c r="T4037" s="158" t="e">
        <f t="shared" si="173"/>
        <v>#REF!</v>
      </c>
      <c r="U4037" s="388">
        <v>0.1</v>
      </c>
      <c r="W4037" s="285">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18">
        <f t="shared" si="171"/>
        <v>0.31455703032265026</v>
      </c>
      <c r="K4038" s="22">
        <v>2063</v>
      </c>
      <c r="L4038" s="6">
        <v>2088.5</v>
      </c>
      <c r="M4038" s="125">
        <f t="shared" si="172"/>
        <v>25.5</v>
      </c>
      <c r="P4038" s="247">
        <v>14290</v>
      </c>
      <c r="Q4038" s="25">
        <f>177.37/1085.3</f>
        <v>0.16342946650695661</v>
      </c>
      <c r="R4038" s="24">
        <f t="shared" si="169"/>
        <v>2335.4070763844102</v>
      </c>
      <c r="S4038" s="158" t="e">
        <f>R4038*#REF!</f>
        <v>#REF!</v>
      </c>
      <c r="T4038" s="158" t="e">
        <f t="shared" si="173"/>
        <v>#REF!</v>
      </c>
      <c r="U4038" s="388">
        <v>0.1</v>
      </c>
      <c r="W4038" s="285">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18">
        <f t="shared" si="171"/>
        <v>0.31073629581576384</v>
      </c>
      <c r="K4039" s="22">
        <v>2039.5</v>
      </c>
      <c r="L4039" s="6">
        <v>2065</v>
      </c>
      <c r="M4039" s="125">
        <f t="shared" si="172"/>
        <v>25.5</v>
      </c>
      <c r="P4039" s="247">
        <v>14190</v>
      </c>
      <c r="Q4039" s="25">
        <f>176.82/1082.2</f>
        <v>0.16338939197930141</v>
      </c>
      <c r="U4039" s="388">
        <v>0.1</v>
      </c>
      <c r="W4039" s="285">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18">
        <f t="shared" si="171"/>
        <v>0.28799268590004062</v>
      </c>
      <c r="K4040" s="22">
        <v>2023</v>
      </c>
      <c r="L4040" s="6">
        <v>2046</v>
      </c>
      <c r="M4040" s="125">
        <f t="shared" si="172"/>
        <v>23</v>
      </c>
      <c r="P4040" s="247">
        <v>14060</v>
      </c>
      <c r="Q4040" s="25">
        <f>176.82/1082.2</f>
        <v>0.16338939197930141</v>
      </c>
      <c r="R4040" s="24">
        <f>P4040*Q4040</f>
        <v>2297.2548512289777</v>
      </c>
      <c r="S4040" s="158" t="e">
        <f>R4040*#REF!</f>
        <v>#REF!</v>
      </c>
      <c r="T4040" s="158" t="e">
        <f t="shared" ref="T4040:T4049" si="174">(R4040+S4040)*U4040</f>
        <v>#REF!</v>
      </c>
      <c r="U4040" s="388">
        <v>0.1</v>
      </c>
      <c r="W4040" s="285">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18">
        <f t="shared" si="171"/>
        <v>0.28508771929824561</v>
      </c>
      <c r="K4041" s="22">
        <v>2053</v>
      </c>
      <c r="L4041" s="6">
        <v>2075</v>
      </c>
      <c r="M4041" s="125">
        <f t="shared" si="172"/>
        <v>22</v>
      </c>
      <c r="P4041" s="247">
        <v>13990</v>
      </c>
      <c r="Q4041" s="25">
        <f>176.82/1082.2</f>
        <v>0.16338939197930141</v>
      </c>
      <c r="R4041" s="24">
        <f>P4041*Q4041</f>
        <v>2285.8175937904266</v>
      </c>
      <c r="S4041" s="158" t="e">
        <f>R4041*#REF!</f>
        <v>#REF!</v>
      </c>
      <c r="T4041" s="158" t="e">
        <f t="shared" si="174"/>
        <v>#REF!</v>
      </c>
      <c r="U4041" s="388">
        <v>0.1</v>
      </c>
      <c r="W4041" s="285">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18">
        <f t="shared" si="171"/>
        <v>0.28215895124948792</v>
      </c>
      <c r="K4042" s="22">
        <v>2092</v>
      </c>
      <c r="L4042" s="6">
        <v>2118.5</v>
      </c>
      <c r="M4042" s="125">
        <f t="shared" si="172"/>
        <v>26.5</v>
      </c>
      <c r="P4042" s="253"/>
      <c r="Q4042" s="251"/>
      <c r="R4042" s="24">
        <f t="shared" ref="R4042:R4049" si="175">P4042*Q4042</f>
        <v>0</v>
      </c>
      <c r="S4042" s="158" t="e">
        <f>R4042*#REF!</f>
        <v>#REF!</v>
      </c>
      <c r="T4042" s="158" t="e">
        <f t="shared" si="174"/>
        <v>#REF!</v>
      </c>
      <c r="U4042" s="383"/>
      <c r="V4042" s="251"/>
      <c r="Y4042" s="1368"/>
      <c r="Z4042" s="1368"/>
      <c r="AA4042" s="1368"/>
      <c r="AB4042" s="1368"/>
      <c r="AC4042" s="1368"/>
      <c r="AD4042" s="1368"/>
    </row>
    <row r="4043" spans="1:30" ht="16.5" customHeight="1">
      <c r="A4043" s="3">
        <v>41537</v>
      </c>
      <c r="B4043" s="9">
        <v>79075</v>
      </c>
      <c r="C4043" s="5">
        <v>13425</v>
      </c>
      <c r="D4043" s="5" t="e">
        <f>E4043-C4043-#REF!-#REF!</f>
        <v>#REF!</v>
      </c>
      <c r="E4043" s="5">
        <v>244375</v>
      </c>
      <c r="F4043" s="4">
        <v>1350</v>
      </c>
      <c r="G4043" s="5">
        <v>1075</v>
      </c>
      <c r="H4043" s="5">
        <v>67800</v>
      </c>
      <c r="I4043" s="118">
        <f t="shared" si="171"/>
        <v>0.27744245524296673</v>
      </c>
      <c r="K4043" s="22">
        <v>2075.5</v>
      </c>
      <c r="L4043" s="6">
        <v>2101</v>
      </c>
      <c r="M4043" s="125">
        <f t="shared" si="172"/>
        <v>25.5</v>
      </c>
      <c r="P4043" s="253"/>
      <c r="Q4043" s="251"/>
      <c r="R4043" s="24">
        <f t="shared" si="175"/>
        <v>0</v>
      </c>
      <c r="S4043" s="158" t="e">
        <f>R4043*#REF!</f>
        <v>#REF!</v>
      </c>
      <c r="T4043" s="158" t="e">
        <f t="shared" si="174"/>
        <v>#REF!</v>
      </c>
      <c r="U4043" s="383"/>
      <c r="V4043" s="251"/>
      <c r="Y4043" s="1368"/>
      <c r="Z4043" s="1368"/>
      <c r="AA4043" s="1368"/>
      <c r="AB4043" s="1368"/>
      <c r="AC4043" s="1368"/>
      <c r="AD4043" s="1368"/>
    </row>
    <row r="4044" spans="1:30" ht="15" customHeight="1">
      <c r="A4044" s="3">
        <v>41540</v>
      </c>
      <c r="B4044" s="9">
        <v>79200</v>
      </c>
      <c r="C4044" s="5">
        <v>12925</v>
      </c>
      <c r="D4044" s="5" t="e">
        <f>E4044-C4044-#REF!-#REF!</f>
        <v>#REF!</v>
      </c>
      <c r="E4044" s="5">
        <v>243550</v>
      </c>
      <c r="F4044" s="4">
        <v>125</v>
      </c>
      <c r="G4044" s="5">
        <v>950</v>
      </c>
      <c r="H4044" s="5">
        <v>66875</v>
      </c>
      <c r="I4044" s="118">
        <f t="shared" si="171"/>
        <v>0.27458427427632931</v>
      </c>
      <c r="K4044" s="22">
        <v>2043</v>
      </c>
      <c r="L4044" s="6">
        <v>2069</v>
      </c>
      <c r="M4044" s="125">
        <f t="shared" si="172"/>
        <v>26</v>
      </c>
      <c r="N4044" s="252"/>
      <c r="P4044" s="247">
        <v>14010</v>
      </c>
      <c r="Q4044" s="25">
        <f>175.77/1075.9</f>
        <v>0.16337020169160701</v>
      </c>
      <c r="R4044" s="24">
        <f t="shared" si="175"/>
        <v>2288.8165256994143</v>
      </c>
      <c r="S4044" s="158" t="e">
        <f>R4044*#REF!</f>
        <v>#REF!</v>
      </c>
      <c r="T4044" s="158" t="e">
        <f t="shared" si="174"/>
        <v>#REF!</v>
      </c>
      <c r="U4044" s="388">
        <v>0.1</v>
      </c>
      <c r="W4044" s="285">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18">
        <f t="shared" si="171"/>
        <v>0.27213114754098361</v>
      </c>
      <c r="K4045" s="22">
        <v>2045</v>
      </c>
      <c r="L4045" s="6">
        <v>2073</v>
      </c>
      <c r="M4045" s="125">
        <f t="shared" si="172"/>
        <v>28</v>
      </c>
      <c r="P4045" s="247">
        <v>14060</v>
      </c>
      <c r="Q4045" s="25">
        <f>175.61/1074.9</f>
        <v>0.16337333705460974</v>
      </c>
      <c r="R4045" s="24">
        <f t="shared" si="175"/>
        <v>2297.029118987813</v>
      </c>
      <c r="S4045" s="158" t="e">
        <f>R4045*#REF!</f>
        <v>#REF!</v>
      </c>
      <c r="T4045" s="158" t="e">
        <f t="shared" si="174"/>
        <v>#REF!</v>
      </c>
      <c r="U4045" s="388">
        <v>0.1</v>
      </c>
      <c r="W4045" s="285">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18">
        <f t="shared" si="171"/>
        <v>0.27063655030800821</v>
      </c>
      <c r="K4046" s="22">
        <v>2042.5</v>
      </c>
      <c r="L4046" s="6">
        <v>2074</v>
      </c>
      <c r="M4046" s="125">
        <f t="shared" si="172"/>
        <v>31.5</v>
      </c>
      <c r="P4046" s="247">
        <v>14060</v>
      </c>
      <c r="Q4046" s="25">
        <f>175.95/1076.8</f>
        <v>0.16340081723625557</v>
      </c>
      <c r="R4046" s="24">
        <f t="shared" si="175"/>
        <v>2297.4154903417534</v>
      </c>
      <c r="S4046" s="158" t="e">
        <f>R4046*#REF!</f>
        <v>#REF!</v>
      </c>
      <c r="T4046" s="158" t="e">
        <f t="shared" si="174"/>
        <v>#REF!</v>
      </c>
      <c r="U4046" s="388">
        <v>0.1</v>
      </c>
      <c r="W4046" s="285">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18">
        <f t="shared" si="171"/>
        <v>0.26528079429103318</v>
      </c>
      <c r="K4047" s="22">
        <v>2061</v>
      </c>
      <c r="L4047" s="6">
        <v>2091</v>
      </c>
      <c r="M4047" s="125">
        <f t="shared" si="172"/>
        <v>30</v>
      </c>
      <c r="P4047" s="247">
        <v>14060</v>
      </c>
      <c r="Q4047" s="25">
        <f>175.52/1074.4</f>
        <v>0.16336559940431869</v>
      </c>
      <c r="R4047" s="24">
        <f t="shared" si="175"/>
        <v>2296.9203276247208</v>
      </c>
      <c r="S4047" s="158" t="e">
        <f>R4047*#REF!</f>
        <v>#REF!</v>
      </c>
      <c r="T4047" s="158" t="e">
        <f t="shared" si="174"/>
        <v>#REF!</v>
      </c>
      <c r="U4047" s="388">
        <v>0.1</v>
      </c>
      <c r="W4047" s="285">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18">
        <f t="shared" si="171"/>
        <v>0.26184538653366585</v>
      </c>
      <c r="K4048" s="22">
        <v>2083</v>
      </c>
      <c r="L4048" s="6">
        <v>2112</v>
      </c>
      <c r="M4048" s="125">
        <f t="shared" si="172"/>
        <v>29</v>
      </c>
      <c r="P4048" s="247">
        <v>14110</v>
      </c>
      <c r="Q4048" s="25">
        <f>175.75/1075.6</f>
        <v>0.16339717367050949</v>
      </c>
      <c r="R4048" s="24">
        <f t="shared" si="175"/>
        <v>2305.5341204908887</v>
      </c>
      <c r="S4048" s="158" t="e">
        <f>R4048*#REF!</f>
        <v>#REF!</v>
      </c>
      <c r="T4048" s="158" t="e">
        <f t="shared" si="174"/>
        <v>#REF!</v>
      </c>
      <c r="U4048" s="388">
        <v>0.1</v>
      </c>
      <c r="W4048" s="285">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18">
        <f t="shared" si="171"/>
        <v>0.25901605169897851</v>
      </c>
      <c r="K4049" s="22">
        <v>2075</v>
      </c>
      <c r="L4049" s="6">
        <v>2103</v>
      </c>
      <c r="M4049" s="125">
        <f t="shared" si="172"/>
        <v>28</v>
      </c>
      <c r="N4049" s="235">
        <f>AVERAGE(K4029:K4049)</f>
        <v>2088.4047619047619</v>
      </c>
      <c r="O4049" s="230">
        <f>AVERAGE(K3848:K4049)</f>
        <v>2151.2910052910051</v>
      </c>
      <c r="P4049" s="247">
        <v>14110</v>
      </c>
      <c r="Q4049" s="25">
        <f>175.64/1075.2</f>
        <v>0.16335565476190475</v>
      </c>
      <c r="R4049" s="24">
        <f t="shared" si="175"/>
        <v>2304.9482886904761</v>
      </c>
      <c r="S4049" s="158" t="e">
        <f>R4049*#REF!</f>
        <v>#REF!</v>
      </c>
      <c r="T4049" s="158" t="e">
        <f t="shared" si="174"/>
        <v>#REF!</v>
      </c>
      <c r="U4049" s="388">
        <v>0.1</v>
      </c>
      <c r="W4049" s="285">
        <f>(P4049*Q4049)*(1+U4049)</f>
        <v>2535.4431175595241</v>
      </c>
    </row>
    <row r="4050" spans="1:33" ht="15" customHeight="1" thickBot="1">
      <c r="A4050" s="216"/>
      <c r="B4050" s="1330"/>
      <c r="C4050" s="1330"/>
      <c r="D4050" s="1330"/>
      <c r="E4050" s="216"/>
      <c r="F4050" s="407"/>
      <c r="G4050" s="164"/>
      <c r="H4050" s="164"/>
      <c r="I4050" s="166"/>
      <c r="J4050" s="166"/>
      <c r="K4050" s="166"/>
      <c r="L4050" s="167"/>
      <c r="M4050" s="168"/>
      <c r="N4050" s="169"/>
      <c r="O4050" s="183"/>
      <c r="P4050" s="180"/>
      <c r="Q4050" s="154"/>
      <c r="R4050" s="248"/>
      <c r="S4050" s="249"/>
      <c r="T4050" s="249"/>
      <c r="U4050" s="152"/>
      <c r="V4050" s="153">
        <f>AVERAGE(P4029:P4049)</f>
        <v>14269.473684210527</v>
      </c>
      <c r="W4050" s="295"/>
    </row>
    <row r="4051" spans="1:33" ht="15" customHeight="1">
      <c r="A4051" s="3">
        <v>41548</v>
      </c>
      <c r="B4051" s="9">
        <v>78900</v>
      </c>
      <c r="C4051" s="5">
        <v>10000</v>
      </c>
      <c r="D4051" s="5" t="e">
        <f>E4051-C4051-#REF!-#REF!</f>
        <v>#REF!</v>
      </c>
      <c r="E4051" s="5">
        <v>239350</v>
      </c>
      <c r="F4051" s="4">
        <v>0</v>
      </c>
      <c r="G4051" s="5">
        <v>500</v>
      </c>
      <c r="H4051" s="5">
        <v>61625</v>
      </c>
      <c r="I4051" s="118">
        <f t="shared" ref="I4051:I4073" si="176">H4051/E4051</f>
        <v>0.25746814288698561</v>
      </c>
      <c r="K4051" s="22">
        <v>2052.5</v>
      </c>
      <c r="L4051" s="6">
        <v>2082</v>
      </c>
      <c r="M4051" s="125">
        <f t="shared" si="172"/>
        <v>29.5</v>
      </c>
      <c r="P4051" s="247">
        <v>14110</v>
      </c>
      <c r="Q4051" s="25">
        <f>175.64/1075.2</f>
        <v>0.16335565476190475</v>
      </c>
      <c r="R4051" s="24">
        <f>P4051*Q4051</f>
        <v>2304.9482886904761</v>
      </c>
      <c r="S4051" s="158" t="e">
        <f>R4051*#REF!</f>
        <v>#REF!</v>
      </c>
      <c r="T4051" s="158" t="e">
        <f t="shared" ref="T4051:T4095" si="177">(R4051+S4051)*U4051</f>
        <v>#REF!</v>
      </c>
      <c r="U4051" s="388">
        <v>0.1</v>
      </c>
      <c r="V4051" s="199"/>
      <c r="W4051" s="285">
        <f>(P4051*Q4051)*(1+U4051)</f>
        <v>2535.4431175595241</v>
      </c>
      <c r="Y4051" s="1361" t="s">
        <v>41</v>
      </c>
      <c r="Z4051" s="1361"/>
      <c r="AA4051" s="1361"/>
      <c r="AB4051" s="1361"/>
      <c r="AC4051" s="1361"/>
      <c r="AD4051" s="1361"/>
      <c r="AE4051" s="1361"/>
      <c r="AF4051" s="1361"/>
      <c r="AG4051" s="1361"/>
    </row>
    <row r="4052" spans="1:33" ht="15" customHeight="1">
      <c r="A4052" s="3">
        <v>41549</v>
      </c>
      <c r="B4052" s="9">
        <v>78875</v>
      </c>
      <c r="C4052" s="5">
        <v>9500</v>
      </c>
      <c r="D4052" s="5" t="e">
        <f>E4052-C4052-#REF!-#REF!</f>
        <v>#REF!</v>
      </c>
      <c r="E4052" s="5">
        <v>238850</v>
      </c>
      <c r="F4052" s="4">
        <v>0</v>
      </c>
      <c r="G4052" s="5">
        <v>500</v>
      </c>
      <c r="H4052" s="5">
        <v>62125</v>
      </c>
      <c r="I4052" s="118">
        <f t="shared" si="176"/>
        <v>0.26010048147372827</v>
      </c>
      <c r="K4052" s="22">
        <v>2035</v>
      </c>
      <c r="L4052" s="6">
        <v>2064</v>
      </c>
      <c r="M4052" s="125">
        <f t="shared" si="172"/>
        <v>29</v>
      </c>
      <c r="P4052" s="247">
        <v>14111</v>
      </c>
      <c r="Q4052" s="25">
        <f>175.64/1075.2</f>
        <v>0.16335565476190475</v>
      </c>
      <c r="R4052" s="24">
        <f>P4052*Q4052</f>
        <v>2305.1116443452379</v>
      </c>
      <c r="S4052" s="158" t="e">
        <f>R4052*#REF!</f>
        <v>#REF!</v>
      </c>
      <c r="T4052" s="158" t="e">
        <f t="shared" si="177"/>
        <v>#REF!</v>
      </c>
      <c r="U4052" s="388">
        <v>0.1</v>
      </c>
      <c r="V4052" s="193"/>
      <c r="W4052" s="285">
        <f t="shared" ref="W4052:W4072" si="178">(P4052*Q4052)*(1+U4052)</f>
        <v>2535.6228087797617</v>
      </c>
      <c r="Y4052" s="1333"/>
      <c r="Z4052" s="1333"/>
      <c r="AA4052" s="1333"/>
      <c r="AB4052" s="1333"/>
      <c r="AC4052" s="1333"/>
      <c r="AD4052" s="1333"/>
      <c r="AE4052" s="1333"/>
      <c r="AF4052" s="1333"/>
      <c r="AG4052" s="1333"/>
    </row>
    <row r="4053" spans="1:33" ht="15" customHeight="1">
      <c r="A4053" s="3">
        <v>41550</v>
      </c>
      <c r="B4053" s="9">
        <v>78875</v>
      </c>
      <c r="C4053" s="5">
        <v>8975</v>
      </c>
      <c r="D4053" s="5" t="e">
        <f>E4053-C4053-#REF!-#REF!</f>
        <v>#REF!</v>
      </c>
      <c r="E4053" s="5">
        <v>238300</v>
      </c>
      <c r="F4053" s="4">
        <v>0</v>
      </c>
      <c r="G4053" s="5">
        <v>550</v>
      </c>
      <c r="H4053" s="5">
        <v>61575</v>
      </c>
      <c r="I4053" s="118">
        <f t="shared" si="176"/>
        <v>0.25839278220730172</v>
      </c>
      <c r="K4053" s="22">
        <v>2048</v>
      </c>
      <c r="L4053" s="6">
        <v>2073</v>
      </c>
      <c r="M4053" s="125">
        <f t="shared" si="172"/>
        <v>25</v>
      </c>
      <c r="P4053" s="247">
        <v>14112</v>
      </c>
      <c r="Q4053" s="25">
        <f>175.64/1075.2</f>
        <v>0.16335565476190475</v>
      </c>
      <c r="R4053" s="24">
        <f>P4053*Q4053</f>
        <v>2305.2749999999996</v>
      </c>
      <c r="S4053" s="158" t="e">
        <f>R4053*#REF!</f>
        <v>#REF!</v>
      </c>
      <c r="T4053" s="158" t="e">
        <f t="shared" si="177"/>
        <v>#REF!</v>
      </c>
      <c r="U4053" s="388">
        <v>0.1</v>
      </c>
      <c r="V4053" s="193"/>
      <c r="W4053" s="285">
        <f t="shared" si="178"/>
        <v>2535.8024999999998</v>
      </c>
      <c r="Y4053" s="1333"/>
      <c r="Z4053" s="1333"/>
      <c r="AA4053" s="1333"/>
      <c r="AB4053" s="1333"/>
      <c r="AC4053" s="1333"/>
      <c r="AD4053" s="1333"/>
      <c r="AE4053" s="1333"/>
      <c r="AF4053" s="1333"/>
      <c r="AG4053" s="1333"/>
    </row>
    <row r="4054" spans="1:33" ht="15" customHeight="1">
      <c r="A4054" s="3">
        <v>41551</v>
      </c>
      <c r="B4054" s="9">
        <v>78875</v>
      </c>
      <c r="C4054" s="5">
        <v>8475</v>
      </c>
      <c r="D4054" s="5" t="e">
        <f>E4054-C4054-#REF!-#REF!</f>
        <v>#REF!</v>
      </c>
      <c r="E4054" s="5">
        <v>237800</v>
      </c>
      <c r="F4054" s="4">
        <v>0</v>
      </c>
      <c r="G4054" s="5">
        <v>500</v>
      </c>
      <c r="H4054" s="5">
        <v>61075</v>
      </c>
      <c r="I4054" s="118">
        <f t="shared" si="176"/>
        <v>0.25683347350714886</v>
      </c>
      <c r="K4054" s="22">
        <v>2027</v>
      </c>
      <c r="L4054" s="6">
        <v>2057</v>
      </c>
      <c r="M4054" s="125">
        <f t="shared" si="172"/>
        <v>30</v>
      </c>
      <c r="P4054" s="247">
        <v>14113</v>
      </c>
      <c r="Q4054" s="25">
        <f>175.64/1075.2</f>
        <v>0.16335565476190475</v>
      </c>
      <c r="R4054" s="24">
        <f>P4054*Q4054</f>
        <v>2305.4383556547618</v>
      </c>
      <c r="S4054" s="158" t="e">
        <f>R4054*#REF!</f>
        <v>#REF!</v>
      </c>
      <c r="T4054" s="158" t="e">
        <f t="shared" si="177"/>
        <v>#REF!</v>
      </c>
      <c r="U4054" s="388">
        <v>0.1</v>
      </c>
      <c r="V4054" s="193"/>
      <c r="W4054" s="285">
        <f t="shared" si="178"/>
        <v>2535.9821912202383</v>
      </c>
      <c r="Y4054" s="1333"/>
      <c r="Z4054" s="1333"/>
      <c r="AA4054" s="1333"/>
      <c r="AB4054" s="1333"/>
      <c r="AC4054" s="1333"/>
      <c r="AD4054" s="1333"/>
      <c r="AE4054" s="1333"/>
      <c r="AF4054" s="1333"/>
      <c r="AG4054" s="1333"/>
    </row>
    <row r="4055" spans="1:33" ht="15" customHeight="1">
      <c r="A4055" s="3">
        <v>41554</v>
      </c>
      <c r="B4055" s="9">
        <v>78875</v>
      </c>
      <c r="C4055" s="5">
        <v>7975</v>
      </c>
      <c r="D4055" s="5" t="e">
        <f>E4055-C4055-#REF!-#REF!</f>
        <v>#REF!</v>
      </c>
      <c r="E4055" s="5">
        <v>237300</v>
      </c>
      <c r="F4055" s="4">
        <v>0</v>
      </c>
      <c r="G4055" s="5">
        <v>500</v>
      </c>
      <c r="H4055" s="5">
        <v>60575</v>
      </c>
      <c r="I4055" s="118">
        <f t="shared" si="176"/>
        <v>0.25526759376316899</v>
      </c>
      <c r="K4055" s="22">
        <v>2028</v>
      </c>
      <c r="L4055" s="6">
        <v>2053.5</v>
      </c>
      <c r="M4055" s="125">
        <f t="shared" si="172"/>
        <v>25.5</v>
      </c>
      <c r="P4055" s="247">
        <v>14114</v>
      </c>
      <c r="Q4055" s="25">
        <f>175.64/1075.2</f>
        <v>0.16335565476190475</v>
      </c>
      <c r="R4055" s="24">
        <f>P4055*Q4055</f>
        <v>2305.6017113095236</v>
      </c>
      <c r="S4055" s="158" t="e">
        <f>R4055*#REF!</f>
        <v>#REF!</v>
      </c>
      <c r="T4055" s="158" t="e">
        <f t="shared" si="177"/>
        <v>#REF!</v>
      </c>
      <c r="U4055" s="388">
        <v>0.1</v>
      </c>
      <c r="V4055" s="193"/>
      <c r="W4055" s="285">
        <f t="shared" si="178"/>
        <v>2536.1618824404763</v>
      </c>
      <c r="Y4055" s="1333"/>
      <c r="Z4055" s="1333"/>
      <c r="AA4055" s="1333"/>
      <c r="AB4055" s="1333"/>
      <c r="AC4055" s="1333"/>
      <c r="AD4055" s="1333"/>
      <c r="AE4055" s="1333"/>
      <c r="AF4055" s="1333"/>
      <c r="AG4055" s="1333"/>
    </row>
    <row r="4056" spans="1:33" ht="15" customHeight="1">
      <c r="A4056" s="3">
        <v>41555</v>
      </c>
      <c r="B4056" s="9">
        <v>78875</v>
      </c>
      <c r="C4056" s="5">
        <v>7475</v>
      </c>
      <c r="D4056" s="5" t="e">
        <f>E4056-C4056-#REF!-#REF!</f>
        <v>#REF!</v>
      </c>
      <c r="E4056" s="5">
        <v>236800</v>
      </c>
      <c r="F4056" s="4">
        <v>0</v>
      </c>
      <c r="G4056" s="5">
        <v>500</v>
      </c>
      <c r="H4056" s="5">
        <v>60075</v>
      </c>
      <c r="I4056" s="118">
        <f t="shared" si="176"/>
        <v>0.25369510135135137</v>
      </c>
      <c r="K4056" s="22">
        <v>2056</v>
      </c>
      <c r="L4056" s="6">
        <v>2083.5</v>
      </c>
      <c r="M4056" s="125">
        <f t="shared" si="172"/>
        <v>27.5</v>
      </c>
      <c r="P4056" s="247">
        <v>14060</v>
      </c>
      <c r="Q4056" s="25">
        <f>174.88/1070.5</f>
        <v>0.16336291452592247</v>
      </c>
      <c r="R4056" s="24">
        <f t="shared" ref="R4056:R4118" si="179">P4056*Q4056</f>
        <v>2296.8825782344697</v>
      </c>
      <c r="S4056" s="158" t="e">
        <f>R4056*#REF!</f>
        <v>#REF!</v>
      </c>
      <c r="T4056" s="158" t="e">
        <f t="shared" si="177"/>
        <v>#REF!</v>
      </c>
      <c r="U4056" s="388">
        <v>0.1</v>
      </c>
      <c r="V4056" s="193"/>
      <c r="W4056" s="285">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18">
        <f t="shared" si="176"/>
        <v>0.25251136724119699</v>
      </c>
      <c r="K4057" s="22">
        <v>2061</v>
      </c>
      <c r="L4057" s="6">
        <v>2091</v>
      </c>
      <c r="M4057" s="125">
        <f t="shared" si="172"/>
        <v>30</v>
      </c>
      <c r="P4057" s="247">
        <v>14060</v>
      </c>
      <c r="Q4057" s="25">
        <f>175.39/1073.6</f>
        <v>0.16336624441132638</v>
      </c>
      <c r="R4057" s="24">
        <f t="shared" si="179"/>
        <v>2296.9293964232488</v>
      </c>
      <c r="S4057" s="158" t="e">
        <f>R4057*#REF!</f>
        <v>#REF!</v>
      </c>
      <c r="T4057" s="158" t="e">
        <f t="shared" si="177"/>
        <v>#REF!</v>
      </c>
      <c r="U4057" s="388">
        <v>0.1</v>
      </c>
      <c r="W4057" s="285">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18">
        <f t="shared" si="176"/>
        <v>0.25219136128419051</v>
      </c>
      <c r="K4058" s="22">
        <v>2054</v>
      </c>
      <c r="L4058" s="6">
        <v>2076.5</v>
      </c>
      <c r="M4058" s="125">
        <f t="shared" si="172"/>
        <v>22.5</v>
      </c>
      <c r="P4058" s="247">
        <v>14060</v>
      </c>
      <c r="Q4058" s="25">
        <f>175.89/1075.7</f>
        <v>0.16351213163521425</v>
      </c>
      <c r="R4058" s="24">
        <f t="shared" si="179"/>
        <v>2298.9805707911123</v>
      </c>
      <c r="S4058" s="158" t="e">
        <f>R4058*#REF!</f>
        <v>#REF!</v>
      </c>
      <c r="T4058" s="158" t="e">
        <f t="shared" si="177"/>
        <v>#REF!</v>
      </c>
      <c r="U4058" s="388">
        <v>0.1</v>
      </c>
      <c r="W4058" s="285">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18">
        <f t="shared" si="176"/>
        <v>0.25219136128419051</v>
      </c>
      <c r="K4059" s="22">
        <v>2073</v>
      </c>
      <c r="L4059" s="6">
        <v>2099.5</v>
      </c>
      <c r="M4059" s="125">
        <f t="shared" si="172"/>
        <v>26.5</v>
      </c>
      <c r="P4059" s="247">
        <v>14090</v>
      </c>
      <c r="Q4059" s="25">
        <f>174.9/1070.5</f>
        <v>0.16338159738439981</v>
      </c>
      <c r="R4059" s="24">
        <f t="shared" si="179"/>
        <v>2302.0467071461931</v>
      </c>
      <c r="S4059" s="158" t="e">
        <f>R4059*#REF!</f>
        <v>#REF!</v>
      </c>
      <c r="T4059" s="158" t="e">
        <f t="shared" si="177"/>
        <v>#REF!</v>
      </c>
      <c r="U4059" s="388">
        <v>0.1</v>
      </c>
      <c r="W4059" s="285">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18">
        <f t="shared" si="176"/>
        <v>0.24885965842791979</v>
      </c>
      <c r="K4060" s="22">
        <v>2102</v>
      </c>
      <c r="L4060" s="6">
        <v>2127.5</v>
      </c>
      <c r="M4060" s="125">
        <f t="shared" si="172"/>
        <v>25.5</v>
      </c>
      <c r="P4060" s="247">
        <v>14090</v>
      </c>
      <c r="Q4060" s="25">
        <f>175.56/1072.3</f>
        <v>0.16372283875781032</v>
      </c>
      <c r="R4060" s="24">
        <f t="shared" si="179"/>
        <v>2306.8547980975472</v>
      </c>
      <c r="S4060" s="158" t="e">
        <f>R4060*#REF!</f>
        <v>#REF!</v>
      </c>
      <c r="T4060" s="158" t="e">
        <f t="shared" si="177"/>
        <v>#REF!</v>
      </c>
      <c r="U4060" s="388">
        <v>0.1</v>
      </c>
      <c r="W4060" s="285">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18">
        <f t="shared" si="176"/>
        <v>0.24243072643628971</v>
      </c>
      <c r="K4061" s="22">
        <v>2113</v>
      </c>
      <c r="L4061" s="6">
        <v>2138</v>
      </c>
      <c r="M4061" s="125">
        <f t="shared" si="172"/>
        <v>25</v>
      </c>
      <c r="P4061" s="247">
        <v>14140</v>
      </c>
      <c r="Q4061" s="25">
        <f>174.99/1067.9</f>
        <v>0.16386365764584698</v>
      </c>
      <c r="R4061" s="24">
        <f t="shared" si="179"/>
        <v>2317.0321191122762</v>
      </c>
      <c r="S4061" s="158" t="e">
        <f>R4061*#REF!</f>
        <v>#REF!</v>
      </c>
      <c r="T4061" s="158" t="e">
        <f t="shared" si="177"/>
        <v>#REF!</v>
      </c>
      <c r="U4061" s="388">
        <v>0.1</v>
      </c>
      <c r="W4061" s="285">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18">
        <f t="shared" si="176"/>
        <v>0.24031756249329472</v>
      </c>
      <c r="K4062" s="22">
        <v>2103.5</v>
      </c>
      <c r="L4062" s="6">
        <v>2128</v>
      </c>
      <c r="M4062" s="125">
        <f t="shared" si="172"/>
        <v>24.5</v>
      </c>
      <c r="P4062" s="247">
        <v>14140</v>
      </c>
      <c r="Q4062" s="25">
        <f>174.94/1067.1</f>
        <v>0.16393964951738357</v>
      </c>
      <c r="R4062" s="24">
        <f t="shared" si="179"/>
        <v>2318.1066441758039</v>
      </c>
      <c r="S4062" s="158" t="e">
        <f>R4062*#REF!</f>
        <v>#REF!</v>
      </c>
      <c r="T4062" s="158" t="e">
        <f t="shared" si="177"/>
        <v>#REF!</v>
      </c>
      <c r="U4062" s="388">
        <v>0.1</v>
      </c>
      <c r="W4062" s="285">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18">
        <f t="shared" si="176"/>
        <v>0.24031756249329472</v>
      </c>
      <c r="K4063" s="22">
        <v>2128</v>
      </c>
      <c r="L4063" s="6">
        <v>2155</v>
      </c>
      <c r="M4063" s="125">
        <f t="shared" si="172"/>
        <v>27</v>
      </c>
      <c r="P4063" s="247">
        <v>14160</v>
      </c>
      <c r="Q4063" s="25">
        <f>174.54/1064.4</f>
        <v>0.16397970687711386</v>
      </c>
      <c r="R4063" s="24">
        <f t="shared" si="179"/>
        <v>2321.9526493799322</v>
      </c>
      <c r="S4063" s="158" t="e">
        <f>R4063*#REF!</f>
        <v>#REF!</v>
      </c>
      <c r="T4063" s="158" t="e">
        <f t="shared" si="177"/>
        <v>#REF!</v>
      </c>
      <c r="U4063" s="388">
        <v>0.1</v>
      </c>
      <c r="W4063" s="285">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18">
        <f t="shared" si="176"/>
        <v>0.23880597014925373</v>
      </c>
      <c r="K4064" s="22">
        <v>2158.5</v>
      </c>
      <c r="L4064" s="6">
        <v>2181</v>
      </c>
      <c r="M4064" s="125">
        <f t="shared" si="172"/>
        <v>22.5</v>
      </c>
      <c r="P4064" s="247">
        <v>14240</v>
      </c>
      <c r="Q4064" s="25">
        <f>174.09/1061.4</f>
        <v>0.16401921989824758</v>
      </c>
      <c r="R4064" s="24">
        <f t="shared" si="179"/>
        <v>2335.6336913510454</v>
      </c>
      <c r="S4064" s="158" t="e">
        <f>R4064*#REF!</f>
        <v>#REF!</v>
      </c>
      <c r="T4064" s="158" t="e">
        <f t="shared" si="177"/>
        <v>#REF!</v>
      </c>
      <c r="U4064" s="388">
        <v>0.1</v>
      </c>
      <c r="W4064" s="285">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18">
        <f t="shared" si="176"/>
        <v>0.23880597014925373</v>
      </c>
      <c r="K4065" s="22">
        <v>2157.5</v>
      </c>
      <c r="L4065" s="6">
        <v>2183.5</v>
      </c>
      <c r="M4065" s="125">
        <f t="shared" si="172"/>
        <v>26</v>
      </c>
      <c r="P4065" s="247">
        <v>14240</v>
      </c>
      <c r="Q4065" s="25">
        <f>174.31/1062</f>
        <v>0.16413370998116761</v>
      </c>
      <c r="R4065" s="24">
        <f t="shared" si="179"/>
        <v>2337.2640301318265</v>
      </c>
      <c r="S4065" s="158" t="e">
        <f>R4065*#REF!</f>
        <v>#REF!</v>
      </c>
      <c r="T4065" s="158" t="e">
        <f t="shared" si="177"/>
        <v>#REF!</v>
      </c>
      <c r="U4065" s="388">
        <v>0.1</v>
      </c>
      <c r="W4065" s="285">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18">
        <f t="shared" si="176"/>
        <v>0.23880597014925373</v>
      </c>
      <c r="K4066" s="22">
        <v>2183</v>
      </c>
      <c r="L4066" s="6">
        <v>2203</v>
      </c>
      <c r="M4066" s="125">
        <f t="shared" si="172"/>
        <v>20</v>
      </c>
      <c r="P4066" s="247">
        <v>14260</v>
      </c>
      <c r="Q4066" s="25">
        <f>174.26/1061.7</f>
        <v>0.16413299425449748</v>
      </c>
      <c r="R4066" s="24">
        <f t="shared" si="179"/>
        <v>2340.5364980691343</v>
      </c>
      <c r="S4066" s="158" t="e">
        <f>R4066*#REF!</f>
        <v>#REF!</v>
      </c>
      <c r="T4066" s="158" t="e">
        <f t="shared" si="177"/>
        <v>#REF!</v>
      </c>
      <c r="U4066" s="388">
        <v>0.1</v>
      </c>
      <c r="W4066" s="285">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18">
        <f t="shared" si="176"/>
        <v>0.23749596644078735</v>
      </c>
      <c r="K4067" s="22">
        <v>2159</v>
      </c>
      <c r="L4067" s="6">
        <v>2179.5</v>
      </c>
      <c r="M4067" s="125">
        <f t="shared" si="172"/>
        <v>20.5</v>
      </c>
      <c r="P4067" s="247">
        <v>14310</v>
      </c>
      <c r="Q4067" s="25">
        <f>173.67/1056.5</f>
        <v>0.16438239469947941</v>
      </c>
      <c r="R4067" s="24">
        <f t="shared" si="179"/>
        <v>2352.3120681495502</v>
      </c>
      <c r="S4067" s="158" t="e">
        <f>R4067*#REF!</f>
        <v>#REF!</v>
      </c>
      <c r="T4067" s="158" t="e">
        <f t="shared" si="177"/>
        <v>#REF!</v>
      </c>
      <c r="U4067" s="388">
        <v>0.1</v>
      </c>
      <c r="W4067" s="285">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18">
        <f t="shared" si="176"/>
        <v>0.23683927225750889</v>
      </c>
      <c r="K4068" s="22">
        <v>2141</v>
      </c>
      <c r="L4068" s="6">
        <v>2164.5</v>
      </c>
      <c r="M4068" s="125">
        <f t="shared" si="172"/>
        <v>23.5</v>
      </c>
      <c r="P4068" s="247">
        <v>14260</v>
      </c>
      <c r="Q4068" s="25">
        <f>173.82/1057.2</f>
        <v>0.16441543700340522</v>
      </c>
      <c r="R4068" s="24">
        <f t="shared" si="179"/>
        <v>2344.5641316685583</v>
      </c>
      <c r="S4068" s="158" t="e">
        <f>R4068*#REF!</f>
        <v>#REF!</v>
      </c>
      <c r="T4068" s="158" t="e">
        <f t="shared" si="177"/>
        <v>#REF!</v>
      </c>
      <c r="U4068" s="388">
        <v>0.1</v>
      </c>
      <c r="W4068" s="285">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18">
        <f t="shared" si="176"/>
        <v>0.23731746890210925</v>
      </c>
      <c r="K4069" s="22">
        <v>2149</v>
      </c>
      <c r="L4069" s="6">
        <v>2173</v>
      </c>
      <c r="M4069" s="125">
        <f t="shared" si="172"/>
        <v>24</v>
      </c>
      <c r="P4069" s="247">
        <v>14260</v>
      </c>
      <c r="Q4069" s="25">
        <f>174.61/1062.3</f>
        <v>0.16436976372022971</v>
      </c>
      <c r="R4069" s="24">
        <f t="shared" si="179"/>
        <v>2343.9128306504758</v>
      </c>
      <c r="S4069" s="158" t="e">
        <f>R4069*#REF!</f>
        <v>#REF!</v>
      </c>
      <c r="T4069" s="158" t="e">
        <f t="shared" si="177"/>
        <v>#REF!</v>
      </c>
      <c r="U4069" s="388">
        <v>0.1</v>
      </c>
      <c r="W4069" s="285">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18">
        <f t="shared" si="176"/>
        <v>0.23505420199635077</v>
      </c>
      <c r="K4070" s="22">
        <v>2183</v>
      </c>
      <c r="L4070" s="6">
        <v>2204.5</v>
      </c>
      <c r="M4070" s="125">
        <f t="shared" si="172"/>
        <v>21.5</v>
      </c>
      <c r="P4070" s="247">
        <v>14340</v>
      </c>
      <c r="Q4070" s="25">
        <f>174.41/1061.4</f>
        <v>0.1643207084982099</v>
      </c>
      <c r="R4070" s="24">
        <f t="shared" si="179"/>
        <v>2356.3589598643298</v>
      </c>
      <c r="S4070" s="158" t="e">
        <f>R4070*#REF!</f>
        <v>#REF!</v>
      </c>
      <c r="T4070" s="158" t="e">
        <f t="shared" si="177"/>
        <v>#REF!</v>
      </c>
      <c r="U4070" s="388">
        <v>0.1</v>
      </c>
      <c r="W4070" s="285">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18">
        <f t="shared" si="176"/>
        <v>0.23505420199635077</v>
      </c>
      <c r="K4071" s="22">
        <v>2195</v>
      </c>
      <c r="L4071" s="6">
        <v>2212</v>
      </c>
      <c r="M4071" s="125">
        <f t="shared" si="172"/>
        <v>17</v>
      </c>
      <c r="P4071" s="247">
        <v>14330</v>
      </c>
      <c r="Q4071" s="25">
        <f>174.2/1060.9</f>
        <v>0.16420020737109997</v>
      </c>
      <c r="R4071" s="24">
        <f t="shared" si="179"/>
        <v>2352.9889716278626</v>
      </c>
      <c r="S4071" s="158" t="e">
        <f>R4071*#REF!</f>
        <v>#REF!</v>
      </c>
      <c r="T4071" s="158" t="e">
        <f t="shared" si="177"/>
        <v>#REF!</v>
      </c>
      <c r="U4071" s="388">
        <v>0.1</v>
      </c>
      <c r="W4071" s="285">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18">
        <f t="shared" si="176"/>
        <v>0.23537619405387999</v>
      </c>
      <c r="K4072" s="22">
        <v>2186.5</v>
      </c>
      <c r="L4072" s="6">
        <v>2207.5</v>
      </c>
      <c r="M4072" s="125">
        <f t="shared" si="172"/>
        <v>21</v>
      </c>
      <c r="O4072" s="135"/>
      <c r="P4072" s="247">
        <v>14330</v>
      </c>
      <c r="Q4072" s="25">
        <f>174.18/1061.4</f>
        <v>0.16410401356698698</v>
      </c>
      <c r="R4072" s="24">
        <f t="shared" si="179"/>
        <v>2351.6105144149233</v>
      </c>
      <c r="S4072" s="158" t="e">
        <f>R4072*#REF!</f>
        <v>#REF!</v>
      </c>
      <c r="T4072" s="158" t="e">
        <f t="shared" si="177"/>
        <v>#REF!</v>
      </c>
      <c r="U4072" s="388">
        <v>0.1</v>
      </c>
      <c r="W4072" s="285">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18">
        <f t="shared" si="176"/>
        <v>0.23537619405387999</v>
      </c>
      <c r="K4073" s="22">
        <v>2170</v>
      </c>
      <c r="L4073" s="6">
        <v>2189.5</v>
      </c>
      <c r="M4073" s="125">
        <f t="shared" si="172"/>
        <v>19.5</v>
      </c>
      <c r="N4073" s="235">
        <f>AVERAGE(K4051:K4073)</f>
        <v>2111.4565217391305</v>
      </c>
      <c r="O4073" s="230">
        <f>AVERAGE(K3848:K4073)</f>
        <v>2146.9693396226417</v>
      </c>
      <c r="P4073" s="247">
        <v>14290</v>
      </c>
      <c r="Q4073" s="25">
        <f>173.91/1059.9</f>
        <v>0.16408151712425698</v>
      </c>
      <c r="R4073" s="24">
        <f t="shared" si="179"/>
        <v>2344.7248797056322</v>
      </c>
      <c r="S4073" s="158" t="e">
        <f>R4073*#REF!</f>
        <v>#REF!</v>
      </c>
      <c r="T4073" s="158" t="e">
        <f t="shared" si="177"/>
        <v>#REF!</v>
      </c>
      <c r="U4073" s="388">
        <v>0.1</v>
      </c>
      <c r="W4073" s="285">
        <f t="shared" ref="W4073:W4094" si="180">(P4073*Q4073)*(1+U4073)</f>
        <v>2579.1973676761959</v>
      </c>
    </row>
    <row r="4074" spans="1:23" ht="15" customHeight="1" thickBot="1">
      <c r="A4074" s="216"/>
      <c r="B4074" s="1330"/>
      <c r="C4074" s="1330"/>
      <c r="D4074" s="1330"/>
      <c r="E4074" s="216"/>
      <c r="F4074" s="407"/>
      <c r="G4074" s="164"/>
      <c r="H4074" s="164"/>
      <c r="I4074" s="166"/>
      <c r="J4074" s="166"/>
      <c r="K4074" s="166"/>
      <c r="L4074" s="167"/>
      <c r="M4074" s="168"/>
      <c r="N4074" s="169"/>
      <c r="O4074" s="183"/>
      <c r="P4074" s="180"/>
      <c r="Q4074" s="154"/>
      <c r="R4074" s="248">
        <f t="shared" si="179"/>
        <v>0</v>
      </c>
      <c r="S4074" s="249" t="e">
        <f>R4074*#REF!</f>
        <v>#REF!</v>
      </c>
      <c r="T4074" s="249" t="e">
        <f t="shared" si="177"/>
        <v>#REF!</v>
      </c>
      <c r="U4074" s="152"/>
      <c r="V4074" s="153">
        <f>AVERAGE(P4051:P4073)</f>
        <v>14183.478260869566</v>
      </c>
      <c r="W4074" s="295"/>
    </row>
    <row r="4075" spans="1:23" ht="15" customHeight="1">
      <c r="A4075" s="3">
        <v>41579</v>
      </c>
      <c r="B4075" s="9">
        <v>77675</v>
      </c>
      <c r="C4075" s="5">
        <v>7100</v>
      </c>
      <c r="D4075" s="5" t="e">
        <f>E4075-C4075-#REF!-#REF!</f>
        <v>#REF!</v>
      </c>
      <c r="E4075" s="5">
        <v>233200</v>
      </c>
      <c r="F4075" s="4">
        <v>300</v>
      </c>
      <c r="G4075" s="5">
        <v>25</v>
      </c>
      <c r="H4075" s="5">
        <v>54800</v>
      </c>
      <c r="I4075" s="118">
        <f t="shared" ref="I4075:I4095" si="181">H4075/E4075</f>
        <v>0.23499142367066894</v>
      </c>
      <c r="K4075" s="22">
        <v>2171</v>
      </c>
      <c r="L4075" s="6">
        <v>2195</v>
      </c>
      <c r="M4075" s="125">
        <f t="shared" si="172"/>
        <v>24</v>
      </c>
      <c r="P4075" s="247">
        <v>14290</v>
      </c>
      <c r="Q4075" s="25">
        <f>174.21/1062.6</f>
        <v>0.16394692264257485</v>
      </c>
      <c r="R4075" s="24">
        <f t="shared" si="179"/>
        <v>2342.8015245623947</v>
      </c>
      <c r="S4075" s="158" t="e">
        <f>R4075*#REF!</f>
        <v>#REF!</v>
      </c>
      <c r="T4075" s="158" t="e">
        <f t="shared" si="177"/>
        <v>#REF!</v>
      </c>
      <c r="U4075" s="388">
        <v>0.1</v>
      </c>
      <c r="W4075" s="285">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18">
        <f t="shared" si="181"/>
        <v>0.23482736435770962</v>
      </c>
      <c r="K4076" s="22">
        <v>2139</v>
      </c>
      <c r="L4076" s="6">
        <v>2158.5</v>
      </c>
      <c r="M4076" s="125">
        <f t="shared" si="172"/>
        <v>19.5</v>
      </c>
      <c r="P4076" s="247">
        <v>14290</v>
      </c>
      <c r="Q4076" s="25">
        <f>174.14/1062.1</f>
        <v>0.16395819602673947</v>
      </c>
      <c r="R4076" s="24">
        <f t="shared" si="179"/>
        <v>2342.9626212221069</v>
      </c>
      <c r="S4076" s="158" t="e">
        <f>R4076*#REF!</f>
        <v>#REF!</v>
      </c>
      <c r="T4076" s="158" t="e">
        <f t="shared" si="177"/>
        <v>#REF!</v>
      </c>
      <c r="U4076" s="388">
        <v>0.1</v>
      </c>
      <c r="W4076" s="285">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18">
        <f t="shared" si="181"/>
        <v>0.23482736435770962</v>
      </c>
      <c r="K4077" s="22">
        <v>2123.5</v>
      </c>
      <c r="L4077" s="6">
        <v>2147</v>
      </c>
      <c r="M4077" s="125">
        <f t="shared" si="172"/>
        <v>23.5</v>
      </c>
      <c r="P4077" s="247">
        <v>14220</v>
      </c>
      <c r="Q4077" s="25">
        <f>174.19/1062</f>
        <v>0.16402071563088513</v>
      </c>
      <c r="R4077" s="24">
        <f t="shared" si="179"/>
        <v>2332.3745762711865</v>
      </c>
      <c r="S4077" s="158" t="e">
        <f>R4077*#REF!</f>
        <v>#REF!</v>
      </c>
      <c r="T4077" s="158" t="e">
        <f t="shared" si="177"/>
        <v>#REF!</v>
      </c>
      <c r="U4077" s="388">
        <v>0.1</v>
      </c>
      <c r="W4077" s="285">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18">
        <f t="shared" si="181"/>
        <v>0.23482736435770962</v>
      </c>
      <c r="K4078" s="22">
        <v>2150</v>
      </c>
      <c r="L4078" s="6">
        <v>2173.5</v>
      </c>
      <c r="M4078" s="125">
        <f t="shared" si="172"/>
        <v>23.5</v>
      </c>
      <c r="P4078" s="247">
        <v>14220</v>
      </c>
      <c r="Q4078" s="25">
        <f>174.31/1062</f>
        <v>0.16413370998116761</v>
      </c>
      <c r="R4078" s="24">
        <f t="shared" si="179"/>
        <v>2333.9813559322033</v>
      </c>
      <c r="S4078" s="158" t="e">
        <f>R4078*#REF!</f>
        <v>#REF!</v>
      </c>
      <c r="T4078" s="158" t="e">
        <f t="shared" si="177"/>
        <v>#REF!</v>
      </c>
      <c r="U4078" s="388">
        <v>0.1</v>
      </c>
      <c r="W4078" s="285">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18">
        <f t="shared" si="181"/>
        <v>0.23482736435770962</v>
      </c>
      <c r="K4079" s="22">
        <v>2117</v>
      </c>
      <c r="L4079" s="6">
        <v>2138</v>
      </c>
      <c r="M4079" s="125">
        <f t="shared" si="172"/>
        <v>21</v>
      </c>
      <c r="P4079" s="247">
        <v>14220</v>
      </c>
      <c r="Q4079" s="25">
        <f>174.15/1060.7</f>
        <v>0.16418402941453758</v>
      </c>
      <c r="R4079" s="24">
        <f t="shared" si="179"/>
        <v>2334.6968982747244</v>
      </c>
      <c r="S4079" s="158" t="e">
        <f>R4079*#REF!</f>
        <v>#REF!</v>
      </c>
      <c r="T4079" s="158" t="e">
        <f t="shared" si="177"/>
        <v>#REF!</v>
      </c>
      <c r="U4079" s="388">
        <v>0.1</v>
      </c>
      <c r="W4079" s="285">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18">
        <f t="shared" si="181"/>
        <v>0.23433476394849787</v>
      </c>
      <c r="K4080" s="22">
        <v>2117</v>
      </c>
      <c r="L4080" s="6">
        <v>2137</v>
      </c>
      <c r="M4080" s="125">
        <f t="shared" si="172"/>
        <v>20</v>
      </c>
      <c r="P4080" s="247">
        <v>14220</v>
      </c>
      <c r="Q4080" s="25">
        <f>174.61/1063.5</f>
        <v>0.16418429713211097</v>
      </c>
      <c r="R4080" s="24">
        <f t="shared" si="179"/>
        <v>2334.7007052186182</v>
      </c>
      <c r="S4080" s="158" t="e">
        <f>R4080*#REF!</f>
        <v>#REF!</v>
      </c>
      <c r="T4080" s="158" t="e">
        <f t="shared" si="177"/>
        <v>#REF!</v>
      </c>
      <c r="U4080" s="388">
        <v>0.1</v>
      </c>
      <c r="W4080" s="285">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18">
        <f t="shared" si="181"/>
        <v>0.23433476394849787</v>
      </c>
      <c r="K4081" s="22">
        <v>2107.5</v>
      </c>
      <c r="L4081" s="6">
        <v>2124</v>
      </c>
      <c r="M4081" s="125">
        <f t="shared" si="172"/>
        <v>16.5</v>
      </c>
      <c r="P4081" s="247">
        <v>14190</v>
      </c>
      <c r="Q4081" s="25">
        <f>175.41/1068.5</f>
        <v>0.16416471689284043</v>
      </c>
      <c r="R4081" s="24">
        <f t="shared" si="179"/>
        <v>2329.4973327094058</v>
      </c>
      <c r="S4081" s="158" t="e">
        <f>R4081*#REF!</f>
        <v>#REF!</v>
      </c>
      <c r="T4081" s="158" t="e">
        <f t="shared" si="177"/>
        <v>#REF!</v>
      </c>
      <c r="U4081" s="388">
        <v>0.1</v>
      </c>
      <c r="W4081" s="285">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18">
        <f t="shared" si="181"/>
        <v>0.23433476394849787</v>
      </c>
      <c r="K4082" s="22">
        <v>2092</v>
      </c>
      <c r="L4082" s="6">
        <v>2111.5</v>
      </c>
      <c r="M4082" s="125">
        <f t="shared" si="172"/>
        <v>19.5</v>
      </c>
      <c r="P4082" s="247">
        <v>14140</v>
      </c>
      <c r="Q4082" s="25">
        <f>175.79/1070.9</f>
        <v>0.16415164814641889</v>
      </c>
      <c r="R4082" s="24">
        <f t="shared" si="179"/>
        <v>2321.1043047903631</v>
      </c>
      <c r="S4082" s="158" t="e">
        <f>R4082*#REF!</f>
        <v>#REF!</v>
      </c>
      <c r="T4082" s="158" t="e">
        <f t="shared" si="177"/>
        <v>#REF!</v>
      </c>
      <c r="U4082" s="388">
        <v>0.1</v>
      </c>
      <c r="W4082" s="285">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18">
        <f t="shared" si="181"/>
        <v>0.23069610224992076</v>
      </c>
      <c r="K4083" s="22">
        <v>2077</v>
      </c>
      <c r="L4083" s="6">
        <v>2094</v>
      </c>
      <c r="M4083" s="125">
        <f t="shared" si="172"/>
        <v>17</v>
      </c>
      <c r="P4083" s="247">
        <v>14060</v>
      </c>
      <c r="Q4083" s="25">
        <f>176.09/1072.9</f>
        <v>0.16412526796532761</v>
      </c>
      <c r="R4083" s="24">
        <f t="shared" si="179"/>
        <v>2307.6012675925062</v>
      </c>
      <c r="S4083" s="158" t="e">
        <f>R4083*#REF!</f>
        <v>#REF!</v>
      </c>
      <c r="T4083" s="158" t="e">
        <f t="shared" si="177"/>
        <v>#REF!</v>
      </c>
      <c r="U4083" s="388">
        <v>0.1</v>
      </c>
      <c r="W4083" s="285">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18">
        <f t="shared" si="181"/>
        <v>0.23069610224992076</v>
      </c>
      <c r="K4084" s="22">
        <v>2074</v>
      </c>
      <c r="L4084" s="6">
        <v>2092</v>
      </c>
      <c r="M4084" s="125">
        <f t="shared" si="172"/>
        <v>18</v>
      </c>
      <c r="P4084" s="247">
        <v>14060</v>
      </c>
      <c r="Q4084" s="25">
        <f>175.19/1067.3</f>
        <v>0.16414316499578377</v>
      </c>
      <c r="R4084" s="24">
        <f t="shared" si="179"/>
        <v>2307.8528998407196</v>
      </c>
      <c r="S4084" s="158" t="e">
        <f>R4084*#REF!</f>
        <v>#REF!</v>
      </c>
      <c r="T4084" s="158" t="e">
        <f t="shared" si="177"/>
        <v>#REF!</v>
      </c>
      <c r="U4084" s="388">
        <v>0.1</v>
      </c>
      <c r="W4084" s="285">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18">
        <f t="shared" si="181"/>
        <v>0.23069610224992076</v>
      </c>
      <c r="K4085" s="22">
        <v>2073</v>
      </c>
      <c r="L4085" s="6">
        <v>2091</v>
      </c>
      <c r="M4085" s="125">
        <f t="shared" si="172"/>
        <v>18</v>
      </c>
      <c r="P4085" s="247">
        <v>14060</v>
      </c>
      <c r="Q4085" s="25">
        <f>175.09/1066.7</f>
        <v>0.16414174557045091</v>
      </c>
      <c r="R4085" s="24">
        <f t="shared" si="179"/>
        <v>2307.8329427205399</v>
      </c>
      <c r="S4085" s="158" t="e">
        <f>R4085*#REF!</f>
        <v>#REF!</v>
      </c>
      <c r="T4085" s="158" t="e">
        <f t="shared" si="177"/>
        <v>#REF!</v>
      </c>
      <c r="U4085" s="388">
        <v>0.1</v>
      </c>
      <c r="W4085" s="285">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18">
        <f t="shared" si="181"/>
        <v>0.22890418210693489</v>
      </c>
      <c r="K4086" s="22">
        <v>2072</v>
      </c>
      <c r="L4086" s="6">
        <v>2092</v>
      </c>
      <c r="M4086" s="125">
        <f t="shared" si="172"/>
        <v>20</v>
      </c>
      <c r="P4086" s="247">
        <v>14040</v>
      </c>
      <c r="Q4086" s="25">
        <f>174.11/1060.7</f>
        <v>0.16414631846893563</v>
      </c>
      <c r="R4086" s="24">
        <f t="shared" si="179"/>
        <v>2304.6143113038561</v>
      </c>
      <c r="S4086" s="158" t="e">
        <f>R4086*#REF!</f>
        <v>#REF!</v>
      </c>
      <c r="T4086" s="158" t="e">
        <f t="shared" si="177"/>
        <v>#REF!</v>
      </c>
      <c r="U4086" s="388">
        <v>0.1</v>
      </c>
      <c r="W4086" s="285">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18">
        <f t="shared" si="181"/>
        <v>0.22661144738239355</v>
      </c>
      <c r="K4087" s="22">
        <v>2062.5</v>
      </c>
      <c r="L4087" s="6">
        <v>2081.5</v>
      </c>
      <c r="M4087" s="125">
        <f t="shared" si="172"/>
        <v>19</v>
      </c>
      <c r="P4087" s="247">
        <v>13960</v>
      </c>
      <c r="Q4087" s="25">
        <f>173.28/1055.8</f>
        <v>0.16412199280166698</v>
      </c>
      <c r="R4087" s="24">
        <f t="shared" si="179"/>
        <v>2291.1430195112712</v>
      </c>
      <c r="S4087" s="158" t="e">
        <f>R4087*#REF!</f>
        <v>#REF!</v>
      </c>
      <c r="T4087" s="158" t="e">
        <f t="shared" si="177"/>
        <v>#REF!</v>
      </c>
      <c r="U4087" s="388">
        <v>0.1</v>
      </c>
      <c r="W4087" s="285">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18">
        <f t="shared" si="181"/>
        <v>0.224563644103874</v>
      </c>
      <c r="K4088" s="22">
        <v>2074</v>
      </c>
      <c r="L4088" s="6">
        <v>2094</v>
      </c>
      <c r="M4088" s="125">
        <f t="shared" si="172"/>
        <v>20</v>
      </c>
      <c r="P4088" s="247">
        <v>13960</v>
      </c>
      <c r="Q4088" s="25">
        <f>173.37/1056.3</f>
        <v>0.16412950866231185</v>
      </c>
      <c r="R4088" s="24">
        <f t="shared" si="179"/>
        <v>2291.2479409258735</v>
      </c>
      <c r="S4088" s="158" t="e">
        <f>R4088*#REF!</f>
        <v>#REF!</v>
      </c>
      <c r="T4088" s="158" t="e">
        <f t="shared" si="177"/>
        <v>#REF!</v>
      </c>
      <c r="U4088" s="388">
        <v>0.1</v>
      </c>
      <c r="W4088" s="285">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18">
        <f t="shared" si="181"/>
        <v>0.22199679658302188</v>
      </c>
      <c r="K4089" s="22">
        <v>2061</v>
      </c>
      <c r="L4089" s="6">
        <v>2081</v>
      </c>
      <c r="M4089" s="125">
        <f t="shared" si="172"/>
        <v>20</v>
      </c>
      <c r="P4089" s="247">
        <v>13960</v>
      </c>
      <c r="Q4089" s="25">
        <f>174.28/1061.9</f>
        <v>0.16412091534042753</v>
      </c>
      <c r="R4089" s="24">
        <f t="shared" si="179"/>
        <v>2291.1279781523681</v>
      </c>
      <c r="S4089" s="158" t="e">
        <f>R4089*#REF!</f>
        <v>#REF!</v>
      </c>
      <c r="T4089" s="158" t="e">
        <f t="shared" si="177"/>
        <v>#REF!</v>
      </c>
      <c r="U4089" s="388">
        <v>0.1</v>
      </c>
      <c r="W4089" s="285">
        <f t="shared" si="180"/>
        <v>2520.2407759676053</v>
      </c>
    </row>
    <row r="4090" spans="1:23" ht="15" customHeight="1">
      <c r="A4090" s="3">
        <v>41600</v>
      </c>
      <c r="B4090" s="9">
        <v>77475</v>
      </c>
      <c r="C4090" s="5">
        <v>7100</v>
      </c>
      <c r="D4090" s="5" t="e">
        <f>E4090-C4090-#REF!-#REF!</f>
        <v>#REF!</v>
      </c>
      <c r="E4090" s="5">
        <v>233825</v>
      </c>
      <c r="H4090" s="5">
        <v>51475</v>
      </c>
      <c r="I4090" s="118">
        <f t="shared" si="181"/>
        <v>0.22014326953918528</v>
      </c>
      <c r="K4090" s="22">
        <v>2083</v>
      </c>
      <c r="L4090" s="6">
        <v>2104</v>
      </c>
      <c r="M4090" s="125">
        <f t="shared" si="172"/>
        <v>21</v>
      </c>
      <c r="P4090" s="247">
        <v>13940</v>
      </c>
      <c r="Q4090" s="25">
        <f>174.21/1061.6</f>
        <v>0.16410135644310478</v>
      </c>
      <c r="R4090" s="24">
        <f t="shared" si="179"/>
        <v>2287.5729088168805</v>
      </c>
      <c r="S4090" s="158" t="e">
        <f>R4090*#REF!</f>
        <v>#REF!</v>
      </c>
      <c r="T4090" s="158" t="e">
        <f t="shared" si="177"/>
        <v>#REF!</v>
      </c>
      <c r="U4090" s="388">
        <v>0.1</v>
      </c>
      <c r="W4090" s="285">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18">
        <f t="shared" si="181"/>
        <v>0.21819154628143392</v>
      </c>
      <c r="K4091" s="22">
        <v>2068</v>
      </c>
      <c r="L4091" s="6">
        <v>2090.5</v>
      </c>
      <c r="M4091" s="125">
        <f t="shared" si="172"/>
        <v>22.5</v>
      </c>
      <c r="P4091" s="247">
        <v>13940</v>
      </c>
      <c r="Q4091" s="25">
        <f>174.08/1060.6</f>
        <v>0.16413350933433907</v>
      </c>
      <c r="R4091" s="24">
        <f t="shared" si="179"/>
        <v>2288.0211201206866</v>
      </c>
      <c r="S4091" s="158" t="e">
        <f>R4091*#REF!</f>
        <v>#REF!</v>
      </c>
      <c r="T4091" s="158" t="e">
        <f t="shared" si="177"/>
        <v>#REF!</v>
      </c>
      <c r="U4091" s="388">
        <v>0.1</v>
      </c>
      <c r="W4091" s="285">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18">
        <f t="shared" si="181"/>
        <v>0.21575783598110776</v>
      </c>
      <c r="K4092" s="22">
        <v>2073</v>
      </c>
      <c r="L4092" s="6">
        <v>2094</v>
      </c>
      <c r="M4092" s="125">
        <f t="shared" si="172"/>
        <v>21</v>
      </c>
      <c r="P4092" s="247">
        <v>13920</v>
      </c>
      <c r="Q4092" s="25">
        <f>174.03/1060.3</f>
        <v>0.16413279260586627</v>
      </c>
      <c r="R4092" s="24">
        <f t="shared" si="179"/>
        <v>2284.7284730736587</v>
      </c>
      <c r="S4092" s="158" t="e">
        <f>R4092*#REF!</f>
        <v>#REF!</v>
      </c>
      <c r="T4092" s="158" t="e">
        <f t="shared" si="177"/>
        <v>#REF!</v>
      </c>
      <c r="U4092" s="388">
        <v>0.1</v>
      </c>
      <c r="W4092" s="285">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18">
        <f t="shared" si="181"/>
        <v>0.21420118343195266</v>
      </c>
      <c r="K4093" s="22">
        <v>2067</v>
      </c>
      <c r="L4093" s="6">
        <v>2090.5</v>
      </c>
      <c r="M4093" s="125">
        <f t="shared" si="172"/>
        <v>23.5</v>
      </c>
      <c r="P4093" s="247">
        <v>13920</v>
      </c>
      <c r="Q4093" s="25">
        <f>174.13/1060.9</f>
        <v>0.16413422565746064</v>
      </c>
      <c r="R4093" s="24">
        <f t="shared" si="179"/>
        <v>2284.7484211518522</v>
      </c>
      <c r="S4093" s="158" t="e">
        <f>R4093*#REF!</f>
        <v>#REF!</v>
      </c>
      <c r="T4093" s="158" t="e">
        <f t="shared" si="177"/>
        <v>#REF!</v>
      </c>
      <c r="U4093" s="388">
        <v>0.1</v>
      </c>
      <c r="W4093" s="285">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18">
        <f t="shared" si="181"/>
        <v>0.21250673854447438</v>
      </c>
      <c r="K4094" s="22">
        <v>2041</v>
      </c>
      <c r="L4094" s="6">
        <v>2065.5</v>
      </c>
      <c r="M4094" s="125">
        <f t="shared" si="172"/>
        <v>24.5</v>
      </c>
      <c r="P4094" s="247">
        <v>13890</v>
      </c>
      <c r="Q4094" s="25">
        <f>174.33/1062.1</f>
        <v>0.16413708690330481</v>
      </c>
      <c r="R4094" s="24">
        <f t="shared" si="179"/>
        <v>2279.8641370869036</v>
      </c>
      <c r="S4094" s="158" t="e">
        <f>R4094*#REF!</f>
        <v>#REF!</v>
      </c>
      <c r="T4094" s="158" t="e">
        <f t="shared" si="177"/>
        <v>#REF!</v>
      </c>
      <c r="U4094" s="388">
        <v>0.1</v>
      </c>
      <c r="W4094" s="285">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18">
        <f t="shared" si="181"/>
        <v>0.21080497028633172</v>
      </c>
      <c r="K4095" s="22">
        <v>2051.5</v>
      </c>
      <c r="L4095" s="6">
        <v>2076</v>
      </c>
      <c r="M4095" s="125">
        <f t="shared" si="172"/>
        <v>24.5</v>
      </c>
      <c r="N4095" s="235">
        <f>AVERAGE(K4075:K4095)</f>
        <v>2090.1904761904761</v>
      </c>
      <c r="O4095" s="230">
        <f>AVERAGE(K3848:K4095)</f>
        <v>2141.8519313304723</v>
      </c>
      <c r="P4095" s="247">
        <v>13890</v>
      </c>
      <c r="Q4095" s="25">
        <f>173.78/1058.9</f>
        <v>0.16411370289923505</v>
      </c>
      <c r="R4095" s="24">
        <f t="shared" si="179"/>
        <v>2279.5393332703748</v>
      </c>
      <c r="S4095" s="158" t="e">
        <f>R4095*#REF!</f>
        <v>#REF!</v>
      </c>
      <c r="T4095" s="158" t="e">
        <f t="shared" si="177"/>
        <v>#REF!</v>
      </c>
      <c r="U4095" s="388">
        <v>0.1</v>
      </c>
      <c r="W4095" s="285">
        <f t="shared" ref="W4095:W4117" si="182">(P4095*Q4095)*(1+U4095)</f>
        <v>2507.4932665974125</v>
      </c>
    </row>
    <row r="4096" spans="1:23" ht="15" customHeight="1" thickBot="1">
      <c r="A4096" s="216"/>
      <c r="B4096" s="1330"/>
      <c r="C4096" s="1330"/>
      <c r="D4096" s="1330"/>
      <c r="E4096" s="216"/>
      <c r="F4096" s="407"/>
      <c r="G4096" s="164"/>
      <c r="H4096" s="164"/>
      <c r="I4096" s="166"/>
      <c r="J4096" s="166"/>
      <c r="K4096" s="166"/>
      <c r="L4096" s="167"/>
      <c r="M4096" s="168"/>
      <c r="N4096" s="169"/>
      <c r="O4096" s="183"/>
      <c r="P4096" s="180"/>
      <c r="Q4096" s="154"/>
      <c r="R4096" s="248"/>
      <c r="S4096" s="249"/>
      <c r="T4096" s="249"/>
      <c r="U4096" s="152"/>
      <c r="V4096" s="153">
        <f>AVERAGE(P4075:P4095)</f>
        <v>14066.190476190477</v>
      </c>
      <c r="W4096" s="295"/>
    </row>
    <row r="4097" spans="1:23" ht="15" customHeight="1">
      <c r="A4097" s="3">
        <v>41610</v>
      </c>
      <c r="B4097" s="9">
        <v>77925</v>
      </c>
      <c r="C4097" s="5">
        <v>7100</v>
      </c>
      <c r="D4097" s="5" t="e">
        <f>E4097-C4097-#REF!-#REF!</f>
        <v>#REF!</v>
      </c>
      <c r="E4097" s="5">
        <v>230175</v>
      </c>
      <c r="F4097" s="4">
        <v>0</v>
      </c>
      <c r="G4097" s="5">
        <v>1200</v>
      </c>
      <c r="H4097" s="5">
        <v>48000</v>
      </c>
      <c r="I4097" s="118">
        <f t="shared" ref="I4097:I4113" si="183">H4097/E4097</f>
        <v>0.20853698273053112</v>
      </c>
      <c r="K4097" s="22">
        <v>2040.5</v>
      </c>
      <c r="L4097" s="6">
        <v>2065.5</v>
      </c>
      <c r="M4097" s="125">
        <f t="shared" si="172"/>
        <v>25</v>
      </c>
      <c r="P4097" s="247">
        <v>13890</v>
      </c>
      <c r="Q4097" s="25">
        <f>173.59/1057.7</f>
        <v>0.16412026094355678</v>
      </c>
      <c r="R4097" s="24">
        <f t="shared" si="179"/>
        <v>2279.6304245060037</v>
      </c>
      <c r="S4097" s="158" t="e">
        <f>R4097*#REF!</f>
        <v>#REF!</v>
      </c>
      <c r="T4097" s="158" t="e">
        <f t="shared" ref="T4097:T4118" si="184">(R4097+S4097)*U4097</f>
        <v>#REF!</v>
      </c>
      <c r="U4097" s="388">
        <v>0.1</v>
      </c>
      <c r="W4097" s="285">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18">
        <f t="shared" si="183"/>
        <v>0.20656664492280929</v>
      </c>
      <c r="K4098" s="22">
        <v>2035.5</v>
      </c>
      <c r="L4098" s="6">
        <v>2062</v>
      </c>
      <c r="M4098" s="125">
        <f t="shared" si="172"/>
        <v>26.5</v>
      </c>
      <c r="P4098" s="247">
        <v>13840</v>
      </c>
      <c r="Q4098" s="25">
        <f>174.2/1061.3</f>
        <v>0.16413832092716479</v>
      </c>
      <c r="R4098" s="24">
        <f t="shared" si="179"/>
        <v>2271.6743616319609</v>
      </c>
      <c r="S4098" s="158" t="e">
        <f>R4098*#REF!</f>
        <v>#REF!</v>
      </c>
      <c r="T4098" s="158" t="e">
        <f t="shared" si="184"/>
        <v>#REF!</v>
      </c>
      <c r="U4098" s="388">
        <v>0.1</v>
      </c>
      <c r="W4098" s="285">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18">
        <f t="shared" si="183"/>
        <v>0.20505556766179997</v>
      </c>
      <c r="K4099" s="22">
        <v>2047</v>
      </c>
      <c r="L4099" s="6">
        <v>2072.5</v>
      </c>
      <c r="M4099" s="125">
        <f t="shared" si="172"/>
        <v>25.5</v>
      </c>
      <c r="P4099" s="247">
        <v>13840</v>
      </c>
      <c r="Q4099" s="25">
        <f>174.21/1061.2</f>
        <v>0.16416321145872598</v>
      </c>
      <c r="R4099" s="24">
        <f t="shared" si="179"/>
        <v>2272.0188465887677</v>
      </c>
      <c r="S4099" s="158" t="e">
        <f>R4099*#REF!</f>
        <v>#REF!</v>
      </c>
      <c r="T4099" s="158" t="e">
        <f t="shared" si="184"/>
        <v>#REF!</v>
      </c>
      <c r="U4099" s="388">
        <v>0.1</v>
      </c>
      <c r="W4099" s="285">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18">
        <f t="shared" si="183"/>
        <v>0.20323249972698482</v>
      </c>
      <c r="K4100" s="22">
        <v>2074</v>
      </c>
      <c r="L4100" s="6">
        <v>2100</v>
      </c>
      <c r="M4100" s="125">
        <f t="shared" si="172"/>
        <v>26</v>
      </c>
      <c r="P4100" s="247">
        <v>13840</v>
      </c>
      <c r="Q4100" s="25">
        <f>174.13/1060.7</f>
        <v>0.16416517394173658</v>
      </c>
      <c r="R4100" s="24">
        <f t="shared" si="179"/>
        <v>2272.0460073536342</v>
      </c>
      <c r="S4100" s="158" t="e">
        <f>R4100*#REF!</f>
        <v>#REF!</v>
      </c>
      <c r="T4100" s="158" t="e">
        <f t="shared" si="184"/>
        <v>#REF!</v>
      </c>
      <c r="U4100" s="388">
        <v>0.1</v>
      </c>
      <c r="W4100" s="285">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18">
        <f t="shared" si="183"/>
        <v>0.19973675551168146</v>
      </c>
      <c r="K4101" s="22">
        <v>2067</v>
      </c>
      <c r="L4101" s="6">
        <v>2091.5</v>
      </c>
      <c r="M4101" s="125">
        <f t="shared" si="172"/>
        <v>24.5</v>
      </c>
      <c r="P4101" s="247">
        <v>13820</v>
      </c>
      <c r="Q4101" s="25">
        <f>174/1058.2</f>
        <v>0.16443016443016442</v>
      </c>
      <c r="R4101" s="24">
        <f t="shared" si="179"/>
        <v>2272.4248724248723</v>
      </c>
      <c r="S4101" s="158" t="e">
        <f>R4101*#REF!</f>
        <v>#REF!</v>
      </c>
      <c r="T4101" s="158" t="e">
        <f t="shared" si="184"/>
        <v>#REF!</v>
      </c>
      <c r="U4101" s="388">
        <v>0.1</v>
      </c>
      <c r="W4101" s="285">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18">
        <f t="shared" si="183"/>
        <v>0.19629874421678783</v>
      </c>
      <c r="K4102" s="22">
        <v>2085.5</v>
      </c>
      <c r="L4102" s="6">
        <v>2113</v>
      </c>
      <c r="M4102" s="125">
        <f t="shared" si="172"/>
        <v>27.5</v>
      </c>
      <c r="P4102" s="247">
        <v>13840</v>
      </c>
      <c r="Q4102" s="25">
        <f>173.43/1053.1</f>
        <v>0.16468521507928974</v>
      </c>
      <c r="R4102" s="24">
        <f t="shared" si="179"/>
        <v>2279.24337669737</v>
      </c>
      <c r="S4102" s="158" t="e">
        <f>R4102*#REF!</f>
        <v>#REF!</v>
      </c>
      <c r="T4102" s="158" t="e">
        <f t="shared" si="184"/>
        <v>#REF!</v>
      </c>
      <c r="U4102" s="388">
        <v>0.1</v>
      </c>
      <c r="W4102" s="285">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18">
        <f t="shared" si="183"/>
        <v>0.19296304492144278</v>
      </c>
      <c r="K4103" s="22">
        <v>2103.5</v>
      </c>
      <c r="L4103" s="6">
        <v>2130</v>
      </c>
      <c r="M4103" s="125">
        <f t="shared" si="172"/>
        <v>26.5</v>
      </c>
      <c r="P4103" s="247">
        <v>13890</v>
      </c>
      <c r="Q4103" s="25">
        <f>173.37/1052.5</f>
        <v>0.16472209026128268</v>
      </c>
      <c r="R4103" s="24">
        <f t="shared" si="179"/>
        <v>2287.9898337292166</v>
      </c>
      <c r="S4103" s="158" t="e">
        <f>R4103*#REF!</f>
        <v>#REF!</v>
      </c>
      <c r="T4103" s="158" t="e">
        <f t="shared" si="184"/>
        <v>#REF!</v>
      </c>
      <c r="U4103" s="388">
        <v>0.1</v>
      </c>
      <c r="W4103" s="285">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18">
        <f t="shared" si="183"/>
        <v>0.18599247621155124</v>
      </c>
      <c r="K4104" s="22">
        <v>2114</v>
      </c>
      <c r="L4104" s="6">
        <v>2133</v>
      </c>
      <c r="M4104" s="125">
        <f t="shared" si="172"/>
        <v>19</v>
      </c>
      <c r="P4104" s="247">
        <v>13910</v>
      </c>
      <c r="Q4104" s="25">
        <f>173.25/1051.9</f>
        <v>0.16470196786766803</v>
      </c>
      <c r="R4104" s="24">
        <f t="shared" si="179"/>
        <v>2291.0043730392622</v>
      </c>
      <c r="S4104" s="158" t="e">
        <f>R4104*#REF!</f>
        <v>#REF!</v>
      </c>
      <c r="T4104" s="158" t="e">
        <f t="shared" si="184"/>
        <v>#REF!</v>
      </c>
      <c r="U4104" s="388">
        <v>0.1</v>
      </c>
      <c r="W4104" s="285">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18">
        <f t="shared" si="183"/>
        <v>0.18320268756998881</v>
      </c>
      <c r="K4105" s="22">
        <v>2114</v>
      </c>
      <c r="L4105" s="6">
        <v>2135</v>
      </c>
      <c r="M4105" s="125">
        <f t="shared" si="172"/>
        <v>21</v>
      </c>
      <c r="P4105" s="247">
        <v>13940</v>
      </c>
      <c r="Q4105" s="25">
        <f>173.52/1053.5</f>
        <v>0.16470811580446132</v>
      </c>
      <c r="R4105" s="24">
        <f t="shared" si="179"/>
        <v>2296.0311343141907</v>
      </c>
      <c r="S4105" s="158" t="e">
        <f>R4105*#REF!</f>
        <v>#REF!</v>
      </c>
      <c r="T4105" s="158" t="e">
        <f t="shared" si="184"/>
        <v>#REF!</v>
      </c>
      <c r="U4105" s="388">
        <v>0.1</v>
      </c>
      <c r="W4105" s="285">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18">
        <f t="shared" si="183"/>
        <v>0.17938329957236102</v>
      </c>
      <c r="K4106" s="22">
        <v>2115.5</v>
      </c>
      <c r="L4106" s="6">
        <v>2137</v>
      </c>
      <c r="M4106" s="125">
        <f t="shared" si="172"/>
        <v>21.5</v>
      </c>
      <c r="P4106" s="247">
        <v>13920</v>
      </c>
      <c r="Q4106" s="25">
        <f>173.46/1053.1</f>
        <v>0.16471370240243094</v>
      </c>
      <c r="R4106" s="24">
        <f t="shared" si="179"/>
        <v>2292.8147374418386</v>
      </c>
      <c r="S4106" s="158" t="e">
        <f>R4106*#REF!</f>
        <v>#REF!</v>
      </c>
      <c r="T4106" s="158" t="e">
        <f t="shared" si="184"/>
        <v>#REF!</v>
      </c>
      <c r="U4106" s="388">
        <v>0.1</v>
      </c>
      <c r="W4106" s="285">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18">
        <f t="shared" si="183"/>
        <v>0.17576579631513509</v>
      </c>
      <c r="K4107" s="22">
        <v>2151.5</v>
      </c>
      <c r="L4107" s="6">
        <v>2172</v>
      </c>
      <c r="M4107" s="125">
        <f t="shared" si="172"/>
        <v>20.5</v>
      </c>
      <c r="P4107" s="247">
        <v>13940</v>
      </c>
      <c r="Q4107" s="25">
        <f>173.37/1052.6</f>
        <v>0.16470644119323583</v>
      </c>
      <c r="R4107" s="24">
        <f t="shared" si="179"/>
        <v>2296.0077902337075</v>
      </c>
      <c r="S4107" s="158" t="e">
        <f>R4107*#REF!</f>
        <v>#REF!</v>
      </c>
      <c r="T4107" s="158" t="e">
        <f t="shared" si="184"/>
        <v>#REF!</v>
      </c>
      <c r="U4107" s="388">
        <v>0.1</v>
      </c>
      <c r="W4107" s="285">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18">
        <f t="shared" si="183"/>
        <v>0.17192823075176017</v>
      </c>
      <c r="K4108" s="22">
        <v>2150</v>
      </c>
      <c r="L4108" s="6">
        <v>2175.5</v>
      </c>
      <c r="M4108" s="125">
        <f t="shared" si="172"/>
        <v>25.5</v>
      </c>
      <c r="P4108" s="247">
        <v>14025</v>
      </c>
      <c r="Q4108" s="25">
        <f>173.2/1051.5</f>
        <v>0.16471707085116499</v>
      </c>
      <c r="R4108" s="24">
        <f t="shared" si="179"/>
        <v>2310.156918687589</v>
      </c>
      <c r="S4108" s="158" t="e">
        <f>R4108*#REF!</f>
        <v>#REF!</v>
      </c>
      <c r="T4108" s="158" t="e">
        <f t="shared" si="184"/>
        <v>#REF!</v>
      </c>
      <c r="U4108" s="388">
        <v>0.1</v>
      </c>
      <c r="W4108" s="285">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18">
        <f t="shared" si="183"/>
        <v>0.16795983569146508</v>
      </c>
      <c r="K4109" s="22">
        <v>2131.5</v>
      </c>
      <c r="L4109" s="6">
        <v>2161</v>
      </c>
      <c r="M4109" s="125">
        <f t="shared" si="172"/>
        <v>29.5</v>
      </c>
      <c r="P4109" s="247">
        <v>14120</v>
      </c>
      <c r="Q4109" s="25">
        <f>173.28/1052.1</f>
        <v>0.16469917308240664</v>
      </c>
      <c r="R4109" s="24">
        <f t="shared" si="179"/>
        <v>2325.5523239235818</v>
      </c>
      <c r="S4109" s="158" t="e">
        <f>R4109*#REF!</f>
        <v>#REF!</v>
      </c>
      <c r="T4109" s="158" t="e">
        <f t="shared" si="184"/>
        <v>#REF!</v>
      </c>
      <c r="U4109" s="388">
        <v>0.1</v>
      </c>
      <c r="W4109" s="285">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18">
        <f t="shared" si="183"/>
        <v>0.16174272904931603</v>
      </c>
      <c r="K4110" s="22">
        <v>2137.5</v>
      </c>
      <c r="L4110" s="6">
        <v>2163</v>
      </c>
      <c r="M4110" s="125">
        <f t="shared" si="172"/>
        <v>25.5</v>
      </c>
      <c r="P4110" s="247">
        <v>14090</v>
      </c>
      <c r="Q4110" s="25">
        <f>174.28/1058.1</f>
        <v>0.16471032983649941</v>
      </c>
      <c r="R4110" s="24">
        <f t="shared" si="179"/>
        <v>2320.7685473962765</v>
      </c>
      <c r="S4110" s="158" t="e">
        <f>R4110*#REF!</f>
        <v>#REF!</v>
      </c>
      <c r="T4110" s="158" t="e">
        <f t="shared" si="184"/>
        <v>#REF!</v>
      </c>
      <c r="U4110" s="388">
        <v>0.1</v>
      </c>
      <c r="W4110" s="285">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18">
        <f t="shared" si="183"/>
        <v>0.15971421986632864</v>
      </c>
      <c r="K4111" s="22">
        <v>2169</v>
      </c>
      <c r="L4111" s="6">
        <v>2193.5</v>
      </c>
      <c r="M4111" s="125">
        <f t="shared" si="172"/>
        <v>24.5</v>
      </c>
      <c r="P4111" s="247">
        <v>14090</v>
      </c>
      <c r="Q4111" s="25">
        <f>174.9/1061.9</f>
        <v>0.16470477446087201</v>
      </c>
      <c r="R4111" s="24">
        <f t="shared" si="179"/>
        <v>2320.6902721536867</v>
      </c>
      <c r="S4111" s="158" t="e">
        <f>R4111*#REF!</f>
        <v>#REF!</v>
      </c>
      <c r="T4111" s="158" t="e">
        <f t="shared" si="184"/>
        <v>#REF!</v>
      </c>
      <c r="U4111" s="388">
        <v>0.1</v>
      </c>
      <c r="W4111" s="285">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18">
        <f t="shared" si="183"/>
        <v>0.15777315777315778</v>
      </c>
      <c r="K4112" s="22">
        <v>2195.5</v>
      </c>
      <c r="L4112" s="6">
        <v>2219</v>
      </c>
      <c r="M4112" s="125">
        <f t="shared" si="172"/>
        <v>23.5</v>
      </c>
      <c r="P4112" s="247">
        <v>14190</v>
      </c>
      <c r="Q4112" s="25">
        <f>174.79/1061</f>
        <v>0.16474081055607917</v>
      </c>
      <c r="R4112" s="24">
        <f t="shared" si="179"/>
        <v>2337.6721017907635</v>
      </c>
      <c r="S4112" s="158" t="e">
        <f>R4112*#REF!</f>
        <v>#REF!</v>
      </c>
      <c r="T4112" s="158" t="e">
        <f t="shared" si="184"/>
        <v>#REF!</v>
      </c>
      <c r="U4112" s="388">
        <v>0.1</v>
      </c>
      <c r="W4112" s="285">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18">
        <f t="shared" si="183"/>
        <v>0.15386400556973776</v>
      </c>
      <c r="K4113" s="22">
        <v>2223.5</v>
      </c>
      <c r="L4113" s="6">
        <v>2247</v>
      </c>
      <c r="M4113" s="125">
        <f t="shared" si="172"/>
        <v>23.5</v>
      </c>
      <c r="P4113" s="247">
        <v>14140</v>
      </c>
      <c r="Q4113" s="25">
        <f>174.79/1061</f>
        <v>0.16474081055607917</v>
      </c>
      <c r="R4113" s="24">
        <f t="shared" si="179"/>
        <v>2329.4350612629596</v>
      </c>
      <c r="S4113" s="158" t="e">
        <f>R4113*#REF!</f>
        <v>#REF!</v>
      </c>
      <c r="T4113" s="158" t="e">
        <f t="shared" si="184"/>
        <v>#REF!</v>
      </c>
      <c r="U4113" s="388">
        <v>0.1</v>
      </c>
      <c r="W4113" s="285">
        <f t="shared" si="182"/>
        <v>2562.3785673892557</v>
      </c>
    </row>
    <row r="4114" spans="1:23" ht="15" customHeight="1">
      <c r="A4114" s="3">
        <v>41633</v>
      </c>
      <c r="B4114" s="9">
        <v>0</v>
      </c>
      <c r="F4114" s="1318" t="s">
        <v>38</v>
      </c>
      <c r="G4114" s="1318"/>
      <c r="H4114" s="1318"/>
      <c r="I4114" s="1318"/>
      <c r="J4114" s="5"/>
      <c r="P4114" s="247">
        <v>14220</v>
      </c>
      <c r="Q4114" s="25">
        <f>174.65/1060.4</f>
        <v>0.16470199924556769</v>
      </c>
      <c r="R4114" s="24">
        <f t="shared" si="179"/>
        <v>2342.0624292719726</v>
      </c>
      <c r="S4114" s="158" t="e">
        <f>R4114*#REF!</f>
        <v>#REF!</v>
      </c>
      <c r="T4114" s="158" t="e">
        <f t="shared" si="184"/>
        <v>#REF!</v>
      </c>
      <c r="U4114" s="388">
        <v>0.1</v>
      </c>
      <c r="W4114" s="285">
        <f t="shared" si="182"/>
        <v>2576.2686721991699</v>
      </c>
    </row>
    <row r="4115" spans="1:23" ht="15" customHeight="1">
      <c r="A4115" s="3">
        <v>41634</v>
      </c>
      <c r="B4115" s="9">
        <v>0</v>
      </c>
      <c r="F4115" s="1318"/>
      <c r="G4115" s="1318"/>
      <c r="H4115" s="1318"/>
      <c r="I4115" s="1318"/>
      <c r="J4115" s="5"/>
      <c r="P4115" s="247">
        <v>14220</v>
      </c>
      <c r="Q4115" s="25">
        <f>174.4/1059.404</f>
        <v>0.16462086229615897</v>
      </c>
      <c r="R4115" s="24">
        <f t="shared" si="179"/>
        <v>2340.9086618513807</v>
      </c>
      <c r="S4115" s="158" t="e">
        <f>R4115*#REF!</f>
        <v>#REF!</v>
      </c>
      <c r="T4115" s="158" t="e">
        <f t="shared" si="184"/>
        <v>#REF!</v>
      </c>
      <c r="U4115" s="388">
        <v>0.1</v>
      </c>
      <c r="W4115" s="285">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18">
        <f>H4116/E4116</f>
        <v>0.1518957897185392</v>
      </c>
      <c r="K4116" s="22">
        <v>2259</v>
      </c>
      <c r="L4116" s="6">
        <v>2279</v>
      </c>
      <c r="M4116" s="125">
        <f>L4116-K4116</f>
        <v>20</v>
      </c>
      <c r="P4116" s="247">
        <v>14190</v>
      </c>
      <c r="Q4116" s="25">
        <f>173.94/1055.6</f>
        <v>0.16477832512315271</v>
      </c>
      <c r="R4116" s="24">
        <f t="shared" si="179"/>
        <v>2338.2044334975371</v>
      </c>
      <c r="S4116" s="158" t="e">
        <f>R4116*#REF!</f>
        <v>#REF!</v>
      </c>
      <c r="T4116" s="158" t="e">
        <f t="shared" si="184"/>
        <v>#REF!</v>
      </c>
      <c r="U4116" s="388">
        <v>0.1</v>
      </c>
      <c r="W4116" s="285">
        <f t="shared" si="182"/>
        <v>2572.0248768472911</v>
      </c>
    </row>
    <row r="4117" spans="1:23" ht="15" customHeight="1">
      <c r="A4117" s="3">
        <v>41638</v>
      </c>
      <c r="B4117" s="9">
        <v>75300</v>
      </c>
      <c r="C4117" s="5">
        <v>2175</v>
      </c>
      <c r="D4117" s="5">
        <v>137475</v>
      </c>
      <c r="E4117" s="5">
        <v>214950</v>
      </c>
      <c r="F4117" s="4">
        <v>0</v>
      </c>
      <c r="G4117" s="5">
        <v>0</v>
      </c>
      <c r="H4117" s="5">
        <v>32650</v>
      </c>
      <c r="I4117" s="118">
        <f>H4117/E4117</f>
        <v>0.1518957897185392</v>
      </c>
      <c r="K4117" s="22">
        <v>2240</v>
      </c>
      <c r="L4117" s="6">
        <v>2264</v>
      </c>
      <c r="M4117" s="125">
        <f>L4117-K4117</f>
        <v>24</v>
      </c>
      <c r="P4117" s="247">
        <v>14210</v>
      </c>
      <c r="Q4117" s="25">
        <f>174.09/1055.3</f>
        <v>0.16496730787453806</v>
      </c>
      <c r="R4117" s="24">
        <f t="shared" si="179"/>
        <v>2344.1854448971858</v>
      </c>
      <c r="S4117" s="158" t="e">
        <f>R4117*#REF!</f>
        <v>#REF!</v>
      </c>
      <c r="T4117" s="158" t="e">
        <f t="shared" si="184"/>
        <v>#REF!</v>
      </c>
      <c r="U4117" s="388">
        <v>0.1</v>
      </c>
      <c r="W4117" s="285">
        <f t="shared" si="182"/>
        <v>2578.6039893869047</v>
      </c>
    </row>
    <row r="4118" spans="1:23" ht="15" customHeight="1">
      <c r="A4118" s="3">
        <v>41639</v>
      </c>
      <c r="B4118" s="9">
        <v>75300</v>
      </c>
      <c r="C4118" s="5">
        <v>2175</v>
      </c>
      <c r="D4118" s="5">
        <v>136975</v>
      </c>
      <c r="E4118" s="5">
        <v>214450</v>
      </c>
      <c r="F4118" s="4">
        <v>0</v>
      </c>
      <c r="G4118" s="5">
        <v>500</v>
      </c>
      <c r="H4118" s="5">
        <v>32150</v>
      </c>
      <c r="I4118" s="118">
        <f>H4118/E4118</f>
        <v>0.14991839589647937</v>
      </c>
      <c r="K4118" s="22">
        <v>2206</v>
      </c>
      <c r="L4118" s="6">
        <v>2232.5</v>
      </c>
      <c r="M4118" s="125">
        <f>L4118-K4118</f>
        <v>26.5</v>
      </c>
      <c r="N4118" s="235">
        <f>AVERAGE(K4097:K4118)</f>
        <v>2133</v>
      </c>
      <c r="O4118" s="230">
        <f>AVERAGE(K3848:K4118)</f>
        <v>2141.1521739130435</v>
      </c>
      <c r="P4118" s="247">
        <v>14210</v>
      </c>
      <c r="Q4118" s="25">
        <f>174.32/1055.3</f>
        <v>0.16518525537761775</v>
      </c>
      <c r="R4118" s="24">
        <f t="shared" si="179"/>
        <v>2347.2824789159481</v>
      </c>
      <c r="S4118" s="158" t="e">
        <f>R4118*#REF!</f>
        <v>#REF!</v>
      </c>
      <c r="T4118" s="158" t="e">
        <f t="shared" si="184"/>
        <v>#REF!</v>
      </c>
      <c r="U4118" s="388">
        <v>0.1</v>
      </c>
      <c r="W4118" s="285">
        <f t="shared" ref="W4118:W4139" si="185">(P4118*Q4118)*(1+U4118)</f>
        <v>2582.0107268075431</v>
      </c>
    </row>
    <row r="4119" spans="1:23" ht="15" customHeight="1" thickBot="1">
      <c r="A4119" s="216"/>
      <c r="B4119" s="1330"/>
      <c r="C4119" s="1330"/>
      <c r="D4119" s="1330"/>
      <c r="E4119" s="216"/>
      <c r="F4119" s="407"/>
      <c r="G4119" s="164"/>
      <c r="H4119" s="164"/>
      <c r="I4119" s="166"/>
      <c r="J4119" s="166"/>
      <c r="K4119" s="166"/>
      <c r="L4119" s="167"/>
      <c r="M4119" s="168"/>
      <c r="N4119" s="169"/>
      <c r="O4119" s="183"/>
      <c r="P4119" s="180"/>
      <c r="Q4119" s="154"/>
      <c r="R4119" s="248"/>
      <c r="S4119" s="249"/>
      <c r="T4119" s="249"/>
      <c r="U4119" s="152"/>
      <c r="V4119" s="153">
        <f>AVERAGE(P4097:P4118)</f>
        <v>14017.045454545454</v>
      </c>
      <c r="W4119" s="295"/>
    </row>
    <row r="4120" spans="1:23" ht="15" customHeight="1">
      <c r="A4120" s="3">
        <v>41641</v>
      </c>
      <c r="B4120" s="9">
        <v>75300</v>
      </c>
      <c r="C4120" s="5">
        <v>2175</v>
      </c>
      <c r="D4120" s="5" t="e">
        <f>E4120-C4120-#REF!-#REF!</f>
        <v>#REF!</v>
      </c>
      <c r="E4120" s="5">
        <v>213950</v>
      </c>
      <c r="F4120" s="4">
        <v>0</v>
      </c>
      <c r="G4120" s="5">
        <v>500</v>
      </c>
      <c r="H4120" s="5">
        <v>31650</v>
      </c>
      <c r="I4120" s="118">
        <f t="shared" ref="I4120:I4141" si="186">H4120/E4120</f>
        <v>0.14793175975695255</v>
      </c>
      <c r="K4120" s="22">
        <v>2212</v>
      </c>
      <c r="L4120" s="6">
        <v>2242</v>
      </c>
      <c r="M4120" s="125">
        <f t="shared" ref="M4120:M4198" si="187">L4120-K4120</f>
        <v>30</v>
      </c>
      <c r="P4120" s="247">
        <v>14190</v>
      </c>
      <c r="Q4120" s="25">
        <f>173.6/1050.4</f>
        <v>0.16527037319116525</v>
      </c>
      <c r="R4120" s="24">
        <f t="shared" ref="R4120:R4140" si="188">P4120*Q4120</f>
        <v>2345.1865955826347</v>
      </c>
      <c r="S4120" s="158" t="e">
        <f>R4120*#REF!</f>
        <v>#REF!</v>
      </c>
      <c r="T4120" s="158" t="e">
        <f t="shared" ref="T4120:T4140" si="189">(R4120+S4120)*U4120</f>
        <v>#REF!</v>
      </c>
      <c r="U4120" s="388">
        <v>0.1</v>
      </c>
      <c r="W4120" s="285">
        <f t="shared" si="185"/>
        <v>2579.7052551408983</v>
      </c>
    </row>
    <row r="4121" spans="1:23" ht="15" customHeight="1">
      <c r="A4121" s="3">
        <v>41642</v>
      </c>
      <c r="B4121" s="9">
        <v>75300</v>
      </c>
      <c r="C4121" s="5">
        <v>2175</v>
      </c>
      <c r="D4121" s="5">
        <v>137725</v>
      </c>
      <c r="E4121" s="5">
        <v>215200</v>
      </c>
      <c r="F4121" s="4">
        <v>1250</v>
      </c>
      <c r="G4121" s="5">
        <v>0</v>
      </c>
      <c r="H4121" s="5">
        <v>31650</v>
      </c>
      <c r="I4121" s="118">
        <f t="shared" si="186"/>
        <v>0.1470724907063197</v>
      </c>
      <c r="K4121" s="22">
        <v>2168</v>
      </c>
      <c r="L4121" s="6">
        <v>2195</v>
      </c>
      <c r="M4121" s="125">
        <f t="shared" si="187"/>
        <v>27</v>
      </c>
      <c r="P4121" s="247">
        <v>14190</v>
      </c>
      <c r="Q4121" s="25">
        <f>174.19/1054.1</f>
        <v>0.1652499762830851</v>
      </c>
      <c r="R4121" s="24">
        <f t="shared" si="188"/>
        <v>2344.8971634569775</v>
      </c>
      <c r="S4121" s="158" t="e">
        <f>R4121*#REF!</f>
        <v>#REF!</v>
      </c>
      <c r="T4121" s="158" t="e">
        <f t="shared" si="189"/>
        <v>#REF!</v>
      </c>
      <c r="U4121" s="388">
        <v>0.1</v>
      </c>
      <c r="W4121" s="285">
        <f t="shared" si="185"/>
        <v>2579.3868798026756</v>
      </c>
    </row>
    <row r="4122" spans="1:23" ht="15" customHeight="1">
      <c r="A4122" s="3">
        <v>41645</v>
      </c>
      <c r="B4122" s="9">
        <v>75300</v>
      </c>
      <c r="C4122" s="5">
        <v>2175</v>
      </c>
      <c r="D4122" s="5">
        <v>137525</v>
      </c>
      <c r="E4122" s="5">
        <v>215000</v>
      </c>
      <c r="F4122" s="4">
        <v>300</v>
      </c>
      <c r="G4122" s="5">
        <v>500</v>
      </c>
      <c r="H4122" s="5">
        <v>31150</v>
      </c>
      <c r="I4122" s="118">
        <f t="shared" si="186"/>
        <v>0.14488372093023255</v>
      </c>
      <c r="K4122" s="22">
        <v>2136</v>
      </c>
      <c r="L4122" s="6">
        <v>2163</v>
      </c>
      <c r="M4122" s="125">
        <f t="shared" si="187"/>
        <v>27</v>
      </c>
      <c r="P4122" s="247">
        <v>14140</v>
      </c>
      <c r="Q4122" s="25">
        <f>174.19/1054.1</f>
        <v>0.1652499762830851</v>
      </c>
      <c r="R4122" s="24">
        <f t="shared" si="188"/>
        <v>2336.6346646428233</v>
      </c>
      <c r="S4122" s="158" t="e">
        <f>R4122*#REF!</f>
        <v>#REF!</v>
      </c>
      <c r="T4122" s="158" t="e">
        <f t="shared" si="189"/>
        <v>#REF!</v>
      </c>
      <c r="U4122" s="388">
        <v>0.1</v>
      </c>
      <c r="W4122" s="285">
        <f t="shared" si="185"/>
        <v>2570.2981311071057</v>
      </c>
    </row>
    <row r="4123" spans="1:23" ht="15" customHeight="1">
      <c r="A4123" s="3">
        <v>41646</v>
      </c>
      <c r="B4123" s="9">
        <v>75300</v>
      </c>
      <c r="C4123" s="5">
        <v>2175</v>
      </c>
      <c r="D4123" s="5">
        <v>137025</v>
      </c>
      <c r="E4123" s="5">
        <v>214500</v>
      </c>
      <c r="F4123" s="4">
        <v>0</v>
      </c>
      <c r="G4123" s="5">
        <v>500</v>
      </c>
      <c r="H4123" s="5">
        <v>30650</v>
      </c>
      <c r="I4123" s="118">
        <f t="shared" si="186"/>
        <v>0.14289044289044289</v>
      </c>
      <c r="K4123" s="22">
        <v>2157</v>
      </c>
      <c r="L4123" s="6">
        <v>2181</v>
      </c>
      <c r="M4123" s="125">
        <f t="shared" si="187"/>
        <v>24</v>
      </c>
      <c r="P4123" s="247">
        <v>14140</v>
      </c>
      <c r="Q4123" s="25">
        <f>176.48/1067.9</f>
        <v>0.16525891937447323</v>
      </c>
      <c r="R4123" s="24">
        <f t="shared" si="188"/>
        <v>2336.7611199550515</v>
      </c>
      <c r="S4123" s="158" t="e">
        <f>R4123*#REF!</f>
        <v>#REF!</v>
      </c>
      <c r="T4123" s="158" t="e">
        <f t="shared" si="189"/>
        <v>#REF!</v>
      </c>
      <c r="U4123" s="388">
        <v>0.1</v>
      </c>
      <c r="W4123" s="285">
        <f t="shared" si="185"/>
        <v>2570.4372319505569</v>
      </c>
    </row>
    <row r="4124" spans="1:23" ht="15" customHeight="1">
      <c r="A4124" s="3">
        <v>41647</v>
      </c>
      <c r="B4124" s="9">
        <v>75300</v>
      </c>
      <c r="C4124" s="5">
        <v>2175</v>
      </c>
      <c r="D4124" s="5">
        <v>136525</v>
      </c>
      <c r="E4124" s="5">
        <v>214000</v>
      </c>
      <c r="F4124" s="4">
        <v>0</v>
      </c>
      <c r="G4124" s="5">
        <v>500</v>
      </c>
      <c r="H4124" s="5">
        <v>30150</v>
      </c>
      <c r="I4124" s="118">
        <f t="shared" si="186"/>
        <v>0.14088785046728972</v>
      </c>
      <c r="K4124" s="22">
        <v>2127</v>
      </c>
      <c r="L4124" s="6">
        <v>2156</v>
      </c>
      <c r="M4124" s="125">
        <f t="shared" si="187"/>
        <v>29</v>
      </c>
      <c r="P4124" s="247">
        <v>14120</v>
      </c>
      <c r="Q4124" s="25">
        <f>176.16/1066</f>
        <v>0.16525328330206379</v>
      </c>
      <c r="R4124" s="24">
        <f t="shared" si="188"/>
        <v>2333.3763602251406</v>
      </c>
      <c r="S4124" s="158" t="e">
        <f>R4124*#REF!</f>
        <v>#REF!</v>
      </c>
      <c r="T4124" s="158" t="e">
        <f t="shared" si="189"/>
        <v>#REF!</v>
      </c>
      <c r="U4124" s="388">
        <v>0.1</v>
      </c>
      <c r="W4124" s="285">
        <f t="shared" si="185"/>
        <v>2566.7139962476549</v>
      </c>
    </row>
    <row r="4125" spans="1:23" ht="15" customHeight="1">
      <c r="A4125" s="3">
        <v>41648</v>
      </c>
      <c r="B4125" s="9">
        <v>75300</v>
      </c>
      <c r="C4125" s="5">
        <v>2175</v>
      </c>
      <c r="D4125" s="5">
        <v>136025</v>
      </c>
      <c r="E4125" s="5">
        <v>213500</v>
      </c>
      <c r="F4125" s="4">
        <v>0</v>
      </c>
      <c r="G4125" s="5">
        <v>500</v>
      </c>
      <c r="H4125" s="5">
        <v>29650</v>
      </c>
      <c r="I4125" s="118">
        <f t="shared" si="186"/>
        <v>0.13887587822014053</v>
      </c>
      <c r="K4125" s="22">
        <v>2093</v>
      </c>
      <c r="L4125" s="6">
        <v>2119</v>
      </c>
      <c r="M4125" s="125">
        <f t="shared" si="187"/>
        <v>26</v>
      </c>
      <c r="P4125" s="247">
        <v>14070</v>
      </c>
      <c r="Q4125" s="25">
        <f>175.85/1064.8</f>
        <v>0.16514838467317805</v>
      </c>
      <c r="R4125" s="24">
        <f t="shared" si="188"/>
        <v>2323.6377723516152</v>
      </c>
      <c r="S4125" s="158" t="e">
        <f>R4125*#REF!</f>
        <v>#REF!</v>
      </c>
      <c r="T4125" s="158" t="e">
        <f t="shared" si="189"/>
        <v>#REF!</v>
      </c>
      <c r="U4125" s="388">
        <v>0.1</v>
      </c>
      <c r="W4125" s="285">
        <f t="shared" si="185"/>
        <v>2556.0015495867769</v>
      </c>
    </row>
    <row r="4126" spans="1:23" ht="15" customHeight="1">
      <c r="A4126" s="3">
        <v>41649</v>
      </c>
      <c r="B4126" s="9">
        <v>75300</v>
      </c>
      <c r="C4126" s="5">
        <v>2175</v>
      </c>
      <c r="D4126" s="5">
        <v>135525</v>
      </c>
      <c r="E4126" s="5">
        <v>213000</v>
      </c>
      <c r="F4126" s="4">
        <v>0</v>
      </c>
      <c r="G4126" s="5">
        <v>500</v>
      </c>
      <c r="H4126" s="5">
        <v>29150</v>
      </c>
      <c r="I4126" s="118">
        <f t="shared" si="186"/>
        <v>0.13685446009389671</v>
      </c>
      <c r="K4126" s="22">
        <v>2097</v>
      </c>
      <c r="L4126" s="6">
        <v>2123</v>
      </c>
      <c r="M4126" s="125">
        <f t="shared" si="187"/>
        <v>26</v>
      </c>
      <c r="P4126" s="247">
        <v>14010</v>
      </c>
      <c r="Q4126" s="25">
        <f>175.61/1062.8</f>
        <v>0.16523334587881072</v>
      </c>
      <c r="R4126" s="24">
        <f t="shared" si="188"/>
        <v>2314.9191757621384</v>
      </c>
      <c r="S4126" s="158" t="e">
        <f>R4126*#REF!</f>
        <v>#REF!</v>
      </c>
      <c r="T4126" s="158" t="e">
        <f t="shared" si="189"/>
        <v>#REF!</v>
      </c>
      <c r="U4126" s="388">
        <v>0.1</v>
      </c>
      <c r="W4126" s="285">
        <f t="shared" si="185"/>
        <v>2546.4110933383522</v>
      </c>
    </row>
    <row r="4127" spans="1:23" ht="15" customHeight="1">
      <c r="A4127" s="3">
        <v>41652</v>
      </c>
      <c r="B4127" s="9">
        <v>75300</v>
      </c>
      <c r="C4127" s="5">
        <v>2175</v>
      </c>
      <c r="D4127" s="5">
        <v>135025</v>
      </c>
      <c r="E4127" s="5">
        <v>212500</v>
      </c>
      <c r="F4127" s="4">
        <v>0</v>
      </c>
      <c r="G4127" s="5">
        <v>500</v>
      </c>
      <c r="H4127" s="5">
        <v>41775</v>
      </c>
      <c r="I4127" s="118">
        <f t="shared" si="186"/>
        <v>0.19658823529411765</v>
      </c>
      <c r="K4127" s="22">
        <v>2119</v>
      </c>
      <c r="L4127" s="6">
        <v>2141</v>
      </c>
      <c r="M4127" s="125">
        <f t="shared" si="187"/>
        <v>22</v>
      </c>
      <c r="P4127" s="247">
        <v>14090</v>
      </c>
      <c r="Q4127" s="25">
        <f>174.82/1056.5</f>
        <v>0.16547089446284902</v>
      </c>
      <c r="R4127" s="24">
        <f t="shared" si="188"/>
        <v>2331.4849029815427</v>
      </c>
      <c r="S4127" s="158" t="e">
        <f>R4127*#REF!</f>
        <v>#REF!</v>
      </c>
      <c r="T4127" s="158" t="e">
        <f t="shared" si="189"/>
        <v>#REF!</v>
      </c>
      <c r="U4127" s="388">
        <v>0.1</v>
      </c>
      <c r="W4127" s="285">
        <f t="shared" si="185"/>
        <v>2564.6333932796974</v>
      </c>
    </row>
    <row r="4128" spans="1:23" ht="15" customHeight="1">
      <c r="A4128" s="3">
        <v>41653</v>
      </c>
      <c r="B4128" s="9">
        <v>75300</v>
      </c>
      <c r="C4128" s="5">
        <v>2175</v>
      </c>
      <c r="D4128" s="5">
        <v>134525</v>
      </c>
      <c r="E4128" s="5">
        <v>212000</v>
      </c>
      <c r="F4128" s="4">
        <v>0</v>
      </c>
      <c r="G4128" s="5">
        <v>500</v>
      </c>
      <c r="H4128" s="5">
        <v>46275</v>
      </c>
      <c r="I4128" s="118">
        <f t="shared" si="186"/>
        <v>0.21827830188679245</v>
      </c>
      <c r="K4128" s="22">
        <v>2181.5</v>
      </c>
      <c r="L4128" s="6">
        <v>2202</v>
      </c>
      <c r="M4128" s="125">
        <f t="shared" si="187"/>
        <v>20.5</v>
      </c>
      <c r="P4128" s="247">
        <v>14090</v>
      </c>
      <c r="Q4128" s="25">
        <f>175.2/1058.4</f>
        <v>0.16553287981859408</v>
      </c>
      <c r="R4128" s="24">
        <f t="shared" si="188"/>
        <v>2332.3582766439904</v>
      </c>
      <c r="S4128" s="158" t="e">
        <f>R4128*#REF!</f>
        <v>#REF!</v>
      </c>
      <c r="T4128" s="158" t="e">
        <f t="shared" si="189"/>
        <v>#REF!</v>
      </c>
      <c r="U4128" s="388">
        <v>0.1</v>
      </c>
      <c r="W4128" s="285">
        <f t="shared" si="185"/>
        <v>2565.5941043083894</v>
      </c>
    </row>
    <row r="4129" spans="1:23" ht="15" customHeight="1">
      <c r="A4129" s="3">
        <v>41654</v>
      </c>
      <c r="B4129" s="9">
        <v>75300</v>
      </c>
      <c r="C4129" s="5">
        <v>2175</v>
      </c>
      <c r="D4129" s="5">
        <v>134025</v>
      </c>
      <c r="E4129" s="5">
        <v>211500</v>
      </c>
      <c r="F4129" s="4">
        <v>0</v>
      </c>
      <c r="G4129" s="5">
        <v>500</v>
      </c>
      <c r="H4129" s="5">
        <v>45775</v>
      </c>
      <c r="I4129" s="118">
        <f t="shared" si="186"/>
        <v>0.21643026004728133</v>
      </c>
      <c r="K4129" s="22">
        <v>2151</v>
      </c>
      <c r="L4129" s="6">
        <v>2175</v>
      </c>
      <c r="M4129" s="125">
        <f t="shared" si="187"/>
        <v>24</v>
      </c>
      <c r="P4129" s="247">
        <v>14090</v>
      </c>
      <c r="Q4129" s="25">
        <f>175.74/1062.5</f>
        <v>0.16540235294117647</v>
      </c>
      <c r="R4129" s="24">
        <f t="shared" si="188"/>
        <v>2330.5191529411763</v>
      </c>
      <c r="S4129" s="158" t="e">
        <f>R4129*#REF!</f>
        <v>#REF!</v>
      </c>
      <c r="T4129" s="158" t="e">
        <f t="shared" si="189"/>
        <v>#REF!</v>
      </c>
      <c r="U4129" s="388">
        <v>0.1</v>
      </c>
      <c r="W4129" s="285">
        <f t="shared" si="185"/>
        <v>2563.5710682352942</v>
      </c>
    </row>
    <row r="4130" spans="1:23" ht="15" customHeight="1">
      <c r="A4130" s="3">
        <v>41655</v>
      </c>
      <c r="B4130" s="9">
        <v>75300</v>
      </c>
      <c r="C4130" s="5">
        <v>2175</v>
      </c>
      <c r="D4130" s="5">
        <v>133525</v>
      </c>
      <c r="E4130" s="5">
        <v>211000</v>
      </c>
      <c r="F4130" s="4">
        <v>0</v>
      </c>
      <c r="G4130" s="5">
        <v>500</v>
      </c>
      <c r="H4130" s="5">
        <v>45375</v>
      </c>
      <c r="I4130" s="118">
        <f t="shared" si="186"/>
        <v>0.21504739336492892</v>
      </c>
      <c r="K4130" s="22">
        <v>2198.5</v>
      </c>
      <c r="L4130" s="6">
        <v>2223</v>
      </c>
      <c r="M4130" s="125">
        <f t="shared" si="187"/>
        <v>24.5</v>
      </c>
      <c r="P4130" s="247">
        <v>14090</v>
      </c>
      <c r="Q4130" s="25">
        <f>175.73/1064.2</f>
        <v>0.16512873520015034</v>
      </c>
      <c r="R4130" s="24">
        <f t="shared" si="188"/>
        <v>2326.6638789701183</v>
      </c>
      <c r="S4130" s="158" t="e">
        <f>R4130*#REF!</f>
        <v>#REF!</v>
      </c>
      <c r="T4130" s="158" t="e">
        <f t="shared" si="189"/>
        <v>#REF!</v>
      </c>
      <c r="U4130" s="388">
        <v>0.1</v>
      </c>
      <c r="W4130" s="285">
        <f t="shared" si="185"/>
        <v>2559.3302668671304</v>
      </c>
    </row>
    <row r="4131" spans="1:23" ht="15" customHeight="1">
      <c r="A4131" s="3">
        <v>41656</v>
      </c>
      <c r="B4131" s="9">
        <v>74550</v>
      </c>
      <c r="C4131" s="5">
        <v>2175</v>
      </c>
      <c r="D4131" s="5">
        <v>133025</v>
      </c>
      <c r="E4131" s="5">
        <v>209750</v>
      </c>
      <c r="F4131" s="4">
        <v>0</v>
      </c>
      <c r="G4131" s="5">
        <v>1250</v>
      </c>
      <c r="H4131" s="5">
        <v>44125</v>
      </c>
      <c r="I4131" s="118">
        <f t="shared" si="186"/>
        <v>0.21036948748510131</v>
      </c>
      <c r="K4131" s="22">
        <v>2175.5</v>
      </c>
      <c r="L4131" s="6">
        <v>2201</v>
      </c>
      <c r="M4131" s="125">
        <f t="shared" si="187"/>
        <v>25.5</v>
      </c>
      <c r="P4131" s="247">
        <v>14090</v>
      </c>
      <c r="Q4131" s="25">
        <f>175.36/1061</f>
        <v>0.16527803958529691</v>
      </c>
      <c r="R4131" s="24">
        <f t="shared" si="188"/>
        <v>2328.7675777568334</v>
      </c>
      <c r="S4131" s="158" t="e">
        <f>R4131*#REF!</f>
        <v>#REF!</v>
      </c>
      <c r="T4131" s="158" t="e">
        <f t="shared" si="189"/>
        <v>#REF!</v>
      </c>
      <c r="U4131" s="388">
        <v>0.1</v>
      </c>
      <c r="W4131" s="285">
        <f t="shared" si="185"/>
        <v>2561.6443355325168</v>
      </c>
    </row>
    <row r="4132" spans="1:23" ht="15" customHeight="1">
      <c r="A4132" s="3">
        <v>41659</v>
      </c>
      <c r="B4132" s="9">
        <v>74550</v>
      </c>
      <c r="C4132" s="5">
        <v>2175</v>
      </c>
      <c r="D4132" s="5">
        <v>132525</v>
      </c>
      <c r="E4132" s="5">
        <v>209250</v>
      </c>
      <c r="F4132" s="4">
        <v>0</v>
      </c>
      <c r="G4132" s="5">
        <v>500</v>
      </c>
      <c r="H4132" s="5">
        <v>43625</v>
      </c>
      <c r="I4132" s="118">
        <f t="shared" si="186"/>
        <v>0.2084826762246117</v>
      </c>
      <c r="K4132" s="22">
        <v>2187.5</v>
      </c>
      <c r="L4132" s="6">
        <v>2212</v>
      </c>
      <c r="M4132" s="125">
        <f t="shared" si="187"/>
        <v>24.5</v>
      </c>
      <c r="P4132" s="247">
        <v>14090</v>
      </c>
      <c r="Q4132" s="25">
        <f>175.77/1063.9</f>
        <v>0.16521289594886737</v>
      </c>
      <c r="R4132" s="24">
        <f t="shared" si="188"/>
        <v>2327.8497039195413</v>
      </c>
      <c r="S4132" s="158" t="e">
        <f>R4132*#REF!</f>
        <v>#REF!</v>
      </c>
      <c r="T4132" s="158" t="e">
        <f t="shared" si="189"/>
        <v>#REF!</v>
      </c>
      <c r="U4132" s="388">
        <v>0.1</v>
      </c>
      <c r="W4132" s="285">
        <f t="shared" si="185"/>
        <v>2560.6346743114955</v>
      </c>
    </row>
    <row r="4133" spans="1:23" ht="15" customHeight="1">
      <c r="A4133" s="3">
        <v>41660</v>
      </c>
      <c r="B4133" s="9">
        <v>74550</v>
      </c>
      <c r="C4133" s="5">
        <v>2175</v>
      </c>
      <c r="D4133" s="5">
        <v>132725</v>
      </c>
      <c r="E4133" s="5">
        <v>209450</v>
      </c>
      <c r="F4133" s="4">
        <v>700</v>
      </c>
      <c r="G4133" s="5">
        <v>500</v>
      </c>
      <c r="H4133" s="5">
        <v>43125</v>
      </c>
      <c r="I4133" s="118">
        <f t="shared" si="186"/>
        <v>0.20589639532107901</v>
      </c>
      <c r="K4133" s="22">
        <v>2176.5</v>
      </c>
      <c r="L4133" s="6">
        <v>2204</v>
      </c>
      <c r="M4133" s="125">
        <f t="shared" si="187"/>
        <v>27.5</v>
      </c>
      <c r="P4133" s="247">
        <v>14070</v>
      </c>
      <c r="Q4133" s="25">
        <f>175.88/1064.2</f>
        <v>0.16526968614922005</v>
      </c>
      <c r="R4133" s="24">
        <f t="shared" si="188"/>
        <v>2325.344484119526</v>
      </c>
      <c r="S4133" s="158" t="e">
        <f>R4133*#REF!</f>
        <v>#REF!</v>
      </c>
      <c r="T4133" s="158" t="e">
        <f t="shared" si="189"/>
        <v>#REF!</v>
      </c>
      <c r="U4133" s="388">
        <v>0.1</v>
      </c>
      <c r="W4133" s="285">
        <f t="shared" si="185"/>
        <v>2557.8789325314788</v>
      </c>
    </row>
    <row r="4134" spans="1:23" ht="15" customHeight="1">
      <c r="A4134" s="3">
        <v>41661</v>
      </c>
      <c r="B4134" s="9">
        <v>74550</v>
      </c>
      <c r="C4134" s="5">
        <v>2175</v>
      </c>
      <c r="D4134" s="5">
        <v>132125</v>
      </c>
      <c r="E4134" s="5">
        <v>208850</v>
      </c>
      <c r="F4134" s="4">
        <v>0</v>
      </c>
      <c r="G4134" s="5">
        <v>600</v>
      </c>
      <c r="H4134" s="5">
        <v>42550</v>
      </c>
      <c r="I4134" s="118">
        <f t="shared" si="186"/>
        <v>0.20373473785013169</v>
      </c>
      <c r="K4134" s="22">
        <v>2182</v>
      </c>
      <c r="L4134" s="6">
        <v>2205.5</v>
      </c>
      <c r="M4134" s="125">
        <f t="shared" si="187"/>
        <v>23.5</v>
      </c>
      <c r="P4134" s="247">
        <v>14060</v>
      </c>
      <c r="Q4134" s="25">
        <f>176.56/1068.4</f>
        <v>0.16525645825533508</v>
      </c>
      <c r="R4134" s="24">
        <f t="shared" si="188"/>
        <v>2323.5058030700111</v>
      </c>
      <c r="S4134" s="158" t="e">
        <f>R4134*#REF!</f>
        <v>#REF!</v>
      </c>
      <c r="T4134" s="158" t="e">
        <f t="shared" si="189"/>
        <v>#REF!</v>
      </c>
      <c r="U4134" s="388">
        <v>0.1</v>
      </c>
      <c r="W4134" s="285">
        <f t="shared" si="185"/>
        <v>2555.8563833770122</v>
      </c>
    </row>
    <row r="4135" spans="1:23" ht="15" customHeight="1">
      <c r="A4135" s="3">
        <v>41662</v>
      </c>
      <c r="B4135" s="9">
        <v>74150</v>
      </c>
      <c r="C4135" s="5">
        <v>2175</v>
      </c>
      <c r="D4135" s="5">
        <v>131625</v>
      </c>
      <c r="E4135" s="5">
        <v>207950</v>
      </c>
      <c r="F4135" s="4">
        <v>0</v>
      </c>
      <c r="G4135" s="5">
        <v>900</v>
      </c>
      <c r="H4135" s="5">
        <v>41650</v>
      </c>
      <c r="I4135" s="118">
        <f t="shared" si="186"/>
        <v>0.2002885308968502</v>
      </c>
      <c r="K4135" s="22">
        <v>2155</v>
      </c>
      <c r="L4135" s="6">
        <v>2174</v>
      </c>
      <c r="M4135" s="125">
        <f t="shared" si="187"/>
        <v>19</v>
      </c>
      <c r="P4135" s="247">
        <v>14010</v>
      </c>
      <c r="Q4135" s="25">
        <f>177.12/1071.9</f>
        <v>0.16523929471032744</v>
      </c>
      <c r="R4135" s="24">
        <f t="shared" si="188"/>
        <v>2315.0025188916875</v>
      </c>
      <c r="S4135" s="158" t="e">
        <f>R4135*#REF!</f>
        <v>#REF!</v>
      </c>
      <c r="T4135" s="158" t="e">
        <f t="shared" si="189"/>
        <v>#REF!</v>
      </c>
      <c r="U4135" s="388">
        <v>0.1</v>
      </c>
      <c r="W4135" s="285">
        <f t="shared" si="185"/>
        <v>2546.5027707808563</v>
      </c>
    </row>
    <row r="4136" spans="1:23" ht="15" customHeight="1">
      <c r="A4136" s="3">
        <v>41663</v>
      </c>
      <c r="B4136" s="9">
        <v>74300</v>
      </c>
      <c r="C4136" s="5">
        <v>2175</v>
      </c>
      <c r="D4136" s="5">
        <v>131100</v>
      </c>
      <c r="E4136" s="5">
        <v>207575</v>
      </c>
      <c r="F4136" s="4">
        <v>150</v>
      </c>
      <c r="G4136" s="5">
        <v>525</v>
      </c>
      <c r="H4136" s="5">
        <v>41125</v>
      </c>
      <c r="I4136" s="118">
        <f t="shared" si="186"/>
        <v>0.19812116102613514</v>
      </c>
      <c r="K4136" s="22">
        <v>2145.5</v>
      </c>
      <c r="L4136" s="6">
        <v>2166</v>
      </c>
      <c r="M4136" s="125">
        <f t="shared" si="187"/>
        <v>20.5</v>
      </c>
      <c r="P4136" s="247">
        <v>14010</v>
      </c>
      <c r="Q4136" s="25">
        <f>178.08/1077.2</f>
        <v>0.16531748978834016</v>
      </c>
      <c r="R4136" s="24">
        <f t="shared" si="188"/>
        <v>2316.0980319346454</v>
      </c>
      <c r="S4136" s="158" t="e">
        <f>R4136*#REF!</f>
        <v>#REF!</v>
      </c>
      <c r="T4136" s="158" t="e">
        <f t="shared" si="189"/>
        <v>#REF!</v>
      </c>
      <c r="U4136" s="388">
        <v>0.1</v>
      </c>
      <c r="W4136" s="285">
        <f t="shared" si="185"/>
        <v>2547.7078351281102</v>
      </c>
    </row>
    <row r="4137" spans="1:23" ht="15" customHeight="1">
      <c r="A4137" s="3">
        <v>41666</v>
      </c>
      <c r="B4137" s="9">
        <v>76900</v>
      </c>
      <c r="C4137" s="5">
        <v>2175</v>
      </c>
      <c r="D4137" s="5">
        <v>130600</v>
      </c>
      <c r="E4137" s="5">
        <v>209675</v>
      </c>
      <c r="F4137" s="4">
        <v>2600</v>
      </c>
      <c r="G4137" s="5">
        <v>500</v>
      </c>
      <c r="H4137" s="5">
        <v>40625</v>
      </c>
      <c r="I4137" s="118">
        <f t="shared" si="186"/>
        <v>0.19375223560271848</v>
      </c>
      <c r="K4137" s="22">
        <v>2136</v>
      </c>
      <c r="L4137" s="6">
        <v>2147</v>
      </c>
      <c r="M4137" s="125">
        <f t="shared" si="187"/>
        <v>11</v>
      </c>
      <c r="P4137" s="247">
        <v>13990</v>
      </c>
      <c r="Q4137" s="25">
        <f>178.49/1079.5</f>
        <v>0.16534506716072256</v>
      </c>
      <c r="R4137" s="24">
        <f t="shared" si="188"/>
        <v>2313.1774895785088</v>
      </c>
      <c r="S4137" s="158" t="e">
        <f>R4137*#REF!</f>
        <v>#REF!</v>
      </c>
      <c r="T4137" s="158" t="e">
        <f t="shared" si="189"/>
        <v>#REF!</v>
      </c>
      <c r="U4137" s="388">
        <v>0.1</v>
      </c>
      <c r="W4137" s="285">
        <f t="shared" si="185"/>
        <v>2544.4952385363599</v>
      </c>
    </row>
    <row r="4138" spans="1:23" ht="15" customHeight="1">
      <c r="A4138" s="3">
        <v>41667</v>
      </c>
      <c r="B4138" s="9">
        <v>76900</v>
      </c>
      <c r="C4138" s="5">
        <v>2175</v>
      </c>
      <c r="D4138" s="5">
        <v>130100</v>
      </c>
      <c r="E4138" s="5">
        <v>209175</v>
      </c>
      <c r="F4138" s="4">
        <v>0</v>
      </c>
      <c r="G4138" s="5">
        <v>500</v>
      </c>
      <c r="H4138" s="5">
        <v>40125</v>
      </c>
      <c r="I4138" s="118">
        <f t="shared" si="186"/>
        <v>0.19182502689135891</v>
      </c>
      <c r="K4138" s="22">
        <v>2127</v>
      </c>
      <c r="L4138" s="6">
        <v>2137</v>
      </c>
      <c r="M4138" s="125">
        <f t="shared" si="187"/>
        <v>10</v>
      </c>
      <c r="N4138" s="242"/>
      <c r="P4138" s="247">
        <v>13990</v>
      </c>
      <c r="Q4138" s="25">
        <f>178.36/1079.2</f>
        <v>0.16527057079318014</v>
      </c>
      <c r="R4138" s="24">
        <f t="shared" si="188"/>
        <v>2312.13528539659</v>
      </c>
      <c r="S4138" s="158" t="e">
        <f>R4138*#REF!</f>
        <v>#REF!</v>
      </c>
      <c r="T4138" s="158" t="e">
        <f t="shared" si="189"/>
        <v>#REF!</v>
      </c>
      <c r="U4138" s="388">
        <v>0.1</v>
      </c>
      <c r="W4138" s="285">
        <f t="shared" si="185"/>
        <v>2543.3488139362494</v>
      </c>
    </row>
    <row r="4139" spans="1:23" ht="15" customHeight="1">
      <c r="A4139" s="3">
        <v>41668</v>
      </c>
      <c r="B4139" s="9">
        <v>77400</v>
      </c>
      <c r="C4139" s="5">
        <v>2175</v>
      </c>
      <c r="D4139" s="5">
        <v>129600</v>
      </c>
      <c r="E4139" s="5">
        <v>209175</v>
      </c>
      <c r="F4139" s="4">
        <v>300</v>
      </c>
      <c r="G4139" s="5">
        <v>0</v>
      </c>
      <c r="H4139" s="5">
        <v>39125</v>
      </c>
      <c r="I4139" s="118">
        <f t="shared" si="186"/>
        <v>0.18704434086291383</v>
      </c>
      <c r="K4139" s="22">
        <v>2143</v>
      </c>
      <c r="L4139" s="6">
        <v>2155</v>
      </c>
      <c r="M4139" s="125">
        <f t="shared" si="187"/>
        <v>12</v>
      </c>
      <c r="N4139" s="242"/>
      <c r="P4139" s="247">
        <v>13990</v>
      </c>
      <c r="Q4139" s="25">
        <f>178.36/1079.2</f>
        <v>0.16527057079318014</v>
      </c>
      <c r="R4139" s="24">
        <f t="shared" si="188"/>
        <v>2312.13528539659</v>
      </c>
      <c r="S4139" s="158" t="e">
        <f>R4139*#REF!</f>
        <v>#REF!</v>
      </c>
      <c r="T4139" s="158" t="e">
        <f t="shared" si="189"/>
        <v>#REF!</v>
      </c>
      <c r="U4139" s="388">
        <v>0.1</v>
      </c>
      <c r="W4139" s="285">
        <f t="shared" si="185"/>
        <v>2543.3488139362494</v>
      </c>
    </row>
    <row r="4140" spans="1:23" ht="15" customHeight="1">
      <c r="A4140" s="3">
        <v>41669</v>
      </c>
      <c r="B4140" s="9">
        <v>77700</v>
      </c>
      <c r="C4140" s="5">
        <v>2175</v>
      </c>
      <c r="D4140" s="5">
        <v>129100</v>
      </c>
      <c r="E4140" s="5">
        <v>208975</v>
      </c>
      <c r="F4140" s="4">
        <v>0</v>
      </c>
      <c r="G4140" s="5">
        <v>500</v>
      </c>
      <c r="H4140" s="5">
        <v>37875</v>
      </c>
      <c r="I4140" s="118">
        <f t="shared" si="186"/>
        <v>0.18124177533197752</v>
      </c>
      <c r="K4140" s="22">
        <v>2116</v>
      </c>
      <c r="L4140" s="6">
        <v>2126</v>
      </c>
      <c r="M4140" s="125">
        <f t="shared" si="187"/>
        <v>10</v>
      </c>
      <c r="N4140" s="242"/>
      <c r="P4140" s="247">
        <v>13990</v>
      </c>
      <c r="Q4140" s="25">
        <f>178.36/1079.2</f>
        <v>0.16527057079318014</v>
      </c>
      <c r="R4140" s="24">
        <f t="shared" si="188"/>
        <v>2312.13528539659</v>
      </c>
      <c r="S4140" s="158" t="e">
        <f>R4140*#REF!</f>
        <v>#REF!</v>
      </c>
      <c r="T4140" s="158" t="e">
        <f t="shared" si="189"/>
        <v>#REF!</v>
      </c>
      <c r="U4140" s="388">
        <v>0.1</v>
      </c>
      <c r="W4140" s="285">
        <f>(P4140*Q4140)*(1+U4140)</f>
        <v>2543.3488139362494</v>
      </c>
    </row>
    <row r="4141" spans="1:23" ht="15" customHeight="1">
      <c r="A4141" s="3">
        <v>41670</v>
      </c>
      <c r="B4141" s="9">
        <v>77700</v>
      </c>
      <c r="C4141" s="5">
        <v>2175</v>
      </c>
      <c r="D4141" s="5">
        <v>128600</v>
      </c>
      <c r="E4141" s="5">
        <v>208475</v>
      </c>
      <c r="F4141" s="4">
        <v>0</v>
      </c>
      <c r="G4141" s="5">
        <v>500</v>
      </c>
      <c r="H4141" s="5">
        <v>37375</v>
      </c>
      <c r="I4141" s="118">
        <f t="shared" si="186"/>
        <v>0.17927809089818922</v>
      </c>
      <c r="K4141" s="22">
        <v>2091.5</v>
      </c>
      <c r="L4141" s="6">
        <v>2110</v>
      </c>
      <c r="M4141" s="125">
        <f t="shared" si="187"/>
        <v>18.5</v>
      </c>
      <c r="N4141" s="235">
        <f>AVERAGE(K4120:K4141)</f>
        <v>2148.8863636363635</v>
      </c>
      <c r="O4141" s="230">
        <f>AVERAGE(K4120:K4141)</f>
        <v>2148.8863636363635</v>
      </c>
      <c r="P4141" s="1399" t="s">
        <v>46</v>
      </c>
      <c r="Q4141" s="1400"/>
      <c r="R4141" s="1400"/>
      <c r="S4141" s="1400"/>
      <c r="T4141" s="1400"/>
      <c r="U4141" s="1400"/>
      <c r="V4141" s="1400"/>
      <c r="W4141" s="1400"/>
    </row>
    <row r="4142" spans="1:23" ht="15" customHeight="1" thickBot="1">
      <c r="A4142" s="216"/>
      <c r="B4142" s="1330"/>
      <c r="C4142" s="1330"/>
      <c r="D4142" s="1330"/>
      <c r="E4142" s="216"/>
      <c r="F4142" s="407"/>
      <c r="G4142" s="164"/>
      <c r="H4142" s="164"/>
      <c r="I4142" s="166"/>
      <c r="J4142" s="166"/>
      <c r="K4142" s="166"/>
      <c r="L4142" s="167"/>
      <c r="M4142" s="168"/>
      <c r="N4142" s="169"/>
      <c r="O4142" s="183"/>
      <c r="P4142" s="180"/>
      <c r="Q4142" s="154"/>
      <c r="R4142" s="248"/>
      <c r="S4142" s="249"/>
      <c r="T4142" s="249"/>
      <c r="U4142" s="152"/>
      <c r="V4142" s="153">
        <f>AVERAGE(P4120:P4141)</f>
        <v>14071.904761904761</v>
      </c>
      <c r="W4142" s="295"/>
    </row>
    <row r="4143" spans="1:23" ht="15" customHeight="1">
      <c r="A4143" s="3">
        <v>41673</v>
      </c>
      <c r="B4143" s="9">
        <v>77700</v>
      </c>
      <c r="C4143" s="5">
        <v>2175</v>
      </c>
      <c r="D4143" s="5">
        <v>128550</v>
      </c>
      <c r="E4143" s="5">
        <v>208425</v>
      </c>
      <c r="F4143" s="4">
        <v>450</v>
      </c>
      <c r="G4143" s="5">
        <v>500</v>
      </c>
      <c r="H4143" s="5">
        <v>36875</v>
      </c>
      <c r="I4143" s="118">
        <f t="shared" ref="I4143:I4162" si="190">H4143/E4143</f>
        <v>0.17692215425212907</v>
      </c>
      <c r="K4143" s="22">
        <v>2087.5</v>
      </c>
      <c r="L4143" s="6">
        <v>2107</v>
      </c>
      <c r="M4143" s="125">
        <f t="shared" si="187"/>
        <v>19.5</v>
      </c>
      <c r="P4143" s="1402" t="s">
        <v>46</v>
      </c>
      <c r="Q4143" s="1403"/>
      <c r="R4143" s="1403"/>
      <c r="S4143" s="1403"/>
      <c r="T4143" s="1403"/>
      <c r="U4143" s="1403"/>
      <c r="V4143" s="1403"/>
      <c r="W4143" s="1403"/>
    </row>
    <row r="4144" spans="1:23" ht="15" customHeight="1">
      <c r="A4144" s="3">
        <v>41674</v>
      </c>
      <c r="B4144" s="9">
        <v>77700</v>
      </c>
      <c r="C4144" s="5">
        <v>2175</v>
      </c>
      <c r="D4144" s="5">
        <v>128050</v>
      </c>
      <c r="E4144" s="5">
        <v>207925</v>
      </c>
      <c r="F4144" s="4">
        <v>0</v>
      </c>
      <c r="G4144" s="5">
        <v>500</v>
      </c>
      <c r="H4144" s="5">
        <v>36375</v>
      </c>
      <c r="I4144" s="118">
        <f t="shared" si="190"/>
        <v>0.17494288806059877</v>
      </c>
      <c r="K4144" s="22">
        <v>2091.5</v>
      </c>
      <c r="L4144" s="6">
        <v>2110</v>
      </c>
      <c r="M4144" s="125">
        <f t="shared" si="187"/>
        <v>18.5</v>
      </c>
      <c r="P4144" s="1404"/>
      <c r="Q4144" s="1405"/>
      <c r="R4144" s="1405"/>
      <c r="S4144" s="1405"/>
      <c r="T4144" s="1405"/>
      <c r="U4144" s="1405"/>
      <c r="V4144" s="1405"/>
      <c r="W4144" s="1405"/>
    </row>
    <row r="4145" spans="1:23" ht="15" customHeight="1">
      <c r="A4145" s="3">
        <v>41675</v>
      </c>
      <c r="B4145" s="9">
        <v>77700</v>
      </c>
      <c r="C4145" s="5">
        <v>2175</v>
      </c>
      <c r="D4145" s="5">
        <v>127550</v>
      </c>
      <c r="E4145" s="5">
        <v>207425</v>
      </c>
      <c r="F4145" s="4">
        <v>0</v>
      </c>
      <c r="G4145" s="5">
        <v>500</v>
      </c>
      <c r="H4145" s="5">
        <v>35875</v>
      </c>
      <c r="I4145" s="118">
        <f t="shared" si="190"/>
        <v>0.17295407978787514</v>
      </c>
      <c r="K4145" s="22">
        <v>2093</v>
      </c>
      <c r="L4145" s="6">
        <v>2112</v>
      </c>
      <c r="M4145" s="125">
        <f t="shared" si="187"/>
        <v>19</v>
      </c>
      <c r="P4145" s="1404"/>
      <c r="Q4145" s="1405"/>
      <c r="R4145" s="1405"/>
      <c r="S4145" s="1405"/>
      <c r="T4145" s="1405"/>
      <c r="U4145" s="1405"/>
      <c r="V4145" s="1405"/>
      <c r="W4145" s="1405"/>
    </row>
    <row r="4146" spans="1:23" ht="15" customHeight="1">
      <c r="A4146" s="3">
        <v>41676</v>
      </c>
      <c r="B4146" s="9">
        <v>77700</v>
      </c>
      <c r="C4146" s="5">
        <v>2175</v>
      </c>
      <c r="D4146" s="5">
        <v>127050</v>
      </c>
      <c r="E4146" s="5">
        <v>206925</v>
      </c>
      <c r="F4146" s="4">
        <v>0</v>
      </c>
      <c r="G4146" s="5">
        <v>500</v>
      </c>
      <c r="H4146" s="5">
        <v>35375</v>
      </c>
      <c r="I4146" s="118">
        <f t="shared" si="190"/>
        <v>0.17095566026338047</v>
      </c>
      <c r="K4146" s="22">
        <v>2078</v>
      </c>
      <c r="L4146" s="6">
        <v>2097.5</v>
      </c>
      <c r="M4146" s="125">
        <f t="shared" si="187"/>
        <v>19.5</v>
      </c>
      <c r="P4146" s="1404"/>
      <c r="Q4146" s="1405"/>
      <c r="R4146" s="1405"/>
      <c r="S4146" s="1405"/>
      <c r="T4146" s="1405"/>
      <c r="U4146" s="1405"/>
      <c r="V4146" s="1405"/>
      <c r="W4146" s="1405"/>
    </row>
    <row r="4147" spans="1:23" ht="15" customHeight="1">
      <c r="A4147" s="3">
        <v>41677</v>
      </c>
      <c r="B4147" s="9">
        <v>77700</v>
      </c>
      <c r="C4147" s="5">
        <v>2175</v>
      </c>
      <c r="D4147" s="5">
        <v>126550</v>
      </c>
      <c r="E4147" s="5">
        <v>206425</v>
      </c>
      <c r="F4147" s="4">
        <v>0</v>
      </c>
      <c r="G4147" s="5">
        <v>500</v>
      </c>
      <c r="H4147" s="5">
        <v>34875</v>
      </c>
      <c r="I4147" s="118">
        <f t="shared" si="190"/>
        <v>0.16894755964636066</v>
      </c>
      <c r="K4147" s="22">
        <v>2117</v>
      </c>
      <c r="L4147" s="6">
        <v>2135</v>
      </c>
      <c r="M4147" s="125">
        <f t="shared" si="187"/>
        <v>18</v>
      </c>
      <c r="P4147" s="247">
        <v>13990</v>
      </c>
      <c r="Q4147" s="25">
        <f>177.31/1075.1</f>
        <v>0.16492419309831646</v>
      </c>
      <c r="R4147" s="266"/>
      <c r="S4147" s="266"/>
      <c r="T4147" s="266"/>
      <c r="U4147" s="388">
        <v>0.1</v>
      </c>
      <c r="V4147" s="266"/>
      <c r="W4147" s="285">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18">
        <f t="shared" si="190"/>
        <v>0.16692970741774918</v>
      </c>
      <c r="K4148" s="22">
        <v>2111.5</v>
      </c>
      <c r="L4148" s="6">
        <v>2126</v>
      </c>
      <c r="M4148" s="125">
        <f t="shared" si="187"/>
        <v>14.5</v>
      </c>
      <c r="P4148" s="247">
        <v>13990</v>
      </c>
      <c r="Q4148" s="25">
        <f>176.9/1071.9</f>
        <v>0.16503405168392574</v>
      </c>
      <c r="U4148" s="388">
        <v>0.1</v>
      </c>
      <c r="W4148" s="285">
        <f t="shared" si="191"/>
        <v>2539.7090213639331</v>
      </c>
    </row>
    <row r="4149" spans="1:23" ht="15" customHeight="1">
      <c r="A4149" s="3">
        <v>41681</v>
      </c>
      <c r="B4149" s="9">
        <v>77700</v>
      </c>
      <c r="C4149" s="5">
        <v>2175</v>
      </c>
      <c r="D4149" s="5">
        <v>125550</v>
      </c>
      <c r="E4149" s="5">
        <v>205425</v>
      </c>
      <c r="F4149" s="4">
        <v>0</v>
      </c>
      <c r="G4149" s="5">
        <v>500</v>
      </c>
      <c r="H4149" s="5">
        <v>33875</v>
      </c>
      <c r="I4149" s="118">
        <f t="shared" si="190"/>
        <v>0.16490203237191189</v>
      </c>
      <c r="K4149" s="22">
        <v>2085</v>
      </c>
      <c r="L4149" s="6">
        <v>2102.5</v>
      </c>
      <c r="M4149" s="125">
        <f t="shared" si="187"/>
        <v>17.5</v>
      </c>
      <c r="P4149" s="247">
        <v>13990</v>
      </c>
      <c r="Q4149" s="25">
        <f>176.88/1072</f>
        <v>0.16500000000000001</v>
      </c>
      <c r="U4149" s="388">
        <v>0.1</v>
      </c>
      <c r="W4149" s="285">
        <f t="shared" si="191"/>
        <v>2539.1849999999999</v>
      </c>
    </row>
    <row r="4150" spans="1:23" ht="15" customHeight="1">
      <c r="A4150" s="3">
        <v>41682</v>
      </c>
      <c r="B4150" s="9">
        <v>77700</v>
      </c>
      <c r="C4150" s="5">
        <v>2175</v>
      </c>
      <c r="D4150" s="5">
        <v>125050</v>
      </c>
      <c r="E4150" s="5">
        <v>204925</v>
      </c>
      <c r="F4150" s="4">
        <v>0</v>
      </c>
      <c r="G4150" s="5">
        <v>500</v>
      </c>
      <c r="H4150" s="5">
        <v>33375</v>
      </c>
      <c r="I4150" s="118">
        <f t="shared" si="190"/>
        <v>0.16286446260827131</v>
      </c>
      <c r="K4150" s="22">
        <v>2103.5</v>
      </c>
      <c r="L4150" s="6">
        <v>2125</v>
      </c>
      <c r="M4150" s="125">
        <f t="shared" si="187"/>
        <v>21.5</v>
      </c>
      <c r="P4150" s="247">
        <v>13990</v>
      </c>
      <c r="Q4150" s="25">
        <f>175.62/1064.7</f>
        <v>0.16494787264018032</v>
      </c>
      <c r="U4150" s="388">
        <v>0.1</v>
      </c>
      <c r="W4150" s="285">
        <f t="shared" si="191"/>
        <v>2538.382812059735</v>
      </c>
    </row>
    <row r="4151" spans="1:23" ht="15" customHeight="1">
      <c r="A4151" s="3">
        <v>41683</v>
      </c>
      <c r="B4151" s="9">
        <v>77700</v>
      </c>
      <c r="C4151" s="5">
        <v>2175</v>
      </c>
      <c r="D4151" s="5">
        <v>124550</v>
      </c>
      <c r="E4151" s="5">
        <v>204425</v>
      </c>
      <c r="F4151" s="4">
        <v>0</v>
      </c>
      <c r="G4151" s="5">
        <v>500</v>
      </c>
      <c r="H4151" s="5">
        <v>33000</v>
      </c>
      <c r="I4151" s="118">
        <f t="shared" si="190"/>
        <v>0.16142839672251438</v>
      </c>
      <c r="K4151" s="22">
        <v>2105</v>
      </c>
      <c r="L4151" s="6">
        <v>2120</v>
      </c>
      <c r="M4151" s="125">
        <f t="shared" si="187"/>
        <v>15</v>
      </c>
      <c r="P4151" s="247">
        <v>13960</v>
      </c>
      <c r="Q4151" s="25">
        <v>0.16494787264018032</v>
      </c>
      <c r="R4151"/>
      <c r="S4151"/>
      <c r="T4151"/>
      <c r="U4151" s="388">
        <v>0.1</v>
      </c>
      <c r="V4151"/>
      <c r="W4151" s="285">
        <f t="shared" si="191"/>
        <v>2532.9395322626096</v>
      </c>
    </row>
    <row r="4152" spans="1:23" ht="15" customHeight="1">
      <c r="A4152" s="3">
        <v>41684</v>
      </c>
      <c r="B4152" s="9">
        <v>77700</v>
      </c>
      <c r="C4152" s="5">
        <v>2175</v>
      </c>
      <c r="D4152" s="5">
        <v>124050</v>
      </c>
      <c r="E4152" s="5">
        <v>203925</v>
      </c>
      <c r="F4152" s="4">
        <v>0</v>
      </c>
      <c r="G4152" s="5">
        <v>500</v>
      </c>
      <c r="H4152" s="5">
        <v>32500</v>
      </c>
      <c r="I4152" s="118">
        <f t="shared" si="190"/>
        <v>0.15937231825426015</v>
      </c>
      <c r="K4152" s="22">
        <v>2123</v>
      </c>
      <c r="L4152" s="6">
        <v>2135.5</v>
      </c>
      <c r="M4152" s="125">
        <f t="shared" si="187"/>
        <v>12.5</v>
      </c>
      <c r="P4152" s="247">
        <v>13910</v>
      </c>
      <c r="Q4152" s="25">
        <f>175.03/1061.9</f>
        <v>0.16482719653451358</v>
      </c>
      <c r="R4152"/>
      <c r="S4152"/>
      <c r="T4152"/>
      <c r="U4152" s="388">
        <v>0.1</v>
      </c>
      <c r="V4152"/>
      <c r="W4152" s="285">
        <f t="shared" si="191"/>
        <v>2522.0209341745922</v>
      </c>
    </row>
    <row r="4153" spans="1:23" ht="15" customHeight="1">
      <c r="A4153" s="3">
        <v>41687</v>
      </c>
      <c r="B4153" s="9">
        <v>77700</v>
      </c>
      <c r="C4153" s="5">
        <v>2175</v>
      </c>
      <c r="D4153" s="5">
        <v>123550</v>
      </c>
      <c r="E4153" s="5">
        <v>203425</v>
      </c>
      <c r="F4153" s="4">
        <v>0</v>
      </c>
      <c r="G4153" s="5">
        <v>500</v>
      </c>
      <c r="H4153" s="5">
        <v>35525</v>
      </c>
      <c r="I4153" s="118">
        <f t="shared" si="190"/>
        <v>0.17463438613739707</v>
      </c>
      <c r="K4153" s="22">
        <v>2131.5</v>
      </c>
      <c r="L4153" s="6">
        <v>2150</v>
      </c>
      <c r="M4153" s="125">
        <f t="shared" si="187"/>
        <v>18.5</v>
      </c>
      <c r="P4153" s="247">
        <v>13910</v>
      </c>
      <c r="Q4153" s="25">
        <f>174.88/1060.5</f>
        <v>0.16490334747760491</v>
      </c>
      <c r="U4153" s="388">
        <v>0.1</v>
      </c>
      <c r="W4153" s="285">
        <f t="shared" si="191"/>
        <v>2523.1861197548328</v>
      </c>
    </row>
    <row r="4154" spans="1:23" ht="15" customHeight="1">
      <c r="A4154" s="3">
        <v>41688</v>
      </c>
      <c r="B4154" s="9">
        <v>77700</v>
      </c>
      <c r="C4154" s="5">
        <v>2175</v>
      </c>
      <c r="D4154" s="5">
        <v>123050</v>
      </c>
      <c r="E4154" s="5">
        <v>202925</v>
      </c>
      <c r="F4154" s="4">
        <v>0</v>
      </c>
      <c r="G4154" s="5">
        <v>500</v>
      </c>
      <c r="H4154" s="5">
        <v>35025</v>
      </c>
      <c r="I4154" s="118">
        <f t="shared" si="190"/>
        <v>0.17260071454971049</v>
      </c>
      <c r="K4154" s="22">
        <v>2132.5</v>
      </c>
      <c r="L4154" s="6">
        <v>2150</v>
      </c>
      <c r="M4154" s="125">
        <f t="shared" si="187"/>
        <v>17.5</v>
      </c>
      <c r="P4154" s="247">
        <v>13910</v>
      </c>
      <c r="Q4154" s="25">
        <f>175.38/1064.1</f>
        <v>0.16481533690442629</v>
      </c>
      <c r="U4154" s="388">
        <v>0.1</v>
      </c>
      <c r="W4154" s="285">
        <f t="shared" si="191"/>
        <v>2521.8394699746268</v>
      </c>
    </row>
    <row r="4155" spans="1:23" ht="15" customHeight="1">
      <c r="A4155" s="3">
        <v>41689</v>
      </c>
      <c r="B4155" s="9">
        <v>77150</v>
      </c>
      <c r="C4155" s="5">
        <v>2175</v>
      </c>
      <c r="D4155" s="5">
        <v>122550</v>
      </c>
      <c r="E4155" s="5">
        <v>201875</v>
      </c>
      <c r="F4155" s="4">
        <v>0</v>
      </c>
      <c r="G4155" s="5">
        <v>1050</v>
      </c>
      <c r="H4155" s="5">
        <v>33975</v>
      </c>
      <c r="I4155" s="118">
        <f t="shared" si="190"/>
        <v>0.16829721362229103</v>
      </c>
      <c r="K4155" s="22">
        <v>2155</v>
      </c>
      <c r="L4155" s="6">
        <v>2173</v>
      </c>
      <c r="M4155" s="125">
        <f t="shared" si="187"/>
        <v>18</v>
      </c>
      <c r="P4155" s="247">
        <v>13940</v>
      </c>
      <c r="Q4155" s="25">
        <f>175.61/1067.1</f>
        <v>0.16456751944522541</v>
      </c>
      <c r="U4155" s="388">
        <v>0.1</v>
      </c>
      <c r="W4155" s="285">
        <f t="shared" si="191"/>
        <v>2523.4783431730866</v>
      </c>
    </row>
    <row r="4156" spans="1:23" ht="15" customHeight="1">
      <c r="A4156" s="3">
        <v>41690</v>
      </c>
      <c r="B4156" s="9">
        <v>76750</v>
      </c>
      <c r="C4156" s="5">
        <v>2175</v>
      </c>
      <c r="D4156" s="5">
        <v>122350</v>
      </c>
      <c r="E4156" s="5">
        <v>201275</v>
      </c>
      <c r="F4156" s="4">
        <v>0</v>
      </c>
      <c r="G4156" s="5">
        <v>600</v>
      </c>
      <c r="H4156" s="5">
        <v>33575</v>
      </c>
      <c r="I4156" s="118">
        <f t="shared" si="190"/>
        <v>0.16681157620171408</v>
      </c>
      <c r="K4156" s="22">
        <v>2124</v>
      </c>
      <c r="L4156" s="6">
        <v>2143</v>
      </c>
      <c r="M4156" s="125">
        <f t="shared" si="187"/>
        <v>19</v>
      </c>
      <c r="P4156" s="247">
        <v>13940</v>
      </c>
      <c r="Q4156" s="25">
        <f>176.2/1071.9</f>
        <v>0.16438100569082933</v>
      </c>
      <c r="U4156" s="388">
        <v>0.1</v>
      </c>
      <c r="W4156" s="285">
        <f t="shared" si="191"/>
        <v>2520.6183412631776</v>
      </c>
    </row>
    <row r="4157" spans="1:23" ht="15" customHeight="1">
      <c r="A4157" s="3">
        <v>41691</v>
      </c>
      <c r="B4157" s="9">
        <v>76725</v>
      </c>
      <c r="C4157" s="5">
        <v>2175</v>
      </c>
      <c r="D4157" s="5">
        <v>122450</v>
      </c>
      <c r="E4157" s="5">
        <v>201350</v>
      </c>
      <c r="F4157" s="4">
        <v>100</v>
      </c>
      <c r="G4157" s="5">
        <v>25</v>
      </c>
      <c r="H4157" s="5">
        <v>34150</v>
      </c>
      <c r="I4157" s="118">
        <f t="shared" si="190"/>
        <v>0.16960516513533647</v>
      </c>
      <c r="K4157" s="22">
        <v>2133</v>
      </c>
      <c r="L4157" s="6">
        <v>2154</v>
      </c>
      <c r="M4157" s="125">
        <f t="shared" si="187"/>
        <v>21</v>
      </c>
      <c r="P4157" s="247">
        <v>13920</v>
      </c>
      <c r="Q4157" s="25">
        <f>176.16/1073.1</f>
        <v>0.16415991053955831</v>
      </c>
      <c r="U4157" s="388">
        <v>0.1</v>
      </c>
      <c r="W4157" s="285">
        <f t="shared" si="191"/>
        <v>2513.6165501817168</v>
      </c>
    </row>
    <row r="4158" spans="1:23" ht="15" customHeight="1">
      <c r="A4158" s="3">
        <v>41694</v>
      </c>
      <c r="B4158" s="9">
        <v>76725</v>
      </c>
      <c r="C4158" s="5">
        <v>2175</v>
      </c>
      <c r="D4158" s="5">
        <v>122450</v>
      </c>
      <c r="E4158" s="5">
        <v>201350</v>
      </c>
      <c r="F4158" s="4">
        <v>0</v>
      </c>
      <c r="G4158" s="5">
        <v>0</v>
      </c>
      <c r="H4158" s="5">
        <v>34150</v>
      </c>
      <c r="I4158" s="118">
        <f t="shared" si="190"/>
        <v>0.16960516513533647</v>
      </c>
      <c r="K4158" s="22">
        <v>2102</v>
      </c>
      <c r="L4158" s="6">
        <v>2121</v>
      </c>
      <c r="M4158" s="125">
        <f t="shared" si="187"/>
        <v>19</v>
      </c>
      <c r="P4158" s="247">
        <v>13870</v>
      </c>
      <c r="Q4158" s="25">
        <f>176.49/1076.3</f>
        <v>0.16397844467156</v>
      </c>
      <c r="U4158" s="388">
        <v>0.1</v>
      </c>
      <c r="W4158" s="285">
        <f t="shared" si="191"/>
        <v>2501.8191303539911</v>
      </c>
    </row>
    <row r="4159" spans="1:23" ht="15" customHeight="1">
      <c r="A4159" s="3">
        <v>41695</v>
      </c>
      <c r="B4159" s="9">
        <v>76725</v>
      </c>
      <c r="C4159" s="5">
        <v>2175</v>
      </c>
      <c r="D4159" s="5">
        <v>122450</v>
      </c>
      <c r="E4159" s="5">
        <v>201350</v>
      </c>
      <c r="F4159" s="4">
        <v>0</v>
      </c>
      <c r="G4159" s="5">
        <v>0</v>
      </c>
      <c r="H4159" s="5">
        <v>34150</v>
      </c>
      <c r="I4159" s="118">
        <f t="shared" si="190"/>
        <v>0.16960516513533647</v>
      </c>
      <c r="K4159" s="22">
        <v>2112</v>
      </c>
      <c r="L4159" s="6">
        <v>2132</v>
      </c>
      <c r="M4159" s="125">
        <f t="shared" si="187"/>
        <v>20</v>
      </c>
      <c r="P4159" s="247">
        <v>13870</v>
      </c>
      <c r="Q4159" s="25">
        <f>174.8/1070.6</f>
        <v>0.16327293106669161</v>
      </c>
      <c r="U4159" s="388">
        <v>0.1</v>
      </c>
      <c r="W4159" s="285">
        <f t="shared" si="191"/>
        <v>2491.0551092845139</v>
      </c>
    </row>
    <row r="4160" spans="1:23" ht="15" customHeight="1">
      <c r="A4160" s="3">
        <v>41696</v>
      </c>
      <c r="B4160" s="9">
        <v>76275</v>
      </c>
      <c r="C4160" s="5">
        <v>2175</v>
      </c>
      <c r="D4160" s="5">
        <v>124125</v>
      </c>
      <c r="E4160" s="5">
        <v>202575</v>
      </c>
      <c r="F4160" s="4">
        <v>1675</v>
      </c>
      <c r="G4160" s="5">
        <v>450</v>
      </c>
      <c r="H4160" s="5">
        <v>33700</v>
      </c>
      <c r="I4160" s="118">
        <f t="shared" si="190"/>
        <v>0.1663581389608787</v>
      </c>
      <c r="K4160" s="22">
        <v>2110</v>
      </c>
      <c r="L4160" s="6">
        <v>2130.5</v>
      </c>
      <c r="M4160" s="125">
        <f t="shared" si="187"/>
        <v>20.5</v>
      </c>
      <c r="P4160" s="247">
        <v>13840</v>
      </c>
      <c r="Q4160" s="25">
        <f>174.68/1069.9</f>
        <v>0.16326759510234601</v>
      </c>
      <c r="U4160" s="388">
        <v>0.1</v>
      </c>
      <c r="W4160" s="285">
        <f t="shared" si="191"/>
        <v>2485.585867838116</v>
      </c>
    </row>
    <row r="4161" spans="1:23" ht="15" customHeight="1">
      <c r="A4161" s="3">
        <v>41697</v>
      </c>
      <c r="B4161" s="9">
        <v>76125</v>
      </c>
      <c r="C4161" s="5">
        <v>2175</v>
      </c>
      <c r="D4161" s="5">
        <v>124125</v>
      </c>
      <c r="E4161" s="5">
        <v>202425</v>
      </c>
      <c r="F4161" s="4">
        <v>0</v>
      </c>
      <c r="G4161" s="5">
        <v>150</v>
      </c>
      <c r="H4161" s="272">
        <v>33575</v>
      </c>
      <c r="I4161" s="118">
        <f t="shared" si="190"/>
        <v>0.16586390020995431</v>
      </c>
      <c r="K4161" s="22">
        <v>2099</v>
      </c>
      <c r="L4161" s="6">
        <v>2117</v>
      </c>
      <c r="M4161" s="125">
        <f t="shared" si="187"/>
        <v>18</v>
      </c>
      <c r="P4161" s="247">
        <v>13840</v>
      </c>
      <c r="Q4161" s="25">
        <f>174.22/1067.7</f>
        <v>0.16317317598576378</v>
      </c>
      <c r="U4161" s="388">
        <v>0.1</v>
      </c>
      <c r="W4161" s="285">
        <f t="shared" si="191"/>
        <v>2484.148431207268</v>
      </c>
    </row>
    <row r="4162" spans="1:23" ht="15" customHeight="1">
      <c r="A4162" s="3">
        <v>41698</v>
      </c>
      <c r="B4162" s="9">
        <v>75925</v>
      </c>
      <c r="C4162" s="5">
        <v>2175</v>
      </c>
      <c r="D4162" s="5">
        <v>124125</v>
      </c>
      <c r="E4162" s="5">
        <v>202225</v>
      </c>
      <c r="F4162" s="4">
        <v>0</v>
      </c>
      <c r="G4162" s="5">
        <v>200</v>
      </c>
      <c r="H4162" s="5">
        <v>33375</v>
      </c>
      <c r="I4162" s="118">
        <f t="shared" si="190"/>
        <v>0.16503894177277784</v>
      </c>
      <c r="K4162" s="22">
        <v>2115.5</v>
      </c>
      <c r="L4162" s="6">
        <v>2137</v>
      </c>
      <c r="M4162" s="125">
        <f t="shared" si="187"/>
        <v>21.5</v>
      </c>
      <c r="N4162" s="235">
        <f>AVERAGE(K4143:K4162)</f>
        <v>2110.4749999999999</v>
      </c>
      <c r="O4162" s="230">
        <f>AVERAGE(K4120:K4162)</f>
        <v>2130.5952380952381</v>
      </c>
      <c r="P4162" s="247">
        <v>13840</v>
      </c>
      <c r="Q4162" s="25">
        <f>173.51/1066.2</f>
        <v>0.1627368223597824</v>
      </c>
      <c r="U4162" s="388">
        <v>0.1</v>
      </c>
      <c r="W4162" s="285">
        <f t="shared" ref="W4162:W4183" si="192">(P4162*Q4162)*(1+U4162)</f>
        <v>2477.5053836053271</v>
      </c>
    </row>
    <row r="4163" spans="1:23" ht="15" customHeight="1" thickBot="1">
      <c r="A4163" s="216"/>
      <c r="B4163" s="1330"/>
      <c r="C4163" s="1330"/>
      <c r="D4163" s="1330"/>
      <c r="E4163" s="216"/>
      <c r="F4163" s="407"/>
      <c r="G4163" s="164"/>
      <c r="H4163" s="164"/>
      <c r="I4163" s="166"/>
      <c r="J4163" s="166"/>
      <c r="K4163" s="166"/>
      <c r="L4163" s="167"/>
      <c r="M4163" s="168"/>
      <c r="N4163" s="169"/>
      <c r="O4163" s="183"/>
      <c r="P4163" s="180"/>
      <c r="Q4163" s="154"/>
      <c r="R4163" s="248"/>
      <c r="S4163" s="249"/>
      <c r="T4163" s="249"/>
      <c r="U4163" s="152"/>
      <c r="V4163" s="153">
        <f>AVERAGE(P4143:P4162)</f>
        <v>13919.375</v>
      </c>
      <c r="W4163" s="295"/>
    </row>
    <row r="4164" spans="1:23" ht="15" customHeight="1">
      <c r="A4164" s="3">
        <v>41701</v>
      </c>
      <c r="B4164" s="9">
        <v>75775</v>
      </c>
      <c r="C4164" s="5">
        <v>2175</v>
      </c>
      <c r="D4164" s="5">
        <v>124825</v>
      </c>
      <c r="E4164" s="5">
        <v>202775</v>
      </c>
      <c r="F4164" s="4">
        <v>700</v>
      </c>
      <c r="G4164" s="5">
        <v>150</v>
      </c>
      <c r="H4164" s="5">
        <v>33225</v>
      </c>
      <c r="I4164" s="118">
        <f t="shared" ref="I4164:I4184" si="193">H4164/E4164</f>
        <v>0.16385155961040562</v>
      </c>
      <c r="K4164" s="22">
        <v>2081</v>
      </c>
      <c r="L4164" s="6">
        <v>2105</v>
      </c>
      <c r="M4164" s="125">
        <f t="shared" si="187"/>
        <v>24</v>
      </c>
      <c r="P4164" s="247">
        <v>13790</v>
      </c>
      <c r="Q4164" s="25">
        <f>174.94/1071.9</f>
        <v>0.16320552290325588</v>
      </c>
      <c r="U4164" s="388">
        <v>0.1</v>
      </c>
      <c r="W4164" s="285">
        <f t="shared" si="192"/>
        <v>2475.6645769194888</v>
      </c>
    </row>
    <row r="4165" spans="1:23" ht="15" customHeight="1">
      <c r="A4165" s="3">
        <v>41702</v>
      </c>
      <c r="B4165" s="9">
        <v>75775</v>
      </c>
      <c r="C4165" s="5">
        <v>2175</v>
      </c>
      <c r="D4165" s="5">
        <v>124825</v>
      </c>
      <c r="E4165" s="5">
        <v>202775</v>
      </c>
      <c r="F4165" s="4">
        <v>0</v>
      </c>
      <c r="G4165" s="5">
        <v>0</v>
      </c>
      <c r="H4165" s="5">
        <v>33225</v>
      </c>
      <c r="I4165" s="118">
        <f t="shared" si="193"/>
        <v>0.16385155961040562</v>
      </c>
      <c r="K4165" s="22">
        <v>2102.5</v>
      </c>
      <c r="L4165" s="6">
        <v>2125</v>
      </c>
      <c r="M4165" s="125">
        <f t="shared" si="187"/>
        <v>22.5</v>
      </c>
      <c r="P4165" s="247">
        <v>13790</v>
      </c>
      <c r="Q4165" s="25">
        <f>174.82/1072</f>
        <v>0.16307835820895522</v>
      </c>
      <c r="U4165" s="388">
        <v>0.1</v>
      </c>
      <c r="W4165" s="285">
        <f t="shared" si="192"/>
        <v>2473.7356156716419</v>
      </c>
    </row>
    <row r="4166" spans="1:23" ht="15" customHeight="1">
      <c r="A4166" s="3">
        <v>41703</v>
      </c>
      <c r="B4166" s="9">
        <v>75650</v>
      </c>
      <c r="C4166" s="5">
        <v>2175</v>
      </c>
      <c r="D4166" s="5">
        <v>124825</v>
      </c>
      <c r="E4166" s="5">
        <v>202650</v>
      </c>
      <c r="F4166" s="4">
        <v>0</v>
      </c>
      <c r="G4166" s="5">
        <v>125</v>
      </c>
      <c r="H4166" s="5">
        <v>33100</v>
      </c>
      <c r="I4166" s="118">
        <f t="shared" si="193"/>
        <v>0.16333580064150013</v>
      </c>
      <c r="K4166" s="22">
        <v>2123.5</v>
      </c>
      <c r="L4166" s="6">
        <v>2150</v>
      </c>
      <c r="M4166" s="125">
        <f t="shared" si="187"/>
        <v>26.5</v>
      </c>
      <c r="P4166" s="247">
        <v>13810</v>
      </c>
      <c r="Q4166" s="25">
        <f>174.82/1070.6</f>
        <v>0.16329161218008595</v>
      </c>
      <c r="U4166" s="388">
        <v>0.1</v>
      </c>
      <c r="W4166" s="285">
        <f t="shared" si="192"/>
        <v>2480.5628806276854</v>
      </c>
    </row>
    <row r="4167" spans="1:23" ht="15" customHeight="1">
      <c r="A4167" s="3">
        <v>41704</v>
      </c>
      <c r="B4167" s="9">
        <v>76975</v>
      </c>
      <c r="C4167" s="5">
        <v>2175</v>
      </c>
      <c r="D4167" s="5">
        <v>124825</v>
      </c>
      <c r="E4167" s="5">
        <v>203975</v>
      </c>
      <c r="F4167" s="4">
        <v>1325</v>
      </c>
      <c r="G4167" s="5">
        <v>0</v>
      </c>
      <c r="H4167" s="5">
        <v>32900</v>
      </c>
      <c r="I4167" s="118">
        <f t="shared" si="193"/>
        <v>0.1612942762593455</v>
      </c>
      <c r="K4167" s="22">
        <v>2105</v>
      </c>
      <c r="L4167" s="6">
        <v>2131.5</v>
      </c>
      <c r="M4167" s="125">
        <f t="shared" si="187"/>
        <v>26.5</v>
      </c>
      <c r="P4167" s="247">
        <v>13790</v>
      </c>
      <c r="Q4167" s="25">
        <f>174.97/1067.4</f>
        <v>0.16392167884579351</v>
      </c>
      <c r="U4167" s="388">
        <v>0.1</v>
      </c>
      <c r="W4167" s="285">
        <f t="shared" si="192"/>
        <v>2486.5279464118421</v>
      </c>
    </row>
    <row r="4168" spans="1:23" ht="15" customHeight="1">
      <c r="A4168" s="3">
        <v>41705</v>
      </c>
      <c r="B4168" s="9">
        <v>76975</v>
      </c>
      <c r="C4168" s="5">
        <v>2175</v>
      </c>
      <c r="D4168" s="5">
        <v>124825</v>
      </c>
      <c r="E4168" s="5">
        <v>203975</v>
      </c>
      <c r="F4168" s="4">
        <v>0</v>
      </c>
      <c r="G4168" s="5">
        <v>0</v>
      </c>
      <c r="H4168" s="5">
        <v>32900</v>
      </c>
      <c r="I4168" s="118">
        <f t="shared" si="193"/>
        <v>0.1612942762593455</v>
      </c>
      <c r="K4168" s="22">
        <v>2084.5</v>
      </c>
      <c r="L4168" s="6">
        <v>2112</v>
      </c>
      <c r="M4168" s="125">
        <f t="shared" si="187"/>
        <v>27.5</v>
      </c>
      <c r="P4168" s="247">
        <v>13760</v>
      </c>
      <c r="Q4168" s="25">
        <f>173.91/1062.6</f>
        <v>0.16366459627329194</v>
      </c>
      <c r="U4168" s="388">
        <v>0.1</v>
      </c>
      <c r="W4168" s="285">
        <f t="shared" si="192"/>
        <v>2477.2273291925471</v>
      </c>
    </row>
    <row r="4169" spans="1:23" ht="15" customHeight="1">
      <c r="A4169" s="3">
        <v>41708</v>
      </c>
      <c r="B4169" s="9">
        <v>76975</v>
      </c>
      <c r="C4169" s="5">
        <v>2175</v>
      </c>
      <c r="D4169" s="5">
        <v>124650</v>
      </c>
      <c r="E4169" s="5">
        <v>203800</v>
      </c>
      <c r="F4169" s="4">
        <v>0</v>
      </c>
      <c r="G4169" s="5">
        <v>175</v>
      </c>
      <c r="H4169" s="5">
        <v>32725</v>
      </c>
      <c r="I4169" s="118">
        <f t="shared" si="193"/>
        <v>0.16057409224730126</v>
      </c>
      <c r="K4169" s="22">
        <v>2039</v>
      </c>
      <c r="L4169" s="6">
        <v>2067</v>
      </c>
      <c r="M4169" s="125">
        <f t="shared" si="187"/>
        <v>28</v>
      </c>
      <c r="P4169" s="247">
        <v>13640</v>
      </c>
      <c r="Q4169" s="25">
        <f>173.68/1065.9</f>
        <v>0.16294211464490102</v>
      </c>
      <c r="U4169" s="388">
        <v>0.1</v>
      </c>
      <c r="W4169" s="285">
        <f t="shared" si="192"/>
        <v>2444.783488132095</v>
      </c>
    </row>
    <row r="4170" spans="1:23" ht="15" customHeight="1">
      <c r="A4170" s="3">
        <v>41709</v>
      </c>
      <c r="B4170" s="9">
        <v>76975</v>
      </c>
      <c r="C4170" s="5">
        <v>2175</v>
      </c>
      <c r="D4170" s="5">
        <v>124175</v>
      </c>
      <c r="E4170" s="5">
        <v>203325</v>
      </c>
      <c r="F4170" s="4">
        <v>0</v>
      </c>
      <c r="G4170" s="5">
        <v>475</v>
      </c>
      <c r="H4170" s="5">
        <v>32300</v>
      </c>
      <c r="I4170" s="118">
        <f t="shared" si="193"/>
        <v>0.15885896962990287</v>
      </c>
      <c r="K4170" s="22">
        <v>2079</v>
      </c>
      <c r="L4170" s="6">
        <v>2106</v>
      </c>
      <c r="M4170" s="125">
        <f t="shared" si="187"/>
        <v>27</v>
      </c>
      <c r="P4170" s="247">
        <v>13690</v>
      </c>
      <c r="Q4170" s="25">
        <f>173.34/1064.8</f>
        <v>0.16279113448534938</v>
      </c>
      <c r="U4170" s="388">
        <v>0.1</v>
      </c>
      <c r="W4170" s="285">
        <f t="shared" si="192"/>
        <v>2451.4716942148762</v>
      </c>
    </row>
    <row r="4171" spans="1:23" ht="15" customHeight="1">
      <c r="A4171" s="3">
        <v>41710</v>
      </c>
      <c r="B4171" s="9">
        <v>76975</v>
      </c>
      <c r="C4171" s="5">
        <v>2175</v>
      </c>
      <c r="D4171" s="5">
        <v>123950</v>
      </c>
      <c r="E4171" s="5">
        <v>203100</v>
      </c>
      <c r="F4171" s="4">
        <v>0</v>
      </c>
      <c r="G4171" s="5">
        <v>225</v>
      </c>
      <c r="H4171" s="5">
        <v>32175</v>
      </c>
      <c r="I4171" s="118">
        <f t="shared" si="193"/>
        <v>0.15841949778434269</v>
      </c>
      <c r="K4171" s="22">
        <v>2022</v>
      </c>
      <c r="L4171" s="6">
        <v>2047</v>
      </c>
      <c r="M4171" s="125">
        <f t="shared" si="187"/>
        <v>25</v>
      </c>
      <c r="P4171" s="247">
        <v>13660</v>
      </c>
      <c r="Q4171" s="25">
        <f>174.1/1069.2</f>
        <v>0.16283202394313503</v>
      </c>
      <c r="U4171" s="388">
        <v>0.1</v>
      </c>
      <c r="W4171" s="285">
        <f t="shared" si="192"/>
        <v>2446.7139917695472</v>
      </c>
    </row>
    <row r="4172" spans="1:23" ht="15" customHeight="1">
      <c r="A4172" s="3">
        <v>41711</v>
      </c>
      <c r="B4172" s="9">
        <v>76975</v>
      </c>
      <c r="C4172" s="5">
        <v>2175</v>
      </c>
      <c r="D4172" s="5">
        <v>123250</v>
      </c>
      <c r="E4172" s="5">
        <v>202400</v>
      </c>
      <c r="F4172" s="4">
        <v>0</v>
      </c>
      <c r="G4172" s="5">
        <v>700</v>
      </c>
      <c r="H4172" s="5">
        <v>31475</v>
      </c>
      <c r="I4172" s="118">
        <f t="shared" si="193"/>
        <v>0.15550889328063242</v>
      </c>
      <c r="K4172" s="22">
        <v>2008</v>
      </c>
      <c r="L4172" s="6">
        <v>2033</v>
      </c>
      <c r="M4172" s="125">
        <f t="shared" si="187"/>
        <v>25</v>
      </c>
      <c r="P4172" s="247">
        <v>13660</v>
      </c>
      <c r="Q4172" s="25">
        <f>173.8/1067.4</f>
        <v>0.16282555742926738</v>
      </c>
      <c r="U4172" s="388">
        <v>0.1</v>
      </c>
      <c r="W4172" s="285">
        <f t="shared" si="192"/>
        <v>2446.6168259321721</v>
      </c>
    </row>
    <row r="4173" spans="1:23" ht="15" customHeight="1">
      <c r="A4173" s="3">
        <v>41712</v>
      </c>
      <c r="B4173" s="9">
        <v>76975</v>
      </c>
      <c r="C4173" s="5">
        <v>2175</v>
      </c>
      <c r="D4173" s="5">
        <v>122700</v>
      </c>
      <c r="E4173" s="5">
        <v>201850</v>
      </c>
      <c r="F4173" s="4">
        <v>0</v>
      </c>
      <c r="G4173" s="5">
        <v>550</v>
      </c>
      <c r="H4173" s="5">
        <v>30925</v>
      </c>
      <c r="I4173" s="118">
        <f t="shared" si="193"/>
        <v>0.15320782759474857</v>
      </c>
      <c r="K4173" s="22">
        <v>2018</v>
      </c>
      <c r="L4173" s="6">
        <v>2037</v>
      </c>
      <c r="M4173" s="125">
        <f t="shared" si="187"/>
        <v>19</v>
      </c>
      <c r="P4173" s="247">
        <v>13640</v>
      </c>
      <c r="Q4173" s="25">
        <f>174.2/1072</f>
        <v>0.16249999999999998</v>
      </c>
      <c r="U4173" s="388">
        <v>0.1</v>
      </c>
      <c r="W4173" s="285">
        <f t="shared" si="192"/>
        <v>2438.1499999999996</v>
      </c>
    </row>
    <row r="4174" spans="1:23" ht="15" customHeight="1">
      <c r="A4174" s="3">
        <v>41715</v>
      </c>
      <c r="B4174" s="9">
        <v>77725</v>
      </c>
      <c r="C4174" s="5">
        <v>2175</v>
      </c>
      <c r="D4174" s="5">
        <v>122175</v>
      </c>
      <c r="E4174" s="5">
        <v>202075</v>
      </c>
      <c r="F4174" s="4">
        <v>750</v>
      </c>
      <c r="G4174" s="5">
        <v>525</v>
      </c>
      <c r="H4174" s="5">
        <v>30400</v>
      </c>
      <c r="I4174" s="118">
        <f t="shared" si="193"/>
        <v>0.15043919336879871</v>
      </c>
      <c r="K4174" s="22">
        <v>2035.5</v>
      </c>
      <c r="L4174" s="6">
        <v>2053</v>
      </c>
      <c r="M4174" s="125">
        <f t="shared" si="187"/>
        <v>17.5</v>
      </c>
      <c r="P4174" s="247">
        <v>13640</v>
      </c>
      <c r="Q4174" s="25">
        <f>173.66/1069.9</f>
        <v>0.16231423497523131</v>
      </c>
      <c r="U4174" s="388">
        <v>0.1</v>
      </c>
      <c r="W4174" s="285">
        <f t="shared" si="192"/>
        <v>2435.3627815683708</v>
      </c>
    </row>
    <row r="4175" spans="1:23" ht="15" customHeight="1">
      <c r="A4175" s="3">
        <v>41716</v>
      </c>
      <c r="B4175" s="9">
        <v>77725</v>
      </c>
      <c r="C4175" s="5">
        <v>2175</v>
      </c>
      <c r="D4175" s="5">
        <v>121775</v>
      </c>
      <c r="E4175" s="5">
        <v>201675</v>
      </c>
      <c r="F4175" s="4">
        <v>0</v>
      </c>
      <c r="G4175" s="5">
        <v>400</v>
      </c>
      <c r="H4175" s="5">
        <v>30000</v>
      </c>
      <c r="I4175" s="118">
        <f t="shared" si="193"/>
        <v>0.14875418371141688</v>
      </c>
      <c r="K4175" s="22">
        <v>2027</v>
      </c>
      <c r="L4175" s="6">
        <v>2051</v>
      </c>
      <c r="M4175" s="125">
        <f t="shared" si="187"/>
        <v>24</v>
      </c>
      <c r="P4175" s="247">
        <v>13640</v>
      </c>
      <c r="Q4175" s="25">
        <f>172.87/1067.9</f>
        <v>0.16187845303867401</v>
      </c>
      <c r="U4175" s="388">
        <v>0.1</v>
      </c>
      <c r="W4175" s="285">
        <f t="shared" si="192"/>
        <v>2428.8243093922651</v>
      </c>
    </row>
    <row r="4176" spans="1:23" ht="15" customHeight="1">
      <c r="A4176" s="3">
        <v>41717</v>
      </c>
      <c r="B4176" s="9">
        <v>77375</v>
      </c>
      <c r="C4176" s="5">
        <v>2175</v>
      </c>
      <c r="D4176" s="5">
        <v>121500</v>
      </c>
      <c r="E4176" s="5">
        <v>201050</v>
      </c>
      <c r="F4176" s="4">
        <v>0</v>
      </c>
      <c r="G4176" s="5">
        <v>625</v>
      </c>
      <c r="H4176" s="5">
        <v>29375</v>
      </c>
      <c r="I4176" s="118">
        <f t="shared" si="193"/>
        <v>0.14610793334991296</v>
      </c>
      <c r="K4176" s="22">
        <v>2035.5</v>
      </c>
      <c r="L4176" s="6">
        <v>2061</v>
      </c>
      <c r="M4176" s="125">
        <f t="shared" si="187"/>
        <v>25.5</v>
      </c>
      <c r="P4176" s="247">
        <v>13660</v>
      </c>
      <c r="Q4176" s="25">
        <f>173.01/1070.7</f>
        <v>0.16158587839731015</v>
      </c>
      <c r="U4176" s="388">
        <v>0.1</v>
      </c>
      <c r="W4176" s="285">
        <f t="shared" si="192"/>
        <v>2427.9894087979828</v>
      </c>
    </row>
    <row r="4177" spans="1:23" ht="15" customHeight="1">
      <c r="A4177" s="3">
        <v>41718</v>
      </c>
      <c r="B4177" s="9">
        <v>77375</v>
      </c>
      <c r="C4177" s="5">
        <v>2175</v>
      </c>
      <c r="D4177" s="5">
        <v>121150</v>
      </c>
      <c r="E4177" s="5">
        <v>200700</v>
      </c>
      <c r="F4177" s="4">
        <v>0</v>
      </c>
      <c r="G4177" s="5">
        <v>350</v>
      </c>
      <c r="H4177" s="5">
        <v>29025</v>
      </c>
      <c r="I4177" s="118">
        <f t="shared" si="193"/>
        <v>0.14461883408071749</v>
      </c>
      <c r="K4177" s="22">
        <v>2046</v>
      </c>
      <c r="L4177" s="6">
        <v>2070</v>
      </c>
      <c r="M4177" s="125">
        <f t="shared" si="187"/>
        <v>24</v>
      </c>
      <c r="P4177" s="247">
        <v>13690</v>
      </c>
      <c r="Q4177" s="25">
        <f>173.24/1075.3</f>
        <v>0.16110852785269228</v>
      </c>
      <c r="U4177" s="388">
        <v>0.1</v>
      </c>
      <c r="W4177" s="285">
        <f t="shared" si="192"/>
        <v>2426.1333209336935</v>
      </c>
    </row>
    <row r="4178" spans="1:23" ht="15" customHeight="1">
      <c r="A4178" s="3">
        <v>41719</v>
      </c>
      <c r="B4178" s="9">
        <v>77375</v>
      </c>
      <c r="C4178" s="5">
        <v>2175</v>
      </c>
      <c r="D4178" s="5">
        <v>121150</v>
      </c>
      <c r="E4178" s="5">
        <v>200700</v>
      </c>
      <c r="F4178" s="4">
        <v>0</v>
      </c>
      <c r="G4178" s="5">
        <v>0</v>
      </c>
      <c r="H4178" s="5">
        <v>29150</v>
      </c>
      <c r="I4178" s="118">
        <f t="shared" si="193"/>
        <v>0.14524165421026408</v>
      </c>
      <c r="K4178" s="22">
        <v>2061</v>
      </c>
      <c r="L4178" s="6">
        <v>2083.5</v>
      </c>
      <c r="M4178" s="125">
        <f t="shared" si="187"/>
        <v>22.5</v>
      </c>
      <c r="P4178" s="247">
        <v>13690</v>
      </c>
      <c r="Q4178" s="25">
        <f>174.33/1080.3</f>
        <v>0.16137184115523467</v>
      </c>
      <c r="U4178" s="388">
        <v>0.1</v>
      </c>
      <c r="W4178" s="285">
        <f t="shared" si="192"/>
        <v>2430.0985559566793</v>
      </c>
    </row>
    <row r="4179" spans="1:23" ht="15" customHeight="1">
      <c r="A4179" s="3">
        <v>41722</v>
      </c>
      <c r="B4179" s="9">
        <v>77375</v>
      </c>
      <c r="C4179" s="5">
        <v>2175</v>
      </c>
      <c r="D4179" s="5">
        <v>121150</v>
      </c>
      <c r="E4179" s="5">
        <v>200700</v>
      </c>
      <c r="F4179" s="4">
        <v>0</v>
      </c>
      <c r="G4179" s="5">
        <v>0</v>
      </c>
      <c r="H4179" s="5">
        <v>29150</v>
      </c>
      <c r="I4179" s="118">
        <f t="shared" si="193"/>
        <v>0.14524165421026408</v>
      </c>
      <c r="K4179" s="22">
        <v>2049.5</v>
      </c>
      <c r="L4179" s="6">
        <v>2072</v>
      </c>
      <c r="M4179" s="125">
        <f t="shared" si="187"/>
        <v>22.5</v>
      </c>
      <c r="P4179" s="247">
        <v>13690</v>
      </c>
      <c r="Q4179" s="25">
        <f>174.65/1079.7</f>
        <v>0.16175789571177179</v>
      </c>
      <c r="U4179" s="388">
        <v>0.1</v>
      </c>
      <c r="W4179" s="285">
        <f t="shared" si="192"/>
        <v>2435.912151523572</v>
      </c>
    </row>
    <row r="4180" spans="1:23" ht="15" customHeight="1">
      <c r="A4180" s="3">
        <v>41723</v>
      </c>
      <c r="B4180" s="9">
        <v>77375</v>
      </c>
      <c r="C4180" s="5">
        <v>2175</v>
      </c>
      <c r="D4180" s="5">
        <v>121150</v>
      </c>
      <c r="E4180" s="5">
        <v>200700</v>
      </c>
      <c r="F4180" s="4">
        <v>0</v>
      </c>
      <c r="G4180" s="5">
        <v>0</v>
      </c>
      <c r="H4180" s="5">
        <v>29150</v>
      </c>
      <c r="I4180" s="118">
        <f t="shared" si="193"/>
        <v>0.14524165421026408</v>
      </c>
      <c r="K4180" s="22">
        <v>2059</v>
      </c>
      <c r="L4180" s="6">
        <v>2087</v>
      </c>
      <c r="M4180" s="125">
        <f t="shared" si="187"/>
        <v>28</v>
      </c>
      <c r="P4180" s="247">
        <v>13690</v>
      </c>
      <c r="Q4180" s="25">
        <f>174.34/1078.2</f>
        <v>0.16169541828974215</v>
      </c>
      <c r="U4180" s="388">
        <v>0.1</v>
      </c>
      <c r="W4180" s="285">
        <f t="shared" si="192"/>
        <v>2434.9713040252273</v>
      </c>
    </row>
    <row r="4181" spans="1:23" ht="15" customHeight="1">
      <c r="A4181" s="3">
        <v>41724</v>
      </c>
      <c r="B4181" s="9">
        <v>77375</v>
      </c>
      <c r="C4181" s="5">
        <v>2175</v>
      </c>
      <c r="D4181" s="5">
        <v>121075</v>
      </c>
      <c r="E4181" s="5">
        <v>200625</v>
      </c>
      <c r="F4181" s="4">
        <v>0</v>
      </c>
      <c r="G4181" s="5">
        <v>75</v>
      </c>
      <c r="H4181" s="5">
        <v>30575</v>
      </c>
      <c r="I4181" s="118">
        <f t="shared" si="193"/>
        <v>0.152398753894081</v>
      </c>
      <c r="K4181" s="22">
        <v>2065</v>
      </c>
      <c r="L4181" s="6">
        <v>2089</v>
      </c>
      <c r="M4181" s="125">
        <f t="shared" si="187"/>
        <v>24</v>
      </c>
      <c r="P4181" s="247">
        <v>13720</v>
      </c>
      <c r="Q4181" s="25">
        <f>173.51/1076.3</f>
        <v>0.16120969989779801</v>
      </c>
      <c r="U4181" s="388">
        <v>0.1</v>
      </c>
      <c r="W4181" s="285">
        <f t="shared" si="192"/>
        <v>2432.9767908575677</v>
      </c>
    </row>
    <row r="4182" spans="1:23" ht="15" customHeight="1">
      <c r="A4182" s="3">
        <v>41725</v>
      </c>
      <c r="B4182" s="9">
        <v>77150</v>
      </c>
      <c r="C4182" s="5">
        <v>2175</v>
      </c>
      <c r="D4182" s="5">
        <v>121075</v>
      </c>
      <c r="E4182" s="5">
        <v>200400</v>
      </c>
      <c r="F4182" s="4">
        <v>0</v>
      </c>
      <c r="G4182" s="5">
        <v>225</v>
      </c>
      <c r="H4182" s="5">
        <v>30350</v>
      </c>
      <c r="I4182" s="118">
        <f t="shared" si="193"/>
        <v>0.15144710578842316</v>
      </c>
      <c r="K4182" s="22">
        <v>2043.5</v>
      </c>
      <c r="L4182" s="6">
        <v>2064</v>
      </c>
      <c r="M4182" s="125">
        <f t="shared" si="187"/>
        <v>20.5</v>
      </c>
      <c r="P4182" s="247">
        <v>13720</v>
      </c>
      <c r="Q4182" s="25">
        <f>172.81/1072.8</f>
        <v>0.16108314690529457</v>
      </c>
      <c r="U4182" s="388">
        <v>0.1</v>
      </c>
      <c r="W4182" s="285">
        <f t="shared" si="192"/>
        <v>2431.0668530947055</v>
      </c>
    </row>
    <row r="4183" spans="1:23" ht="15" customHeight="1">
      <c r="A4183" s="3">
        <v>41726</v>
      </c>
      <c r="B4183" s="9">
        <v>77150</v>
      </c>
      <c r="C4183" s="5">
        <v>2175</v>
      </c>
      <c r="D4183" s="5">
        <v>121050</v>
      </c>
      <c r="E4183" s="5">
        <v>200375</v>
      </c>
      <c r="F4183" s="4">
        <v>0</v>
      </c>
      <c r="G4183" s="5">
        <v>25</v>
      </c>
      <c r="H4183" s="5">
        <v>30425</v>
      </c>
      <c r="I4183" s="118">
        <f t="shared" si="193"/>
        <v>0.15184029943855271</v>
      </c>
      <c r="K4183" s="22">
        <v>2058</v>
      </c>
      <c r="L4183" s="6">
        <v>2080</v>
      </c>
      <c r="M4183" s="125">
        <f t="shared" si="187"/>
        <v>22</v>
      </c>
      <c r="P4183" s="247">
        <v>13720</v>
      </c>
      <c r="Q4183" s="25">
        <f>172.3/1068.8</f>
        <v>0.16120883233532937</v>
      </c>
      <c r="U4183" s="388">
        <v>0.1</v>
      </c>
      <c r="W4183" s="285">
        <f t="shared" si="192"/>
        <v>2432.9636976047909</v>
      </c>
    </row>
    <row r="4184" spans="1:23" ht="15" customHeight="1">
      <c r="A4184" s="3">
        <v>41729</v>
      </c>
      <c r="B4184" s="9">
        <v>77100</v>
      </c>
      <c r="C4184" s="5">
        <v>2175</v>
      </c>
      <c r="D4184" s="5">
        <v>121050</v>
      </c>
      <c r="E4184" s="5">
        <v>200325</v>
      </c>
      <c r="F4184" s="4">
        <v>100</v>
      </c>
      <c r="G4184" s="5">
        <v>150</v>
      </c>
      <c r="H4184" s="5">
        <v>30375</v>
      </c>
      <c r="I4184" s="118">
        <f t="shared" si="193"/>
        <v>0.15162860351928117</v>
      </c>
      <c r="K4184" s="22">
        <v>2041</v>
      </c>
      <c r="L4184" s="6">
        <v>2067</v>
      </c>
      <c r="M4184" s="125">
        <f t="shared" si="187"/>
        <v>26</v>
      </c>
      <c r="N4184" s="235">
        <f>AVERAGE(K4164:K4184)</f>
        <v>2056.3571428571427</v>
      </c>
      <c r="O4184" s="230">
        <f>AVERAGE(K4120:K4184)</f>
        <v>2105.8492063492063</v>
      </c>
      <c r="P4184" s="247">
        <v>13720</v>
      </c>
      <c r="Q4184" s="25">
        <f>171.55/1066.1</f>
        <v>0.16091361035550139</v>
      </c>
      <c r="U4184" s="388">
        <v>0.1</v>
      </c>
      <c r="W4184" s="285">
        <f t="shared" ref="W4184:W4206" si="194">(P4184*Q4184)*(1+U4184)</f>
        <v>2428.5082074852271</v>
      </c>
    </row>
    <row r="4185" spans="1:23" ht="15" customHeight="1" thickBot="1">
      <c r="A4185" s="216"/>
      <c r="B4185" s="1330"/>
      <c r="C4185" s="1330"/>
      <c r="D4185" s="1330"/>
      <c r="E4185" s="216"/>
      <c r="F4185" s="407"/>
      <c r="G4185" s="164"/>
      <c r="H4185" s="164"/>
      <c r="I4185" s="166"/>
      <c r="J4185" s="166"/>
      <c r="K4185" s="166"/>
      <c r="L4185" s="167"/>
      <c r="M4185" s="168"/>
      <c r="N4185" s="169"/>
      <c r="O4185" s="183"/>
      <c r="P4185" s="180"/>
      <c r="Q4185" s="154"/>
      <c r="R4185" s="248"/>
      <c r="S4185" s="249"/>
      <c r="T4185" s="249"/>
      <c r="U4185" s="152"/>
      <c r="V4185" s="153">
        <f>AVERAGE(P4164:P4184)</f>
        <v>13705.238095238095</v>
      </c>
      <c r="W4185" s="295"/>
    </row>
    <row r="4186" spans="1:23" ht="15" customHeight="1">
      <c r="A4186" s="3">
        <v>41730</v>
      </c>
      <c r="B4186" s="9">
        <v>78025</v>
      </c>
      <c r="C4186" s="5">
        <v>2175</v>
      </c>
      <c r="D4186" s="5">
        <v>121450</v>
      </c>
      <c r="E4186" s="5">
        <v>201650</v>
      </c>
      <c r="F4186" s="4">
        <v>1425</v>
      </c>
      <c r="G4186" s="5">
        <v>100</v>
      </c>
      <c r="H4186" s="5">
        <v>30275</v>
      </c>
      <c r="I4186" s="118">
        <f t="shared" ref="I4186:I4198" si="195">H4186/E4186</f>
        <v>0.15013637490701712</v>
      </c>
      <c r="K4186" s="22">
        <v>2026</v>
      </c>
      <c r="L4186" s="6">
        <v>2050.5</v>
      </c>
      <c r="M4186" s="125">
        <f t="shared" si="187"/>
        <v>24.5</v>
      </c>
      <c r="P4186" s="247">
        <v>13690</v>
      </c>
      <c r="Q4186" s="25">
        <f>170.9/1060.5</f>
        <v>0.16115040075436116</v>
      </c>
      <c r="U4186" s="388">
        <v>0.1</v>
      </c>
      <c r="W4186" s="285">
        <f t="shared" si="194"/>
        <v>2426.7638849599248</v>
      </c>
    </row>
    <row r="4187" spans="1:23" ht="15" customHeight="1">
      <c r="A4187" s="3">
        <v>41731</v>
      </c>
      <c r="B4187" s="9">
        <v>78025</v>
      </c>
      <c r="C4187" s="5">
        <v>2175</v>
      </c>
      <c r="D4187" s="5">
        <v>121450</v>
      </c>
      <c r="E4187" s="5">
        <v>201650</v>
      </c>
      <c r="F4187" s="4">
        <v>0</v>
      </c>
      <c r="G4187" s="5">
        <v>0</v>
      </c>
      <c r="H4187" s="5">
        <v>30275</v>
      </c>
      <c r="I4187" s="118">
        <f t="shared" si="195"/>
        <v>0.15013637490701712</v>
      </c>
      <c r="K4187" s="22">
        <v>2036</v>
      </c>
      <c r="L4187" s="6">
        <v>2058.5</v>
      </c>
      <c r="M4187" s="125">
        <f t="shared" si="187"/>
        <v>22.5</v>
      </c>
      <c r="P4187" s="247">
        <v>13690</v>
      </c>
      <c r="Q4187" s="25">
        <f>170.41/1057</f>
        <v>0.16122043519394513</v>
      </c>
      <c r="U4187" s="388">
        <v>0.1</v>
      </c>
      <c r="W4187" s="285">
        <f t="shared" si="194"/>
        <v>2427.8185335856201</v>
      </c>
    </row>
    <row r="4188" spans="1:23" ht="15" customHeight="1">
      <c r="A4188" s="3">
        <v>41732</v>
      </c>
      <c r="B4188" s="9">
        <v>78025</v>
      </c>
      <c r="C4188" s="5">
        <v>2175</v>
      </c>
      <c r="D4188" s="5">
        <v>121450</v>
      </c>
      <c r="E4188" s="5">
        <v>201650</v>
      </c>
      <c r="F4188" s="4">
        <v>0</v>
      </c>
      <c r="G4188" s="5">
        <v>0</v>
      </c>
      <c r="H4188" s="5">
        <v>30275</v>
      </c>
      <c r="I4188" s="118">
        <f t="shared" si="195"/>
        <v>0.15013637490701712</v>
      </c>
      <c r="K4188" s="22">
        <v>2016</v>
      </c>
      <c r="L4188" s="6">
        <v>2040.5</v>
      </c>
      <c r="M4188" s="125">
        <f t="shared" si="187"/>
        <v>24.5</v>
      </c>
      <c r="P4188" s="247">
        <v>13690</v>
      </c>
      <c r="Q4188" s="25">
        <f>170.24/1058.1</f>
        <v>0.16089216520177679</v>
      </c>
      <c r="U4188" s="388">
        <v>0.1</v>
      </c>
      <c r="W4188" s="285">
        <f t="shared" si="194"/>
        <v>2422.8751157735569</v>
      </c>
    </row>
    <row r="4189" spans="1:23" ht="15" customHeight="1">
      <c r="A4189" s="3">
        <v>41733</v>
      </c>
      <c r="B4189" s="9">
        <v>78025</v>
      </c>
      <c r="C4189" s="5">
        <v>2175</v>
      </c>
      <c r="D4189" s="5">
        <v>121825</v>
      </c>
      <c r="E4189" s="5">
        <v>202025</v>
      </c>
      <c r="F4189" s="4">
        <v>375</v>
      </c>
      <c r="G4189" s="5">
        <v>0</v>
      </c>
      <c r="H4189" s="5">
        <v>30275</v>
      </c>
      <c r="I4189" s="118">
        <f t="shared" si="195"/>
        <v>0.1498576908798416</v>
      </c>
      <c r="K4189" s="22">
        <v>2046</v>
      </c>
      <c r="L4189" s="6">
        <v>2062</v>
      </c>
      <c r="M4189" s="125">
        <f t="shared" si="187"/>
        <v>16</v>
      </c>
      <c r="P4189" s="247">
        <v>13690</v>
      </c>
      <c r="Q4189" s="25">
        <f>169.89/1056.1</f>
        <v>0.16086544834769434</v>
      </c>
      <c r="U4189" s="388">
        <v>0.1</v>
      </c>
      <c r="W4189" s="285">
        <f t="shared" si="194"/>
        <v>2422.4727866679291</v>
      </c>
    </row>
    <row r="4190" spans="1:23" ht="15" customHeight="1">
      <c r="A4190" s="3">
        <v>41736</v>
      </c>
      <c r="B4190" s="9">
        <v>78025</v>
      </c>
      <c r="C4190" s="5">
        <v>2175</v>
      </c>
      <c r="D4190" s="5">
        <v>121825</v>
      </c>
      <c r="E4190" s="5">
        <v>202025</v>
      </c>
      <c r="F4190" s="4">
        <v>0</v>
      </c>
      <c r="G4190" s="5">
        <v>0</v>
      </c>
      <c r="H4190" s="5">
        <v>30275</v>
      </c>
      <c r="I4190" s="118">
        <f t="shared" si="195"/>
        <v>0.1498576908798416</v>
      </c>
      <c r="K4190" s="22">
        <v>2022</v>
      </c>
      <c r="L4190" s="6">
        <v>2041</v>
      </c>
      <c r="M4190" s="125">
        <f t="shared" si="187"/>
        <v>19</v>
      </c>
      <c r="P4190" s="282"/>
      <c r="Q4190" s="283"/>
      <c r="R4190" s="283"/>
      <c r="S4190" s="283"/>
      <c r="T4190" s="283"/>
      <c r="U4190" s="382"/>
      <c r="V4190" s="283"/>
    </row>
    <row r="4191" spans="1:23" ht="15" customHeight="1">
      <c r="A4191" s="3">
        <v>41737</v>
      </c>
      <c r="B4191" s="9">
        <v>78500</v>
      </c>
      <c r="C4191" s="5">
        <v>2175</v>
      </c>
      <c r="D4191" s="5">
        <v>121725</v>
      </c>
      <c r="E4191" s="5">
        <v>202400</v>
      </c>
      <c r="F4191" s="4">
        <v>475</v>
      </c>
      <c r="G4191" s="5">
        <v>100</v>
      </c>
      <c r="H4191" s="5">
        <v>30175</v>
      </c>
      <c r="I4191" s="118">
        <f t="shared" si="195"/>
        <v>0.14908596837944665</v>
      </c>
      <c r="K4191" s="22">
        <v>2040.5</v>
      </c>
      <c r="L4191" s="6">
        <v>2056.5</v>
      </c>
      <c r="M4191" s="125">
        <f t="shared" si="187"/>
        <v>16</v>
      </c>
      <c r="P4191" s="247">
        <v>13690</v>
      </c>
      <c r="Q4191" s="25">
        <f>170.17/1053.6</f>
        <v>0.16151290812452543</v>
      </c>
      <c r="U4191" s="388">
        <v>0.1</v>
      </c>
      <c r="W4191" s="285">
        <f t="shared" si="194"/>
        <v>2432.2228834472289</v>
      </c>
    </row>
    <row r="4192" spans="1:23" ht="15" customHeight="1">
      <c r="A4192" s="3">
        <v>41738</v>
      </c>
      <c r="B4192" s="9">
        <v>78500</v>
      </c>
      <c r="C4192" s="5">
        <v>2175</v>
      </c>
      <c r="D4192" s="5">
        <v>121725</v>
      </c>
      <c r="E4192" s="5">
        <v>202400</v>
      </c>
      <c r="F4192" s="4">
        <v>0</v>
      </c>
      <c r="G4192" s="5">
        <v>0</v>
      </c>
      <c r="H4192" s="5">
        <v>30175</v>
      </c>
      <c r="I4192" s="118">
        <f t="shared" si="195"/>
        <v>0.14908596837944665</v>
      </c>
      <c r="K4192" s="22">
        <v>2070.5</v>
      </c>
      <c r="L4192" s="6">
        <v>2086</v>
      </c>
      <c r="M4192" s="125">
        <f t="shared" si="187"/>
        <v>15.5</v>
      </c>
      <c r="P4192" s="247">
        <v>13690</v>
      </c>
      <c r="Q4192" s="25">
        <f>168.46/1043.2</f>
        <v>0.16148389570552146</v>
      </c>
      <c r="U4192" s="388">
        <v>0.1</v>
      </c>
      <c r="W4192" s="285">
        <f t="shared" si="194"/>
        <v>2431.7859854294479</v>
      </c>
    </row>
    <row r="4193" spans="1:23" ht="15" customHeight="1">
      <c r="A4193" s="3">
        <v>41739</v>
      </c>
      <c r="B4193" s="9">
        <v>78500</v>
      </c>
      <c r="C4193" s="5">
        <v>2175</v>
      </c>
      <c r="D4193" s="5">
        <v>121725</v>
      </c>
      <c r="E4193" s="5">
        <v>202400</v>
      </c>
      <c r="F4193" s="4">
        <v>0</v>
      </c>
      <c r="G4193" s="5">
        <v>0</v>
      </c>
      <c r="H4193" s="5">
        <v>30175</v>
      </c>
      <c r="I4193" s="118">
        <f t="shared" si="195"/>
        <v>0.14908596837944665</v>
      </c>
      <c r="K4193" s="22">
        <v>2087.5</v>
      </c>
      <c r="L4193" s="6">
        <v>2102.5</v>
      </c>
      <c r="M4193" s="125">
        <f t="shared" si="187"/>
        <v>15</v>
      </c>
      <c r="P4193" s="247">
        <v>13690</v>
      </c>
      <c r="Q4193" s="25">
        <f>166.85/1036</f>
        <v>0.16105212355212353</v>
      </c>
      <c r="U4193" s="388">
        <v>0.1</v>
      </c>
      <c r="W4193" s="285">
        <f t="shared" si="194"/>
        <v>2425.2839285714285</v>
      </c>
    </row>
    <row r="4194" spans="1:23" ht="15" customHeight="1">
      <c r="A4194" s="3">
        <v>41740</v>
      </c>
      <c r="B4194" s="9">
        <v>78500</v>
      </c>
      <c r="C4194" s="5">
        <v>2175</v>
      </c>
      <c r="D4194" s="5">
        <v>121725</v>
      </c>
      <c r="E4194" s="5">
        <v>202400</v>
      </c>
      <c r="F4194" s="4">
        <v>0</v>
      </c>
      <c r="G4194" s="5">
        <v>0</v>
      </c>
      <c r="H4194" s="5">
        <v>30175</v>
      </c>
      <c r="I4194" s="118">
        <f t="shared" si="195"/>
        <v>0.14908596837944665</v>
      </c>
      <c r="K4194" s="22">
        <v>2104.5</v>
      </c>
      <c r="L4194" s="6">
        <v>2127</v>
      </c>
      <c r="M4194" s="125">
        <f t="shared" si="187"/>
        <v>22.5</v>
      </c>
      <c r="P4194" s="247">
        <v>13720</v>
      </c>
      <c r="Q4194" s="25">
        <f>167.06/1037.5</f>
        <v>0.16102168674698794</v>
      </c>
      <c r="U4194" s="388">
        <v>0.1</v>
      </c>
      <c r="W4194" s="285">
        <f t="shared" si="194"/>
        <v>2430.1392963855424</v>
      </c>
    </row>
    <row r="4195" spans="1:23" ht="15" customHeight="1">
      <c r="A4195" s="3">
        <v>41743</v>
      </c>
      <c r="B4195" s="9">
        <v>78500</v>
      </c>
      <c r="C4195" s="5">
        <v>2175</v>
      </c>
      <c r="D4195" s="5">
        <v>121725</v>
      </c>
      <c r="E4195" s="5">
        <v>202400</v>
      </c>
      <c r="F4195" s="4">
        <v>0</v>
      </c>
      <c r="G4195" s="5">
        <v>0</v>
      </c>
      <c r="H4195" s="5">
        <v>30175</v>
      </c>
      <c r="I4195" s="118">
        <f t="shared" si="195"/>
        <v>0.14908596837944665</v>
      </c>
      <c r="K4195" s="22">
        <v>2075</v>
      </c>
      <c r="L4195" s="6">
        <v>2100</v>
      </c>
      <c r="M4195" s="125">
        <f t="shared" si="187"/>
        <v>25</v>
      </c>
      <c r="P4195" s="247">
        <v>13720</v>
      </c>
      <c r="Q4195" s="25">
        <f>166.94/1038.9</f>
        <v>0.16068919048994126</v>
      </c>
      <c r="U4195" s="388">
        <v>0.1</v>
      </c>
      <c r="W4195" s="285">
        <f t="shared" si="194"/>
        <v>2425.1212628741937</v>
      </c>
    </row>
    <row r="4196" spans="1:23" ht="15" customHeight="1">
      <c r="A4196" s="3">
        <v>41744</v>
      </c>
      <c r="B4196" s="9">
        <v>78500</v>
      </c>
      <c r="C4196" s="5">
        <v>2175</v>
      </c>
      <c r="D4196" s="5">
        <v>121625</v>
      </c>
      <c r="E4196" s="5">
        <v>202300</v>
      </c>
      <c r="F4196" s="4">
        <v>0</v>
      </c>
      <c r="G4196" s="5">
        <v>100</v>
      </c>
      <c r="H4196" s="5">
        <v>30075</v>
      </c>
      <c r="I4196" s="118">
        <f t="shared" si="195"/>
        <v>0.14866534849233812</v>
      </c>
      <c r="K4196" s="22">
        <v>2090.5</v>
      </c>
      <c r="L4196" s="6">
        <v>2119</v>
      </c>
      <c r="M4196" s="125">
        <f t="shared" si="187"/>
        <v>28.5</v>
      </c>
      <c r="P4196" s="247">
        <v>13740</v>
      </c>
      <c r="Q4196" s="25">
        <f>167.24/1041.2</f>
        <v>0.16062235881674991</v>
      </c>
      <c r="U4196" s="388">
        <v>0.1</v>
      </c>
      <c r="W4196" s="285">
        <f t="shared" si="194"/>
        <v>2427.6463311563584</v>
      </c>
    </row>
    <row r="4197" spans="1:23" ht="15" customHeight="1">
      <c r="A4197" s="3">
        <v>41745</v>
      </c>
      <c r="B4197" s="9">
        <v>78500</v>
      </c>
      <c r="C4197" s="5">
        <v>2175</v>
      </c>
      <c r="D4197" s="5">
        <v>121400</v>
      </c>
      <c r="E4197" s="5">
        <v>202075</v>
      </c>
      <c r="F4197" s="4">
        <v>100</v>
      </c>
      <c r="G4197" s="5">
        <v>325</v>
      </c>
      <c r="H4197" s="5">
        <v>30250</v>
      </c>
      <c r="I4197" s="118">
        <f t="shared" si="195"/>
        <v>0.14969689471730793</v>
      </c>
      <c r="K4197" s="22">
        <v>2110</v>
      </c>
      <c r="L4197" s="6">
        <v>2136</v>
      </c>
      <c r="M4197" s="125">
        <f t="shared" si="187"/>
        <v>26</v>
      </c>
      <c r="P4197" s="247">
        <v>13740</v>
      </c>
      <c r="Q4197" s="25">
        <f>167.26/1041.3</f>
        <v>0.16062614040142129</v>
      </c>
      <c r="U4197" s="388">
        <v>0.1</v>
      </c>
      <c r="W4197" s="285">
        <f t="shared" si="194"/>
        <v>2427.7034860270819</v>
      </c>
    </row>
    <row r="4198" spans="1:23" ht="15" customHeight="1">
      <c r="A4198" s="3">
        <v>41746</v>
      </c>
      <c r="B4198" s="9">
        <v>78500</v>
      </c>
      <c r="C4198" s="5">
        <v>2175</v>
      </c>
      <c r="D4198" s="5">
        <v>119725</v>
      </c>
      <c r="E4198" s="5">
        <v>200400</v>
      </c>
      <c r="F4198" s="4">
        <v>0</v>
      </c>
      <c r="G4198" s="5">
        <v>1675</v>
      </c>
      <c r="H4198" s="5">
        <v>28575</v>
      </c>
      <c r="I4198" s="118">
        <f t="shared" si="195"/>
        <v>0.14258982035928144</v>
      </c>
      <c r="K4198" s="22">
        <v>2121</v>
      </c>
      <c r="L4198" s="6">
        <v>2143</v>
      </c>
      <c r="M4198" s="125">
        <f t="shared" si="187"/>
        <v>22</v>
      </c>
      <c r="P4198" s="247">
        <v>13770</v>
      </c>
      <c r="Q4198" s="25">
        <f>166.64/1037.1</f>
        <v>0.16067881592903288</v>
      </c>
      <c r="U4198" s="388">
        <v>0.1</v>
      </c>
      <c r="W4198" s="285">
        <f t="shared" si="194"/>
        <v>2433.8020248770613</v>
      </c>
    </row>
    <row r="4199" spans="1:23" ht="15" customHeight="1">
      <c r="A4199" s="3">
        <v>41747</v>
      </c>
      <c r="B4199" s="9">
        <v>0</v>
      </c>
      <c r="F4199" s="1397" t="s">
        <v>47</v>
      </c>
      <c r="G4199" s="1397"/>
      <c r="P4199" s="247">
        <v>13790</v>
      </c>
      <c r="Q4199" s="25">
        <f>166.65/1037.2</f>
        <v>0.16067296567682221</v>
      </c>
      <c r="R4199" s="266"/>
      <c r="S4199" s="266"/>
      <c r="T4199" s="266"/>
      <c r="U4199" s="388">
        <v>0.1</v>
      </c>
      <c r="V4199" s="266"/>
      <c r="W4199" s="285">
        <f t="shared" si="194"/>
        <v>2437.2482163517161</v>
      </c>
    </row>
    <row r="4200" spans="1:23" ht="15" customHeight="1">
      <c r="A4200" s="3">
        <v>41750</v>
      </c>
      <c r="B4200" s="9">
        <v>0</v>
      </c>
      <c r="F4200" s="1397"/>
      <c r="G4200" s="1397"/>
      <c r="P4200" s="247">
        <v>13790</v>
      </c>
      <c r="Q4200" s="25">
        <f>166.64/1037.9</f>
        <v>0.16055496675980344</v>
      </c>
      <c r="R4200" s="266"/>
      <c r="S4200" s="266"/>
      <c r="T4200" s="266"/>
      <c r="U4200" s="388">
        <v>0.1</v>
      </c>
      <c r="V4200" s="266"/>
      <c r="W4200" s="285">
        <f t="shared" si="194"/>
        <v>2435.4582907794584</v>
      </c>
    </row>
    <row r="4201" spans="1:23" ht="15" customHeight="1">
      <c r="A4201" s="3">
        <v>41751</v>
      </c>
      <c r="B4201" s="9">
        <v>78925</v>
      </c>
      <c r="C4201" s="5">
        <v>2175</v>
      </c>
      <c r="D4201" s="5">
        <v>117625</v>
      </c>
      <c r="E4201" s="5">
        <v>198725</v>
      </c>
      <c r="F4201" s="4">
        <v>425</v>
      </c>
      <c r="G4201" s="5">
        <v>2100</v>
      </c>
      <c r="H4201" s="5">
        <v>26475</v>
      </c>
      <c r="I4201" s="118">
        <f t="shared" ref="I4201:I4207" si="196">H4201/E4201</f>
        <v>0.13322430494401813</v>
      </c>
      <c r="K4201" s="22">
        <v>2133</v>
      </c>
      <c r="L4201" s="6">
        <v>2155</v>
      </c>
      <c r="M4201" s="125">
        <f t="shared" ref="M4201:M4210" si="197">L4201-K4201</f>
        <v>22</v>
      </c>
      <c r="P4201" s="247">
        <v>13790</v>
      </c>
      <c r="Q4201" s="25">
        <f>166.68/1039.6</f>
        <v>0.16033089649865334</v>
      </c>
      <c r="U4201" s="388">
        <v>0.1</v>
      </c>
      <c r="W4201" s="285">
        <f t="shared" si="194"/>
        <v>2432.0593689880729</v>
      </c>
    </row>
    <row r="4202" spans="1:23" ht="15" customHeight="1">
      <c r="A4202" s="3">
        <v>41752</v>
      </c>
      <c r="B4202" s="9">
        <v>78425</v>
      </c>
      <c r="C4202" s="5">
        <v>2175</v>
      </c>
      <c r="D4202" s="5">
        <v>115675</v>
      </c>
      <c r="E4202" s="5">
        <v>196275</v>
      </c>
      <c r="F4202" s="4">
        <v>0</v>
      </c>
      <c r="G4202" s="5">
        <v>2450</v>
      </c>
      <c r="H4202" s="5">
        <v>24325</v>
      </c>
      <c r="I4202" s="118">
        <f t="shared" si="196"/>
        <v>0.12393325690994778</v>
      </c>
      <c r="K4202" s="22">
        <v>2141.5</v>
      </c>
      <c r="L4202" s="6">
        <v>2164</v>
      </c>
      <c r="M4202" s="125">
        <f t="shared" si="197"/>
        <v>22.5</v>
      </c>
      <c r="P4202" s="247">
        <v>13890</v>
      </c>
      <c r="Q4202" s="25">
        <f>166.57/1039.5</f>
        <v>0.16024050024050024</v>
      </c>
      <c r="U4202" s="388">
        <v>0.1</v>
      </c>
      <c r="W4202" s="285">
        <f t="shared" si="194"/>
        <v>2448.3146031746032</v>
      </c>
    </row>
    <row r="4203" spans="1:23" ht="15" customHeight="1">
      <c r="A4203" s="3">
        <v>41753</v>
      </c>
      <c r="B4203" s="9">
        <v>78425</v>
      </c>
      <c r="C4203" s="5">
        <v>2175</v>
      </c>
      <c r="D4203" s="5">
        <v>114175</v>
      </c>
      <c r="E4203" s="5">
        <v>194775</v>
      </c>
      <c r="F4203" s="4">
        <v>0</v>
      </c>
      <c r="G4203" s="5">
        <v>1500</v>
      </c>
      <c r="H4203" s="5">
        <v>22925</v>
      </c>
      <c r="I4203" s="118">
        <f t="shared" si="196"/>
        <v>0.11769991015274034</v>
      </c>
      <c r="K4203" s="22">
        <v>2147.5</v>
      </c>
      <c r="L4203" s="6">
        <v>2172</v>
      </c>
      <c r="M4203" s="125">
        <f t="shared" si="197"/>
        <v>24.5</v>
      </c>
      <c r="P4203" s="247">
        <v>13890</v>
      </c>
      <c r="Q4203" s="25">
        <f>166.04/1038.3</f>
        <v>0.15991524607531543</v>
      </c>
      <c r="U4203" s="388">
        <v>0.1</v>
      </c>
      <c r="W4203" s="285">
        <f t="shared" si="194"/>
        <v>2443.3450447847445</v>
      </c>
    </row>
    <row r="4204" spans="1:23" ht="15" customHeight="1">
      <c r="A4204" s="3">
        <v>41754</v>
      </c>
      <c r="B4204" s="9">
        <v>78425</v>
      </c>
      <c r="C4204" s="5">
        <v>2175</v>
      </c>
      <c r="D4204" s="5">
        <v>112675</v>
      </c>
      <c r="E4204" s="5">
        <v>193275</v>
      </c>
      <c r="F4204" s="4">
        <v>0</v>
      </c>
      <c r="G4204" s="5">
        <v>1500</v>
      </c>
      <c r="H4204" s="5">
        <v>21425</v>
      </c>
      <c r="I4204" s="118">
        <f t="shared" si="196"/>
        <v>0.11085241236580003</v>
      </c>
      <c r="K4204" s="22">
        <v>2143</v>
      </c>
      <c r="L4204" s="6">
        <v>2165</v>
      </c>
      <c r="M4204" s="125">
        <f t="shared" si="197"/>
        <v>22</v>
      </c>
      <c r="P4204" s="247">
        <v>13890</v>
      </c>
      <c r="Q4204" s="25">
        <f>166.01/1038.9</f>
        <v>0.15979401289825776</v>
      </c>
      <c r="U4204" s="388">
        <v>0.1</v>
      </c>
      <c r="W4204" s="285">
        <f t="shared" si="194"/>
        <v>2441.4927230724807</v>
      </c>
    </row>
    <row r="4205" spans="1:23" ht="15" customHeight="1">
      <c r="A4205" s="3">
        <v>41757</v>
      </c>
      <c r="B4205" s="9">
        <v>78425</v>
      </c>
      <c r="C4205" s="5">
        <v>2175</v>
      </c>
      <c r="D4205" s="5">
        <v>112375</v>
      </c>
      <c r="E4205" s="5">
        <v>192975</v>
      </c>
      <c r="F4205" s="4">
        <v>0</v>
      </c>
      <c r="G4205" s="5">
        <v>300</v>
      </c>
      <c r="H4205" s="5">
        <v>21125</v>
      </c>
      <c r="I4205" s="118">
        <f t="shared" si="196"/>
        <v>0.1094701386189921</v>
      </c>
      <c r="K4205" s="22">
        <v>2125</v>
      </c>
      <c r="L4205" s="6">
        <v>2150.5</v>
      </c>
      <c r="M4205" s="125">
        <f t="shared" si="197"/>
        <v>25.5</v>
      </c>
      <c r="P4205" s="247">
        <v>13890</v>
      </c>
      <c r="Q4205" s="25">
        <f>165.87/1037.1</f>
        <v>0.15993636100665318</v>
      </c>
      <c r="U4205" s="388">
        <v>0.1</v>
      </c>
      <c r="W4205" s="285">
        <f t="shared" si="194"/>
        <v>2443.6676598206541</v>
      </c>
    </row>
    <row r="4206" spans="1:23" ht="15" customHeight="1">
      <c r="A4206" s="3">
        <v>41758</v>
      </c>
      <c r="B4206" s="9">
        <v>78425</v>
      </c>
      <c r="C4206" s="5">
        <v>2175</v>
      </c>
      <c r="D4206" s="5">
        <v>112375</v>
      </c>
      <c r="E4206" s="5">
        <v>192975</v>
      </c>
      <c r="F4206" s="4">
        <v>0</v>
      </c>
      <c r="G4206" s="5">
        <v>0</v>
      </c>
      <c r="H4206" s="5">
        <v>21125</v>
      </c>
      <c r="I4206" s="118">
        <f t="shared" si="196"/>
        <v>0.1094701386189921</v>
      </c>
      <c r="K4206" s="22">
        <v>2095</v>
      </c>
      <c r="L4206" s="6">
        <v>2123</v>
      </c>
      <c r="M4206" s="125">
        <f t="shared" si="197"/>
        <v>28</v>
      </c>
      <c r="P4206" s="247">
        <v>13860</v>
      </c>
      <c r="Q4206" s="25">
        <f>164.82/1031.7</f>
        <v>0.15975574294853154</v>
      </c>
      <c r="U4206" s="388">
        <v>0.1</v>
      </c>
      <c r="W4206" s="285">
        <f t="shared" si="194"/>
        <v>2435.6360569933122</v>
      </c>
    </row>
    <row r="4207" spans="1:23" ht="15" customHeight="1">
      <c r="A4207" s="3">
        <v>41759</v>
      </c>
      <c r="B4207" s="9">
        <v>78725</v>
      </c>
      <c r="C4207" s="5">
        <v>2175</v>
      </c>
      <c r="D4207" s="5">
        <v>112725</v>
      </c>
      <c r="E4207" s="5">
        <v>193625</v>
      </c>
      <c r="F4207" s="4">
        <v>650</v>
      </c>
      <c r="G4207" s="5">
        <v>0</v>
      </c>
      <c r="H4207" s="5">
        <v>21125</v>
      </c>
      <c r="I4207" s="118">
        <f t="shared" si="196"/>
        <v>0.1091026468689477</v>
      </c>
      <c r="K4207" s="22">
        <v>2088.5</v>
      </c>
      <c r="L4207" s="6">
        <v>2115</v>
      </c>
      <c r="M4207" s="125">
        <f t="shared" si="197"/>
        <v>26.5</v>
      </c>
      <c r="N4207" s="235">
        <f>AVERAGE(K4186:K4207)</f>
        <v>2085.9499999999998</v>
      </c>
      <c r="O4207" s="230">
        <f>AVERAGE(K4120:K4207)</f>
        <v>2101.0542168674697</v>
      </c>
      <c r="P4207" s="247">
        <v>13840</v>
      </c>
      <c r="Q4207" s="25">
        <f>164.82/1031.7</f>
        <v>0.15975574294853154</v>
      </c>
      <c r="U4207" s="388">
        <v>0.1</v>
      </c>
      <c r="W4207" s="285">
        <f>(P4207*Q4207)*(1+U4207)</f>
        <v>2432.1214306484444</v>
      </c>
    </row>
    <row r="4208" spans="1:23" ht="15" customHeight="1" thickBot="1">
      <c r="A4208" s="216"/>
      <c r="B4208" s="1330"/>
      <c r="C4208" s="1330"/>
      <c r="D4208" s="1330"/>
      <c r="E4208" s="216"/>
      <c r="F4208" s="407"/>
      <c r="G4208" s="164"/>
      <c r="H4208" s="164"/>
      <c r="I4208" s="166"/>
      <c r="J4208" s="166"/>
      <c r="K4208" s="166"/>
      <c r="L4208" s="167"/>
      <c r="M4208" s="168"/>
      <c r="N4208" s="169"/>
      <c r="O4208" s="183"/>
      <c r="P4208" s="180"/>
      <c r="Q4208" s="154"/>
      <c r="R4208" s="248"/>
      <c r="S4208" s="249"/>
      <c r="T4208" s="249"/>
      <c r="U4208" s="152"/>
      <c r="V4208" s="153">
        <f>AVERAGE(P4186:P4207)</f>
        <v>13769.047619047618</v>
      </c>
      <c r="W4208" s="295"/>
    </row>
    <row r="4209" spans="1:23" ht="15" customHeight="1">
      <c r="A4209" s="3">
        <v>41760</v>
      </c>
      <c r="B4209" s="9">
        <v>78725</v>
      </c>
      <c r="C4209" s="5">
        <v>2175</v>
      </c>
      <c r="D4209" s="5">
        <v>112975</v>
      </c>
      <c r="E4209" s="5">
        <v>193875</v>
      </c>
      <c r="F4209" s="4">
        <v>250</v>
      </c>
      <c r="G4209" s="5">
        <v>0</v>
      </c>
      <c r="H4209" s="5">
        <v>21125</v>
      </c>
      <c r="I4209" s="118">
        <f>H4209/E4209</f>
        <v>0.10896196002578981</v>
      </c>
      <c r="K4209" s="22">
        <v>2070.5</v>
      </c>
      <c r="L4209" s="6">
        <v>2095</v>
      </c>
      <c r="M4209" s="125">
        <f t="shared" si="197"/>
        <v>24.5</v>
      </c>
      <c r="P4209" s="247"/>
      <c r="Q4209" s="1342" t="s">
        <v>44</v>
      </c>
      <c r="R4209" s="1342"/>
      <c r="S4209" s="1342"/>
      <c r="T4209" s="1342"/>
      <c r="U4209" s="1342"/>
    </row>
    <row r="4210" spans="1:23" ht="15" customHeight="1">
      <c r="A4210" s="3">
        <v>41761</v>
      </c>
      <c r="B4210" s="9">
        <v>0</v>
      </c>
      <c r="E4210" s="5">
        <v>193875</v>
      </c>
      <c r="F4210" s="4">
        <v>0</v>
      </c>
      <c r="G4210" s="5">
        <v>0</v>
      </c>
      <c r="H4210" s="5">
        <v>21225</v>
      </c>
      <c r="I4210" s="118">
        <f>H4210/E4210</f>
        <v>0.10947775628626692</v>
      </c>
      <c r="K4210" s="22">
        <v>2060.5</v>
      </c>
      <c r="L4210" s="6">
        <v>2082</v>
      </c>
      <c r="M4210" s="125">
        <f t="shared" si="197"/>
        <v>21.5</v>
      </c>
      <c r="P4210" s="247"/>
      <c r="Q4210" s="1342" t="s">
        <v>44</v>
      </c>
      <c r="R4210" s="1342"/>
      <c r="S4210" s="1342"/>
      <c r="T4210" s="1342"/>
      <c r="U4210" s="1342"/>
    </row>
    <row r="4211" spans="1:23" ht="15" customHeight="1">
      <c r="A4211" s="3">
        <v>41764</v>
      </c>
      <c r="B4211" s="9">
        <v>0</v>
      </c>
      <c r="C4211" s="24"/>
      <c r="D4211" s="24"/>
      <c r="E4211" s="24"/>
      <c r="F4211" s="4" t="s">
        <v>45</v>
      </c>
      <c r="G4211" s="24"/>
      <c r="H4211" s="24"/>
      <c r="I4211" s="24"/>
      <c r="J4211" s="24"/>
      <c r="M4211" s="125"/>
      <c r="P4211" s="247">
        <v>13870</v>
      </c>
      <c r="U4211" s="388"/>
    </row>
    <row r="4212" spans="1:23" ht="15" customHeight="1">
      <c r="A4212" s="3">
        <v>41765</v>
      </c>
      <c r="B4212" s="9">
        <v>78675</v>
      </c>
      <c r="C4212" s="5">
        <v>2175</v>
      </c>
      <c r="D4212" s="5">
        <v>112975</v>
      </c>
      <c r="E4212" s="5">
        <v>193825</v>
      </c>
      <c r="F4212" s="4">
        <v>0</v>
      </c>
      <c r="G4212" s="5">
        <v>50</v>
      </c>
      <c r="H4212" s="5">
        <v>21175</v>
      </c>
      <c r="I4212" s="118">
        <f t="shared" ref="I4212:I4225" si="198">H4212/E4212</f>
        <v>0.10924803301947633</v>
      </c>
      <c r="K4212" s="22">
        <v>2091</v>
      </c>
      <c r="L4212" s="6">
        <v>2110.5</v>
      </c>
      <c r="M4212" s="125">
        <f>L4212-K4212</f>
        <v>19.5</v>
      </c>
      <c r="P4212" s="247">
        <v>13870</v>
      </c>
      <c r="Q4212" s="25">
        <f>165.71/1031.2</f>
        <v>0.16069627618308766</v>
      </c>
      <c r="U4212" s="388">
        <v>0.1</v>
      </c>
      <c r="W4212" s="285">
        <f>(P4212*Q4212)*(1+U4212)</f>
        <v>2451.7430857253685</v>
      </c>
    </row>
    <row r="4213" spans="1:23" ht="15" customHeight="1">
      <c r="A4213" s="3">
        <v>41766</v>
      </c>
      <c r="B4213" s="9">
        <v>78250</v>
      </c>
      <c r="C4213" s="5">
        <v>2175</v>
      </c>
      <c r="D4213" s="5">
        <v>113175</v>
      </c>
      <c r="E4213" s="5">
        <v>193600</v>
      </c>
      <c r="H4213" s="5">
        <v>20750</v>
      </c>
      <c r="I4213" s="118">
        <f t="shared" si="198"/>
        <v>0.1071797520661157</v>
      </c>
      <c r="K4213" s="22">
        <v>2082</v>
      </c>
      <c r="L4213" s="6">
        <v>2103</v>
      </c>
      <c r="M4213" s="125">
        <f>L4213-K4213</f>
        <v>21</v>
      </c>
      <c r="P4213" s="247">
        <v>13910</v>
      </c>
      <c r="Q4213" s="25">
        <f>164.5/1025.6</f>
        <v>0.16039391575663028</v>
      </c>
      <c r="U4213" s="388">
        <v>0.1</v>
      </c>
      <c r="W4213" s="285">
        <f>(P4213*Q4213)*(1+U4213)</f>
        <v>2454.1873049922001</v>
      </c>
    </row>
    <row r="4214" spans="1:23" ht="15" customHeight="1">
      <c r="A4214" s="3">
        <v>41767</v>
      </c>
      <c r="B4214" s="9">
        <v>78125</v>
      </c>
      <c r="C4214" s="5">
        <v>2175</v>
      </c>
      <c r="D4214" s="5">
        <v>113175</v>
      </c>
      <c r="E4214" s="5">
        <v>193475</v>
      </c>
      <c r="F4214" s="4">
        <v>0</v>
      </c>
      <c r="G4214" s="5">
        <v>125</v>
      </c>
      <c r="H4214" s="5">
        <v>20625</v>
      </c>
      <c r="I4214" s="118">
        <f t="shared" si="198"/>
        <v>0.1066029202739372</v>
      </c>
      <c r="K4214" s="22">
        <v>2064</v>
      </c>
      <c r="L4214" s="6">
        <v>2084</v>
      </c>
      <c r="M4214" s="125">
        <f>L4214-K4214</f>
        <v>20</v>
      </c>
      <c r="P4214" s="247">
        <v>13890</v>
      </c>
      <c r="Q4214" s="25">
        <f>164.22/1023.5</f>
        <v>0.16044943820224719</v>
      </c>
      <c r="U4214" s="388">
        <v>0.1</v>
      </c>
      <c r="W4214" s="285">
        <f>(P4214*Q4214)*(1+U4214)</f>
        <v>2451.5069662921351</v>
      </c>
    </row>
    <row r="4215" spans="1:23" ht="15" customHeight="1">
      <c r="A4215" s="3">
        <v>41768</v>
      </c>
      <c r="B4215" s="9">
        <v>78125</v>
      </c>
      <c r="C4215" s="5">
        <v>2175</v>
      </c>
      <c r="D4215" s="5">
        <v>113175</v>
      </c>
      <c r="E4215" s="5">
        <v>193475</v>
      </c>
      <c r="F4215" s="4">
        <v>0</v>
      </c>
      <c r="G4215" s="5">
        <v>0</v>
      </c>
      <c r="H4215" s="5">
        <v>20625</v>
      </c>
      <c r="I4215" s="118">
        <f t="shared" si="198"/>
        <v>0.1066029202739372</v>
      </c>
      <c r="K4215" s="22">
        <v>2081</v>
      </c>
      <c r="L4215" s="6">
        <v>2098.5</v>
      </c>
      <c r="M4215" s="125">
        <f>L4215-K4215</f>
        <v>17.5</v>
      </c>
      <c r="P4215" s="247">
        <v>13890</v>
      </c>
      <c r="Q4215" s="25">
        <f>164.09/1023</f>
        <v>0.16040078201368524</v>
      </c>
      <c r="U4215" s="388">
        <v>0.1</v>
      </c>
      <c r="W4215" s="285">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18">
        <f t="shared" si="198"/>
        <v>0.1066029202739372</v>
      </c>
      <c r="K4216" s="22">
        <v>2093</v>
      </c>
      <c r="L4216" s="6">
        <v>2113.5</v>
      </c>
      <c r="M4216" s="125">
        <f t="shared" ref="M4216:M4225" si="200">L4216-K4216</f>
        <v>20.5</v>
      </c>
      <c r="P4216" s="247">
        <v>13890</v>
      </c>
      <c r="Q4216" s="25">
        <f>164.16/1025</f>
        <v>0.1601560975609756</v>
      </c>
      <c r="U4216" s="388">
        <v>0.1</v>
      </c>
      <c r="W4216" s="285">
        <f t="shared" si="199"/>
        <v>2447.0250146341464</v>
      </c>
    </row>
    <row r="4217" spans="1:23" ht="15" customHeight="1">
      <c r="A4217" s="3">
        <v>41772</v>
      </c>
      <c r="B4217" s="9">
        <v>78125</v>
      </c>
      <c r="C4217" s="5">
        <v>2175</v>
      </c>
      <c r="D4217" s="5">
        <v>113375</v>
      </c>
      <c r="E4217" s="5">
        <v>193675</v>
      </c>
      <c r="F4217" s="4">
        <v>200</v>
      </c>
      <c r="G4217" s="5">
        <v>0</v>
      </c>
      <c r="H4217" s="5">
        <v>20625</v>
      </c>
      <c r="I4217" s="118">
        <f t="shared" si="198"/>
        <v>0.10649283593649155</v>
      </c>
      <c r="K4217" s="22">
        <v>2100</v>
      </c>
      <c r="L4217" s="6">
        <v>2124.5</v>
      </c>
      <c r="M4217" s="125">
        <f t="shared" si="200"/>
        <v>24.5</v>
      </c>
      <c r="P4217" s="247">
        <v>13940</v>
      </c>
      <c r="Q4217" s="25">
        <f>164.01/1022.9</f>
        <v>0.16033825398377163</v>
      </c>
      <c r="U4217" s="388">
        <v>0.1</v>
      </c>
      <c r="W4217" s="285">
        <f t="shared" si="199"/>
        <v>2458.6267865871546</v>
      </c>
    </row>
    <row r="4218" spans="1:23" ht="15" customHeight="1">
      <c r="A4218" s="3">
        <v>41773</v>
      </c>
      <c r="B4218" s="9">
        <v>78125</v>
      </c>
      <c r="C4218" s="5">
        <v>2175</v>
      </c>
      <c r="D4218" s="5">
        <v>111875</v>
      </c>
      <c r="E4218" s="5">
        <v>192175</v>
      </c>
      <c r="F4218" s="4">
        <v>0</v>
      </c>
      <c r="G4218" s="5">
        <v>1500</v>
      </c>
      <c r="H4218" s="5">
        <v>19225</v>
      </c>
      <c r="I4218" s="118">
        <f t="shared" si="198"/>
        <v>0.10003902692858072</v>
      </c>
      <c r="K4218" s="22">
        <v>2113</v>
      </c>
      <c r="L4218" s="6">
        <v>2137</v>
      </c>
      <c r="M4218" s="125">
        <f t="shared" si="200"/>
        <v>24</v>
      </c>
      <c r="P4218" s="247">
        <v>13940</v>
      </c>
      <c r="Q4218" s="25">
        <f>164.58/1024.6</f>
        <v>0.16062853796603555</v>
      </c>
      <c r="U4218" s="388">
        <v>0.1</v>
      </c>
      <c r="W4218" s="285">
        <f t="shared" si="199"/>
        <v>2463.078001171189</v>
      </c>
    </row>
    <row r="4219" spans="1:23" ht="15" customHeight="1">
      <c r="A4219" s="3">
        <v>41774</v>
      </c>
      <c r="B4219" s="9">
        <v>78125</v>
      </c>
      <c r="C4219" s="5">
        <v>2175</v>
      </c>
      <c r="D4219" s="5">
        <v>110925</v>
      </c>
      <c r="E4219" s="5">
        <v>191225</v>
      </c>
      <c r="F4219" s="4">
        <v>550</v>
      </c>
      <c r="G4219" s="5">
        <v>1500</v>
      </c>
      <c r="H4219" s="5">
        <v>17725</v>
      </c>
      <c r="I4219" s="118">
        <f t="shared" si="198"/>
        <v>9.2691855144463334E-2</v>
      </c>
      <c r="K4219" s="22">
        <v>2125</v>
      </c>
      <c r="L4219" s="6">
        <v>2148</v>
      </c>
      <c r="M4219" s="125">
        <f t="shared" si="200"/>
        <v>23</v>
      </c>
      <c r="P4219" s="247">
        <v>13940</v>
      </c>
      <c r="Q4219" s="25">
        <f>164.7/1026.5</f>
        <v>0.16044812469556746</v>
      </c>
      <c r="U4219" s="388">
        <v>0.1</v>
      </c>
      <c r="W4219" s="285">
        <f t="shared" si="199"/>
        <v>2460.3115440818319</v>
      </c>
    </row>
    <row r="4220" spans="1:23" ht="15" customHeight="1">
      <c r="A4220" s="3">
        <v>41775</v>
      </c>
      <c r="B4220" s="9">
        <v>78125</v>
      </c>
      <c r="C4220" s="5">
        <v>2175</v>
      </c>
      <c r="D4220" s="5">
        <v>110650</v>
      </c>
      <c r="E4220" s="5">
        <v>190950</v>
      </c>
      <c r="F4220" s="4">
        <v>0</v>
      </c>
      <c r="G4220" s="5">
        <v>275</v>
      </c>
      <c r="H4220" s="5">
        <v>19850</v>
      </c>
      <c r="I4220" s="118">
        <f t="shared" si="198"/>
        <v>0.10395391463733962</v>
      </c>
      <c r="K4220" s="22">
        <v>2121</v>
      </c>
      <c r="L4220" s="6">
        <v>2136</v>
      </c>
      <c r="M4220" s="125">
        <f t="shared" si="200"/>
        <v>15</v>
      </c>
      <c r="P4220" s="247">
        <v>13940</v>
      </c>
      <c r="Q4220" s="25">
        <f>164.58/1025.8</f>
        <v>0.16044063170208619</v>
      </c>
      <c r="U4220" s="388">
        <v>0.1</v>
      </c>
      <c r="W4220" s="285">
        <f t="shared" si="199"/>
        <v>2460.1966465197902</v>
      </c>
    </row>
    <row r="4221" spans="1:23" ht="15" customHeight="1">
      <c r="A4221" s="3">
        <v>41778</v>
      </c>
      <c r="B4221" s="9">
        <v>78125</v>
      </c>
      <c r="C4221" s="5">
        <v>2175</v>
      </c>
      <c r="D4221" s="5">
        <v>110650</v>
      </c>
      <c r="E4221" s="5">
        <v>190950</v>
      </c>
      <c r="F4221" s="4">
        <v>0</v>
      </c>
      <c r="G4221" s="5">
        <v>275</v>
      </c>
      <c r="H4221" s="5">
        <v>19850</v>
      </c>
      <c r="I4221" s="118">
        <f t="shared" si="198"/>
        <v>0.10395391463733962</v>
      </c>
      <c r="K4221" s="22">
        <v>2110.5</v>
      </c>
      <c r="L4221" s="6">
        <v>2146.5</v>
      </c>
      <c r="M4221" s="125">
        <f t="shared" si="200"/>
        <v>36</v>
      </c>
      <c r="P4221" s="247">
        <v>13940</v>
      </c>
      <c r="Q4221" s="25">
        <f>163.98/1022.7</f>
        <v>0.16034027574068641</v>
      </c>
      <c r="U4221" s="388">
        <v>0.1</v>
      </c>
      <c r="W4221" s="285">
        <f t="shared" si="199"/>
        <v>2458.6577882076858</v>
      </c>
    </row>
    <row r="4222" spans="1:23" ht="15" customHeight="1">
      <c r="A4222" s="3">
        <v>41779</v>
      </c>
      <c r="B4222" s="9">
        <v>79600</v>
      </c>
      <c r="C4222" s="5">
        <v>2175</v>
      </c>
      <c r="D4222" s="5">
        <v>110400</v>
      </c>
      <c r="E4222" s="5">
        <v>192175</v>
      </c>
      <c r="F4222" s="4">
        <v>0</v>
      </c>
      <c r="G4222" s="5">
        <v>0</v>
      </c>
      <c r="H4222" s="5">
        <v>19600</v>
      </c>
      <c r="I4222" s="118">
        <f t="shared" si="198"/>
        <v>0.10199037335761675</v>
      </c>
      <c r="K4222" s="22">
        <v>2114</v>
      </c>
      <c r="L4222" s="6">
        <v>2139</v>
      </c>
      <c r="M4222" s="125">
        <f t="shared" si="200"/>
        <v>25</v>
      </c>
      <c r="P4222" s="247">
        <v>13940</v>
      </c>
      <c r="Q4222" s="25">
        <f>164.18/1024.1</f>
        <v>0.16031637535396936</v>
      </c>
      <c r="U4222" s="388">
        <v>0.1</v>
      </c>
      <c r="W4222" s="285">
        <f t="shared" si="199"/>
        <v>2458.2912996777663</v>
      </c>
    </row>
    <row r="4223" spans="1:23" ht="15" customHeight="1">
      <c r="A4223" s="3">
        <v>41780</v>
      </c>
      <c r="B4223" s="9">
        <v>79800</v>
      </c>
      <c r="C4223" s="5">
        <v>2175</v>
      </c>
      <c r="D4223" s="5">
        <v>110400</v>
      </c>
      <c r="E4223" s="5">
        <v>192375</v>
      </c>
      <c r="F4223" s="4">
        <v>500</v>
      </c>
      <c r="G4223" s="5">
        <v>300</v>
      </c>
      <c r="H4223" s="5">
        <v>19300</v>
      </c>
      <c r="I4223" s="118">
        <f t="shared" si="198"/>
        <v>0.10032488628979858</v>
      </c>
      <c r="K4223" s="22">
        <v>2085</v>
      </c>
      <c r="L4223" s="6">
        <v>2109</v>
      </c>
      <c r="M4223" s="125">
        <f t="shared" si="200"/>
        <v>24</v>
      </c>
      <c r="P4223" s="247">
        <v>13940</v>
      </c>
      <c r="Q4223" s="25">
        <f>164.68/1026.7</f>
        <v>0.16039738969513978</v>
      </c>
      <c r="U4223" s="388">
        <v>0.1</v>
      </c>
      <c r="W4223" s="285">
        <f t="shared" si="199"/>
        <v>2459.5335735852732</v>
      </c>
    </row>
    <row r="4224" spans="1:23" ht="15" customHeight="1">
      <c r="A4224" s="3">
        <v>41781</v>
      </c>
      <c r="B4224" s="9">
        <v>79800</v>
      </c>
      <c r="C4224" s="5">
        <v>2175</v>
      </c>
      <c r="D4224" s="5">
        <v>110300</v>
      </c>
      <c r="E4224" s="5">
        <v>192275</v>
      </c>
      <c r="F4224" s="4">
        <v>0</v>
      </c>
      <c r="G4224" s="5">
        <v>100</v>
      </c>
      <c r="H4224" s="5">
        <v>19200</v>
      </c>
      <c r="I4224" s="118">
        <f t="shared" si="198"/>
        <v>9.98569756858666E-2</v>
      </c>
      <c r="K4224" s="22">
        <v>2112.5</v>
      </c>
      <c r="L4224" s="6">
        <v>2138</v>
      </c>
      <c r="M4224" s="125">
        <f t="shared" si="200"/>
        <v>25.5</v>
      </c>
      <c r="P4224" s="247">
        <v>13960</v>
      </c>
      <c r="Q4224" s="25">
        <f>164.5/1025.2</f>
        <v>0.16045649629340616</v>
      </c>
      <c r="U4224" s="388">
        <v>0.1</v>
      </c>
      <c r="W4224" s="285">
        <f t="shared" si="199"/>
        <v>2463.9699570815451</v>
      </c>
    </row>
    <row r="4225" spans="1:23" ht="15" customHeight="1">
      <c r="A4225" s="3">
        <v>41782</v>
      </c>
      <c r="B4225" s="9">
        <v>79800</v>
      </c>
      <c r="C4225" s="5">
        <v>2175</v>
      </c>
      <c r="D4225" s="5">
        <v>110300</v>
      </c>
      <c r="E4225" s="5">
        <v>192275</v>
      </c>
      <c r="F4225" s="4">
        <v>0</v>
      </c>
      <c r="G4225" s="5">
        <v>0</v>
      </c>
      <c r="H4225" s="5">
        <v>19200</v>
      </c>
      <c r="I4225" s="118">
        <f t="shared" si="198"/>
        <v>9.98569756858666E-2</v>
      </c>
      <c r="K4225" s="22">
        <v>2123</v>
      </c>
      <c r="L4225" s="6">
        <v>2146</v>
      </c>
      <c r="M4225" s="125">
        <f t="shared" si="200"/>
        <v>23</v>
      </c>
      <c r="P4225" s="247">
        <v>13960</v>
      </c>
      <c r="Q4225" s="25">
        <f>164.3/1024.3</f>
        <v>0.16040222591037784</v>
      </c>
      <c r="U4225" s="388">
        <v>0.1</v>
      </c>
      <c r="W4225" s="285">
        <f t="shared" si="199"/>
        <v>2463.1365810797624</v>
      </c>
    </row>
    <row r="4226" spans="1:23" ht="15" customHeight="1">
      <c r="A4226" s="3">
        <v>41785</v>
      </c>
      <c r="B4226" s="9">
        <v>0</v>
      </c>
      <c r="F4226" s="4" t="s">
        <v>45</v>
      </c>
      <c r="M4226" s="125"/>
      <c r="P4226" s="247">
        <v>13990</v>
      </c>
      <c r="Q4226" s="25">
        <f>164.17/1023.9</f>
        <v>0.16033792362535404</v>
      </c>
      <c r="U4226" s="388">
        <v>0.1</v>
      </c>
      <c r="W4226" s="285">
        <f t="shared" si="199"/>
        <v>2467.4403066705736</v>
      </c>
    </row>
    <row r="4227" spans="1:23" ht="15" customHeight="1">
      <c r="A4227" s="3">
        <v>41786</v>
      </c>
      <c r="B4227" s="9">
        <v>80025</v>
      </c>
      <c r="C4227" s="5">
        <v>2175</v>
      </c>
      <c r="D4227" s="5">
        <v>110300</v>
      </c>
      <c r="E4227" s="5">
        <v>192500</v>
      </c>
      <c r="F4227" s="4">
        <v>325</v>
      </c>
      <c r="G4227" s="5">
        <v>100</v>
      </c>
      <c r="H4227" s="5">
        <v>19150</v>
      </c>
      <c r="I4227" s="118">
        <f>H4227/E4227</f>
        <v>9.9480519480519475E-2</v>
      </c>
      <c r="K4227" s="22">
        <v>2120</v>
      </c>
      <c r="L4227" s="6">
        <v>2142</v>
      </c>
      <c r="M4227" s="125">
        <f t="shared" ref="M4227:M4281" si="201">L4227-K4227</f>
        <v>22</v>
      </c>
      <c r="P4227" s="247">
        <v>13990</v>
      </c>
      <c r="Q4227" s="25">
        <f>163.61/1023.4</f>
        <v>0.15986906390463163</v>
      </c>
      <c r="U4227" s="388">
        <v>0.1</v>
      </c>
      <c r="W4227" s="285">
        <f t="shared" si="199"/>
        <v>2460.2250244283764</v>
      </c>
    </row>
    <row r="4228" spans="1:23" ht="15" customHeight="1">
      <c r="A4228" s="3">
        <v>41787</v>
      </c>
      <c r="B4228" s="9">
        <v>79475</v>
      </c>
      <c r="C4228" s="5">
        <v>2175</v>
      </c>
      <c r="D4228" s="5">
        <v>110300</v>
      </c>
      <c r="E4228" s="5">
        <v>191950</v>
      </c>
      <c r="F4228" s="4">
        <v>0</v>
      </c>
      <c r="G4228" s="5">
        <v>550</v>
      </c>
      <c r="H4228" s="5">
        <v>18600</v>
      </c>
      <c r="I4228" s="118">
        <f>H4228/E4228</f>
        <v>9.6900234436051058E-2</v>
      </c>
      <c r="K4228" s="22">
        <v>2117</v>
      </c>
      <c r="L4228" s="6">
        <v>2145</v>
      </c>
      <c r="M4228" s="125">
        <f t="shared" si="201"/>
        <v>28</v>
      </c>
      <c r="P4228" s="247">
        <v>13990</v>
      </c>
      <c r="Q4228" s="25">
        <f>163.21/1022.6</f>
        <v>0.15960297281439467</v>
      </c>
      <c r="U4228" s="388">
        <v>0.1</v>
      </c>
      <c r="W4228" s="285">
        <f t="shared" si="199"/>
        <v>2456.1301486407197</v>
      </c>
    </row>
    <row r="4229" spans="1:23" ht="15" customHeight="1">
      <c r="A4229" s="3">
        <v>41788</v>
      </c>
      <c r="B4229" s="9">
        <v>78375</v>
      </c>
      <c r="C4229" s="5">
        <v>2175</v>
      </c>
      <c r="D4229" s="5">
        <v>110300</v>
      </c>
      <c r="E4229" s="5">
        <v>190850</v>
      </c>
      <c r="F4229" s="4">
        <v>0</v>
      </c>
      <c r="G4229" s="5">
        <v>1100</v>
      </c>
      <c r="H4229" s="5">
        <v>17500</v>
      </c>
      <c r="I4229" s="118">
        <f>H4229/E4229</f>
        <v>9.1695048467382759E-2</v>
      </c>
      <c r="K4229" s="22">
        <v>2075</v>
      </c>
      <c r="L4229" s="6">
        <v>2102</v>
      </c>
      <c r="M4229" s="125">
        <f t="shared" si="201"/>
        <v>27</v>
      </c>
      <c r="P4229" s="247">
        <v>13970</v>
      </c>
      <c r="Q4229" s="25">
        <f>163.52/1021.6</f>
        <v>0.16006264682850432</v>
      </c>
      <c r="U4229" s="388">
        <v>0.1</v>
      </c>
      <c r="W4229" s="285">
        <f t="shared" si="199"/>
        <v>2459.6826938136264</v>
      </c>
    </row>
    <row r="4230" spans="1:23" ht="15" customHeight="1">
      <c r="A4230" s="3">
        <v>41789</v>
      </c>
      <c r="B4230" s="9">
        <v>77575</v>
      </c>
      <c r="C4230" s="5">
        <v>2175</v>
      </c>
      <c r="D4230" s="5">
        <v>110725</v>
      </c>
      <c r="E4230" s="5">
        <v>190475</v>
      </c>
      <c r="F4230" s="4">
        <v>425</v>
      </c>
      <c r="G4230" s="5">
        <v>800</v>
      </c>
      <c r="H4230" s="5">
        <v>16750</v>
      </c>
      <c r="I4230" s="118">
        <f>H4230/E4230</f>
        <v>8.7938049612810085E-2</v>
      </c>
      <c r="K4230" s="22">
        <v>2084.5</v>
      </c>
      <c r="L4230" s="6">
        <v>2109</v>
      </c>
      <c r="M4230" s="125">
        <f t="shared" si="201"/>
        <v>24.5</v>
      </c>
      <c r="N4230" s="235">
        <f>AVERAGE(K4209:K4230)</f>
        <v>2097.125</v>
      </c>
      <c r="O4230" s="230">
        <f>AVERAGE(K4120:K4230)</f>
        <v>2100.2912621359224</v>
      </c>
      <c r="P4230" s="247">
        <v>13970</v>
      </c>
      <c r="Q4230" s="25">
        <f>163.33/1020.4</f>
        <v>0.16006468051744416</v>
      </c>
      <c r="U4230" s="388">
        <v>0.1</v>
      </c>
      <c r="W4230" s="285">
        <f t="shared" si="199"/>
        <v>2459.7139455115648</v>
      </c>
    </row>
    <row r="4231" spans="1:23" ht="15" customHeight="1" thickBot="1">
      <c r="A4231" s="216"/>
      <c r="B4231" s="1330"/>
      <c r="C4231" s="1330"/>
      <c r="D4231" s="1330"/>
      <c r="E4231" s="216"/>
      <c r="F4231" s="407"/>
      <c r="G4231" s="164"/>
      <c r="H4231" s="164"/>
      <c r="I4231" s="166"/>
      <c r="J4231" s="166"/>
      <c r="K4231" s="166"/>
      <c r="L4231" s="167"/>
      <c r="M4231" s="168"/>
      <c r="N4231" s="169"/>
      <c r="O4231" s="183"/>
      <c r="P4231" s="180"/>
      <c r="Q4231" s="154"/>
      <c r="R4231" s="248"/>
      <c r="S4231" s="249"/>
      <c r="T4231" s="249"/>
      <c r="U4231" s="152"/>
      <c r="V4231" s="153">
        <f>AVERAGE(P4209:P4230)</f>
        <v>13936.5</v>
      </c>
      <c r="W4231" s="295"/>
    </row>
    <row r="4232" spans="1:23" ht="15" customHeight="1">
      <c r="A4232" s="3">
        <v>41792</v>
      </c>
      <c r="B4232" s="9">
        <v>77575</v>
      </c>
      <c r="C4232" s="5">
        <v>2175</v>
      </c>
      <c r="D4232" s="5">
        <v>110725</v>
      </c>
      <c r="E4232" s="5">
        <v>190475</v>
      </c>
      <c r="F4232" s="4">
        <v>0</v>
      </c>
      <c r="G4232" s="5">
        <v>0</v>
      </c>
      <c r="H4232" s="5">
        <v>16800</v>
      </c>
      <c r="I4232" s="118">
        <f t="shared" ref="I4232:I4252" si="202">H4232/E4232</f>
        <v>8.8200551253445336E-2</v>
      </c>
      <c r="K4232" s="22">
        <v>2089</v>
      </c>
      <c r="L4232" s="6">
        <v>2115</v>
      </c>
      <c r="M4232" s="125">
        <f t="shared" si="201"/>
        <v>26</v>
      </c>
      <c r="P4232" s="247"/>
      <c r="Q4232" s="1342" t="s">
        <v>44</v>
      </c>
      <c r="R4232" s="1342"/>
      <c r="S4232" s="1342"/>
      <c r="T4232" s="1342"/>
      <c r="U4232" s="1342"/>
    </row>
    <row r="4233" spans="1:23" ht="15" customHeight="1">
      <c r="A4233" s="3">
        <v>41793</v>
      </c>
      <c r="B4233" s="9">
        <v>77525</v>
      </c>
      <c r="C4233" s="5">
        <v>2175</v>
      </c>
      <c r="D4233" s="5">
        <v>110725</v>
      </c>
      <c r="E4233" s="5">
        <v>190425</v>
      </c>
      <c r="F4233" s="4">
        <v>0</v>
      </c>
      <c r="G4233" s="5">
        <v>50</v>
      </c>
      <c r="H4233" s="5">
        <v>17050</v>
      </c>
      <c r="I4233" s="118">
        <f t="shared" si="202"/>
        <v>8.9536562951293155E-2</v>
      </c>
      <c r="K4233" s="22">
        <v>2095</v>
      </c>
      <c r="L4233" s="6">
        <v>2120</v>
      </c>
      <c r="M4233" s="125">
        <f t="shared" si="201"/>
        <v>25</v>
      </c>
      <c r="P4233" s="247">
        <v>13970</v>
      </c>
      <c r="Q4233" s="25">
        <f>163.62/1023.6</f>
        <v>0.15984759671746776</v>
      </c>
      <c r="U4233" s="388">
        <v>0.1</v>
      </c>
      <c r="W4233" s="285">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18">
        <f t="shared" si="202"/>
        <v>9.2687409741367993E-2</v>
      </c>
      <c r="K4234" s="22">
        <v>2095</v>
      </c>
      <c r="L4234" s="6">
        <v>2117</v>
      </c>
      <c r="M4234" s="125">
        <f t="shared" si="201"/>
        <v>22</v>
      </c>
      <c r="P4234" s="247">
        <v>13970</v>
      </c>
      <c r="Q4234" s="25">
        <f>163.77/1024.3</f>
        <v>0.15988479937518307</v>
      </c>
      <c r="U4234" s="388">
        <v>0.1</v>
      </c>
      <c r="W4234" s="285">
        <f t="shared" si="203"/>
        <v>2456.9497119984385</v>
      </c>
    </row>
    <row r="4235" spans="1:23" ht="15" customHeight="1">
      <c r="A4235" s="3">
        <v>41795</v>
      </c>
      <c r="B4235" s="9">
        <v>77475</v>
      </c>
      <c r="C4235" s="5">
        <v>2175</v>
      </c>
      <c r="D4235" s="5">
        <v>110725</v>
      </c>
      <c r="E4235" s="5">
        <v>190375</v>
      </c>
      <c r="F4235" s="4">
        <v>0</v>
      </c>
      <c r="G4235" s="5">
        <v>50</v>
      </c>
      <c r="H4235" s="5">
        <v>17600</v>
      </c>
      <c r="I4235" s="118">
        <f t="shared" si="202"/>
        <v>9.2449113591595536E-2</v>
      </c>
      <c r="K4235" s="22">
        <v>2080</v>
      </c>
      <c r="L4235" s="6">
        <v>2100.5</v>
      </c>
      <c r="M4235" s="125">
        <f t="shared" si="201"/>
        <v>20.5</v>
      </c>
      <c r="P4235" s="247">
        <v>13950</v>
      </c>
      <c r="Q4235" s="25">
        <f>163.77/1024.3</f>
        <v>0.15988479937518307</v>
      </c>
      <c r="U4235" s="388">
        <v>0.1</v>
      </c>
      <c r="W4235" s="285">
        <f t="shared" si="203"/>
        <v>2453.4322464121847</v>
      </c>
    </row>
    <row r="4236" spans="1:23" ht="15" customHeight="1">
      <c r="A4236" s="3">
        <v>41796</v>
      </c>
      <c r="B4236" s="9">
        <v>77375</v>
      </c>
      <c r="C4236" s="5">
        <v>2175</v>
      </c>
      <c r="D4236" s="5">
        <v>111825</v>
      </c>
      <c r="E4236" s="5">
        <v>191375</v>
      </c>
      <c r="F4236" s="4">
        <v>1100</v>
      </c>
      <c r="G4236" s="5">
        <v>100</v>
      </c>
      <c r="H4236" s="5">
        <v>17500</v>
      </c>
      <c r="I4236" s="118">
        <f t="shared" si="202"/>
        <v>9.1443500979751791E-2</v>
      </c>
      <c r="K4236" s="22">
        <v>2063</v>
      </c>
      <c r="L4236" s="6">
        <v>2084</v>
      </c>
      <c r="M4236" s="125">
        <f t="shared" si="201"/>
        <v>21</v>
      </c>
      <c r="P4236" s="247">
        <v>13950</v>
      </c>
      <c r="Q4236" s="25">
        <f>163.75/1022.6</f>
        <v>0.16013103852923918</v>
      </c>
      <c r="U4236" s="388">
        <v>0.1</v>
      </c>
      <c r="W4236" s="285">
        <f t="shared" si="203"/>
        <v>2457.2107862311755</v>
      </c>
    </row>
    <row r="4237" spans="1:23" ht="15" customHeight="1">
      <c r="A4237" s="3">
        <v>41799</v>
      </c>
      <c r="B4237" s="9">
        <v>77375</v>
      </c>
      <c r="C4237" s="5">
        <v>2175</v>
      </c>
      <c r="D4237" s="5">
        <v>111225</v>
      </c>
      <c r="E4237" s="5">
        <v>190775</v>
      </c>
      <c r="F4237" s="4">
        <v>0</v>
      </c>
      <c r="G4237" s="5">
        <v>600</v>
      </c>
      <c r="H4237" s="5">
        <v>16900</v>
      </c>
      <c r="I4237" s="118">
        <f t="shared" si="202"/>
        <v>8.8586030664395229E-2</v>
      </c>
      <c r="K4237" s="22">
        <v>2104.5</v>
      </c>
      <c r="L4237" s="6">
        <v>2125.5</v>
      </c>
      <c r="M4237" s="125">
        <f t="shared" si="201"/>
        <v>21</v>
      </c>
      <c r="P4237" s="247">
        <v>13900</v>
      </c>
      <c r="Q4237" s="25">
        <f>163.38/1017.4</f>
        <v>0.16058580695891489</v>
      </c>
      <c r="U4237" s="388">
        <v>0.1</v>
      </c>
      <c r="W4237" s="285">
        <f t="shared" si="203"/>
        <v>2455.3569884018088</v>
      </c>
    </row>
    <row r="4238" spans="1:23" ht="15" customHeight="1">
      <c r="A4238" s="3">
        <v>41800</v>
      </c>
      <c r="B4238" s="9">
        <v>77375</v>
      </c>
      <c r="C4238" s="5">
        <v>2175</v>
      </c>
      <c r="D4238" s="5">
        <v>111225</v>
      </c>
      <c r="E4238" s="5">
        <v>190775</v>
      </c>
      <c r="F4238" s="4">
        <v>0</v>
      </c>
      <c r="G4238" s="5">
        <v>0</v>
      </c>
      <c r="H4238" s="5">
        <v>16900</v>
      </c>
      <c r="I4238" s="118">
        <f t="shared" si="202"/>
        <v>8.8586030664395229E-2</v>
      </c>
      <c r="K4238" s="22">
        <v>2108</v>
      </c>
      <c r="L4238" s="6">
        <v>2130</v>
      </c>
      <c r="M4238" s="125">
        <f t="shared" si="201"/>
        <v>22</v>
      </c>
      <c r="P4238" s="247">
        <v>13925</v>
      </c>
      <c r="Q4238" s="25">
        <f>163.53/1016.5</f>
        <v>0.16087555336940482</v>
      </c>
      <c r="U4238" s="388">
        <v>0.1</v>
      </c>
      <c r="W4238" s="285">
        <f t="shared" si="203"/>
        <v>2464.2112887358585</v>
      </c>
    </row>
    <row r="4239" spans="1:23" ht="15" customHeight="1">
      <c r="A4239" s="3">
        <v>41801</v>
      </c>
      <c r="B4239" s="9">
        <v>77375</v>
      </c>
      <c r="C4239" s="5">
        <v>2175</v>
      </c>
      <c r="D4239" s="5">
        <v>111225</v>
      </c>
      <c r="E4239" s="5">
        <v>190775</v>
      </c>
      <c r="F4239" s="4">
        <v>0</v>
      </c>
      <c r="G4239" s="5">
        <v>0</v>
      </c>
      <c r="H4239" s="5">
        <v>14950</v>
      </c>
      <c r="I4239" s="118">
        <f t="shared" si="202"/>
        <v>7.8364565587734247E-2</v>
      </c>
      <c r="K4239" s="22">
        <v>2090.5</v>
      </c>
      <c r="L4239" s="6">
        <v>2118.5</v>
      </c>
      <c r="M4239" s="125"/>
      <c r="P4239" s="247">
        <v>14010</v>
      </c>
      <c r="Q4239" s="25">
        <f>163.3/1016.5</f>
        <v>0.16064928676832269</v>
      </c>
      <c r="U4239" s="388">
        <v>0.1</v>
      </c>
      <c r="W4239" s="285">
        <f t="shared" si="203"/>
        <v>2475.7661583866211</v>
      </c>
    </row>
    <row r="4240" spans="1:23" ht="15" customHeight="1">
      <c r="A4240" s="3">
        <v>41802</v>
      </c>
      <c r="B4240" s="9">
        <v>77875</v>
      </c>
      <c r="C4240" s="5">
        <v>2175</v>
      </c>
      <c r="D4240" s="5">
        <v>111225</v>
      </c>
      <c r="E4240" s="5">
        <v>191275</v>
      </c>
      <c r="F4240" s="4">
        <v>500</v>
      </c>
      <c r="G4240" s="5">
        <v>0</v>
      </c>
      <c r="H4240" s="5">
        <v>14950</v>
      </c>
      <c r="I4240" s="118">
        <f t="shared" si="202"/>
        <v>7.8159717683962876E-2</v>
      </c>
      <c r="K4240" s="22">
        <v>2084.5</v>
      </c>
      <c r="L4240" s="6">
        <v>2115</v>
      </c>
      <c r="M4240" s="125">
        <f t="shared" si="201"/>
        <v>30.5</v>
      </c>
      <c r="P4240" s="247">
        <v>13990</v>
      </c>
      <c r="Q4240" s="25">
        <f>163.79/1017.5</f>
        <v>0.16097297297297297</v>
      </c>
      <c r="U4240" s="388">
        <v>0.1</v>
      </c>
      <c r="W4240" s="285">
        <f t="shared" si="203"/>
        <v>2477.2130810810813</v>
      </c>
    </row>
    <row r="4241" spans="1:23" ht="15" customHeight="1">
      <c r="A4241" s="3">
        <v>41803</v>
      </c>
      <c r="B4241" s="9">
        <v>77875</v>
      </c>
      <c r="C4241" s="5">
        <v>2175</v>
      </c>
      <c r="D4241" s="5">
        <v>111200</v>
      </c>
      <c r="E4241" s="5">
        <v>191250</v>
      </c>
      <c r="F4241" s="4">
        <v>0</v>
      </c>
      <c r="G4241" s="5">
        <v>25</v>
      </c>
      <c r="H4241" s="5">
        <v>15500</v>
      </c>
      <c r="I4241" s="118">
        <f t="shared" si="202"/>
        <v>8.1045751633986932E-2</v>
      </c>
      <c r="K4241" s="22">
        <v>2054</v>
      </c>
      <c r="L4241" s="6">
        <v>2085</v>
      </c>
      <c r="M4241" s="125">
        <f t="shared" si="201"/>
        <v>31</v>
      </c>
      <c r="P4241" s="247">
        <v>13940</v>
      </c>
      <c r="Q4241" s="25">
        <f>163.84/1018</f>
        <v>0.16094302554027506</v>
      </c>
      <c r="U4241" s="388">
        <v>0.1</v>
      </c>
      <c r="W4241" s="285">
        <f t="shared" si="203"/>
        <v>2467.9003536345781</v>
      </c>
    </row>
    <row r="4242" spans="1:23" ht="15" customHeight="1">
      <c r="A4242" s="3">
        <v>41806</v>
      </c>
      <c r="B4242" s="9">
        <v>77725</v>
      </c>
      <c r="C4242" s="5">
        <v>2175</v>
      </c>
      <c r="D4242" s="5">
        <v>111200</v>
      </c>
      <c r="E4242" s="5">
        <v>191100</v>
      </c>
      <c r="F4242" s="4">
        <v>0</v>
      </c>
      <c r="G4242" s="5">
        <v>150</v>
      </c>
      <c r="H4242" s="5">
        <v>12325</v>
      </c>
      <c r="I4242" s="118">
        <f t="shared" si="202"/>
        <v>6.4495028780743063E-2</v>
      </c>
      <c r="K4242" s="22">
        <v>2064</v>
      </c>
      <c r="L4242" s="6">
        <v>2090</v>
      </c>
      <c r="M4242" s="125">
        <f t="shared" si="201"/>
        <v>26</v>
      </c>
      <c r="P4242" s="247">
        <v>13940</v>
      </c>
      <c r="Q4242" s="25">
        <f>163.84/1018</f>
        <v>0.16094302554027506</v>
      </c>
      <c r="U4242" s="388">
        <v>0.1</v>
      </c>
      <c r="W4242" s="285">
        <f t="shared" si="203"/>
        <v>2467.9003536345781</v>
      </c>
    </row>
    <row r="4243" spans="1:23" ht="15" customHeight="1">
      <c r="A4243" s="3">
        <v>41807</v>
      </c>
      <c r="B4243" s="9">
        <v>78700</v>
      </c>
      <c r="C4243" s="5">
        <v>2175</v>
      </c>
      <c r="D4243" s="5">
        <v>112000</v>
      </c>
      <c r="E4243" s="5">
        <v>192875</v>
      </c>
      <c r="F4243" s="4">
        <v>1925</v>
      </c>
      <c r="G4243" s="5">
        <v>150</v>
      </c>
      <c r="H4243" s="5">
        <v>12175</v>
      </c>
      <c r="I4243" s="118">
        <f t="shared" si="202"/>
        <v>6.3123784834737517E-2</v>
      </c>
      <c r="K4243" s="22">
        <v>2092</v>
      </c>
      <c r="L4243" s="6">
        <v>2116.5</v>
      </c>
      <c r="M4243" s="125">
        <f t="shared" si="201"/>
        <v>24.5</v>
      </c>
      <c r="P4243" s="247">
        <v>13940</v>
      </c>
      <c r="Q4243" s="25">
        <f>163.99/1022.1</f>
        <v>0.16044418354368459</v>
      </c>
      <c r="U4243" s="388">
        <v>0.1</v>
      </c>
      <c r="W4243" s="285">
        <f t="shared" si="203"/>
        <v>2460.2511104588598</v>
      </c>
    </row>
    <row r="4244" spans="1:23" ht="15" customHeight="1">
      <c r="A4244" s="3">
        <v>41808</v>
      </c>
      <c r="B4244" s="9">
        <v>78400</v>
      </c>
      <c r="C4244" s="5">
        <v>2175</v>
      </c>
      <c r="D4244" s="5">
        <v>112000</v>
      </c>
      <c r="E4244" s="5">
        <v>192575</v>
      </c>
      <c r="F4244" s="4">
        <v>0</v>
      </c>
      <c r="G4244" s="5">
        <v>300</v>
      </c>
      <c r="H4244" s="5">
        <v>11975</v>
      </c>
      <c r="I4244" s="118">
        <f t="shared" si="202"/>
        <v>6.2183564844865639E-2</v>
      </c>
      <c r="K4244" s="22">
        <v>2100</v>
      </c>
      <c r="L4244" s="6">
        <v>2127</v>
      </c>
      <c r="M4244" s="125">
        <f t="shared" si="201"/>
        <v>27</v>
      </c>
      <c r="P4244" s="247">
        <v>13940</v>
      </c>
      <c r="Q4244" s="25">
        <f>164.29/1023.1</f>
        <v>0.16058058840778028</v>
      </c>
      <c r="U4244" s="388">
        <v>0.1</v>
      </c>
      <c r="W4244" s="285">
        <f t="shared" si="203"/>
        <v>2462.342742644903</v>
      </c>
    </row>
    <row r="4245" spans="1:23" ht="15" customHeight="1">
      <c r="A4245" s="3">
        <v>41809</v>
      </c>
      <c r="B4245" s="9">
        <v>78400</v>
      </c>
      <c r="C4245" s="5">
        <v>2175</v>
      </c>
      <c r="D4245" s="5">
        <v>112000</v>
      </c>
      <c r="E4245" s="5">
        <v>192575</v>
      </c>
      <c r="F4245" s="4">
        <v>0</v>
      </c>
      <c r="G4245" s="5">
        <v>0</v>
      </c>
      <c r="H4245" s="5">
        <v>11975</v>
      </c>
      <c r="I4245" s="118">
        <f t="shared" si="202"/>
        <v>6.2183564844865639E-2</v>
      </c>
      <c r="K4245" s="22">
        <v>2097.5</v>
      </c>
      <c r="L4245" s="6">
        <v>2124.5</v>
      </c>
      <c r="M4245" s="125">
        <f t="shared" si="201"/>
        <v>27</v>
      </c>
      <c r="P4245" s="247">
        <v>13940</v>
      </c>
      <c r="Q4245" s="25">
        <f>163.45/1018.3</f>
        <v>0.16051261907100067</v>
      </c>
      <c r="U4245" s="388">
        <v>0.1</v>
      </c>
      <c r="W4245" s="285">
        <f t="shared" si="203"/>
        <v>2461.3005008347245</v>
      </c>
    </row>
    <row r="4246" spans="1:23" ht="15" customHeight="1">
      <c r="A4246" s="3">
        <v>41810</v>
      </c>
      <c r="B4246" s="9">
        <v>78400</v>
      </c>
      <c r="C4246" s="5">
        <v>2175</v>
      </c>
      <c r="D4246" s="5">
        <v>112000</v>
      </c>
      <c r="E4246" s="5">
        <v>192575</v>
      </c>
      <c r="F4246" s="4">
        <v>0</v>
      </c>
      <c r="G4246" s="5">
        <v>0</v>
      </c>
      <c r="H4246" s="5">
        <v>11975</v>
      </c>
      <c r="I4246" s="118">
        <f t="shared" si="202"/>
        <v>6.2183564844865639E-2</v>
      </c>
      <c r="K4246" s="22">
        <v>2108</v>
      </c>
      <c r="L4246" s="6">
        <v>2134</v>
      </c>
      <c r="M4246" s="125">
        <f t="shared" si="201"/>
        <v>26</v>
      </c>
      <c r="P4246" s="247">
        <v>13940</v>
      </c>
      <c r="Q4246" s="25">
        <f>163.74/1019.6</f>
        <v>0.1605923891722244</v>
      </c>
      <c r="U4246" s="388">
        <v>0.1</v>
      </c>
      <c r="W4246" s="285">
        <f t="shared" si="203"/>
        <v>2462.5236955668893</v>
      </c>
    </row>
    <row r="4247" spans="1:23" ht="15" customHeight="1">
      <c r="A4247" s="3">
        <v>41813</v>
      </c>
      <c r="B4247" s="9">
        <v>78400</v>
      </c>
      <c r="C4247" s="5">
        <v>2175</v>
      </c>
      <c r="D4247" s="5">
        <v>112000</v>
      </c>
      <c r="E4247" s="5">
        <v>192575</v>
      </c>
      <c r="F4247" s="4">
        <v>0</v>
      </c>
      <c r="G4247" s="5">
        <v>0</v>
      </c>
      <c r="H4247" s="5">
        <v>11975</v>
      </c>
      <c r="I4247" s="118">
        <f t="shared" si="202"/>
        <v>6.2183564844865639E-2</v>
      </c>
      <c r="K4247" s="22">
        <v>2137</v>
      </c>
      <c r="L4247" s="6">
        <v>2167</v>
      </c>
      <c r="M4247" s="125">
        <f t="shared" si="201"/>
        <v>30</v>
      </c>
      <c r="P4247" s="247">
        <v>13940</v>
      </c>
      <c r="Q4247" s="25">
        <f>163.64/1018.4</f>
        <v>0.16068342498036134</v>
      </c>
      <c r="U4247" s="388">
        <v>0.1</v>
      </c>
      <c r="W4247" s="285">
        <f t="shared" si="203"/>
        <v>2463.9196386488611</v>
      </c>
    </row>
    <row r="4248" spans="1:23" ht="15" customHeight="1">
      <c r="A4248" s="3">
        <v>41814</v>
      </c>
      <c r="B4248" s="9">
        <v>78400</v>
      </c>
      <c r="C4248" s="5">
        <v>2175</v>
      </c>
      <c r="D4248" s="5">
        <v>111950</v>
      </c>
      <c r="E4248" s="5">
        <v>192525</v>
      </c>
      <c r="F4248" s="4">
        <v>0</v>
      </c>
      <c r="G4248" s="5">
        <v>50</v>
      </c>
      <c r="H4248" s="5">
        <v>11925</v>
      </c>
      <c r="I4248" s="118">
        <f t="shared" si="202"/>
        <v>6.1940007791195947E-2</v>
      </c>
      <c r="K4248" s="22">
        <v>2160</v>
      </c>
      <c r="L4248" s="6">
        <v>2190</v>
      </c>
      <c r="M4248" s="125">
        <f t="shared" si="201"/>
        <v>30</v>
      </c>
      <c r="P4248" s="247">
        <v>13960</v>
      </c>
      <c r="Q4248" s="25">
        <f>163.36/1018</f>
        <v>0.16047151277013755</v>
      </c>
      <c r="U4248" s="388">
        <v>0.1</v>
      </c>
      <c r="W4248" s="285">
        <f t="shared" si="203"/>
        <v>2464.2005500982323</v>
      </c>
    </row>
    <row r="4249" spans="1:23" ht="15" customHeight="1">
      <c r="A4249" s="3">
        <v>41815</v>
      </c>
      <c r="B4249" s="9">
        <v>78050</v>
      </c>
      <c r="C4249" s="5">
        <v>2175</v>
      </c>
      <c r="D4249" s="5">
        <v>111950</v>
      </c>
      <c r="E4249" s="5">
        <v>192175</v>
      </c>
      <c r="F4249" s="4">
        <v>0</v>
      </c>
      <c r="G4249" s="5">
        <v>350</v>
      </c>
      <c r="H4249" s="5">
        <v>11900</v>
      </c>
      <c r="I4249" s="118">
        <f t="shared" si="202"/>
        <v>6.1922726681410176E-2</v>
      </c>
      <c r="K4249" s="22">
        <v>2139.5</v>
      </c>
      <c r="L4249" s="6">
        <v>2168</v>
      </c>
      <c r="M4249" s="125">
        <f t="shared" si="201"/>
        <v>28.5</v>
      </c>
      <c r="P4249" s="247">
        <v>13960</v>
      </c>
      <c r="Q4249" s="25">
        <f>163.86/1020.6</f>
        <v>0.16055261610817168</v>
      </c>
      <c r="U4249" s="388">
        <v>0.1</v>
      </c>
      <c r="W4249" s="285">
        <f>(P4249*Q4249)*(1+U4249)</f>
        <v>2465.4459729570845</v>
      </c>
    </row>
    <row r="4250" spans="1:23" ht="15" customHeight="1">
      <c r="A4250" s="3">
        <v>41816</v>
      </c>
      <c r="B4250" s="9">
        <v>77825</v>
      </c>
      <c r="C4250" s="5">
        <v>2175</v>
      </c>
      <c r="D4250" s="5">
        <v>111900</v>
      </c>
      <c r="E4250" s="5">
        <v>191900</v>
      </c>
      <c r="F4250" s="4">
        <v>0</v>
      </c>
      <c r="G4250" s="5">
        <v>275</v>
      </c>
      <c r="H4250" s="5">
        <v>11625</v>
      </c>
      <c r="I4250" s="118">
        <f t="shared" si="202"/>
        <v>6.0578426263679E-2</v>
      </c>
      <c r="K4250" s="22">
        <v>2140.5</v>
      </c>
      <c r="L4250" s="6">
        <v>2170</v>
      </c>
      <c r="M4250" s="125">
        <f t="shared" si="201"/>
        <v>29.5</v>
      </c>
      <c r="P4250" s="247">
        <v>13940</v>
      </c>
      <c r="Q4250" s="25">
        <f>163.34/1017</f>
        <v>0.16060963618485743</v>
      </c>
      <c r="U4250" s="388">
        <v>0.1</v>
      </c>
      <c r="W4250" s="285">
        <f>(P4250*Q4250)*(1+U4250)</f>
        <v>2462.7881612586039</v>
      </c>
    </row>
    <row r="4251" spans="1:23" ht="15" customHeight="1">
      <c r="A4251" s="3">
        <v>41817</v>
      </c>
      <c r="B4251" s="9">
        <v>77825</v>
      </c>
      <c r="C4251" s="5">
        <v>2175</v>
      </c>
      <c r="D4251" s="5">
        <v>113400</v>
      </c>
      <c r="E4251" s="5">
        <v>193400</v>
      </c>
      <c r="F4251" s="4">
        <v>1500</v>
      </c>
      <c r="G4251" s="5">
        <v>0</v>
      </c>
      <c r="H4251" s="5">
        <v>11625</v>
      </c>
      <c r="I4251" s="118">
        <f t="shared" si="202"/>
        <v>6.010858324715615E-2</v>
      </c>
      <c r="K4251" s="22">
        <v>2138.5</v>
      </c>
      <c r="L4251" s="6">
        <v>2163.5</v>
      </c>
      <c r="M4251" s="125">
        <f t="shared" si="201"/>
        <v>25</v>
      </c>
      <c r="P4251" s="247">
        <v>13940</v>
      </c>
      <c r="Q4251" s="25">
        <f>163.2/1014.4</f>
        <v>0.16088328075709779</v>
      </c>
      <c r="U4251" s="388">
        <v>0.1</v>
      </c>
      <c r="W4251" s="285">
        <f>(P4251*Q4251)*(1+U4251)</f>
        <v>2466.9842271293378</v>
      </c>
    </row>
    <row r="4252" spans="1:23" ht="15" customHeight="1">
      <c r="A4252" s="3">
        <v>41820</v>
      </c>
      <c r="B4252" s="9">
        <v>77825</v>
      </c>
      <c r="C4252" s="5">
        <v>2175</v>
      </c>
      <c r="D4252" s="5">
        <v>113800</v>
      </c>
      <c r="E4252" s="5">
        <v>193800</v>
      </c>
      <c r="F4252" s="4">
        <v>500</v>
      </c>
      <c r="G4252" s="5">
        <v>100</v>
      </c>
      <c r="H4252" s="5">
        <v>11525</v>
      </c>
      <c r="I4252" s="118">
        <f t="shared" si="202"/>
        <v>5.9468524251805988E-2</v>
      </c>
      <c r="K4252" s="22">
        <v>2129</v>
      </c>
      <c r="L4252" s="6">
        <v>2159</v>
      </c>
      <c r="M4252" s="125">
        <f t="shared" si="201"/>
        <v>30</v>
      </c>
      <c r="N4252" s="235">
        <f>AVERAGE(K4232:K4252)</f>
        <v>2103.3095238095239</v>
      </c>
      <c r="O4252" s="230">
        <f>AVERAGE(K4120:K4252)</f>
        <v>2100.8024193548385</v>
      </c>
      <c r="P4252" s="247">
        <v>13940</v>
      </c>
      <c r="Q4252" s="25">
        <f>163.11/1012.1</f>
        <v>0.16115996443039227</v>
      </c>
      <c r="U4252" s="388">
        <v>0.1</v>
      </c>
      <c r="W4252" s="285">
        <f>(P4252*Q4252)*(1+U4252)</f>
        <v>2471.226894575635</v>
      </c>
    </row>
    <row r="4253" spans="1:23" ht="15" customHeight="1" thickBot="1">
      <c r="A4253" s="216"/>
      <c r="B4253" s="1330"/>
      <c r="C4253" s="1330"/>
      <c r="D4253" s="1330"/>
      <c r="E4253" s="216"/>
      <c r="F4253" s="407"/>
      <c r="G4253" s="164"/>
      <c r="H4253" s="164"/>
      <c r="I4253" s="166"/>
      <c r="J4253" s="166"/>
      <c r="K4253" s="166"/>
      <c r="L4253" s="167"/>
      <c r="M4253" s="168"/>
      <c r="N4253" s="169"/>
      <c r="O4253" s="183"/>
      <c r="P4253" s="180"/>
      <c r="Q4253" s="154"/>
      <c r="R4253" s="248"/>
      <c r="S4253" s="249"/>
      <c r="T4253" s="249"/>
      <c r="U4253" s="152"/>
      <c r="V4253" s="153">
        <f>AVERAGE(P4232:P4252)</f>
        <v>13949.25</v>
      </c>
      <c r="W4253" s="295"/>
    </row>
    <row r="4254" spans="1:23" ht="15" customHeight="1">
      <c r="A4254" s="3">
        <v>41821</v>
      </c>
      <c r="B4254" s="9">
        <v>77825</v>
      </c>
      <c r="C4254" s="5">
        <v>2175</v>
      </c>
      <c r="D4254" s="5">
        <v>113700</v>
      </c>
      <c r="E4254" s="5">
        <v>193700</v>
      </c>
      <c r="F4254" s="4">
        <v>0</v>
      </c>
      <c r="G4254" s="5">
        <v>100</v>
      </c>
      <c r="H4254" s="5">
        <v>11425</v>
      </c>
      <c r="I4254" s="118">
        <f t="shared" ref="I4254:I4276" si="204">H4254/E4254</f>
        <v>5.8982963345379454E-2</v>
      </c>
      <c r="K4254" s="22">
        <v>2129</v>
      </c>
      <c r="L4254" s="6">
        <v>2163</v>
      </c>
      <c r="M4254" s="125">
        <f t="shared" si="201"/>
        <v>34</v>
      </c>
      <c r="P4254" s="247">
        <v>13940</v>
      </c>
      <c r="Q4254" s="25">
        <f>163.07/1011.8</f>
        <v>0.16116821506226528</v>
      </c>
      <c r="U4254" s="388">
        <v>0.1</v>
      </c>
      <c r="W4254" s="285">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18">
        <f t="shared" si="204"/>
        <v>5.8982963345379454E-2</v>
      </c>
      <c r="K4255" s="22">
        <v>2140</v>
      </c>
      <c r="L4255" s="6">
        <v>2166</v>
      </c>
      <c r="M4255" s="125">
        <f t="shared" si="201"/>
        <v>26</v>
      </c>
      <c r="P4255" s="247">
        <v>13920</v>
      </c>
      <c r="Q4255" s="25">
        <f>162.48/1009.8</f>
        <v>0.16090314913844325</v>
      </c>
      <c r="U4255" s="388">
        <v>0.1</v>
      </c>
      <c r="W4255" s="285">
        <f t="shared" si="205"/>
        <v>2463.7490196078429</v>
      </c>
    </row>
    <row r="4256" spans="1:23" ht="15" customHeight="1">
      <c r="A4256" s="3">
        <v>41823</v>
      </c>
      <c r="B4256" s="9">
        <v>77825</v>
      </c>
      <c r="C4256" s="5">
        <v>2175</v>
      </c>
      <c r="D4256" s="5">
        <v>133600</v>
      </c>
      <c r="E4256" s="5">
        <v>213600</v>
      </c>
      <c r="F4256" s="4">
        <v>19900</v>
      </c>
      <c r="G4256" s="5">
        <v>0</v>
      </c>
      <c r="H4256" s="5">
        <v>11425</v>
      </c>
      <c r="I4256" s="118">
        <f t="shared" si="204"/>
        <v>5.3487827715355804E-2</v>
      </c>
      <c r="K4256" s="22">
        <v>2160.5</v>
      </c>
      <c r="L4256" s="6">
        <v>2193</v>
      </c>
      <c r="M4256" s="125">
        <f t="shared" si="201"/>
        <v>32.5</v>
      </c>
      <c r="P4256" s="247">
        <v>13970</v>
      </c>
      <c r="Q4256" s="25">
        <f>162.54/1009.6</f>
        <v>0.1609944532488114</v>
      </c>
      <c r="U4256" s="388">
        <v>0.1</v>
      </c>
      <c r="W4256" s="285">
        <f t="shared" si="205"/>
        <v>2474.0017630744851</v>
      </c>
    </row>
    <row r="4257" spans="1:23" ht="15" customHeight="1">
      <c r="A4257" s="3">
        <v>41824</v>
      </c>
      <c r="B4257" s="9">
        <v>77825</v>
      </c>
      <c r="C4257" s="5">
        <v>2175</v>
      </c>
      <c r="D4257" s="5">
        <v>133600</v>
      </c>
      <c r="E4257" s="5">
        <v>213600</v>
      </c>
      <c r="F4257" s="4">
        <v>0</v>
      </c>
      <c r="G4257" s="5">
        <v>0</v>
      </c>
      <c r="H4257" s="5">
        <v>11425</v>
      </c>
      <c r="I4257" s="118">
        <f t="shared" si="204"/>
        <v>5.3487827715355804E-2</v>
      </c>
      <c r="K4257" s="22">
        <v>2156</v>
      </c>
      <c r="L4257" s="6">
        <v>2188</v>
      </c>
      <c r="M4257" s="125">
        <f t="shared" si="201"/>
        <v>32</v>
      </c>
      <c r="P4257" s="247">
        <v>13940</v>
      </c>
      <c r="Q4257" s="25">
        <f>162.59/1008.9</f>
        <v>0.16115571414411736</v>
      </c>
      <c r="U4257" s="388">
        <v>0.1</v>
      </c>
      <c r="W4257" s="285">
        <f t="shared" si="205"/>
        <v>2471.1617206858959</v>
      </c>
    </row>
    <row r="4258" spans="1:23" ht="15" customHeight="1">
      <c r="A4258" s="3">
        <v>41827</v>
      </c>
      <c r="B4258" s="9">
        <v>77825</v>
      </c>
      <c r="C4258" s="5">
        <v>2175</v>
      </c>
      <c r="D4258" s="5">
        <v>133600</v>
      </c>
      <c r="E4258" s="5">
        <v>213600</v>
      </c>
      <c r="F4258" s="4">
        <v>0</v>
      </c>
      <c r="G4258" s="5">
        <v>0</v>
      </c>
      <c r="H4258" s="5">
        <v>11600</v>
      </c>
      <c r="I4258" s="118">
        <f t="shared" si="204"/>
        <v>5.4307116104868915E-2</v>
      </c>
      <c r="K4258" s="22">
        <v>2161</v>
      </c>
      <c r="L4258" s="6">
        <v>2192</v>
      </c>
      <c r="M4258" s="125">
        <f t="shared" si="201"/>
        <v>31</v>
      </c>
      <c r="P4258" s="247">
        <v>13910</v>
      </c>
      <c r="Q4258" s="25">
        <f>162.81/1009.9</f>
        <v>0.16121398158233488</v>
      </c>
      <c r="U4258" s="388">
        <v>0.1</v>
      </c>
      <c r="W4258" s="285">
        <f t="shared" si="205"/>
        <v>2466.7351321913061</v>
      </c>
    </row>
    <row r="4259" spans="1:23" ht="15" customHeight="1">
      <c r="A4259" s="3">
        <v>41828</v>
      </c>
      <c r="B4259" s="9">
        <v>77825</v>
      </c>
      <c r="C4259" s="5">
        <v>2175</v>
      </c>
      <c r="D4259" s="5">
        <v>133600</v>
      </c>
      <c r="E4259" s="5">
        <v>213600</v>
      </c>
      <c r="F4259" s="4">
        <v>0</v>
      </c>
      <c r="G4259" s="5">
        <v>0</v>
      </c>
      <c r="H4259" s="5">
        <v>11600</v>
      </c>
      <c r="I4259" s="118">
        <f t="shared" si="204"/>
        <v>5.4307116104868915E-2</v>
      </c>
      <c r="K4259" s="22">
        <v>2169</v>
      </c>
      <c r="L4259" s="6">
        <v>2197.5</v>
      </c>
      <c r="M4259" s="125">
        <f t="shared" si="201"/>
        <v>28.5</v>
      </c>
      <c r="P4259" s="247">
        <v>13910</v>
      </c>
      <c r="Q4259" s="25">
        <f>163.01/1011.2</f>
        <v>0.16120450949367088</v>
      </c>
      <c r="U4259" s="388">
        <v>0.1</v>
      </c>
      <c r="W4259" s="285">
        <f t="shared" si="205"/>
        <v>2466.5901997626584</v>
      </c>
    </row>
    <row r="4260" spans="1:23" ht="15" customHeight="1">
      <c r="A4260" s="3">
        <v>41829</v>
      </c>
      <c r="B4260" s="9">
        <v>77825</v>
      </c>
      <c r="C4260" s="5">
        <v>2175</v>
      </c>
      <c r="D4260" s="5">
        <v>133600</v>
      </c>
      <c r="E4260" s="5">
        <v>213600</v>
      </c>
      <c r="F4260" s="4">
        <v>0</v>
      </c>
      <c r="G4260" s="5">
        <v>0</v>
      </c>
      <c r="H4260" s="5">
        <v>11600</v>
      </c>
      <c r="I4260" s="118">
        <f t="shared" si="204"/>
        <v>5.4307116104868915E-2</v>
      </c>
      <c r="K4260" s="22">
        <v>2194</v>
      </c>
      <c r="L4260" s="6">
        <v>2219</v>
      </c>
      <c r="M4260" s="125">
        <f t="shared" si="201"/>
        <v>25</v>
      </c>
      <c r="P4260" s="247">
        <v>13910</v>
      </c>
      <c r="Q4260" s="25">
        <f>163.34/1012.2</f>
        <v>0.16137127049990121</v>
      </c>
      <c r="U4260" s="388">
        <v>0.1</v>
      </c>
      <c r="W4260" s="285">
        <f t="shared" si="205"/>
        <v>2469.1418099189887</v>
      </c>
    </row>
    <row r="4261" spans="1:23" ht="15" customHeight="1">
      <c r="A4261" s="3">
        <v>41830</v>
      </c>
      <c r="B4261" s="9">
        <v>77825</v>
      </c>
      <c r="C4261" s="5">
        <v>2175</v>
      </c>
      <c r="D4261" s="5">
        <v>133600</v>
      </c>
      <c r="E4261" s="5">
        <v>213600</v>
      </c>
      <c r="F4261" s="4">
        <v>0</v>
      </c>
      <c r="G4261" s="5">
        <v>0</v>
      </c>
      <c r="H4261" s="5">
        <v>11600</v>
      </c>
      <c r="I4261" s="118">
        <f t="shared" si="204"/>
        <v>5.4307116104868915E-2</v>
      </c>
      <c r="K4261" s="22">
        <v>2149</v>
      </c>
      <c r="L4261" s="6">
        <v>2172</v>
      </c>
      <c r="M4261" s="125">
        <f t="shared" si="201"/>
        <v>23</v>
      </c>
      <c r="P4261" s="247">
        <v>13890</v>
      </c>
      <c r="Q4261" s="25">
        <f>163.12/1011.9</f>
        <v>0.16120169977270482</v>
      </c>
      <c r="U4261" s="388">
        <v>0.1</v>
      </c>
      <c r="W4261" s="285">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18">
        <f t="shared" si="204"/>
        <v>5.3309900410076154E-2</v>
      </c>
      <c r="K4262" s="22">
        <v>2175.5</v>
      </c>
      <c r="L4262" s="6">
        <v>2196</v>
      </c>
      <c r="M4262" s="125">
        <f t="shared" si="201"/>
        <v>20.5</v>
      </c>
      <c r="P4262" s="247">
        <v>13890</v>
      </c>
      <c r="Q4262" s="25">
        <f>164.09/1018</f>
        <v>0.16118860510805502</v>
      </c>
      <c r="U4262" s="388">
        <v>0.1</v>
      </c>
      <c r="W4262" s="285">
        <f t="shared" si="206"/>
        <v>2462.8006974459727</v>
      </c>
    </row>
    <row r="4263" spans="1:23" ht="15" customHeight="1">
      <c r="A4263" s="3">
        <v>41834</v>
      </c>
      <c r="B4263" s="9">
        <v>77825</v>
      </c>
      <c r="C4263" s="5">
        <v>2175</v>
      </c>
      <c r="D4263" s="5">
        <v>133375</v>
      </c>
      <c r="E4263" s="5">
        <v>213375</v>
      </c>
      <c r="F4263" s="4">
        <v>0</v>
      </c>
      <c r="G4263" s="5">
        <v>0</v>
      </c>
      <c r="H4263" s="5">
        <v>11375</v>
      </c>
      <c r="I4263" s="118">
        <f t="shared" si="204"/>
        <v>5.3309900410076154E-2</v>
      </c>
      <c r="K4263" s="22">
        <v>2193.5</v>
      </c>
      <c r="L4263" s="6">
        <v>2216</v>
      </c>
      <c r="M4263" s="125">
        <f t="shared" si="201"/>
        <v>22.5</v>
      </c>
      <c r="P4263" s="247">
        <v>13910</v>
      </c>
      <c r="Q4263" s="25">
        <f>164.04/1018.5</f>
        <v>0.16106038291605301</v>
      </c>
      <c r="U4263" s="388">
        <v>0.1</v>
      </c>
      <c r="W4263" s="285">
        <f t="shared" si="206"/>
        <v>2464.3849189985276</v>
      </c>
    </row>
    <row r="4264" spans="1:23" ht="15" customHeight="1">
      <c r="A4264" s="3">
        <v>41835</v>
      </c>
      <c r="B4264" s="9">
        <v>77825</v>
      </c>
      <c r="C4264" s="5">
        <v>2175</v>
      </c>
      <c r="D4264" s="5">
        <v>133375</v>
      </c>
      <c r="E4264" s="5">
        <v>213375</v>
      </c>
      <c r="F4264" s="4">
        <v>0</v>
      </c>
      <c r="G4264" s="5">
        <v>0</v>
      </c>
      <c r="H4264" s="5">
        <v>11375</v>
      </c>
      <c r="I4264" s="118">
        <f t="shared" si="204"/>
        <v>5.3309900410076154E-2</v>
      </c>
      <c r="K4264" s="22">
        <v>2175</v>
      </c>
      <c r="L4264" s="6">
        <v>2199</v>
      </c>
      <c r="M4264" s="125">
        <f t="shared" si="201"/>
        <v>24</v>
      </c>
      <c r="P4264" s="247">
        <v>13910</v>
      </c>
      <c r="Q4264" s="25">
        <f>164.72/1023.7</f>
        <v>0.16090651558073654</v>
      </c>
      <c r="U4264" s="388">
        <v>0.1</v>
      </c>
      <c r="W4264" s="285">
        <f t="shared" si="206"/>
        <v>2462.0305949008498</v>
      </c>
    </row>
    <row r="4265" spans="1:23" ht="15" customHeight="1">
      <c r="A4265" s="3">
        <v>41836</v>
      </c>
      <c r="B4265" s="9">
        <v>77825</v>
      </c>
      <c r="C4265" s="5">
        <v>2175</v>
      </c>
      <c r="D4265" s="5">
        <v>133375</v>
      </c>
      <c r="E4265" s="5">
        <v>213375</v>
      </c>
      <c r="F4265" s="4">
        <v>0</v>
      </c>
      <c r="G4265" s="5">
        <v>0</v>
      </c>
      <c r="H4265" s="5">
        <v>11375</v>
      </c>
      <c r="I4265" s="118">
        <f t="shared" si="204"/>
        <v>5.3309900410076154E-2</v>
      </c>
      <c r="K4265" s="22">
        <v>2180</v>
      </c>
      <c r="L4265" s="6">
        <v>2213.5</v>
      </c>
      <c r="M4265" s="125">
        <f t="shared" si="201"/>
        <v>33.5</v>
      </c>
      <c r="P4265" s="247">
        <v>13910</v>
      </c>
      <c r="Q4265" s="25">
        <f>166.3/1032.7</f>
        <v>0.16103418224072819</v>
      </c>
      <c r="U4265" s="388">
        <v>0.1</v>
      </c>
      <c r="W4265" s="285">
        <f t="shared" si="206"/>
        <v>2463.9840224653822</v>
      </c>
    </row>
    <row r="4266" spans="1:23" ht="15" customHeight="1">
      <c r="A4266" s="3">
        <v>41837</v>
      </c>
      <c r="B4266" s="9">
        <v>77825</v>
      </c>
      <c r="C4266" s="5">
        <v>2175</v>
      </c>
      <c r="D4266" s="5">
        <v>133550</v>
      </c>
      <c r="E4266" s="5">
        <v>213550</v>
      </c>
      <c r="F4266" s="4">
        <v>175</v>
      </c>
      <c r="G4266" s="5">
        <v>0</v>
      </c>
      <c r="H4266" s="5">
        <v>11375</v>
      </c>
      <c r="I4266" s="118">
        <f t="shared" si="204"/>
        <v>5.326621400140482E-2</v>
      </c>
      <c r="K4266" s="22">
        <v>2161</v>
      </c>
      <c r="L4266" s="6">
        <v>2190</v>
      </c>
      <c r="M4266" s="125">
        <f t="shared" si="201"/>
        <v>29</v>
      </c>
      <c r="P4266" s="247">
        <v>13940</v>
      </c>
      <c r="Q4266" s="25">
        <f>165.92/1029.6</f>
        <v>0.16114996114996116</v>
      </c>
      <c r="U4266" s="388">
        <v>0.1</v>
      </c>
      <c r="W4266" s="285">
        <f t="shared" si="206"/>
        <v>2471.0735042735046</v>
      </c>
    </row>
    <row r="4267" spans="1:23" ht="15" customHeight="1">
      <c r="A4267" s="3">
        <v>41838</v>
      </c>
      <c r="B4267" s="9">
        <v>77825</v>
      </c>
      <c r="C4267" s="5">
        <v>2175</v>
      </c>
      <c r="D4267" s="5">
        <v>133725</v>
      </c>
      <c r="E4267" s="5">
        <v>213725</v>
      </c>
      <c r="F4267" s="4">
        <v>175</v>
      </c>
      <c r="G4267" s="5">
        <v>0</v>
      </c>
      <c r="H4267" s="5">
        <v>11375</v>
      </c>
      <c r="I4267" s="118">
        <f t="shared" si="204"/>
        <v>5.3222599134401687E-2</v>
      </c>
      <c r="K4267" s="22">
        <v>2168</v>
      </c>
      <c r="L4267" s="6">
        <v>2194</v>
      </c>
      <c r="M4267" s="125">
        <f t="shared" si="201"/>
        <v>26</v>
      </c>
      <c r="P4267" s="247">
        <v>13940</v>
      </c>
      <c r="Q4267" s="25">
        <f>166.28/1031.9</f>
        <v>0.16113964531446845</v>
      </c>
      <c r="U4267" s="388">
        <v>0.1</v>
      </c>
      <c r="W4267" s="285">
        <f t="shared" si="206"/>
        <v>2470.9153212520596</v>
      </c>
    </row>
    <row r="4268" spans="1:23" ht="15" customHeight="1">
      <c r="A4268" s="3">
        <v>41841</v>
      </c>
      <c r="B4268" s="9">
        <v>77825</v>
      </c>
      <c r="C4268" s="5">
        <v>2175</v>
      </c>
      <c r="D4268" s="5">
        <v>133725</v>
      </c>
      <c r="E4268" s="5">
        <v>213725</v>
      </c>
      <c r="F4268" s="4">
        <v>0</v>
      </c>
      <c r="G4268" s="5">
        <v>0</v>
      </c>
      <c r="H4268" s="5">
        <v>11375</v>
      </c>
      <c r="I4268" s="118">
        <f t="shared" si="204"/>
        <v>5.3222599134401687E-2</v>
      </c>
      <c r="K4268" s="22">
        <v>2174</v>
      </c>
      <c r="L4268" s="6">
        <v>2195</v>
      </c>
      <c r="M4268" s="125">
        <f t="shared" si="201"/>
        <v>21</v>
      </c>
      <c r="P4268" s="247">
        <v>13960</v>
      </c>
      <c r="Q4268" s="25">
        <f>165.51/1027.5</f>
        <v>0.16108029197080292</v>
      </c>
      <c r="U4268" s="388">
        <v>0.1</v>
      </c>
      <c r="W4268" s="285">
        <f t="shared" si="206"/>
        <v>2473.5489635036497</v>
      </c>
    </row>
    <row r="4269" spans="1:23" ht="15" customHeight="1">
      <c r="A4269" s="3">
        <v>41842</v>
      </c>
      <c r="B4269" s="9">
        <v>77825</v>
      </c>
      <c r="C4269" s="5">
        <v>2175</v>
      </c>
      <c r="D4269" s="5">
        <v>133725</v>
      </c>
      <c r="E4269" s="5">
        <v>213725</v>
      </c>
      <c r="F4269" s="4">
        <v>0</v>
      </c>
      <c r="G4269" s="5">
        <v>0</v>
      </c>
      <c r="H4269" s="5">
        <v>11375</v>
      </c>
      <c r="I4269" s="118">
        <f t="shared" si="204"/>
        <v>5.3222599134401687E-2</v>
      </c>
      <c r="K4269" s="22">
        <v>2206</v>
      </c>
      <c r="L4269" s="6">
        <v>2226</v>
      </c>
      <c r="M4269" s="125">
        <f t="shared" si="201"/>
        <v>20</v>
      </c>
      <c r="P4269" s="247">
        <v>13990</v>
      </c>
      <c r="Q4269" s="25">
        <f>165.18/1024.6</f>
        <v>0.16121413234432952</v>
      </c>
      <c r="U4269" s="388">
        <v>0.1</v>
      </c>
      <c r="W4269" s="285">
        <f t="shared" si="206"/>
        <v>2480.9242826468876</v>
      </c>
    </row>
    <row r="4270" spans="1:23" ht="15" customHeight="1">
      <c r="A4270" s="3">
        <v>41843</v>
      </c>
      <c r="B4270" s="9">
        <v>77825</v>
      </c>
      <c r="C4270" s="5">
        <v>1800</v>
      </c>
      <c r="D4270" s="5">
        <v>133725</v>
      </c>
      <c r="E4270" s="5">
        <v>213350</v>
      </c>
      <c r="F4270" s="4">
        <v>0</v>
      </c>
      <c r="G4270" s="5">
        <v>375</v>
      </c>
      <c r="H4270" s="5">
        <v>11000</v>
      </c>
      <c r="I4270" s="118">
        <f t="shared" si="204"/>
        <v>5.1558471994375438E-2</v>
      </c>
      <c r="K4270" s="22">
        <v>2199</v>
      </c>
      <c r="L4270" s="6">
        <v>2210.5</v>
      </c>
      <c r="M4270" s="125">
        <f t="shared" si="201"/>
        <v>11.5</v>
      </c>
      <c r="P4270" s="247">
        <v>13960</v>
      </c>
      <c r="Q4270" s="25">
        <f>165.18/1022.8</f>
        <v>0.16149784904184591</v>
      </c>
      <c r="U4270" s="388">
        <v>0.1</v>
      </c>
      <c r="W4270" s="285">
        <f t="shared" si="206"/>
        <v>2479.9609698865856</v>
      </c>
    </row>
    <row r="4271" spans="1:23" ht="15" customHeight="1">
      <c r="A4271" s="3">
        <v>41844</v>
      </c>
      <c r="B4271" s="9">
        <v>78375</v>
      </c>
      <c r="C4271" s="5">
        <v>1325</v>
      </c>
      <c r="D4271" s="5">
        <v>133725</v>
      </c>
      <c r="E4271" s="5">
        <v>213425</v>
      </c>
      <c r="F4271" s="4">
        <v>550</v>
      </c>
      <c r="G4271" s="5">
        <v>475</v>
      </c>
      <c r="H4271" s="5">
        <v>10525</v>
      </c>
      <c r="I4271" s="118">
        <f t="shared" si="204"/>
        <v>4.9314747569403773E-2</v>
      </c>
      <c r="K4271" s="22">
        <v>2208.5</v>
      </c>
      <c r="L4271" s="6">
        <v>2228</v>
      </c>
      <c r="M4271" s="125">
        <f t="shared" si="201"/>
        <v>19.5</v>
      </c>
      <c r="P4271" s="247">
        <v>13990</v>
      </c>
      <c r="Q4271" s="25">
        <f>166.03/1028</f>
        <v>0.16150778210116731</v>
      </c>
      <c r="U4271" s="388">
        <v>0.1</v>
      </c>
      <c r="W4271" s="285">
        <f t="shared" si="206"/>
        <v>2485.443258754864</v>
      </c>
    </row>
    <row r="4272" spans="1:23" ht="15" customHeight="1">
      <c r="A4272" s="3">
        <v>41845</v>
      </c>
      <c r="B4272" s="9">
        <v>78375</v>
      </c>
      <c r="C4272" s="5">
        <v>825</v>
      </c>
      <c r="D4272" s="5">
        <v>135325</v>
      </c>
      <c r="E4272" s="5">
        <v>214525</v>
      </c>
      <c r="F4272" s="4">
        <v>1600</v>
      </c>
      <c r="G4272" s="5">
        <v>500</v>
      </c>
      <c r="H4272" s="5">
        <v>10025</v>
      </c>
      <c r="I4272" s="118">
        <f t="shared" si="204"/>
        <v>4.6731150215592591E-2</v>
      </c>
      <c r="K4272" s="22">
        <v>2265</v>
      </c>
      <c r="L4272" s="6">
        <v>2274</v>
      </c>
      <c r="M4272" s="125">
        <f t="shared" si="201"/>
        <v>9</v>
      </c>
      <c r="P4272" s="247">
        <v>14110</v>
      </c>
      <c r="Q4272" s="25">
        <f>166.03/1028</f>
        <v>0.16150778210116731</v>
      </c>
      <c r="U4272" s="388">
        <v>0.1</v>
      </c>
      <c r="W4272" s="285">
        <f t="shared" si="206"/>
        <v>2506.762285992218</v>
      </c>
    </row>
    <row r="4273" spans="1:23" ht="15" customHeight="1">
      <c r="A4273" s="3">
        <v>41848</v>
      </c>
      <c r="B4273" s="9">
        <v>78375</v>
      </c>
      <c r="C4273" s="5">
        <v>725</v>
      </c>
      <c r="D4273" s="5">
        <v>135325</v>
      </c>
      <c r="E4273" s="5">
        <v>214425</v>
      </c>
      <c r="F4273" s="4">
        <v>0</v>
      </c>
      <c r="G4273" s="5">
        <v>100</v>
      </c>
      <c r="H4273" s="5">
        <v>9925</v>
      </c>
      <c r="I4273" s="118">
        <f t="shared" si="204"/>
        <v>4.6286580389413551E-2</v>
      </c>
      <c r="K4273" s="22">
        <v>2269</v>
      </c>
      <c r="L4273" s="6">
        <v>2287</v>
      </c>
      <c r="M4273" s="125">
        <f t="shared" si="201"/>
        <v>18</v>
      </c>
      <c r="P4273" s="247">
        <v>14940</v>
      </c>
      <c r="Q4273" s="25">
        <f>166.33/1025.2</f>
        <v>0.16224151385095592</v>
      </c>
      <c r="U4273" s="388">
        <v>0.1</v>
      </c>
      <c r="W4273" s="285">
        <f t="shared" si="206"/>
        <v>2666.2770386266097</v>
      </c>
    </row>
    <row r="4274" spans="1:23" ht="15" customHeight="1">
      <c r="A4274" s="3">
        <v>41849</v>
      </c>
      <c r="B4274" s="9">
        <v>78375</v>
      </c>
      <c r="C4274" s="5">
        <v>725</v>
      </c>
      <c r="D4274" s="5">
        <v>135550</v>
      </c>
      <c r="E4274" s="5">
        <v>214650</v>
      </c>
      <c r="F4274" s="4">
        <v>225</v>
      </c>
      <c r="G4274" s="5">
        <v>0</v>
      </c>
      <c r="H4274" s="5">
        <v>9925</v>
      </c>
      <c r="I4274" s="118">
        <f t="shared" si="204"/>
        <v>4.62380619613324E-2</v>
      </c>
      <c r="K4274" s="22">
        <v>2265</v>
      </c>
      <c r="L4274" s="6">
        <v>2277</v>
      </c>
      <c r="M4274" s="125">
        <f t="shared" si="201"/>
        <v>12</v>
      </c>
      <c r="P4274" s="247">
        <v>14940</v>
      </c>
      <c r="Q4274" s="25">
        <f>165.78/1024.7</f>
        <v>0.16178393676197911</v>
      </c>
      <c r="U4274" s="388">
        <v>0.1</v>
      </c>
      <c r="W4274" s="285">
        <f t="shared" si="206"/>
        <v>2658.757216746365</v>
      </c>
    </row>
    <row r="4275" spans="1:23" ht="15" customHeight="1">
      <c r="A4275" s="3">
        <v>41850</v>
      </c>
      <c r="B4275" s="9">
        <v>78375</v>
      </c>
      <c r="C4275" s="5">
        <v>725</v>
      </c>
      <c r="D4275" s="5">
        <v>135550</v>
      </c>
      <c r="E4275" s="5">
        <v>214650</v>
      </c>
      <c r="F4275" s="4">
        <v>0</v>
      </c>
      <c r="G4275" s="5">
        <v>0</v>
      </c>
      <c r="H4275" s="5">
        <v>9925</v>
      </c>
      <c r="I4275" s="118">
        <f t="shared" si="204"/>
        <v>4.62380619613324E-2</v>
      </c>
      <c r="K4275" s="22">
        <v>2218</v>
      </c>
      <c r="L4275" s="6">
        <v>2232</v>
      </c>
      <c r="M4275" s="125">
        <f t="shared" si="201"/>
        <v>14</v>
      </c>
      <c r="P4275" s="247">
        <v>14840</v>
      </c>
      <c r="Q4275" s="25">
        <f>165.92/1024.3</f>
        <v>0.16198379381040709</v>
      </c>
      <c r="U4275" s="388">
        <v>0.1</v>
      </c>
      <c r="W4275" s="285">
        <f t="shared" si="206"/>
        <v>2644.2234501610856</v>
      </c>
    </row>
    <row r="4276" spans="1:23" ht="15" customHeight="1">
      <c r="A4276" s="3">
        <v>41851</v>
      </c>
      <c r="B4276" s="9">
        <v>78375</v>
      </c>
      <c r="C4276" s="5">
        <v>725</v>
      </c>
      <c r="D4276" s="5">
        <v>136450</v>
      </c>
      <c r="E4276" s="5">
        <v>215550</v>
      </c>
      <c r="F4276" s="4">
        <v>900</v>
      </c>
      <c r="G4276" s="5">
        <v>0</v>
      </c>
      <c r="H4276" s="5">
        <v>9925</v>
      </c>
      <c r="I4276" s="118">
        <f t="shared" si="204"/>
        <v>4.6045001159823705E-2</v>
      </c>
      <c r="K4276" s="22">
        <v>2237</v>
      </c>
      <c r="L4276" s="6">
        <v>2246</v>
      </c>
      <c r="M4276" s="125">
        <f t="shared" si="201"/>
        <v>9</v>
      </c>
      <c r="N4276" s="235">
        <f>AVERAGE(K4254:K4276)</f>
        <v>2189.2608695652175</v>
      </c>
      <c r="O4276" s="230">
        <f>AVERAGE(K4120:K4276)</f>
        <v>2114.6428571428573</v>
      </c>
      <c r="P4276" s="247">
        <v>14790</v>
      </c>
      <c r="Q4276" s="25">
        <f>166.02/1026.2</f>
        <v>0.16178132917559931</v>
      </c>
      <c r="U4276" s="388">
        <v>0.1</v>
      </c>
      <c r="W4276" s="285">
        <f t="shared" si="206"/>
        <v>2632.0204443578255</v>
      </c>
    </row>
    <row r="4277" spans="1:23" ht="15" customHeight="1" thickBot="1">
      <c r="A4277" s="216"/>
      <c r="B4277" s="1330"/>
      <c r="C4277" s="1330"/>
      <c r="D4277" s="1330"/>
      <c r="E4277" s="216"/>
      <c r="F4277" s="407"/>
      <c r="G4277" s="164"/>
      <c r="H4277" s="164"/>
      <c r="I4277" s="166"/>
      <c r="J4277" s="166"/>
      <c r="K4277" s="166"/>
      <c r="L4277" s="167"/>
      <c r="M4277" s="168"/>
      <c r="N4277" s="169"/>
      <c r="O4277" s="183"/>
      <c r="P4277" s="180"/>
      <c r="Q4277" s="154"/>
      <c r="R4277" s="248"/>
      <c r="S4277" s="249"/>
      <c r="T4277" s="249"/>
      <c r="U4277" s="152"/>
      <c r="V4277" s="153">
        <f>AVERAGE(P4254:P4276)</f>
        <v>14104.782608695652</v>
      </c>
      <c r="W4277" s="295"/>
    </row>
    <row r="4278" spans="1:23" ht="15" customHeight="1">
      <c r="A4278" s="3">
        <v>41852</v>
      </c>
      <c r="B4278" s="9">
        <v>78375</v>
      </c>
      <c r="C4278" s="5">
        <v>725</v>
      </c>
      <c r="D4278" s="5">
        <v>136450</v>
      </c>
      <c r="E4278" s="5">
        <v>215550</v>
      </c>
      <c r="F4278" s="4">
        <v>0</v>
      </c>
      <c r="G4278" s="5">
        <v>0</v>
      </c>
      <c r="H4278" s="5">
        <v>10225</v>
      </c>
      <c r="I4278" s="118">
        <f t="shared" ref="I4278:I4293" si="207">H4278/E4278</f>
        <v>4.743678960797959E-2</v>
      </c>
      <c r="K4278" s="22">
        <v>2196.5</v>
      </c>
      <c r="L4278" s="6">
        <v>2208</v>
      </c>
      <c r="M4278" s="125">
        <f t="shared" si="201"/>
        <v>11.5</v>
      </c>
      <c r="P4278" s="247">
        <v>14690</v>
      </c>
      <c r="Q4278" s="25">
        <f>167.24/1033.7</f>
        <v>0.16178775273290122</v>
      </c>
      <c r="U4278" s="388">
        <v>0.1</v>
      </c>
      <c r="W4278" s="285">
        <f t="shared" si="206"/>
        <v>2614.3282964109512</v>
      </c>
    </row>
    <row r="4279" spans="1:23" ht="15" customHeight="1">
      <c r="A4279" s="3">
        <v>41855</v>
      </c>
      <c r="B4279" s="9">
        <v>78375</v>
      </c>
      <c r="C4279" s="5">
        <v>725</v>
      </c>
      <c r="D4279" s="5">
        <v>136550</v>
      </c>
      <c r="E4279" s="5">
        <v>215650</v>
      </c>
      <c r="F4279" s="4">
        <v>100</v>
      </c>
      <c r="G4279" s="5">
        <v>0</v>
      </c>
      <c r="H4279" s="5">
        <v>10225</v>
      </c>
      <c r="I4279" s="118">
        <f t="shared" si="207"/>
        <v>4.7414792487827498E-2</v>
      </c>
      <c r="K4279" s="22">
        <v>2240</v>
      </c>
      <c r="L4279" s="6">
        <v>2252</v>
      </c>
      <c r="M4279" s="125">
        <f t="shared" si="201"/>
        <v>12</v>
      </c>
      <c r="P4279" s="247">
        <v>14790</v>
      </c>
      <c r="Q4279" s="25">
        <f>167.1/1031.7</f>
        <v>0.16196568769991276</v>
      </c>
      <c r="U4279" s="388">
        <v>0.1</v>
      </c>
      <c r="W4279" s="285">
        <f t="shared" si="206"/>
        <v>2635.0197731898807</v>
      </c>
    </row>
    <row r="4280" spans="1:23" ht="15" customHeight="1">
      <c r="A4280" s="3">
        <v>41856</v>
      </c>
      <c r="B4280" s="9">
        <v>78375</v>
      </c>
      <c r="C4280" s="5">
        <v>725</v>
      </c>
      <c r="D4280" s="5">
        <v>136550</v>
      </c>
      <c r="E4280" s="5">
        <v>215650</v>
      </c>
      <c r="F4280" s="4">
        <v>0</v>
      </c>
      <c r="G4280" s="5">
        <v>0</v>
      </c>
      <c r="H4280" s="5">
        <v>10225</v>
      </c>
      <c r="I4280" s="118">
        <f t="shared" si="207"/>
        <v>4.7414792487827498E-2</v>
      </c>
      <c r="K4280" s="22">
        <v>2247</v>
      </c>
      <c r="L4280" s="6">
        <v>2256</v>
      </c>
      <c r="M4280" s="125">
        <f t="shared" si="201"/>
        <v>9</v>
      </c>
      <c r="P4280" s="247">
        <v>14840</v>
      </c>
      <c r="Q4280" s="25">
        <f>167.09/1030.8</f>
        <v>0.16209740007760964</v>
      </c>
      <c r="U4280" s="388">
        <v>0.1</v>
      </c>
      <c r="W4280" s="285">
        <f t="shared" si="206"/>
        <v>2646.0779588669002</v>
      </c>
    </row>
    <row r="4281" spans="1:23" ht="15" customHeight="1">
      <c r="A4281" s="3">
        <v>41857</v>
      </c>
      <c r="B4281" s="9">
        <v>78375</v>
      </c>
      <c r="C4281" s="5">
        <v>725</v>
      </c>
      <c r="D4281" s="5">
        <v>136550</v>
      </c>
      <c r="E4281" s="5">
        <v>215650</v>
      </c>
      <c r="F4281" s="4">
        <v>0</v>
      </c>
      <c r="G4281" s="5">
        <v>0</v>
      </c>
      <c r="H4281" s="5">
        <v>10225</v>
      </c>
      <c r="I4281" s="118">
        <f t="shared" si="207"/>
        <v>4.7414792487827498E-2</v>
      </c>
      <c r="K4281" s="22">
        <v>2212.5</v>
      </c>
      <c r="L4281" s="6">
        <v>2214</v>
      </c>
      <c r="M4281" s="125">
        <f t="shared" si="201"/>
        <v>1.5</v>
      </c>
      <c r="P4281" s="247">
        <v>14690</v>
      </c>
      <c r="Q4281" s="25">
        <f>167.86/1034.3</f>
        <v>0.16229333848979988</v>
      </c>
      <c r="U4281" s="388">
        <v>0.1</v>
      </c>
      <c r="W4281" s="285">
        <f t="shared" si="206"/>
        <v>2622.4980566566765</v>
      </c>
    </row>
    <row r="4282" spans="1:23" ht="15" customHeight="1">
      <c r="A4282" s="3">
        <v>41858</v>
      </c>
      <c r="B4282" s="9">
        <v>78575</v>
      </c>
      <c r="C4282" s="5">
        <v>725</v>
      </c>
      <c r="D4282" s="5">
        <v>136600</v>
      </c>
      <c r="E4282" s="5">
        <v>215900</v>
      </c>
      <c r="F4282" s="4">
        <v>250</v>
      </c>
      <c r="G4282" s="5">
        <v>0</v>
      </c>
      <c r="H4282" s="5">
        <v>10225</v>
      </c>
      <c r="I4282" s="118">
        <f t="shared" si="207"/>
        <v>4.7359888837424736E-2</v>
      </c>
      <c r="K4282" s="22">
        <v>2248</v>
      </c>
      <c r="L4282" s="6">
        <v>2246</v>
      </c>
      <c r="M4282" s="125">
        <f t="shared" ref="M4282:M4288" si="208">L4282-K4282</f>
        <v>-2</v>
      </c>
      <c r="P4282" s="247">
        <v>14690</v>
      </c>
      <c r="Q4282" s="25">
        <f>167.75/1034.4</f>
        <v>0.16217130703789634</v>
      </c>
      <c r="U4282" s="388">
        <v>0.1</v>
      </c>
      <c r="W4282" s="285">
        <f>(P4282*Q4282)*(1+U4282)</f>
        <v>2620.5261504253672</v>
      </c>
    </row>
    <row r="4283" spans="1:23" ht="15" customHeight="1">
      <c r="A4283" s="3">
        <v>41859</v>
      </c>
      <c r="B4283" s="9">
        <v>78575</v>
      </c>
      <c r="C4283" s="5">
        <v>725</v>
      </c>
      <c r="D4283" s="5">
        <v>136600</v>
      </c>
      <c r="E4283" s="5">
        <v>215900</v>
      </c>
      <c r="F4283" s="4">
        <v>0</v>
      </c>
      <c r="G4283" s="5">
        <v>0</v>
      </c>
      <c r="H4283" s="5">
        <v>10225</v>
      </c>
      <c r="I4283" s="118">
        <f t="shared" si="207"/>
        <v>4.7359888837424736E-2</v>
      </c>
      <c r="K4283" s="22">
        <v>2237</v>
      </c>
      <c r="L4283" s="6">
        <v>2240</v>
      </c>
      <c r="M4283" s="125">
        <f t="shared" si="208"/>
        <v>3</v>
      </c>
      <c r="P4283" s="247">
        <v>14690</v>
      </c>
      <c r="Q4283" s="25">
        <f>167.75/1034.4</f>
        <v>0.16217130703789634</v>
      </c>
      <c r="U4283" s="388">
        <v>0.1</v>
      </c>
      <c r="W4283" s="285">
        <f>(P4283*Q4283)*(1+U4283)</f>
        <v>2620.5261504253672</v>
      </c>
    </row>
    <row r="4284" spans="1:23" ht="15" customHeight="1">
      <c r="A4284" s="3">
        <v>41862</v>
      </c>
      <c r="B4284" s="9">
        <v>78575</v>
      </c>
      <c r="C4284" s="5">
        <v>725</v>
      </c>
      <c r="D4284" s="5">
        <v>136600</v>
      </c>
      <c r="E4284" s="5">
        <v>215900</v>
      </c>
      <c r="F4284" s="4">
        <v>0</v>
      </c>
      <c r="G4284" s="5">
        <v>0</v>
      </c>
      <c r="H4284" s="5">
        <v>10225</v>
      </c>
      <c r="I4284" s="118">
        <f t="shared" si="207"/>
        <v>4.7359888837424736E-2</v>
      </c>
      <c r="K4284" s="22">
        <v>2248</v>
      </c>
      <c r="L4284" s="6">
        <v>2254</v>
      </c>
      <c r="M4284" s="125">
        <f t="shared" si="208"/>
        <v>6</v>
      </c>
      <c r="P4284" s="247">
        <v>14640</v>
      </c>
      <c r="Q4284" s="25">
        <f>168.54/1037.4</f>
        <v>0.16246385193753612</v>
      </c>
      <c r="U4284" s="388">
        <v>0.1</v>
      </c>
      <c r="W4284" s="285">
        <f>(P4284*Q4284)*(1+U4284)</f>
        <v>2616.3178716020816</v>
      </c>
    </row>
    <row r="4285" spans="1:23" ht="15" customHeight="1">
      <c r="A4285" s="3">
        <v>41863</v>
      </c>
      <c r="B4285" s="9">
        <v>78575</v>
      </c>
      <c r="C4285" s="5">
        <v>725</v>
      </c>
      <c r="D4285" s="5">
        <v>136600</v>
      </c>
      <c r="E4285" s="5">
        <v>215900</v>
      </c>
      <c r="F4285" s="4">
        <v>0</v>
      </c>
      <c r="G4285" s="5">
        <v>0</v>
      </c>
      <c r="H4285" s="5">
        <v>10225</v>
      </c>
      <c r="I4285" s="118">
        <f t="shared" si="207"/>
        <v>4.7359888837424736E-2</v>
      </c>
      <c r="K4285" s="22">
        <v>2260</v>
      </c>
      <c r="L4285" s="6">
        <v>2272</v>
      </c>
      <c r="M4285" s="125">
        <f t="shared" si="208"/>
        <v>12</v>
      </c>
      <c r="P4285" s="247">
        <v>14590</v>
      </c>
      <c r="Q4285" s="25">
        <f>166.92/1028.3</f>
        <v>0.16232616940581543</v>
      </c>
      <c r="U4285" s="388">
        <v>0.1</v>
      </c>
      <c r="W4285" s="285">
        <f>(P4285*Q4285)*(1+U4285)</f>
        <v>2605.1726927939317</v>
      </c>
    </row>
    <row r="4286" spans="1:23" ht="15" customHeight="1">
      <c r="A4286" s="3">
        <v>41864</v>
      </c>
      <c r="B4286" s="9">
        <v>78575</v>
      </c>
      <c r="C4286" s="5">
        <v>725</v>
      </c>
      <c r="D4286" s="5">
        <v>136600</v>
      </c>
      <c r="E4286" s="5">
        <v>215900</v>
      </c>
      <c r="F4286" s="4">
        <v>0</v>
      </c>
      <c r="G4286" s="5">
        <v>0</v>
      </c>
      <c r="H4286" s="5">
        <v>6350</v>
      </c>
      <c r="I4286" s="118">
        <f t="shared" si="207"/>
        <v>2.9411764705882353E-2</v>
      </c>
      <c r="K4286" s="22">
        <v>2230.5</v>
      </c>
      <c r="L4286" s="6">
        <v>2242.5</v>
      </c>
      <c r="M4286" s="125">
        <f t="shared" si="208"/>
        <v>12</v>
      </c>
      <c r="P4286" s="247">
        <v>14590</v>
      </c>
      <c r="Q4286" s="25">
        <f>166.93/1028.1</f>
        <v>0.16236747398113027</v>
      </c>
      <c r="U4286" s="388">
        <v>0.1</v>
      </c>
      <c r="W4286" s="285">
        <f>(P4286*Q4286)*(1+U4286)</f>
        <v>2605.8355899231601</v>
      </c>
    </row>
    <row r="4287" spans="1:23" ht="15" customHeight="1">
      <c r="A4287" s="3">
        <v>41865</v>
      </c>
      <c r="B4287" s="9">
        <v>78575</v>
      </c>
      <c r="C4287" s="5">
        <v>725</v>
      </c>
      <c r="D4287" s="5">
        <v>136600</v>
      </c>
      <c r="E4287" s="5">
        <v>215900</v>
      </c>
      <c r="F4287" s="4">
        <v>0</v>
      </c>
      <c r="G4287" s="312">
        <v>0</v>
      </c>
      <c r="H4287" s="5">
        <v>6350</v>
      </c>
      <c r="I4287" s="118">
        <f t="shared" si="207"/>
        <v>2.9411764705882353E-2</v>
      </c>
      <c r="K4287" s="22">
        <v>2206</v>
      </c>
      <c r="L4287" s="6">
        <v>2214</v>
      </c>
      <c r="M4287" s="125">
        <f t="shared" si="208"/>
        <v>8</v>
      </c>
      <c r="P4287" s="247">
        <v>14440</v>
      </c>
      <c r="Q4287" s="25">
        <f>166.93/1028.1</f>
        <v>0.16236747398113027</v>
      </c>
      <c r="U4287" s="388">
        <v>0.1</v>
      </c>
      <c r="W4287" s="285">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18">
        <f t="shared" si="207"/>
        <v>2.8849496002780674E-2</v>
      </c>
      <c r="K4288" s="22">
        <v>2194.5</v>
      </c>
      <c r="L4288" s="6">
        <v>2203</v>
      </c>
      <c r="M4288" s="125">
        <f t="shared" si="208"/>
        <v>8.5</v>
      </c>
      <c r="P4288" s="247">
        <v>14340</v>
      </c>
      <c r="Q4288" s="25">
        <f>166.72/1024.9</f>
        <v>0.16266952873451068</v>
      </c>
      <c r="U4288" s="388">
        <v>0.1</v>
      </c>
      <c r="W4288" s="285">
        <f t="shared" si="209"/>
        <v>2565.9491462581718</v>
      </c>
    </row>
    <row r="4289" spans="1:23" ht="15" customHeight="1">
      <c r="A4289" s="3">
        <v>41869</v>
      </c>
      <c r="B4289" s="9">
        <v>78350</v>
      </c>
      <c r="C4289" s="5">
        <v>725</v>
      </c>
      <c r="D4289" s="5">
        <v>136600</v>
      </c>
      <c r="E4289" s="5">
        <v>215675</v>
      </c>
      <c r="F4289" s="4">
        <v>0</v>
      </c>
      <c r="G4289" s="5">
        <v>100</v>
      </c>
      <c r="H4289" s="5">
        <v>6125</v>
      </c>
      <c r="I4289" s="118">
        <f t="shared" si="207"/>
        <v>2.8399211776979252E-2</v>
      </c>
      <c r="K4289" s="22">
        <v>2200.5</v>
      </c>
      <c r="L4289" s="6">
        <v>2208</v>
      </c>
      <c r="M4289" s="125">
        <f>L4289-K4289</f>
        <v>7.5</v>
      </c>
      <c r="P4289" s="247">
        <v>14340</v>
      </c>
      <c r="Q4289" s="25">
        <f>166.72/1024.9</f>
        <v>0.16266952873451068</v>
      </c>
      <c r="U4289" s="388">
        <v>0.1</v>
      </c>
      <c r="W4289" s="285">
        <f t="shared" si="209"/>
        <v>2565.9491462581718</v>
      </c>
    </row>
    <row r="4290" spans="1:23" ht="15" customHeight="1">
      <c r="A4290" s="3">
        <v>41870</v>
      </c>
      <c r="B4290" s="9">
        <v>78275</v>
      </c>
      <c r="C4290" s="5">
        <v>725</v>
      </c>
      <c r="D4290" s="5">
        <v>136600</v>
      </c>
      <c r="E4290" s="5">
        <v>215600</v>
      </c>
      <c r="F4290" s="4">
        <v>0</v>
      </c>
      <c r="G4290" s="5">
        <v>75</v>
      </c>
      <c r="H4290" s="5">
        <v>6100</v>
      </c>
      <c r="I4290" s="118">
        <f t="shared" si="207"/>
        <v>2.8293135435992579E-2</v>
      </c>
      <c r="K4290" s="22">
        <v>2240.5</v>
      </c>
      <c r="L4290" s="6">
        <v>2232</v>
      </c>
      <c r="M4290" s="125">
        <f>L4290-K4290</f>
        <v>-8.5</v>
      </c>
      <c r="P4290" s="247">
        <v>14340</v>
      </c>
      <c r="Q4290" s="25">
        <f>165.7/1018</f>
        <v>0.16277013752455793</v>
      </c>
      <c r="U4290" s="388">
        <v>0.1</v>
      </c>
      <c r="W4290" s="285">
        <f t="shared" si="209"/>
        <v>2567.5361493123769</v>
      </c>
    </row>
    <row r="4291" spans="1:23" ht="15" customHeight="1">
      <c r="A4291" s="3">
        <v>41871</v>
      </c>
      <c r="B4291" s="9">
        <v>78275</v>
      </c>
      <c r="C4291" s="5">
        <v>725</v>
      </c>
      <c r="D4291" s="5">
        <v>136600</v>
      </c>
      <c r="E4291" s="5">
        <v>215600</v>
      </c>
      <c r="F4291" s="4">
        <v>0</v>
      </c>
      <c r="G4291" s="5">
        <v>0</v>
      </c>
      <c r="H4291" s="5">
        <v>6100</v>
      </c>
      <c r="I4291" s="118">
        <f t="shared" si="207"/>
        <v>2.8293135435992579E-2</v>
      </c>
      <c r="K4291" s="22">
        <v>2235.5</v>
      </c>
      <c r="L4291" s="6">
        <v>2235.5</v>
      </c>
      <c r="M4291" s="125">
        <f>L4291-K4291</f>
        <v>0</v>
      </c>
      <c r="P4291" s="247">
        <v>14340</v>
      </c>
      <c r="Q4291" s="25">
        <f>165.7/1018</f>
        <v>0.16277013752455793</v>
      </c>
      <c r="U4291" s="388">
        <v>0.1</v>
      </c>
      <c r="W4291" s="285">
        <f t="shared" si="209"/>
        <v>2567.5361493123769</v>
      </c>
    </row>
    <row r="4292" spans="1:23" ht="15" customHeight="1">
      <c r="A4292" s="3">
        <v>41872</v>
      </c>
      <c r="B4292" s="9">
        <v>79875</v>
      </c>
      <c r="C4292" s="5">
        <v>725</v>
      </c>
      <c r="D4292" s="5">
        <v>136600</v>
      </c>
      <c r="E4292" s="5">
        <v>217200</v>
      </c>
      <c r="F4292" s="4">
        <v>1600</v>
      </c>
      <c r="G4292" s="5">
        <v>0</v>
      </c>
      <c r="H4292" s="5">
        <v>6100</v>
      </c>
      <c r="I4292" s="118">
        <f t="shared" si="207"/>
        <v>2.8084714548802948E-2</v>
      </c>
      <c r="K4292" s="22">
        <v>2254</v>
      </c>
      <c r="L4292" s="6">
        <v>2249</v>
      </c>
      <c r="M4292" s="125">
        <f>L4292-K4292</f>
        <v>-5</v>
      </c>
      <c r="P4292" s="247">
        <v>14440</v>
      </c>
      <c r="Q4292" s="25">
        <f>166.14/1020.9</f>
        <v>0.16273875991771966</v>
      </c>
      <c r="U4292" s="388">
        <v>0.1</v>
      </c>
      <c r="W4292" s="285">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18">
        <f t="shared" si="207"/>
        <v>2.8084714548802948E-2</v>
      </c>
      <c r="K4293" s="22">
        <v>2259.5</v>
      </c>
      <c r="L4293" s="6">
        <v>2255</v>
      </c>
      <c r="M4293" s="125">
        <f>L4293-K4293</f>
        <v>-4.5</v>
      </c>
      <c r="P4293" s="247">
        <v>14440</v>
      </c>
      <c r="Q4293" s="25">
        <f>165.54/1019.5</f>
        <v>0.16237371260421773</v>
      </c>
      <c r="U4293" s="388">
        <v>0.1</v>
      </c>
      <c r="W4293" s="285">
        <f t="shared" si="210"/>
        <v>2579.1440510053944</v>
      </c>
    </row>
    <row r="4294" spans="1:23" ht="15" customHeight="1">
      <c r="A4294" s="3">
        <v>41876</v>
      </c>
      <c r="B4294" s="9">
        <v>0</v>
      </c>
      <c r="F4294" s="1318" t="s">
        <v>48</v>
      </c>
      <c r="G4294" s="1318"/>
      <c r="H4294" s="1318"/>
      <c r="I4294" s="1318"/>
      <c r="J4294" s="5"/>
      <c r="N4294" s="300"/>
      <c r="O4294" s="245"/>
      <c r="P4294" s="247">
        <v>14340</v>
      </c>
      <c r="Q4294" s="25">
        <f>165.79/1020.6</f>
        <v>0.16244366059180873</v>
      </c>
      <c r="U4294" s="388">
        <v>0.1</v>
      </c>
      <c r="W4294" s="285">
        <f t="shared" si="210"/>
        <v>2562.3863021751908</v>
      </c>
    </row>
    <row r="4295" spans="1:23" ht="15" customHeight="1">
      <c r="A4295" s="3">
        <v>41877</v>
      </c>
      <c r="B4295" s="9">
        <v>80475</v>
      </c>
      <c r="C4295" s="5">
        <v>725</v>
      </c>
      <c r="D4295" s="5">
        <v>136000</v>
      </c>
      <c r="E4295" s="5">
        <v>217200</v>
      </c>
      <c r="F4295" s="4">
        <v>0</v>
      </c>
      <c r="G4295" s="5">
        <v>0</v>
      </c>
      <c r="H4295" s="5">
        <v>6100</v>
      </c>
      <c r="I4295" s="118">
        <f>H4295/E4295</f>
        <v>2.8084714548802948E-2</v>
      </c>
      <c r="K4295" s="22">
        <v>2257</v>
      </c>
      <c r="L4295" s="6">
        <v>2263</v>
      </c>
      <c r="M4295" s="125">
        <f>L4295-K4295</f>
        <v>6</v>
      </c>
      <c r="P4295" s="247">
        <v>14270</v>
      </c>
      <c r="Q4295" s="25">
        <f>165.51/1018</f>
        <v>0.16258349705304517</v>
      </c>
      <c r="U4295" s="388">
        <v>0.1</v>
      </c>
      <c r="W4295" s="285">
        <f t="shared" si="210"/>
        <v>2552.0731532416503</v>
      </c>
    </row>
    <row r="4296" spans="1:23" ht="15" customHeight="1">
      <c r="A4296" s="3">
        <v>41878</v>
      </c>
      <c r="B4296" s="9">
        <v>79875</v>
      </c>
      <c r="C4296" s="5">
        <v>725</v>
      </c>
      <c r="D4296" s="5">
        <v>136550</v>
      </c>
      <c r="E4296" s="5">
        <v>217150</v>
      </c>
      <c r="F4296" s="4">
        <v>0</v>
      </c>
      <c r="G4296" s="5">
        <v>50</v>
      </c>
      <c r="H4296" s="5">
        <v>6050</v>
      </c>
      <c r="I4296" s="118">
        <f>H4296/E4296</f>
        <v>2.7860925627446465E-2</v>
      </c>
      <c r="K4296" s="22">
        <v>2251</v>
      </c>
      <c r="L4296" s="6">
        <v>2259</v>
      </c>
      <c r="M4296" s="125">
        <f>L4296-K4296</f>
        <v>8</v>
      </c>
      <c r="P4296" s="247">
        <v>14370</v>
      </c>
      <c r="Q4296" s="25">
        <f>165.14/1014.6</f>
        <v>0.16276365069978316</v>
      </c>
      <c r="U4296" s="388">
        <v>0.1</v>
      </c>
      <c r="W4296" s="285">
        <f t="shared" si="210"/>
        <v>2572.8050266114724</v>
      </c>
    </row>
    <row r="4297" spans="1:23" ht="15" customHeight="1">
      <c r="A4297" s="3">
        <v>41879</v>
      </c>
      <c r="B4297" s="9">
        <v>81825</v>
      </c>
      <c r="C4297" s="5">
        <v>725</v>
      </c>
      <c r="D4297" s="5">
        <v>138075</v>
      </c>
      <c r="E4297" s="5">
        <v>220625</v>
      </c>
      <c r="F4297" s="4">
        <v>3475</v>
      </c>
      <c r="G4297" s="5">
        <v>0</v>
      </c>
      <c r="H4297" s="5">
        <v>4550</v>
      </c>
      <c r="I4297" s="118">
        <f>H4297/E4297</f>
        <v>2.0623229461756373E-2</v>
      </c>
      <c r="K4297" s="22">
        <v>2254.5</v>
      </c>
      <c r="L4297" s="6">
        <v>2253</v>
      </c>
      <c r="M4297" s="125">
        <f>L4297-K4297</f>
        <v>-1.5</v>
      </c>
      <c r="P4297" s="247">
        <v>14370</v>
      </c>
      <c r="Q4297" s="25">
        <f>164.8/1013.6</f>
        <v>0.16258879242304658</v>
      </c>
      <c r="U4297" s="388">
        <v>0.1</v>
      </c>
      <c r="W4297" s="285">
        <f t="shared" si="210"/>
        <v>2570.0410418310976</v>
      </c>
    </row>
    <row r="4298" spans="1:23" ht="15" customHeight="1">
      <c r="A4298" s="3">
        <v>41880</v>
      </c>
      <c r="B4298" s="9">
        <v>81750</v>
      </c>
      <c r="C4298" s="5">
        <v>725</v>
      </c>
      <c r="D4298" s="5">
        <v>138075</v>
      </c>
      <c r="E4298" s="5">
        <v>220550</v>
      </c>
      <c r="F4298" s="4">
        <v>0</v>
      </c>
      <c r="G4298" s="5">
        <v>75</v>
      </c>
      <c r="H4298" s="5">
        <v>4475</v>
      </c>
      <c r="I4298" s="118">
        <f>H4298/E4298</f>
        <v>2.0290183631829516E-2</v>
      </c>
      <c r="K4298" s="22">
        <v>2259</v>
      </c>
      <c r="L4298" s="6">
        <v>2251.5</v>
      </c>
      <c r="M4298" s="125">
        <f>L4298-K4298</f>
        <v>-7.5</v>
      </c>
      <c r="N4298" s="235">
        <f>AVERAGE(K4278:K4298)</f>
        <v>2236.5749999999998</v>
      </c>
      <c r="O4298" s="230">
        <f>AVERAGE(K4120:K4298)</f>
        <v>2129.245508982036</v>
      </c>
      <c r="P4298" s="247">
        <v>14320</v>
      </c>
      <c r="Q4298" s="25">
        <f>165.04/1014.9</f>
        <v>0.16261700660163564</v>
      </c>
      <c r="U4298" s="388">
        <v>0.1</v>
      </c>
      <c r="W4298" s="285">
        <f t="shared" si="210"/>
        <v>2561.5430879889645</v>
      </c>
    </row>
    <row r="4299" spans="1:23" ht="15" customHeight="1" thickBot="1">
      <c r="A4299" s="216"/>
      <c r="B4299" s="1330"/>
      <c r="C4299" s="1330"/>
      <c r="D4299" s="1330"/>
      <c r="E4299" s="216"/>
      <c r="F4299" s="407"/>
      <c r="G4299" s="164"/>
      <c r="H4299" s="164"/>
      <c r="I4299" s="166"/>
      <c r="J4299" s="166"/>
      <c r="K4299" s="166"/>
      <c r="L4299" s="167"/>
      <c r="M4299" s="168"/>
      <c r="N4299" s="169"/>
      <c r="O4299" s="183"/>
      <c r="P4299" s="180"/>
      <c r="Q4299" s="154"/>
      <c r="R4299" s="248"/>
      <c r="S4299" s="249"/>
      <c r="T4299" s="249"/>
      <c r="U4299" s="152"/>
      <c r="V4299" s="153">
        <f>AVERAGE(P4278:P4298)</f>
        <v>14502.857142857143</v>
      </c>
      <c r="W4299" s="295"/>
    </row>
    <row r="4300" spans="1:23" ht="15" customHeight="1">
      <c r="A4300" s="3">
        <v>41883</v>
      </c>
      <c r="B4300" s="9">
        <v>81750</v>
      </c>
      <c r="C4300" s="5">
        <v>725</v>
      </c>
      <c r="D4300" s="5">
        <v>138075</v>
      </c>
      <c r="E4300" s="5">
        <v>220550</v>
      </c>
      <c r="F4300" s="4">
        <v>0</v>
      </c>
      <c r="G4300" s="5">
        <v>0</v>
      </c>
      <c r="H4300" s="5">
        <v>4475</v>
      </c>
      <c r="I4300" s="118">
        <f t="shared" ref="I4300:I4321" si="211">H4300/E4300</f>
        <v>2.0290183631829516E-2</v>
      </c>
      <c r="K4300" s="22">
        <v>2230</v>
      </c>
      <c r="L4300" s="6">
        <v>2230.5</v>
      </c>
      <c r="M4300" s="125">
        <f t="shared" ref="M4300:M4315" si="212">L4300-K4300</f>
        <v>0.5</v>
      </c>
      <c r="P4300" s="247">
        <v>14220</v>
      </c>
      <c r="Q4300" s="25">
        <f>165/1014.3</f>
        <v>0.16267376515823723</v>
      </c>
      <c r="U4300" s="388">
        <v>0.1</v>
      </c>
      <c r="W4300" s="285">
        <f t="shared" si="210"/>
        <v>2544.5430346051471</v>
      </c>
    </row>
    <row r="4301" spans="1:23" ht="15" customHeight="1">
      <c r="A4301" s="3">
        <v>41884</v>
      </c>
      <c r="B4301" s="9">
        <v>81750</v>
      </c>
      <c r="C4301" s="5">
        <v>725</v>
      </c>
      <c r="D4301" s="5">
        <v>141575</v>
      </c>
      <c r="E4301" s="5">
        <v>224050</v>
      </c>
      <c r="F4301" s="4">
        <v>3500</v>
      </c>
      <c r="G4301" s="5">
        <v>0</v>
      </c>
      <c r="H4301" s="5">
        <v>4475</v>
      </c>
      <c r="I4301" s="118">
        <f t="shared" si="211"/>
        <v>1.9973220263334077E-2</v>
      </c>
      <c r="K4301" s="22">
        <v>2233</v>
      </c>
      <c r="L4301" s="6">
        <v>2231</v>
      </c>
      <c r="M4301" s="125">
        <f t="shared" si="212"/>
        <v>-2</v>
      </c>
      <c r="P4301" s="247">
        <v>14220</v>
      </c>
      <c r="Q4301" s="25">
        <f>165.05/1015.6</f>
        <v>0.16251476959432848</v>
      </c>
      <c r="U4301" s="388">
        <v>0.1</v>
      </c>
      <c r="W4301" s="285">
        <f t="shared" si="210"/>
        <v>2542.0560259944859</v>
      </c>
    </row>
    <row r="4302" spans="1:23" ht="15" customHeight="1">
      <c r="A4302" s="3">
        <v>41885</v>
      </c>
      <c r="B4302" s="9">
        <v>81750</v>
      </c>
      <c r="C4302" s="5">
        <v>725</v>
      </c>
      <c r="D4302" s="5">
        <v>142075</v>
      </c>
      <c r="E4302" s="5">
        <v>224550</v>
      </c>
      <c r="F4302" s="4">
        <v>500</v>
      </c>
      <c r="G4302" s="5">
        <v>0</v>
      </c>
      <c r="H4302" s="5">
        <v>4475</v>
      </c>
      <c r="I4302" s="118">
        <f t="shared" si="211"/>
        <v>1.9928746381652193E-2</v>
      </c>
      <c r="K4302" s="22">
        <v>2217</v>
      </c>
      <c r="L4302" s="6">
        <v>2220</v>
      </c>
      <c r="M4302" s="125">
        <f t="shared" si="212"/>
        <v>3</v>
      </c>
      <c r="P4302" s="247">
        <v>14250</v>
      </c>
      <c r="Q4302" s="25">
        <f>165.05/1015.6</f>
        <v>0.16251476959432848</v>
      </c>
      <c r="U4302" s="388">
        <v>0.1</v>
      </c>
      <c r="W4302" s="285">
        <f t="shared" si="210"/>
        <v>2547.4190133910988</v>
      </c>
    </row>
    <row r="4303" spans="1:23" ht="15" customHeight="1">
      <c r="A4303" s="3">
        <v>41886</v>
      </c>
      <c r="B4303" s="9">
        <v>81750</v>
      </c>
      <c r="C4303" s="5">
        <v>725</v>
      </c>
      <c r="D4303" s="5">
        <v>142075</v>
      </c>
      <c r="E4303" s="5">
        <v>224550</v>
      </c>
      <c r="F4303" s="4">
        <v>0</v>
      </c>
      <c r="G4303" s="5">
        <v>0</v>
      </c>
      <c r="H4303" s="5">
        <v>4475</v>
      </c>
      <c r="I4303" s="118">
        <f t="shared" si="211"/>
        <v>1.9928746381652193E-2</v>
      </c>
      <c r="K4303" s="22">
        <v>2227</v>
      </c>
      <c r="L4303" s="6">
        <v>2233.5</v>
      </c>
      <c r="M4303" s="125">
        <f t="shared" si="212"/>
        <v>6.5</v>
      </c>
      <c r="P4303" s="247">
        <v>14220</v>
      </c>
      <c r="Q4303" s="25">
        <f>165.58/1018</f>
        <v>0.1626522593320236</v>
      </c>
      <c r="U4303" s="388">
        <v>0.1</v>
      </c>
      <c r="W4303" s="285">
        <f t="shared" si="210"/>
        <v>2544.2066404715133</v>
      </c>
    </row>
    <row r="4304" spans="1:23" ht="15" customHeight="1">
      <c r="A4304" s="3">
        <v>41887</v>
      </c>
      <c r="B4304" s="9">
        <v>81750</v>
      </c>
      <c r="C4304" s="5">
        <v>725</v>
      </c>
      <c r="D4304" s="5">
        <v>142075</v>
      </c>
      <c r="E4304" s="5">
        <v>224550</v>
      </c>
      <c r="F4304" s="4">
        <v>0</v>
      </c>
      <c r="G4304" s="5">
        <v>0</v>
      </c>
      <c r="H4304" s="5">
        <v>4475</v>
      </c>
      <c r="I4304" s="118">
        <f t="shared" si="211"/>
        <v>1.9928746381652193E-2</v>
      </c>
      <c r="K4304" s="22">
        <v>2200</v>
      </c>
      <c r="L4304" s="6">
        <v>2213</v>
      </c>
      <c r="M4304" s="125">
        <f t="shared" si="212"/>
        <v>13</v>
      </c>
      <c r="P4304" s="247">
        <v>14220</v>
      </c>
      <c r="Q4304" s="302" t="s">
        <v>49</v>
      </c>
      <c r="R4304" s="302"/>
      <c r="S4304" s="302"/>
      <c r="T4304" s="302"/>
      <c r="U4304" s="388">
        <v>0.1</v>
      </c>
    </row>
    <row r="4305" spans="1:23" ht="15" customHeight="1">
      <c r="A4305" s="3">
        <v>41890</v>
      </c>
      <c r="B4305" s="9">
        <v>81875</v>
      </c>
      <c r="C4305" s="5">
        <v>725</v>
      </c>
      <c r="D4305" s="5">
        <v>142325</v>
      </c>
      <c r="E4305" s="5">
        <v>224925</v>
      </c>
      <c r="F4305" s="4">
        <v>375</v>
      </c>
      <c r="G4305" s="5">
        <v>0</v>
      </c>
      <c r="H4305" s="5">
        <v>4475</v>
      </c>
      <c r="I4305" s="118">
        <f t="shared" si="211"/>
        <v>1.9895520729131932E-2</v>
      </c>
      <c r="K4305" s="22">
        <v>2194</v>
      </c>
      <c r="L4305" s="6">
        <v>2217</v>
      </c>
      <c r="M4305" s="125">
        <f t="shared" si="212"/>
        <v>23</v>
      </c>
      <c r="P4305" s="1354" t="s">
        <v>50</v>
      </c>
      <c r="Q4305" s="1354"/>
      <c r="R4305" s="301"/>
      <c r="S4305" s="301"/>
      <c r="T4305" s="301"/>
      <c r="U4305" s="388">
        <v>0.1</v>
      </c>
    </row>
    <row r="4306" spans="1:23" ht="15" customHeight="1">
      <c r="A4306" s="3">
        <v>41891</v>
      </c>
      <c r="B4306" s="9">
        <v>81875</v>
      </c>
      <c r="C4306" s="5">
        <v>725</v>
      </c>
      <c r="D4306" s="5">
        <v>142325</v>
      </c>
      <c r="E4306" s="5">
        <v>224925</v>
      </c>
      <c r="F4306" s="4">
        <v>0</v>
      </c>
      <c r="G4306" s="5">
        <v>0</v>
      </c>
      <c r="H4306" s="5">
        <v>4600</v>
      </c>
      <c r="I4306" s="118">
        <f t="shared" si="211"/>
        <v>2.0451261531621651E-2</v>
      </c>
      <c r="K4306" s="22">
        <v>2158</v>
      </c>
      <c r="L4306" s="6">
        <v>2174</v>
      </c>
      <c r="M4306" s="125">
        <f t="shared" si="212"/>
        <v>16</v>
      </c>
      <c r="P4306" s="247">
        <v>14120</v>
      </c>
      <c r="Q4306" s="302" t="s">
        <v>49</v>
      </c>
      <c r="U4306" s="388">
        <v>0.1</v>
      </c>
    </row>
    <row r="4307" spans="1:23" ht="15" customHeight="1">
      <c r="A4307" s="3">
        <v>41892</v>
      </c>
      <c r="B4307" s="9">
        <v>81875</v>
      </c>
      <c r="C4307" s="5">
        <v>725</v>
      </c>
      <c r="D4307" s="5">
        <v>142325</v>
      </c>
      <c r="E4307" s="5">
        <v>224925</v>
      </c>
      <c r="F4307" s="4">
        <v>0</v>
      </c>
      <c r="G4307" s="5">
        <v>0</v>
      </c>
      <c r="H4307" s="5">
        <v>4600</v>
      </c>
      <c r="I4307" s="118">
        <f t="shared" si="211"/>
        <v>2.0451261531621651E-2</v>
      </c>
      <c r="K4307" s="22">
        <v>2100</v>
      </c>
      <c r="L4307" s="6">
        <v>2118</v>
      </c>
      <c r="M4307" s="125">
        <f t="shared" si="212"/>
        <v>18</v>
      </c>
      <c r="P4307" s="247">
        <v>13920</v>
      </c>
      <c r="Q4307" s="25">
        <f>167.04/1024.6</f>
        <v>0.16302947491704081</v>
      </c>
      <c r="U4307" s="388">
        <v>0.1</v>
      </c>
      <c r="W4307" s="285">
        <f t="shared" si="210"/>
        <v>2496.3073199297291</v>
      </c>
    </row>
    <row r="4308" spans="1:23" ht="15" customHeight="1">
      <c r="A4308" s="3">
        <v>41893</v>
      </c>
      <c r="B4308" s="9">
        <v>82375</v>
      </c>
      <c r="C4308" s="5">
        <v>725</v>
      </c>
      <c r="D4308" s="5">
        <v>142325</v>
      </c>
      <c r="E4308" s="5">
        <v>225425</v>
      </c>
      <c r="F4308" s="4">
        <v>0</v>
      </c>
      <c r="G4308" s="5">
        <v>500</v>
      </c>
      <c r="H4308" s="5">
        <v>4900</v>
      </c>
      <c r="I4308" s="118">
        <f t="shared" si="211"/>
        <v>2.1736719529777088E-2</v>
      </c>
      <c r="K4308" s="22">
        <v>2112</v>
      </c>
      <c r="L4308" s="6">
        <v>2124</v>
      </c>
      <c r="M4308" s="125">
        <f t="shared" si="212"/>
        <v>12</v>
      </c>
      <c r="P4308" s="247">
        <v>13870</v>
      </c>
      <c r="Q4308" s="25">
        <f>165.55/1034.4</f>
        <v>0.16004447022428461</v>
      </c>
      <c r="U4308" s="388">
        <v>0.1</v>
      </c>
      <c r="W4308" s="285">
        <f t="shared" si="210"/>
        <v>2441.7984822119101</v>
      </c>
    </row>
    <row r="4309" spans="1:23" ht="15" customHeight="1">
      <c r="A4309" s="3">
        <v>41894</v>
      </c>
      <c r="B4309" s="9">
        <v>82375</v>
      </c>
      <c r="C4309" s="5">
        <v>725</v>
      </c>
      <c r="D4309" s="5">
        <v>142800</v>
      </c>
      <c r="E4309" s="5">
        <v>225900</v>
      </c>
      <c r="F4309" s="4">
        <v>475</v>
      </c>
      <c r="G4309" s="5">
        <v>0</v>
      </c>
      <c r="H4309" s="5">
        <v>4975</v>
      </c>
      <c r="I4309" s="118">
        <f t="shared" si="211"/>
        <v>2.2023019034971225E-2</v>
      </c>
      <c r="K4309" s="22">
        <v>2115</v>
      </c>
      <c r="L4309" s="6">
        <v>2124</v>
      </c>
      <c r="M4309" s="125">
        <f t="shared" si="212"/>
        <v>9</v>
      </c>
      <c r="P4309" s="247">
        <v>13870</v>
      </c>
      <c r="Q4309" s="25">
        <f>169.02/1038</f>
        <v>0.16283236994219655</v>
      </c>
      <c r="U4309" s="388">
        <v>0.1</v>
      </c>
      <c r="W4309" s="285">
        <f t="shared" si="210"/>
        <v>2484.3334682080931</v>
      </c>
    </row>
    <row r="4310" spans="1:23" ht="15" customHeight="1">
      <c r="A4310" s="3">
        <v>41897</v>
      </c>
      <c r="B4310" s="9">
        <v>82375</v>
      </c>
      <c r="C4310" s="5">
        <v>725</v>
      </c>
      <c r="D4310" s="5">
        <v>142775</v>
      </c>
      <c r="E4310" s="5">
        <v>225875</v>
      </c>
      <c r="F4310" s="4">
        <v>0</v>
      </c>
      <c r="G4310" s="5">
        <v>25</v>
      </c>
      <c r="H4310" s="5">
        <v>4950</v>
      </c>
      <c r="I4310" s="118">
        <f t="shared" si="211"/>
        <v>2.1914775871610403E-2</v>
      </c>
      <c r="K4310" s="22">
        <v>2103</v>
      </c>
      <c r="L4310" s="6">
        <v>2115</v>
      </c>
      <c r="M4310" s="125">
        <f t="shared" si="212"/>
        <v>12</v>
      </c>
      <c r="P4310" s="247">
        <v>13870</v>
      </c>
      <c r="Q4310" s="25">
        <f>168.46/1038.9</f>
        <v>0.16215227644624122</v>
      </c>
      <c r="U4310" s="388">
        <v>0.1</v>
      </c>
      <c r="W4310" s="285">
        <f t="shared" si="210"/>
        <v>2473.9572817403023</v>
      </c>
    </row>
    <row r="4311" spans="1:23" ht="15" customHeight="1">
      <c r="A4311" s="3">
        <v>41898</v>
      </c>
      <c r="B4311" s="9">
        <v>82250</v>
      </c>
      <c r="C4311" s="5">
        <v>725</v>
      </c>
      <c r="D4311" s="5">
        <v>142700</v>
      </c>
      <c r="E4311" s="5">
        <v>225675</v>
      </c>
      <c r="F4311" s="4">
        <v>0</v>
      </c>
      <c r="G4311" s="5">
        <v>200</v>
      </c>
      <c r="H4311" s="5">
        <v>4900</v>
      </c>
      <c r="I4311" s="118">
        <f t="shared" si="211"/>
        <v>2.1712639858203167E-2</v>
      </c>
      <c r="K4311" s="22">
        <v>2091</v>
      </c>
      <c r="L4311" s="6">
        <v>2099</v>
      </c>
      <c r="M4311" s="125">
        <f t="shared" si="212"/>
        <v>8</v>
      </c>
      <c r="P4311" s="247">
        <v>13840</v>
      </c>
      <c r="Q4311" s="25">
        <f>168.15/1035.2</f>
        <v>0.16243238021638332</v>
      </c>
      <c r="U4311" s="388">
        <v>0.1</v>
      </c>
      <c r="W4311" s="285">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18">
        <f t="shared" si="211"/>
        <v>2.1604254376246398E-2</v>
      </c>
      <c r="K4312" s="22">
        <v>2092</v>
      </c>
      <c r="L4312" s="6">
        <v>2107</v>
      </c>
      <c r="M4312" s="125">
        <f t="shared" si="212"/>
        <v>15</v>
      </c>
      <c r="P4312" s="247">
        <v>13870</v>
      </c>
      <c r="Q4312" s="25">
        <f>168.15/1035.2</f>
        <v>0.16243238021638332</v>
      </c>
      <c r="U4312" s="388">
        <v>0.1</v>
      </c>
      <c r="W4312" s="285">
        <f t="shared" si="213"/>
        <v>2478.2308249613602</v>
      </c>
    </row>
    <row r="4313" spans="1:23" ht="15" customHeight="1">
      <c r="A4313" s="3">
        <v>41900</v>
      </c>
      <c r="B4313" s="9">
        <v>82075</v>
      </c>
      <c r="C4313" s="5">
        <v>725</v>
      </c>
      <c r="D4313" s="5">
        <v>142675</v>
      </c>
      <c r="E4313" s="5">
        <v>225475</v>
      </c>
      <c r="F4313" s="4">
        <v>0</v>
      </c>
      <c r="G4313" s="5">
        <v>175</v>
      </c>
      <c r="H4313" s="5">
        <v>4700</v>
      </c>
      <c r="I4313" s="118">
        <f t="shared" si="211"/>
        <v>2.0844883024725581E-2</v>
      </c>
      <c r="K4313" s="22">
        <v>2078</v>
      </c>
      <c r="L4313" s="6">
        <v>2092</v>
      </c>
      <c r="M4313" s="125">
        <f t="shared" si="212"/>
        <v>14</v>
      </c>
      <c r="P4313" s="247">
        <v>13840</v>
      </c>
      <c r="Q4313" s="25">
        <f>169.44/1041.5</f>
        <v>0.16268843014882381</v>
      </c>
      <c r="U4313" s="388">
        <v>0.1</v>
      </c>
      <c r="W4313" s="285">
        <f t="shared" si="213"/>
        <v>2476.7686605856939</v>
      </c>
    </row>
    <row r="4314" spans="1:23" ht="15" customHeight="1">
      <c r="A4314" s="3">
        <v>41901</v>
      </c>
      <c r="B4314" s="9">
        <v>81875</v>
      </c>
      <c r="C4314" s="5">
        <v>725</v>
      </c>
      <c r="D4314" s="5">
        <v>142675</v>
      </c>
      <c r="E4314" s="5">
        <v>225275</v>
      </c>
      <c r="F4314" s="4">
        <v>0</v>
      </c>
      <c r="G4314" s="5">
        <v>200</v>
      </c>
      <c r="H4314" s="5">
        <v>4575</v>
      </c>
      <c r="I4314" s="118">
        <f t="shared" si="211"/>
        <v>2.0308511818888025E-2</v>
      </c>
      <c r="K4314" s="22">
        <v>2068</v>
      </c>
      <c r="L4314" s="6">
        <v>2078</v>
      </c>
      <c r="M4314" s="125">
        <f t="shared" si="212"/>
        <v>10</v>
      </c>
      <c r="P4314" s="247">
        <v>13790</v>
      </c>
      <c r="Q4314" s="25">
        <f>170.04/1044.9</f>
        <v>0.16273327591157047</v>
      </c>
      <c r="U4314" s="388">
        <v>0.1</v>
      </c>
      <c r="W4314" s="285">
        <f t="shared" si="213"/>
        <v>2468.5010623026128</v>
      </c>
    </row>
    <row r="4315" spans="1:23" ht="15" customHeight="1">
      <c r="A4315" s="3">
        <v>41904</v>
      </c>
      <c r="B4315" s="9">
        <v>81875</v>
      </c>
      <c r="C4315" s="5">
        <v>725</v>
      </c>
      <c r="D4315" s="5">
        <v>142675</v>
      </c>
      <c r="E4315" s="5">
        <v>225275</v>
      </c>
      <c r="F4315" s="4">
        <v>0</v>
      </c>
      <c r="G4315" s="5">
        <v>0</v>
      </c>
      <c r="H4315" s="5">
        <v>4575</v>
      </c>
      <c r="I4315" s="118">
        <f t="shared" si="211"/>
        <v>2.0308511818888025E-2</v>
      </c>
      <c r="K4315" s="22">
        <v>2050.5</v>
      </c>
      <c r="L4315" s="6">
        <v>2060</v>
      </c>
      <c r="M4315" s="125">
        <f t="shared" si="212"/>
        <v>9.5</v>
      </c>
      <c r="P4315" s="247">
        <v>13690</v>
      </c>
      <c r="Q4315" s="25">
        <f>170.04/1044.9</f>
        <v>0.16273327591157047</v>
      </c>
      <c r="U4315" s="388">
        <v>0.1</v>
      </c>
      <c r="W4315" s="285">
        <f t="shared" si="213"/>
        <v>2450.6004019523402</v>
      </c>
    </row>
    <row r="4316" spans="1:23" ht="15" customHeight="1">
      <c r="A4316" s="3">
        <v>41905</v>
      </c>
      <c r="B4316" s="9">
        <v>81550</v>
      </c>
      <c r="C4316" s="5">
        <v>725</v>
      </c>
      <c r="D4316" s="5">
        <v>142975</v>
      </c>
      <c r="E4316" s="5">
        <v>225250</v>
      </c>
      <c r="F4316" s="4">
        <v>300</v>
      </c>
      <c r="G4316" s="5">
        <v>325</v>
      </c>
      <c r="H4316" s="5">
        <v>4275</v>
      </c>
      <c r="I4316" s="118">
        <f t="shared" si="211"/>
        <v>1.8978912319644839E-2</v>
      </c>
      <c r="K4316" s="22">
        <v>2074</v>
      </c>
      <c r="L4316" s="6">
        <v>2085</v>
      </c>
      <c r="M4316" s="125">
        <f t="shared" ref="M4316:M4385" si="214">L4316-K4316</f>
        <v>11</v>
      </c>
      <c r="P4316" s="247">
        <v>13690</v>
      </c>
      <c r="Q4316" s="25">
        <f>169.66/1042.1</f>
        <v>0.16280587275693312</v>
      </c>
      <c r="U4316" s="388">
        <v>0.1</v>
      </c>
      <c r="W4316" s="285">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18">
        <f t="shared" si="211"/>
        <v>2.2185246810870772E-2</v>
      </c>
      <c r="K4317" s="22">
        <v>2058</v>
      </c>
      <c r="L4317" s="6">
        <v>2068.5</v>
      </c>
      <c r="M4317" s="125">
        <f t="shared" si="214"/>
        <v>10.5</v>
      </c>
      <c r="P4317" s="247">
        <v>13690</v>
      </c>
      <c r="Q4317" s="25">
        <f>169.36/1039.8</f>
        <v>0.1628774764377765</v>
      </c>
      <c r="U4317" s="388">
        <v>0.1</v>
      </c>
      <c r="W4317" s="285">
        <f t="shared" si="215"/>
        <v>2452.7719176764763</v>
      </c>
    </row>
    <row r="4318" spans="1:23" ht="15" customHeight="1">
      <c r="A4318" s="3">
        <v>41907</v>
      </c>
      <c r="B4318" s="9">
        <v>81550</v>
      </c>
      <c r="C4318" s="5">
        <v>725</v>
      </c>
      <c r="D4318" s="5">
        <v>143200</v>
      </c>
      <c r="E4318" s="5">
        <v>225475</v>
      </c>
      <c r="F4318" s="4">
        <v>100</v>
      </c>
      <c r="G4318" s="5">
        <v>0</v>
      </c>
      <c r="H4318" s="5">
        <v>5000</v>
      </c>
      <c r="I4318" s="118">
        <f t="shared" si="211"/>
        <v>2.2175407473112318E-2</v>
      </c>
      <c r="K4318" s="22">
        <v>2074</v>
      </c>
      <c r="L4318" s="6">
        <v>2089</v>
      </c>
      <c r="M4318" s="125">
        <f t="shared" si="214"/>
        <v>15</v>
      </c>
      <c r="P4318" s="247">
        <v>13690</v>
      </c>
      <c r="Q4318" s="25">
        <f>169.59/1042.6</f>
        <v>0.16266065605217728</v>
      </c>
      <c r="U4318" s="388">
        <v>0.1</v>
      </c>
      <c r="W4318" s="285">
        <f t="shared" si="215"/>
        <v>2449.5068194897376</v>
      </c>
    </row>
    <row r="4319" spans="1:23" ht="15" customHeight="1">
      <c r="A4319" s="3">
        <v>41908</v>
      </c>
      <c r="B4319" s="9">
        <v>81500</v>
      </c>
      <c r="C4319" s="5">
        <v>725</v>
      </c>
      <c r="D4319" s="5">
        <v>143200</v>
      </c>
      <c r="E4319" s="5">
        <v>225425</v>
      </c>
      <c r="F4319" s="4">
        <v>0</v>
      </c>
      <c r="G4319" s="5">
        <v>50</v>
      </c>
      <c r="H4319" s="5">
        <v>4950</v>
      </c>
      <c r="I4319" s="118">
        <f t="shared" si="211"/>
        <v>2.1958522790285016E-2</v>
      </c>
      <c r="K4319" s="22">
        <v>2075</v>
      </c>
      <c r="L4319" s="6">
        <v>2087</v>
      </c>
      <c r="M4319" s="125">
        <f t="shared" si="214"/>
        <v>12</v>
      </c>
      <c r="P4319" s="247">
        <v>13690</v>
      </c>
      <c r="Q4319" s="25">
        <f>169.55/1042.7</f>
        <v>0.16260669415939388</v>
      </c>
      <c r="U4319" s="388">
        <v>0.1</v>
      </c>
      <c r="W4319" s="285">
        <f t="shared" si="215"/>
        <v>2448.6942073463129</v>
      </c>
    </row>
    <row r="4320" spans="1:23" ht="15" customHeight="1">
      <c r="A4320" s="3">
        <v>41911</v>
      </c>
      <c r="B4320" s="9">
        <v>81500</v>
      </c>
      <c r="C4320" s="5">
        <v>725</v>
      </c>
      <c r="D4320" s="5">
        <v>143075</v>
      </c>
      <c r="E4320" s="5">
        <v>225300</v>
      </c>
      <c r="F4320" s="4">
        <v>0</v>
      </c>
      <c r="G4320" s="5">
        <v>125</v>
      </c>
      <c r="H4320" s="5">
        <v>4825</v>
      </c>
      <c r="I4320" s="118">
        <f t="shared" si="211"/>
        <v>2.1415889924545052E-2</v>
      </c>
      <c r="K4320" s="22">
        <v>2057</v>
      </c>
      <c r="L4320" s="6">
        <v>2063</v>
      </c>
      <c r="M4320" s="125">
        <f t="shared" si="214"/>
        <v>6</v>
      </c>
      <c r="P4320" s="247">
        <v>13690</v>
      </c>
      <c r="Q4320" s="25">
        <f>169.55/1042.7</f>
        <v>0.16260669415939388</v>
      </c>
      <c r="U4320" s="388">
        <v>0.1</v>
      </c>
      <c r="W4320" s="285">
        <f t="shared" si="215"/>
        <v>2448.6942073463129</v>
      </c>
    </row>
    <row r="4321" spans="1:23" ht="15" customHeight="1">
      <c r="A4321" s="3">
        <v>41912</v>
      </c>
      <c r="B4321" s="9">
        <v>81500</v>
      </c>
      <c r="C4321" s="5">
        <v>725</v>
      </c>
      <c r="D4321" s="5">
        <v>143050</v>
      </c>
      <c r="E4321" s="5">
        <v>225275</v>
      </c>
      <c r="F4321" s="4">
        <v>0</v>
      </c>
      <c r="G4321" s="5">
        <v>25</v>
      </c>
      <c r="H4321" s="5">
        <v>4800</v>
      </c>
      <c r="I4321" s="118">
        <f t="shared" si="211"/>
        <v>2.1307291088669404E-2</v>
      </c>
      <c r="K4321" s="22">
        <v>2083</v>
      </c>
      <c r="L4321" s="6">
        <v>2093</v>
      </c>
      <c r="M4321" s="125">
        <f t="shared" si="214"/>
        <v>10</v>
      </c>
      <c r="N4321" s="235">
        <f>AVERAGE(K4300:K4321)</f>
        <v>2122.25</v>
      </c>
      <c r="O4321" s="230">
        <f>AVERAGE(K4120:K4321)</f>
        <v>2128.431216931217</v>
      </c>
      <c r="P4321" s="247">
        <v>13760</v>
      </c>
      <c r="Q4321" s="25">
        <f>170.7/1054.7</f>
        <v>0.16184697070256943</v>
      </c>
      <c r="U4321" s="388">
        <v>0.1</v>
      </c>
      <c r="W4321" s="285">
        <f t="shared" si="215"/>
        <v>2449.7157485540911</v>
      </c>
    </row>
    <row r="4322" spans="1:23" ht="15" customHeight="1" thickBot="1">
      <c r="A4322" s="216"/>
      <c r="B4322" s="1330"/>
      <c r="C4322" s="1330"/>
      <c r="D4322" s="1330"/>
      <c r="E4322" s="216"/>
      <c r="F4322" s="407"/>
      <c r="G4322" s="164"/>
      <c r="H4322" s="164"/>
      <c r="I4322" s="166"/>
      <c r="J4322" s="166"/>
      <c r="K4322" s="166"/>
      <c r="L4322" s="167"/>
      <c r="M4322" s="168"/>
      <c r="N4322" s="169"/>
      <c r="O4322" s="183"/>
      <c r="P4322" s="180"/>
      <c r="Q4322" s="154"/>
      <c r="R4322" s="248"/>
      <c r="S4322" s="249"/>
      <c r="T4322" s="249"/>
      <c r="U4322" s="152"/>
      <c r="V4322" s="153">
        <f>AVERAGE(P4300:P4321)</f>
        <v>13905.714285714286</v>
      </c>
      <c r="W4322" s="295"/>
    </row>
    <row r="4323" spans="1:23" ht="15" customHeight="1">
      <c r="A4323" s="3">
        <v>41913</v>
      </c>
      <c r="B4323" s="9">
        <v>81800</v>
      </c>
      <c r="C4323" s="5">
        <v>725</v>
      </c>
      <c r="D4323" s="5">
        <v>143000</v>
      </c>
      <c r="E4323" s="5">
        <v>225525</v>
      </c>
      <c r="F4323" s="4">
        <v>300</v>
      </c>
      <c r="G4323" s="5">
        <v>50</v>
      </c>
      <c r="H4323" s="5">
        <v>4750</v>
      </c>
      <c r="I4323" s="118">
        <f t="shared" ref="I4323:I4345" si="216">H4323/E4323</f>
        <v>2.1061966522558474E-2</v>
      </c>
      <c r="K4323" s="22">
        <v>2071</v>
      </c>
      <c r="L4323" s="6">
        <v>2087</v>
      </c>
      <c r="M4323" s="125">
        <f t="shared" si="214"/>
        <v>16</v>
      </c>
      <c r="P4323" s="1355" t="s">
        <v>49</v>
      </c>
      <c r="Q4323" s="25">
        <f>172.12/1062.1</f>
        <v>0.16205630354957162</v>
      </c>
      <c r="U4323" s="388">
        <v>0.1</v>
      </c>
    </row>
    <row r="4324" spans="1:23" ht="15" customHeight="1">
      <c r="A4324" s="3">
        <v>41914</v>
      </c>
      <c r="B4324" s="9">
        <v>81800</v>
      </c>
      <c r="C4324" s="5">
        <v>725</v>
      </c>
      <c r="D4324" s="5">
        <v>142900</v>
      </c>
      <c r="E4324" s="5">
        <v>225425</v>
      </c>
      <c r="F4324" s="4">
        <v>0</v>
      </c>
      <c r="G4324" s="5">
        <v>100</v>
      </c>
      <c r="H4324" s="5">
        <v>4750</v>
      </c>
      <c r="I4324" s="118">
        <f t="shared" si="216"/>
        <v>2.1071309748253299E-2</v>
      </c>
      <c r="K4324" s="22">
        <v>2078</v>
      </c>
      <c r="L4324" s="6">
        <v>2089</v>
      </c>
      <c r="M4324" s="125">
        <f t="shared" si="214"/>
        <v>11</v>
      </c>
      <c r="P4324" s="1356"/>
      <c r="Q4324" s="309" t="s">
        <v>50</v>
      </c>
      <c r="U4324" s="388">
        <v>0.1</v>
      </c>
    </row>
    <row r="4325" spans="1:23" ht="15" customHeight="1">
      <c r="A4325" s="3">
        <v>41915</v>
      </c>
      <c r="B4325" s="9">
        <v>81800</v>
      </c>
      <c r="C4325" s="5">
        <v>725</v>
      </c>
      <c r="D4325" s="5">
        <v>142800</v>
      </c>
      <c r="E4325" s="5">
        <v>225325</v>
      </c>
      <c r="F4325" s="4">
        <v>0</v>
      </c>
      <c r="G4325" s="5">
        <v>100</v>
      </c>
      <c r="H4325" s="5">
        <v>4850</v>
      </c>
      <c r="I4325" s="118">
        <f t="shared" si="216"/>
        <v>2.1524464662154665E-2</v>
      </c>
      <c r="K4325" s="22">
        <v>2080</v>
      </c>
      <c r="L4325" s="6">
        <v>2088</v>
      </c>
      <c r="M4325" s="125">
        <f t="shared" si="214"/>
        <v>8</v>
      </c>
      <c r="P4325" s="1356"/>
      <c r="Q4325" s="25">
        <f>172.04/1061.1</f>
        <v>0.16213363490717181</v>
      </c>
      <c r="U4325" s="388">
        <v>0.1</v>
      </c>
    </row>
    <row r="4326" spans="1:23" ht="15" customHeight="1">
      <c r="A4326" s="3">
        <v>41918</v>
      </c>
      <c r="B4326" s="9">
        <v>81800</v>
      </c>
      <c r="C4326" s="5">
        <v>725</v>
      </c>
      <c r="D4326" s="5">
        <v>142725</v>
      </c>
      <c r="E4326" s="5">
        <v>225250</v>
      </c>
      <c r="F4326" s="4">
        <v>0</v>
      </c>
      <c r="G4326" s="5">
        <v>75</v>
      </c>
      <c r="H4326" s="5">
        <v>4775</v>
      </c>
      <c r="I4326" s="118">
        <f t="shared" si="216"/>
        <v>2.1198668146503886E-2</v>
      </c>
      <c r="K4326" s="22">
        <v>2085</v>
      </c>
      <c r="L4326" s="6">
        <v>2095</v>
      </c>
      <c r="M4326" s="125">
        <f t="shared" si="214"/>
        <v>10</v>
      </c>
      <c r="P4326" s="1356"/>
      <c r="Q4326" s="25">
        <f>173.88/1069.7</f>
        <v>0.16255024773300925</v>
      </c>
      <c r="U4326" s="388">
        <v>0.1</v>
      </c>
    </row>
    <row r="4327" spans="1:23" ht="15" customHeight="1">
      <c r="A4327" s="3">
        <v>41919</v>
      </c>
      <c r="B4327" s="9">
        <v>81800</v>
      </c>
      <c r="C4327" s="5">
        <v>725</v>
      </c>
      <c r="D4327" s="5">
        <v>142700</v>
      </c>
      <c r="E4327" s="5">
        <v>225225</v>
      </c>
      <c r="F4327" s="4">
        <v>0</v>
      </c>
      <c r="G4327" s="5">
        <v>25</v>
      </c>
      <c r="H4327" s="5">
        <v>4750</v>
      </c>
      <c r="I4327" s="118">
        <f t="shared" si="216"/>
        <v>2.1090021090021092E-2</v>
      </c>
      <c r="K4327" s="22">
        <v>2095</v>
      </c>
      <c r="L4327" s="6">
        <v>2106</v>
      </c>
      <c r="M4327" s="125">
        <f t="shared" si="214"/>
        <v>11</v>
      </c>
      <c r="P4327" s="1356"/>
      <c r="Q4327" s="25">
        <f>173.49/1066.5</f>
        <v>0.16267229254571028</v>
      </c>
      <c r="U4327" s="388">
        <v>0.1</v>
      </c>
    </row>
    <row r="4328" spans="1:23" ht="15" customHeight="1">
      <c r="A4328" s="3">
        <v>41920</v>
      </c>
      <c r="B4328" s="9">
        <v>81800</v>
      </c>
      <c r="C4328" s="5">
        <v>725</v>
      </c>
      <c r="D4328" s="5">
        <v>142700</v>
      </c>
      <c r="E4328" s="5">
        <v>225225</v>
      </c>
      <c r="F4328" s="4">
        <v>0</v>
      </c>
      <c r="G4328" s="5">
        <v>0</v>
      </c>
      <c r="H4328" s="5">
        <v>6075</v>
      </c>
      <c r="I4328" s="118">
        <f t="shared" si="216"/>
        <v>2.6973026973026972E-2</v>
      </c>
      <c r="K4328" s="22">
        <v>2095</v>
      </c>
      <c r="L4328" s="6">
        <v>2102</v>
      </c>
      <c r="M4328" s="125">
        <f t="shared" si="214"/>
        <v>7</v>
      </c>
      <c r="P4328" s="1356"/>
      <c r="Q4328" s="304" t="s">
        <v>49</v>
      </c>
      <c r="U4328" s="388">
        <v>0.1</v>
      </c>
    </row>
    <row r="4329" spans="1:23" ht="15" customHeight="1">
      <c r="A4329" s="3">
        <v>41921</v>
      </c>
      <c r="B4329" s="9">
        <v>81800</v>
      </c>
      <c r="C4329" s="5">
        <v>725</v>
      </c>
      <c r="D4329" s="5">
        <v>142675</v>
      </c>
      <c r="E4329" s="5">
        <v>225200</v>
      </c>
      <c r="F4329" s="4">
        <v>0</v>
      </c>
      <c r="G4329" s="5">
        <v>25</v>
      </c>
      <c r="H4329" s="5">
        <v>6050</v>
      </c>
      <c r="I4329" s="118">
        <f t="shared" si="216"/>
        <v>2.6865008880994672E-2</v>
      </c>
      <c r="K4329" s="22">
        <v>2082</v>
      </c>
      <c r="L4329" s="6">
        <v>2095.5</v>
      </c>
      <c r="M4329" s="125">
        <f t="shared" si="214"/>
        <v>13.5</v>
      </c>
      <c r="P4329" s="247">
        <v>13760</v>
      </c>
      <c r="Q4329" s="25">
        <f>174.66/1072.3</f>
        <v>0.16288352140259257</v>
      </c>
      <c r="U4329" s="388">
        <v>0.1</v>
      </c>
      <c r="W4329" s="285">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18">
        <f t="shared" si="216"/>
        <v>2.5783507446099134E-2</v>
      </c>
      <c r="K4330" s="22">
        <v>2057</v>
      </c>
      <c r="L4330" s="6">
        <v>2067</v>
      </c>
      <c r="M4330" s="125">
        <f t="shared" si="214"/>
        <v>10</v>
      </c>
      <c r="P4330" s="247">
        <v>13760</v>
      </c>
      <c r="Q4330" s="25">
        <f>174.4/1071</f>
        <v>0.16283846872082167</v>
      </c>
      <c r="U4330" s="388">
        <v>0.1</v>
      </c>
      <c r="W4330" s="285">
        <f t="shared" si="217"/>
        <v>2464.723062558357</v>
      </c>
    </row>
    <row r="4331" spans="1:23" ht="15" customHeight="1">
      <c r="A4331" s="3">
        <v>41925</v>
      </c>
      <c r="B4331" s="9">
        <v>82425</v>
      </c>
      <c r="C4331" s="5">
        <v>725</v>
      </c>
      <c r="D4331" s="5">
        <v>142500</v>
      </c>
      <c r="E4331" s="5">
        <v>225650</v>
      </c>
      <c r="F4331" s="4">
        <v>875</v>
      </c>
      <c r="G4331" s="5">
        <v>175</v>
      </c>
      <c r="H4331" s="5">
        <v>5625</v>
      </c>
      <c r="I4331" s="118">
        <f t="shared" si="216"/>
        <v>2.4927985818745845E-2</v>
      </c>
      <c r="K4331" s="22">
        <v>2072</v>
      </c>
      <c r="L4331" s="6">
        <v>2061.25</v>
      </c>
      <c r="M4331" s="125">
        <f t="shared" si="214"/>
        <v>-10.75</v>
      </c>
      <c r="P4331" s="247">
        <v>13760</v>
      </c>
      <c r="Q4331" s="25">
        <f>174.2/1069.1</f>
        <v>0.16294079131980171</v>
      </c>
      <c r="U4331" s="388">
        <v>0.1</v>
      </c>
      <c r="W4331" s="285">
        <f t="shared" si="217"/>
        <v>2466.2718174165193</v>
      </c>
    </row>
    <row r="4332" spans="1:23" ht="15" customHeight="1">
      <c r="A4332" s="3">
        <v>41926</v>
      </c>
      <c r="B4332" s="9">
        <v>82375</v>
      </c>
      <c r="C4332" s="5">
        <v>725</v>
      </c>
      <c r="D4332" s="5">
        <v>142500</v>
      </c>
      <c r="E4332" s="5">
        <v>225600</v>
      </c>
      <c r="F4332" s="4">
        <v>0</v>
      </c>
      <c r="G4332" s="5">
        <v>50</v>
      </c>
      <c r="H4332" s="5">
        <v>5575</v>
      </c>
      <c r="I4332" s="118">
        <f t="shared" si="216"/>
        <v>2.4711879432624113E-2</v>
      </c>
      <c r="K4332" s="22">
        <v>2053.5</v>
      </c>
      <c r="L4332" s="6">
        <v>2065</v>
      </c>
      <c r="M4332" s="125">
        <f t="shared" si="214"/>
        <v>11.5</v>
      </c>
      <c r="P4332" s="247">
        <v>13760</v>
      </c>
      <c r="Q4332" s="25">
        <f>173.19/1063.5</f>
        <v>0.16284908321579689</v>
      </c>
      <c r="U4332" s="388">
        <v>0.1</v>
      </c>
      <c r="W4332" s="285">
        <f t="shared" si="217"/>
        <v>2464.8837235543019</v>
      </c>
    </row>
    <row r="4333" spans="1:23" ht="15" customHeight="1">
      <c r="A4333" s="3">
        <v>41927</v>
      </c>
      <c r="B4333" s="9">
        <v>82375</v>
      </c>
      <c r="C4333" s="5">
        <v>725</v>
      </c>
      <c r="D4333" s="5">
        <v>142425</v>
      </c>
      <c r="E4333" s="5">
        <v>225525</v>
      </c>
      <c r="F4333" s="4">
        <v>0</v>
      </c>
      <c r="G4333" s="5">
        <v>75</v>
      </c>
      <c r="H4333" s="5">
        <v>5500</v>
      </c>
      <c r="I4333" s="118">
        <f t="shared" si="216"/>
        <v>2.4387540184015077E-2</v>
      </c>
      <c r="K4333" s="22">
        <v>2042.5</v>
      </c>
      <c r="L4333" s="6">
        <v>2055</v>
      </c>
      <c r="M4333" s="125">
        <f t="shared" si="214"/>
        <v>12.5</v>
      </c>
      <c r="P4333" s="247">
        <v>13760</v>
      </c>
      <c r="Q4333" s="25">
        <f>173.69/1065.8</f>
        <v>0.16296678551322952</v>
      </c>
      <c r="U4333" s="388">
        <v>0.1</v>
      </c>
      <c r="W4333" s="285">
        <f t="shared" si="217"/>
        <v>2466.6652655282423</v>
      </c>
    </row>
    <row r="4334" spans="1:23" ht="15" customHeight="1">
      <c r="A4334" s="3">
        <v>41928</v>
      </c>
      <c r="B4334" s="9">
        <v>82400</v>
      </c>
      <c r="C4334" s="5">
        <v>725</v>
      </c>
      <c r="D4334" s="5">
        <v>142425</v>
      </c>
      <c r="E4334" s="5">
        <v>225550</v>
      </c>
      <c r="F4334" s="4">
        <v>500</v>
      </c>
      <c r="G4334" s="5">
        <v>475</v>
      </c>
      <c r="H4334" s="5">
        <v>7775</v>
      </c>
      <c r="I4334" s="118">
        <f t="shared" si="216"/>
        <v>3.4471292396364442E-2</v>
      </c>
      <c r="K4334" s="22">
        <v>1956</v>
      </c>
      <c r="L4334" s="6">
        <v>1965</v>
      </c>
      <c r="M4334" s="125">
        <f t="shared" si="214"/>
        <v>9</v>
      </c>
      <c r="P4334" s="247">
        <v>13660</v>
      </c>
      <c r="Q4334" s="25">
        <f>172.55/1059.9</f>
        <v>0.16279837720539672</v>
      </c>
      <c r="U4334" s="388">
        <v>0.1</v>
      </c>
      <c r="W4334" s="285">
        <f t="shared" si="217"/>
        <v>2446.2084158882913</v>
      </c>
    </row>
    <row r="4335" spans="1:23" ht="15" customHeight="1">
      <c r="A4335" s="3">
        <v>41929</v>
      </c>
      <c r="B4335" s="9">
        <v>81900</v>
      </c>
      <c r="C4335" s="5">
        <v>725</v>
      </c>
      <c r="D4335" s="5">
        <v>142425</v>
      </c>
      <c r="E4335" s="5">
        <v>225050</v>
      </c>
      <c r="F4335" s="4">
        <v>0</v>
      </c>
      <c r="G4335" s="5">
        <v>500</v>
      </c>
      <c r="H4335" s="5">
        <v>14650</v>
      </c>
      <c r="I4335" s="118">
        <f t="shared" si="216"/>
        <v>6.509664518995778E-2</v>
      </c>
      <c r="K4335" s="22">
        <v>1998</v>
      </c>
      <c r="L4335" s="6">
        <v>2010.5</v>
      </c>
      <c r="M4335" s="125">
        <f t="shared" si="214"/>
        <v>12.5</v>
      </c>
      <c r="P4335" s="247">
        <v>13620</v>
      </c>
      <c r="Q4335" s="25">
        <f>173.11/1063.2</f>
        <v>0.16281978931527466</v>
      </c>
      <c r="U4335" s="388">
        <v>0.1</v>
      </c>
      <c r="W4335" s="285">
        <f t="shared" si="217"/>
        <v>2439.366083521445</v>
      </c>
    </row>
    <row r="4336" spans="1:23" ht="15" customHeight="1">
      <c r="A4336" s="3">
        <v>41932</v>
      </c>
      <c r="B4336" s="9">
        <v>81550</v>
      </c>
      <c r="C4336" s="5">
        <v>725</v>
      </c>
      <c r="D4336" s="5">
        <v>142425</v>
      </c>
      <c r="E4336" s="5">
        <v>224700</v>
      </c>
      <c r="F4336" s="4">
        <v>0</v>
      </c>
      <c r="G4336" s="5">
        <v>350</v>
      </c>
      <c r="H4336" s="5">
        <v>14300</v>
      </c>
      <c r="I4336" s="118">
        <f t="shared" si="216"/>
        <v>6.3640409434801953E-2</v>
      </c>
      <c r="K4336" s="22">
        <v>2012</v>
      </c>
      <c r="L4336" s="6">
        <v>2021</v>
      </c>
      <c r="M4336" s="125">
        <f t="shared" si="214"/>
        <v>9</v>
      </c>
      <c r="P4336" s="247">
        <v>13670</v>
      </c>
      <c r="Q4336" s="25">
        <f>172.91/1060.4</f>
        <v>0.16306110901546583</v>
      </c>
      <c r="U4336" s="388">
        <v>0.1</v>
      </c>
      <c r="W4336" s="285">
        <f t="shared" si="217"/>
        <v>2451.9498962655598</v>
      </c>
    </row>
    <row r="4337" spans="1:23" ht="15" customHeight="1">
      <c r="A4337" s="3">
        <v>41933</v>
      </c>
      <c r="B4337" s="9">
        <v>81550</v>
      </c>
      <c r="C4337" s="5">
        <v>725</v>
      </c>
      <c r="D4337" s="5">
        <v>142425</v>
      </c>
      <c r="E4337" s="5">
        <v>224700</v>
      </c>
      <c r="F4337" s="4">
        <v>0</v>
      </c>
      <c r="G4337" s="5">
        <v>0</v>
      </c>
      <c r="H4337" s="5">
        <v>14300</v>
      </c>
      <c r="I4337" s="118">
        <f t="shared" si="216"/>
        <v>6.3640409434801953E-2</v>
      </c>
      <c r="K4337" s="22">
        <v>1999.5</v>
      </c>
      <c r="L4337" s="6">
        <v>2011</v>
      </c>
      <c r="M4337" s="125">
        <f t="shared" si="214"/>
        <v>11.5</v>
      </c>
      <c r="P4337" s="247">
        <v>13670</v>
      </c>
      <c r="Q4337" s="25">
        <f>172.1/1054.5</f>
        <v>0.16320531057373161</v>
      </c>
      <c r="U4337" s="388">
        <v>0.1</v>
      </c>
      <c r="W4337" s="285">
        <f t="shared" si="217"/>
        <v>2454.1182550972026</v>
      </c>
    </row>
    <row r="4338" spans="1:23" ht="15" customHeight="1">
      <c r="A4338" s="3">
        <v>41934</v>
      </c>
      <c r="B4338" s="9">
        <v>81550</v>
      </c>
      <c r="C4338" s="5">
        <v>725</v>
      </c>
      <c r="D4338" s="5">
        <v>142400</v>
      </c>
      <c r="E4338" s="5">
        <v>224675</v>
      </c>
      <c r="F4338" s="4">
        <v>0</v>
      </c>
      <c r="G4338" s="5">
        <v>25</v>
      </c>
      <c r="H4338" s="5">
        <v>14500</v>
      </c>
      <c r="I4338" s="118">
        <f t="shared" si="216"/>
        <v>6.453766551685769E-2</v>
      </c>
      <c r="K4338" s="22">
        <v>2037.5</v>
      </c>
      <c r="L4338" s="6">
        <v>2053</v>
      </c>
      <c r="M4338" s="125">
        <f t="shared" si="214"/>
        <v>15.5</v>
      </c>
      <c r="P4338" s="247">
        <v>13670</v>
      </c>
      <c r="Q4338" s="25">
        <f>172.04/1053.7</f>
        <v>0.16327227863718324</v>
      </c>
      <c r="U4338" s="388">
        <v>0.1</v>
      </c>
      <c r="W4338" s="285">
        <f t="shared" si="217"/>
        <v>2455.1252538673248</v>
      </c>
    </row>
    <row r="4339" spans="1:23" ht="15" customHeight="1">
      <c r="A4339" s="3">
        <v>41935</v>
      </c>
      <c r="B4339" s="9">
        <v>81550</v>
      </c>
      <c r="C4339" s="5">
        <v>725</v>
      </c>
      <c r="D4339" s="5">
        <v>142400</v>
      </c>
      <c r="E4339" s="5">
        <v>224675</v>
      </c>
      <c r="F4339" s="4">
        <v>0</v>
      </c>
      <c r="G4339" s="5">
        <v>0</v>
      </c>
      <c r="H4339" s="5">
        <v>14500</v>
      </c>
      <c r="I4339" s="118">
        <f t="shared" si="216"/>
        <v>6.453766551685769E-2</v>
      </c>
      <c r="K4339" s="22">
        <v>2006</v>
      </c>
      <c r="L4339" s="6">
        <v>2019</v>
      </c>
      <c r="M4339" s="125">
        <f t="shared" si="214"/>
        <v>13</v>
      </c>
      <c r="P4339" s="247">
        <v>13670</v>
      </c>
      <c r="Q4339" s="25">
        <f>172.26/1055.4</f>
        <v>0.16321773735076747</v>
      </c>
      <c r="U4339" s="388">
        <v>0.1</v>
      </c>
      <c r="W4339" s="285">
        <f t="shared" si="217"/>
        <v>2454.3051165434908</v>
      </c>
    </row>
    <row r="4340" spans="1:23" ht="15" customHeight="1">
      <c r="A4340" s="3">
        <v>41936</v>
      </c>
      <c r="B4340" s="9">
        <v>81550</v>
      </c>
      <c r="C4340" s="5">
        <v>725</v>
      </c>
      <c r="D4340" s="5">
        <v>142400</v>
      </c>
      <c r="E4340" s="5">
        <v>224675</v>
      </c>
      <c r="F4340" s="4">
        <v>0</v>
      </c>
      <c r="G4340" s="5">
        <v>0</v>
      </c>
      <c r="H4340" s="5">
        <v>14500</v>
      </c>
      <c r="I4340" s="118">
        <f t="shared" si="216"/>
        <v>6.453766551685769E-2</v>
      </c>
      <c r="K4340" s="22">
        <v>2011</v>
      </c>
      <c r="L4340" s="6">
        <v>2018</v>
      </c>
      <c r="M4340" s="125">
        <f t="shared" si="214"/>
        <v>7</v>
      </c>
      <c r="P4340" s="247">
        <v>13670</v>
      </c>
      <c r="Q4340" s="25">
        <f>172.95/1059.3</f>
        <v>0.16326819597847636</v>
      </c>
      <c r="U4340" s="388">
        <v>0.1</v>
      </c>
      <c r="W4340" s="285">
        <f t="shared" si="217"/>
        <v>2455.0638629283494</v>
      </c>
    </row>
    <row r="4341" spans="1:23" ht="15" customHeight="1">
      <c r="A4341" s="3">
        <v>41939</v>
      </c>
      <c r="B4341" s="9">
        <v>81250</v>
      </c>
      <c r="C4341" s="5">
        <v>725</v>
      </c>
      <c r="D4341" s="5">
        <v>142425</v>
      </c>
      <c r="E4341" s="5">
        <v>224400</v>
      </c>
      <c r="F4341" s="4">
        <v>25</v>
      </c>
      <c r="G4341" s="5">
        <v>300</v>
      </c>
      <c r="H4341" s="5">
        <v>14200</v>
      </c>
      <c r="I4341" s="118">
        <f t="shared" si="216"/>
        <v>6.3279857397504455E-2</v>
      </c>
      <c r="K4341" s="22">
        <v>1987</v>
      </c>
      <c r="L4341" s="6">
        <v>2002</v>
      </c>
      <c r="M4341" s="125">
        <f t="shared" si="214"/>
        <v>15</v>
      </c>
      <c r="P4341" s="247">
        <v>13670</v>
      </c>
      <c r="Q4341" s="25">
        <f>171.99/1052.6</f>
        <v>0.16339540186205589</v>
      </c>
      <c r="U4341" s="388">
        <v>0.1</v>
      </c>
      <c r="W4341" s="285">
        <f t="shared" si="217"/>
        <v>2456.9766577997348</v>
      </c>
    </row>
    <row r="4342" spans="1:23" ht="15" customHeight="1">
      <c r="A4342" s="3">
        <v>41940</v>
      </c>
      <c r="B4342" s="9">
        <v>81100</v>
      </c>
      <c r="C4342" s="5">
        <v>725</v>
      </c>
      <c r="D4342" s="5">
        <v>142725</v>
      </c>
      <c r="E4342" s="5">
        <v>224550</v>
      </c>
      <c r="F4342" s="4">
        <v>300</v>
      </c>
      <c r="G4342" s="5">
        <v>150</v>
      </c>
      <c r="H4342" s="5">
        <v>14050</v>
      </c>
      <c r="I4342" s="118">
        <f t="shared" si="216"/>
        <v>6.2569583611667784E-2</v>
      </c>
      <c r="K4342" s="22">
        <v>2019</v>
      </c>
      <c r="L4342" s="6">
        <v>2030</v>
      </c>
      <c r="M4342" s="125">
        <f t="shared" si="214"/>
        <v>11</v>
      </c>
      <c r="P4342" s="247">
        <v>13670</v>
      </c>
      <c r="Q4342" s="25">
        <f>171.84/1050.6</f>
        <v>0.16356367789834383</v>
      </c>
      <c r="U4342" s="388">
        <v>0.1</v>
      </c>
      <c r="W4342" s="285">
        <f t="shared" si="217"/>
        <v>2459.5070245573966</v>
      </c>
    </row>
    <row r="4343" spans="1:23" ht="15" customHeight="1">
      <c r="A4343" s="3">
        <v>41941</v>
      </c>
      <c r="B4343" s="9">
        <v>81025</v>
      </c>
      <c r="C4343" s="5">
        <v>725</v>
      </c>
      <c r="D4343" s="5">
        <v>142725</v>
      </c>
      <c r="E4343" s="5">
        <v>224475</v>
      </c>
      <c r="F4343" s="4">
        <v>0</v>
      </c>
      <c r="G4343" s="5">
        <v>75</v>
      </c>
      <c r="H4343" s="5">
        <v>14000</v>
      </c>
      <c r="I4343" s="118">
        <f t="shared" si="216"/>
        <v>6.2367746965140886E-2</v>
      </c>
      <c r="K4343" s="22">
        <v>2020</v>
      </c>
      <c r="L4343" s="6">
        <v>2035</v>
      </c>
      <c r="M4343" s="125">
        <f t="shared" si="214"/>
        <v>15</v>
      </c>
      <c r="P4343" s="247">
        <v>13670</v>
      </c>
      <c r="Q4343" s="25">
        <f>171.15/1047</f>
        <v>0.16346704871060172</v>
      </c>
      <c r="U4343" s="388">
        <v>0.1</v>
      </c>
      <c r="W4343" s="285">
        <f>(P4343*Q4343)*(1+U4343)</f>
        <v>2458.0540114613182</v>
      </c>
    </row>
    <row r="4344" spans="1:23" ht="15" customHeight="1">
      <c r="A4344" s="3">
        <v>41942</v>
      </c>
      <c r="B4344" s="9">
        <v>82350</v>
      </c>
      <c r="C4344" s="5">
        <v>725</v>
      </c>
      <c r="D4344" s="5">
        <v>143450</v>
      </c>
      <c r="E4344" s="5">
        <v>226525</v>
      </c>
      <c r="F4344" s="4">
        <v>2050</v>
      </c>
      <c r="G4344" s="5">
        <v>0</v>
      </c>
      <c r="H4344" s="5">
        <v>14300</v>
      </c>
      <c r="I4344" s="118">
        <f t="shared" si="216"/>
        <v>6.3127690100430414E-2</v>
      </c>
      <c r="K4344" s="22">
        <v>2004</v>
      </c>
      <c r="L4344" s="6">
        <v>2017</v>
      </c>
      <c r="M4344" s="125">
        <f t="shared" si="214"/>
        <v>13</v>
      </c>
      <c r="P4344" s="247">
        <v>13670</v>
      </c>
      <c r="Q4344" s="25">
        <f>171.15/1047</f>
        <v>0.16346704871060172</v>
      </c>
      <c r="U4344" s="388">
        <v>0.1</v>
      </c>
      <c r="W4344" s="285">
        <f>(P4344*Q4344)*(1+U4344)</f>
        <v>2458.0540114613182</v>
      </c>
    </row>
    <row r="4345" spans="1:23" ht="15" customHeight="1">
      <c r="A4345" s="3">
        <v>41943</v>
      </c>
      <c r="B4345" s="9">
        <v>82350</v>
      </c>
      <c r="C4345" s="5">
        <v>725</v>
      </c>
      <c r="D4345" s="5">
        <v>143450</v>
      </c>
      <c r="E4345" s="5">
        <v>226525</v>
      </c>
      <c r="F4345" s="4">
        <v>0</v>
      </c>
      <c r="G4345" s="5">
        <v>0</v>
      </c>
      <c r="H4345" s="5">
        <v>14725</v>
      </c>
      <c r="I4345" s="118">
        <f t="shared" si="216"/>
        <v>6.5003862708310337E-2</v>
      </c>
      <c r="K4345" s="22">
        <v>2015</v>
      </c>
      <c r="L4345" s="6">
        <v>2024</v>
      </c>
      <c r="M4345" s="125">
        <f t="shared" si="214"/>
        <v>9</v>
      </c>
      <c r="N4345" s="235">
        <f>AVERAGE(K4323:K4345)</f>
        <v>2038.0869565217392</v>
      </c>
      <c r="O4345" s="230">
        <f>AVERAGE(K4120:K4345)</f>
        <v>2118.6297169811319</v>
      </c>
      <c r="P4345" s="247">
        <v>13640</v>
      </c>
      <c r="Q4345" s="25">
        <f>172.78/1058.8</f>
        <v>0.16318473743860976</v>
      </c>
      <c r="U4345" s="388">
        <v>0.1</v>
      </c>
      <c r="W4345" s="285">
        <f>(P4345*Q4345)*(1+U4345)</f>
        <v>2448.4238005289012</v>
      </c>
    </row>
    <row r="4346" spans="1:23" ht="15" customHeight="1" thickBot="1">
      <c r="A4346" s="216"/>
      <c r="B4346" s="1330"/>
      <c r="C4346" s="1330"/>
      <c r="D4346" s="1330"/>
      <c r="E4346" s="216"/>
      <c r="F4346" s="407"/>
      <c r="G4346" s="164"/>
      <c r="H4346" s="164"/>
      <c r="I4346" s="166"/>
      <c r="J4346" s="166"/>
      <c r="K4346" s="166"/>
      <c r="L4346" s="167"/>
      <c r="M4346" s="168"/>
      <c r="N4346" s="169"/>
      <c r="O4346" s="183"/>
      <c r="P4346" s="180"/>
      <c r="Q4346" s="154"/>
      <c r="R4346" s="248"/>
      <c r="S4346" s="249"/>
      <c r="T4346" s="249"/>
      <c r="U4346" s="152"/>
      <c r="V4346" s="153">
        <f>AVERAGE(P4323:P4345)</f>
        <v>13691.176470588236</v>
      </c>
      <c r="W4346" s="295"/>
    </row>
    <row r="4347" spans="1:23" ht="15" customHeight="1">
      <c r="A4347" s="3">
        <v>41946</v>
      </c>
      <c r="B4347" s="9">
        <v>82375</v>
      </c>
      <c r="C4347" s="5">
        <v>725</v>
      </c>
      <c r="D4347" s="5">
        <v>143450</v>
      </c>
      <c r="E4347" s="5">
        <v>226550</v>
      </c>
      <c r="F4347" s="4">
        <v>25</v>
      </c>
      <c r="G4347" s="5">
        <v>0</v>
      </c>
      <c r="H4347" s="5">
        <v>18525</v>
      </c>
      <c r="I4347" s="118">
        <f t="shared" ref="I4347:I4366" si="218">H4347/E4347</f>
        <v>8.1770028691238131E-2</v>
      </c>
      <c r="K4347" s="22">
        <v>2000</v>
      </c>
      <c r="L4347" s="6">
        <v>2009</v>
      </c>
      <c r="M4347" s="125">
        <f t="shared" si="214"/>
        <v>9</v>
      </c>
      <c r="P4347" s="247">
        <v>13590</v>
      </c>
      <c r="Q4347" s="25">
        <f>175.43/1075.1</f>
        <v>0.16317551855641338</v>
      </c>
      <c r="U4347" s="388">
        <v>0.1</v>
      </c>
      <c r="W4347" s="285">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18">
        <f t="shared" si="218"/>
        <v>8.1770028691238131E-2</v>
      </c>
      <c r="K4348" s="22">
        <v>2007</v>
      </c>
      <c r="L4348" s="6">
        <v>2013</v>
      </c>
      <c r="M4348" s="125">
        <f t="shared" si="214"/>
        <v>6</v>
      </c>
      <c r="P4348" s="247">
        <v>13590</v>
      </c>
      <c r="Q4348" s="25">
        <f>176.51/1079.9</f>
        <v>0.16345031947402536</v>
      </c>
      <c r="U4348" s="388">
        <v>0.1</v>
      </c>
      <c r="W4348" s="285">
        <f t="shared" si="219"/>
        <v>2443.4188258172053</v>
      </c>
    </row>
    <row r="4349" spans="1:23" ht="15" customHeight="1">
      <c r="A4349" s="3">
        <v>41948</v>
      </c>
      <c r="B4349" s="9">
        <v>82375</v>
      </c>
      <c r="C4349" s="5">
        <v>725</v>
      </c>
      <c r="D4349" s="5">
        <v>141575</v>
      </c>
      <c r="E4349" s="5">
        <v>224675</v>
      </c>
      <c r="F4349" s="4">
        <v>0</v>
      </c>
      <c r="G4349" s="5">
        <v>1875</v>
      </c>
      <c r="H4349" s="5">
        <v>16650</v>
      </c>
      <c r="I4349" s="118">
        <f t="shared" si="218"/>
        <v>7.4107043507288306E-2</v>
      </c>
      <c r="K4349" s="22">
        <v>1975</v>
      </c>
      <c r="L4349" s="6">
        <v>1980</v>
      </c>
      <c r="M4349" s="125">
        <f t="shared" si="214"/>
        <v>5</v>
      </c>
      <c r="P4349" s="247">
        <v>13540</v>
      </c>
      <c r="Q4349" s="25">
        <f>176.21/1078.7</f>
        <v>0.16335403726708075</v>
      </c>
      <c r="U4349" s="388">
        <v>0.1</v>
      </c>
      <c r="W4349" s="285">
        <f t="shared" si="219"/>
        <v>2432.9950310559011</v>
      </c>
    </row>
    <row r="4350" spans="1:23" ht="15" customHeight="1">
      <c r="A4350" s="3">
        <v>41949</v>
      </c>
      <c r="B4350" s="9">
        <v>82375</v>
      </c>
      <c r="C4350" s="5">
        <v>725</v>
      </c>
      <c r="D4350" s="5">
        <v>139400</v>
      </c>
      <c r="E4350" s="5">
        <v>222500</v>
      </c>
      <c r="F4350" s="4">
        <v>0</v>
      </c>
      <c r="G4350" s="5">
        <v>2175</v>
      </c>
      <c r="H4350" s="5">
        <v>15450</v>
      </c>
      <c r="I4350" s="118">
        <f t="shared" si="218"/>
        <v>6.9438202247191008E-2</v>
      </c>
      <c r="K4350" s="22">
        <v>1979.5</v>
      </c>
      <c r="L4350" s="6">
        <v>1988</v>
      </c>
      <c r="M4350" s="125">
        <f t="shared" si="214"/>
        <v>8.5</v>
      </c>
      <c r="P4350" s="247">
        <v>13540</v>
      </c>
      <c r="Q4350" s="25">
        <f>177.86/1089.1</f>
        <v>0.1633091543476265</v>
      </c>
      <c r="U4350" s="388">
        <v>0.1</v>
      </c>
      <c r="W4350" s="285">
        <f t="shared" si="219"/>
        <v>2432.3265448535494</v>
      </c>
    </row>
    <row r="4351" spans="1:23" ht="15" customHeight="1">
      <c r="A4351" s="3">
        <v>41950</v>
      </c>
      <c r="B4351" s="9">
        <v>82375</v>
      </c>
      <c r="C4351" s="5">
        <v>725</v>
      </c>
      <c r="D4351" s="5">
        <v>137450</v>
      </c>
      <c r="E4351" s="5">
        <v>220550</v>
      </c>
      <c r="F4351" s="4">
        <v>0</v>
      </c>
      <c r="G4351" s="5">
        <v>1950</v>
      </c>
      <c r="H4351" s="5">
        <v>13500</v>
      </c>
      <c r="I4351" s="118">
        <f t="shared" si="218"/>
        <v>6.1210609839038768E-2</v>
      </c>
      <c r="K4351" s="22">
        <v>1997</v>
      </c>
      <c r="L4351" s="6">
        <v>2006</v>
      </c>
      <c r="M4351" s="125">
        <f t="shared" si="214"/>
        <v>9</v>
      </c>
      <c r="P4351" s="247">
        <v>13540</v>
      </c>
      <c r="Q4351" s="25">
        <f>178.05/1092.5</f>
        <v>0.16297482837528604</v>
      </c>
      <c r="U4351" s="388">
        <v>0.1</v>
      </c>
      <c r="W4351" s="285">
        <f t="shared" si="219"/>
        <v>2427.3470938215105</v>
      </c>
    </row>
    <row r="4352" spans="1:23" ht="15" customHeight="1">
      <c r="A4352" s="3">
        <v>41953</v>
      </c>
      <c r="B4352" s="9">
        <v>82375</v>
      </c>
      <c r="C4352" s="5">
        <v>725</v>
      </c>
      <c r="D4352" s="5">
        <v>135475</v>
      </c>
      <c r="E4352" s="5">
        <v>218575</v>
      </c>
      <c r="F4352" s="4">
        <v>0</v>
      </c>
      <c r="G4352" s="5">
        <v>1975</v>
      </c>
      <c r="H4352" s="5">
        <v>11525</v>
      </c>
      <c r="I4352" s="118">
        <f t="shared" si="218"/>
        <v>5.2727896602996684E-2</v>
      </c>
      <c r="K4352" s="22">
        <v>2029</v>
      </c>
      <c r="L4352" s="6">
        <v>2038.5</v>
      </c>
      <c r="M4352" s="125">
        <f t="shared" si="214"/>
        <v>9.5</v>
      </c>
      <c r="P4352" s="247">
        <v>13560</v>
      </c>
      <c r="Q4352" s="25">
        <f>177.2/1085.2</f>
        <v>0.16328787320309618</v>
      </c>
      <c r="U4352" s="388">
        <v>0.1</v>
      </c>
      <c r="W4352" s="285">
        <f t="shared" si="219"/>
        <v>2435.6019166973829</v>
      </c>
    </row>
    <row r="4353" spans="1:23" ht="15" customHeight="1">
      <c r="A4353" s="3">
        <v>41954</v>
      </c>
      <c r="B4353" s="9">
        <v>82375</v>
      </c>
      <c r="C4353" s="5">
        <v>725</v>
      </c>
      <c r="D4353" s="5">
        <v>134500</v>
      </c>
      <c r="E4353" s="5">
        <v>217600</v>
      </c>
      <c r="F4353" s="4">
        <v>0</v>
      </c>
      <c r="G4353" s="5">
        <v>975</v>
      </c>
      <c r="H4353" s="5">
        <v>10550</v>
      </c>
      <c r="I4353" s="118">
        <f t="shared" si="218"/>
        <v>4.8483455882352942E-2</v>
      </c>
      <c r="K4353" s="22">
        <v>2018</v>
      </c>
      <c r="L4353" s="6">
        <v>2025</v>
      </c>
      <c r="M4353" s="125">
        <f t="shared" si="214"/>
        <v>7</v>
      </c>
      <c r="P4353" s="247">
        <v>13560</v>
      </c>
      <c r="Q4353" s="25">
        <f>177.83/1089.9</f>
        <v>0.16316175795944582</v>
      </c>
      <c r="U4353" s="388">
        <v>0.1</v>
      </c>
      <c r="W4353" s="285">
        <f t="shared" si="219"/>
        <v>2433.7207817230942</v>
      </c>
    </row>
    <row r="4354" spans="1:23" ht="15" customHeight="1">
      <c r="A4354" s="3">
        <v>41955</v>
      </c>
      <c r="B4354" s="9">
        <v>82375</v>
      </c>
      <c r="C4354" s="5">
        <v>725</v>
      </c>
      <c r="D4354" s="5">
        <v>133275</v>
      </c>
      <c r="E4354" s="5">
        <v>216375</v>
      </c>
      <c r="F4354" s="4">
        <v>0</v>
      </c>
      <c r="G4354" s="5">
        <v>1225</v>
      </c>
      <c r="H4354" s="5">
        <v>9400</v>
      </c>
      <c r="I4354" s="118">
        <f t="shared" si="218"/>
        <v>4.3443096476025421E-2</v>
      </c>
      <c r="K4354" s="22">
        <v>2034</v>
      </c>
      <c r="L4354" s="6">
        <v>2043</v>
      </c>
      <c r="M4354" s="125">
        <f t="shared" si="214"/>
        <v>9</v>
      </c>
      <c r="P4354" s="247">
        <v>13560</v>
      </c>
      <c r="Q4354" s="25">
        <f>179.16/1098.5</f>
        <v>0.16309512972234866</v>
      </c>
      <c r="U4354" s="388">
        <v>0.1</v>
      </c>
      <c r="W4354" s="285">
        <f t="shared" si="219"/>
        <v>2432.7269549385528</v>
      </c>
    </row>
    <row r="4355" spans="1:23" ht="15" customHeight="1">
      <c r="A4355" s="3">
        <v>41956</v>
      </c>
      <c r="B4355" s="9">
        <v>82375</v>
      </c>
      <c r="C4355" s="5">
        <v>725</v>
      </c>
      <c r="D4355" s="5">
        <v>133250</v>
      </c>
      <c r="E4355" s="5">
        <v>216350</v>
      </c>
      <c r="F4355" s="4">
        <v>0</v>
      </c>
      <c r="G4355" s="5">
        <v>25</v>
      </c>
      <c r="H4355" s="5">
        <v>10100</v>
      </c>
      <c r="I4355" s="118">
        <f t="shared" si="218"/>
        <v>4.668361451351976E-2</v>
      </c>
      <c r="K4355" s="22">
        <v>2022.5</v>
      </c>
      <c r="L4355" s="6">
        <v>2032</v>
      </c>
      <c r="M4355" s="125">
        <f t="shared" si="214"/>
        <v>9.5</v>
      </c>
      <c r="P4355" s="247">
        <v>13560</v>
      </c>
      <c r="Q4355" s="25">
        <f>179.03/1097.5</f>
        <v>0.163125284738041</v>
      </c>
      <c r="U4355" s="388">
        <v>0.1</v>
      </c>
      <c r="W4355" s="285">
        <f t="shared" si="219"/>
        <v>2433.1767471526196</v>
      </c>
    </row>
    <row r="4356" spans="1:23" ht="15" customHeight="1">
      <c r="A4356" s="3">
        <v>41957</v>
      </c>
      <c r="B4356" s="9">
        <v>82800</v>
      </c>
      <c r="C4356" s="5">
        <v>725</v>
      </c>
      <c r="D4356" s="5">
        <v>133225</v>
      </c>
      <c r="E4356" s="5">
        <v>216750</v>
      </c>
      <c r="F4356" s="4">
        <v>425</v>
      </c>
      <c r="G4356" s="5">
        <v>25</v>
      </c>
      <c r="H4356" s="5">
        <v>10075</v>
      </c>
      <c r="I4356" s="118">
        <f t="shared" si="218"/>
        <v>4.6482122260668973E-2</v>
      </c>
      <c r="K4356" s="22">
        <v>2025</v>
      </c>
      <c r="L4356" s="6">
        <v>2025</v>
      </c>
      <c r="M4356" s="125">
        <f t="shared" si="214"/>
        <v>0</v>
      </c>
      <c r="P4356" s="247">
        <v>13560</v>
      </c>
      <c r="Q4356" s="25">
        <f>179.97/1099.6</f>
        <v>0.16366860676609676</v>
      </c>
      <c r="U4356" s="388">
        <v>0.1</v>
      </c>
      <c r="W4356" s="285">
        <f t="shared" si="219"/>
        <v>2441.2809385230994</v>
      </c>
    </row>
    <row r="4357" spans="1:23" ht="15" customHeight="1">
      <c r="A4357" s="3">
        <v>41960</v>
      </c>
      <c r="B4357" s="9">
        <v>82800</v>
      </c>
      <c r="C4357" s="5">
        <v>725</v>
      </c>
      <c r="D4357" s="5">
        <v>133200</v>
      </c>
      <c r="E4357" s="5">
        <v>216725</v>
      </c>
      <c r="F4357" s="4">
        <v>0</v>
      </c>
      <c r="G4357" s="5">
        <v>25</v>
      </c>
      <c r="H4357" s="5">
        <v>10050</v>
      </c>
      <c r="I4357" s="118">
        <f t="shared" si="218"/>
        <v>4.6372130580228398E-2</v>
      </c>
      <c r="K4357" s="22">
        <v>2022.5</v>
      </c>
      <c r="L4357" s="6">
        <v>2033</v>
      </c>
      <c r="M4357" s="125">
        <f t="shared" si="214"/>
        <v>10.5</v>
      </c>
      <c r="P4357" s="247">
        <v>13560</v>
      </c>
      <c r="Q4357" s="25">
        <f>179.07/1097</f>
        <v>0.16323609845031906</v>
      </c>
      <c r="U4357" s="388">
        <v>0.1</v>
      </c>
      <c r="W4357" s="285">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18">
        <f t="shared" si="218"/>
        <v>4.6262113520996767E-2</v>
      </c>
      <c r="K4358" s="22">
        <v>2017</v>
      </c>
      <c r="L4358" s="6">
        <v>2016</v>
      </c>
      <c r="M4358" s="125">
        <f t="shared" si="214"/>
        <v>-1</v>
      </c>
      <c r="P4358" s="247">
        <v>13540</v>
      </c>
      <c r="Q4358" s="25">
        <f>179.61/1098.9</f>
        <v>0.16344526344526344</v>
      </c>
      <c r="U4358" s="388">
        <v>0.1</v>
      </c>
      <c r="W4358" s="285">
        <f t="shared" si="220"/>
        <v>2434.3537537537541</v>
      </c>
    </row>
    <row r="4359" spans="1:23" ht="15" customHeight="1">
      <c r="A4359" s="3">
        <v>41962</v>
      </c>
      <c r="B4359" s="9">
        <v>82500</v>
      </c>
      <c r="C4359" s="5">
        <v>725</v>
      </c>
      <c r="D4359" s="5">
        <v>133900</v>
      </c>
      <c r="E4359" s="5">
        <v>217125</v>
      </c>
      <c r="F4359" s="4">
        <v>725</v>
      </c>
      <c r="G4359" s="5">
        <v>300</v>
      </c>
      <c r="H4359" s="5">
        <v>9750</v>
      </c>
      <c r="I4359" s="118">
        <f t="shared" si="218"/>
        <v>4.4905008635578586E-2</v>
      </c>
      <c r="K4359" s="22">
        <v>2026</v>
      </c>
      <c r="L4359" s="6">
        <v>2030</v>
      </c>
      <c r="M4359" s="125">
        <f t="shared" si="214"/>
        <v>4</v>
      </c>
      <c r="P4359" s="247">
        <v>13540</v>
      </c>
      <c r="Q4359" s="25">
        <f>180.27/1104.2</f>
        <v>0.16325846766890056</v>
      </c>
      <c r="U4359" s="388">
        <v>0.1</v>
      </c>
      <c r="W4359" s="285">
        <f t="shared" si="220"/>
        <v>2431.5716174606055</v>
      </c>
    </row>
    <row r="4360" spans="1:23" ht="15" customHeight="1">
      <c r="A4360" s="3">
        <v>41963</v>
      </c>
      <c r="B4360" s="9">
        <v>82500</v>
      </c>
      <c r="C4360" s="5">
        <v>725</v>
      </c>
      <c r="D4360" s="5">
        <v>133900</v>
      </c>
      <c r="E4360" s="5">
        <v>217125</v>
      </c>
      <c r="F4360" s="4">
        <v>0</v>
      </c>
      <c r="G4360" s="5">
        <v>0</v>
      </c>
      <c r="H4360" s="5">
        <v>9750</v>
      </c>
      <c r="I4360" s="118">
        <f t="shared" si="218"/>
        <v>4.4905008635578586E-2</v>
      </c>
      <c r="K4360" s="22">
        <v>2017</v>
      </c>
      <c r="L4360" s="6">
        <v>2022</v>
      </c>
      <c r="M4360" s="125">
        <f t="shared" si="214"/>
        <v>5</v>
      </c>
      <c r="P4360" s="247">
        <v>13540</v>
      </c>
      <c r="Q4360" s="25">
        <f>180.27/1104.2</f>
        <v>0.16325846766890056</v>
      </c>
      <c r="U4360" s="388">
        <v>0.1</v>
      </c>
      <c r="W4360" s="285">
        <f t="shared" si="220"/>
        <v>2431.5716174606055</v>
      </c>
    </row>
    <row r="4361" spans="1:23" ht="15" customHeight="1">
      <c r="A4361" s="3">
        <v>41964</v>
      </c>
      <c r="B4361" s="9">
        <v>82500</v>
      </c>
      <c r="C4361" s="5">
        <v>725</v>
      </c>
      <c r="D4361" s="5">
        <v>133800</v>
      </c>
      <c r="E4361" s="5">
        <v>217025</v>
      </c>
      <c r="F4361" s="4">
        <v>0</v>
      </c>
      <c r="G4361" s="5">
        <v>100</v>
      </c>
      <c r="H4361" s="5">
        <v>9675</v>
      </c>
      <c r="I4361" s="118">
        <f t="shared" si="218"/>
        <v>4.4580117497984101E-2</v>
      </c>
      <c r="K4361" s="22">
        <v>2060</v>
      </c>
      <c r="L4361" s="6">
        <v>2064</v>
      </c>
      <c r="M4361" s="125">
        <f t="shared" si="214"/>
        <v>4</v>
      </c>
      <c r="P4361" s="247">
        <v>13520</v>
      </c>
      <c r="Q4361" s="25">
        <f>181.07/1110.9</f>
        <v>0.16299396885408227</v>
      </c>
      <c r="U4361" s="388">
        <v>0.1</v>
      </c>
      <c r="W4361" s="285">
        <f t="shared" si="220"/>
        <v>2424.0463047979115</v>
      </c>
    </row>
    <row r="4362" spans="1:23" ht="15" customHeight="1">
      <c r="A4362" s="3">
        <v>41967</v>
      </c>
      <c r="B4362" s="9">
        <v>82525</v>
      </c>
      <c r="C4362" s="5">
        <v>725</v>
      </c>
      <c r="D4362" s="5">
        <v>133775</v>
      </c>
      <c r="E4362" s="5">
        <v>217025</v>
      </c>
      <c r="F4362" s="4">
        <v>0</v>
      </c>
      <c r="G4362" s="5">
        <v>50</v>
      </c>
      <c r="H4362" s="5">
        <v>9650</v>
      </c>
      <c r="I4362" s="118">
        <f t="shared" si="218"/>
        <v>4.4464923395922132E-2</v>
      </c>
      <c r="K4362" s="22">
        <v>2046</v>
      </c>
      <c r="L4362" s="6">
        <v>2051</v>
      </c>
      <c r="M4362" s="125">
        <f t="shared" si="214"/>
        <v>5</v>
      </c>
      <c r="P4362" s="247">
        <v>13540</v>
      </c>
      <c r="Q4362" s="25">
        <f>180.57/1112.2</f>
        <v>0.16235389318467899</v>
      </c>
      <c r="U4362" s="388">
        <v>0.1</v>
      </c>
      <c r="W4362" s="285">
        <f t="shared" si="220"/>
        <v>2418.0988850926092</v>
      </c>
    </row>
    <row r="4363" spans="1:23" ht="15" customHeight="1">
      <c r="A4363" s="3">
        <v>41968</v>
      </c>
      <c r="B4363" s="9">
        <v>82475</v>
      </c>
      <c r="C4363" s="5">
        <v>725</v>
      </c>
      <c r="D4363" s="5">
        <v>134725</v>
      </c>
      <c r="E4363" s="5">
        <v>217925</v>
      </c>
      <c r="F4363" s="4">
        <v>1000</v>
      </c>
      <c r="G4363" s="5">
        <v>50</v>
      </c>
      <c r="H4363" s="5">
        <v>18325</v>
      </c>
      <c r="I4363" s="118">
        <f t="shared" si="218"/>
        <v>8.4088562578868875E-2</v>
      </c>
      <c r="K4363" s="22">
        <v>2061</v>
      </c>
      <c r="L4363" s="6">
        <v>2066</v>
      </c>
      <c r="M4363" s="125">
        <f t="shared" si="214"/>
        <v>5</v>
      </c>
      <c r="P4363" s="247">
        <v>13540</v>
      </c>
      <c r="Q4363" s="25">
        <f>181.08/1112.8</f>
        <v>0.16272465851905107</v>
      </c>
      <c r="U4363" s="388">
        <v>0.1</v>
      </c>
      <c r="W4363" s="285">
        <f t="shared" si="220"/>
        <v>2423.6210639827468</v>
      </c>
    </row>
    <row r="4364" spans="1:23" ht="15" customHeight="1">
      <c r="A4364" s="3">
        <v>41969</v>
      </c>
      <c r="B4364" s="9">
        <v>82475</v>
      </c>
      <c r="C4364" s="5">
        <v>725</v>
      </c>
      <c r="D4364" s="5">
        <v>134725</v>
      </c>
      <c r="E4364" s="5">
        <v>217925</v>
      </c>
      <c r="F4364" s="4">
        <v>0</v>
      </c>
      <c r="G4364" s="5">
        <v>0</v>
      </c>
      <c r="H4364" s="5">
        <v>18325</v>
      </c>
      <c r="I4364" s="118">
        <f t="shared" si="218"/>
        <v>8.4088562578868875E-2</v>
      </c>
      <c r="K4364" s="22">
        <v>2046</v>
      </c>
      <c r="L4364" s="6">
        <v>2051.5</v>
      </c>
      <c r="M4364" s="125">
        <f t="shared" si="214"/>
        <v>5.5</v>
      </c>
      <c r="P4364" s="247">
        <v>13540</v>
      </c>
      <c r="Q4364" s="25">
        <f>180.05/1107</f>
        <v>0.16264679313459801</v>
      </c>
      <c r="U4364" s="388">
        <v>0.1</v>
      </c>
      <c r="W4364" s="285">
        <f t="shared" si="220"/>
        <v>2422.4613369467029</v>
      </c>
    </row>
    <row r="4365" spans="1:23" ht="15" customHeight="1">
      <c r="A4365" s="3">
        <v>41970</v>
      </c>
      <c r="B4365" s="9">
        <v>82475</v>
      </c>
      <c r="C4365" s="5">
        <v>725</v>
      </c>
      <c r="D4365" s="5">
        <v>134700</v>
      </c>
      <c r="E4365" s="5">
        <v>217900</v>
      </c>
      <c r="F4365" s="4">
        <v>0</v>
      </c>
      <c r="G4365" s="5">
        <v>25</v>
      </c>
      <c r="H4365" s="5">
        <v>18300</v>
      </c>
      <c r="I4365" s="118">
        <f t="shared" si="218"/>
        <v>8.3983478659935745E-2</v>
      </c>
      <c r="K4365" s="22">
        <v>2065</v>
      </c>
      <c r="L4365" s="6">
        <v>2070</v>
      </c>
      <c r="M4365" s="125">
        <f t="shared" si="214"/>
        <v>5</v>
      </c>
      <c r="P4365" s="247">
        <v>13540</v>
      </c>
      <c r="Q4365" s="25">
        <f>179.13/1101.1</f>
        <v>0.16268277177368087</v>
      </c>
      <c r="U4365" s="388">
        <v>0.1</v>
      </c>
      <c r="W4365" s="285">
        <f t="shared" si="220"/>
        <v>2422.997202797203</v>
      </c>
    </row>
    <row r="4366" spans="1:23" ht="15" customHeight="1">
      <c r="A4366" s="3">
        <v>41971</v>
      </c>
      <c r="B4366" s="9">
        <v>82475</v>
      </c>
      <c r="C4366" s="5">
        <v>725</v>
      </c>
      <c r="D4366" s="5">
        <v>134575</v>
      </c>
      <c r="E4366" s="5">
        <v>217775</v>
      </c>
      <c r="F4366" s="4">
        <v>0</v>
      </c>
      <c r="G4366" s="5">
        <v>125</v>
      </c>
      <c r="H4366" s="5">
        <v>18175</v>
      </c>
      <c r="I4366" s="118">
        <f t="shared" si="218"/>
        <v>8.3457697164504643E-2</v>
      </c>
      <c r="K4366" s="22">
        <v>2027</v>
      </c>
      <c r="L4366" s="6">
        <v>2032</v>
      </c>
      <c r="M4366" s="125">
        <f t="shared" si="214"/>
        <v>5</v>
      </c>
      <c r="N4366" s="235">
        <f>AVERAGE(K4347:K4366)</f>
        <v>2023.7249999999999</v>
      </c>
      <c r="O4366" s="230">
        <f>AVERAGE(K4120:K4366)</f>
        <v>2110.4482758620688</v>
      </c>
      <c r="P4366" s="247">
        <v>13540</v>
      </c>
      <c r="Q4366" s="25">
        <f>179.34/1105</f>
        <v>0.16229864253393667</v>
      </c>
      <c r="U4366" s="388">
        <v>0.1</v>
      </c>
      <c r="W4366" s="285">
        <f t="shared" si="220"/>
        <v>2417.2759819004527</v>
      </c>
    </row>
    <row r="4367" spans="1:23" ht="15" customHeight="1" thickBot="1">
      <c r="A4367" s="216"/>
      <c r="B4367" s="1330"/>
      <c r="C4367" s="1330"/>
      <c r="D4367" s="1330"/>
      <c r="E4367" s="216"/>
      <c r="F4367" s="407"/>
      <c r="G4367" s="164"/>
      <c r="H4367" s="164"/>
      <c r="I4367" s="166"/>
      <c r="J4367" s="166"/>
      <c r="K4367" s="166"/>
      <c r="L4367" s="167"/>
      <c r="M4367" s="168"/>
      <c r="N4367" s="169"/>
      <c r="O4367" s="183"/>
      <c r="P4367" s="180"/>
      <c r="Q4367" s="154"/>
      <c r="R4367" s="248"/>
      <c r="S4367" s="249"/>
      <c r="T4367" s="249"/>
      <c r="U4367" s="152"/>
      <c r="V4367" s="153">
        <f>AVERAGE(P4347:P4366)</f>
        <v>13550</v>
      </c>
      <c r="W4367" s="295"/>
    </row>
    <row r="4368" spans="1:23" ht="15" customHeight="1">
      <c r="A4368" s="3">
        <v>41974</v>
      </c>
      <c r="B4368" s="9">
        <v>82450</v>
      </c>
      <c r="C4368" s="5">
        <v>725</v>
      </c>
      <c r="D4368" s="5">
        <v>134375</v>
      </c>
      <c r="E4368" s="5">
        <v>217550</v>
      </c>
      <c r="F4368" s="4">
        <v>0</v>
      </c>
      <c r="G4368" s="5">
        <v>225</v>
      </c>
      <c r="H4368" s="5">
        <v>17950</v>
      </c>
      <c r="I4368" s="118">
        <f t="shared" ref="I4368:I4385" si="221">H4368/E4368</f>
        <v>8.2509767869455297E-2</v>
      </c>
      <c r="K4368" s="22">
        <v>2025</v>
      </c>
      <c r="L4368" s="6">
        <v>2029</v>
      </c>
      <c r="M4368" s="125">
        <f t="shared" si="214"/>
        <v>4</v>
      </c>
      <c r="P4368" s="247">
        <v>13470</v>
      </c>
      <c r="Q4368" s="25">
        <f>179.34/1105</f>
        <v>0.16229864253393667</v>
      </c>
      <c r="U4368" s="388">
        <v>0.1</v>
      </c>
      <c r="W4368" s="285">
        <f t="shared" si="220"/>
        <v>2404.77898642534</v>
      </c>
    </row>
    <row r="4369" spans="1:23" ht="15" customHeight="1">
      <c r="A4369" s="3">
        <v>41975</v>
      </c>
      <c r="B4369" s="9">
        <v>93850</v>
      </c>
      <c r="C4369" s="5">
        <v>725</v>
      </c>
      <c r="D4369" s="5">
        <v>134250</v>
      </c>
      <c r="E4369" s="5">
        <v>228825</v>
      </c>
      <c r="F4369" s="4">
        <v>11425</v>
      </c>
      <c r="G4369" s="5">
        <v>150</v>
      </c>
      <c r="H4369" s="5">
        <v>17800</v>
      </c>
      <c r="I4369" s="118">
        <f t="shared" si="221"/>
        <v>7.7788703157434719E-2</v>
      </c>
      <c r="K4369" s="22">
        <v>2018</v>
      </c>
      <c r="L4369" s="6">
        <v>2022</v>
      </c>
      <c r="M4369" s="125">
        <f t="shared" si="214"/>
        <v>4</v>
      </c>
      <c r="P4369" s="247">
        <v>13470</v>
      </c>
      <c r="Q4369" s="25">
        <f>179.78/1106.8</f>
        <v>0.1624322370798699</v>
      </c>
      <c r="U4369" s="388">
        <v>0.1</v>
      </c>
      <c r="W4369" s="285">
        <f t="shared" si="220"/>
        <v>2406.7584568124325</v>
      </c>
    </row>
    <row r="4370" spans="1:23" ht="15" customHeight="1">
      <c r="A4370" s="3">
        <v>41976</v>
      </c>
      <c r="B4370" s="9">
        <v>93850</v>
      </c>
      <c r="C4370" s="5">
        <v>725</v>
      </c>
      <c r="D4370" s="5">
        <v>134500</v>
      </c>
      <c r="E4370" s="5">
        <v>229075</v>
      </c>
      <c r="F4370" s="4">
        <v>300</v>
      </c>
      <c r="G4370" s="5">
        <v>50</v>
      </c>
      <c r="H4370" s="5">
        <v>17850</v>
      </c>
      <c r="I4370" s="118">
        <f t="shared" si="221"/>
        <v>7.792207792207792E-2</v>
      </c>
      <c r="K4370" s="22">
        <v>2017</v>
      </c>
      <c r="L4370" s="6">
        <v>2020.5</v>
      </c>
      <c r="M4370" s="125">
        <f t="shared" si="214"/>
        <v>3.5</v>
      </c>
      <c r="P4370" s="247">
        <v>13470</v>
      </c>
      <c r="Q4370" s="25">
        <f>181.24/1114.4</f>
        <v>0.16263460157932519</v>
      </c>
      <c r="U4370" s="388">
        <v>0.1</v>
      </c>
      <c r="W4370" s="285">
        <f t="shared" si="220"/>
        <v>2409.7568916008613</v>
      </c>
    </row>
    <row r="4371" spans="1:23" ht="15" customHeight="1">
      <c r="A4371" s="3">
        <v>41977</v>
      </c>
      <c r="B4371" s="9">
        <v>93850</v>
      </c>
      <c r="C4371" s="5">
        <v>725</v>
      </c>
      <c r="D4371" s="5">
        <v>134500</v>
      </c>
      <c r="E4371" s="5">
        <v>229075</v>
      </c>
      <c r="F4371" s="4">
        <v>0</v>
      </c>
      <c r="G4371" s="5">
        <v>0</v>
      </c>
      <c r="H4371" s="5">
        <v>17950</v>
      </c>
      <c r="I4371" s="118">
        <f t="shared" si="221"/>
        <v>7.8358616173742221E-2</v>
      </c>
      <c r="K4371" s="22">
        <v>2030</v>
      </c>
      <c r="L4371" s="6">
        <v>2031</v>
      </c>
      <c r="M4371" s="125">
        <f t="shared" si="214"/>
        <v>1</v>
      </c>
      <c r="P4371" s="247">
        <v>13470</v>
      </c>
      <c r="Q4371" s="25">
        <f>181.37/1115.8</f>
        <v>0.16254705144291093</v>
      </c>
      <c r="U4371" s="388">
        <v>0.1</v>
      </c>
      <c r="W4371" s="285">
        <f t="shared" si="220"/>
        <v>2408.4596612296114</v>
      </c>
    </row>
    <row r="4372" spans="1:23" ht="15" customHeight="1">
      <c r="A4372" s="3">
        <v>41978</v>
      </c>
      <c r="B4372" s="9">
        <v>93850</v>
      </c>
      <c r="C4372" s="5">
        <v>725</v>
      </c>
      <c r="D4372" s="5">
        <v>132200</v>
      </c>
      <c r="E4372" s="5">
        <v>226775</v>
      </c>
      <c r="F4372" s="4">
        <v>0</v>
      </c>
      <c r="G4372" s="5">
        <v>2300</v>
      </c>
      <c r="H4372" s="5">
        <v>15700</v>
      </c>
      <c r="I4372" s="118">
        <f t="shared" si="221"/>
        <v>6.9231617241759455E-2</v>
      </c>
      <c r="K4372" s="22">
        <v>2026.5</v>
      </c>
      <c r="L4372" s="6">
        <v>2030.5</v>
      </c>
      <c r="M4372" s="125">
        <f t="shared" si="214"/>
        <v>4</v>
      </c>
      <c r="P4372" s="247">
        <v>13450</v>
      </c>
      <c r="Q4372" s="25">
        <f>180.73/1113.2</f>
        <v>0.16235177865612646</v>
      </c>
      <c r="U4372" s="388">
        <v>0.1</v>
      </c>
      <c r="W4372" s="285">
        <f t="shared" si="220"/>
        <v>2401.9945652173915</v>
      </c>
    </row>
    <row r="4373" spans="1:23" ht="15" customHeight="1">
      <c r="A4373" s="3">
        <v>41981</v>
      </c>
      <c r="B4373" s="9">
        <v>93850</v>
      </c>
      <c r="C4373" s="5">
        <v>725</v>
      </c>
      <c r="D4373" s="5">
        <v>129900</v>
      </c>
      <c r="E4373" s="5">
        <v>224475</v>
      </c>
      <c r="F4373" s="4">
        <v>0</v>
      </c>
      <c r="G4373" s="5">
        <v>2300</v>
      </c>
      <c r="H4373" s="5">
        <v>13700</v>
      </c>
      <c r="I4373" s="118">
        <f t="shared" si="221"/>
        <v>6.1031295244459292E-2</v>
      </c>
      <c r="K4373" s="22">
        <v>2020</v>
      </c>
      <c r="L4373" s="6">
        <v>2026</v>
      </c>
      <c r="M4373" s="125">
        <f t="shared" si="214"/>
        <v>6</v>
      </c>
      <c r="P4373" s="247">
        <v>13450</v>
      </c>
      <c r="Q4373" s="25">
        <f>181.15/1118.3</f>
        <v>0.16198694446928374</v>
      </c>
      <c r="U4373" s="388">
        <v>0.1</v>
      </c>
      <c r="W4373" s="285">
        <f t="shared" si="220"/>
        <v>2396.5968434230531</v>
      </c>
    </row>
    <row r="4374" spans="1:23" ht="15" customHeight="1">
      <c r="A4374" s="3">
        <v>41982</v>
      </c>
      <c r="B4374" s="9">
        <v>93850</v>
      </c>
      <c r="C4374" s="5">
        <v>725</v>
      </c>
      <c r="D4374" s="5">
        <v>127700</v>
      </c>
      <c r="E4374" s="5">
        <v>222275</v>
      </c>
      <c r="F4374" s="4">
        <v>0</v>
      </c>
      <c r="G4374" s="5">
        <v>2200</v>
      </c>
      <c r="H4374" s="5">
        <v>11500</v>
      </c>
      <c r="I4374" s="118">
        <f t="shared" si="221"/>
        <v>5.1737712293330337E-2</v>
      </c>
      <c r="K4374" s="22">
        <v>2009</v>
      </c>
      <c r="L4374" s="6">
        <v>2013</v>
      </c>
      <c r="M4374" s="125">
        <f t="shared" si="214"/>
        <v>4</v>
      </c>
      <c r="P4374" s="247">
        <v>13420</v>
      </c>
      <c r="Q4374" s="25">
        <f>179.71/1112</f>
        <v>0.16160971223021584</v>
      </c>
      <c r="U4374" s="388">
        <v>0.1</v>
      </c>
      <c r="W4374" s="285">
        <f t="shared" si="220"/>
        <v>2385.6825719424464</v>
      </c>
    </row>
    <row r="4375" spans="1:23" ht="15" customHeight="1">
      <c r="A4375" s="3">
        <v>41983</v>
      </c>
      <c r="B4375" s="9">
        <v>93850</v>
      </c>
      <c r="C4375" s="5">
        <v>725</v>
      </c>
      <c r="D4375" s="5">
        <v>125775</v>
      </c>
      <c r="E4375" s="5">
        <v>220350</v>
      </c>
      <c r="F4375" s="4">
        <v>0</v>
      </c>
      <c r="G4375" s="5">
        <v>1925</v>
      </c>
      <c r="H4375" s="5">
        <v>9575</v>
      </c>
      <c r="I4375" s="118">
        <f t="shared" si="221"/>
        <v>4.3453596550941685E-2</v>
      </c>
      <c r="K4375" s="22">
        <v>2004</v>
      </c>
      <c r="L4375" s="6">
        <v>2013</v>
      </c>
      <c r="M4375" s="125">
        <f t="shared" si="214"/>
        <v>9</v>
      </c>
      <c r="P4375" s="247">
        <v>13420</v>
      </c>
      <c r="Q4375" s="25">
        <f>178.73/1104.5</f>
        <v>0.16181982797645994</v>
      </c>
      <c r="U4375" s="388">
        <v>0.1</v>
      </c>
      <c r="W4375" s="285">
        <f t="shared" si="220"/>
        <v>2388.784300588502</v>
      </c>
    </row>
    <row r="4376" spans="1:23" ht="15" customHeight="1">
      <c r="A4376" s="3">
        <v>41984</v>
      </c>
      <c r="B4376" s="9">
        <v>93750</v>
      </c>
      <c r="C4376" s="5">
        <v>725</v>
      </c>
      <c r="D4376" s="5">
        <v>125725</v>
      </c>
      <c r="E4376" s="5">
        <v>220200</v>
      </c>
      <c r="F4376" s="4">
        <v>0</v>
      </c>
      <c r="G4376" s="5">
        <v>150</v>
      </c>
      <c r="H4376" s="5">
        <v>9425</v>
      </c>
      <c r="I4376" s="118">
        <f t="shared" si="221"/>
        <v>4.2801998183469574E-2</v>
      </c>
      <c r="K4376" s="22">
        <v>1982.5</v>
      </c>
      <c r="L4376" s="6">
        <v>1994</v>
      </c>
      <c r="M4376" s="125">
        <f t="shared" si="214"/>
        <v>11.5</v>
      </c>
      <c r="P4376" s="247">
        <v>13390</v>
      </c>
      <c r="Q4376" s="25">
        <f>177.22/1098.1</f>
        <v>0.16138785174392134</v>
      </c>
      <c r="U4376" s="388">
        <v>0.1</v>
      </c>
      <c r="W4376" s="285">
        <f t="shared" si="220"/>
        <v>2377.0816683362173</v>
      </c>
    </row>
    <row r="4377" spans="1:23" ht="15" customHeight="1">
      <c r="A4377" s="3">
        <v>41985</v>
      </c>
      <c r="B4377" s="9">
        <v>93750</v>
      </c>
      <c r="C4377" s="5">
        <v>725</v>
      </c>
      <c r="D4377" s="5">
        <v>125725</v>
      </c>
      <c r="E4377" s="5">
        <v>220200</v>
      </c>
      <c r="F4377" s="4">
        <v>0</v>
      </c>
      <c r="G4377" s="5">
        <v>0</v>
      </c>
      <c r="H4377" s="5">
        <v>9425</v>
      </c>
      <c r="I4377" s="118">
        <f t="shared" si="221"/>
        <v>4.2801998183469574E-2</v>
      </c>
      <c r="K4377" s="22">
        <v>1972</v>
      </c>
      <c r="L4377" s="6">
        <v>1986</v>
      </c>
      <c r="M4377" s="125">
        <f t="shared" si="214"/>
        <v>14</v>
      </c>
      <c r="P4377" s="247">
        <v>13340</v>
      </c>
      <c r="Q4377" s="25">
        <f>178.15/1103.9</f>
        <v>0.16138237159162966</v>
      </c>
      <c r="U4377" s="388">
        <v>0.1</v>
      </c>
      <c r="W4377" s="285">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18">
        <f t="shared" si="221"/>
        <v>4.2920404223912793E-2</v>
      </c>
      <c r="K4378" s="22">
        <v>1963.5</v>
      </c>
      <c r="L4378" s="6">
        <v>1978</v>
      </c>
      <c r="M4378" s="125">
        <f t="shared" si="214"/>
        <v>14.5</v>
      </c>
      <c r="P4378" s="247">
        <v>13290</v>
      </c>
      <c r="Q4378" s="25">
        <f>177.92/1103</f>
        <v>0.1613055303717135</v>
      </c>
      <c r="U4378" s="388">
        <v>0.1</v>
      </c>
      <c r="W4378" s="285">
        <f t="shared" si="222"/>
        <v>2358.1255485040797</v>
      </c>
    </row>
    <row r="4379" spans="1:23" ht="15" customHeight="1">
      <c r="A4379" s="3">
        <v>41989</v>
      </c>
      <c r="B4379" s="9">
        <v>93450</v>
      </c>
      <c r="C4379" s="5">
        <v>725</v>
      </c>
      <c r="D4379" s="5">
        <v>125650</v>
      </c>
      <c r="E4379" s="5">
        <v>219825</v>
      </c>
      <c r="F4379" s="4">
        <v>0</v>
      </c>
      <c r="G4379" s="5">
        <v>350</v>
      </c>
      <c r="H4379" s="5">
        <v>9100</v>
      </c>
      <c r="I4379" s="118">
        <f t="shared" si="221"/>
        <v>4.1396565449789605E-2</v>
      </c>
      <c r="K4379" s="22">
        <v>1936.5</v>
      </c>
      <c r="L4379" s="6">
        <v>1952</v>
      </c>
      <c r="M4379" s="125">
        <f t="shared" si="214"/>
        <v>15.5</v>
      </c>
      <c r="P4379" s="247">
        <v>13240</v>
      </c>
      <c r="Q4379" s="25">
        <f>176.39/1092.4</f>
        <v>0.16147015745148294</v>
      </c>
      <c r="U4379" s="388">
        <v>0.1</v>
      </c>
      <c r="W4379" s="285">
        <f t="shared" si="222"/>
        <v>2351.6513731233977</v>
      </c>
    </row>
    <row r="4380" spans="1:23" ht="15" customHeight="1">
      <c r="A4380" s="3">
        <v>41990</v>
      </c>
      <c r="B4380" s="9">
        <v>93450</v>
      </c>
      <c r="C4380" s="5">
        <v>725</v>
      </c>
      <c r="D4380" s="5">
        <v>125650</v>
      </c>
      <c r="E4380" s="5">
        <v>219825</v>
      </c>
      <c r="F4380" s="4">
        <v>0</v>
      </c>
      <c r="G4380" s="5">
        <v>0</v>
      </c>
      <c r="H4380" s="5">
        <v>9200</v>
      </c>
      <c r="I4380" s="118">
        <f t="shared" si="221"/>
        <v>4.1851472762424659E-2</v>
      </c>
      <c r="K4380" s="22">
        <v>1867</v>
      </c>
      <c r="L4380" s="6">
        <v>1880</v>
      </c>
      <c r="M4380" s="125">
        <f t="shared" si="214"/>
        <v>13</v>
      </c>
      <c r="P4380" s="247">
        <v>13040</v>
      </c>
      <c r="Q4380" s="25">
        <f>175.41/1088.1</f>
        <v>0.16120760959470637</v>
      </c>
      <c r="U4380" s="388">
        <v>0.1</v>
      </c>
      <c r="W4380" s="285">
        <f t="shared" si="222"/>
        <v>2312.3619520264683</v>
      </c>
    </row>
    <row r="4381" spans="1:23" ht="15" customHeight="1">
      <c r="A4381" s="3">
        <v>41991</v>
      </c>
      <c r="B4381" s="9">
        <v>93450</v>
      </c>
      <c r="C4381" s="5">
        <v>725</v>
      </c>
      <c r="D4381" s="5">
        <v>126625</v>
      </c>
      <c r="E4381" s="5">
        <v>220800</v>
      </c>
      <c r="F4381" s="4">
        <v>1000</v>
      </c>
      <c r="G4381" s="5">
        <v>25</v>
      </c>
      <c r="H4381" s="5">
        <v>9175</v>
      </c>
      <c r="I4381" s="118">
        <f t="shared" si="221"/>
        <v>4.1553442028985504E-2</v>
      </c>
      <c r="K4381" s="22">
        <v>1854</v>
      </c>
      <c r="L4381" s="6">
        <v>1868</v>
      </c>
      <c r="M4381" s="125">
        <f t="shared" si="214"/>
        <v>14</v>
      </c>
      <c r="P4381" s="247">
        <v>12690</v>
      </c>
      <c r="Q4381" s="25">
        <f>177.34/1103.2</f>
        <v>0.16075054387237128</v>
      </c>
      <c r="U4381" s="388">
        <v>0.1</v>
      </c>
      <c r="W4381" s="285">
        <f t="shared" si="222"/>
        <v>2243.9168419144312</v>
      </c>
    </row>
    <row r="4382" spans="1:23" ht="15" customHeight="1">
      <c r="A4382" s="3">
        <v>41992</v>
      </c>
      <c r="B4382" s="9">
        <v>93150</v>
      </c>
      <c r="C4382" s="5">
        <v>725</v>
      </c>
      <c r="D4382" s="5">
        <v>126625</v>
      </c>
      <c r="E4382" s="5">
        <v>220500</v>
      </c>
      <c r="F4382" s="4">
        <v>0</v>
      </c>
      <c r="G4382" s="5">
        <v>300</v>
      </c>
      <c r="H4382" s="5">
        <v>8875</v>
      </c>
      <c r="I4382" s="118">
        <f t="shared" si="221"/>
        <v>4.0249433106575964E-2</v>
      </c>
      <c r="K4382" s="22">
        <v>1870</v>
      </c>
      <c r="L4382" s="6">
        <v>1886</v>
      </c>
      <c r="M4382" s="125">
        <f t="shared" si="214"/>
        <v>16</v>
      </c>
      <c r="P4382" s="247">
        <v>12540</v>
      </c>
      <c r="Q4382" s="25">
        <f>176.97/1101.3</f>
        <v>0.1606919095614274</v>
      </c>
      <c r="U4382" s="388">
        <v>0.1</v>
      </c>
      <c r="W4382" s="285">
        <f t="shared" si="222"/>
        <v>2216.5842004903297</v>
      </c>
    </row>
    <row r="4383" spans="1:23" ht="15" customHeight="1">
      <c r="A4383" s="3">
        <v>41995</v>
      </c>
      <c r="B4383" s="9">
        <v>93100</v>
      </c>
      <c r="C4383" s="5">
        <v>725</v>
      </c>
      <c r="D4383" s="5">
        <v>126925</v>
      </c>
      <c r="E4383" s="5">
        <v>220750</v>
      </c>
      <c r="F4383" s="4">
        <v>300</v>
      </c>
      <c r="G4383" s="5">
        <v>50</v>
      </c>
      <c r="H4383" s="5">
        <v>8825</v>
      </c>
      <c r="I4383" s="118">
        <f t="shared" si="221"/>
        <v>3.997734994337486E-2</v>
      </c>
      <c r="K4383" s="22">
        <v>1864</v>
      </c>
      <c r="L4383" s="6">
        <v>1877</v>
      </c>
      <c r="M4383" s="125">
        <f t="shared" si="214"/>
        <v>13</v>
      </c>
      <c r="P4383" s="247">
        <v>12640</v>
      </c>
      <c r="Q4383" s="25">
        <f>176.38/1097.3</f>
        <v>0.16073999817734438</v>
      </c>
      <c r="U4383" s="388">
        <v>0.1</v>
      </c>
      <c r="W4383" s="285">
        <f t="shared" si="222"/>
        <v>2234.9289346577962</v>
      </c>
    </row>
    <row r="4384" spans="1:23" ht="15" customHeight="1">
      <c r="A4384" s="3">
        <v>41996</v>
      </c>
      <c r="B4384" s="9">
        <v>93075</v>
      </c>
      <c r="C4384" s="5">
        <v>725</v>
      </c>
      <c r="D4384" s="5">
        <v>126925</v>
      </c>
      <c r="E4384" s="5">
        <v>220725</v>
      </c>
      <c r="F4384" s="4">
        <v>0</v>
      </c>
      <c r="G4384" s="5">
        <v>25</v>
      </c>
      <c r="H4384" s="5">
        <v>8800</v>
      </c>
      <c r="I4384" s="118">
        <f t="shared" si="221"/>
        <v>3.9868614792162194E-2</v>
      </c>
      <c r="K4384" s="22">
        <v>1862.5</v>
      </c>
      <c r="L4384" s="6">
        <v>1875</v>
      </c>
      <c r="M4384" s="125">
        <f t="shared" si="214"/>
        <v>12.5</v>
      </c>
      <c r="P4384" s="247">
        <v>12610</v>
      </c>
      <c r="Q4384" s="25">
        <f>176.61/1100.5</f>
        <v>0.16048159927305772</v>
      </c>
      <c r="U4384" s="388">
        <v>0.1</v>
      </c>
      <c r="W4384" s="285">
        <f t="shared" si="222"/>
        <v>2226.0402635165838</v>
      </c>
    </row>
    <row r="4385" spans="1:23" ht="15" customHeight="1">
      <c r="A4385" s="3">
        <v>41997</v>
      </c>
      <c r="B4385" s="9">
        <v>93075</v>
      </c>
      <c r="C4385" s="5">
        <v>725</v>
      </c>
      <c r="D4385" s="5">
        <v>127225</v>
      </c>
      <c r="E4385" s="5">
        <v>221025</v>
      </c>
      <c r="H4385" s="5">
        <v>8825</v>
      </c>
      <c r="I4385" s="118">
        <f t="shared" si="221"/>
        <v>3.9927609998868907E-2</v>
      </c>
      <c r="K4385" s="22">
        <v>1847.5</v>
      </c>
      <c r="L4385" s="6">
        <v>1850</v>
      </c>
      <c r="M4385" s="125">
        <f t="shared" si="214"/>
        <v>2.5</v>
      </c>
      <c r="P4385" s="247">
        <v>12590</v>
      </c>
      <c r="Q4385" s="25">
        <f>177.91/1104.3</f>
        <v>0.16110658335597211</v>
      </c>
      <c r="U4385" s="388">
        <v>0.1</v>
      </c>
      <c r="W4385" s="285">
        <f t="shared" si="222"/>
        <v>2231.165072896858</v>
      </c>
    </row>
    <row r="4386" spans="1:23" ht="15" customHeight="1">
      <c r="A4386" s="3">
        <v>41998</v>
      </c>
      <c r="B4386" s="9">
        <v>0</v>
      </c>
      <c r="F4386" s="1318" t="s">
        <v>51</v>
      </c>
      <c r="G4386" s="1318"/>
      <c r="H4386" s="1318"/>
      <c r="I4386" s="1318"/>
      <c r="J4386" s="5"/>
      <c r="P4386" s="247">
        <v>12590</v>
      </c>
      <c r="Q4386" s="25">
        <f>177.91/1104.3</f>
        <v>0.16110658335597211</v>
      </c>
      <c r="U4386" s="388">
        <v>0.1</v>
      </c>
      <c r="W4386" s="285">
        <f t="shared" si="222"/>
        <v>2231.165072896858</v>
      </c>
    </row>
    <row r="4387" spans="1:23" ht="15" customHeight="1">
      <c r="A4387" s="3">
        <v>41999</v>
      </c>
      <c r="B4387" s="9">
        <v>0</v>
      </c>
      <c r="F4387" s="1318"/>
      <c r="G4387" s="1318"/>
      <c r="H4387" s="1318"/>
      <c r="I4387" s="1318"/>
      <c r="J4387" s="5"/>
      <c r="P4387" s="247">
        <v>12590</v>
      </c>
      <c r="Q4387" s="25">
        <f>176.81/1099.5</f>
        <v>0.1608094588449295</v>
      </c>
      <c r="U4387" s="388">
        <v>0.1</v>
      </c>
      <c r="W4387" s="285">
        <f t="shared" si="222"/>
        <v>2227.0501955434288</v>
      </c>
    </row>
    <row r="4388" spans="1:23" ht="15" customHeight="1">
      <c r="A4388" s="3">
        <v>42002</v>
      </c>
      <c r="B4388" s="9">
        <v>93075</v>
      </c>
      <c r="C4388" s="5">
        <v>725</v>
      </c>
      <c r="D4388" s="5">
        <v>128225</v>
      </c>
      <c r="E4388" s="5">
        <v>222025</v>
      </c>
      <c r="F4388" s="4">
        <v>1000</v>
      </c>
      <c r="G4388" s="5">
        <v>0</v>
      </c>
      <c r="H4388" s="5">
        <v>8850</v>
      </c>
      <c r="I4388" s="118">
        <f>H4388/E4388</f>
        <v>3.9860376083774351E-2</v>
      </c>
      <c r="K4388" s="22">
        <v>1822</v>
      </c>
      <c r="L4388" s="6">
        <v>1840</v>
      </c>
      <c r="M4388" s="125">
        <f t="shared" ref="M4388:M4430" si="223">L4388-K4388</f>
        <v>18</v>
      </c>
      <c r="P4388" s="247">
        <v>12590</v>
      </c>
      <c r="Q4388" s="25">
        <f>176.1/1098.2</f>
        <v>0.16035330540885084</v>
      </c>
      <c r="U4388" s="388">
        <v>0.1</v>
      </c>
      <c r="W4388" s="285">
        <f>(P4388*Q4388)*(1+U4388)</f>
        <v>2220.7329266071756</v>
      </c>
    </row>
    <row r="4389" spans="1:23" ht="15" customHeight="1">
      <c r="A4389" s="3">
        <v>42003</v>
      </c>
      <c r="B4389" s="9">
        <v>93275</v>
      </c>
      <c r="C4389" s="5">
        <v>725</v>
      </c>
      <c r="D4389" s="5">
        <v>128000</v>
      </c>
      <c r="E4389" s="5">
        <v>222000</v>
      </c>
      <c r="F4389" s="4">
        <v>0</v>
      </c>
      <c r="G4389" s="5">
        <v>25</v>
      </c>
      <c r="H4389" s="5">
        <v>9825</v>
      </c>
      <c r="I4389" s="118">
        <f>H4389/E4389</f>
        <v>4.4256756756756756E-2</v>
      </c>
      <c r="K4389" s="22">
        <v>1814</v>
      </c>
      <c r="L4389" s="6">
        <v>1824</v>
      </c>
      <c r="M4389" s="125">
        <f t="shared" si="223"/>
        <v>10</v>
      </c>
      <c r="O4389" s="315"/>
      <c r="P4389" s="247">
        <v>12590</v>
      </c>
      <c r="Q4389" s="25">
        <f>176.81/1099.2</f>
        <v>0.16085334788937408</v>
      </c>
      <c r="U4389" s="388">
        <v>0.1</v>
      </c>
      <c r="W4389" s="285">
        <f>(P4389*Q4389)*(1+U4389)</f>
        <v>2227.6580149199417</v>
      </c>
    </row>
    <row r="4390" spans="1:23" ht="15" customHeight="1">
      <c r="A4390" s="3">
        <v>42004</v>
      </c>
      <c r="B4390" s="9">
        <v>93050</v>
      </c>
      <c r="C4390" s="5">
        <v>725</v>
      </c>
      <c r="D4390" s="5">
        <v>128200</v>
      </c>
      <c r="E4390" s="5">
        <v>221975</v>
      </c>
      <c r="F4390" s="4">
        <v>0</v>
      </c>
      <c r="G4390" s="5">
        <v>25</v>
      </c>
      <c r="H4390" s="5">
        <v>9800</v>
      </c>
      <c r="I4390" s="118">
        <f>H4390/E4390</f>
        <v>4.4149115891429218E-2</v>
      </c>
      <c r="K4390" s="22">
        <v>1853</v>
      </c>
      <c r="L4390" s="6">
        <v>1866</v>
      </c>
      <c r="M4390" s="125">
        <f t="shared" si="223"/>
        <v>13</v>
      </c>
      <c r="N4390" s="235">
        <f>AVERAGE(K4368:K4390)</f>
        <v>1936.0952380952381</v>
      </c>
      <c r="O4390" s="230">
        <f>AVERAGE(K4120:K4390)</f>
        <v>2095.97628458498</v>
      </c>
      <c r="P4390" s="247">
        <v>12590</v>
      </c>
      <c r="Q4390" s="25">
        <f>176.78/1099.2</f>
        <v>0.16082605531295488</v>
      </c>
      <c r="U4390" s="388">
        <v>0.1</v>
      </c>
      <c r="W4390" s="285">
        <f>(P4390*Q4390)*(1+U4390)</f>
        <v>2227.2800400291121</v>
      </c>
    </row>
    <row r="4391" spans="1:23" ht="15" customHeight="1" thickBot="1">
      <c r="A4391" s="216"/>
      <c r="B4391" s="1330"/>
      <c r="C4391" s="1330"/>
      <c r="D4391" s="1330"/>
      <c r="E4391" s="216"/>
      <c r="F4391" s="407"/>
      <c r="G4391" s="164"/>
      <c r="H4391" s="164"/>
      <c r="I4391" s="166"/>
      <c r="J4391" s="166"/>
      <c r="K4391" s="166"/>
      <c r="L4391" s="167"/>
      <c r="M4391" s="168"/>
      <c r="N4391" s="169"/>
      <c r="O4391" s="183"/>
      <c r="P4391" s="180"/>
      <c r="Q4391" s="154"/>
      <c r="R4391" s="248"/>
      <c r="S4391" s="249"/>
      <c r="T4391" s="249"/>
      <c r="U4391" s="152"/>
      <c r="V4391" s="153">
        <f>AVERAGE(P4368:P4390)</f>
        <v>13040.869565217392</v>
      </c>
      <c r="W4391" s="295"/>
    </row>
    <row r="4392" spans="1:23" ht="15" customHeight="1">
      <c r="A4392" s="3">
        <v>42006</v>
      </c>
      <c r="B4392" s="9">
        <v>93050</v>
      </c>
      <c r="C4392" s="5">
        <v>725</v>
      </c>
      <c r="D4392" s="5">
        <v>128200</v>
      </c>
      <c r="E4392" s="5">
        <v>221975</v>
      </c>
      <c r="F4392" s="4">
        <v>0</v>
      </c>
      <c r="G4392" s="5">
        <v>0</v>
      </c>
      <c r="H4392" s="5">
        <v>10275</v>
      </c>
      <c r="I4392" s="118">
        <f t="shared" ref="I4392:I4412" si="224">H4392/E4392</f>
        <v>4.6288996508615836E-2</v>
      </c>
      <c r="K4392" s="22">
        <v>1845</v>
      </c>
      <c r="L4392" s="6">
        <v>1860</v>
      </c>
      <c r="M4392" s="125">
        <f t="shared" si="223"/>
        <v>15</v>
      </c>
      <c r="P4392" s="247">
        <v>12590</v>
      </c>
      <c r="Q4392" s="25">
        <f>177.02/1102.6</f>
        <v>0.16054779611826595</v>
      </c>
      <c r="U4392" s="388">
        <v>0.1</v>
      </c>
      <c r="W4392" s="285">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18">
        <f t="shared" si="224"/>
        <v>4.651424709989864E-2</v>
      </c>
      <c r="K4393" s="22">
        <v>1833</v>
      </c>
      <c r="L4393" s="6">
        <v>1846.5</v>
      </c>
      <c r="M4393" s="125">
        <f t="shared" si="223"/>
        <v>13.5</v>
      </c>
      <c r="P4393" s="247">
        <v>12590</v>
      </c>
      <c r="Q4393" s="25">
        <f>178.02/1108.7</f>
        <v>0.16056642915125824</v>
      </c>
      <c r="U4393" s="388">
        <v>0.1</v>
      </c>
      <c r="W4393" s="285">
        <f t="shared" si="225"/>
        <v>2223.6844773157754</v>
      </c>
    </row>
    <row r="4394" spans="1:23" ht="15" customHeight="1">
      <c r="A4394" s="3">
        <v>42010</v>
      </c>
      <c r="B4394" s="9">
        <v>93050</v>
      </c>
      <c r="C4394" s="5">
        <v>725</v>
      </c>
      <c r="D4394" s="5">
        <v>128200</v>
      </c>
      <c r="E4394" s="5">
        <v>221975</v>
      </c>
      <c r="F4394" s="4">
        <v>0</v>
      </c>
      <c r="G4394" s="5">
        <v>0</v>
      </c>
      <c r="H4394" s="5">
        <v>10425</v>
      </c>
      <c r="I4394" s="118">
        <f t="shared" si="224"/>
        <v>4.696474828246424E-2</v>
      </c>
      <c r="K4394" s="22">
        <v>1831</v>
      </c>
      <c r="L4394" s="6">
        <v>1846</v>
      </c>
      <c r="M4394" s="125">
        <f t="shared" si="223"/>
        <v>15</v>
      </c>
      <c r="P4394" s="247">
        <v>12540</v>
      </c>
      <c r="Q4394" s="25">
        <f>177.69/1103.9</f>
        <v>0.16096566717999816</v>
      </c>
      <c r="U4394" s="388">
        <v>0.1</v>
      </c>
      <c r="W4394" s="285">
        <f t="shared" si="225"/>
        <v>2220.3604130808949</v>
      </c>
    </row>
    <row r="4395" spans="1:23" ht="15" customHeight="1">
      <c r="A4395" s="3">
        <v>42011</v>
      </c>
      <c r="B4395" s="9">
        <v>93050</v>
      </c>
      <c r="C4395" s="5">
        <v>725</v>
      </c>
      <c r="D4395" s="5">
        <v>128200</v>
      </c>
      <c r="E4395" s="5">
        <v>221975</v>
      </c>
      <c r="F4395" s="4">
        <v>0</v>
      </c>
      <c r="G4395" s="5">
        <v>0</v>
      </c>
      <c r="H4395" s="5">
        <v>11425</v>
      </c>
      <c r="I4395" s="118">
        <f t="shared" si="224"/>
        <v>5.1469760108120287E-2</v>
      </c>
      <c r="K4395" s="22">
        <v>1820</v>
      </c>
      <c r="L4395" s="6">
        <v>1840</v>
      </c>
      <c r="M4395" s="125">
        <f t="shared" si="223"/>
        <v>20</v>
      </c>
      <c r="P4395" s="247">
        <v>12570</v>
      </c>
      <c r="Q4395" s="25">
        <f>176.86/1099.7</f>
        <v>0.1608256797308357</v>
      </c>
      <c r="U4395" s="388">
        <v>0.1</v>
      </c>
      <c r="W4395" s="285">
        <f t="shared" si="225"/>
        <v>2223.7366736382655</v>
      </c>
    </row>
    <row r="4396" spans="1:23" ht="15" customHeight="1">
      <c r="A4396" s="3">
        <v>42012</v>
      </c>
      <c r="B4396" s="9">
        <v>93050</v>
      </c>
      <c r="C4396" s="5">
        <v>725</v>
      </c>
      <c r="D4396" s="5">
        <v>128200</v>
      </c>
      <c r="E4396" s="5">
        <v>221975</v>
      </c>
      <c r="F4396" s="4">
        <v>0</v>
      </c>
      <c r="G4396" s="5">
        <v>0</v>
      </c>
      <c r="H4396" s="5">
        <v>11425</v>
      </c>
      <c r="I4396" s="118">
        <f t="shared" si="224"/>
        <v>5.1469760108120287E-2</v>
      </c>
      <c r="K4396" s="22">
        <v>1853</v>
      </c>
      <c r="L4396" s="6">
        <v>1867</v>
      </c>
      <c r="M4396" s="125">
        <f t="shared" si="223"/>
        <v>14</v>
      </c>
      <c r="P4396" s="247">
        <v>12570</v>
      </c>
      <c r="Q4396" s="25">
        <f>176.65/1098.5</f>
        <v>0.16081019572143834</v>
      </c>
      <c r="U4396" s="388">
        <v>0.1</v>
      </c>
      <c r="W4396" s="285">
        <f t="shared" si="225"/>
        <v>2223.5225762403284</v>
      </c>
    </row>
    <row r="4397" spans="1:23" ht="15" customHeight="1">
      <c r="A4397" s="3">
        <v>42013</v>
      </c>
      <c r="B4397" s="9">
        <v>91950</v>
      </c>
      <c r="C4397" s="5">
        <v>725</v>
      </c>
      <c r="D4397" s="5">
        <v>128100</v>
      </c>
      <c r="E4397" s="5">
        <v>220775</v>
      </c>
      <c r="F4397" s="4">
        <v>0</v>
      </c>
      <c r="G4397" s="5">
        <v>1200</v>
      </c>
      <c r="H4397" s="5">
        <v>10325</v>
      </c>
      <c r="I4397" s="118">
        <f t="shared" si="224"/>
        <v>4.6767070546936927E-2</v>
      </c>
      <c r="K4397" s="22">
        <v>1826</v>
      </c>
      <c r="L4397" s="6">
        <v>1840</v>
      </c>
      <c r="M4397" s="125">
        <f t="shared" si="223"/>
        <v>14</v>
      </c>
      <c r="P4397" s="247">
        <v>12570</v>
      </c>
      <c r="Q4397" s="25">
        <f>176/1092.2</f>
        <v>0.16114264786669108</v>
      </c>
      <c r="U4397" s="388">
        <v>0.1</v>
      </c>
      <c r="W4397" s="285">
        <f t="shared" si="225"/>
        <v>2228.1193920527376</v>
      </c>
    </row>
    <row r="4398" spans="1:23" ht="15" customHeight="1">
      <c r="A4398" s="3">
        <v>42016</v>
      </c>
      <c r="B4398" s="9">
        <v>91350</v>
      </c>
      <c r="C4398" s="5">
        <v>725</v>
      </c>
      <c r="D4398" s="5">
        <v>128075</v>
      </c>
      <c r="E4398" s="5">
        <v>220150</v>
      </c>
      <c r="F4398" s="4">
        <v>0</v>
      </c>
      <c r="G4398" s="5">
        <v>625</v>
      </c>
      <c r="H4398" s="5">
        <v>9700</v>
      </c>
      <c r="I4398" s="118">
        <f t="shared" si="224"/>
        <v>4.4060867590279357E-2</v>
      </c>
      <c r="K4398" s="22">
        <v>1831</v>
      </c>
      <c r="L4398" s="6">
        <v>1848</v>
      </c>
      <c r="M4398" s="125">
        <f t="shared" si="223"/>
        <v>17</v>
      </c>
      <c r="P4398" s="247">
        <v>12540</v>
      </c>
      <c r="Q4398" s="25">
        <f>174.73/1083</f>
        <v>0.16133887349953832</v>
      </c>
      <c r="U4398" s="388">
        <v>0.1</v>
      </c>
      <c r="W4398" s="285">
        <f t="shared" si="225"/>
        <v>2225.5084210526315</v>
      </c>
    </row>
    <row r="4399" spans="1:23" ht="15" customHeight="1">
      <c r="A4399" s="3">
        <v>42017</v>
      </c>
      <c r="B4399" s="9">
        <v>87025</v>
      </c>
      <c r="C4399" s="5">
        <v>725</v>
      </c>
      <c r="D4399" s="5">
        <v>128075</v>
      </c>
      <c r="E4399" s="5">
        <v>215825</v>
      </c>
      <c r="F4399" s="4">
        <v>0</v>
      </c>
      <c r="G4399" s="5">
        <v>4325</v>
      </c>
      <c r="H4399" s="5">
        <v>5375</v>
      </c>
      <c r="I4399" s="118">
        <f t="shared" si="224"/>
        <v>2.4904436464728369E-2</v>
      </c>
      <c r="K4399" s="22">
        <v>1800.5</v>
      </c>
      <c r="L4399" s="6">
        <v>1819</v>
      </c>
      <c r="M4399" s="125">
        <f t="shared" si="223"/>
        <v>18.5</v>
      </c>
      <c r="P4399" s="247">
        <v>12540</v>
      </c>
      <c r="Q4399" s="25">
        <f>174.53/1081.5</f>
        <v>0.16137771613499768</v>
      </c>
      <c r="U4399" s="388">
        <v>0.1</v>
      </c>
      <c r="W4399" s="285">
        <f t="shared" si="225"/>
        <v>2226.0442163661583</v>
      </c>
    </row>
    <row r="4400" spans="1:23" ht="15" customHeight="1">
      <c r="A4400" s="3">
        <v>42018</v>
      </c>
      <c r="B4400" s="9">
        <v>87025</v>
      </c>
      <c r="C4400" s="5">
        <v>725</v>
      </c>
      <c r="D4400" s="5">
        <v>128075</v>
      </c>
      <c r="E4400" s="5">
        <v>215825</v>
      </c>
      <c r="F4400" s="4">
        <v>0</v>
      </c>
      <c r="G4400" s="5">
        <v>0</v>
      </c>
      <c r="H4400" s="5">
        <v>5475</v>
      </c>
      <c r="I4400" s="118">
        <f t="shared" si="224"/>
        <v>2.5367774817560522E-2</v>
      </c>
      <c r="K4400" s="22">
        <v>1745</v>
      </c>
      <c r="L4400" s="6">
        <v>1760</v>
      </c>
      <c r="M4400" s="125">
        <f t="shared" si="223"/>
        <v>15</v>
      </c>
      <c r="P4400" s="247">
        <v>12340</v>
      </c>
      <c r="Q4400" s="25">
        <f>174.33/1079.9</f>
        <v>0.16143161403833689</v>
      </c>
      <c r="U4400" s="388">
        <v>0.1</v>
      </c>
      <c r="W4400" s="285">
        <f t="shared" si="225"/>
        <v>2191.272728956385</v>
      </c>
    </row>
    <row r="4401" spans="1:23" ht="15" customHeight="1">
      <c r="A4401" s="3">
        <v>42019</v>
      </c>
      <c r="B4401" s="9">
        <v>87025</v>
      </c>
      <c r="C4401" s="5">
        <v>725</v>
      </c>
      <c r="D4401" s="5">
        <v>128075</v>
      </c>
      <c r="E4401" s="5">
        <v>215825</v>
      </c>
      <c r="F4401" s="4">
        <v>0</v>
      </c>
      <c r="G4401" s="5">
        <v>0</v>
      </c>
      <c r="H4401" s="5">
        <v>5500</v>
      </c>
      <c r="I4401" s="118">
        <f t="shared" si="224"/>
        <v>2.5483609405768562E-2</v>
      </c>
      <c r="K4401" s="22">
        <v>1771</v>
      </c>
      <c r="L4401" s="6">
        <v>1787</v>
      </c>
      <c r="M4401" s="125">
        <f t="shared" si="223"/>
        <v>16</v>
      </c>
      <c r="P4401" s="247">
        <v>12390</v>
      </c>
      <c r="Q4401" s="25">
        <f>174.42/1084.1</f>
        <v>0.1608892168619131</v>
      </c>
      <c r="U4401" s="388">
        <v>0.1</v>
      </c>
      <c r="W4401" s="285">
        <f t="shared" si="225"/>
        <v>2192.7591366110137</v>
      </c>
    </row>
    <row r="4402" spans="1:23" ht="15" customHeight="1">
      <c r="A4402" s="3">
        <v>42020</v>
      </c>
      <c r="B4402" s="9">
        <v>87025</v>
      </c>
      <c r="C4402" s="5">
        <v>725</v>
      </c>
      <c r="D4402" s="5">
        <v>128075</v>
      </c>
      <c r="E4402" s="5">
        <v>215825</v>
      </c>
      <c r="F4402" s="4">
        <v>0</v>
      </c>
      <c r="G4402" s="5">
        <v>0</v>
      </c>
      <c r="H4402" s="5">
        <v>5525</v>
      </c>
      <c r="I4402" s="118">
        <f t="shared" si="224"/>
        <v>2.5599443993976602E-2</v>
      </c>
      <c r="K4402" s="22">
        <v>1766.5</v>
      </c>
      <c r="L4402" s="6">
        <v>1781.5</v>
      </c>
      <c r="M4402" s="125">
        <f t="shared" si="223"/>
        <v>15</v>
      </c>
      <c r="P4402" s="247">
        <v>12440</v>
      </c>
      <c r="Q4402" s="25">
        <f>172.53/1077.3</f>
        <v>0.16015037593984963</v>
      </c>
      <c r="U4402" s="388">
        <v>0.1</v>
      </c>
      <c r="W4402" s="285">
        <f t="shared" si="225"/>
        <v>2191.4977443609023</v>
      </c>
    </row>
    <row r="4403" spans="1:23" ht="15" customHeight="1">
      <c r="A4403" s="3">
        <v>42023</v>
      </c>
      <c r="B4403" s="9">
        <v>86925</v>
      </c>
      <c r="C4403" s="5">
        <v>725</v>
      </c>
      <c r="D4403" s="5">
        <v>128075</v>
      </c>
      <c r="E4403" s="5">
        <v>215725</v>
      </c>
      <c r="F4403" s="4">
        <v>0</v>
      </c>
      <c r="G4403" s="5">
        <v>100</v>
      </c>
      <c r="H4403" s="5">
        <v>5475</v>
      </c>
      <c r="I4403" s="118">
        <f t="shared" si="224"/>
        <v>2.5379534129099549E-2</v>
      </c>
      <c r="K4403" s="22">
        <v>1827.5</v>
      </c>
      <c r="L4403" s="6">
        <v>1838</v>
      </c>
      <c r="M4403" s="125">
        <f t="shared" si="223"/>
        <v>10.5</v>
      </c>
      <c r="P4403" s="247">
        <v>12490</v>
      </c>
      <c r="Q4403" s="25">
        <f>173.49/1079.8</f>
        <v>0.16066864234117431</v>
      </c>
      <c r="U4403" s="388">
        <v>0.1</v>
      </c>
      <c r="W4403" s="285">
        <f t="shared" si="225"/>
        <v>2207.4264771253938</v>
      </c>
    </row>
    <row r="4404" spans="1:23" ht="15" customHeight="1">
      <c r="A4404" s="3">
        <v>42024</v>
      </c>
      <c r="B4404" s="9">
        <v>86875</v>
      </c>
      <c r="C4404" s="5">
        <v>725</v>
      </c>
      <c r="D4404" s="5">
        <v>128075</v>
      </c>
      <c r="E4404" s="5">
        <v>215675</v>
      </c>
      <c r="F4404" s="4">
        <v>0</v>
      </c>
      <c r="G4404" s="5">
        <v>50</v>
      </c>
      <c r="H4404" s="5">
        <v>5425</v>
      </c>
      <c r="I4404" s="118">
        <f t="shared" si="224"/>
        <v>2.5153587573895908E-2</v>
      </c>
      <c r="K4404" s="22">
        <v>1875.5</v>
      </c>
      <c r="L4404" s="6">
        <v>1889</v>
      </c>
      <c r="M4404" s="125">
        <f t="shared" si="223"/>
        <v>13.5</v>
      </c>
      <c r="P4404" s="247">
        <v>12490</v>
      </c>
      <c r="Q4404" s="25">
        <f>174.3/1084.4</f>
        <v>0.16073404647731465</v>
      </c>
      <c r="U4404" s="388">
        <v>0.1</v>
      </c>
      <c r="W4404" s="285">
        <f t="shared" si="225"/>
        <v>2208.325064551826</v>
      </c>
    </row>
    <row r="4405" spans="1:23" ht="15" customHeight="1">
      <c r="A4405" s="3">
        <v>42025</v>
      </c>
      <c r="B4405" s="9">
        <v>86875</v>
      </c>
      <c r="C4405" s="5">
        <v>725</v>
      </c>
      <c r="D4405" s="5">
        <v>128000</v>
      </c>
      <c r="E4405" s="5">
        <v>215600</v>
      </c>
      <c r="F4405" s="4">
        <v>0</v>
      </c>
      <c r="G4405" s="5">
        <v>75</v>
      </c>
      <c r="H4405" s="5">
        <v>5400</v>
      </c>
      <c r="I4405" s="118">
        <f t="shared" si="224"/>
        <v>2.5046382189239332E-2</v>
      </c>
      <c r="K4405" s="22">
        <v>1862</v>
      </c>
      <c r="L4405" s="6">
        <v>1875</v>
      </c>
      <c r="M4405" s="125">
        <f t="shared" si="223"/>
        <v>13</v>
      </c>
      <c r="P4405" s="247">
        <v>12540</v>
      </c>
      <c r="Q4405" s="25">
        <f>178.78/1086.8</f>
        <v>0.16450128818549872</v>
      </c>
      <c r="U4405" s="388">
        <v>0.1</v>
      </c>
      <c r="W4405" s="285">
        <f t="shared" si="225"/>
        <v>2269.1307692307696</v>
      </c>
    </row>
    <row r="4406" spans="1:23" ht="15" customHeight="1">
      <c r="A4406" s="3">
        <v>42026</v>
      </c>
      <c r="B4406" s="9">
        <v>86875</v>
      </c>
      <c r="C4406" s="5">
        <v>725</v>
      </c>
      <c r="D4406" s="5">
        <v>127925</v>
      </c>
      <c r="E4406" s="5">
        <v>215525</v>
      </c>
      <c r="F4406" s="4">
        <v>0</v>
      </c>
      <c r="G4406" s="5">
        <v>75</v>
      </c>
      <c r="H4406" s="5">
        <v>5325</v>
      </c>
      <c r="I4406" s="118">
        <f t="shared" si="224"/>
        <v>2.4707110544020416E-2</v>
      </c>
      <c r="K4406" s="22">
        <v>1881.5</v>
      </c>
      <c r="L4406" s="6">
        <v>1894</v>
      </c>
      <c r="M4406" s="125">
        <f t="shared" si="223"/>
        <v>12.5</v>
      </c>
      <c r="P4406" s="247">
        <v>12640</v>
      </c>
      <c r="Q4406" s="25">
        <f>174.44/1085.3</f>
        <v>0.16072975214226481</v>
      </c>
      <c r="U4406" s="388">
        <v>0.1</v>
      </c>
      <c r="W4406" s="285">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18">
        <f t="shared" si="224"/>
        <v>2.3709902370990237E-2</v>
      </c>
      <c r="K4407" s="22">
        <v>1831</v>
      </c>
      <c r="L4407" s="6">
        <v>1846.5</v>
      </c>
      <c r="M4407" s="125">
        <f t="shared" si="223"/>
        <v>15.5</v>
      </c>
      <c r="P4407" s="247">
        <v>12590</v>
      </c>
      <c r="Q4407" s="25">
        <f>174.44/1085.3</f>
        <v>0.16072975214226481</v>
      </c>
      <c r="U4407" s="388">
        <v>0.1</v>
      </c>
      <c r="W4407" s="285">
        <f t="shared" si="226"/>
        <v>2225.9463374182255</v>
      </c>
    </row>
    <row r="4408" spans="1:23" ht="15" customHeight="1">
      <c r="A4408" s="3">
        <v>42030</v>
      </c>
      <c r="B4408" s="9">
        <v>86525</v>
      </c>
      <c r="C4408" s="5">
        <v>725</v>
      </c>
      <c r="D4408" s="5">
        <v>127800</v>
      </c>
      <c r="E4408" s="5">
        <v>215050</v>
      </c>
      <c r="F4408" s="4">
        <v>0</v>
      </c>
      <c r="G4408" s="5">
        <v>50</v>
      </c>
      <c r="H4408" s="5">
        <v>5325</v>
      </c>
      <c r="I4408" s="118">
        <f t="shared" si="224"/>
        <v>2.4761683329458266E-2</v>
      </c>
      <c r="K4408" s="22">
        <v>1845</v>
      </c>
      <c r="L4408" s="6">
        <v>1855</v>
      </c>
      <c r="M4408" s="125">
        <f t="shared" si="223"/>
        <v>10</v>
      </c>
      <c r="P4408" s="247">
        <v>12540</v>
      </c>
      <c r="Q4408" s="25">
        <f>172.59/1079.3</f>
        <v>0.15990920040767165</v>
      </c>
      <c r="U4408" s="388">
        <v>0.1</v>
      </c>
      <c r="W4408" s="285">
        <f t="shared" si="226"/>
        <v>2205.7875104234226</v>
      </c>
    </row>
    <row r="4409" spans="1:23" ht="15" customHeight="1">
      <c r="A4409" s="3">
        <v>42031</v>
      </c>
      <c r="B4409" s="9">
        <v>86250</v>
      </c>
      <c r="C4409" s="5">
        <v>725</v>
      </c>
      <c r="D4409" s="5">
        <v>128100</v>
      </c>
      <c r="E4409" s="5">
        <v>215075</v>
      </c>
      <c r="F4409" s="4">
        <v>300</v>
      </c>
      <c r="G4409" s="5">
        <v>275</v>
      </c>
      <c r="H4409" s="5">
        <v>5050</v>
      </c>
      <c r="I4409" s="118">
        <f t="shared" si="224"/>
        <v>2.3480181332093456E-2</v>
      </c>
      <c r="K4409" s="22">
        <v>1844</v>
      </c>
      <c r="L4409" s="6">
        <v>1860</v>
      </c>
      <c r="M4409" s="125">
        <f t="shared" si="223"/>
        <v>16</v>
      </c>
      <c r="P4409" s="247">
        <v>12590</v>
      </c>
      <c r="Q4409" s="25">
        <f>173.32/1082.1</f>
        <v>0.16017003973754737</v>
      </c>
      <c r="U4409" s="388">
        <v>0.1</v>
      </c>
      <c r="W4409" s="285">
        <f t="shared" si="226"/>
        <v>2218.1948803252935</v>
      </c>
    </row>
    <row r="4410" spans="1:23" ht="15" customHeight="1">
      <c r="A4410" s="3">
        <v>42032</v>
      </c>
      <c r="B4410" s="9">
        <v>86250</v>
      </c>
      <c r="C4410" s="5">
        <v>725</v>
      </c>
      <c r="D4410" s="5">
        <v>128100</v>
      </c>
      <c r="E4410" s="5">
        <v>215075</v>
      </c>
      <c r="F4410" s="4">
        <v>0</v>
      </c>
      <c r="G4410" s="5">
        <v>0</v>
      </c>
      <c r="H4410" s="5">
        <v>7825</v>
      </c>
      <c r="I4410" s="118">
        <f t="shared" si="224"/>
        <v>3.6382657212600256E-2</v>
      </c>
      <c r="K4410" s="22">
        <v>1853.5</v>
      </c>
      <c r="L4410" s="6">
        <v>1872</v>
      </c>
      <c r="M4410" s="125">
        <f t="shared" si="223"/>
        <v>18.5</v>
      </c>
      <c r="P4410" s="247">
        <v>12580</v>
      </c>
      <c r="Q4410" s="25">
        <f>173.32/1082.1</f>
        <v>0.16017003973754737</v>
      </c>
      <c r="U4410" s="388">
        <v>0.1</v>
      </c>
      <c r="W4410" s="285">
        <f t="shared" si="226"/>
        <v>2216.4330098881805</v>
      </c>
    </row>
    <row r="4411" spans="1:23" ht="15" customHeight="1">
      <c r="A4411" s="3">
        <v>42033</v>
      </c>
      <c r="B4411" s="9">
        <v>86250</v>
      </c>
      <c r="C4411" s="5">
        <v>725</v>
      </c>
      <c r="D4411" s="5">
        <v>128075</v>
      </c>
      <c r="E4411" s="5">
        <v>215050</v>
      </c>
      <c r="F4411" s="4">
        <v>0</v>
      </c>
      <c r="G4411" s="5">
        <v>25</v>
      </c>
      <c r="H4411" s="5">
        <v>7800</v>
      </c>
      <c r="I4411" s="118">
        <f t="shared" si="224"/>
        <v>3.6270634736107879E-2</v>
      </c>
      <c r="K4411" s="22">
        <v>1827</v>
      </c>
      <c r="L4411" s="6">
        <v>1844</v>
      </c>
      <c r="M4411" s="125">
        <f t="shared" si="223"/>
        <v>17</v>
      </c>
      <c r="P4411" s="247">
        <v>12580</v>
      </c>
      <c r="Q4411" s="25">
        <f>174.19/1090.8</f>
        <v>0.15969013568023468</v>
      </c>
      <c r="U4411" s="388">
        <v>0.1</v>
      </c>
      <c r="W4411" s="285">
        <f t="shared" si="226"/>
        <v>2209.7920975430875</v>
      </c>
    </row>
    <row r="4412" spans="1:23" ht="15" customHeight="1">
      <c r="A4412" s="3">
        <v>42034</v>
      </c>
      <c r="B4412" s="9">
        <v>86200</v>
      </c>
      <c r="C4412" s="5">
        <v>725</v>
      </c>
      <c r="D4412" s="5">
        <v>128075</v>
      </c>
      <c r="E4412" s="5">
        <v>215000</v>
      </c>
      <c r="F4412" s="4">
        <v>0</v>
      </c>
      <c r="G4412" s="5">
        <v>50</v>
      </c>
      <c r="H4412" s="5">
        <v>8825</v>
      </c>
      <c r="I4412" s="118">
        <f t="shared" si="224"/>
        <v>4.1046511627906977E-2</v>
      </c>
      <c r="K4412" s="22">
        <v>1843.5</v>
      </c>
      <c r="L4412" s="6">
        <v>1860.5</v>
      </c>
      <c r="M4412" s="125">
        <f t="shared" si="223"/>
        <v>17</v>
      </c>
      <c r="N4412" s="235">
        <f>AVERAGE(K4392:K4412)</f>
        <v>1829.1666666666667</v>
      </c>
      <c r="O4412" s="230">
        <f>AVERAGE(K4392:K4412)</f>
        <v>1829.1666666666667</v>
      </c>
      <c r="P4412" s="247">
        <v>12570</v>
      </c>
      <c r="Q4412" s="25">
        <f>174.43/1095.9</f>
        <v>0.15916598229765488</v>
      </c>
      <c r="U4412" s="388">
        <v>0.1</v>
      </c>
      <c r="W4412" s="285">
        <f>(P4412*Q4412)*(1+U4412)</f>
        <v>2200.788037229674</v>
      </c>
    </row>
    <row r="4413" spans="1:23" ht="15" customHeight="1" thickBot="1">
      <c r="A4413" s="216"/>
      <c r="B4413" s="1330"/>
      <c r="C4413" s="1330"/>
      <c r="D4413" s="1330"/>
      <c r="E4413" s="216"/>
      <c r="F4413" s="407"/>
      <c r="G4413" s="164"/>
      <c r="H4413" s="164"/>
      <c r="I4413" s="166"/>
      <c r="J4413" s="166"/>
      <c r="K4413" s="166"/>
      <c r="L4413" s="167"/>
      <c r="M4413" s="168"/>
      <c r="N4413" s="169"/>
      <c r="O4413" s="183"/>
      <c r="P4413" s="180"/>
      <c r="Q4413" s="154"/>
      <c r="R4413" s="248"/>
      <c r="S4413" s="249"/>
      <c r="T4413" s="249"/>
      <c r="U4413" s="152"/>
      <c r="V4413" s="153">
        <f>AVERAGE(P4392:P4412)</f>
        <v>12537.619047619048</v>
      </c>
      <c r="W4413" s="295"/>
    </row>
    <row r="4414" spans="1:23" ht="15" customHeight="1">
      <c r="A4414" s="3">
        <v>42037</v>
      </c>
      <c r="B4414" s="9">
        <v>86075</v>
      </c>
      <c r="C4414" s="5">
        <v>725</v>
      </c>
      <c r="D4414" s="5">
        <v>128050</v>
      </c>
      <c r="E4414" s="5">
        <v>214850</v>
      </c>
      <c r="F4414" s="4">
        <v>0</v>
      </c>
      <c r="G4414" s="5">
        <v>150</v>
      </c>
      <c r="H4414" s="5">
        <v>8850</v>
      </c>
      <c r="I4414" s="118">
        <f t="shared" ref="I4414:I4433" si="227">H4414/E4414</f>
        <v>4.1191528973702582E-2</v>
      </c>
      <c r="K4414" s="22">
        <v>1839</v>
      </c>
      <c r="L4414" s="6">
        <v>1856</v>
      </c>
      <c r="M4414" s="125">
        <f t="shared" si="223"/>
        <v>17</v>
      </c>
      <c r="P4414" s="247">
        <v>12570</v>
      </c>
      <c r="Q4414" s="25">
        <f>175.66/1101.2</f>
        <v>0.15951689066472938</v>
      </c>
      <c r="U4414" s="388">
        <v>0.1</v>
      </c>
      <c r="W4414" s="285">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18">
        <f t="shared" si="227"/>
        <v>4.6302775833916489E-2</v>
      </c>
      <c r="K4415" s="22">
        <v>1848</v>
      </c>
      <c r="L4415" s="6">
        <v>1862</v>
      </c>
      <c r="M4415" s="125">
        <f t="shared" si="223"/>
        <v>14</v>
      </c>
      <c r="P4415" s="247">
        <v>12590</v>
      </c>
      <c r="Q4415" s="25">
        <f>175.53/1098.3</f>
        <v>0.15981972138759903</v>
      </c>
      <c r="U4415" s="388">
        <v>0.1</v>
      </c>
      <c r="W4415" s="285">
        <f t="shared" si="228"/>
        <v>2213.3433214968591</v>
      </c>
    </row>
    <row r="4416" spans="1:23" ht="15" customHeight="1">
      <c r="A4416" s="3">
        <v>42039</v>
      </c>
      <c r="B4416" s="9">
        <v>85675</v>
      </c>
      <c r="C4416" s="5">
        <v>725</v>
      </c>
      <c r="D4416" s="5">
        <v>127900</v>
      </c>
      <c r="E4416" s="5">
        <v>214300</v>
      </c>
      <c r="F4416" s="4">
        <v>0</v>
      </c>
      <c r="G4416" s="5">
        <v>50</v>
      </c>
      <c r="H4416" s="5">
        <v>9975</v>
      </c>
      <c r="I4416" s="118">
        <f t="shared" si="227"/>
        <v>4.6546896873541764E-2</v>
      </c>
      <c r="K4416" s="22">
        <v>1841</v>
      </c>
      <c r="L4416" s="6">
        <v>1853</v>
      </c>
      <c r="M4416" s="125">
        <f t="shared" si="223"/>
        <v>12</v>
      </c>
      <c r="P4416" s="247">
        <v>12590</v>
      </c>
      <c r="Q4416" s="25">
        <f>173.92/1089.2</f>
        <v>0.15967682702901209</v>
      </c>
      <c r="U4416" s="388">
        <v>0.1</v>
      </c>
      <c r="W4416" s="285">
        <f t="shared" si="228"/>
        <v>2211.3643775247888</v>
      </c>
    </row>
    <row r="4417" spans="1:23" ht="15" customHeight="1">
      <c r="A4417" s="3">
        <v>42040</v>
      </c>
      <c r="B4417" s="9">
        <v>85675</v>
      </c>
      <c r="C4417" s="5">
        <v>725</v>
      </c>
      <c r="D4417" s="5">
        <v>128175</v>
      </c>
      <c r="E4417" s="5">
        <v>214575</v>
      </c>
      <c r="F4417" s="4">
        <v>475</v>
      </c>
      <c r="G4417" s="5">
        <v>200</v>
      </c>
      <c r="H4417" s="5">
        <v>10275</v>
      </c>
      <c r="I4417" s="118">
        <f t="shared" si="227"/>
        <v>4.7885354771059069E-2</v>
      </c>
      <c r="K4417" s="22">
        <v>1847</v>
      </c>
      <c r="L4417" s="6">
        <v>1860</v>
      </c>
      <c r="M4417" s="125">
        <f t="shared" si="223"/>
        <v>13</v>
      </c>
      <c r="P4417" s="247">
        <v>12590</v>
      </c>
      <c r="Q4417" s="25">
        <f>174.47/1089.2</f>
        <v>0.16018178479618067</v>
      </c>
      <c r="U4417" s="388">
        <v>0.1</v>
      </c>
      <c r="W4417" s="285">
        <f t="shared" si="228"/>
        <v>2218.3575376423064</v>
      </c>
    </row>
    <row r="4418" spans="1:23" ht="15" customHeight="1">
      <c r="A4418" s="3">
        <v>42041</v>
      </c>
      <c r="B4418" s="9">
        <v>85425</v>
      </c>
      <c r="C4418" s="5">
        <v>725</v>
      </c>
      <c r="D4418" s="5">
        <v>128100</v>
      </c>
      <c r="E4418" s="5">
        <v>214250</v>
      </c>
      <c r="F4418" s="4">
        <v>0</v>
      </c>
      <c r="G4418" s="5">
        <v>325</v>
      </c>
      <c r="H4418" s="5">
        <v>10675</v>
      </c>
      <c r="I4418" s="118">
        <f t="shared" si="227"/>
        <v>4.9824970828471413E-2</v>
      </c>
      <c r="K4418" s="22">
        <v>1850</v>
      </c>
      <c r="L4418" s="6">
        <v>1860.5</v>
      </c>
      <c r="M4418" s="125">
        <f t="shared" si="223"/>
        <v>10.5</v>
      </c>
      <c r="P4418" s="247">
        <v>12590</v>
      </c>
      <c r="Q4418" s="25">
        <f>174.19/1088.3</f>
        <v>0.16005696958559221</v>
      </c>
      <c r="U4418" s="388">
        <v>0.1</v>
      </c>
      <c r="W4418" s="285">
        <f t="shared" si="228"/>
        <v>2216.6289717908667</v>
      </c>
    </row>
    <row r="4419" spans="1:23" ht="15" customHeight="1">
      <c r="A4419" s="3">
        <v>42044</v>
      </c>
      <c r="B4419" s="9">
        <v>84625</v>
      </c>
      <c r="C4419" s="5">
        <v>725</v>
      </c>
      <c r="D4419" s="5">
        <v>128250</v>
      </c>
      <c r="E4419" s="5">
        <v>213600</v>
      </c>
      <c r="F4419" s="4">
        <v>225</v>
      </c>
      <c r="G4419" s="5">
        <v>875</v>
      </c>
      <c r="H4419" s="5">
        <v>9825</v>
      </c>
      <c r="I4419" s="118">
        <f t="shared" si="227"/>
        <v>4.5997191011235956E-2</v>
      </c>
      <c r="K4419" s="22">
        <v>1846</v>
      </c>
      <c r="L4419" s="6">
        <v>1857</v>
      </c>
      <c r="M4419" s="125">
        <f t="shared" si="223"/>
        <v>11</v>
      </c>
      <c r="P4419" s="247">
        <v>12560</v>
      </c>
      <c r="Q4419" s="25">
        <f>175.46/1097</f>
        <v>0.15994530537830448</v>
      </c>
      <c r="U4419" s="388">
        <v>0.1</v>
      </c>
      <c r="W4419" s="285">
        <f t="shared" si="228"/>
        <v>2209.8043391066549</v>
      </c>
    </row>
    <row r="4420" spans="1:23" ht="15" customHeight="1">
      <c r="A4420" s="3">
        <v>42045</v>
      </c>
      <c r="B4420" s="9">
        <v>83900</v>
      </c>
      <c r="C4420" s="5">
        <v>725</v>
      </c>
      <c r="D4420" s="5">
        <v>128075</v>
      </c>
      <c r="E4420" s="5">
        <v>212700</v>
      </c>
      <c r="F4420" s="4">
        <v>0</v>
      </c>
      <c r="G4420" s="5">
        <v>900</v>
      </c>
      <c r="H4420" s="5">
        <v>9975</v>
      </c>
      <c r="I4420" s="118">
        <f t="shared" si="227"/>
        <v>4.6897038081805363E-2</v>
      </c>
      <c r="K4420" s="22">
        <v>1835</v>
      </c>
      <c r="L4420" s="6">
        <v>1845</v>
      </c>
      <c r="M4420" s="125">
        <f t="shared" si="223"/>
        <v>10</v>
      </c>
      <c r="P4420" s="247">
        <v>12560</v>
      </c>
      <c r="Q4420" s="25">
        <f>174.39/1090.8</f>
        <v>0.15987348734873486</v>
      </c>
      <c r="U4420" s="388">
        <v>0.1</v>
      </c>
      <c r="W4420" s="285">
        <f t="shared" si="228"/>
        <v>2208.812101210121</v>
      </c>
    </row>
    <row r="4421" spans="1:23" ht="15" customHeight="1">
      <c r="A4421" s="3">
        <v>42046</v>
      </c>
      <c r="B4421" s="9">
        <v>84400</v>
      </c>
      <c r="C4421" s="5">
        <v>725</v>
      </c>
      <c r="D4421" s="5">
        <v>129125</v>
      </c>
      <c r="E4421" s="5">
        <v>214250</v>
      </c>
      <c r="F4421" s="4">
        <v>2250</v>
      </c>
      <c r="G4421" s="5">
        <v>700</v>
      </c>
      <c r="H4421" s="5">
        <v>9275</v>
      </c>
      <c r="I4421" s="118">
        <f t="shared" si="227"/>
        <v>4.3290548424737459E-2</v>
      </c>
      <c r="K4421" s="22">
        <v>1827</v>
      </c>
      <c r="L4421" s="6">
        <v>1840</v>
      </c>
      <c r="M4421" s="125">
        <f t="shared" si="223"/>
        <v>13</v>
      </c>
      <c r="P4421" s="247">
        <v>12530</v>
      </c>
      <c r="Q4421" s="25">
        <f>175.6/1096.9</f>
        <v>0.16008751937277782</v>
      </c>
      <c r="U4421" s="388">
        <v>0.1</v>
      </c>
      <c r="W4421" s="285">
        <f t="shared" si="228"/>
        <v>2206.486279514997</v>
      </c>
    </row>
    <row r="4422" spans="1:23" ht="15" customHeight="1">
      <c r="A4422" s="3">
        <v>42047</v>
      </c>
      <c r="B4422" s="9">
        <v>84250</v>
      </c>
      <c r="C4422" s="5">
        <v>725</v>
      </c>
      <c r="D4422" s="5">
        <v>129050</v>
      </c>
      <c r="E4422" s="5">
        <v>214025</v>
      </c>
      <c r="F4422" s="4">
        <v>0</v>
      </c>
      <c r="G4422" s="5">
        <v>225</v>
      </c>
      <c r="H4422" s="5">
        <v>10150</v>
      </c>
      <c r="I4422" s="118">
        <f t="shared" si="227"/>
        <v>4.7424366312346686E-2</v>
      </c>
      <c r="K4422" s="22">
        <v>1810</v>
      </c>
      <c r="L4422" s="6">
        <v>1823</v>
      </c>
      <c r="M4422" s="125">
        <f t="shared" si="223"/>
        <v>13</v>
      </c>
      <c r="P4422" s="247">
        <v>12480</v>
      </c>
      <c r="Q4422" s="25">
        <f>177.46/1107.5</f>
        <v>0.16023476297968398</v>
      </c>
      <c r="U4422" s="388">
        <v>0.1</v>
      </c>
      <c r="W4422" s="285">
        <f>(P4422*Q4422)*(1+U4422)</f>
        <v>2199.7028261851019</v>
      </c>
    </row>
    <row r="4423" spans="1:23" ht="15" customHeight="1">
      <c r="A4423" s="3">
        <v>42048</v>
      </c>
      <c r="B4423" s="9">
        <v>83775</v>
      </c>
      <c r="C4423" s="5">
        <v>725</v>
      </c>
      <c r="D4423" s="5">
        <v>129175</v>
      </c>
      <c r="E4423" s="5">
        <v>213675</v>
      </c>
      <c r="F4423" s="4">
        <v>250</v>
      </c>
      <c r="G4423" s="5">
        <v>600</v>
      </c>
      <c r="H4423" s="5">
        <v>12050</v>
      </c>
      <c r="I4423" s="118">
        <f t="shared" si="227"/>
        <v>5.6394056394056397E-2</v>
      </c>
      <c r="K4423" s="22">
        <v>1834</v>
      </c>
      <c r="L4423" s="6">
        <v>1845</v>
      </c>
      <c r="M4423" s="125">
        <f t="shared" si="223"/>
        <v>11</v>
      </c>
      <c r="P4423" s="247">
        <v>12540</v>
      </c>
      <c r="Q4423" s="25">
        <f>175.94/1098.4</f>
        <v>0.16017844136926437</v>
      </c>
      <c r="U4423" s="388">
        <v>0.1</v>
      </c>
      <c r="W4423" s="285">
        <f>(P4423*Q4423)*(1+U4423)</f>
        <v>2209.5014202476327</v>
      </c>
    </row>
    <row r="4424" spans="1:23" ht="15" customHeight="1">
      <c r="A4424" s="3">
        <v>42051</v>
      </c>
      <c r="B4424" s="9">
        <v>83325</v>
      </c>
      <c r="C4424" s="5">
        <v>725</v>
      </c>
      <c r="D4424" s="5">
        <v>129375</v>
      </c>
      <c r="E4424" s="5">
        <v>213425</v>
      </c>
      <c r="F4424" s="4">
        <v>300</v>
      </c>
      <c r="G4424" s="5">
        <v>550</v>
      </c>
      <c r="H4424" s="5">
        <v>12025</v>
      </c>
      <c r="I4424" s="118">
        <f t="shared" si="227"/>
        <v>5.6342977626800982E-2</v>
      </c>
      <c r="K4424" s="22">
        <v>1821</v>
      </c>
      <c r="L4424" s="6">
        <v>1836.5</v>
      </c>
      <c r="M4424" s="125">
        <f t="shared" si="223"/>
        <v>15.5</v>
      </c>
      <c r="P4424" s="247">
        <v>12540</v>
      </c>
      <c r="Q4424" s="25">
        <f>175.33/1098.7</f>
        <v>0.15957950304905799</v>
      </c>
      <c r="U4424" s="388">
        <v>0.1</v>
      </c>
      <c r="W4424" s="285">
        <f>(P4424*Q4424)*(1+U4424)</f>
        <v>2201.2396650587061</v>
      </c>
    </row>
    <row r="4425" spans="1:23" ht="15" customHeight="1">
      <c r="A4425" s="3">
        <v>42052</v>
      </c>
      <c r="B4425" s="9">
        <v>83075</v>
      </c>
      <c r="C4425" s="5">
        <v>725</v>
      </c>
      <c r="D4425" s="5">
        <v>129675</v>
      </c>
      <c r="E4425" s="5">
        <v>213475</v>
      </c>
      <c r="F4425" s="4">
        <v>300</v>
      </c>
      <c r="G4425" s="5">
        <v>250</v>
      </c>
      <c r="H4425" s="5">
        <v>11775</v>
      </c>
      <c r="I4425" s="118">
        <f t="shared" si="227"/>
        <v>5.5158683686614356E-2</v>
      </c>
      <c r="K4425" s="22">
        <v>1795.5</v>
      </c>
      <c r="L4425" s="6">
        <v>1811.5</v>
      </c>
      <c r="M4425" s="125">
        <f t="shared" si="223"/>
        <v>16</v>
      </c>
      <c r="P4425" s="247">
        <v>12540</v>
      </c>
      <c r="Q4425" s="1341" t="s">
        <v>49</v>
      </c>
      <c r="U4425" s="388">
        <v>0.1</v>
      </c>
    </row>
    <row r="4426" spans="1:23" ht="15" customHeight="1">
      <c r="A4426" s="3">
        <v>42053</v>
      </c>
      <c r="B4426" s="9">
        <v>82325</v>
      </c>
      <c r="C4426" s="5">
        <v>725</v>
      </c>
      <c r="D4426" s="5">
        <v>129300</v>
      </c>
      <c r="E4426" s="5">
        <v>212350</v>
      </c>
      <c r="F4426" s="4">
        <v>0</v>
      </c>
      <c r="G4426" s="5">
        <v>1125</v>
      </c>
      <c r="H4426" s="5">
        <v>13400</v>
      </c>
      <c r="I4426" s="118">
        <f t="shared" si="227"/>
        <v>6.3103367082646578E-2</v>
      </c>
      <c r="K4426" s="22">
        <v>1774</v>
      </c>
      <c r="L4426" s="6">
        <v>1796</v>
      </c>
      <c r="M4426" s="125">
        <f t="shared" si="223"/>
        <v>22</v>
      </c>
      <c r="P4426" s="1341" t="s">
        <v>50</v>
      </c>
      <c r="Q4426" s="1341"/>
      <c r="U4426" s="388">
        <v>0.1</v>
      </c>
    </row>
    <row r="4427" spans="1:23" ht="15" customHeight="1">
      <c r="A4427" s="3">
        <v>42054</v>
      </c>
      <c r="B4427" s="9">
        <v>82275</v>
      </c>
      <c r="C4427" s="5">
        <v>725</v>
      </c>
      <c r="D4427" s="5">
        <v>129050</v>
      </c>
      <c r="E4427" s="5">
        <v>212050</v>
      </c>
      <c r="F4427" s="4">
        <v>0</v>
      </c>
      <c r="G4427" s="5">
        <v>300</v>
      </c>
      <c r="H4427" s="5">
        <v>13250</v>
      </c>
      <c r="I4427" s="118">
        <f t="shared" si="227"/>
        <v>6.2485262909691114E-2</v>
      </c>
      <c r="K4427" s="22">
        <v>1783.5</v>
      </c>
      <c r="L4427" s="6">
        <v>1800</v>
      </c>
      <c r="M4427" s="125">
        <f t="shared" si="223"/>
        <v>16.5</v>
      </c>
      <c r="P4427" s="1341"/>
      <c r="Q4427" s="1341"/>
      <c r="U4427" s="388">
        <v>0.1</v>
      </c>
    </row>
    <row r="4428" spans="1:23" ht="15" customHeight="1">
      <c r="A4428" s="3">
        <v>42055</v>
      </c>
      <c r="B4428" s="9">
        <v>82275</v>
      </c>
      <c r="C4428" s="5">
        <v>725</v>
      </c>
      <c r="D4428" s="5">
        <v>128925</v>
      </c>
      <c r="E4428" s="5">
        <v>211925</v>
      </c>
      <c r="F4428" s="4">
        <v>350</v>
      </c>
      <c r="G4428" s="5">
        <v>475</v>
      </c>
      <c r="H4428" s="5">
        <v>12775</v>
      </c>
      <c r="I4428" s="118">
        <f t="shared" si="227"/>
        <v>6.028075970272502E-2</v>
      </c>
      <c r="K4428" s="22">
        <v>1774.5</v>
      </c>
      <c r="L4428" s="6">
        <v>1787</v>
      </c>
      <c r="M4428" s="125">
        <f t="shared" si="223"/>
        <v>12.5</v>
      </c>
      <c r="P4428" s="1341"/>
      <c r="Q4428" s="25">
        <f>175.41/1101.3</f>
        <v>0.15927540179787525</v>
      </c>
      <c r="U4428" s="388">
        <v>0.1</v>
      </c>
    </row>
    <row r="4429" spans="1:23" ht="15" customHeight="1">
      <c r="A4429" s="3">
        <v>42058</v>
      </c>
      <c r="B4429" s="9">
        <v>82275</v>
      </c>
      <c r="C4429" s="5">
        <v>725</v>
      </c>
      <c r="D4429" s="5">
        <v>128525</v>
      </c>
      <c r="E4429" s="5">
        <v>211525</v>
      </c>
      <c r="F4429" s="4">
        <v>0</v>
      </c>
      <c r="G4429" s="5">
        <v>400</v>
      </c>
      <c r="H4429" s="5">
        <v>12375</v>
      </c>
      <c r="I4429" s="118">
        <f t="shared" si="227"/>
        <v>5.8503722964188633E-2</v>
      </c>
      <c r="K4429" s="22">
        <v>1757</v>
      </c>
      <c r="L4429" s="6">
        <v>1774</v>
      </c>
      <c r="M4429" s="125">
        <f t="shared" si="223"/>
        <v>17</v>
      </c>
      <c r="P4429" s="1341"/>
      <c r="Q4429" s="25">
        <f>176.91/1109.8</f>
        <v>0.15940710037844658</v>
      </c>
      <c r="U4429" s="388">
        <v>0.1</v>
      </c>
    </row>
    <row r="4430" spans="1:23" ht="15" customHeight="1">
      <c r="A4430" s="3">
        <v>42059</v>
      </c>
      <c r="B4430" s="9">
        <v>82125</v>
      </c>
      <c r="C4430" s="5">
        <v>725</v>
      </c>
      <c r="D4430" s="5">
        <v>129850</v>
      </c>
      <c r="E4430" s="5">
        <v>212700</v>
      </c>
      <c r="F4430" s="4">
        <v>1700</v>
      </c>
      <c r="G4430" s="5">
        <v>525</v>
      </c>
      <c r="H4430" s="5">
        <v>13450</v>
      </c>
      <c r="I4430" s="118">
        <f t="shared" si="227"/>
        <v>6.3234602726845321E-2</v>
      </c>
      <c r="K4430" s="22">
        <v>1762</v>
      </c>
      <c r="L4430" s="6">
        <v>1781</v>
      </c>
      <c r="M4430" s="125">
        <f t="shared" si="223"/>
        <v>19</v>
      </c>
      <c r="P4430" s="1341"/>
      <c r="Q4430" s="25">
        <f>176.99/1108.6</f>
        <v>0.1596518130976006</v>
      </c>
      <c r="U4430" s="388">
        <v>0.1</v>
      </c>
    </row>
    <row r="4431" spans="1:23" ht="15" customHeight="1">
      <c r="A4431" s="3">
        <v>42060</v>
      </c>
      <c r="B4431" s="9">
        <v>82375</v>
      </c>
      <c r="C4431" s="5">
        <v>725</v>
      </c>
      <c r="D4431" s="5">
        <v>130650</v>
      </c>
      <c r="E4431" s="5">
        <v>213750</v>
      </c>
      <c r="F4431" s="4">
        <v>1275</v>
      </c>
      <c r="G4431" s="5">
        <v>225</v>
      </c>
      <c r="H4431" s="5">
        <v>13225</v>
      </c>
      <c r="I4431" s="118">
        <f t="shared" si="227"/>
        <v>6.1871345029239765E-2</v>
      </c>
      <c r="K4431" s="22">
        <v>1764</v>
      </c>
      <c r="L4431" s="6">
        <v>1780</v>
      </c>
      <c r="M4431" s="125">
        <f>L4431-K4431</f>
        <v>16</v>
      </c>
      <c r="P4431" s="247">
        <v>12470</v>
      </c>
      <c r="Q4431" s="25">
        <f>175.82/1102.5</f>
        <v>0.15947392290249432</v>
      </c>
      <c r="U4431" s="388">
        <v>0.1</v>
      </c>
      <c r="W4431" s="285">
        <f>(P4431*Q4431)*(1+U4431)</f>
        <v>2187.5038004535145</v>
      </c>
    </row>
    <row r="4432" spans="1:23" ht="15" customHeight="1">
      <c r="A4432" s="3">
        <v>42061</v>
      </c>
      <c r="B4432" s="9">
        <v>82375</v>
      </c>
      <c r="C4432" s="5">
        <v>725</v>
      </c>
      <c r="D4432" s="5">
        <v>130550</v>
      </c>
      <c r="E4432" s="5">
        <v>213650</v>
      </c>
      <c r="F4432" s="4">
        <v>0</v>
      </c>
      <c r="G4432" s="5">
        <v>100</v>
      </c>
      <c r="H4432" s="5">
        <v>13475</v>
      </c>
      <c r="I4432" s="118">
        <f t="shared" si="227"/>
        <v>6.3070442312192845E-2</v>
      </c>
      <c r="K4432" s="22">
        <v>1759</v>
      </c>
      <c r="L4432" s="6">
        <v>1770</v>
      </c>
      <c r="M4432" s="125">
        <f>L4432-K4432</f>
        <v>11</v>
      </c>
      <c r="P4432" s="247">
        <v>12430</v>
      </c>
      <c r="Q4432" s="25">
        <f>175.1/1099.2</f>
        <v>0.15929767103347889</v>
      </c>
      <c r="U4432" s="388">
        <v>0.1</v>
      </c>
      <c r="W4432" s="285">
        <f>(P4432*Q4432)*(1+U4432)</f>
        <v>2178.0770560407568</v>
      </c>
    </row>
    <row r="4433" spans="1:23" ht="15" customHeight="1">
      <c r="A4433" s="3">
        <v>42062</v>
      </c>
      <c r="B4433" s="9">
        <v>82375</v>
      </c>
      <c r="C4433" s="5">
        <v>725</v>
      </c>
      <c r="D4433" s="5">
        <v>131650</v>
      </c>
      <c r="E4433" s="5">
        <v>214750</v>
      </c>
      <c r="F4433" s="4">
        <v>1100</v>
      </c>
      <c r="G4433" s="5">
        <v>0</v>
      </c>
      <c r="H4433" s="5">
        <v>13675</v>
      </c>
      <c r="I4433" s="118">
        <f t="shared" si="227"/>
        <v>6.3678696158323639E-2</v>
      </c>
      <c r="K4433" s="22">
        <v>1726</v>
      </c>
      <c r="L4433" s="6">
        <v>1745</v>
      </c>
      <c r="M4433" s="125">
        <f>L4433-K4433</f>
        <v>19</v>
      </c>
      <c r="N4433" s="235">
        <f>AVERAGE(K4414:K4433)</f>
        <v>1804.675</v>
      </c>
      <c r="O4433" s="230">
        <f>AVERAGE(K4392:K4433)</f>
        <v>1817.219512195122</v>
      </c>
      <c r="P4433" s="247">
        <v>12430</v>
      </c>
      <c r="Q4433" s="25">
        <f>174.66/1099.5</f>
        <v>0.15885402455661665</v>
      </c>
      <c r="U4433" s="388">
        <v>0.1</v>
      </c>
      <c r="W4433" s="285">
        <f>(P4433*Q4433)*(1+U4433)</f>
        <v>2172.0110777626196</v>
      </c>
    </row>
    <row r="4434" spans="1:23" ht="15" customHeight="1" thickBot="1">
      <c r="A4434" s="216"/>
      <c r="B4434" s="1330"/>
      <c r="C4434" s="1330"/>
      <c r="D4434" s="1330"/>
      <c r="E4434" s="216"/>
      <c r="F4434" s="407"/>
      <c r="G4434" s="164"/>
      <c r="H4434" s="164"/>
      <c r="I4434" s="166"/>
      <c r="J4434" s="166"/>
      <c r="K4434" s="166"/>
      <c r="L4434" s="167"/>
      <c r="M4434" s="168"/>
      <c r="N4434" s="169"/>
      <c r="O4434" s="183"/>
      <c r="P4434" s="180"/>
      <c r="Q4434" s="154"/>
      <c r="R4434" s="248"/>
      <c r="S4434" s="249"/>
      <c r="T4434" s="249"/>
      <c r="U4434" s="152"/>
      <c r="V4434" s="153">
        <f>AVERAGE(P4413:P4433)</f>
        <v>12534</v>
      </c>
      <c r="W4434" s="295"/>
    </row>
    <row r="4435" spans="1:23" ht="15" customHeight="1">
      <c r="A4435" s="3">
        <v>42065</v>
      </c>
      <c r="B4435" s="9">
        <v>82325</v>
      </c>
      <c r="C4435" s="5">
        <v>725</v>
      </c>
      <c r="D4435" s="5">
        <v>131650</v>
      </c>
      <c r="E4435" s="5">
        <v>214700</v>
      </c>
      <c r="F4435" s="4">
        <v>0</v>
      </c>
      <c r="G4435" s="5">
        <v>50</v>
      </c>
      <c r="H4435" s="5">
        <v>13625</v>
      </c>
      <c r="I4435" s="118">
        <f t="shared" ref="I4435:I4456" si="229">H4435/E4435</f>
        <v>6.3460642757335817E-2</v>
      </c>
      <c r="K4435" s="22">
        <v>1725</v>
      </c>
      <c r="L4435" s="6">
        <v>1738</v>
      </c>
      <c r="M4435" s="125">
        <f t="shared" ref="M4435:M4441" si="230">L4435-K4435</f>
        <v>13</v>
      </c>
      <c r="P4435" s="247">
        <v>12360</v>
      </c>
      <c r="Q4435" s="25">
        <f>175.28/1102.5</f>
        <v>0.15898412698412698</v>
      </c>
      <c r="U4435" s="388">
        <v>0.1</v>
      </c>
      <c r="W4435" s="285">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18">
        <f t="shared" si="229"/>
        <v>6.3956197576887239E-2</v>
      </c>
      <c r="K4436" s="22">
        <v>1736</v>
      </c>
      <c r="L4436" s="6">
        <v>1742</v>
      </c>
      <c r="M4436" s="125">
        <f t="shared" si="230"/>
        <v>6</v>
      </c>
      <c r="P4436" s="247">
        <v>12330</v>
      </c>
      <c r="Q4436" s="25">
        <f>174.99/1100</f>
        <v>0.15908181818181819</v>
      </c>
      <c r="U4436" s="388">
        <v>0.1</v>
      </c>
      <c r="W4436" s="285">
        <f t="shared" si="231"/>
        <v>2157.6267000000003</v>
      </c>
    </row>
    <row r="4437" spans="1:23" ht="15" customHeight="1">
      <c r="A4437" s="3">
        <v>42067</v>
      </c>
      <c r="B4437" s="9">
        <v>81775</v>
      </c>
      <c r="C4437" s="5">
        <v>725</v>
      </c>
      <c r="D4437" s="5">
        <v>131750</v>
      </c>
      <c r="E4437" s="5">
        <v>214250</v>
      </c>
      <c r="F4437" s="4">
        <v>100</v>
      </c>
      <c r="G4437" s="5">
        <v>450</v>
      </c>
      <c r="H4437" s="5">
        <v>13675</v>
      </c>
      <c r="I4437" s="118">
        <f t="shared" si="229"/>
        <v>6.3827304550758454E-2</v>
      </c>
      <c r="K4437" s="22">
        <v>1747</v>
      </c>
      <c r="L4437" s="6">
        <v>1759</v>
      </c>
      <c r="M4437" s="125">
        <f t="shared" si="230"/>
        <v>12</v>
      </c>
      <c r="P4437" s="247">
        <v>12330</v>
      </c>
      <c r="Q4437" s="25">
        <f>174.38/1096.5</f>
        <v>0.15903328773369813</v>
      </c>
      <c r="U4437" s="388">
        <v>0.1</v>
      </c>
      <c r="W4437" s="285">
        <f t="shared" si="231"/>
        <v>2156.968481532148</v>
      </c>
    </row>
    <row r="4438" spans="1:23" ht="15" customHeight="1">
      <c r="A4438" s="3">
        <v>42068</v>
      </c>
      <c r="B4438" s="9">
        <v>81500</v>
      </c>
      <c r="C4438" s="5">
        <v>725</v>
      </c>
      <c r="D4438" s="5">
        <v>131650</v>
      </c>
      <c r="E4438" s="5">
        <v>213875</v>
      </c>
      <c r="F4438" s="4">
        <v>0</v>
      </c>
      <c r="G4438" s="5">
        <v>375</v>
      </c>
      <c r="H4438" s="5">
        <v>17425</v>
      </c>
      <c r="I4438" s="118">
        <f t="shared" si="229"/>
        <v>8.1472822910578613E-2</v>
      </c>
      <c r="K4438" s="22">
        <v>1783.5</v>
      </c>
      <c r="L4438" s="6">
        <v>1788</v>
      </c>
      <c r="M4438" s="125">
        <f t="shared" si="230"/>
        <v>4.5</v>
      </c>
      <c r="P4438" s="247">
        <v>12330</v>
      </c>
      <c r="Q4438" s="25">
        <f>175.32/1100.1</f>
        <v>0.15936733024270522</v>
      </c>
      <c r="U4438" s="388">
        <v>0.1</v>
      </c>
      <c r="W4438" s="285">
        <f t="shared" si="231"/>
        <v>2161.4991000818109</v>
      </c>
    </row>
    <row r="4439" spans="1:23" ht="15" customHeight="1">
      <c r="A4439" s="3">
        <v>42069</v>
      </c>
      <c r="B4439" s="9">
        <v>80500</v>
      </c>
      <c r="C4439" s="5">
        <v>725</v>
      </c>
      <c r="D4439" s="5">
        <v>132725</v>
      </c>
      <c r="E4439" s="5">
        <v>213950</v>
      </c>
      <c r="F4439" s="4">
        <v>1075</v>
      </c>
      <c r="G4439" s="5">
        <v>1000</v>
      </c>
      <c r="H4439" s="5">
        <v>18525</v>
      </c>
      <c r="I4439" s="118">
        <f t="shared" si="229"/>
        <v>8.6585650853003043E-2</v>
      </c>
      <c r="K4439" s="22">
        <v>1805</v>
      </c>
      <c r="L4439" s="6">
        <v>1809</v>
      </c>
      <c r="M4439" s="125">
        <f t="shared" si="230"/>
        <v>4</v>
      </c>
      <c r="P4439" s="247">
        <v>12330</v>
      </c>
      <c r="Q4439" s="25">
        <f>175.17/1099.5</f>
        <v>0.15931787175989084</v>
      </c>
      <c r="U4439" s="388">
        <v>0.1</v>
      </c>
      <c r="W4439" s="285">
        <f t="shared" si="231"/>
        <v>2160.8282946793997</v>
      </c>
    </row>
    <row r="4440" spans="1:23" ht="15" customHeight="1">
      <c r="A4440" s="3">
        <v>42072</v>
      </c>
      <c r="B4440" s="9">
        <v>80175</v>
      </c>
      <c r="C4440" s="5">
        <v>725</v>
      </c>
      <c r="D4440" s="5">
        <v>133225</v>
      </c>
      <c r="E4440" s="5">
        <v>214125</v>
      </c>
      <c r="F4440" s="4">
        <v>1150</v>
      </c>
      <c r="G4440" s="5">
        <v>975</v>
      </c>
      <c r="H4440" s="5">
        <v>18500</v>
      </c>
      <c r="I4440" s="118">
        <f t="shared" si="229"/>
        <v>8.6398131932282546E-2</v>
      </c>
      <c r="K4440" s="22">
        <v>1815</v>
      </c>
      <c r="L4440" s="6">
        <v>1818</v>
      </c>
      <c r="M4440" s="125">
        <f t="shared" si="230"/>
        <v>3</v>
      </c>
      <c r="P4440" s="247">
        <v>12330</v>
      </c>
      <c r="Q4440" s="25">
        <f>176.94/1110.3</f>
        <v>0.15936233450418807</v>
      </c>
      <c r="U4440" s="388">
        <v>0.1</v>
      </c>
      <c r="W4440" s="285">
        <f t="shared" si="231"/>
        <v>2161.431342880303</v>
      </c>
    </row>
    <row r="4441" spans="1:23" ht="15" customHeight="1">
      <c r="A4441" s="3">
        <v>42073</v>
      </c>
      <c r="B4441" s="9">
        <v>79400</v>
      </c>
      <c r="C4441" s="5">
        <v>725</v>
      </c>
      <c r="D4441" s="5">
        <v>133200</v>
      </c>
      <c r="E4441" s="5">
        <v>213325</v>
      </c>
      <c r="F4441" s="4">
        <v>0</v>
      </c>
      <c r="G4441" s="5">
        <v>800</v>
      </c>
      <c r="H4441" s="5">
        <v>19950</v>
      </c>
      <c r="I4441" s="118">
        <f t="shared" si="229"/>
        <v>9.3519278096800662E-2</v>
      </c>
      <c r="K4441" s="22">
        <v>1808</v>
      </c>
      <c r="L4441" s="6">
        <v>1808.5</v>
      </c>
      <c r="M4441" s="125">
        <f t="shared" si="230"/>
        <v>0.5</v>
      </c>
      <c r="P4441" s="247">
        <v>12360</v>
      </c>
      <c r="Q4441" s="25">
        <f>178.26/1119.5</f>
        <v>0.1592317999106744</v>
      </c>
      <c r="U4441" s="388">
        <v>0.1</v>
      </c>
      <c r="W4441" s="285">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18">
        <f t="shared" si="229"/>
        <v>9.058823529411765E-2</v>
      </c>
      <c r="K4442" s="22">
        <v>1811.5</v>
      </c>
      <c r="L4442" s="6">
        <v>1815</v>
      </c>
      <c r="M4442" s="125">
        <f t="shared" ref="M4442:M4448" si="233">L4442-K4442</f>
        <v>3.5</v>
      </c>
      <c r="P4442" s="247">
        <v>12330</v>
      </c>
      <c r="Q4442" s="25">
        <f>179.43/1126.6</f>
        <v>0.1592668205219244</v>
      </c>
      <c r="U4442" s="388">
        <v>0.1</v>
      </c>
      <c r="W4442" s="285">
        <f t="shared" si="232"/>
        <v>2160.1358867388608</v>
      </c>
    </row>
    <row r="4443" spans="1:23" ht="15" customHeight="1">
      <c r="A4443" s="3">
        <v>42075</v>
      </c>
      <c r="B4443" s="9">
        <v>78175</v>
      </c>
      <c r="C4443" s="5">
        <v>725</v>
      </c>
      <c r="D4443" s="5">
        <v>133700</v>
      </c>
      <c r="E4443" s="5">
        <v>212600</v>
      </c>
      <c r="F4443" s="4">
        <v>500</v>
      </c>
      <c r="G4443" s="5">
        <v>400</v>
      </c>
      <c r="H4443" s="5">
        <v>18850</v>
      </c>
      <c r="I4443" s="118">
        <f t="shared" si="229"/>
        <v>8.8664158043273752E-2</v>
      </c>
      <c r="K4443" s="22">
        <v>1812.5</v>
      </c>
      <c r="L4443" s="6">
        <v>1815</v>
      </c>
      <c r="M4443" s="125">
        <f t="shared" si="233"/>
        <v>2.5</v>
      </c>
      <c r="P4443" s="247">
        <v>12330</v>
      </c>
      <c r="Q4443" s="25">
        <f>180.2/1130.9</f>
        <v>0.15934211689804578</v>
      </c>
      <c r="U4443" s="388">
        <v>0.1</v>
      </c>
      <c r="W4443" s="285">
        <f t="shared" si="232"/>
        <v>2161.1571314881953</v>
      </c>
    </row>
    <row r="4444" spans="1:23" ht="15" customHeight="1">
      <c r="A4444" s="3">
        <v>42076</v>
      </c>
      <c r="B4444" s="9">
        <v>77975</v>
      </c>
      <c r="C4444" s="5">
        <v>725</v>
      </c>
      <c r="D4444" s="5">
        <v>150000</v>
      </c>
      <c r="E4444" s="5">
        <v>228700</v>
      </c>
      <c r="F4444" s="4">
        <v>16525</v>
      </c>
      <c r="G4444" s="5">
        <v>425</v>
      </c>
      <c r="H4444" s="5">
        <v>18625</v>
      </c>
      <c r="I4444" s="118">
        <f t="shared" si="229"/>
        <v>8.1438565806733712E-2</v>
      </c>
      <c r="K4444" s="22">
        <v>1792</v>
      </c>
      <c r="L4444" s="6">
        <v>1793</v>
      </c>
      <c r="M4444" s="125">
        <f t="shared" si="233"/>
        <v>1</v>
      </c>
      <c r="P4444" s="247">
        <v>12360</v>
      </c>
      <c r="Q4444" s="25">
        <f>179.13/1125.6</f>
        <v>0.15914179104477613</v>
      </c>
      <c r="U4444" s="388">
        <v>0.1</v>
      </c>
      <c r="W4444" s="285">
        <f t="shared" si="232"/>
        <v>2163.6917910447764</v>
      </c>
    </row>
    <row r="4445" spans="1:23" ht="15" customHeight="1">
      <c r="A4445" s="3">
        <v>42079</v>
      </c>
      <c r="B4445" s="9">
        <v>77500</v>
      </c>
      <c r="C4445" s="5">
        <v>725</v>
      </c>
      <c r="D4445" s="5">
        <v>149400</v>
      </c>
      <c r="E4445" s="5">
        <v>227625</v>
      </c>
      <c r="F4445" s="4">
        <v>0</v>
      </c>
      <c r="G4445" s="5">
        <v>1075</v>
      </c>
      <c r="H4445" s="5">
        <v>17900</v>
      </c>
      <c r="I4445" s="118">
        <f t="shared" si="229"/>
        <v>7.86381109280615E-2</v>
      </c>
      <c r="K4445" s="22">
        <v>1757</v>
      </c>
      <c r="L4445" s="6">
        <v>1764</v>
      </c>
      <c r="M4445" s="125">
        <f t="shared" si="233"/>
        <v>7</v>
      </c>
      <c r="P4445" s="247">
        <v>12340</v>
      </c>
      <c r="Q4445" s="25">
        <f>180.87/1133.9</f>
        <v>0.15951142076020813</v>
      </c>
      <c r="U4445" s="388">
        <v>0.1</v>
      </c>
      <c r="W4445" s="285">
        <f t="shared" si="232"/>
        <v>2165.2080253990653</v>
      </c>
    </row>
    <row r="4446" spans="1:23" ht="15" customHeight="1">
      <c r="A4446" s="3">
        <v>42080</v>
      </c>
      <c r="B4446" s="9">
        <v>75425</v>
      </c>
      <c r="C4446" s="5">
        <v>725</v>
      </c>
      <c r="D4446" s="5">
        <v>149675</v>
      </c>
      <c r="E4446" s="5">
        <v>225825</v>
      </c>
      <c r="F4446" s="4">
        <v>1150</v>
      </c>
      <c r="G4446" s="5">
        <v>2950</v>
      </c>
      <c r="H4446" s="5">
        <v>12100</v>
      </c>
      <c r="I4446" s="118">
        <f t="shared" si="229"/>
        <v>5.3581312963577994E-2</v>
      </c>
      <c r="K4446" s="22">
        <v>1724</v>
      </c>
      <c r="L4446" s="6">
        <v>1728</v>
      </c>
      <c r="M4446" s="125">
        <f t="shared" si="233"/>
        <v>4</v>
      </c>
      <c r="P4446" s="247">
        <v>12320</v>
      </c>
      <c r="Q4446" s="25">
        <f>180.91/1130.1</f>
        <v>0.16008317847978057</v>
      </c>
      <c r="U4446" s="388">
        <v>0.1</v>
      </c>
      <c r="W4446" s="285">
        <f t="shared" si="232"/>
        <v>2169.4472347579867</v>
      </c>
    </row>
    <row r="4447" spans="1:23" ht="15" customHeight="1">
      <c r="A4447" s="3">
        <v>42081</v>
      </c>
      <c r="B4447" s="9">
        <v>82925</v>
      </c>
      <c r="C4447" s="5">
        <v>725</v>
      </c>
      <c r="D4447" s="5">
        <v>150100</v>
      </c>
      <c r="E4447" s="5">
        <v>233750</v>
      </c>
      <c r="F4447" s="4">
        <v>8675</v>
      </c>
      <c r="G4447" s="5">
        <v>750</v>
      </c>
      <c r="H4447" s="5">
        <v>11450</v>
      </c>
      <c r="I4447" s="118">
        <f t="shared" si="229"/>
        <v>4.8983957219251334E-2</v>
      </c>
      <c r="K4447" s="22">
        <v>1715</v>
      </c>
      <c r="L4447" s="6">
        <v>1720</v>
      </c>
      <c r="M4447" s="125">
        <f t="shared" si="233"/>
        <v>5</v>
      </c>
      <c r="P4447" s="247">
        <v>12300</v>
      </c>
      <c r="Q4447" s="25">
        <f>181.02/1126.6</f>
        <v>0.16067814663589564</v>
      </c>
      <c r="U4447" s="388">
        <v>0.1</v>
      </c>
      <c r="W4447" s="285">
        <f t="shared" si="232"/>
        <v>2173.9753239836682</v>
      </c>
    </row>
    <row r="4448" spans="1:23" ht="15" customHeight="1">
      <c r="A4448" s="3">
        <v>42082</v>
      </c>
      <c r="B4448" s="9">
        <v>83175</v>
      </c>
      <c r="C4448" s="5">
        <v>725</v>
      </c>
      <c r="D4448" s="5">
        <v>151125</v>
      </c>
      <c r="E4448" s="5">
        <v>235025</v>
      </c>
      <c r="F4448" s="4">
        <v>1900</v>
      </c>
      <c r="G4448" s="5">
        <v>625</v>
      </c>
      <c r="H4448" s="5">
        <v>10825</v>
      </c>
      <c r="I4448" s="118">
        <f t="shared" si="229"/>
        <v>4.6058929901074352E-2</v>
      </c>
      <c r="K4448" s="22">
        <v>1696</v>
      </c>
      <c r="L4448" s="6">
        <v>1698</v>
      </c>
      <c r="M4448" s="125">
        <f t="shared" si="233"/>
        <v>2</v>
      </c>
      <c r="P4448" s="247">
        <v>12300</v>
      </c>
      <c r="Q4448" s="25">
        <f>179.25/1114</f>
        <v>0.16090664272890484</v>
      </c>
      <c r="U4448" s="388">
        <v>0.1</v>
      </c>
      <c r="W4448" s="285">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18">
        <f t="shared" si="229"/>
        <v>4.779137839276211E-2</v>
      </c>
      <c r="K4449" s="22">
        <v>1758.5</v>
      </c>
      <c r="L4449" s="6">
        <v>1745</v>
      </c>
      <c r="M4449" s="125">
        <f t="shared" ref="M4449:M4459" si="235">L4449-K4449</f>
        <v>-13.5</v>
      </c>
      <c r="P4449" s="247">
        <v>12300</v>
      </c>
      <c r="Q4449" s="25">
        <f>180.88/1121.7</f>
        <v>0.16125523758580726</v>
      </c>
      <c r="U4449" s="388">
        <v>0.1</v>
      </c>
      <c r="W4449" s="285">
        <f t="shared" si="234"/>
        <v>2181.7833645359724</v>
      </c>
    </row>
    <row r="4450" spans="1:23" ht="15" customHeight="1">
      <c r="A4450" s="3">
        <v>42086</v>
      </c>
      <c r="B4450" s="9">
        <v>86300</v>
      </c>
      <c r="C4450" s="5">
        <v>675</v>
      </c>
      <c r="D4450" s="5">
        <v>151075</v>
      </c>
      <c r="E4450" s="5">
        <v>238050</v>
      </c>
      <c r="F4450" s="4">
        <v>3650</v>
      </c>
      <c r="G4450" s="5">
        <v>475</v>
      </c>
      <c r="H4450" s="5">
        <v>109100</v>
      </c>
      <c r="I4450" s="118">
        <f t="shared" si="229"/>
        <v>0.45830707834488554</v>
      </c>
      <c r="K4450" s="22">
        <v>1823.5</v>
      </c>
      <c r="L4450" s="6">
        <v>1811</v>
      </c>
      <c r="M4450" s="125">
        <f t="shared" si="235"/>
        <v>-12.5</v>
      </c>
      <c r="P4450" s="247">
        <v>12370</v>
      </c>
      <c r="Q4450" s="25">
        <f>179.85/1115.9</f>
        <v>0.16117035576664573</v>
      </c>
      <c r="U4450" s="388">
        <v>0.1</v>
      </c>
      <c r="W4450" s="285">
        <f t="shared" si="234"/>
        <v>2193.0450309167486</v>
      </c>
    </row>
    <row r="4451" spans="1:23" ht="15" customHeight="1">
      <c r="A4451" s="3">
        <v>42087</v>
      </c>
      <c r="B4451" s="9">
        <v>86000</v>
      </c>
      <c r="C4451" s="5">
        <v>675</v>
      </c>
      <c r="D4451" s="5">
        <v>151100</v>
      </c>
      <c r="E4451" s="5">
        <v>237775</v>
      </c>
      <c r="F4451" s="4">
        <v>300</v>
      </c>
      <c r="G4451" s="5">
        <v>575</v>
      </c>
      <c r="H4451" s="5">
        <v>109775</v>
      </c>
      <c r="I4451" s="118">
        <f t="shared" si="229"/>
        <v>0.46167595415834295</v>
      </c>
      <c r="K4451" s="22">
        <v>1831</v>
      </c>
      <c r="L4451" s="6">
        <v>1832</v>
      </c>
      <c r="M4451" s="125">
        <f t="shared" si="235"/>
        <v>1</v>
      </c>
      <c r="P4451" s="247">
        <v>12450</v>
      </c>
      <c r="Q4451" s="25">
        <f>178.31/1107.1</f>
        <v>0.16106042814560564</v>
      </c>
      <c r="U4451" s="388">
        <v>0.1</v>
      </c>
      <c r="W4451" s="285">
        <f t="shared" si="234"/>
        <v>2205.7225634540691</v>
      </c>
    </row>
    <row r="4452" spans="1:23" ht="15" customHeight="1">
      <c r="A4452" s="3">
        <v>42088</v>
      </c>
      <c r="B4452" s="9">
        <v>85175</v>
      </c>
      <c r="C4452" s="5">
        <v>675</v>
      </c>
      <c r="D4452" s="5">
        <v>151425</v>
      </c>
      <c r="E4452" s="5">
        <v>237275</v>
      </c>
      <c r="F4452" s="4">
        <v>425</v>
      </c>
      <c r="G4452" s="5">
        <v>925</v>
      </c>
      <c r="H4452" s="5">
        <v>108900</v>
      </c>
      <c r="I4452" s="118">
        <f t="shared" si="229"/>
        <v>0.45896112106205877</v>
      </c>
      <c r="K4452" s="22">
        <v>1830</v>
      </c>
      <c r="L4452" s="6">
        <v>1832</v>
      </c>
      <c r="M4452" s="125">
        <f t="shared" si="235"/>
        <v>2</v>
      </c>
      <c r="P4452" s="247">
        <v>12450</v>
      </c>
      <c r="Q4452" s="25">
        <f>177.49/1102.7</f>
        <v>0.16095946313593906</v>
      </c>
      <c r="U4452" s="388">
        <v>0.1</v>
      </c>
      <c r="W4452" s="285">
        <f t="shared" si="234"/>
        <v>2204.3398476466855</v>
      </c>
    </row>
    <row r="4453" spans="1:23" ht="15" customHeight="1">
      <c r="A4453" s="3">
        <v>42089</v>
      </c>
      <c r="B4453" s="9">
        <v>84425</v>
      </c>
      <c r="C4453" s="5">
        <v>675</v>
      </c>
      <c r="D4453" s="5">
        <v>151650</v>
      </c>
      <c r="E4453" s="5">
        <v>236750</v>
      </c>
      <c r="F4453" s="4">
        <v>250</v>
      </c>
      <c r="G4453" s="5">
        <v>775</v>
      </c>
      <c r="H4453" s="5">
        <v>108125</v>
      </c>
      <c r="I4453" s="118">
        <f t="shared" si="229"/>
        <v>0.45670538542766631</v>
      </c>
      <c r="K4453" s="22">
        <v>1844</v>
      </c>
      <c r="L4453" s="6">
        <v>1848</v>
      </c>
      <c r="M4453" s="125">
        <f t="shared" si="235"/>
        <v>4</v>
      </c>
      <c r="P4453" s="247">
        <v>12450</v>
      </c>
      <c r="Q4453" s="25">
        <f>177.62/1104.2</f>
        <v>0.16085854011954356</v>
      </c>
      <c r="U4453" s="388">
        <v>0.1</v>
      </c>
      <c r="W4453" s="285">
        <f t="shared" si="234"/>
        <v>2202.9577069371494</v>
      </c>
    </row>
    <row r="4454" spans="1:23" ht="15" customHeight="1">
      <c r="A4454" s="3">
        <v>42090</v>
      </c>
      <c r="B4454" s="9">
        <v>83200</v>
      </c>
      <c r="C4454" s="5">
        <v>675</v>
      </c>
      <c r="D4454" s="5">
        <v>151875</v>
      </c>
      <c r="E4454" s="5">
        <v>235750</v>
      </c>
      <c r="F4454" s="4">
        <v>225</v>
      </c>
      <c r="G4454" s="5">
        <v>1225</v>
      </c>
      <c r="H4454" s="5">
        <v>116850</v>
      </c>
      <c r="I4454" s="118">
        <f t="shared" si="229"/>
        <v>0.4956521739130435</v>
      </c>
      <c r="K4454" s="22">
        <v>1831</v>
      </c>
      <c r="L4454" s="6">
        <v>1837</v>
      </c>
      <c r="M4454" s="125">
        <f t="shared" si="235"/>
        <v>6</v>
      </c>
      <c r="P4454" s="247">
        <v>12420</v>
      </c>
      <c r="Q4454" s="25">
        <f>177.75/1104.3</f>
        <v>0.16096169519152406</v>
      </c>
      <c r="U4454" s="388">
        <v>0.1</v>
      </c>
      <c r="W4454" s="285">
        <f>(P4454*Q4454)*(1+U4454)</f>
        <v>2199.0586797066017</v>
      </c>
    </row>
    <row r="4455" spans="1:23" ht="15" customHeight="1">
      <c r="A4455" s="3">
        <v>42093</v>
      </c>
      <c r="B4455" s="9">
        <v>83850</v>
      </c>
      <c r="C4455" s="5">
        <v>675</v>
      </c>
      <c r="D4455" s="5">
        <v>151850</v>
      </c>
      <c r="E4455" s="5">
        <v>236375</v>
      </c>
      <c r="F4455" s="4">
        <v>1250</v>
      </c>
      <c r="G4455" s="5">
        <v>625</v>
      </c>
      <c r="H4455" s="5">
        <v>116300</v>
      </c>
      <c r="I4455" s="118">
        <f t="shared" si="229"/>
        <v>0.49201480698043365</v>
      </c>
      <c r="K4455" s="22">
        <v>1816</v>
      </c>
      <c r="L4455" s="6">
        <v>1821</v>
      </c>
      <c r="M4455" s="125">
        <f t="shared" si="235"/>
        <v>5</v>
      </c>
      <c r="P4455" s="247">
        <v>12420</v>
      </c>
      <c r="Q4455" s="25">
        <f>177.97/1105</f>
        <v>0.16105882352941175</v>
      </c>
      <c r="U4455" s="388">
        <v>0.1</v>
      </c>
      <c r="W4455" s="285">
        <f>(P4455*Q4455)*(1+U4455)</f>
        <v>2200.3856470588235</v>
      </c>
    </row>
    <row r="4456" spans="1:23" ht="15" customHeight="1">
      <c r="A4456" s="3">
        <v>42094</v>
      </c>
      <c r="B4456" s="9">
        <v>82125</v>
      </c>
      <c r="C4456" s="5">
        <v>675</v>
      </c>
      <c r="D4456" s="5">
        <v>151325</v>
      </c>
      <c r="E4456" s="5">
        <v>234125</v>
      </c>
      <c r="F4456" s="4">
        <v>0</v>
      </c>
      <c r="G4456" s="5">
        <v>2250</v>
      </c>
      <c r="H4456" s="5">
        <v>120000</v>
      </c>
      <c r="I4456" s="118">
        <f t="shared" si="229"/>
        <v>0.51254671649759742</v>
      </c>
      <c r="K4456" s="22">
        <v>1808</v>
      </c>
      <c r="L4456" s="6">
        <v>1807</v>
      </c>
      <c r="M4456" s="125">
        <f t="shared" si="235"/>
        <v>-1</v>
      </c>
      <c r="N4456" s="235">
        <f>AVERAGE(K4435:K4456)</f>
        <v>1784.9772727272727</v>
      </c>
      <c r="O4456" s="230">
        <f>AVERAGE(K4392:K4456)</f>
        <v>1805.9603174603174</v>
      </c>
      <c r="P4456" s="247">
        <v>12420</v>
      </c>
      <c r="Q4456" s="25">
        <f>178.73/1109.4</f>
        <v>0.16110510185685953</v>
      </c>
      <c r="U4456" s="388">
        <v>0.1</v>
      </c>
      <c r="W4456" s="285">
        <f>(P4456*Q4456)*(1+U4456)</f>
        <v>2201.0179015684153</v>
      </c>
    </row>
    <row r="4457" spans="1:23" ht="15" customHeight="1" thickBot="1">
      <c r="A4457" s="216"/>
      <c r="B4457" s="1330"/>
      <c r="C4457" s="1330"/>
      <c r="D4457" s="1330"/>
      <c r="E4457" s="216"/>
      <c r="F4457" s="407"/>
      <c r="G4457" s="164"/>
      <c r="H4457" s="164"/>
      <c r="I4457" s="166"/>
      <c r="J4457" s="166"/>
      <c r="K4457" s="166"/>
      <c r="L4457" s="167"/>
      <c r="M4457" s="168"/>
      <c r="N4457" s="169" t="s">
        <v>52</v>
      </c>
      <c r="O4457" s="183"/>
      <c r="P4457" s="180"/>
      <c r="Q4457" s="154"/>
      <c r="R4457" s="248"/>
      <c r="S4457" s="249"/>
      <c r="T4457" s="249"/>
      <c r="U4457" s="152"/>
      <c r="V4457" s="153">
        <f>AVERAGE(P4435:P4456)</f>
        <v>12360.454545454546</v>
      </c>
      <c r="W4457" s="295"/>
    </row>
    <row r="4458" spans="1:23" ht="15" customHeight="1">
      <c r="A4458" s="3">
        <v>42095</v>
      </c>
      <c r="B4458" s="9">
        <v>81900</v>
      </c>
      <c r="C4458" s="5">
        <v>675</v>
      </c>
      <c r="D4458" s="5">
        <v>150325</v>
      </c>
      <c r="E4458" s="5">
        <v>232900</v>
      </c>
      <c r="F4458" s="4">
        <v>500</v>
      </c>
      <c r="G4458" s="5">
        <v>1725</v>
      </c>
      <c r="H4458" s="5">
        <v>112400</v>
      </c>
      <c r="I4458" s="118">
        <f>H4458/E4458</f>
        <v>0.48261056247316447</v>
      </c>
      <c r="K4458" s="22">
        <v>1820</v>
      </c>
      <c r="L4458" s="6">
        <v>1813</v>
      </c>
      <c r="M4458" s="125">
        <f t="shared" si="235"/>
        <v>-7</v>
      </c>
      <c r="P4458" s="247">
        <v>12420</v>
      </c>
      <c r="Q4458" s="25">
        <f>177.89/1103.8</f>
        <v>0.16116144229026996</v>
      </c>
      <c r="U4458" s="388">
        <v>0.1</v>
      </c>
      <c r="W4458" s="285">
        <f>(P4458*Q4458)*(1+U4458)</f>
        <v>2201.7876245696684</v>
      </c>
    </row>
    <row r="4459" spans="1:23" ht="15" customHeight="1">
      <c r="A4459" s="3">
        <v>42096</v>
      </c>
      <c r="B4459" s="9">
        <v>81950</v>
      </c>
      <c r="C4459" s="5">
        <v>675</v>
      </c>
      <c r="D4459" s="5">
        <v>149800</v>
      </c>
      <c r="E4459" s="5">
        <v>232425</v>
      </c>
      <c r="F4459" s="4">
        <v>125</v>
      </c>
      <c r="G4459" s="5">
        <v>600</v>
      </c>
      <c r="H4459" s="5">
        <v>111800</v>
      </c>
      <c r="I4459" s="118">
        <f>H4459/E4459</f>
        <v>0.48101538130579757</v>
      </c>
      <c r="K4459" s="22">
        <v>1865</v>
      </c>
      <c r="L4459" s="6">
        <v>1865</v>
      </c>
      <c r="M4459" s="125">
        <f t="shared" si="235"/>
        <v>0</v>
      </c>
      <c r="P4459" s="247">
        <v>12450</v>
      </c>
      <c r="Q4459" s="25">
        <f>177.1/1098</f>
        <v>0.16129326047358833</v>
      </c>
      <c r="U4459" s="388">
        <v>0.1</v>
      </c>
      <c r="W4459" s="285">
        <f>(P4459*Q4459)*(1+U4459)</f>
        <v>2208.9112021857923</v>
      </c>
    </row>
    <row r="4460" spans="1:23" ht="15" customHeight="1">
      <c r="A4460" s="3">
        <v>42097</v>
      </c>
      <c r="B4460" s="9">
        <v>0</v>
      </c>
      <c r="F4460" s="1318" t="s">
        <v>51</v>
      </c>
      <c r="G4460" s="1318"/>
      <c r="H4460" s="1318"/>
      <c r="I4460" s="1318"/>
      <c r="J4460" s="5"/>
      <c r="P4460" s="247">
        <v>12510</v>
      </c>
      <c r="Q4460" s="25">
        <f>176.64/1094.6</f>
        <v>0.16137401790608441</v>
      </c>
      <c r="U4460" s="388">
        <v>0.1</v>
      </c>
      <c r="W4460" s="285">
        <f>(P4460*Q4460)*(1+U4460)</f>
        <v>2220.6678604056278</v>
      </c>
    </row>
    <row r="4461" spans="1:23" ht="15" customHeight="1">
      <c r="A4461" s="3">
        <v>42100</v>
      </c>
      <c r="B4461" s="9">
        <v>0</v>
      </c>
      <c r="F4461" s="1318"/>
      <c r="G4461" s="1318"/>
      <c r="H4461" s="1318"/>
      <c r="I4461" s="1318"/>
      <c r="J4461" s="5"/>
      <c r="P4461" s="310" t="s">
        <v>50</v>
      </c>
      <c r="Q4461" s="25">
        <f>175.3/1086</f>
        <v>0.16141804788213629</v>
      </c>
      <c r="U4461" s="388">
        <v>0.1</v>
      </c>
    </row>
    <row r="4462" spans="1:23" ht="15" customHeight="1">
      <c r="A4462" s="3">
        <v>42101</v>
      </c>
      <c r="B4462" s="9">
        <v>81600</v>
      </c>
      <c r="C4462" s="5">
        <v>675</v>
      </c>
      <c r="D4462" s="5">
        <v>149100</v>
      </c>
      <c r="E4462" s="5">
        <v>231375</v>
      </c>
      <c r="F4462" s="4">
        <v>0</v>
      </c>
      <c r="G4462" s="5">
        <v>1050</v>
      </c>
      <c r="H4462" s="5">
        <v>110750</v>
      </c>
      <c r="I4462" s="118">
        <f t="shared" ref="I4462:I4479" si="236">H4462/E4462</f>
        <v>0.47866018368449487</v>
      </c>
      <c r="K4462" s="22">
        <v>1886.5</v>
      </c>
      <c r="L4462" s="6">
        <v>1887.5</v>
      </c>
      <c r="M4462" s="125">
        <f t="shared" ref="M4462" si="237">L4462-K4462</f>
        <v>1</v>
      </c>
      <c r="P4462" s="247">
        <v>12610</v>
      </c>
      <c r="Q4462" s="25">
        <f>175.74/1089.7</f>
        <v>0.16127374506744976</v>
      </c>
      <c r="U4462" s="388">
        <v>0.1</v>
      </c>
      <c r="W4462" s="285">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18">
        <f t="shared" si="236"/>
        <v>0.46091132454768818</v>
      </c>
      <c r="K4463" s="22">
        <v>1915</v>
      </c>
      <c r="L4463" s="6">
        <v>1915</v>
      </c>
      <c r="M4463" s="125">
        <f t="shared" ref="M4463:M4495" si="239">L4463-K4463</f>
        <v>0</v>
      </c>
      <c r="P4463" s="247">
        <v>12660</v>
      </c>
      <c r="Q4463" s="25">
        <f>176.15/1093.4</f>
        <v>0.16110298152551672</v>
      </c>
      <c r="U4463" s="388">
        <v>0.1</v>
      </c>
      <c r="W4463" s="285">
        <f t="shared" si="238"/>
        <v>2243.5201207243458</v>
      </c>
    </row>
    <row r="4464" spans="1:23" ht="15" customHeight="1">
      <c r="A4464" s="3">
        <v>42103</v>
      </c>
      <c r="B4464" s="9">
        <v>75900</v>
      </c>
      <c r="C4464" s="5">
        <v>675</v>
      </c>
      <c r="D4464" s="5">
        <v>146550</v>
      </c>
      <c r="E4464" s="5">
        <v>223125</v>
      </c>
      <c r="F4464" s="4">
        <v>2150</v>
      </c>
      <c r="G4464" s="5">
        <v>2875</v>
      </c>
      <c r="H4464" s="5">
        <v>100300</v>
      </c>
      <c r="I4464" s="118">
        <f t="shared" si="236"/>
        <v>0.44952380952380955</v>
      </c>
      <c r="K4464" s="22">
        <v>1944.5</v>
      </c>
      <c r="L4464" s="6">
        <v>1940.5</v>
      </c>
      <c r="M4464" s="125">
        <f t="shared" si="239"/>
        <v>-4</v>
      </c>
      <c r="P4464" s="247">
        <v>12710</v>
      </c>
      <c r="Q4464" s="25">
        <f>175.93/1093.9</f>
        <v>0.16082822927141419</v>
      </c>
      <c r="U4464" s="388">
        <v>0.1</v>
      </c>
      <c r="W4464" s="285">
        <f t="shared" si="238"/>
        <v>2248.5394734436418</v>
      </c>
    </row>
    <row r="4465" spans="1:23" ht="15" customHeight="1">
      <c r="A4465" s="3">
        <v>42104</v>
      </c>
      <c r="B4465" s="9">
        <v>75375</v>
      </c>
      <c r="C4465" s="5">
        <v>675</v>
      </c>
      <c r="D4465" s="5">
        <v>145525</v>
      </c>
      <c r="E4465" s="5">
        <v>221575</v>
      </c>
      <c r="F4465" s="4">
        <v>1525</v>
      </c>
      <c r="G4465" s="5">
        <v>3075</v>
      </c>
      <c r="H4465" s="5">
        <v>97225</v>
      </c>
      <c r="I4465" s="118">
        <f t="shared" si="236"/>
        <v>0.4387904772650344</v>
      </c>
      <c r="K4465" s="22">
        <v>1998</v>
      </c>
      <c r="L4465" s="6">
        <v>1998</v>
      </c>
      <c r="M4465" s="125">
        <f t="shared" si="239"/>
        <v>0</v>
      </c>
      <c r="P4465" s="247">
        <v>13060</v>
      </c>
      <c r="Q4465" s="25">
        <f>175.99/1094.6</f>
        <v>0.16078019367805593</v>
      </c>
      <c r="U4465" s="388">
        <v>0.1</v>
      </c>
      <c r="W4465" s="285">
        <f t="shared" si="238"/>
        <v>2309.7682623789515</v>
      </c>
    </row>
    <row r="4466" spans="1:23" ht="15" customHeight="1">
      <c r="A4466" s="3">
        <v>42107</v>
      </c>
      <c r="B4466" s="9">
        <v>73650</v>
      </c>
      <c r="C4466" s="5">
        <v>675</v>
      </c>
      <c r="D4466" s="5">
        <v>144525</v>
      </c>
      <c r="E4466" s="5">
        <v>218850</v>
      </c>
      <c r="F4466" s="4">
        <v>0</v>
      </c>
      <c r="G4466" s="5">
        <v>2725</v>
      </c>
      <c r="H4466" s="5">
        <v>95475</v>
      </c>
      <c r="I4466" s="118">
        <f t="shared" si="236"/>
        <v>0.43625771076079506</v>
      </c>
      <c r="K4466" s="22">
        <v>1986</v>
      </c>
      <c r="L4466" s="6">
        <v>1990.5</v>
      </c>
      <c r="M4466" s="125">
        <f t="shared" si="239"/>
        <v>4.5</v>
      </c>
      <c r="P4466" s="247">
        <v>13260</v>
      </c>
      <c r="Q4466" s="25">
        <f>176.13/1096.6</f>
        <v>0.16061462702899873</v>
      </c>
      <c r="U4466" s="388">
        <v>0.1</v>
      </c>
      <c r="W4466" s="285">
        <f t="shared" si="238"/>
        <v>2342.7249498449755</v>
      </c>
    </row>
    <row r="4467" spans="1:23" ht="15" customHeight="1">
      <c r="A4467" s="3">
        <v>42108</v>
      </c>
      <c r="B4467" s="9">
        <v>70450</v>
      </c>
      <c r="C4467" s="5">
        <v>675</v>
      </c>
      <c r="D4467" s="5">
        <v>143525</v>
      </c>
      <c r="E4467" s="5">
        <v>214650</v>
      </c>
      <c r="F4467" s="4">
        <v>0</v>
      </c>
      <c r="G4467" s="5">
        <v>4200</v>
      </c>
      <c r="H4467" s="5">
        <v>91275</v>
      </c>
      <c r="I4467" s="118">
        <f t="shared" si="236"/>
        <v>0.4252271139063592</v>
      </c>
      <c r="K4467" s="22">
        <v>1963</v>
      </c>
      <c r="L4467" s="6">
        <v>1969</v>
      </c>
      <c r="M4467" s="125">
        <f t="shared" si="239"/>
        <v>6</v>
      </c>
      <c r="P4467" s="247">
        <v>13110</v>
      </c>
      <c r="Q4467" s="25">
        <f>176.49/1096.8</f>
        <v>0.16091356673960613</v>
      </c>
      <c r="U4467" s="388">
        <v>0.1</v>
      </c>
      <c r="W4467" s="285">
        <f t="shared" si="238"/>
        <v>2320.5345459518603</v>
      </c>
    </row>
    <row r="4468" spans="1:23" ht="15" customHeight="1">
      <c r="A4468" s="3">
        <v>42109</v>
      </c>
      <c r="B4468" s="9">
        <v>68325</v>
      </c>
      <c r="C4468" s="5">
        <v>675</v>
      </c>
      <c r="D4468" s="5">
        <v>142025</v>
      </c>
      <c r="E4468" s="5">
        <v>211025</v>
      </c>
      <c r="F4468" s="4">
        <v>600</v>
      </c>
      <c r="G4468" s="5">
        <v>4225</v>
      </c>
      <c r="H4468" s="5">
        <v>89600</v>
      </c>
      <c r="I4468" s="118">
        <f t="shared" si="236"/>
        <v>0.42459424238834259</v>
      </c>
      <c r="K4468" s="22">
        <v>1976.5</v>
      </c>
      <c r="L4468" s="6">
        <v>1985</v>
      </c>
      <c r="M4468" s="125">
        <f t="shared" si="239"/>
        <v>8.5</v>
      </c>
      <c r="P4468" s="247">
        <v>13110</v>
      </c>
      <c r="Q4468" s="25">
        <f>176.71/1096</f>
        <v>0.16123175182481753</v>
      </c>
      <c r="U4468" s="388">
        <v>0.1</v>
      </c>
      <c r="W4468" s="285">
        <f t="shared" si="238"/>
        <v>2325.1230930656934</v>
      </c>
    </row>
    <row r="4469" spans="1:23" ht="15" customHeight="1">
      <c r="A4469" s="3">
        <v>42110</v>
      </c>
      <c r="B4469" s="9">
        <v>67300</v>
      </c>
      <c r="C4469" s="5">
        <v>675</v>
      </c>
      <c r="D4469" s="5">
        <v>140525</v>
      </c>
      <c r="E4469" s="5">
        <v>208500</v>
      </c>
      <c r="F4469" s="4">
        <v>750</v>
      </c>
      <c r="G4469" s="5">
        <v>3275</v>
      </c>
      <c r="H4469" s="5">
        <v>101975</v>
      </c>
      <c r="I4469" s="118">
        <f t="shared" si="236"/>
        <v>0.48908872901678657</v>
      </c>
      <c r="K4469" s="22">
        <v>2039</v>
      </c>
      <c r="L4469" s="6">
        <v>2041.5</v>
      </c>
      <c r="M4469" s="125">
        <f t="shared" si="239"/>
        <v>2.5</v>
      </c>
      <c r="P4469" s="247">
        <v>13190</v>
      </c>
      <c r="Q4469" s="25">
        <f>175.95/1089</f>
        <v>0.16157024793388428</v>
      </c>
      <c r="U4469" s="388">
        <v>0.1</v>
      </c>
      <c r="W4469" s="285">
        <f t="shared" si="238"/>
        <v>2344.2227272727273</v>
      </c>
    </row>
    <row r="4470" spans="1:23" ht="15" customHeight="1">
      <c r="A4470" s="3">
        <v>42111</v>
      </c>
      <c r="B4470" s="9">
        <v>65075</v>
      </c>
      <c r="C4470" s="5">
        <v>675</v>
      </c>
      <c r="D4470" s="5">
        <v>139025</v>
      </c>
      <c r="E4470" s="5">
        <v>204775</v>
      </c>
      <c r="F4470" s="4">
        <v>0</v>
      </c>
      <c r="G4470" s="5">
        <v>3725</v>
      </c>
      <c r="H4470" s="5">
        <v>98300</v>
      </c>
      <c r="I4470" s="118">
        <f t="shared" si="236"/>
        <v>0.48003906726895373</v>
      </c>
      <c r="K4470" s="22">
        <v>2042</v>
      </c>
      <c r="L4470" s="6">
        <v>2049</v>
      </c>
      <c r="M4470" s="125">
        <f t="shared" si="239"/>
        <v>7</v>
      </c>
      <c r="P4470" s="247">
        <v>13410</v>
      </c>
      <c r="Q4470" s="25">
        <f>175/1085.1</f>
        <v>0.16127545848308913</v>
      </c>
      <c r="U4470" s="388">
        <v>0.1</v>
      </c>
      <c r="W4470" s="285">
        <f t="shared" si="238"/>
        <v>2378.9742880840481</v>
      </c>
    </row>
    <row r="4471" spans="1:23" ht="15" customHeight="1">
      <c r="A4471" s="3">
        <v>42114</v>
      </c>
      <c r="B4471" s="9">
        <v>62075</v>
      </c>
      <c r="C4471" s="5">
        <v>675</v>
      </c>
      <c r="D4471" s="5">
        <v>137450</v>
      </c>
      <c r="E4471" s="5">
        <v>200200</v>
      </c>
      <c r="F4471" s="4">
        <v>0</v>
      </c>
      <c r="G4471" s="5">
        <v>4575</v>
      </c>
      <c r="H4471" s="5">
        <v>106325</v>
      </c>
      <c r="I4471" s="118">
        <f t="shared" si="236"/>
        <v>0.53109390609390605</v>
      </c>
      <c r="K4471" s="22">
        <v>2036.5</v>
      </c>
      <c r="L4471" s="6">
        <v>2041</v>
      </c>
      <c r="M4471" s="125">
        <f t="shared" si="239"/>
        <v>4.5</v>
      </c>
      <c r="P4471" s="247">
        <v>13540</v>
      </c>
      <c r="Q4471" s="25">
        <f>174.67/1082.7</f>
        <v>0.1613281610787845</v>
      </c>
      <c r="U4471" s="388">
        <v>0.1</v>
      </c>
      <c r="W4471" s="285">
        <f t="shared" si="238"/>
        <v>2402.821631107417</v>
      </c>
    </row>
    <row r="4472" spans="1:23" ht="15" customHeight="1">
      <c r="A4472" s="3">
        <v>42115</v>
      </c>
      <c r="B4472" s="9">
        <v>59750</v>
      </c>
      <c r="C4472" s="5">
        <v>675</v>
      </c>
      <c r="D4472" s="5">
        <v>136125</v>
      </c>
      <c r="E4472" s="5">
        <v>196550</v>
      </c>
      <c r="F4472" s="4">
        <v>300</v>
      </c>
      <c r="G4472" s="5">
        <v>3950</v>
      </c>
      <c r="H4472" s="5">
        <v>102375</v>
      </c>
      <c r="I4472" s="118">
        <f t="shared" si="236"/>
        <v>0.52085983210379039</v>
      </c>
      <c r="K4472" s="22">
        <v>2014</v>
      </c>
      <c r="L4472" s="6">
        <v>2024</v>
      </c>
      <c r="M4472" s="125">
        <f t="shared" si="239"/>
        <v>10</v>
      </c>
      <c r="P4472" s="247">
        <v>13540</v>
      </c>
      <c r="Q4472" s="25">
        <f>174.84/1083.5</f>
        <v>0.16136594370096907</v>
      </c>
      <c r="U4472" s="388">
        <v>0.1</v>
      </c>
      <c r="W4472" s="285">
        <f t="shared" si="238"/>
        <v>2403.3843654822335</v>
      </c>
    </row>
    <row r="4473" spans="1:23" ht="15" customHeight="1">
      <c r="A4473" s="3">
        <v>42116</v>
      </c>
      <c r="B4473" s="9">
        <v>57100</v>
      </c>
      <c r="C4473" s="5">
        <v>675</v>
      </c>
      <c r="D4473" s="5">
        <v>134600</v>
      </c>
      <c r="E4473" s="5">
        <v>192375</v>
      </c>
      <c r="F4473" s="4">
        <v>0</v>
      </c>
      <c r="G4473" s="5">
        <v>4175</v>
      </c>
      <c r="H4473" s="5">
        <v>98200</v>
      </c>
      <c r="I4473" s="118">
        <f t="shared" si="236"/>
        <v>0.51046133853151399</v>
      </c>
      <c r="K4473" s="22">
        <v>2048.5</v>
      </c>
      <c r="L4473" s="6">
        <v>2052</v>
      </c>
      <c r="M4473" s="125">
        <f t="shared" si="239"/>
        <v>3.5</v>
      </c>
      <c r="P4473" s="247">
        <v>13590</v>
      </c>
      <c r="Q4473" s="25">
        <f>174.65/1081.8</f>
        <v>0.16144388981327418</v>
      </c>
      <c r="U4473" s="388">
        <v>0.1</v>
      </c>
      <c r="W4473" s="285">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18">
        <f t="shared" si="236"/>
        <v>0.49873586161011313</v>
      </c>
      <c r="K4474" s="22">
        <v>2022</v>
      </c>
      <c r="L4474" s="6">
        <v>2030</v>
      </c>
      <c r="M4474" s="125">
        <f t="shared" si="239"/>
        <v>8</v>
      </c>
      <c r="P4474" s="247">
        <v>13540</v>
      </c>
      <c r="Q4474" s="25">
        <f>174.97/1083.2</f>
        <v>0.16153064992614474</v>
      </c>
      <c r="U4474" s="388">
        <v>0.1</v>
      </c>
      <c r="W4474" s="285">
        <f t="shared" si="240"/>
        <v>2405.8375000000001</v>
      </c>
    </row>
    <row r="4475" spans="1:23" ht="15" customHeight="1">
      <c r="A4475" s="3">
        <v>42118</v>
      </c>
      <c r="B4475" s="9">
        <v>53175</v>
      </c>
      <c r="C4475" s="5">
        <v>675</v>
      </c>
      <c r="D4475" s="5">
        <v>130125</v>
      </c>
      <c r="E4475" s="5">
        <v>183975</v>
      </c>
      <c r="F4475" s="4">
        <v>150</v>
      </c>
      <c r="G4475" s="5">
        <v>4050</v>
      </c>
      <c r="H4475" s="5">
        <v>94250</v>
      </c>
      <c r="I4475" s="118">
        <f t="shared" si="236"/>
        <v>0.51229786655795628</v>
      </c>
      <c r="K4475" s="22">
        <v>2053</v>
      </c>
      <c r="L4475" s="6">
        <v>2058</v>
      </c>
      <c r="M4475" s="125">
        <f t="shared" si="239"/>
        <v>5</v>
      </c>
      <c r="P4475" s="247">
        <v>13490</v>
      </c>
      <c r="Q4475" s="25">
        <f>174.14/1079</f>
        <v>0.16139017608897124</v>
      </c>
      <c r="U4475" s="388">
        <v>0.1</v>
      </c>
      <c r="W4475" s="285">
        <f t="shared" si="240"/>
        <v>2394.8688229842442</v>
      </c>
    </row>
    <row r="4476" spans="1:23" ht="15" customHeight="1">
      <c r="A4476" s="3">
        <v>42121</v>
      </c>
      <c r="B4476" s="9">
        <v>57275</v>
      </c>
      <c r="C4476" s="5">
        <v>675</v>
      </c>
      <c r="D4476" s="5">
        <v>126875</v>
      </c>
      <c r="E4476" s="5">
        <v>184825</v>
      </c>
      <c r="F4476" s="4">
        <v>5000</v>
      </c>
      <c r="G4476" s="5">
        <v>4150</v>
      </c>
      <c r="H4476" s="5">
        <v>85725</v>
      </c>
      <c r="I4476" s="118">
        <f t="shared" si="236"/>
        <v>0.46381712430677668</v>
      </c>
      <c r="K4476" s="22">
        <v>2082</v>
      </c>
      <c r="L4476" s="6">
        <v>2085</v>
      </c>
      <c r="M4476" s="125">
        <f t="shared" si="239"/>
        <v>3</v>
      </c>
      <c r="P4476" s="247">
        <v>13770</v>
      </c>
      <c r="Q4476" s="25">
        <f>172.85/1074.5</f>
        <v>0.16086551884597486</v>
      </c>
      <c r="U4476" s="388">
        <v>0.1</v>
      </c>
      <c r="W4476" s="285">
        <f t="shared" si="240"/>
        <v>2436.6300139599816</v>
      </c>
    </row>
    <row r="4477" spans="1:23" ht="15" customHeight="1">
      <c r="A4477" s="3">
        <v>42122</v>
      </c>
      <c r="B4477" s="9">
        <v>56525</v>
      </c>
      <c r="C4477" s="5">
        <v>675</v>
      </c>
      <c r="D4477" s="5">
        <v>125900</v>
      </c>
      <c r="E4477" s="5">
        <v>183100</v>
      </c>
      <c r="F4477" s="4">
        <v>500</v>
      </c>
      <c r="G4477" s="5">
        <v>2225</v>
      </c>
      <c r="H4477" s="5">
        <v>83675</v>
      </c>
      <c r="I4477" s="118">
        <f t="shared" si="236"/>
        <v>0.45699071545603498</v>
      </c>
      <c r="K4477" s="22">
        <v>2095</v>
      </c>
      <c r="L4477" s="6">
        <v>2094.5</v>
      </c>
      <c r="M4477" s="125">
        <f t="shared" si="239"/>
        <v>-0.5</v>
      </c>
      <c r="P4477" s="247">
        <v>13770</v>
      </c>
      <c r="Q4477" s="25">
        <f>172.61/1070.9</f>
        <v>0.1611821832103838</v>
      </c>
      <c r="U4477" s="388">
        <v>0.1</v>
      </c>
      <c r="W4477" s="285">
        <f t="shared" si="240"/>
        <v>2441.4265290876838</v>
      </c>
    </row>
    <row r="4478" spans="1:23" ht="15" customHeight="1">
      <c r="A4478" s="3">
        <v>42123</v>
      </c>
      <c r="B4478" s="9">
        <v>55475</v>
      </c>
      <c r="C4478" s="5">
        <v>675</v>
      </c>
      <c r="D4478" s="5">
        <v>122950</v>
      </c>
      <c r="E4478" s="5">
        <v>179100</v>
      </c>
      <c r="F4478" s="4">
        <v>200</v>
      </c>
      <c r="G4478" s="5">
        <v>4200</v>
      </c>
      <c r="H4478" s="5">
        <v>82000</v>
      </c>
      <c r="I4478" s="118">
        <f t="shared" si="236"/>
        <v>0.45784477945281965</v>
      </c>
      <c r="K4478" s="22">
        <v>2085</v>
      </c>
      <c r="L4478" s="6">
        <v>2085</v>
      </c>
      <c r="M4478" s="125">
        <f t="shared" si="239"/>
        <v>0</v>
      </c>
      <c r="P4478" s="247">
        <v>13770</v>
      </c>
      <c r="Q4478" s="25">
        <f>172.25/1068.1</f>
        <v>0.16126767156633276</v>
      </c>
      <c r="U4478" s="388">
        <v>0.1</v>
      </c>
      <c r="W4478" s="285">
        <f t="shared" si="240"/>
        <v>2442.7214212152426</v>
      </c>
    </row>
    <row r="4479" spans="1:23" ht="15" customHeight="1">
      <c r="A4479" s="3">
        <v>42124</v>
      </c>
      <c r="B4479" s="9">
        <v>54575</v>
      </c>
      <c r="C4479" s="5">
        <v>675</v>
      </c>
      <c r="D4479" s="5">
        <v>119525</v>
      </c>
      <c r="E4479" s="5">
        <v>174775</v>
      </c>
      <c r="F4479" s="4">
        <v>825</v>
      </c>
      <c r="G4479" s="5">
        <v>5150</v>
      </c>
      <c r="H4479" s="5">
        <v>76850</v>
      </c>
      <c r="I4479" s="118">
        <f t="shared" si="236"/>
        <v>0.43970819625232443</v>
      </c>
      <c r="K4479" s="22">
        <v>2124.5</v>
      </c>
      <c r="L4479" s="6">
        <v>2111</v>
      </c>
      <c r="M4479" s="125">
        <f t="shared" si="239"/>
        <v>-13.5</v>
      </c>
      <c r="N4479" s="235">
        <f>AVERAGE(K4458:K4479)</f>
        <v>1999.8</v>
      </c>
      <c r="O4479" s="230">
        <f>AVERAGE(K4392:K4479)</f>
        <v>1852.6686746987953</v>
      </c>
      <c r="P4479" s="1357" t="s">
        <v>50</v>
      </c>
      <c r="Q4479" s="1358"/>
      <c r="U4479" s="388">
        <v>0.1</v>
      </c>
    </row>
    <row r="4480" spans="1:23" ht="15" customHeight="1" thickBot="1">
      <c r="A4480" s="216"/>
      <c r="B4480" s="1330"/>
      <c r="C4480" s="1330"/>
      <c r="D4480" s="1330"/>
      <c r="E4480" s="216"/>
      <c r="F4480" s="407"/>
      <c r="G4480" s="164"/>
      <c r="H4480" s="164"/>
      <c r="I4480" s="166"/>
      <c r="J4480" s="166"/>
      <c r="K4480" s="166"/>
      <c r="L4480" s="167"/>
      <c r="M4480" s="168"/>
      <c r="N4480" s="169" t="s">
        <v>52</v>
      </c>
      <c r="O4480" s="183"/>
      <c r="P4480" s="180"/>
      <c r="Q4480" s="154"/>
      <c r="R4480" s="248"/>
      <c r="S4480" s="249"/>
      <c r="T4480" s="249"/>
      <c r="U4480" s="152"/>
      <c r="V4480" s="153">
        <f>AVERAGE(P4458:P4479)</f>
        <v>13175.5</v>
      </c>
      <c r="W4480" s="295"/>
    </row>
    <row r="4481" spans="1:23" ht="15" customHeight="1">
      <c r="A4481" s="3">
        <v>42125</v>
      </c>
      <c r="B4481" s="9">
        <v>55100</v>
      </c>
      <c r="C4481" s="5">
        <v>675</v>
      </c>
      <c r="D4481" s="5">
        <v>115800</v>
      </c>
      <c r="E4481" s="5">
        <v>171575</v>
      </c>
      <c r="F4481" s="4">
        <v>675</v>
      </c>
      <c r="G4481" s="5">
        <v>3875</v>
      </c>
      <c r="H4481" s="5">
        <v>72975</v>
      </c>
      <c r="I4481" s="118">
        <f>H4481/E4481</f>
        <v>0.42532420224391665</v>
      </c>
      <c r="K4481" s="22">
        <v>2139</v>
      </c>
      <c r="L4481" s="6">
        <v>2135.5</v>
      </c>
      <c r="M4481" s="125">
        <f t="shared" si="239"/>
        <v>-3.5</v>
      </c>
      <c r="P4481" s="1367" t="s">
        <v>50</v>
      </c>
      <c r="Q4481" s="1367"/>
      <c r="U4481" s="388">
        <v>0.1</v>
      </c>
    </row>
    <row r="4482" spans="1:23" ht="15" customHeight="1">
      <c r="A4482" s="3">
        <v>42128</v>
      </c>
      <c r="B4482" s="9" t="e">
        <f>#REF!+#REF!</f>
        <v>#REF!</v>
      </c>
      <c r="F4482" s="1318" t="s">
        <v>51</v>
      </c>
      <c r="G4482" s="1318"/>
      <c r="H4482" s="1318"/>
      <c r="I4482" s="1318"/>
      <c r="J4482" s="5"/>
      <c r="M4482" s="125"/>
      <c r="P4482" s="247">
        <v>13870</v>
      </c>
      <c r="Q4482" s="25">
        <f>172.17/1069.5</f>
        <v>0.16098176718092566</v>
      </c>
      <c r="U4482" s="388">
        <v>0.1</v>
      </c>
      <c r="W4482" s="285">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18">
        <f t="shared" ref="I4483:I4496" si="242">H4483/E4483</f>
        <v>0.42085168869309836</v>
      </c>
      <c r="K4483" s="22">
        <v>2140</v>
      </c>
      <c r="L4483" s="6">
        <v>2137</v>
      </c>
      <c r="M4483" s="125">
        <f t="shared" si="239"/>
        <v>-3</v>
      </c>
      <c r="P4483" s="247">
        <v>13870</v>
      </c>
      <c r="Q4483" s="25">
        <f>174.06/1080.5</f>
        <v>0.16109208699676075</v>
      </c>
      <c r="U4483" s="388">
        <v>0.1</v>
      </c>
      <c r="W4483" s="285">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18">
        <f t="shared" si="242"/>
        <v>0.4080252479711452</v>
      </c>
      <c r="K4484" s="22">
        <v>2114</v>
      </c>
      <c r="L4484" s="6">
        <v>2120</v>
      </c>
      <c r="M4484" s="125">
        <f t="shared" si="239"/>
        <v>6</v>
      </c>
      <c r="P4484" s="247">
        <v>13940</v>
      </c>
      <c r="Q4484" s="25">
        <f>174.29/1081</f>
        <v>0.16123034227567068</v>
      </c>
      <c r="U4484" s="388">
        <v>0.1</v>
      </c>
      <c r="W4484" s="285">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18">
        <f t="shared" si="242"/>
        <v>0.40206655523476675</v>
      </c>
      <c r="K4485" s="22">
        <v>2080.5</v>
      </c>
      <c r="L4485" s="6">
        <v>2088</v>
      </c>
      <c r="M4485" s="125">
        <f t="shared" si="239"/>
        <v>7.5</v>
      </c>
      <c r="P4485" s="247">
        <v>13740</v>
      </c>
      <c r="Q4485" s="25">
        <f>174.92/1086.6</f>
        <v>0.16097920117798639</v>
      </c>
      <c r="U4485" s="388">
        <v>0.1</v>
      </c>
      <c r="W4485" s="285">
        <f t="shared" si="244"/>
        <v>2433.0396466040866</v>
      </c>
    </row>
    <row r="4486" spans="1:23" ht="15" customHeight="1">
      <c r="A4486" s="3">
        <v>42132</v>
      </c>
      <c r="B4486" s="9">
        <v>54775</v>
      </c>
      <c r="C4486" s="5">
        <v>675</v>
      </c>
      <c r="D4486" s="5">
        <v>107700</v>
      </c>
      <c r="E4486" s="5">
        <v>163150</v>
      </c>
      <c r="F4486" s="4">
        <v>150</v>
      </c>
      <c r="G4486" s="5">
        <v>1525</v>
      </c>
      <c r="H4486" s="5">
        <v>56100</v>
      </c>
      <c r="I4486" s="118">
        <f t="shared" si="242"/>
        <v>0.34385534783941157</v>
      </c>
      <c r="K4486" s="22">
        <v>2070</v>
      </c>
      <c r="L4486" s="6">
        <v>2081</v>
      </c>
      <c r="M4486" s="125">
        <f t="shared" si="239"/>
        <v>11</v>
      </c>
      <c r="P4486" s="247">
        <v>13640</v>
      </c>
      <c r="Q4486" s="25">
        <f>175.7/1091.3</f>
        <v>0.16100064143681847</v>
      </c>
      <c r="U4486" s="388">
        <v>0.1</v>
      </c>
      <c r="W4486" s="285">
        <f t="shared" si="244"/>
        <v>2415.6536241180247</v>
      </c>
    </row>
    <row r="4487" spans="1:23" ht="15" customHeight="1">
      <c r="A4487" s="3">
        <v>42135</v>
      </c>
      <c r="B4487" s="9">
        <v>54775</v>
      </c>
      <c r="C4487" s="5">
        <v>675</v>
      </c>
      <c r="D4487" s="5">
        <v>107300</v>
      </c>
      <c r="E4487" s="5">
        <v>162750</v>
      </c>
      <c r="F4487" s="4">
        <v>0</v>
      </c>
      <c r="G4487" s="5">
        <v>400</v>
      </c>
      <c r="H4487" s="5">
        <v>50725</v>
      </c>
      <c r="I4487" s="118">
        <f t="shared" si="242"/>
        <v>0.31167434715821812</v>
      </c>
      <c r="K4487" s="22">
        <v>2023</v>
      </c>
      <c r="L4487" s="6">
        <v>2033</v>
      </c>
      <c r="M4487" s="125">
        <f t="shared" si="239"/>
        <v>10</v>
      </c>
      <c r="P4487" s="247">
        <v>13640</v>
      </c>
      <c r="Q4487" s="25">
        <f>175.41/1089.9</f>
        <v>0.16094137076796033</v>
      </c>
      <c r="U4487" s="388">
        <v>0.1</v>
      </c>
      <c r="W4487" s="285">
        <f t="shared" si="244"/>
        <v>2414.7643270024773</v>
      </c>
    </row>
    <row r="4488" spans="1:23" ht="15" customHeight="1">
      <c r="A4488" s="3">
        <v>42136</v>
      </c>
      <c r="B4488" s="9">
        <v>54625</v>
      </c>
      <c r="C4488" s="5">
        <v>675</v>
      </c>
      <c r="D4488" s="5">
        <v>107300</v>
      </c>
      <c r="E4488" s="5">
        <v>162600</v>
      </c>
      <c r="F4488" s="4">
        <v>0</v>
      </c>
      <c r="G4488" s="5">
        <v>150</v>
      </c>
      <c r="H4488" s="5">
        <v>50575</v>
      </c>
      <c r="I4488" s="118">
        <f t="shared" si="242"/>
        <v>0.31103936039360391</v>
      </c>
      <c r="K4488" s="22">
        <v>2021</v>
      </c>
      <c r="L4488" s="6">
        <v>2030</v>
      </c>
      <c r="M4488" s="125">
        <f t="shared" si="239"/>
        <v>9</v>
      </c>
      <c r="P4488" s="247">
        <v>13590</v>
      </c>
      <c r="Q4488" s="25">
        <f>176.55/1096.2</f>
        <v>0.16105637657361796</v>
      </c>
      <c r="U4488" s="388">
        <v>0.1</v>
      </c>
      <c r="W4488" s="285">
        <f t="shared" si="244"/>
        <v>2407.6317733990154</v>
      </c>
    </row>
    <row r="4489" spans="1:23" ht="15" customHeight="1">
      <c r="A4489" s="3">
        <v>42137</v>
      </c>
      <c r="B4489" s="9">
        <v>53650</v>
      </c>
      <c r="C4489" s="5">
        <v>675</v>
      </c>
      <c r="D4489" s="5">
        <v>108200</v>
      </c>
      <c r="E4489" s="5">
        <v>162525</v>
      </c>
      <c r="F4489" s="4">
        <v>900</v>
      </c>
      <c r="G4489" s="5">
        <v>975</v>
      </c>
      <c r="H4489" s="5">
        <v>49600</v>
      </c>
      <c r="I4489" s="118">
        <f t="shared" si="242"/>
        <v>0.3051838178741732</v>
      </c>
      <c r="K4489" s="22">
        <v>2039</v>
      </c>
      <c r="L4489" s="6">
        <v>2052</v>
      </c>
      <c r="M4489" s="125">
        <f t="shared" si="239"/>
        <v>13</v>
      </c>
      <c r="P4489" s="247">
        <v>13690</v>
      </c>
      <c r="Q4489" s="25">
        <f>176.59/1094.9</f>
        <v>0.16128413553749199</v>
      </c>
      <c r="U4489" s="388">
        <v>0.1</v>
      </c>
      <c r="W4489" s="285">
        <f t="shared" si="244"/>
        <v>2428.7777970590919</v>
      </c>
    </row>
    <row r="4490" spans="1:23" ht="15" customHeight="1">
      <c r="A4490" s="3">
        <v>42138</v>
      </c>
      <c r="B4490" s="9">
        <v>52950</v>
      </c>
      <c r="C4490" s="5">
        <v>675</v>
      </c>
      <c r="D4490" s="5">
        <v>109525</v>
      </c>
      <c r="E4490" s="5">
        <v>163150</v>
      </c>
      <c r="F4490" s="4">
        <v>1325</v>
      </c>
      <c r="G4490" s="5">
        <v>700</v>
      </c>
      <c r="H4490" s="5">
        <v>48925</v>
      </c>
      <c r="I4490" s="118">
        <f t="shared" si="242"/>
        <v>0.29987741342323015</v>
      </c>
      <c r="K4490" s="22">
        <v>1994.5</v>
      </c>
      <c r="L4490" s="6">
        <v>2006</v>
      </c>
      <c r="M4490" s="125">
        <f t="shared" si="239"/>
        <v>11.5</v>
      </c>
      <c r="P4490" s="247">
        <v>13640</v>
      </c>
      <c r="Q4490" s="25">
        <f>176.28/1093.6</f>
        <v>0.16119239209948794</v>
      </c>
      <c r="U4490" s="388">
        <v>0.1</v>
      </c>
      <c r="W4490" s="285">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18">
        <f t="shared" si="242"/>
        <v>0.30102902779910917</v>
      </c>
      <c r="K4491" s="22">
        <v>1961.5</v>
      </c>
      <c r="L4491" s="6">
        <v>1974</v>
      </c>
      <c r="M4491" s="125">
        <f t="shared" si="239"/>
        <v>12.5</v>
      </c>
      <c r="P4491" s="247">
        <v>13640</v>
      </c>
      <c r="Q4491" s="25">
        <f>175.6/1089.2</f>
        <v>0.16121924348145428</v>
      </c>
      <c r="U4491" s="388">
        <v>0.1</v>
      </c>
      <c r="W4491" s="285">
        <f t="shared" si="245"/>
        <v>2418.93352919574</v>
      </c>
    </row>
    <row r="4492" spans="1:23" ht="15" customHeight="1">
      <c r="A4492" s="3">
        <v>42142</v>
      </c>
      <c r="B4492" s="9">
        <v>52725</v>
      </c>
      <c r="C4492" s="5">
        <v>675</v>
      </c>
      <c r="D4492" s="5">
        <v>109375</v>
      </c>
      <c r="E4492" s="5">
        <v>162775</v>
      </c>
      <c r="F4492" s="4">
        <v>0</v>
      </c>
      <c r="G4492" s="5">
        <v>0</v>
      </c>
      <c r="H4492" s="5">
        <v>49750</v>
      </c>
      <c r="I4492" s="118">
        <f t="shared" si="242"/>
        <v>0.30563661495929967</v>
      </c>
      <c r="K4492" s="22">
        <v>1960</v>
      </c>
      <c r="L4492" s="6">
        <v>1970</v>
      </c>
      <c r="M4492" s="125">
        <f t="shared" si="239"/>
        <v>10</v>
      </c>
      <c r="P4492" s="247">
        <v>13690</v>
      </c>
      <c r="Q4492" s="25">
        <f>174.9/1085.5</f>
        <v>0.16112390603408569</v>
      </c>
      <c r="U4492" s="388">
        <v>0.1</v>
      </c>
      <c r="W4492" s="285">
        <f>(P4492*Q4492)*(1+U4492)</f>
        <v>2426.3649009672968</v>
      </c>
    </row>
    <row r="4493" spans="1:23" ht="15" customHeight="1">
      <c r="A4493" s="3">
        <v>42143</v>
      </c>
      <c r="B4493" s="9">
        <v>52500</v>
      </c>
      <c r="C4493" s="5">
        <v>675</v>
      </c>
      <c r="D4493" s="5">
        <v>109600</v>
      </c>
      <c r="E4493" s="5">
        <v>162775</v>
      </c>
      <c r="F4493" s="4">
        <v>300</v>
      </c>
      <c r="G4493" s="5">
        <v>300</v>
      </c>
      <c r="H4493" s="5">
        <v>33700</v>
      </c>
      <c r="I4493" s="118">
        <f t="shared" si="242"/>
        <v>0.20703424973122408</v>
      </c>
      <c r="K4493" s="22">
        <v>1936</v>
      </c>
      <c r="L4493" s="6">
        <v>1945.5</v>
      </c>
      <c r="M4493" s="125">
        <f t="shared" si="239"/>
        <v>9.5</v>
      </c>
      <c r="P4493" s="247">
        <v>13690</v>
      </c>
      <c r="Q4493" s="25">
        <f>175.69/1090.9</f>
        <v>0.1610505087542396</v>
      </c>
      <c r="U4493" s="388">
        <v>0.1</v>
      </c>
      <c r="W4493" s="285">
        <f>(P4493*Q4493)*(1+U4493)</f>
        <v>2425.2596113300942</v>
      </c>
    </row>
    <row r="4494" spans="1:23" ht="15" customHeight="1">
      <c r="A4494" s="3">
        <v>42144</v>
      </c>
      <c r="B4494" s="9">
        <v>52475</v>
      </c>
      <c r="C4494" s="5">
        <v>675</v>
      </c>
      <c r="D4494" s="5">
        <v>109375</v>
      </c>
      <c r="E4494" s="5">
        <v>162525</v>
      </c>
      <c r="F4494" s="4">
        <v>0</v>
      </c>
      <c r="G4494" s="5">
        <v>250</v>
      </c>
      <c r="H4494" s="5">
        <v>33550</v>
      </c>
      <c r="I4494" s="118">
        <f t="shared" si="242"/>
        <v>0.20642978003384094</v>
      </c>
      <c r="K4494" s="22">
        <v>1919</v>
      </c>
      <c r="L4494" s="6">
        <v>1929</v>
      </c>
      <c r="M4494" s="125">
        <f t="shared" si="239"/>
        <v>10</v>
      </c>
      <c r="P4494" s="247">
        <v>13640</v>
      </c>
      <c r="Q4494" s="25">
        <f>176.45/1095.2</f>
        <v>0.16111212563915264</v>
      </c>
      <c r="U4494" s="388">
        <v>0.1</v>
      </c>
      <c r="W4494" s="285">
        <f>(P4494*Q4494)*(1+U4494)</f>
        <v>2417.3263330898467</v>
      </c>
    </row>
    <row r="4495" spans="1:23" ht="15" customHeight="1">
      <c r="A4495" s="3">
        <v>42145</v>
      </c>
      <c r="B4495" s="9">
        <v>51725</v>
      </c>
      <c r="C4495" s="5">
        <v>675</v>
      </c>
      <c r="D4495" s="5">
        <v>109100</v>
      </c>
      <c r="E4495" s="5">
        <v>161500</v>
      </c>
      <c r="F4495" s="4">
        <v>0</v>
      </c>
      <c r="G4495" s="5">
        <v>1025</v>
      </c>
      <c r="H4495" s="5">
        <v>32525</v>
      </c>
      <c r="I4495" s="118">
        <f t="shared" si="242"/>
        <v>0.20139318885448917</v>
      </c>
      <c r="K4495" s="22">
        <v>1952.5</v>
      </c>
      <c r="L4495" s="6">
        <v>1966</v>
      </c>
      <c r="M4495" s="125">
        <f t="shared" si="239"/>
        <v>13.5</v>
      </c>
      <c r="P4495" s="247">
        <v>13640</v>
      </c>
      <c r="Q4495" s="25">
        <f>176.6/1094.4</f>
        <v>0.16136695906432746</v>
      </c>
      <c r="U4495" s="388">
        <v>0.1</v>
      </c>
      <c r="W4495" s="285">
        <f>(P4495*Q4495)*(1+U4495)</f>
        <v>2421.1498538011697</v>
      </c>
    </row>
    <row r="4496" spans="1:23" ht="15" customHeight="1">
      <c r="A4496" s="3">
        <v>42146</v>
      </c>
      <c r="B4496" s="9">
        <v>51400</v>
      </c>
      <c r="C4496" s="5">
        <v>675</v>
      </c>
      <c r="D4496" s="5">
        <v>109400</v>
      </c>
      <c r="E4496" s="5">
        <v>161475</v>
      </c>
      <c r="F4496" s="4">
        <v>300</v>
      </c>
      <c r="G4496" s="5">
        <v>325</v>
      </c>
      <c r="H4496" s="5">
        <v>32275</v>
      </c>
      <c r="I4496" s="118">
        <f t="shared" si="242"/>
        <v>0.19987614181761881</v>
      </c>
      <c r="K4496" s="22">
        <v>1942.5</v>
      </c>
      <c r="L4496" s="6">
        <v>1957</v>
      </c>
      <c r="M4496" s="125">
        <f>L4496-K4496</f>
        <v>14.5</v>
      </c>
      <c r="P4496" s="247">
        <v>13650</v>
      </c>
      <c r="Q4496" s="25">
        <f>175.86/1090.8</f>
        <v>0.16122112211221123</v>
      </c>
      <c r="U4496" s="388">
        <v>0.1</v>
      </c>
      <c r="W4496" s="285">
        <f>(P4496*Q4496)*(1+U4496)</f>
        <v>2420.735148514852</v>
      </c>
    </row>
    <row r="4497" spans="1:23" ht="15" customHeight="1">
      <c r="A4497" s="3">
        <v>42149</v>
      </c>
      <c r="B4497" s="9" t="e">
        <f>#REF!+#REF!</f>
        <v>#REF!</v>
      </c>
      <c r="F4497" s="1318" t="s">
        <v>51</v>
      </c>
      <c r="G4497" s="1318"/>
      <c r="H4497" s="1318"/>
      <c r="I4497" s="1318"/>
      <c r="J4497" s="5"/>
      <c r="P4497" s="247"/>
      <c r="U4497" s="388"/>
    </row>
    <row r="4498" spans="1:23" ht="15" customHeight="1">
      <c r="A4498" s="3">
        <v>42150</v>
      </c>
      <c r="B4498" s="9">
        <v>50125</v>
      </c>
      <c r="C4498" s="5">
        <v>675</v>
      </c>
      <c r="D4498" s="5">
        <v>109600</v>
      </c>
      <c r="E4498" s="5">
        <v>160400</v>
      </c>
      <c r="F4498" s="4">
        <v>200</v>
      </c>
      <c r="G4498" s="5">
        <v>1275</v>
      </c>
      <c r="H4498" s="5">
        <v>31000</v>
      </c>
      <c r="I4498" s="118">
        <f>H4498/E4498</f>
        <v>0.19326683291770574</v>
      </c>
      <c r="K4498" s="22">
        <v>1932</v>
      </c>
      <c r="L4498" s="6">
        <v>1944</v>
      </c>
      <c r="M4498" s="125">
        <f>L4498-K4498</f>
        <v>12</v>
      </c>
      <c r="P4498" s="247">
        <v>13700</v>
      </c>
      <c r="Q4498" s="25">
        <f>176.92/1098.4</f>
        <v>0.16107064821558628</v>
      </c>
      <c r="U4498" s="388">
        <v>0.1</v>
      </c>
      <c r="W4498" s="285">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18">
        <f>H4499/E4499</f>
        <v>0.17639613985128935</v>
      </c>
      <c r="K4499" s="22">
        <v>1921</v>
      </c>
      <c r="L4499" s="6">
        <v>1935</v>
      </c>
      <c r="M4499" s="125">
        <f>L4499-K4499</f>
        <v>14</v>
      </c>
      <c r="P4499" s="247">
        <v>13700</v>
      </c>
      <c r="Q4499" s="25">
        <f>178.38/1107</f>
        <v>0.16113821138211382</v>
      </c>
      <c r="U4499" s="388">
        <v>0.1</v>
      </c>
      <c r="W4499" s="285">
        <f t="shared" si="246"/>
        <v>2428.3528455284554</v>
      </c>
    </row>
    <row r="4500" spans="1:23" ht="15" customHeight="1">
      <c r="A4500" s="3">
        <v>42152</v>
      </c>
      <c r="B4500" s="9">
        <v>46025</v>
      </c>
      <c r="C4500" s="5">
        <v>675</v>
      </c>
      <c r="D4500" s="5">
        <v>110325</v>
      </c>
      <c r="E4500" s="5">
        <v>157025</v>
      </c>
      <c r="F4500" s="4">
        <v>0</v>
      </c>
      <c r="G4500" s="5">
        <v>1000</v>
      </c>
      <c r="H4500" s="5">
        <v>26875</v>
      </c>
      <c r="I4500" s="118">
        <f>H4500/E4500</f>
        <v>0.17115109059067027</v>
      </c>
      <c r="K4500" s="22">
        <v>1968</v>
      </c>
      <c r="L4500" s="6">
        <v>1984</v>
      </c>
      <c r="M4500" s="125">
        <f>L4500-K4500</f>
        <v>16</v>
      </c>
      <c r="P4500" s="247">
        <v>13720</v>
      </c>
      <c r="Q4500" s="25">
        <f>178.59/1108</f>
        <v>0.16118231046931408</v>
      </c>
      <c r="U4500" s="388">
        <v>0.1</v>
      </c>
      <c r="W4500" s="285">
        <f t="shared" si="246"/>
        <v>2432.5634296028884</v>
      </c>
    </row>
    <row r="4501" spans="1:23" ht="15" customHeight="1">
      <c r="A4501" s="3">
        <v>42153</v>
      </c>
      <c r="B4501" s="9">
        <v>46275</v>
      </c>
      <c r="C4501" s="5">
        <v>675</v>
      </c>
      <c r="D4501" s="5">
        <v>111750</v>
      </c>
      <c r="E4501" s="5">
        <v>158700</v>
      </c>
      <c r="F4501" s="4">
        <v>1725</v>
      </c>
      <c r="G4501" s="5">
        <v>50</v>
      </c>
      <c r="H4501" s="5">
        <v>31700</v>
      </c>
      <c r="I4501" s="118">
        <f>H4501/E4501</f>
        <v>0.19974795211090107</v>
      </c>
      <c r="K4501" s="22">
        <v>1959.5</v>
      </c>
      <c r="L4501" s="6">
        <v>1975</v>
      </c>
      <c r="M4501" s="125">
        <f>L4501-K4501</f>
        <v>15.5</v>
      </c>
      <c r="N4501" s="235">
        <f>AVERAGE(K4481:K4501)</f>
        <v>2003.8421052631579</v>
      </c>
      <c r="O4501" s="230">
        <f>AVERAGE(K4392:K4501)</f>
        <v>1880.8284313725489</v>
      </c>
      <c r="P4501" s="247">
        <v>13720</v>
      </c>
      <c r="Q4501" s="25">
        <f>178.52/1107.6</f>
        <v>0.16117732033224993</v>
      </c>
      <c r="U4501" s="388">
        <v>0.1</v>
      </c>
      <c r="W4501" s="285">
        <f t="shared" si="246"/>
        <v>2432.488118454316</v>
      </c>
    </row>
    <row r="4502" spans="1:23" ht="15" customHeight="1" thickBot="1">
      <c r="A4502" s="216"/>
      <c r="B4502" s="1330"/>
      <c r="C4502" s="1330"/>
      <c r="D4502" s="1330"/>
      <c r="E4502" s="216"/>
      <c r="F4502" s="407"/>
      <c r="G4502" s="164"/>
      <c r="H4502" s="164"/>
      <c r="I4502" s="166"/>
      <c r="J4502" s="166"/>
      <c r="K4502" s="166"/>
      <c r="L4502" s="167"/>
      <c r="M4502" s="168"/>
      <c r="N4502" s="169" t="s">
        <v>52</v>
      </c>
      <c r="O4502" s="183"/>
      <c r="P4502" s="180"/>
      <c r="Q4502" s="154"/>
      <c r="R4502" s="248"/>
      <c r="S4502" s="249"/>
      <c r="T4502" s="249"/>
      <c r="U4502" s="152"/>
      <c r="V4502" s="153">
        <f>AVERAGE(P4481:P4501)</f>
        <v>13705.78947368421</v>
      </c>
      <c r="W4502" s="295"/>
    </row>
    <row r="4503" spans="1:23" ht="15" customHeight="1">
      <c r="A4503" s="3">
        <v>42156</v>
      </c>
      <c r="B4503" s="9">
        <v>47825</v>
      </c>
      <c r="C4503" s="5">
        <v>675</v>
      </c>
      <c r="D4503" s="5">
        <v>111650</v>
      </c>
      <c r="E4503" s="5">
        <v>160150</v>
      </c>
      <c r="F4503" s="4">
        <v>2000</v>
      </c>
      <c r="G4503" s="5">
        <v>550</v>
      </c>
      <c r="H4503" s="5">
        <v>33875</v>
      </c>
      <c r="I4503" s="118">
        <f t="shared" ref="I4503:I4524" si="247">H4503/E4503</f>
        <v>0.21152044957852015</v>
      </c>
      <c r="K4503" s="22">
        <v>1909</v>
      </c>
      <c r="L4503" s="6">
        <v>1923.5</v>
      </c>
      <c r="M4503" s="125">
        <f t="shared" ref="M4503:M4509" si="248">L4503-K4503</f>
        <v>14.5</v>
      </c>
      <c r="P4503" s="247">
        <v>13660</v>
      </c>
      <c r="Q4503" s="25">
        <f>179.16/1111.6</f>
        <v>0.16117308384310905</v>
      </c>
      <c r="U4503" s="388">
        <v>0.1</v>
      </c>
      <c r="W4503" s="285">
        <f t="shared" si="246"/>
        <v>2421.7867578265568</v>
      </c>
    </row>
    <row r="4504" spans="1:23" ht="15" customHeight="1">
      <c r="A4504" s="3">
        <v>42157</v>
      </c>
      <c r="B4504" s="9">
        <v>47825</v>
      </c>
      <c r="C4504" s="5">
        <v>675</v>
      </c>
      <c r="D4504" s="5">
        <v>111650</v>
      </c>
      <c r="E4504" s="5">
        <v>160150</v>
      </c>
      <c r="F4504" s="4">
        <v>0</v>
      </c>
      <c r="G4504" s="5">
        <v>0</v>
      </c>
      <c r="H4504" s="5">
        <v>34200</v>
      </c>
      <c r="I4504" s="118">
        <f t="shared" si="247"/>
        <v>0.21354979706525132</v>
      </c>
      <c r="K4504" s="22">
        <v>1916</v>
      </c>
      <c r="L4504" s="6">
        <v>1937</v>
      </c>
      <c r="M4504" s="125">
        <f t="shared" si="248"/>
        <v>21</v>
      </c>
      <c r="P4504" s="247">
        <v>13660</v>
      </c>
      <c r="Q4504" s="25">
        <f>179.73/1114.5</f>
        <v>0.16126514131897712</v>
      </c>
      <c r="U4504" s="388">
        <v>0.1</v>
      </c>
      <c r="W4504" s="285">
        <f t="shared" si="246"/>
        <v>2423.1700134589501</v>
      </c>
    </row>
    <row r="4505" spans="1:23" ht="15" customHeight="1">
      <c r="A4505" s="3">
        <v>42158</v>
      </c>
      <c r="B4505" s="9">
        <v>45025</v>
      </c>
      <c r="C4505" s="5">
        <v>675</v>
      </c>
      <c r="D4505" s="5">
        <v>111450</v>
      </c>
      <c r="E4505" s="5">
        <v>157150</v>
      </c>
      <c r="F4505" s="4">
        <v>0</v>
      </c>
      <c r="G4505" s="5">
        <v>3000</v>
      </c>
      <c r="H4505" s="5">
        <v>34000</v>
      </c>
      <c r="I4505" s="118">
        <f t="shared" si="247"/>
        <v>0.21635380209990454</v>
      </c>
      <c r="K4505" s="22">
        <v>1912</v>
      </c>
      <c r="L4505" s="6">
        <v>1930</v>
      </c>
      <c r="M4505" s="125">
        <f t="shared" si="248"/>
        <v>18</v>
      </c>
      <c r="P4505" s="247">
        <v>13640</v>
      </c>
      <c r="Q4505" s="25">
        <f>178.42/1106</f>
        <v>0.16132007233273055</v>
      </c>
      <c r="U4505" s="388">
        <v>0.1</v>
      </c>
      <c r="W4505" s="285">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18">
        <f t="shared" si="247"/>
        <v>0.21221813529505837</v>
      </c>
      <c r="K4506" s="22">
        <v>1928.5</v>
      </c>
      <c r="L4506" s="6">
        <v>1942</v>
      </c>
      <c r="M4506" s="125">
        <f t="shared" si="248"/>
        <v>13.5</v>
      </c>
      <c r="P4506" s="247">
        <v>13610</v>
      </c>
      <c r="Q4506" s="25">
        <f>178.85/1109.9</f>
        <v>0.16114064330119829</v>
      </c>
      <c r="U4506" s="388">
        <v>0.1</v>
      </c>
      <c r="W4506" s="285">
        <f t="shared" si="249"/>
        <v>2412.4365708622399</v>
      </c>
    </row>
    <row r="4507" spans="1:23" ht="15" customHeight="1">
      <c r="A4507" s="3">
        <v>42160</v>
      </c>
      <c r="B4507" s="9">
        <v>44275</v>
      </c>
      <c r="C4507" s="5">
        <v>675</v>
      </c>
      <c r="D4507" s="5">
        <v>110975</v>
      </c>
      <c r="E4507" s="5">
        <v>155925</v>
      </c>
      <c r="F4507" s="4">
        <v>0</v>
      </c>
      <c r="G4507" s="5">
        <v>400</v>
      </c>
      <c r="H4507" s="5">
        <v>33400</v>
      </c>
      <c r="I4507" s="118">
        <f t="shared" si="247"/>
        <v>0.21420554753888088</v>
      </c>
      <c r="K4507" s="22">
        <v>1902.5</v>
      </c>
      <c r="L4507" s="6">
        <v>1915</v>
      </c>
      <c r="M4507" s="125">
        <f t="shared" si="248"/>
        <v>12.5</v>
      </c>
      <c r="P4507" s="247">
        <v>13610</v>
      </c>
      <c r="Q4507" s="25">
        <f>179.04/1112.1</f>
        <v>0.16099271648233074</v>
      </c>
      <c r="U4507" s="388">
        <v>0.1</v>
      </c>
      <c r="W4507" s="285">
        <f t="shared" si="249"/>
        <v>2410.2219584569734</v>
      </c>
    </row>
    <row r="4508" spans="1:23" ht="15" customHeight="1">
      <c r="A4508" s="3">
        <v>42163</v>
      </c>
      <c r="B4508" s="9">
        <v>43725</v>
      </c>
      <c r="C4508" s="5">
        <v>675</v>
      </c>
      <c r="D4508" s="5">
        <v>111375</v>
      </c>
      <c r="E4508" s="5">
        <v>155775</v>
      </c>
      <c r="F4508" s="4">
        <v>600</v>
      </c>
      <c r="G4508" s="5">
        <v>750</v>
      </c>
      <c r="H4508" s="5">
        <v>35375</v>
      </c>
      <c r="I4508" s="118">
        <f t="shared" si="247"/>
        <v>0.22709035467822181</v>
      </c>
      <c r="K4508" s="22">
        <v>1901.5</v>
      </c>
      <c r="L4508" s="6">
        <v>1917</v>
      </c>
      <c r="M4508" s="125">
        <f t="shared" si="248"/>
        <v>15.5</v>
      </c>
      <c r="P4508" s="247">
        <v>13560</v>
      </c>
      <c r="Q4508" s="25">
        <f>180.65/1121.5</f>
        <v>0.1610789121711993</v>
      </c>
      <c r="U4508" s="388">
        <v>0.1</v>
      </c>
      <c r="W4508" s="285">
        <f t="shared" si="249"/>
        <v>2402.6530539456089</v>
      </c>
    </row>
    <row r="4509" spans="1:23" ht="15" customHeight="1">
      <c r="A4509" s="3">
        <v>42164</v>
      </c>
      <c r="B4509" s="9">
        <v>42550</v>
      </c>
      <c r="C4509" s="5">
        <v>675</v>
      </c>
      <c r="D4509" s="5">
        <v>112975</v>
      </c>
      <c r="E4509" s="5">
        <v>156200</v>
      </c>
      <c r="F4509" s="4">
        <v>1775</v>
      </c>
      <c r="G4509" s="5">
        <v>1350</v>
      </c>
      <c r="H4509" s="5">
        <v>34025</v>
      </c>
      <c r="I4509" s="118">
        <f t="shared" si="247"/>
        <v>0.21782970550576183</v>
      </c>
      <c r="K4509" s="22">
        <v>1925</v>
      </c>
      <c r="L4509" s="6">
        <v>1937</v>
      </c>
      <c r="M4509" s="125">
        <f t="shared" si="248"/>
        <v>12</v>
      </c>
      <c r="P4509" s="247">
        <v>13580</v>
      </c>
      <c r="Q4509" s="25">
        <f>180.2/1119.3</f>
        <v>0.16099347806664879</v>
      </c>
      <c r="U4509" s="388">
        <v>0.1</v>
      </c>
      <c r="W4509" s="285">
        <f t="shared" si="249"/>
        <v>2404.9205753596002</v>
      </c>
    </row>
    <row r="4510" spans="1:23" ht="15" customHeight="1">
      <c r="A4510" s="3">
        <v>42165</v>
      </c>
      <c r="B4510" s="9">
        <v>41225</v>
      </c>
      <c r="C4510" s="5">
        <v>675</v>
      </c>
      <c r="D4510" s="5">
        <v>113075</v>
      </c>
      <c r="E4510" s="5">
        <v>154975</v>
      </c>
      <c r="F4510" s="4">
        <v>200</v>
      </c>
      <c r="G4510" s="5">
        <v>1425</v>
      </c>
      <c r="H4510" s="5">
        <v>37775</v>
      </c>
      <c r="I4510" s="118">
        <f t="shared" si="247"/>
        <v>0.2437489917728666</v>
      </c>
      <c r="K4510" s="22">
        <v>1941</v>
      </c>
      <c r="L4510" s="6">
        <v>1954</v>
      </c>
      <c r="M4510" s="125">
        <f t="shared" ref="M4510:M4519" si="250">L4510-K4510</f>
        <v>13</v>
      </c>
      <c r="P4510" s="247">
        <v>13610</v>
      </c>
      <c r="Q4510" s="25">
        <f>179.94/1117.3</f>
        <v>0.16104895730779559</v>
      </c>
      <c r="U4510" s="388">
        <v>0.1</v>
      </c>
      <c r="W4510" s="285">
        <f t="shared" si="249"/>
        <v>2411.0639398550079</v>
      </c>
    </row>
    <row r="4511" spans="1:23" ht="15" customHeight="1">
      <c r="A4511" s="3">
        <v>42166</v>
      </c>
      <c r="B4511" s="9">
        <v>40125</v>
      </c>
      <c r="C4511" s="5">
        <v>675</v>
      </c>
      <c r="D4511" s="5">
        <v>145525</v>
      </c>
      <c r="E4511" s="5">
        <v>186325</v>
      </c>
      <c r="F4511" s="4">
        <v>32600</v>
      </c>
      <c r="G4511" s="5">
        <v>1250</v>
      </c>
      <c r="H4511" s="5">
        <v>36550</v>
      </c>
      <c r="I4511" s="118">
        <f t="shared" si="247"/>
        <v>0.19616261907956528</v>
      </c>
      <c r="K4511" s="22">
        <v>1895.5</v>
      </c>
      <c r="L4511" s="6">
        <v>1910</v>
      </c>
      <c r="M4511" s="125">
        <f t="shared" si="250"/>
        <v>14.5</v>
      </c>
      <c r="P4511" s="247">
        <v>13610</v>
      </c>
      <c r="Q4511" s="25">
        <f>178.75/1110.4</f>
        <v>0.16097802593659941</v>
      </c>
      <c r="U4511" s="388">
        <v>0.1</v>
      </c>
      <c r="W4511" s="285">
        <f t="shared" si="249"/>
        <v>2410.0020262968301</v>
      </c>
    </row>
    <row r="4512" spans="1:23" ht="15" customHeight="1">
      <c r="A4512" s="3">
        <v>42167</v>
      </c>
      <c r="B4512" s="9">
        <v>39975</v>
      </c>
      <c r="C4512" s="5">
        <v>675</v>
      </c>
      <c r="D4512" s="5">
        <v>147150</v>
      </c>
      <c r="E4512" s="5">
        <v>187800</v>
      </c>
      <c r="F4512" s="4">
        <v>3900</v>
      </c>
      <c r="G4512" s="5">
        <v>2425</v>
      </c>
      <c r="H4512" s="5">
        <v>34125</v>
      </c>
      <c r="I4512" s="118">
        <f t="shared" si="247"/>
        <v>0.18170926517571884</v>
      </c>
      <c r="K4512" s="22">
        <v>1831</v>
      </c>
      <c r="L4512" s="6">
        <v>1848</v>
      </c>
      <c r="M4512" s="125">
        <f t="shared" si="250"/>
        <v>17</v>
      </c>
      <c r="P4512" s="247">
        <v>13460</v>
      </c>
      <c r="Q4512" s="25">
        <f>178.9/1111.9</f>
        <v>0.16089576400755462</v>
      </c>
      <c r="U4512" s="388">
        <v>0.1</v>
      </c>
      <c r="W4512" s="285">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18">
        <f t="shared" si="247"/>
        <v>0.16628424888648941</v>
      </c>
      <c r="K4513" s="22">
        <v>1806</v>
      </c>
      <c r="L4513" s="6">
        <v>1819</v>
      </c>
      <c r="M4513" s="125">
        <f t="shared" si="250"/>
        <v>13</v>
      </c>
      <c r="P4513" s="247">
        <v>13440</v>
      </c>
      <c r="Q4513" s="25">
        <f>179.66/1116.2</f>
        <v>0.16095681777459236</v>
      </c>
      <c r="U4513" s="388">
        <v>0.1</v>
      </c>
      <c r="W4513" s="285">
        <f t="shared" si="251"/>
        <v>2379.5855939795738</v>
      </c>
    </row>
    <row r="4514" spans="1:23" ht="15" customHeight="1">
      <c r="A4514" s="3">
        <v>42171</v>
      </c>
      <c r="B4514" s="9">
        <v>38675</v>
      </c>
      <c r="C4514" s="5">
        <v>650</v>
      </c>
      <c r="D4514" s="5">
        <v>140450</v>
      </c>
      <c r="E4514" s="5">
        <v>179775</v>
      </c>
      <c r="F4514" s="4">
        <v>475</v>
      </c>
      <c r="G4514" s="5">
        <v>5925</v>
      </c>
      <c r="H4514" s="5">
        <v>24875</v>
      </c>
      <c r="I4514" s="118">
        <f t="shared" si="247"/>
        <v>0.13836740369906828</v>
      </c>
      <c r="K4514" s="22">
        <v>1791</v>
      </c>
      <c r="L4514" s="6">
        <v>1813</v>
      </c>
      <c r="M4514" s="125">
        <f t="shared" si="250"/>
        <v>22</v>
      </c>
      <c r="P4514" s="247">
        <v>13370</v>
      </c>
      <c r="Q4514" s="25">
        <f>179.95/1117.3</f>
        <v>0.16105790745547302</v>
      </c>
      <c r="U4514" s="388">
        <v>0.1</v>
      </c>
      <c r="W4514" s="285">
        <f t="shared" si="251"/>
        <v>2368.6786449476417</v>
      </c>
    </row>
    <row r="4515" spans="1:23" ht="15" customHeight="1">
      <c r="A4515" s="3">
        <v>42172</v>
      </c>
      <c r="B4515" s="9">
        <v>37450</v>
      </c>
      <c r="C4515" s="5">
        <v>650</v>
      </c>
      <c r="D4515" s="5">
        <v>138150</v>
      </c>
      <c r="E4515" s="5">
        <v>176250</v>
      </c>
      <c r="F4515" s="4">
        <v>375</v>
      </c>
      <c r="G4515" s="5">
        <v>3900</v>
      </c>
      <c r="H4515" s="5">
        <v>21300</v>
      </c>
      <c r="I4515" s="118">
        <f t="shared" si="247"/>
        <v>0.12085106382978723</v>
      </c>
      <c r="K4515" s="22">
        <v>1784.5</v>
      </c>
      <c r="L4515" s="6">
        <v>1806</v>
      </c>
      <c r="M4515" s="125">
        <f t="shared" si="250"/>
        <v>21.5</v>
      </c>
      <c r="P4515" s="247">
        <v>13340</v>
      </c>
      <c r="Q4515" s="25">
        <f>180.1/1117.6</f>
        <v>0.16114889047959916</v>
      </c>
      <c r="U4515" s="388">
        <v>0.1</v>
      </c>
      <c r="W4515" s="285">
        <f t="shared" si="251"/>
        <v>2364.6988188976384</v>
      </c>
    </row>
    <row r="4516" spans="1:23" ht="15" customHeight="1">
      <c r="A4516" s="3">
        <v>42173</v>
      </c>
      <c r="B4516" s="9">
        <v>36575</v>
      </c>
      <c r="C4516" s="5">
        <v>650</v>
      </c>
      <c r="D4516" s="5">
        <v>136925</v>
      </c>
      <c r="E4516" s="5">
        <v>174150</v>
      </c>
      <c r="F4516" s="4">
        <v>0</v>
      </c>
      <c r="G4516" s="5">
        <v>2100</v>
      </c>
      <c r="H4516" s="5">
        <v>19525</v>
      </c>
      <c r="I4516" s="118">
        <f t="shared" si="247"/>
        <v>0.1121159919609532</v>
      </c>
      <c r="K4516" s="22">
        <v>1810.5</v>
      </c>
      <c r="L4516" s="6">
        <v>1829</v>
      </c>
      <c r="M4516" s="125">
        <f t="shared" si="250"/>
        <v>18.5</v>
      </c>
      <c r="P4516" s="247">
        <v>13360</v>
      </c>
      <c r="Q4516" s="25">
        <f>178.86/1109.9</f>
        <v>0.16114965312190288</v>
      </c>
      <c r="U4516" s="388">
        <v>0.1</v>
      </c>
      <c r="W4516" s="285">
        <f t="shared" si="251"/>
        <v>2368.255302279485</v>
      </c>
    </row>
    <row r="4517" spans="1:23" ht="15" customHeight="1">
      <c r="A4517" s="3">
        <v>42174</v>
      </c>
      <c r="B4517" s="9">
        <v>36575</v>
      </c>
      <c r="C4517" s="5">
        <v>650</v>
      </c>
      <c r="D4517" s="5">
        <v>136175</v>
      </c>
      <c r="E4517" s="5">
        <v>173400</v>
      </c>
      <c r="F4517" s="4">
        <v>0</v>
      </c>
      <c r="G4517" s="5">
        <v>750</v>
      </c>
      <c r="H4517" s="5">
        <v>18825</v>
      </c>
      <c r="I4517" s="118">
        <f t="shared" si="247"/>
        <v>0.10856401384083045</v>
      </c>
      <c r="K4517" s="22">
        <v>1785</v>
      </c>
      <c r="L4517" s="6">
        <v>1800</v>
      </c>
      <c r="M4517" s="125">
        <f t="shared" si="250"/>
        <v>15</v>
      </c>
      <c r="P4517" s="247">
        <v>13360</v>
      </c>
      <c r="Q4517" s="25">
        <f>177.86/1104</f>
        <v>0.16110507246376812</v>
      </c>
      <c r="U4517" s="388">
        <v>0.1</v>
      </c>
      <c r="W4517" s="285">
        <f t="shared" si="251"/>
        <v>2367.6001449275363</v>
      </c>
    </row>
    <row r="4518" spans="1:23" ht="15" customHeight="1">
      <c r="A4518" s="3">
        <v>42177</v>
      </c>
      <c r="B4518" s="9">
        <v>36525</v>
      </c>
      <c r="C4518" s="5">
        <v>650</v>
      </c>
      <c r="D4518" s="5">
        <v>135025</v>
      </c>
      <c r="E4518" s="5">
        <v>172200</v>
      </c>
      <c r="F4518" s="4">
        <v>0</v>
      </c>
      <c r="G4518" s="5">
        <v>1200</v>
      </c>
      <c r="H4518" s="5">
        <v>17700</v>
      </c>
      <c r="I4518" s="118">
        <f t="shared" si="247"/>
        <v>0.10278745644599303</v>
      </c>
      <c r="K4518" s="22">
        <v>1765</v>
      </c>
      <c r="L4518" s="6">
        <v>1781</v>
      </c>
      <c r="M4518" s="125">
        <f t="shared" si="250"/>
        <v>16</v>
      </c>
      <c r="P4518" s="311" t="s">
        <v>53</v>
      </c>
      <c r="Q4518" s="25">
        <f>177.28/1099.9</f>
        <v>0.16117828893535774</v>
      </c>
      <c r="U4518" s="388">
        <v>0.1</v>
      </c>
    </row>
    <row r="4519" spans="1:23" ht="15" customHeight="1">
      <c r="A4519" s="3">
        <v>42178</v>
      </c>
      <c r="B4519" s="9">
        <v>36725</v>
      </c>
      <c r="C4519" s="5">
        <v>625</v>
      </c>
      <c r="D4519" s="5">
        <v>134050</v>
      </c>
      <c r="E4519" s="5">
        <v>171400</v>
      </c>
      <c r="F4519" s="4">
        <v>200</v>
      </c>
      <c r="G4519" s="5">
        <v>1000</v>
      </c>
      <c r="H4519" s="5">
        <v>16950</v>
      </c>
      <c r="I4519" s="118">
        <f t="shared" si="247"/>
        <v>9.8891481913652282E-2</v>
      </c>
      <c r="K4519" s="22">
        <v>1767.5</v>
      </c>
      <c r="L4519" s="6">
        <v>1785</v>
      </c>
      <c r="M4519" s="125">
        <f t="shared" si="250"/>
        <v>17.5</v>
      </c>
      <c r="P4519" s="247">
        <v>13360</v>
      </c>
      <c r="Q4519" s="25">
        <f>178.05/1104.1</f>
        <v>0.16126256679648585</v>
      </c>
      <c r="U4519" s="388">
        <v>0.1</v>
      </c>
      <c r="W4519" s="285">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18">
        <f t="shared" si="247"/>
        <v>9.3107970275389765E-2</v>
      </c>
      <c r="K4520" s="22">
        <v>1786.5</v>
      </c>
      <c r="L4520" s="6">
        <v>1805</v>
      </c>
      <c r="M4520" s="125">
        <f>L4520-K4520</f>
        <v>18.5</v>
      </c>
      <c r="P4520" s="247">
        <v>13410</v>
      </c>
      <c r="Q4520" s="25">
        <f>178.69/1108.4</f>
        <v>0.16121436304583181</v>
      </c>
      <c r="U4520" s="388">
        <v>0.1</v>
      </c>
      <c r="W4520" s="285">
        <f t="shared" si="252"/>
        <v>2378.0730692890652</v>
      </c>
    </row>
    <row r="4521" spans="1:23" ht="15" customHeight="1">
      <c r="A4521" s="3">
        <v>42180</v>
      </c>
      <c r="B4521" s="9">
        <v>39250</v>
      </c>
      <c r="C4521" s="5">
        <v>625</v>
      </c>
      <c r="D4521" s="5">
        <v>132650</v>
      </c>
      <c r="E4521" s="5">
        <v>172525</v>
      </c>
      <c r="F4521" s="4">
        <v>1625</v>
      </c>
      <c r="G4521" s="5">
        <v>675</v>
      </c>
      <c r="H4521" s="5">
        <v>15500</v>
      </c>
      <c r="I4521" s="118">
        <f t="shared" si="247"/>
        <v>8.9842051876539639E-2</v>
      </c>
      <c r="K4521" s="22">
        <v>1775.5</v>
      </c>
      <c r="L4521" s="6">
        <v>1793</v>
      </c>
      <c r="M4521" s="125">
        <f>L4521-K4521</f>
        <v>17.5</v>
      </c>
      <c r="P4521" s="247">
        <v>13410</v>
      </c>
      <c r="Q4521" s="25">
        <f>178.82/1109.6</f>
        <v>0.16115717375630859</v>
      </c>
      <c r="U4521" s="388">
        <v>0.1</v>
      </c>
      <c r="W4521" s="285">
        <f t="shared" si="252"/>
        <v>2377.2294700793082</v>
      </c>
    </row>
    <row r="4522" spans="1:23" ht="15" customHeight="1">
      <c r="A4522" s="3">
        <v>42181</v>
      </c>
      <c r="B4522" s="9">
        <v>39075</v>
      </c>
      <c r="C4522" s="5">
        <v>625</v>
      </c>
      <c r="D4522" s="5">
        <v>136750</v>
      </c>
      <c r="E4522" s="5">
        <v>176450</v>
      </c>
      <c r="F4522" s="4">
        <v>5225</v>
      </c>
      <c r="G4522" s="5">
        <v>1300</v>
      </c>
      <c r="H4522" s="5">
        <v>17025</v>
      </c>
      <c r="I4522" s="118">
        <f t="shared" si="247"/>
        <v>9.6486256729951828E-2</v>
      </c>
      <c r="K4522" s="22">
        <v>1770.5</v>
      </c>
      <c r="L4522" s="6">
        <v>1790</v>
      </c>
      <c r="M4522" s="125">
        <f>L4522-K4522</f>
        <v>19.5</v>
      </c>
      <c r="P4522" s="247">
        <v>13390</v>
      </c>
      <c r="Q4522" s="25">
        <f>179.68/1115.1</f>
        <v>0.16113353062505606</v>
      </c>
      <c r="U4522" s="388">
        <v>0.1</v>
      </c>
      <c r="W4522" s="285">
        <f t="shared" si="252"/>
        <v>2373.3357725764508</v>
      </c>
    </row>
    <row r="4523" spans="1:23" ht="15" customHeight="1">
      <c r="A4523" s="3">
        <v>42184</v>
      </c>
      <c r="B4523" s="9">
        <v>37975</v>
      </c>
      <c r="C4523" s="5">
        <v>625</v>
      </c>
      <c r="D4523" s="5">
        <v>137700</v>
      </c>
      <c r="E4523" s="5">
        <v>176300</v>
      </c>
      <c r="F4523" s="4">
        <v>2000</v>
      </c>
      <c r="G4523" s="5">
        <v>2150</v>
      </c>
      <c r="H4523" s="5">
        <v>18600</v>
      </c>
      <c r="I4523" s="118">
        <f t="shared" si="247"/>
        <v>0.10550198525241067</v>
      </c>
      <c r="K4523" s="22">
        <v>1741.5</v>
      </c>
      <c r="L4523" s="6">
        <v>1762</v>
      </c>
      <c r="M4523" s="125">
        <f>L4523-K4523</f>
        <v>20.5</v>
      </c>
      <c r="P4523" s="247">
        <v>13360</v>
      </c>
      <c r="Q4523" s="25">
        <f>181.09/1124.1</f>
        <v>0.16109776710257095</v>
      </c>
      <c r="U4523" s="388">
        <v>0.1</v>
      </c>
      <c r="W4523" s="285">
        <f t="shared" si="252"/>
        <v>2367.4927853393829</v>
      </c>
    </row>
    <row r="4524" spans="1:23" ht="15" customHeight="1">
      <c r="A4524" s="3">
        <v>42185</v>
      </c>
      <c r="B4524" s="9">
        <v>36850</v>
      </c>
      <c r="C4524" s="5">
        <v>575</v>
      </c>
      <c r="D4524" s="5">
        <v>137600</v>
      </c>
      <c r="E4524" s="5">
        <v>175025</v>
      </c>
      <c r="F4524" s="4">
        <v>1000</v>
      </c>
      <c r="G4524" s="5">
        <v>2275</v>
      </c>
      <c r="H4524" s="5">
        <v>16325</v>
      </c>
      <c r="I4524" s="118">
        <f t="shared" si="247"/>
        <v>9.3272389658620197E-2</v>
      </c>
      <c r="K4524" s="22">
        <v>1754</v>
      </c>
      <c r="L4524" s="6">
        <v>1765</v>
      </c>
      <c r="M4524" s="125">
        <f>L4524-K4524</f>
        <v>11</v>
      </c>
      <c r="N4524" s="235">
        <f>AVERAGE(K4503:K4524)</f>
        <v>1836.340909090909</v>
      </c>
      <c r="O4524" s="230">
        <f>AVERAGE(K4392:K4524)</f>
        <v>1872.9354838709678</v>
      </c>
      <c r="P4524" s="247">
        <v>13260</v>
      </c>
      <c r="Q4524" s="25">
        <f>180.2/1118.3</f>
        <v>0.16113744075829384</v>
      </c>
      <c r="U4524" s="388">
        <v>0.1</v>
      </c>
      <c r="W4524" s="285">
        <f t="shared" si="252"/>
        <v>2350.350710900474</v>
      </c>
    </row>
    <row r="4525" spans="1:23" ht="15" customHeight="1" thickBot="1">
      <c r="A4525" s="216"/>
      <c r="B4525" s="1330"/>
      <c r="C4525" s="1330"/>
      <c r="D4525" s="1330"/>
      <c r="E4525" s="216"/>
      <c r="F4525" s="407"/>
      <c r="G4525" s="164"/>
      <c r="H4525" s="164"/>
      <c r="I4525" s="166"/>
      <c r="J4525" s="166"/>
      <c r="K4525" s="166"/>
      <c r="L4525" s="167"/>
      <c r="M4525" s="168"/>
      <c r="N4525" s="169" t="s">
        <v>52</v>
      </c>
      <c r="O4525" s="183"/>
      <c r="P4525" s="180"/>
      <c r="Q4525" s="154"/>
      <c r="R4525" s="248"/>
      <c r="S4525" s="249"/>
      <c r="T4525" s="249"/>
      <c r="U4525" s="152"/>
      <c r="V4525" s="153">
        <f>AVERAGE(P4503:P4524)</f>
        <v>13479.047619047618</v>
      </c>
      <c r="W4525" s="295"/>
    </row>
    <row r="4526" spans="1:23" ht="15" customHeight="1">
      <c r="A4526" s="3">
        <v>42186</v>
      </c>
      <c r="B4526" s="9">
        <v>35575</v>
      </c>
      <c r="C4526" s="5">
        <v>575</v>
      </c>
      <c r="D4526" s="5">
        <v>137850</v>
      </c>
      <c r="E4526" s="5">
        <v>174000</v>
      </c>
      <c r="F4526" s="4">
        <v>1125</v>
      </c>
      <c r="G4526" s="5">
        <v>2150</v>
      </c>
      <c r="H4526" s="5">
        <v>14800</v>
      </c>
      <c r="I4526" s="118">
        <f t="shared" ref="I4526:I4548" si="253">H4526/E4526</f>
        <v>8.5057471264367815E-2</v>
      </c>
      <c r="K4526" s="22">
        <v>1751</v>
      </c>
      <c r="L4526" s="6">
        <v>1770</v>
      </c>
      <c r="M4526" s="125">
        <f t="shared" ref="M4526:M4536" si="254">L4526-K4526</f>
        <v>19</v>
      </c>
      <c r="P4526" s="247">
        <v>13180</v>
      </c>
      <c r="Q4526" s="25">
        <f>180.22/1118.5</f>
        <v>0.16112650871703174</v>
      </c>
      <c r="U4526" s="388">
        <v>0.1</v>
      </c>
      <c r="W4526" s="285">
        <f t="shared" si="252"/>
        <v>2336.0121233795267</v>
      </c>
    </row>
    <row r="4527" spans="1:23" ht="15" customHeight="1">
      <c r="A4527" s="3">
        <v>42187</v>
      </c>
      <c r="B4527" s="9">
        <v>35100</v>
      </c>
      <c r="C4527" s="5">
        <v>575</v>
      </c>
      <c r="D4527" s="5">
        <v>137050</v>
      </c>
      <c r="E4527" s="5">
        <v>172725</v>
      </c>
      <c r="F4527" s="4">
        <v>0</v>
      </c>
      <c r="G4527" s="5">
        <v>1275</v>
      </c>
      <c r="H4527" s="5">
        <v>13525</v>
      </c>
      <c r="I4527" s="118">
        <f t="shared" si="253"/>
        <v>7.8303661890288034E-2</v>
      </c>
      <c r="K4527" s="22">
        <v>1768</v>
      </c>
      <c r="L4527" s="6">
        <v>1787</v>
      </c>
      <c r="M4527" s="125">
        <f t="shared" si="254"/>
        <v>19</v>
      </c>
      <c r="P4527" s="247">
        <v>13280</v>
      </c>
      <c r="Q4527" s="25">
        <f>181.08/1123.2</f>
        <v>0.16121794871794873</v>
      </c>
      <c r="U4527" s="388">
        <v>0.1</v>
      </c>
      <c r="W4527" s="285">
        <f t="shared" si="252"/>
        <v>2355.0717948717952</v>
      </c>
    </row>
    <row r="4528" spans="1:23" ht="15" customHeight="1">
      <c r="A4528" s="3">
        <v>42188</v>
      </c>
      <c r="B4528" s="9">
        <v>34950</v>
      </c>
      <c r="C4528" s="5">
        <v>575</v>
      </c>
      <c r="D4528" s="5">
        <v>136800</v>
      </c>
      <c r="E4528" s="5">
        <v>172325</v>
      </c>
      <c r="F4528" s="4">
        <v>0</v>
      </c>
      <c r="G4528" s="5">
        <v>400</v>
      </c>
      <c r="H4528" s="5">
        <v>13525</v>
      </c>
      <c r="I4528" s="118">
        <f t="shared" si="253"/>
        <v>7.8485419991295519E-2</v>
      </c>
      <c r="K4528" s="22">
        <v>1756</v>
      </c>
      <c r="L4528" s="6">
        <v>1771</v>
      </c>
      <c r="M4528" s="125">
        <f t="shared" si="254"/>
        <v>15</v>
      </c>
      <c r="P4528" s="247">
        <v>13280</v>
      </c>
      <c r="Q4528" s="25">
        <f>180.44/1120.1</f>
        <v>0.16109275957503796</v>
      </c>
      <c r="U4528" s="388">
        <v>0.1</v>
      </c>
      <c r="W4528" s="285">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18">
        <f t="shared" si="253"/>
        <v>7.620709714950552E-2</v>
      </c>
      <c r="K4529" s="22">
        <v>1732</v>
      </c>
      <c r="L4529" s="6">
        <v>1743</v>
      </c>
      <c r="M4529" s="125">
        <f t="shared" si="254"/>
        <v>11</v>
      </c>
      <c r="P4529" s="247">
        <v>13180</v>
      </c>
      <c r="Q4529" s="25">
        <f>181.27/1126.3</f>
        <v>0.16094291041463199</v>
      </c>
      <c r="U4529" s="388">
        <v>0.1</v>
      </c>
      <c r="W4529" s="285">
        <f t="shared" si="255"/>
        <v>2333.3503151913351</v>
      </c>
    </row>
    <row r="4530" spans="1:23" ht="15" customHeight="1">
      <c r="A4530" s="3">
        <v>42192</v>
      </c>
      <c r="B4530" s="9">
        <v>33900</v>
      </c>
      <c r="C4530" s="5">
        <v>575</v>
      </c>
      <c r="D4530" s="5">
        <v>136625</v>
      </c>
      <c r="E4530" s="5">
        <v>171100</v>
      </c>
      <c r="F4530" s="4">
        <v>0</v>
      </c>
      <c r="G4530" s="5">
        <v>800</v>
      </c>
      <c r="H4530" s="5">
        <v>14150</v>
      </c>
      <c r="I4530" s="118">
        <f t="shared" si="253"/>
        <v>8.2700175336060777E-2</v>
      </c>
      <c r="K4530" s="22">
        <v>1743</v>
      </c>
      <c r="L4530" s="6">
        <v>1754</v>
      </c>
      <c r="M4530" s="125">
        <f t="shared" si="254"/>
        <v>11</v>
      </c>
      <c r="P4530" s="247">
        <v>13180</v>
      </c>
      <c r="Q4530" s="25">
        <f>181.57/1129.6</f>
        <v>0.16073831444759207</v>
      </c>
      <c r="U4530" s="388">
        <v>0.1</v>
      </c>
      <c r="W4530" s="285">
        <f t="shared" si="255"/>
        <v>2330.3840828611901</v>
      </c>
    </row>
    <row r="4531" spans="1:23" ht="15" customHeight="1">
      <c r="A4531" s="3">
        <v>42193</v>
      </c>
      <c r="B4531" s="9">
        <v>33275</v>
      </c>
      <c r="C4531" s="5">
        <v>575</v>
      </c>
      <c r="D4531" s="5">
        <v>136050</v>
      </c>
      <c r="E4531" s="5">
        <v>169900</v>
      </c>
      <c r="F4531" s="4">
        <v>0</v>
      </c>
      <c r="G4531" s="5">
        <v>1200</v>
      </c>
      <c r="H4531" s="5">
        <v>18575</v>
      </c>
      <c r="I4531" s="118">
        <f t="shared" si="253"/>
        <v>0.10932901706886404</v>
      </c>
      <c r="K4531" s="22">
        <v>1734</v>
      </c>
      <c r="L4531" s="6">
        <v>1745</v>
      </c>
      <c r="M4531" s="125">
        <f t="shared" si="254"/>
        <v>11</v>
      </c>
      <c r="P4531" s="247">
        <v>12980</v>
      </c>
      <c r="Q4531" s="25">
        <f>182.54/1135.7</f>
        <v>0.16072906577441223</v>
      </c>
      <c r="U4531" s="388">
        <v>0.1</v>
      </c>
      <c r="W4531" s="285">
        <f t="shared" si="255"/>
        <v>2294.8896011270581</v>
      </c>
    </row>
    <row r="4532" spans="1:23" ht="15" customHeight="1">
      <c r="A4532" s="3">
        <v>42194</v>
      </c>
      <c r="B4532" s="9">
        <v>32600</v>
      </c>
      <c r="C4532" s="5">
        <v>575</v>
      </c>
      <c r="D4532" s="5">
        <v>135500</v>
      </c>
      <c r="E4532" s="5">
        <v>168675</v>
      </c>
      <c r="F4532" s="4">
        <v>0</v>
      </c>
      <c r="G4532" s="5">
        <v>1225</v>
      </c>
      <c r="H4532" s="5">
        <v>25725</v>
      </c>
      <c r="I4532" s="118">
        <f t="shared" si="253"/>
        <v>0.15251222765673633</v>
      </c>
      <c r="K4532" s="22">
        <v>1804</v>
      </c>
      <c r="L4532" s="6">
        <v>1808</v>
      </c>
      <c r="M4532" s="125">
        <f t="shared" si="254"/>
        <v>4</v>
      </c>
      <c r="P4532" s="247">
        <v>13160</v>
      </c>
      <c r="Q4532" s="25">
        <f>182.67/1136.2</f>
        <v>0.16077275127618376</v>
      </c>
      <c r="U4532" s="388">
        <v>0.1</v>
      </c>
      <c r="W4532" s="285">
        <f t="shared" si="255"/>
        <v>2327.3463474740361</v>
      </c>
    </row>
    <row r="4533" spans="1:23" ht="15" customHeight="1">
      <c r="A4533" s="3">
        <v>42195</v>
      </c>
      <c r="B4533" s="9">
        <v>32600</v>
      </c>
      <c r="C4533" s="5">
        <v>575</v>
      </c>
      <c r="D4533" s="5">
        <v>138675</v>
      </c>
      <c r="E4533" s="5">
        <v>171850</v>
      </c>
      <c r="F4533" s="4">
        <v>3800</v>
      </c>
      <c r="G4533" s="5">
        <v>625</v>
      </c>
      <c r="H4533" s="5">
        <v>27175</v>
      </c>
      <c r="I4533" s="118">
        <f t="shared" si="253"/>
        <v>0.15813209194064592</v>
      </c>
      <c r="K4533" s="22">
        <v>1815</v>
      </c>
      <c r="L4533" s="6">
        <v>1812</v>
      </c>
      <c r="M4533" s="125">
        <f t="shared" si="254"/>
        <v>-3</v>
      </c>
      <c r="P4533" s="247">
        <v>13260</v>
      </c>
      <c r="Q4533" s="25">
        <f>181.74/1130</f>
        <v>0.16083185840707964</v>
      </c>
      <c r="U4533" s="388">
        <v>0.1</v>
      </c>
      <c r="W4533" s="285">
        <f t="shared" si="255"/>
        <v>2345.8934867256639</v>
      </c>
    </row>
    <row r="4534" spans="1:23" ht="15" customHeight="1">
      <c r="A4534" s="3">
        <v>42198</v>
      </c>
      <c r="B4534" s="9">
        <v>32075</v>
      </c>
      <c r="C4534" s="5">
        <v>575</v>
      </c>
      <c r="D4534" s="5">
        <v>138325</v>
      </c>
      <c r="E4534" s="5">
        <v>170975</v>
      </c>
      <c r="F4534" s="4">
        <v>0</v>
      </c>
      <c r="G4534" s="5">
        <v>875</v>
      </c>
      <c r="H4534" s="5">
        <v>26300</v>
      </c>
      <c r="I4534" s="118">
        <f t="shared" si="253"/>
        <v>0.15382365842959497</v>
      </c>
      <c r="K4534" s="22">
        <v>1819.5</v>
      </c>
      <c r="L4534" s="6">
        <v>1830</v>
      </c>
      <c r="M4534" s="125">
        <f t="shared" si="254"/>
        <v>10.5</v>
      </c>
      <c r="P4534" s="247">
        <v>13210</v>
      </c>
      <c r="Q4534" s="25">
        <f>182.01/1131.5</f>
        <v>0.16085726911179848</v>
      </c>
      <c r="U4534" s="388">
        <v>0.1</v>
      </c>
      <c r="W4534" s="285">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18">
        <f t="shared" si="253"/>
        <v>0.11944696282864914</v>
      </c>
      <c r="K4535" s="22">
        <v>1809</v>
      </c>
      <c r="L4535" s="6">
        <v>1819</v>
      </c>
      <c r="M4535" s="125">
        <f t="shared" si="254"/>
        <v>10</v>
      </c>
      <c r="P4535" s="247">
        <v>13360</v>
      </c>
      <c r="Q4535" s="25">
        <f>183.32/1139.4</f>
        <v>0.16089169738458836</v>
      </c>
      <c r="U4535" s="388">
        <v>0.1</v>
      </c>
      <c r="W4535" s="285">
        <f t="shared" si="256"/>
        <v>2364.4643847639109</v>
      </c>
    </row>
    <row r="4536" spans="1:23" ht="15" customHeight="1">
      <c r="A4536" s="3">
        <v>42200</v>
      </c>
      <c r="B4536" s="9">
        <v>83550</v>
      </c>
      <c r="C4536" s="5">
        <v>575</v>
      </c>
      <c r="D4536" s="5">
        <v>136500</v>
      </c>
      <c r="E4536" s="5">
        <v>220625</v>
      </c>
      <c r="F4536" s="4">
        <v>1325</v>
      </c>
      <c r="G4536" s="5">
        <v>1300</v>
      </c>
      <c r="H4536" s="5">
        <v>25425</v>
      </c>
      <c r="I4536" s="118">
        <f t="shared" si="253"/>
        <v>0.11524079320113315</v>
      </c>
      <c r="K4536" s="22">
        <v>1857</v>
      </c>
      <c r="L4536" s="6">
        <v>1872</v>
      </c>
      <c r="M4536" s="125">
        <f t="shared" si="254"/>
        <v>15</v>
      </c>
      <c r="P4536" s="247">
        <v>13360</v>
      </c>
      <c r="Q4536" s="25">
        <f>183.62/1141.5</f>
        <v>0.16085851949189664</v>
      </c>
      <c r="U4536" s="388">
        <v>0.1</v>
      </c>
      <c r="W4536" s="285">
        <f t="shared" si="256"/>
        <v>2363.9768024529135</v>
      </c>
    </row>
    <row r="4537" spans="1:23" ht="15" customHeight="1">
      <c r="A4537" s="3">
        <v>42201</v>
      </c>
      <c r="B4537" s="9">
        <v>83250</v>
      </c>
      <c r="C4537" s="5">
        <v>575</v>
      </c>
      <c r="D4537" s="5">
        <v>135550</v>
      </c>
      <c r="E4537" s="5">
        <v>219375</v>
      </c>
      <c r="F4537" s="4">
        <v>350</v>
      </c>
      <c r="G4537" s="5">
        <v>1600</v>
      </c>
      <c r="H4537" s="5">
        <v>24275</v>
      </c>
      <c r="I4537" s="118">
        <f t="shared" si="253"/>
        <v>0.11065527065527066</v>
      </c>
      <c r="K4537" s="22">
        <v>1824.5</v>
      </c>
      <c r="L4537" s="6">
        <v>1842</v>
      </c>
      <c r="M4537" s="125">
        <f t="shared" ref="M4537:M4561" si="257">L4537-K4537</f>
        <v>17.5</v>
      </c>
      <c r="P4537" s="247">
        <v>13340</v>
      </c>
      <c r="Q4537" s="25">
        <f>184.79/1148.4</f>
        <v>0.16091083246255658</v>
      </c>
      <c r="U4537" s="388">
        <v>0.1</v>
      </c>
      <c r="W4537" s="285">
        <f t="shared" si="256"/>
        <v>2361.2055555555557</v>
      </c>
    </row>
    <row r="4538" spans="1:23" ht="15" customHeight="1">
      <c r="A4538" s="3">
        <v>42202</v>
      </c>
      <c r="B4538" s="9">
        <v>82975</v>
      </c>
      <c r="C4538" s="5">
        <v>575</v>
      </c>
      <c r="D4538" s="5">
        <v>134350</v>
      </c>
      <c r="E4538" s="5">
        <v>217900</v>
      </c>
      <c r="F4538" s="4">
        <v>0</v>
      </c>
      <c r="G4538" s="5">
        <v>1475</v>
      </c>
      <c r="H4538" s="5">
        <v>30300</v>
      </c>
      <c r="I4538" s="118">
        <f t="shared" si="253"/>
        <v>0.13905461220743459</v>
      </c>
      <c r="K4538" s="22">
        <v>1824.5</v>
      </c>
      <c r="L4538" s="6">
        <v>1837</v>
      </c>
      <c r="M4538" s="125">
        <f t="shared" si="257"/>
        <v>12.5</v>
      </c>
      <c r="P4538" s="247">
        <v>13310</v>
      </c>
      <c r="Q4538" s="25">
        <f>184.49/1146.3</f>
        <v>0.16094390648172383</v>
      </c>
      <c r="U4538" s="388">
        <v>0.1</v>
      </c>
      <c r="W4538" s="285">
        <f t="shared" si="256"/>
        <v>2356.3797347989189</v>
      </c>
    </row>
    <row r="4539" spans="1:23" ht="15" customHeight="1">
      <c r="A4539" s="3">
        <v>42205</v>
      </c>
      <c r="B4539" s="9">
        <v>82650</v>
      </c>
      <c r="C4539" s="5">
        <v>575</v>
      </c>
      <c r="D4539" s="5">
        <v>133575</v>
      </c>
      <c r="E4539" s="5">
        <v>216800</v>
      </c>
      <c r="F4539" s="4">
        <v>500</v>
      </c>
      <c r="G4539" s="5">
        <v>1600</v>
      </c>
      <c r="H4539" s="5">
        <v>56575</v>
      </c>
      <c r="I4539" s="118">
        <f t="shared" si="253"/>
        <v>0.26095479704797048</v>
      </c>
      <c r="K4539" s="22">
        <v>1801</v>
      </c>
      <c r="L4539" s="6">
        <v>1816</v>
      </c>
      <c r="M4539" s="125">
        <f t="shared" si="257"/>
        <v>15</v>
      </c>
      <c r="P4539" s="247">
        <v>13290</v>
      </c>
      <c r="Q4539" s="25">
        <f>185.35/1151.9</f>
        <v>0.16090806493619236</v>
      </c>
      <c r="U4539" s="388">
        <v>0.1</v>
      </c>
      <c r="W4539" s="285">
        <f t="shared" si="256"/>
        <v>2352.3150013021959</v>
      </c>
    </row>
    <row r="4540" spans="1:23" ht="15" customHeight="1">
      <c r="A4540" s="3">
        <v>42206</v>
      </c>
      <c r="B4540" s="9">
        <v>82375</v>
      </c>
      <c r="C4540" s="5">
        <v>575</v>
      </c>
      <c r="D4540" s="5">
        <v>132200</v>
      </c>
      <c r="E4540" s="5">
        <v>215150</v>
      </c>
      <c r="F4540" s="4">
        <v>50</v>
      </c>
      <c r="G4540" s="5">
        <v>1700</v>
      </c>
      <c r="H4540" s="5">
        <v>54225</v>
      </c>
      <c r="I4540" s="118">
        <f t="shared" si="253"/>
        <v>0.2520334650244016</v>
      </c>
      <c r="K4540" s="22">
        <v>1796</v>
      </c>
      <c r="L4540" s="6">
        <v>1813</v>
      </c>
      <c r="M4540" s="125">
        <f t="shared" si="257"/>
        <v>17</v>
      </c>
      <c r="P4540" s="247">
        <v>13290</v>
      </c>
      <c r="Q4540" s="25">
        <f>186.55/1158.4</f>
        <v>0.161041091160221</v>
      </c>
      <c r="U4540" s="388">
        <v>0.1</v>
      </c>
      <c r="W4540" s="285">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18">
        <f t="shared" si="253"/>
        <v>0.25005828864537188</v>
      </c>
      <c r="K4541" s="22">
        <v>1750</v>
      </c>
      <c r="L4541" s="6">
        <v>1765</v>
      </c>
      <c r="M4541" s="125">
        <f t="shared" si="257"/>
        <v>15</v>
      </c>
      <c r="P4541" s="247">
        <v>13190</v>
      </c>
      <c r="Q4541" s="25">
        <f>185.52/1152.6</f>
        <v>0.16095783446121814</v>
      </c>
      <c r="U4541" s="388">
        <v>0.1</v>
      </c>
      <c r="W4541" s="285">
        <f t="shared" si="258"/>
        <v>2335.3372201978141</v>
      </c>
    </row>
    <row r="4542" spans="1:23" ht="15" customHeight="1">
      <c r="A4542" s="3">
        <v>42208</v>
      </c>
      <c r="B4542" s="9">
        <v>81850</v>
      </c>
      <c r="C4542" s="5">
        <v>550</v>
      </c>
      <c r="D4542" s="5">
        <v>131175</v>
      </c>
      <c r="E4542" s="5">
        <v>213575</v>
      </c>
      <c r="F4542" s="4">
        <v>175</v>
      </c>
      <c r="G4542" s="5">
        <v>1050</v>
      </c>
      <c r="H4542" s="5">
        <v>53825</v>
      </c>
      <c r="I4542" s="118">
        <f t="shared" si="253"/>
        <v>0.25201919700339459</v>
      </c>
      <c r="K4542" s="22">
        <v>1753</v>
      </c>
      <c r="L4542" s="6">
        <v>1770</v>
      </c>
      <c r="M4542" s="125">
        <f t="shared" si="257"/>
        <v>17</v>
      </c>
      <c r="P4542" s="247">
        <v>13190</v>
      </c>
      <c r="Q4542" s="25">
        <f>187.04/1162.3</f>
        <v>0.16092230921448852</v>
      </c>
      <c r="U4542" s="388">
        <v>0.1</v>
      </c>
      <c r="W4542" s="285">
        <f t="shared" si="258"/>
        <v>2334.8217843930142</v>
      </c>
    </row>
    <row r="4543" spans="1:23" ht="15" customHeight="1">
      <c r="A4543" s="3">
        <v>42209</v>
      </c>
      <c r="B4543" s="9">
        <v>81250</v>
      </c>
      <c r="C4543" s="5">
        <v>550</v>
      </c>
      <c r="D4543" s="5">
        <v>129925</v>
      </c>
      <c r="E4543" s="5">
        <v>211725</v>
      </c>
      <c r="F4543" s="4">
        <v>0</v>
      </c>
      <c r="G4543" s="5">
        <v>1850</v>
      </c>
      <c r="H4543" s="5">
        <v>53475</v>
      </c>
      <c r="I4543" s="118">
        <f t="shared" si="253"/>
        <v>0.25256818986893376</v>
      </c>
      <c r="K4543" s="22">
        <v>1706.5</v>
      </c>
      <c r="L4543" s="6">
        <v>1719</v>
      </c>
      <c r="M4543" s="125">
        <f t="shared" si="257"/>
        <v>12.5</v>
      </c>
      <c r="P4543" s="247">
        <v>13110</v>
      </c>
      <c r="Q4543" s="25">
        <f>187.12/1164.6</f>
        <v>0.16067319251245063</v>
      </c>
      <c r="U4543" s="388">
        <v>0.1</v>
      </c>
      <c r="W4543" s="285">
        <f t="shared" si="258"/>
        <v>2317.0681092220507</v>
      </c>
    </row>
    <row r="4544" spans="1:23" ht="15" customHeight="1">
      <c r="A4544" s="3">
        <v>42212</v>
      </c>
      <c r="B4544" s="9">
        <v>89775</v>
      </c>
      <c r="C4544" s="5">
        <v>550</v>
      </c>
      <c r="D4544" s="5">
        <v>131525</v>
      </c>
      <c r="E4544" s="5">
        <v>221850</v>
      </c>
      <c r="F4544" s="4">
        <v>11600</v>
      </c>
      <c r="G4544" s="5">
        <v>1475</v>
      </c>
      <c r="H4544" s="5">
        <v>54900</v>
      </c>
      <c r="I4544" s="118">
        <f t="shared" si="253"/>
        <v>0.24746450304259635</v>
      </c>
      <c r="K4544" s="22">
        <v>1690.5</v>
      </c>
      <c r="L4544" s="6">
        <v>1707</v>
      </c>
      <c r="M4544" s="125">
        <f t="shared" si="257"/>
        <v>16.5</v>
      </c>
      <c r="P4544" s="247">
        <v>13110</v>
      </c>
      <c r="Q4544" s="25">
        <f>187.78/1168.9</f>
        <v>0.16064676191290955</v>
      </c>
      <c r="U4544" s="388">
        <v>0.1</v>
      </c>
      <c r="W4544" s="285">
        <f t="shared" si="258"/>
        <v>2316.6869535460692</v>
      </c>
    </row>
    <row r="4545" spans="1:23" ht="15" customHeight="1">
      <c r="A4545" s="3">
        <v>42213</v>
      </c>
      <c r="B4545" s="9">
        <v>89600</v>
      </c>
      <c r="C4545" s="5">
        <v>500</v>
      </c>
      <c r="D4545" s="5">
        <v>130875</v>
      </c>
      <c r="E4545" s="5">
        <v>220975</v>
      </c>
      <c r="F4545" s="4">
        <v>0</v>
      </c>
      <c r="G4545" s="5">
        <v>875</v>
      </c>
      <c r="H4545" s="5">
        <v>54775</v>
      </c>
      <c r="I4545" s="118">
        <f t="shared" si="253"/>
        <v>0.2478787193121394</v>
      </c>
      <c r="K4545" s="22">
        <v>1703.5</v>
      </c>
      <c r="L4545" s="6">
        <v>1716.5</v>
      </c>
      <c r="M4545" s="125">
        <f t="shared" si="257"/>
        <v>13</v>
      </c>
      <c r="P4545" s="247">
        <v>13110</v>
      </c>
      <c r="Q4545" s="25">
        <f>187.56/1166.2</f>
        <v>0.16083004630423597</v>
      </c>
      <c r="U4545" s="388">
        <v>0.1</v>
      </c>
      <c r="W4545" s="285">
        <f t="shared" si="258"/>
        <v>2319.3300977533872</v>
      </c>
    </row>
    <row r="4546" spans="1:23" ht="15" customHeight="1">
      <c r="A4546" s="3">
        <v>42214</v>
      </c>
      <c r="B4546" s="9">
        <v>89450</v>
      </c>
      <c r="C4546" s="5">
        <v>500</v>
      </c>
      <c r="D4546" s="5">
        <v>130625</v>
      </c>
      <c r="E4546" s="5">
        <v>220575</v>
      </c>
      <c r="F4546" s="4">
        <v>0</v>
      </c>
      <c r="G4546" s="5">
        <v>400</v>
      </c>
      <c r="H4546" s="5">
        <v>54575</v>
      </c>
      <c r="I4546" s="118">
        <f t="shared" si="253"/>
        <v>0.2474215119573841</v>
      </c>
      <c r="K4546" s="22">
        <v>1712.5</v>
      </c>
      <c r="L4546" s="6">
        <v>1732</v>
      </c>
      <c r="M4546" s="125">
        <f t="shared" si="257"/>
        <v>19.5</v>
      </c>
      <c r="P4546" s="247">
        <v>13290</v>
      </c>
      <c r="Q4546" s="25">
        <f>186.08/1157.9</f>
        <v>0.16070472406943603</v>
      </c>
      <c r="U4546" s="388">
        <v>0.1</v>
      </c>
      <c r="W4546" s="285">
        <f>(P4546*Q4546)*(1+U4546)</f>
        <v>2349.3423611710859</v>
      </c>
    </row>
    <row r="4547" spans="1:23" ht="15" customHeight="1">
      <c r="A4547" s="3">
        <v>42215</v>
      </c>
      <c r="B4547" s="9">
        <v>89250</v>
      </c>
      <c r="C4547" s="5">
        <v>500</v>
      </c>
      <c r="D4547" s="5">
        <v>130350</v>
      </c>
      <c r="E4547" s="5">
        <v>220100</v>
      </c>
      <c r="F4547" s="4">
        <v>475</v>
      </c>
      <c r="G4547" s="5">
        <v>950</v>
      </c>
      <c r="H4547" s="5">
        <v>53725</v>
      </c>
      <c r="I4547" s="118">
        <f t="shared" si="253"/>
        <v>0.24409359382099047</v>
      </c>
      <c r="K4547" s="22">
        <v>1695.5</v>
      </c>
      <c r="L4547" s="6">
        <v>1709</v>
      </c>
      <c r="M4547" s="125">
        <f t="shared" si="257"/>
        <v>13.5</v>
      </c>
      <c r="P4547" s="247">
        <v>13290</v>
      </c>
      <c r="Q4547" s="25">
        <f>187.52/1166.3</f>
        <v>0.16078196004458545</v>
      </c>
      <c r="U4547" s="388">
        <v>0.1</v>
      </c>
      <c r="W4547" s="285">
        <f>(P4547*Q4547)*(1+U4547)</f>
        <v>2350.4714738917946</v>
      </c>
    </row>
    <row r="4548" spans="1:23" ht="15" customHeight="1">
      <c r="A4548" s="3">
        <v>42216</v>
      </c>
      <c r="B4548" s="9">
        <v>88400</v>
      </c>
      <c r="C4548" s="5">
        <v>500</v>
      </c>
      <c r="D4548" s="5">
        <v>129675</v>
      </c>
      <c r="E4548" s="5">
        <v>218575</v>
      </c>
      <c r="F4548" s="4">
        <v>0</v>
      </c>
      <c r="G4548" s="5">
        <v>1525</v>
      </c>
      <c r="H4548" s="5">
        <v>57050</v>
      </c>
      <c r="I4548" s="118">
        <f t="shared" si="253"/>
        <v>0.2610088070456365</v>
      </c>
      <c r="K4548" s="22">
        <v>1688</v>
      </c>
      <c r="L4548" s="6">
        <v>1703</v>
      </c>
      <c r="M4548" s="125">
        <f t="shared" si="257"/>
        <v>15</v>
      </c>
      <c r="N4548" s="235">
        <f>AVERAGE(K4526:K4548)</f>
        <v>1762.3478260869565</v>
      </c>
      <c r="O4548" s="230">
        <f>AVERAGE(K4392:K4548)</f>
        <v>1855.6326530612246</v>
      </c>
      <c r="P4548" s="247">
        <v>13260</v>
      </c>
      <c r="Q4548" s="25">
        <f>187.97/1169.4</f>
        <v>0.16074055070976567</v>
      </c>
      <c r="U4548" s="388">
        <v>0.1</v>
      </c>
      <c r="W4548" s="285">
        <f>(P4548*Q4548)*(1+U4548)</f>
        <v>2344.5616726526423</v>
      </c>
    </row>
    <row r="4549" spans="1:23" ht="15" customHeight="1" thickBot="1">
      <c r="A4549" s="216"/>
      <c r="B4549" s="1330"/>
      <c r="C4549" s="1330"/>
      <c r="D4549" s="1330"/>
      <c r="E4549" s="216"/>
      <c r="F4549" s="407"/>
      <c r="G4549" s="164"/>
      <c r="H4549" s="164"/>
      <c r="I4549" s="166"/>
      <c r="J4549" s="166"/>
      <c r="K4549" s="166"/>
      <c r="L4549" s="167"/>
      <c r="M4549" s="168"/>
      <c r="N4549" s="169" t="s">
        <v>52</v>
      </c>
      <c r="O4549" s="183"/>
      <c r="P4549" s="180"/>
      <c r="Q4549" s="154"/>
      <c r="R4549" s="248"/>
      <c r="S4549" s="249"/>
      <c r="T4549" s="249"/>
      <c r="U4549" s="152"/>
      <c r="V4549" s="153">
        <f>AVERAGE(P4526:P4548)</f>
        <v>13226.521739130434</v>
      </c>
      <c r="W4549" s="295"/>
    </row>
    <row r="4550" spans="1:23" ht="15" customHeight="1">
      <c r="A4550" s="3">
        <v>42219</v>
      </c>
      <c r="B4550" s="9">
        <v>87875</v>
      </c>
      <c r="C4550" s="5">
        <v>500</v>
      </c>
      <c r="D4550" s="5">
        <v>130400</v>
      </c>
      <c r="E4550" s="5">
        <v>218775</v>
      </c>
      <c r="F4550" s="4">
        <v>1275</v>
      </c>
      <c r="G4550" s="5">
        <v>1075</v>
      </c>
      <c r="H4550" s="5">
        <v>57000</v>
      </c>
      <c r="I4550" s="118">
        <f t="shared" ref="I4550:I4569" si="259">H4550/E4550</f>
        <v>0.26054165238258487</v>
      </c>
      <c r="K4550" s="22">
        <v>1681</v>
      </c>
      <c r="L4550" s="6">
        <v>1689</v>
      </c>
      <c r="M4550" s="125">
        <f t="shared" si="257"/>
        <v>8</v>
      </c>
      <c r="P4550" s="247">
        <v>13260</v>
      </c>
      <c r="Q4550" s="25">
        <f>187.35/1165.2</f>
        <v>0.16078784757981462</v>
      </c>
      <c r="U4550" s="388">
        <v>0.1</v>
      </c>
      <c r="W4550" s="285">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18">
        <f t="shared" si="259"/>
        <v>0.25360896177387687</v>
      </c>
      <c r="K4551" s="22">
        <v>1716</v>
      </c>
      <c r="L4551" s="6">
        <v>1724</v>
      </c>
      <c r="M4551" s="125">
        <f t="shared" si="257"/>
        <v>8</v>
      </c>
      <c r="P4551" s="247">
        <v>13110</v>
      </c>
      <c r="Q4551" s="25">
        <f>187.94/1169.3</f>
        <v>0.16072864106730522</v>
      </c>
      <c r="U4551" s="388">
        <v>0.1</v>
      </c>
      <c r="W4551" s="285">
        <f t="shared" si="260"/>
        <v>2317.8677328316089</v>
      </c>
    </row>
    <row r="4552" spans="1:23" ht="15" customHeight="1">
      <c r="A4552" s="3">
        <v>42221</v>
      </c>
      <c r="B4552" s="9">
        <v>84925</v>
      </c>
      <c r="C4552" s="5">
        <v>500</v>
      </c>
      <c r="D4552" s="5">
        <v>129675</v>
      </c>
      <c r="E4552" s="5">
        <v>215100</v>
      </c>
      <c r="F4552" s="4">
        <v>300</v>
      </c>
      <c r="G4552" s="5">
        <v>1675</v>
      </c>
      <c r="H4552" s="5">
        <v>54975</v>
      </c>
      <c r="I4552" s="118">
        <f t="shared" si="259"/>
        <v>0.25557880055788007</v>
      </c>
      <c r="K4552" s="22">
        <v>1710.5</v>
      </c>
      <c r="L4552" s="6">
        <v>1717</v>
      </c>
      <c r="M4552" s="125">
        <f t="shared" si="257"/>
        <v>6.5</v>
      </c>
      <c r="P4552" s="247">
        <v>13210</v>
      </c>
      <c r="Q4552" s="25">
        <f>188.51/1172.1</f>
        <v>0.16083098711714017</v>
      </c>
      <c r="U4552" s="388">
        <v>0.1</v>
      </c>
      <c r="W4552" s="285">
        <f t="shared" si="260"/>
        <v>2337.0350737991639</v>
      </c>
    </row>
    <row r="4553" spans="1:23" ht="15" customHeight="1">
      <c r="A4553" s="3">
        <v>42222</v>
      </c>
      <c r="B4553" s="9">
        <v>83300</v>
      </c>
      <c r="C4553" s="5">
        <v>500</v>
      </c>
      <c r="D4553" s="5">
        <v>129000</v>
      </c>
      <c r="E4553" s="5">
        <v>212800</v>
      </c>
      <c r="F4553" s="4">
        <v>0</v>
      </c>
      <c r="G4553" s="5">
        <v>2300</v>
      </c>
      <c r="H4553" s="5">
        <v>56500</v>
      </c>
      <c r="I4553" s="118">
        <f t="shared" si="259"/>
        <v>0.26550751879699247</v>
      </c>
      <c r="K4553" s="22">
        <v>1705.5</v>
      </c>
      <c r="L4553" s="6">
        <v>1711</v>
      </c>
      <c r="M4553" s="125">
        <f t="shared" si="257"/>
        <v>5.5</v>
      </c>
      <c r="P4553" s="247">
        <v>13190</v>
      </c>
      <c r="Q4553" s="25">
        <f>188.2/1170.2</f>
        <v>0.16082720902409842</v>
      </c>
      <c r="U4553" s="388">
        <v>0.1</v>
      </c>
      <c r="W4553" s="285">
        <f t="shared" si="260"/>
        <v>2333.4419757306441</v>
      </c>
    </row>
    <row r="4554" spans="1:23" ht="15" customHeight="1">
      <c r="A4554" s="3">
        <v>42223</v>
      </c>
      <c r="B4554" s="9">
        <v>81725</v>
      </c>
      <c r="C4554" s="5">
        <v>500</v>
      </c>
      <c r="D4554" s="5">
        <v>127850</v>
      </c>
      <c r="E4554" s="5">
        <v>210075</v>
      </c>
      <c r="F4554" s="4">
        <v>0</v>
      </c>
      <c r="G4554" s="5">
        <v>2725</v>
      </c>
      <c r="H4554" s="5">
        <v>54375</v>
      </c>
      <c r="I4554" s="118">
        <f t="shared" si="259"/>
        <v>0.25883612995358801</v>
      </c>
      <c r="K4554" s="22">
        <v>1685.5</v>
      </c>
      <c r="L4554" s="6">
        <v>1695</v>
      </c>
      <c r="M4554" s="125">
        <f t="shared" si="257"/>
        <v>9.5</v>
      </c>
      <c r="P4554" s="247">
        <v>13190</v>
      </c>
      <c r="Q4554" s="25">
        <f>187.27/1164.3</f>
        <v>0.16084342523404621</v>
      </c>
      <c r="U4554" s="388">
        <v>0.1</v>
      </c>
      <c r="W4554" s="285">
        <f t="shared" si="260"/>
        <v>2333.6772567207763</v>
      </c>
    </row>
    <row r="4555" spans="1:23" ht="15" customHeight="1">
      <c r="A4555" s="3">
        <v>42226</v>
      </c>
      <c r="B4555" s="9">
        <v>80225</v>
      </c>
      <c r="C4555" s="5">
        <v>475</v>
      </c>
      <c r="D4555" s="5">
        <v>127200</v>
      </c>
      <c r="E4555" s="5">
        <v>207900</v>
      </c>
      <c r="F4555" s="4">
        <v>0</v>
      </c>
      <c r="G4555" s="5">
        <v>2175</v>
      </c>
      <c r="H4555" s="5">
        <v>52725</v>
      </c>
      <c r="I4555" s="118">
        <f t="shared" si="259"/>
        <v>0.25360750360750361</v>
      </c>
      <c r="K4555" s="22">
        <v>1711</v>
      </c>
      <c r="L4555" s="6">
        <v>1722</v>
      </c>
      <c r="M4555" s="125">
        <f t="shared" si="257"/>
        <v>11</v>
      </c>
      <c r="P4555" s="247">
        <v>13210</v>
      </c>
      <c r="Q4555" s="25">
        <f>187.44/1165.3</f>
        <v>0.16085128293143397</v>
      </c>
      <c r="U4555" s="388">
        <v>0.1</v>
      </c>
      <c r="W4555" s="285">
        <f t="shared" si="260"/>
        <v>2337.3299922766673</v>
      </c>
    </row>
    <row r="4556" spans="1:23" ht="15" customHeight="1">
      <c r="A4556" s="3">
        <v>42227</v>
      </c>
      <c r="B4556" s="9">
        <v>78850</v>
      </c>
      <c r="C4556" s="5">
        <v>475</v>
      </c>
      <c r="D4556" s="5">
        <v>126050</v>
      </c>
      <c r="E4556" s="5">
        <v>205375</v>
      </c>
      <c r="F4556" s="4">
        <v>0</v>
      </c>
      <c r="G4556" s="5">
        <v>2525</v>
      </c>
      <c r="H4556" s="5">
        <v>50325</v>
      </c>
      <c r="I4556" s="118">
        <f t="shared" si="259"/>
        <v>0.24503956177723676</v>
      </c>
      <c r="K4556" s="22">
        <v>1719</v>
      </c>
      <c r="L4556" s="6">
        <v>1723</v>
      </c>
      <c r="M4556" s="125">
        <f t="shared" si="257"/>
        <v>4</v>
      </c>
      <c r="P4556" s="247">
        <v>13310</v>
      </c>
      <c r="Q4556" s="25">
        <f>182.66/1170.4</f>
        <v>0.15606630211893369</v>
      </c>
      <c r="U4556" s="388">
        <v>0.1</v>
      </c>
      <c r="W4556" s="285">
        <f t="shared" si="260"/>
        <v>2284.9667293233083</v>
      </c>
    </row>
    <row r="4557" spans="1:23" ht="15" customHeight="1">
      <c r="A4557" s="3">
        <v>42228</v>
      </c>
      <c r="B4557" s="9">
        <v>79300</v>
      </c>
      <c r="C4557" s="5">
        <v>475</v>
      </c>
      <c r="D4557" s="5">
        <v>125475</v>
      </c>
      <c r="E4557" s="5">
        <v>205250</v>
      </c>
      <c r="F4557" s="4">
        <v>1950</v>
      </c>
      <c r="G4557" s="5">
        <v>2075</v>
      </c>
      <c r="H4557" s="5">
        <v>48350</v>
      </c>
      <c r="I4557" s="118">
        <f t="shared" si="259"/>
        <v>0.23556638246041414</v>
      </c>
      <c r="K4557" s="22">
        <v>1708</v>
      </c>
      <c r="L4557" s="6">
        <v>1716.5</v>
      </c>
      <c r="M4557" s="125">
        <f t="shared" si="257"/>
        <v>8.5</v>
      </c>
      <c r="P4557" s="247">
        <v>13310</v>
      </c>
      <c r="Q4557" s="25">
        <f>184.48/1190.3</f>
        <v>0.15498613794841637</v>
      </c>
      <c r="U4557" s="388">
        <v>0.1</v>
      </c>
      <c r="W4557" s="285">
        <f t="shared" si="260"/>
        <v>2269.1520457027641</v>
      </c>
    </row>
    <row r="4558" spans="1:23" ht="15" customHeight="1">
      <c r="A4558" s="3">
        <v>42229</v>
      </c>
      <c r="B4558" s="9">
        <v>78700</v>
      </c>
      <c r="C4558" s="5">
        <v>475</v>
      </c>
      <c r="D4558" s="5">
        <v>124800</v>
      </c>
      <c r="E4558" s="5">
        <v>203975</v>
      </c>
      <c r="F4558" s="4">
        <v>0</v>
      </c>
      <c r="G4558" s="5">
        <v>1275</v>
      </c>
      <c r="H4558" s="5">
        <v>48425</v>
      </c>
      <c r="I4558" s="118">
        <f t="shared" si="259"/>
        <v>0.23740654491972055</v>
      </c>
      <c r="K4558" s="22">
        <v>1720</v>
      </c>
      <c r="L4558" s="6">
        <v>1732</v>
      </c>
      <c r="M4558" s="125">
        <f t="shared" si="257"/>
        <v>12</v>
      </c>
      <c r="P4558" s="247">
        <v>13390</v>
      </c>
      <c r="Q4558" s="25">
        <f>184.48/1190.3</f>
        <v>0.15498613794841637</v>
      </c>
      <c r="U4558" s="388">
        <v>0.1</v>
      </c>
      <c r="W4558" s="285">
        <f t="shared" si="260"/>
        <v>2282.7908258422249</v>
      </c>
    </row>
    <row r="4559" spans="1:23" ht="15" customHeight="1">
      <c r="A4559" s="3">
        <v>42230</v>
      </c>
      <c r="B4559" s="9">
        <v>77275</v>
      </c>
      <c r="C4559" s="5">
        <v>475</v>
      </c>
      <c r="D4559" s="5">
        <v>124350</v>
      </c>
      <c r="E4559" s="5">
        <v>202100</v>
      </c>
      <c r="F4559" s="4">
        <v>0</v>
      </c>
      <c r="G4559" s="5">
        <v>1875</v>
      </c>
      <c r="H4559" s="5">
        <v>46600</v>
      </c>
      <c r="I4559" s="118">
        <f t="shared" si="259"/>
        <v>0.23057892132607619</v>
      </c>
      <c r="K4559" s="22">
        <v>1738</v>
      </c>
      <c r="L4559" s="6">
        <v>1747</v>
      </c>
      <c r="M4559" s="125">
        <f t="shared" si="257"/>
        <v>9</v>
      </c>
      <c r="P4559" s="247">
        <v>13360</v>
      </c>
      <c r="Q4559" s="25">
        <f>182.2/1174.2</f>
        <v>0.15516947709078521</v>
      </c>
      <c r="U4559" s="388">
        <v>0.1</v>
      </c>
      <c r="W4559" s="285">
        <f t="shared" si="260"/>
        <v>2280.37063532618</v>
      </c>
    </row>
    <row r="4560" spans="1:23" ht="15" customHeight="1">
      <c r="A4560" s="3">
        <v>42233</v>
      </c>
      <c r="B4560" s="9">
        <v>77475</v>
      </c>
      <c r="C4560" s="5">
        <v>425</v>
      </c>
      <c r="D4560" s="5">
        <v>125800</v>
      </c>
      <c r="E4560" s="5">
        <v>203700</v>
      </c>
      <c r="F4560" s="4">
        <v>3975</v>
      </c>
      <c r="G4560" s="5">
        <v>2375</v>
      </c>
      <c r="H4560" s="5">
        <v>44250</v>
      </c>
      <c r="I4560" s="118">
        <f t="shared" si="259"/>
        <v>0.21723122238586157</v>
      </c>
      <c r="K4560" s="22">
        <v>1716</v>
      </c>
      <c r="L4560" s="6">
        <v>1728</v>
      </c>
      <c r="M4560" s="125">
        <f t="shared" si="257"/>
        <v>12</v>
      </c>
      <c r="P4560" s="247">
        <v>13310</v>
      </c>
      <c r="Q4560" s="25">
        <f>183.4/1182.2</f>
        <v>0.15513449500930468</v>
      </c>
      <c r="U4560" s="388">
        <v>0.1</v>
      </c>
      <c r="W4560" s="285">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18">
        <f t="shared" si="259"/>
        <v>0.21211368995904184</v>
      </c>
      <c r="K4561" s="22">
        <v>1678</v>
      </c>
      <c r="L4561" s="6">
        <v>1692</v>
      </c>
      <c r="M4561" s="125">
        <f t="shared" si="257"/>
        <v>14</v>
      </c>
      <c r="P4561" s="247">
        <v>13340</v>
      </c>
      <c r="Q4561" s="25">
        <f>183.94/1184.7</f>
        <v>0.15526293576432851</v>
      </c>
      <c r="U4561" s="388">
        <v>0.1</v>
      </c>
      <c r="W4561" s="285">
        <f t="shared" si="261"/>
        <v>2278.3283194057567</v>
      </c>
    </row>
    <row r="4562" spans="1:23" ht="15" customHeight="1">
      <c r="A4562" s="3">
        <v>42235</v>
      </c>
      <c r="B4562" s="9">
        <v>73075</v>
      </c>
      <c r="C4562" s="5">
        <v>425</v>
      </c>
      <c r="D4562" s="5">
        <v>125275</v>
      </c>
      <c r="E4562" s="5">
        <v>198775</v>
      </c>
      <c r="F4562" s="4">
        <v>0</v>
      </c>
      <c r="G4562" s="5">
        <v>2650</v>
      </c>
      <c r="H4562" s="5">
        <v>40975</v>
      </c>
      <c r="I4562" s="118">
        <f t="shared" si="259"/>
        <v>0.20613759275562824</v>
      </c>
      <c r="K4562" s="22">
        <v>1694</v>
      </c>
      <c r="L4562" s="6">
        <v>1697</v>
      </c>
      <c r="M4562" s="125">
        <f t="shared" ref="M4562:M4567" si="262">L4562-K4562</f>
        <v>3</v>
      </c>
      <c r="P4562" s="247">
        <v>13260</v>
      </c>
      <c r="Q4562" s="25">
        <f>183.81/1185.1</f>
        <v>0.15510083537254241</v>
      </c>
      <c r="U4562" s="388">
        <v>0.1</v>
      </c>
      <c r="W4562" s="285">
        <f t="shared" si="261"/>
        <v>2262.3007847439035</v>
      </c>
    </row>
    <row r="4563" spans="1:23" ht="15" customHeight="1">
      <c r="A4563" s="3">
        <v>42236</v>
      </c>
      <c r="B4563" s="9">
        <v>71225</v>
      </c>
      <c r="C4563" s="5">
        <v>425</v>
      </c>
      <c r="D4563" s="5">
        <v>125050</v>
      </c>
      <c r="E4563" s="5">
        <v>196700</v>
      </c>
      <c r="F4563" s="4">
        <v>0</v>
      </c>
      <c r="G4563" s="5">
        <v>2075</v>
      </c>
      <c r="H4563" s="5">
        <v>38900</v>
      </c>
      <c r="I4563" s="118">
        <f t="shared" si="259"/>
        <v>0.19776309100152517</v>
      </c>
      <c r="K4563" s="22">
        <v>1706.5</v>
      </c>
      <c r="L4563" s="6">
        <v>1720</v>
      </c>
      <c r="M4563" s="125">
        <f t="shared" si="262"/>
        <v>13.5</v>
      </c>
      <c r="P4563" s="247">
        <v>13340</v>
      </c>
      <c r="Q4563" s="25">
        <f>184.02/1185.1</f>
        <v>0.1552780356088094</v>
      </c>
      <c r="U4563" s="388">
        <v>0.1</v>
      </c>
      <c r="W4563" s="285">
        <f t="shared" si="261"/>
        <v>2278.5498945236695</v>
      </c>
    </row>
    <row r="4564" spans="1:23" ht="15" customHeight="1">
      <c r="A4564" s="3">
        <v>42237</v>
      </c>
      <c r="B4564" s="9">
        <v>69425</v>
      </c>
      <c r="C4564" s="5">
        <v>425</v>
      </c>
      <c r="D4564" s="5">
        <v>124875</v>
      </c>
      <c r="E4564" s="5">
        <v>194725</v>
      </c>
      <c r="F4564" s="4">
        <v>0</v>
      </c>
      <c r="G4564" s="5">
        <v>1975</v>
      </c>
      <c r="H4564" s="5">
        <v>49125</v>
      </c>
      <c r="I4564" s="118">
        <f t="shared" si="259"/>
        <v>0.25227885479522405</v>
      </c>
      <c r="K4564" s="22">
        <v>1693</v>
      </c>
      <c r="L4564" s="6">
        <v>1700.5</v>
      </c>
      <c r="M4564" s="125">
        <f t="shared" si="262"/>
        <v>7.5</v>
      </c>
      <c r="P4564" s="247">
        <v>13360</v>
      </c>
      <c r="Q4564" s="25">
        <f>184.8/1192</f>
        <v>0.15503355704697988</v>
      </c>
      <c r="U4564" s="388">
        <v>0.1</v>
      </c>
      <c r="W4564" s="285">
        <f t="shared" si="261"/>
        <v>2278.3731543624167</v>
      </c>
    </row>
    <row r="4565" spans="1:23" ht="15" customHeight="1">
      <c r="A4565" s="3">
        <v>42240</v>
      </c>
      <c r="B4565" s="9">
        <v>67375</v>
      </c>
      <c r="C4565" s="5">
        <v>400</v>
      </c>
      <c r="D4565" s="5">
        <v>124875</v>
      </c>
      <c r="E4565" s="5">
        <v>192650</v>
      </c>
      <c r="F4565" s="4">
        <v>0</v>
      </c>
      <c r="G4565" s="5">
        <v>2075</v>
      </c>
      <c r="H4565" s="5">
        <v>47250</v>
      </c>
      <c r="I4565" s="118">
        <f t="shared" si="259"/>
        <v>0.24526343109265508</v>
      </c>
      <c r="K4565" s="22">
        <v>1628</v>
      </c>
      <c r="L4565" s="6">
        <v>1632</v>
      </c>
      <c r="M4565" s="125">
        <f t="shared" si="262"/>
        <v>4</v>
      </c>
      <c r="P4565" s="247">
        <v>13260</v>
      </c>
      <c r="Q4565" s="25">
        <f>183.67/1194</f>
        <v>0.15382747068676716</v>
      </c>
      <c r="U4565" s="388">
        <v>0.1</v>
      </c>
      <c r="W4565" s="285">
        <f t="shared" si="261"/>
        <v>2243.727487437186</v>
      </c>
    </row>
    <row r="4566" spans="1:23" ht="15" customHeight="1">
      <c r="A4566" s="3">
        <v>42241</v>
      </c>
      <c r="B4566" s="9">
        <v>65800</v>
      </c>
      <c r="C4566" s="5">
        <v>400</v>
      </c>
      <c r="D4566" s="5">
        <v>124575</v>
      </c>
      <c r="E4566" s="5">
        <v>190775</v>
      </c>
      <c r="F4566" s="4">
        <v>0</v>
      </c>
      <c r="G4566" s="5">
        <v>1875</v>
      </c>
      <c r="H4566" s="5">
        <v>45625</v>
      </c>
      <c r="I4566" s="118">
        <f t="shared" si="259"/>
        <v>0.23915607390905516</v>
      </c>
      <c r="K4566" s="22">
        <v>1677.5</v>
      </c>
      <c r="L4566" s="6">
        <v>1682</v>
      </c>
      <c r="M4566" s="125">
        <f t="shared" si="262"/>
        <v>4.5</v>
      </c>
      <c r="P4566" s="247">
        <v>13290</v>
      </c>
      <c r="Q4566" s="25">
        <f>182.99/1170.83</f>
        <v>0.15629083641519265</v>
      </c>
      <c r="U4566" s="388">
        <v>0.1</v>
      </c>
      <c r="W4566" s="285">
        <f t="shared" si="261"/>
        <v>2284.8157375537016</v>
      </c>
    </row>
    <row r="4567" spans="1:23" ht="15" customHeight="1">
      <c r="A4567" s="3">
        <v>42242</v>
      </c>
      <c r="B4567" s="9">
        <v>65800</v>
      </c>
      <c r="C4567" s="5">
        <v>400</v>
      </c>
      <c r="D4567" s="5">
        <v>124475</v>
      </c>
      <c r="E4567" s="5">
        <v>190675</v>
      </c>
      <c r="F4567" s="4">
        <v>0</v>
      </c>
      <c r="G4567" s="5">
        <v>100</v>
      </c>
      <c r="H4567" s="5">
        <v>45225</v>
      </c>
      <c r="I4567" s="118">
        <f t="shared" si="259"/>
        <v>0.23718368952405927</v>
      </c>
      <c r="K4567" s="22">
        <v>1641</v>
      </c>
      <c r="L4567" s="6">
        <v>1645.5</v>
      </c>
      <c r="M4567" s="125">
        <f t="shared" si="262"/>
        <v>4.5</v>
      </c>
      <c r="P4567" s="247">
        <v>13310</v>
      </c>
      <c r="Q4567" s="25">
        <f>183.21/1188.9</f>
        <v>0.15410042896795356</v>
      </c>
      <c r="U4567" s="388">
        <v>0.1</v>
      </c>
      <c r="W4567" s="285">
        <f>(P4567*Q4567)*(1+U4567)</f>
        <v>2256.1843805198082</v>
      </c>
    </row>
    <row r="4568" spans="1:23" ht="15" customHeight="1">
      <c r="A4568" s="3">
        <v>42243</v>
      </c>
      <c r="B4568" s="9">
        <v>64300</v>
      </c>
      <c r="C4568" s="5">
        <v>400</v>
      </c>
      <c r="D4568" s="5">
        <v>124425</v>
      </c>
      <c r="E4568" s="5">
        <v>189125</v>
      </c>
      <c r="F4568" s="4">
        <v>0</v>
      </c>
      <c r="G4568" s="5">
        <v>1550</v>
      </c>
      <c r="H4568" s="5">
        <v>43775</v>
      </c>
      <c r="I4568" s="118">
        <f t="shared" si="259"/>
        <v>0.23146067415730337</v>
      </c>
      <c r="K4568" s="22">
        <v>1652.5</v>
      </c>
      <c r="L4568" s="6">
        <v>1660</v>
      </c>
      <c r="M4568" s="125">
        <f>L4568-K4568</f>
        <v>7.5</v>
      </c>
      <c r="P4568" s="247">
        <v>13340</v>
      </c>
      <c r="Q4568" s="25">
        <f>182.82/1184.3</f>
        <v>0.1543696698471671</v>
      </c>
      <c r="U4568" s="388">
        <v>0.1</v>
      </c>
      <c r="W4568" s="285">
        <f>(P4568*Q4568)*(1+U4568)</f>
        <v>2265.2205353373301</v>
      </c>
    </row>
    <row r="4569" spans="1:23" ht="15" customHeight="1">
      <c r="A4569" s="3">
        <v>42244</v>
      </c>
      <c r="B4569" s="9">
        <v>62800</v>
      </c>
      <c r="C4569" s="5">
        <v>400</v>
      </c>
      <c r="D4569" s="5">
        <v>124200</v>
      </c>
      <c r="E4569" s="5">
        <v>187400</v>
      </c>
      <c r="F4569" s="4">
        <v>0</v>
      </c>
      <c r="G4569" s="5">
        <v>1725</v>
      </c>
      <c r="H4569" s="5">
        <v>42250</v>
      </c>
      <c r="I4569" s="118">
        <f t="shared" si="259"/>
        <v>0.22545357524012807</v>
      </c>
      <c r="K4569" s="22">
        <v>1677</v>
      </c>
      <c r="L4569" s="6">
        <v>1680.5</v>
      </c>
      <c r="M4569" s="125">
        <f>L4569-K4569</f>
        <v>3.5</v>
      </c>
      <c r="P4569" s="247">
        <v>13410</v>
      </c>
      <c r="Q4569" s="25">
        <f>182.08/1176.3</f>
        <v>0.15479044461446911</v>
      </c>
      <c r="U4569" s="388">
        <v>0.1</v>
      </c>
      <c r="W4569" s="285">
        <f>(P4569*Q4569)*(1+U4569)</f>
        <v>2283.313848508034</v>
      </c>
    </row>
    <row r="4570" spans="1:23" ht="15" customHeight="1">
      <c r="A4570" s="3">
        <v>42247</v>
      </c>
      <c r="B4570" s="9" t="e">
        <f>#REF!+#REF!</f>
        <v>#REF!</v>
      </c>
      <c r="F4570" s="1318" t="s">
        <v>51</v>
      </c>
      <c r="G4570" s="1318"/>
      <c r="H4570" s="1318"/>
      <c r="I4570" s="1318"/>
      <c r="J4570" s="5"/>
      <c r="M4570" s="125"/>
      <c r="N4570" s="235">
        <f>AVERAGE(K4550:K4569)</f>
        <v>1692.9</v>
      </c>
      <c r="O4570" s="230">
        <f>AVERAGE(K4392:K4569)</f>
        <v>1836.1437125748503</v>
      </c>
      <c r="P4570" s="247">
        <v>13390</v>
      </c>
      <c r="Q4570" s="25">
        <f>183.65/1183</f>
        <v>0.15524091293322062</v>
      </c>
      <c r="U4570" s="388">
        <v>0.1</v>
      </c>
      <c r="W4570" s="285">
        <f>(P4570*Q4570)*(1+U4570)</f>
        <v>2286.5434065934064</v>
      </c>
    </row>
    <row r="4571" spans="1:23" ht="15" customHeight="1" thickBot="1">
      <c r="A4571" s="216"/>
      <c r="B4571" s="1330"/>
      <c r="C4571" s="1330"/>
      <c r="D4571" s="1330"/>
      <c r="E4571" s="216"/>
      <c r="F4571" s="407"/>
      <c r="G4571" s="164"/>
      <c r="H4571" s="164"/>
      <c r="I4571" s="166"/>
      <c r="J4571" s="166"/>
      <c r="K4571" s="166"/>
      <c r="L4571" s="167"/>
      <c r="M4571" s="168"/>
      <c r="N4571" s="169" t="s">
        <v>52</v>
      </c>
      <c r="O4571" s="183"/>
      <c r="P4571" s="180"/>
      <c r="Q4571" s="154"/>
      <c r="R4571" s="248"/>
      <c r="S4571" s="249"/>
      <c r="T4571" s="249"/>
      <c r="U4571" s="152"/>
      <c r="V4571" s="153">
        <f>AVERAGE(P4550:P4570)</f>
        <v>13292.857142857143</v>
      </c>
      <c r="W4571" s="295"/>
    </row>
    <row r="4572" spans="1:23" ht="15" customHeight="1">
      <c r="A4572" s="3">
        <v>42248</v>
      </c>
      <c r="B4572" s="9">
        <v>62225</v>
      </c>
      <c r="C4572" s="5">
        <v>400</v>
      </c>
      <c r="D4572" s="5">
        <v>124175</v>
      </c>
      <c r="E4572" s="5">
        <v>186800</v>
      </c>
      <c r="F4572" s="4">
        <v>0</v>
      </c>
      <c r="G4572" s="5">
        <v>600</v>
      </c>
      <c r="H4572" s="5">
        <v>41750</v>
      </c>
      <c r="I4572" s="118">
        <f t="shared" ref="I4572:I4593" si="263">H4572/E4572</f>
        <v>0.22350107066381156</v>
      </c>
      <c r="K4572" s="22">
        <v>1719.5</v>
      </c>
      <c r="L4572" s="6">
        <v>1728.5</v>
      </c>
      <c r="M4572" s="125">
        <f t="shared" ref="M4572:M4578" si="264">L4572-K4572</f>
        <v>9</v>
      </c>
      <c r="P4572" s="247">
        <v>13390</v>
      </c>
      <c r="Q4572" s="25">
        <f>183.19/1175.6</f>
        <v>0.15582681184076216</v>
      </c>
      <c r="U4572" s="388">
        <v>0.1</v>
      </c>
      <c r="W4572" s="285">
        <f>(P4572*Q4572)*(1+U4572)</f>
        <v>2295.1731116025862</v>
      </c>
    </row>
    <row r="4573" spans="1:23" ht="15" customHeight="1">
      <c r="A4573" s="3">
        <v>42249</v>
      </c>
      <c r="B4573" s="9">
        <v>60100</v>
      </c>
      <c r="C4573" s="5">
        <v>400</v>
      </c>
      <c r="D4573" s="5">
        <v>122750</v>
      </c>
      <c r="E4573" s="5">
        <v>183250</v>
      </c>
      <c r="F4573" s="4">
        <v>0</v>
      </c>
      <c r="G4573" s="5">
        <v>3550</v>
      </c>
      <c r="H4573" s="5">
        <v>38300</v>
      </c>
      <c r="I4573" s="118">
        <f t="shared" si="263"/>
        <v>0.20900409276944065</v>
      </c>
      <c r="K4573" s="22">
        <v>1712.5</v>
      </c>
      <c r="L4573" s="6">
        <v>1723</v>
      </c>
      <c r="M4573" s="125">
        <f t="shared" si="264"/>
        <v>10.5</v>
      </c>
      <c r="P4573" s="247">
        <v>13390</v>
      </c>
      <c r="Q4573" s="25">
        <f>182.75/1178</f>
        <v>0.1551358234295416</v>
      </c>
      <c r="U4573" s="388">
        <v>0.1</v>
      </c>
      <c r="W4573" s="285">
        <f>(P4573*Q4573)*(1+U4573)</f>
        <v>2284.9955432937186</v>
      </c>
    </row>
    <row r="4574" spans="1:23" ht="15" customHeight="1">
      <c r="A4574" s="3">
        <v>42250</v>
      </c>
      <c r="B4574" s="9">
        <v>57175</v>
      </c>
      <c r="C4574" s="5">
        <v>400</v>
      </c>
      <c r="D4574" s="5">
        <v>121925</v>
      </c>
      <c r="E4574" s="5">
        <v>179500</v>
      </c>
      <c r="F4574" s="4">
        <v>0</v>
      </c>
      <c r="G4574" s="5">
        <v>3750</v>
      </c>
      <c r="H4574" s="5">
        <v>34550</v>
      </c>
      <c r="I4574" s="118">
        <f t="shared" si="263"/>
        <v>0.19247910863509748</v>
      </c>
      <c r="K4574" s="22">
        <v>1715</v>
      </c>
      <c r="L4574" s="6">
        <v>1725.5</v>
      </c>
      <c r="M4574" s="125">
        <f t="shared" si="264"/>
        <v>10.5</v>
      </c>
      <c r="P4574" s="1349" t="s">
        <v>54</v>
      </c>
      <c r="Q4574" s="25">
        <f>184.18/1187.6</f>
        <v>0.15508588750421018</v>
      </c>
      <c r="U4574" s="388">
        <v>0.1</v>
      </c>
    </row>
    <row r="4575" spans="1:23" ht="15" customHeight="1">
      <c r="A4575" s="3">
        <v>42251</v>
      </c>
      <c r="B4575" s="9">
        <v>55550</v>
      </c>
      <c r="C4575" s="5">
        <v>375</v>
      </c>
      <c r="D4575" s="5">
        <v>120650</v>
      </c>
      <c r="E4575" s="5">
        <v>176575</v>
      </c>
      <c r="F4575" s="4">
        <v>0</v>
      </c>
      <c r="G4575" s="5">
        <v>2925</v>
      </c>
      <c r="H4575" s="5">
        <v>31800</v>
      </c>
      <c r="I4575" s="118">
        <f t="shared" si="263"/>
        <v>0.1800934447118788</v>
      </c>
      <c r="K4575" s="22">
        <v>1677</v>
      </c>
      <c r="L4575" s="6">
        <v>1691.5</v>
      </c>
      <c r="M4575" s="125">
        <f t="shared" si="264"/>
        <v>14.5</v>
      </c>
      <c r="P4575" s="1349"/>
      <c r="Q4575" s="25">
        <f>184.43/1191</f>
        <v>0.15485306465155332</v>
      </c>
      <c r="U4575" s="388">
        <v>0.1</v>
      </c>
    </row>
    <row r="4576" spans="1:23" ht="15" customHeight="1">
      <c r="A4576" s="3">
        <v>42254</v>
      </c>
      <c r="B4576" s="9">
        <v>54025</v>
      </c>
      <c r="C4576" s="5">
        <v>375</v>
      </c>
      <c r="D4576" s="5">
        <v>120050</v>
      </c>
      <c r="E4576" s="5">
        <v>174450</v>
      </c>
      <c r="F4576" s="4">
        <v>0</v>
      </c>
      <c r="G4576" s="5">
        <v>2125</v>
      </c>
      <c r="H4576" s="5">
        <v>28775</v>
      </c>
      <c r="I4576" s="118">
        <f t="shared" si="263"/>
        <v>0.1649469762109487</v>
      </c>
      <c r="K4576" s="22">
        <v>1668</v>
      </c>
      <c r="L4576" s="6">
        <v>1676.5</v>
      </c>
      <c r="M4576" s="125">
        <f t="shared" si="264"/>
        <v>8.5</v>
      </c>
      <c r="P4576" s="247">
        <v>13440</v>
      </c>
      <c r="Q4576" s="25">
        <f>185.68/1202</f>
        <v>0.15447587354409317</v>
      </c>
      <c r="U4576" s="388">
        <v>0.1</v>
      </c>
      <c r="W4576" s="285">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18">
        <f t="shared" si="263"/>
        <v>0.15428156748911465</v>
      </c>
      <c r="K4577" s="22">
        <v>1670.5</v>
      </c>
      <c r="L4577" s="6">
        <v>1685</v>
      </c>
      <c r="M4577" s="125">
        <f t="shared" si="264"/>
        <v>14.5</v>
      </c>
      <c r="P4577" s="247">
        <v>13390</v>
      </c>
      <c r="Q4577" s="25">
        <f>186.31/1203.1</f>
        <v>0.15485828276951211</v>
      </c>
      <c r="U4577" s="388">
        <v>0.1</v>
      </c>
      <c r="W4577" s="285">
        <f t="shared" si="265"/>
        <v>2280.9076469121442</v>
      </c>
    </row>
    <row r="4578" spans="1:23" ht="15" customHeight="1">
      <c r="A4578" s="3">
        <v>42256</v>
      </c>
      <c r="B4578" s="9">
        <v>51275</v>
      </c>
      <c r="C4578" s="5">
        <v>375</v>
      </c>
      <c r="D4578" s="5">
        <v>118675</v>
      </c>
      <c r="E4578" s="5">
        <v>170325</v>
      </c>
      <c r="F4578" s="4">
        <v>0</v>
      </c>
      <c r="G4578" s="5">
        <v>1925</v>
      </c>
      <c r="H4578" s="5">
        <v>24800</v>
      </c>
      <c r="I4578" s="118">
        <f t="shared" si="263"/>
        <v>0.14560399236753266</v>
      </c>
      <c r="K4578" s="22">
        <v>1711.5</v>
      </c>
      <c r="L4578" s="6">
        <v>1718</v>
      </c>
      <c r="M4578" s="125">
        <f t="shared" si="264"/>
        <v>6.5</v>
      </c>
      <c r="P4578" s="247">
        <v>13440</v>
      </c>
      <c r="Q4578" s="25">
        <f>184.24/1192</f>
        <v>0.15456375838926176</v>
      </c>
      <c r="U4578" s="388">
        <v>0.1</v>
      </c>
      <c r="W4578" s="285">
        <f t="shared" si="265"/>
        <v>2285.070604026846</v>
      </c>
    </row>
    <row r="4579" spans="1:23" ht="15" customHeight="1">
      <c r="A4579" s="3">
        <v>42257</v>
      </c>
      <c r="B4579" s="9">
        <v>50300</v>
      </c>
      <c r="C4579" s="5">
        <v>375</v>
      </c>
      <c r="D4579" s="5">
        <v>118075</v>
      </c>
      <c r="E4579" s="5">
        <v>168750</v>
      </c>
      <c r="F4579" s="4">
        <v>0</v>
      </c>
      <c r="G4579" s="5">
        <v>1575</v>
      </c>
      <c r="H4579" s="5">
        <v>23375</v>
      </c>
      <c r="I4579" s="118">
        <f t="shared" si="263"/>
        <v>0.13851851851851851</v>
      </c>
      <c r="K4579" s="22">
        <v>1715</v>
      </c>
      <c r="L4579" s="6">
        <v>1724</v>
      </c>
      <c r="M4579" s="125">
        <f t="shared" ref="M4579:M4638" si="266">L4579-K4579</f>
        <v>9</v>
      </c>
      <c r="P4579" s="247">
        <v>13440</v>
      </c>
      <c r="Q4579" s="25">
        <f>187.18/1195.8</f>
        <v>0.15653119250710823</v>
      </c>
      <c r="U4579" s="388">
        <v>0.1</v>
      </c>
      <c r="W4579" s="285">
        <f t="shared" si="265"/>
        <v>2314.1571500250884</v>
      </c>
    </row>
    <row r="4580" spans="1:23" ht="15" customHeight="1">
      <c r="A4580" s="3">
        <v>42258</v>
      </c>
      <c r="B4580" s="9">
        <v>50800</v>
      </c>
      <c r="C4580" s="5">
        <v>350</v>
      </c>
      <c r="D4580" s="5">
        <v>117450</v>
      </c>
      <c r="E4580" s="5">
        <v>168600</v>
      </c>
      <c r="F4580" s="4">
        <v>525</v>
      </c>
      <c r="G4580" s="5">
        <v>675</v>
      </c>
      <c r="H4580" s="5">
        <v>22700</v>
      </c>
      <c r="I4580" s="118">
        <f t="shared" si="263"/>
        <v>0.134638196915777</v>
      </c>
      <c r="K4580" s="22">
        <v>1702</v>
      </c>
      <c r="L4580" s="6">
        <v>1715</v>
      </c>
      <c r="M4580" s="125">
        <f t="shared" si="266"/>
        <v>13</v>
      </c>
      <c r="P4580" s="247">
        <v>13450</v>
      </c>
      <c r="Q4580" s="25">
        <f>184.65/1183.8</f>
        <v>0.15598073998986317</v>
      </c>
      <c r="U4580" s="388">
        <v>0.1</v>
      </c>
      <c r="W4580" s="285">
        <f t="shared" si="265"/>
        <v>2307.7350481500257</v>
      </c>
    </row>
    <row r="4581" spans="1:23" ht="15" customHeight="1">
      <c r="A4581" s="3">
        <v>42261</v>
      </c>
      <c r="B4581" s="9">
        <v>50775</v>
      </c>
      <c r="C4581" s="5">
        <v>350</v>
      </c>
      <c r="D4581" s="5">
        <v>116825</v>
      </c>
      <c r="E4581" s="5">
        <v>167950</v>
      </c>
      <c r="F4581" s="4">
        <v>0</v>
      </c>
      <c r="G4581" s="5">
        <v>650</v>
      </c>
      <c r="H4581" s="5">
        <v>22075</v>
      </c>
      <c r="I4581" s="118">
        <f t="shared" si="263"/>
        <v>0.13143792795474843</v>
      </c>
      <c r="K4581" s="22">
        <v>1666</v>
      </c>
      <c r="L4581" s="6">
        <v>1673</v>
      </c>
      <c r="M4581" s="125">
        <f t="shared" si="266"/>
        <v>7</v>
      </c>
      <c r="P4581" s="247">
        <v>13410</v>
      </c>
      <c r="Q4581" s="25">
        <f>184.45/1181</f>
        <v>0.15618120237087213</v>
      </c>
      <c r="U4581" s="388">
        <v>0.1</v>
      </c>
      <c r="W4581" s="285">
        <f t="shared" si="265"/>
        <v>2303.8289161727348</v>
      </c>
    </row>
    <row r="4582" spans="1:23" ht="15" customHeight="1">
      <c r="A4582" s="3">
        <v>42262</v>
      </c>
      <c r="B4582" s="9">
        <v>50350</v>
      </c>
      <c r="C4582" s="5">
        <v>350</v>
      </c>
      <c r="D4582" s="5">
        <v>116075</v>
      </c>
      <c r="E4582" s="5">
        <v>166775</v>
      </c>
      <c r="F4582" s="4">
        <v>0</v>
      </c>
      <c r="G4582" s="5">
        <v>1175</v>
      </c>
      <c r="H4582" s="5">
        <v>20900</v>
      </c>
      <c r="I4582" s="118">
        <f t="shared" si="263"/>
        <v>0.12531854294708439</v>
      </c>
      <c r="K4582" s="22">
        <v>1664</v>
      </c>
      <c r="L4582" s="6">
        <v>1676</v>
      </c>
      <c r="M4582" s="125">
        <f t="shared" si="266"/>
        <v>12</v>
      </c>
      <c r="P4582" s="247">
        <v>13390</v>
      </c>
      <c r="Q4582" s="25">
        <f>184.5/1182.4</f>
        <v>0.15603856562922869</v>
      </c>
      <c r="U4582" s="388">
        <v>0.1</v>
      </c>
      <c r="W4582" s="285">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18">
        <f t="shared" si="263"/>
        <v>0.12338248570568763</v>
      </c>
      <c r="K4583" s="22">
        <v>1693.5</v>
      </c>
      <c r="L4583" s="6">
        <v>1708</v>
      </c>
      <c r="M4583" s="125">
        <f t="shared" si="266"/>
        <v>14.5</v>
      </c>
      <c r="P4583" s="247">
        <v>13410</v>
      </c>
      <c r="Q4583" s="25">
        <f>183.44/1174.5</f>
        <v>0.15618561089825458</v>
      </c>
      <c r="U4583" s="388">
        <v>0.1</v>
      </c>
      <c r="W4583" s="285">
        <f t="shared" si="267"/>
        <v>2303.8939463601537</v>
      </c>
    </row>
    <row r="4584" spans="1:23" ht="15" customHeight="1">
      <c r="A4584" s="3">
        <v>42264</v>
      </c>
      <c r="B4584" s="9">
        <v>50350</v>
      </c>
      <c r="C4584" s="5">
        <v>350</v>
      </c>
      <c r="D4584" s="5">
        <v>114825</v>
      </c>
      <c r="E4584" s="5">
        <v>165525</v>
      </c>
      <c r="F4584" s="4">
        <v>0</v>
      </c>
      <c r="G4584" s="5">
        <v>625</v>
      </c>
      <c r="H4584" s="5">
        <v>19925</v>
      </c>
      <c r="I4584" s="118">
        <f t="shared" si="263"/>
        <v>0.1203745657755626</v>
      </c>
      <c r="K4584" s="22">
        <v>1700.5</v>
      </c>
      <c r="L4584" s="6">
        <v>1719</v>
      </c>
      <c r="M4584" s="125">
        <f t="shared" si="266"/>
        <v>18.5</v>
      </c>
      <c r="P4584" s="247">
        <v>13410</v>
      </c>
      <c r="Q4584" s="25">
        <f>182.25/1167.5</f>
        <v>0.15610278372591008</v>
      </c>
      <c r="U4584" s="388">
        <v>0.1</v>
      </c>
      <c r="W4584" s="285">
        <f t="shared" si="267"/>
        <v>2302.6721627408997</v>
      </c>
    </row>
    <row r="4585" spans="1:23" ht="15" customHeight="1">
      <c r="A4585" s="3">
        <v>42265</v>
      </c>
      <c r="B4585" s="9">
        <v>50350</v>
      </c>
      <c r="C4585" s="5">
        <v>325</v>
      </c>
      <c r="D4585" s="5">
        <v>114300</v>
      </c>
      <c r="E4585" s="5">
        <v>164975</v>
      </c>
      <c r="F4585" s="4">
        <v>0</v>
      </c>
      <c r="G4585" s="5">
        <v>550</v>
      </c>
      <c r="H4585" s="5">
        <v>19700</v>
      </c>
      <c r="I4585" s="118">
        <f t="shared" si="263"/>
        <v>0.1194120321260797</v>
      </c>
      <c r="K4585" s="22">
        <v>1690</v>
      </c>
      <c r="L4585" s="6">
        <v>1707</v>
      </c>
      <c r="M4585" s="125">
        <f t="shared" si="266"/>
        <v>17</v>
      </c>
      <c r="P4585" s="247">
        <v>13410</v>
      </c>
      <c r="Q4585" s="25">
        <f>181.76/1162</f>
        <v>0.15641996557659207</v>
      </c>
      <c r="U4585" s="388">
        <v>0.1</v>
      </c>
      <c r="W4585" s="285">
        <f t="shared" si="267"/>
        <v>2307.35091222031</v>
      </c>
    </row>
    <row r="4586" spans="1:23" ht="15" customHeight="1">
      <c r="A4586" s="3">
        <v>42268</v>
      </c>
      <c r="B4586" s="9">
        <v>51100</v>
      </c>
      <c r="C4586" s="5">
        <v>325</v>
      </c>
      <c r="D4586" s="5">
        <v>114025</v>
      </c>
      <c r="E4586" s="5">
        <v>165450</v>
      </c>
      <c r="F4586" s="4">
        <v>750</v>
      </c>
      <c r="G4586" s="5">
        <v>275</v>
      </c>
      <c r="H4586" s="5">
        <v>44525</v>
      </c>
      <c r="I4586" s="118">
        <f t="shared" si="263"/>
        <v>0.26911453611362951</v>
      </c>
      <c r="K4586" s="22">
        <v>1667</v>
      </c>
      <c r="L4586" s="6">
        <v>1679.5</v>
      </c>
      <c r="M4586" s="125">
        <f t="shared" si="266"/>
        <v>12.5</v>
      </c>
      <c r="P4586" s="247">
        <v>13310</v>
      </c>
      <c r="Q4586" s="25">
        <f>183.8/1176.5</f>
        <v>0.15622609434764131</v>
      </c>
      <c r="U4586" s="388">
        <v>0.1</v>
      </c>
      <c r="W4586" s="285">
        <f t="shared" si="267"/>
        <v>2287.3062473438167</v>
      </c>
    </row>
    <row r="4587" spans="1:23" ht="15" customHeight="1">
      <c r="A4587" s="3">
        <v>42269</v>
      </c>
      <c r="B4587" s="9">
        <v>50900</v>
      </c>
      <c r="C4587" s="5">
        <v>325</v>
      </c>
      <c r="D4587" s="5">
        <v>113900</v>
      </c>
      <c r="E4587" s="5">
        <v>165125</v>
      </c>
      <c r="F4587" s="4">
        <v>0</v>
      </c>
      <c r="G4587" s="5">
        <v>325</v>
      </c>
      <c r="H4587" s="5">
        <v>44700</v>
      </c>
      <c r="I4587" s="118">
        <f t="shared" si="263"/>
        <v>0.27070401211203632</v>
      </c>
      <c r="K4587" s="22">
        <v>1671</v>
      </c>
      <c r="L4587" s="6">
        <v>1682</v>
      </c>
      <c r="M4587" s="125">
        <f t="shared" si="266"/>
        <v>11</v>
      </c>
      <c r="P4587" s="247">
        <v>13310</v>
      </c>
      <c r="Q4587" s="25">
        <f>184.6/1182.5</f>
        <v>0.15610993657505284</v>
      </c>
      <c r="U4587" s="388">
        <v>0.1</v>
      </c>
      <c r="W4587" s="285">
        <f t="shared" si="267"/>
        <v>2285.605581395349</v>
      </c>
    </row>
    <row r="4588" spans="1:23" ht="15" customHeight="1">
      <c r="A4588" s="3">
        <v>42270</v>
      </c>
      <c r="B4588" s="9">
        <v>50575</v>
      </c>
      <c r="C4588" s="5">
        <v>325</v>
      </c>
      <c r="D4588" s="5">
        <v>113850</v>
      </c>
      <c r="E4588" s="5">
        <v>164750</v>
      </c>
      <c r="F4588" s="4">
        <v>75</v>
      </c>
      <c r="G4588" s="5">
        <v>450</v>
      </c>
      <c r="H4588" s="5">
        <v>44250</v>
      </c>
      <c r="I4588" s="118">
        <f t="shared" si="263"/>
        <v>0.26858877086494687</v>
      </c>
      <c r="K4588" s="22">
        <v>1679.5</v>
      </c>
      <c r="L4588" s="6">
        <v>1693</v>
      </c>
      <c r="M4588" s="125">
        <f t="shared" si="266"/>
        <v>13.5</v>
      </c>
      <c r="P4588" s="247">
        <v>13310</v>
      </c>
      <c r="Q4588" s="25">
        <f>185.02/1189.5</f>
        <v>0.15554434636401851</v>
      </c>
      <c r="U4588" s="388">
        <v>0.1</v>
      </c>
      <c r="W4588" s="285">
        <f t="shared" si="267"/>
        <v>2277.324775115595</v>
      </c>
    </row>
    <row r="4589" spans="1:23" ht="15" customHeight="1">
      <c r="A4589" s="3">
        <v>42271</v>
      </c>
      <c r="B4589" s="9">
        <v>50575</v>
      </c>
      <c r="C4589" s="5">
        <v>325</v>
      </c>
      <c r="D4589" s="5">
        <v>113550</v>
      </c>
      <c r="E4589" s="5">
        <v>164450</v>
      </c>
      <c r="F4589" s="4">
        <v>0</v>
      </c>
      <c r="G4589" s="5">
        <v>300</v>
      </c>
      <c r="H4589" s="5">
        <v>44425</v>
      </c>
      <c r="I4589" s="118">
        <f t="shared" si="263"/>
        <v>0.2701429005776832</v>
      </c>
      <c r="K4589" s="22">
        <v>1670</v>
      </c>
      <c r="L4589" s="6">
        <v>1680.5</v>
      </c>
      <c r="M4589" s="125">
        <f t="shared" si="266"/>
        <v>10.5</v>
      </c>
      <c r="P4589" s="247">
        <v>13360</v>
      </c>
      <c r="Q4589" s="25">
        <f>185.78/1194</f>
        <v>0.15559463986599664</v>
      </c>
      <c r="U4589" s="388">
        <v>0.1</v>
      </c>
      <c r="W4589" s="285">
        <f t="shared" si="267"/>
        <v>2286.6188274706869</v>
      </c>
    </row>
    <row r="4590" spans="1:23" ht="15" customHeight="1">
      <c r="A4590" s="3">
        <v>42272</v>
      </c>
      <c r="B4590" s="9">
        <v>51100</v>
      </c>
      <c r="C4590" s="5">
        <v>300</v>
      </c>
      <c r="D4590" s="5">
        <v>113500</v>
      </c>
      <c r="E4590" s="5">
        <v>164900</v>
      </c>
      <c r="F4590" s="4">
        <v>525</v>
      </c>
      <c r="G4590" s="5">
        <v>75</v>
      </c>
      <c r="H4590" s="5">
        <v>44325</v>
      </c>
      <c r="I4590" s="118">
        <f t="shared" si="263"/>
        <v>0.26879927228623407</v>
      </c>
      <c r="K4590" s="22">
        <v>1681</v>
      </c>
      <c r="L4590" s="6">
        <v>1690</v>
      </c>
      <c r="M4590" s="125">
        <f t="shared" si="266"/>
        <v>9</v>
      </c>
      <c r="P4590" s="1326" t="s">
        <v>48</v>
      </c>
      <c r="Q4590" s="1326" t="s">
        <v>48</v>
      </c>
      <c r="U4590" s="388">
        <v>0.1</v>
      </c>
      <c r="W4590" s="1340"/>
    </row>
    <row r="4591" spans="1:23" ht="15" customHeight="1">
      <c r="A4591" s="3">
        <v>42275</v>
      </c>
      <c r="B4591" s="9">
        <v>51100</v>
      </c>
      <c r="C4591" s="5">
        <v>300</v>
      </c>
      <c r="D4591" s="5">
        <v>113175</v>
      </c>
      <c r="E4591" s="5">
        <v>164900</v>
      </c>
      <c r="F4591" s="4">
        <v>0</v>
      </c>
      <c r="G4591" s="5">
        <v>325</v>
      </c>
      <c r="H4591" s="5">
        <v>44150</v>
      </c>
      <c r="I4591" s="118">
        <f t="shared" si="263"/>
        <v>0.26773802304426925</v>
      </c>
      <c r="K4591" s="22">
        <v>1625</v>
      </c>
      <c r="L4591" s="6">
        <v>1639</v>
      </c>
      <c r="M4591" s="125">
        <f t="shared" si="266"/>
        <v>14</v>
      </c>
      <c r="P4591" s="1326"/>
      <c r="Q4591" s="1326"/>
      <c r="U4591" s="388">
        <v>0.1</v>
      </c>
      <c r="W4591" s="1340"/>
    </row>
    <row r="4592" spans="1:23" ht="15" customHeight="1">
      <c r="A4592" s="3">
        <v>42276</v>
      </c>
      <c r="B4592" s="9">
        <v>51100</v>
      </c>
      <c r="C4592" s="5">
        <v>300</v>
      </c>
      <c r="D4592" s="5">
        <v>112725</v>
      </c>
      <c r="E4592" s="5">
        <v>164125</v>
      </c>
      <c r="F4592" s="4">
        <v>0</v>
      </c>
      <c r="G4592" s="5">
        <v>450</v>
      </c>
      <c r="H4592" s="5">
        <v>43700</v>
      </c>
      <c r="I4592" s="118">
        <f t="shared" si="263"/>
        <v>0.26626047220106625</v>
      </c>
      <c r="K4592" s="22">
        <v>1651</v>
      </c>
      <c r="L4592" s="6">
        <v>1663.5</v>
      </c>
      <c r="M4592" s="125">
        <f t="shared" si="266"/>
        <v>12.5</v>
      </c>
      <c r="P4592" s="247">
        <v>13340</v>
      </c>
      <c r="Q4592" s="25">
        <f>186.54/1194</f>
        <v>0.15623115577889446</v>
      </c>
      <c r="U4592" s="388">
        <v>0.1</v>
      </c>
      <c r="W4592" s="285">
        <f t="shared" si="267"/>
        <v>2292.5359798994973</v>
      </c>
    </row>
    <row r="4593" spans="1:23" ht="15" customHeight="1">
      <c r="A4593" s="3">
        <v>42277</v>
      </c>
      <c r="B4593" s="9">
        <v>51100</v>
      </c>
      <c r="C4593" s="5">
        <v>300</v>
      </c>
      <c r="D4593" s="5">
        <v>111950</v>
      </c>
      <c r="E4593" s="5">
        <v>163350</v>
      </c>
      <c r="F4593" s="4">
        <v>0</v>
      </c>
      <c r="G4593" s="5">
        <v>775</v>
      </c>
      <c r="H4593" s="5">
        <v>43000</v>
      </c>
      <c r="I4593" s="118">
        <f t="shared" si="263"/>
        <v>0.26323844505662686</v>
      </c>
      <c r="K4593" s="22">
        <v>1655.5</v>
      </c>
      <c r="L4593" s="6">
        <v>1669</v>
      </c>
      <c r="M4593" s="125">
        <f t="shared" si="266"/>
        <v>13.5</v>
      </c>
      <c r="N4593" s="235">
        <f>AVERAGE(K4572:K4593)</f>
        <v>1682.0454545454545</v>
      </c>
      <c r="O4593" s="230">
        <f>AVERAGE(K4392:K4593)</f>
        <v>1818.2063492063492</v>
      </c>
      <c r="P4593" s="247">
        <v>13410</v>
      </c>
      <c r="Q4593" s="25">
        <f>186.15/1181.5</f>
        <v>0.15755395683453238</v>
      </c>
      <c r="U4593" s="388">
        <v>0.1</v>
      </c>
      <c r="W4593" s="285">
        <f t="shared" si="267"/>
        <v>2324.0784172661874</v>
      </c>
    </row>
    <row r="4594" spans="1:23" ht="15" customHeight="1" thickBot="1">
      <c r="A4594" s="216"/>
      <c r="B4594" s="1330"/>
      <c r="C4594" s="1330"/>
      <c r="D4594" s="1330"/>
      <c r="E4594" s="216"/>
      <c r="F4594" s="407"/>
      <c r="G4594" s="164"/>
      <c r="H4594" s="164"/>
      <c r="I4594" s="166"/>
      <c r="J4594" s="166"/>
      <c r="K4594" s="166"/>
      <c r="L4594" s="167"/>
      <c r="M4594" s="168"/>
      <c r="N4594" s="169" t="s">
        <v>52</v>
      </c>
      <c r="O4594" s="183"/>
      <c r="P4594" s="180"/>
      <c r="Q4594" s="154"/>
      <c r="R4594" s="248"/>
      <c r="S4594" s="249"/>
      <c r="T4594" s="249"/>
      <c r="U4594" s="152"/>
      <c r="V4594" s="153">
        <f>AVERAGE(P4572:P4593)</f>
        <v>13389.444444444445</v>
      </c>
      <c r="W4594" s="295"/>
    </row>
    <row r="4595" spans="1:23" ht="15" customHeight="1">
      <c r="A4595" s="3">
        <v>42278</v>
      </c>
      <c r="B4595" s="9">
        <v>51100</v>
      </c>
      <c r="C4595" s="5">
        <v>300</v>
      </c>
      <c r="D4595" s="5">
        <v>111025</v>
      </c>
      <c r="E4595" s="5">
        <v>162425</v>
      </c>
      <c r="F4595" s="4">
        <v>0</v>
      </c>
      <c r="G4595" s="5">
        <v>925</v>
      </c>
      <c r="H4595" s="5">
        <v>42250</v>
      </c>
      <c r="I4595" s="118">
        <f t="shared" ref="I4595:I4616" si="268">H4595/E4595</f>
        <v>0.26012005541018934</v>
      </c>
      <c r="K4595" s="22">
        <v>1663</v>
      </c>
      <c r="L4595" s="6">
        <v>1676</v>
      </c>
      <c r="M4595" s="125">
        <f t="shared" si="266"/>
        <v>13</v>
      </c>
      <c r="P4595" s="1327" t="s">
        <v>48</v>
      </c>
      <c r="Q4595" s="25">
        <f>184.92/1177</f>
        <v>0.15711129991503822</v>
      </c>
      <c r="U4595" s="388">
        <v>0.1</v>
      </c>
      <c r="W4595" s="1339"/>
    </row>
    <row r="4596" spans="1:23" ht="15" customHeight="1">
      <c r="A4596" s="3">
        <v>42279</v>
      </c>
      <c r="B4596" s="9">
        <v>51075</v>
      </c>
      <c r="C4596" s="5">
        <v>300</v>
      </c>
      <c r="D4596" s="5">
        <v>110225</v>
      </c>
      <c r="E4596" s="5">
        <v>161600</v>
      </c>
      <c r="F4596" s="4">
        <v>0</v>
      </c>
      <c r="G4596" s="5">
        <v>825</v>
      </c>
      <c r="H4596" s="5">
        <v>41425</v>
      </c>
      <c r="I4596" s="118">
        <f t="shared" si="268"/>
        <v>0.25634282178217821</v>
      </c>
      <c r="K4596" s="22">
        <v>1619</v>
      </c>
      <c r="L4596" s="6">
        <v>1637</v>
      </c>
      <c r="M4596" s="125">
        <f t="shared" si="266"/>
        <v>18</v>
      </c>
      <c r="P4596" s="1326"/>
      <c r="Q4596" s="25">
        <f>185.5/1183</f>
        <v>0.15680473372781065</v>
      </c>
      <c r="U4596" s="388">
        <v>0.1</v>
      </c>
      <c r="W4596" s="1340"/>
    </row>
    <row r="4597" spans="1:23" ht="15" customHeight="1">
      <c r="A4597" s="3">
        <v>42282</v>
      </c>
      <c r="B4597" s="9">
        <v>50225</v>
      </c>
      <c r="C4597" s="5">
        <v>300</v>
      </c>
      <c r="D4597" s="5">
        <v>109475</v>
      </c>
      <c r="E4597" s="5">
        <v>160000</v>
      </c>
      <c r="F4597" s="4">
        <v>0</v>
      </c>
      <c r="G4597" s="5">
        <v>1600</v>
      </c>
      <c r="H4597" s="5">
        <v>39525</v>
      </c>
      <c r="I4597" s="118">
        <f t="shared" si="268"/>
        <v>0.24703125000000001</v>
      </c>
      <c r="K4597" s="22">
        <v>1623.5</v>
      </c>
      <c r="L4597" s="313">
        <v>1641</v>
      </c>
      <c r="M4597" s="125">
        <f t="shared" si="266"/>
        <v>17.5</v>
      </c>
      <c r="P4597" s="1326"/>
      <c r="Q4597" s="25">
        <f>183.64/1168</f>
        <v>0.15722602739726027</v>
      </c>
      <c r="U4597" s="388">
        <v>0.1</v>
      </c>
      <c r="W4597" s="1340"/>
    </row>
    <row r="4598" spans="1:23" ht="15" customHeight="1">
      <c r="A4598" s="3">
        <v>42283</v>
      </c>
      <c r="B4598" s="9">
        <v>50225</v>
      </c>
      <c r="C4598" s="5">
        <v>300</v>
      </c>
      <c r="D4598" s="5">
        <v>109475</v>
      </c>
      <c r="E4598" s="5">
        <v>158975</v>
      </c>
      <c r="F4598" s="4">
        <v>0</v>
      </c>
      <c r="G4598" s="5">
        <v>1025</v>
      </c>
      <c r="H4598" s="5">
        <v>39525</v>
      </c>
      <c r="I4598" s="118">
        <f t="shared" si="268"/>
        <v>0.24862399748388112</v>
      </c>
      <c r="K4598" s="22">
        <v>1619</v>
      </c>
      <c r="L4598" s="6">
        <v>1632</v>
      </c>
      <c r="M4598" s="125">
        <f t="shared" si="266"/>
        <v>13</v>
      </c>
      <c r="P4598" s="1326"/>
      <c r="Q4598" s="25">
        <f>183.6/1167</f>
        <v>0.15732647814910025</v>
      </c>
      <c r="U4598" s="388">
        <v>0.1</v>
      </c>
      <c r="W4598" s="1340"/>
    </row>
    <row r="4599" spans="1:23" ht="15" customHeight="1">
      <c r="A4599" s="3">
        <v>42284</v>
      </c>
      <c r="B4599" s="9">
        <v>22175</v>
      </c>
      <c r="C4599" s="5">
        <v>300</v>
      </c>
      <c r="D4599" s="5">
        <v>107800</v>
      </c>
      <c r="E4599" s="5">
        <v>158150</v>
      </c>
      <c r="F4599" s="4">
        <v>0</v>
      </c>
      <c r="G4599" s="5">
        <v>825</v>
      </c>
      <c r="H4599" s="5">
        <v>38900</v>
      </c>
      <c r="I4599" s="118">
        <f t="shared" si="268"/>
        <v>0.24596901675624408</v>
      </c>
      <c r="K4599" s="22">
        <v>1650</v>
      </c>
      <c r="L4599" s="6">
        <v>1663</v>
      </c>
      <c r="M4599" s="125">
        <f t="shared" si="266"/>
        <v>13</v>
      </c>
      <c r="P4599" s="1326"/>
      <c r="Q4599" s="25">
        <f>182.52/1157</f>
        <v>0.15775280898876406</v>
      </c>
      <c r="U4599" s="388">
        <v>0.1</v>
      </c>
      <c r="W4599" s="1340"/>
    </row>
    <row r="4600" spans="1:23" ht="15" customHeight="1">
      <c r="A4600" s="3">
        <v>42285</v>
      </c>
      <c r="B4600" s="9">
        <v>22150</v>
      </c>
      <c r="C4600" s="5">
        <v>300</v>
      </c>
      <c r="D4600" s="5">
        <v>106950</v>
      </c>
      <c r="E4600" s="5">
        <v>157275</v>
      </c>
      <c r="F4600" s="4">
        <v>0</v>
      </c>
      <c r="G4600" s="5">
        <v>875</v>
      </c>
      <c r="H4600" s="5">
        <v>38300</v>
      </c>
      <c r="I4600" s="118">
        <f t="shared" si="268"/>
        <v>0.24352249244953109</v>
      </c>
      <c r="K4600" s="22">
        <v>1667.5</v>
      </c>
      <c r="L4600" s="6">
        <v>1675</v>
      </c>
      <c r="M4600" s="125">
        <f t="shared" si="266"/>
        <v>7.5</v>
      </c>
      <c r="P4600" s="1326"/>
      <c r="Q4600" s="25">
        <f>182.82/1161.5</f>
        <v>0.15739991390443392</v>
      </c>
      <c r="U4600" s="388">
        <v>0.1</v>
      </c>
      <c r="W4600" s="1340"/>
    </row>
    <row r="4601" spans="1:23" ht="15" customHeight="1">
      <c r="A4601" s="3">
        <v>42286</v>
      </c>
      <c r="B4601" s="9">
        <v>22150</v>
      </c>
      <c r="C4601" s="5">
        <v>300</v>
      </c>
      <c r="D4601" s="5">
        <v>106250</v>
      </c>
      <c r="E4601" s="5">
        <v>156575</v>
      </c>
      <c r="F4601" s="4">
        <v>0</v>
      </c>
      <c r="G4601" s="5">
        <v>700</v>
      </c>
      <c r="H4601" s="5">
        <v>37900</v>
      </c>
      <c r="I4601" s="118">
        <f t="shared" si="268"/>
        <v>0.24205652243333867</v>
      </c>
      <c r="K4601" s="22">
        <v>1771.5</v>
      </c>
      <c r="L4601" s="6">
        <v>1765</v>
      </c>
      <c r="M4601" s="125">
        <f t="shared" si="266"/>
        <v>-6.5</v>
      </c>
      <c r="P4601" s="247">
        <v>13500</v>
      </c>
      <c r="Q4601" s="25">
        <f>182.82/1161.5</f>
        <v>0.15739991390443392</v>
      </c>
      <c r="U4601" s="388">
        <v>0.1</v>
      </c>
      <c r="W4601" s="285">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18">
        <f t="shared" si="268"/>
        <v>0.2369607211848036</v>
      </c>
      <c r="K4602" s="22">
        <v>1792</v>
      </c>
      <c r="L4602" s="6">
        <v>1805.5</v>
      </c>
      <c r="M4602" s="125">
        <f t="shared" si="266"/>
        <v>13.5</v>
      </c>
      <c r="P4602" s="247">
        <v>13610</v>
      </c>
      <c r="Q4602" s="25">
        <f>180.96/1144</f>
        <v>0.1581818181818182</v>
      </c>
      <c r="U4602" s="388">
        <v>0.1</v>
      </c>
      <c r="W4602" s="285">
        <f t="shared" si="269"/>
        <v>2368.1400000000003</v>
      </c>
    </row>
    <row r="4603" spans="1:23" ht="15" customHeight="1">
      <c r="A4603" s="3">
        <v>42290</v>
      </c>
      <c r="B4603" s="9">
        <v>21925</v>
      </c>
      <c r="C4603" s="5">
        <v>300</v>
      </c>
      <c r="D4603" s="5">
        <v>104650</v>
      </c>
      <c r="E4603" s="5">
        <v>154325</v>
      </c>
      <c r="F4603" s="4">
        <v>0</v>
      </c>
      <c r="G4603" s="5">
        <v>975</v>
      </c>
      <c r="H4603" s="5">
        <v>35825</v>
      </c>
      <c r="I4603" s="118">
        <f t="shared" si="268"/>
        <v>0.23213996436092663</v>
      </c>
      <c r="K4603" s="22">
        <v>1767.5</v>
      </c>
      <c r="L4603" s="6">
        <v>1777</v>
      </c>
      <c r="M4603" s="125">
        <f t="shared" si="266"/>
        <v>9.5</v>
      </c>
      <c r="P4603" s="247">
        <v>13560</v>
      </c>
      <c r="Q4603" s="25">
        <f>181.25/1149.5</f>
        <v>0.15767725097868637</v>
      </c>
      <c r="U4603" s="388">
        <v>0.1</v>
      </c>
      <c r="W4603" s="285">
        <f t="shared" si="269"/>
        <v>2351.9138755980862</v>
      </c>
    </row>
    <row r="4604" spans="1:23" ht="15" customHeight="1">
      <c r="A4604" s="3">
        <v>42291</v>
      </c>
      <c r="B4604" s="9">
        <v>21925</v>
      </c>
      <c r="C4604" s="5">
        <v>300</v>
      </c>
      <c r="D4604" s="5">
        <v>104025</v>
      </c>
      <c r="E4604" s="5">
        <v>153700</v>
      </c>
      <c r="F4604" s="4">
        <v>0</v>
      </c>
      <c r="G4604" s="5">
        <v>625</v>
      </c>
      <c r="H4604" s="5">
        <v>35450</v>
      </c>
      <c r="I4604" s="118">
        <f t="shared" si="268"/>
        <v>0.23064411190631098</v>
      </c>
      <c r="K4604" s="22">
        <v>1776.5</v>
      </c>
      <c r="L4604" s="6">
        <v>1786</v>
      </c>
      <c r="M4604" s="125">
        <f t="shared" si="266"/>
        <v>9.5</v>
      </c>
      <c r="P4604" s="247">
        <v>13560</v>
      </c>
      <c r="Q4604" s="25">
        <f>180.52/1146</f>
        <v>0.157521815008726</v>
      </c>
      <c r="U4604" s="388">
        <v>0.1</v>
      </c>
      <c r="W4604" s="285">
        <f t="shared" si="269"/>
        <v>2349.5953926701573</v>
      </c>
    </row>
    <row r="4605" spans="1:23" ht="15" customHeight="1">
      <c r="A4605" s="3">
        <v>42292</v>
      </c>
      <c r="B4605" s="9">
        <v>21925</v>
      </c>
      <c r="C4605" s="5">
        <v>300</v>
      </c>
      <c r="D4605" s="5">
        <v>103250</v>
      </c>
      <c r="E4605" s="5">
        <v>152925</v>
      </c>
      <c r="F4605" s="4">
        <v>0</v>
      </c>
      <c r="G4605" s="5">
        <v>775</v>
      </c>
      <c r="H4605" s="5">
        <v>34675</v>
      </c>
      <c r="I4605" s="118">
        <f t="shared" si="268"/>
        <v>0.22674513650482261</v>
      </c>
      <c r="K4605" s="22">
        <v>1816.5</v>
      </c>
      <c r="L4605" s="6">
        <v>1830</v>
      </c>
      <c r="M4605" s="125">
        <f t="shared" si="266"/>
        <v>13.5</v>
      </c>
      <c r="P4605" s="247">
        <v>13560</v>
      </c>
      <c r="Q4605" s="25">
        <f>177.59/1127</f>
        <v>0.15757763975155281</v>
      </c>
      <c r="U4605" s="388">
        <v>0.1</v>
      </c>
      <c r="W4605" s="285">
        <f t="shared" si="269"/>
        <v>2350.4280745341616</v>
      </c>
    </row>
    <row r="4606" spans="1:23" ht="15" customHeight="1">
      <c r="A4606" s="3">
        <v>42293</v>
      </c>
      <c r="B4606" s="9">
        <v>21725</v>
      </c>
      <c r="C4606" s="5">
        <v>300</v>
      </c>
      <c r="D4606" s="5">
        <v>102225</v>
      </c>
      <c r="E4606" s="5">
        <v>151700</v>
      </c>
      <c r="F4606" s="4">
        <v>0</v>
      </c>
      <c r="G4606" s="5">
        <v>1225</v>
      </c>
      <c r="H4606" s="5">
        <v>33450</v>
      </c>
      <c r="I4606" s="118">
        <f t="shared" si="268"/>
        <v>0.22050098879367172</v>
      </c>
      <c r="K4606" s="22">
        <v>1793.5</v>
      </c>
      <c r="L4606" s="6">
        <v>1804</v>
      </c>
      <c r="M4606" s="125">
        <f t="shared" si="266"/>
        <v>10.5</v>
      </c>
      <c r="P4606" s="247">
        <v>13540</v>
      </c>
      <c r="Q4606" s="25">
        <f>178.06/1133</f>
        <v>0.15715798764342453</v>
      </c>
      <c r="U4606" s="388">
        <v>0.1</v>
      </c>
      <c r="W4606" s="285">
        <f t="shared" si="269"/>
        <v>2340.7110679611651</v>
      </c>
    </row>
    <row r="4607" spans="1:23" ht="15" customHeight="1">
      <c r="A4607" s="3">
        <v>42296</v>
      </c>
      <c r="B4607" s="9">
        <v>21425</v>
      </c>
      <c r="C4607" s="5">
        <v>300</v>
      </c>
      <c r="D4607" s="5">
        <v>101425</v>
      </c>
      <c r="E4607" s="5">
        <v>150600</v>
      </c>
      <c r="F4607" s="4">
        <v>0</v>
      </c>
      <c r="G4607" s="5">
        <v>1100</v>
      </c>
      <c r="H4607" s="5">
        <v>32350</v>
      </c>
      <c r="I4607" s="118">
        <f t="shared" si="268"/>
        <v>0.21480743691899071</v>
      </c>
      <c r="K4607" s="22">
        <v>1787</v>
      </c>
      <c r="L4607" s="6">
        <v>1800</v>
      </c>
      <c r="M4607" s="125">
        <f t="shared" si="266"/>
        <v>13</v>
      </c>
      <c r="P4607" s="247">
        <v>13510</v>
      </c>
      <c r="Q4607" s="25">
        <f>176.32/1123.5</f>
        <v>0.15693813974187806</v>
      </c>
      <c r="U4607" s="388">
        <v>0.1</v>
      </c>
      <c r="W4607" s="285">
        <f t="shared" si="269"/>
        <v>2332.2576947040502</v>
      </c>
    </row>
    <row r="4608" spans="1:23" ht="15" customHeight="1">
      <c r="A4608" s="3">
        <v>42297</v>
      </c>
      <c r="B4608" s="9">
        <v>21375</v>
      </c>
      <c r="C4608" s="5">
        <v>300</v>
      </c>
      <c r="D4608" s="5">
        <v>100825</v>
      </c>
      <c r="E4608" s="5">
        <v>149575</v>
      </c>
      <c r="F4608" s="4">
        <v>0</v>
      </c>
      <c r="G4608" s="5">
        <v>1025</v>
      </c>
      <c r="H4608" s="5">
        <v>31325</v>
      </c>
      <c r="I4608" s="118">
        <f t="shared" si="268"/>
        <v>0.20942670900885843</v>
      </c>
      <c r="K4608" s="22">
        <v>1763</v>
      </c>
      <c r="L4608" s="6">
        <v>1779</v>
      </c>
      <c r="M4608" s="125">
        <f t="shared" si="266"/>
        <v>16</v>
      </c>
      <c r="P4608" s="247">
        <v>13510</v>
      </c>
      <c r="Q4608" s="25">
        <f>177.38/1130.1</f>
        <v>0.15695956110078754</v>
      </c>
      <c r="U4608" s="388">
        <v>0.1</v>
      </c>
      <c r="W4608" s="285">
        <f t="shared" si="269"/>
        <v>2332.5760375188042</v>
      </c>
    </row>
    <row r="4609" spans="1:23" ht="15" customHeight="1">
      <c r="A4609" s="3">
        <v>42298</v>
      </c>
      <c r="B4609" s="9">
        <v>21375</v>
      </c>
      <c r="C4609" s="5">
        <v>300</v>
      </c>
      <c r="D4609" s="5">
        <v>100575</v>
      </c>
      <c r="E4609" s="5">
        <v>149325</v>
      </c>
      <c r="F4609" s="4">
        <v>0</v>
      </c>
      <c r="G4609" s="5">
        <v>250</v>
      </c>
      <c r="H4609" s="5">
        <v>32750</v>
      </c>
      <c r="I4609" s="118">
        <f t="shared" si="268"/>
        <v>0.21932027456889336</v>
      </c>
      <c r="K4609" s="22">
        <v>1748</v>
      </c>
      <c r="L4609" s="6">
        <v>1764</v>
      </c>
      <c r="M4609" s="125">
        <f t="shared" si="266"/>
        <v>16</v>
      </c>
      <c r="P4609" s="247">
        <v>13490</v>
      </c>
      <c r="Q4609" s="25">
        <f>177.68/1131.3</f>
        <v>0.15705825156899145</v>
      </c>
      <c r="U4609" s="388">
        <v>0.1</v>
      </c>
      <c r="W4609" s="285">
        <f t="shared" si="269"/>
        <v>2330.5873950322639</v>
      </c>
    </row>
    <row r="4610" spans="1:23" ht="15" customHeight="1">
      <c r="A4610" s="3">
        <v>42299</v>
      </c>
      <c r="B4610" s="9">
        <v>21375</v>
      </c>
      <c r="C4610" s="5">
        <v>300</v>
      </c>
      <c r="D4610" s="5">
        <v>100250</v>
      </c>
      <c r="E4610" s="5">
        <v>149000</v>
      </c>
      <c r="F4610" s="4">
        <v>0</v>
      </c>
      <c r="G4610" s="5">
        <v>325</v>
      </c>
      <c r="H4610" s="5">
        <v>32800</v>
      </c>
      <c r="I4610" s="118">
        <f t="shared" si="268"/>
        <v>0.22013422818791947</v>
      </c>
      <c r="K4610" s="22">
        <v>1735</v>
      </c>
      <c r="L4610" s="6">
        <v>1754</v>
      </c>
      <c r="M4610" s="125">
        <f t="shared" si="266"/>
        <v>19</v>
      </c>
      <c r="P4610" s="247">
        <v>13390</v>
      </c>
      <c r="Q4610" s="25">
        <f>178.11/1138.2</f>
        <v>0.15648392198207697</v>
      </c>
      <c r="U4610" s="388">
        <v>0.1</v>
      </c>
      <c r="W4610" s="285">
        <f t="shared" si="269"/>
        <v>2304.8516868740116</v>
      </c>
    </row>
    <row r="4611" spans="1:23" ht="15" customHeight="1">
      <c r="A4611" s="3">
        <v>42300</v>
      </c>
      <c r="B4611" s="9">
        <v>21325</v>
      </c>
      <c r="C4611" s="5">
        <v>300</v>
      </c>
      <c r="D4611" s="5">
        <v>99900</v>
      </c>
      <c r="E4611" s="5">
        <v>148600</v>
      </c>
      <c r="F4611" s="4">
        <v>0</v>
      </c>
      <c r="G4611" s="5">
        <v>400</v>
      </c>
      <c r="H4611" s="5">
        <v>32400</v>
      </c>
      <c r="I4611" s="118">
        <f t="shared" si="268"/>
        <v>0.21803499327052489</v>
      </c>
      <c r="K4611" s="22">
        <v>1757</v>
      </c>
      <c r="L4611" s="6">
        <v>1769</v>
      </c>
      <c r="M4611" s="125">
        <f t="shared" si="266"/>
        <v>12</v>
      </c>
      <c r="P4611" s="247">
        <v>13390</v>
      </c>
      <c r="Q4611" s="25">
        <f>176.53/1128</f>
        <v>0.15649822695035462</v>
      </c>
      <c r="U4611" s="388">
        <v>0.1</v>
      </c>
      <c r="W4611" s="285">
        <f t="shared" si="269"/>
        <v>2305.0623847517732</v>
      </c>
    </row>
    <row r="4612" spans="1:23" ht="15" customHeight="1">
      <c r="A4612" s="3">
        <v>42303</v>
      </c>
      <c r="B4612" s="9">
        <v>21325</v>
      </c>
      <c r="C4612" s="5">
        <v>300</v>
      </c>
      <c r="D4612" s="5">
        <v>99525</v>
      </c>
      <c r="E4612" s="5">
        <v>148225</v>
      </c>
      <c r="F4612" s="4">
        <v>0</v>
      </c>
      <c r="G4612" s="5">
        <v>375</v>
      </c>
      <c r="H4612" s="5">
        <v>37200</v>
      </c>
      <c r="I4612" s="118">
        <f t="shared" si="268"/>
        <v>0.25096980941136787</v>
      </c>
      <c r="K4612" s="22">
        <v>1742</v>
      </c>
      <c r="L4612" s="6">
        <v>1756</v>
      </c>
      <c r="M4612" s="125">
        <f t="shared" si="266"/>
        <v>14</v>
      </c>
      <c r="P4612" s="247">
        <v>13360</v>
      </c>
      <c r="Q4612" s="25">
        <f>177.19/1132.5</f>
        <v>0.15645916114790287</v>
      </c>
      <c r="U4612" s="388">
        <v>0.1</v>
      </c>
      <c r="W4612" s="285">
        <f t="shared" si="269"/>
        <v>2299.3238322295806</v>
      </c>
    </row>
    <row r="4613" spans="1:23" ht="15" customHeight="1">
      <c r="A4613" s="3">
        <v>42304</v>
      </c>
      <c r="B4613" s="9">
        <v>21325</v>
      </c>
      <c r="C4613" s="5">
        <v>300</v>
      </c>
      <c r="D4613" s="5">
        <v>99250</v>
      </c>
      <c r="E4613" s="5">
        <v>147950</v>
      </c>
      <c r="F4613" s="4">
        <v>0</v>
      </c>
      <c r="G4613" s="5">
        <v>275</v>
      </c>
      <c r="H4613" s="5">
        <v>37700</v>
      </c>
      <c r="I4613" s="118">
        <f t="shared" si="268"/>
        <v>0.25481581615410609</v>
      </c>
      <c r="K4613" s="22">
        <v>1737</v>
      </c>
      <c r="L4613" s="6">
        <v>1754</v>
      </c>
      <c r="M4613" s="125">
        <f t="shared" si="266"/>
        <v>17</v>
      </c>
      <c r="P4613" s="247">
        <v>13360</v>
      </c>
      <c r="Q4613" s="25">
        <f>177.47/1133.5</f>
        <v>0.15656815174239083</v>
      </c>
      <c r="U4613" s="388">
        <v>0.1</v>
      </c>
      <c r="W4613" s="285">
        <f t="shared" si="269"/>
        <v>2300.9255580061758</v>
      </c>
    </row>
    <row r="4614" spans="1:23" ht="15" customHeight="1">
      <c r="A4614" s="3">
        <v>42305</v>
      </c>
      <c r="B4614" s="9">
        <v>21325</v>
      </c>
      <c r="C4614" s="5">
        <v>300</v>
      </c>
      <c r="D4614" s="5">
        <v>98975</v>
      </c>
      <c r="E4614" s="5">
        <v>147675</v>
      </c>
      <c r="F4614" s="4">
        <v>0</v>
      </c>
      <c r="G4614" s="5">
        <v>275</v>
      </c>
      <c r="H4614" s="5">
        <v>37500</v>
      </c>
      <c r="I4614" s="118">
        <f t="shared" si="268"/>
        <v>0.25393600812595224</v>
      </c>
      <c r="K4614" s="22">
        <v>1719</v>
      </c>
      <c r="L4614" s="6">
        <v>1734</v>
      </c>
      <c r="M4614" s="125">
        <f t="shared" si="266"/>
        <v>15</v>
      </c>
      <c r="P4614" s="247">
        <v>13360</v>
      </c>
      <c r="Q4614" s="25">
        <f>176.72/1131.5</f>
        <v>0.15618205921343351</v>
      </c>
      <c r="U4614" s="388">
        <v>0.1</v>
      </c>
      <c r="W4614" s="285">
        <f t="shared" si="269"/>
        <v>2295.2515422006186</v>
      </c>
    </row>
    <row r="4615" spans="1:23" ht="15" customHeight="1">
      <c r="A4615" s="3">
        <v>42306</v>
      </c>
      <c r="B4615" s="9">
        <v>21325</v>
      </c>
      <c r="C4615" s="5">
        <v>300</v>
      </c>
      <c r="D4615" s="5">
        <v>98875</v>
      </c>
      <c r="E4615" s="5">
        <v>147575</v>
      </c>
      <c r="F4615" s="4">
        <v>0</v>
      </c>
      <c r="G4615" s="5">
        <v>100</v>
      </c>
      <c r="H4615" s="5">
        <v>41050</v>
      </c>
      <c r="I4615" s="118">
        <f t="shared" si="268"/>
        <v>0.2781636456039302</v>
      </c>
      <c r="K4615" s="22">
        <v>1712</v>
      </c>
      <c r="L4615" s="6">
        <v>1727</v>
      </c>
      <c r="M4615" s="125">
        <f t="shared" si="266"/>
        <v>15</v>
      </c>
      <c r="P4615" s="247">
        <v>13360</v>
      </c>
      <c r="Q4615" s="25">
        <f>179.36/1125.05</f>
        <v>0.15942402559886229</v>
      </c>
      <c r="U4615" s="388">
        <v>0.1</v>
      </c>
      <c r="W4615" s="285">
        <f t="shared" si="269"/>
        <v>2342.8954802008807</v>
      </c>
    </row>
    <row r="4616" spans="1:23" ht="15" customHeight="1">
      <c r="A4616" s="3">
        <v>42307</v>
      </c>
      <c r="B4616" s="9" t="e">
        <f>#REF!+#REF!</f>
        <v>#REF!</v>
      </c>
      <c r="E4616" s="5">
        <v>147550</v>
      </c>
      <c r="F4616" s="4">
        <v>0</v>
      </c>
      <c r="G4616" s="5">
        <v>1925</v>
      </c>
      <c r="H4616" s="5">
        <v>41125</v>
      </c>
      <c r="I4616" s="118">
        <f t="shared" si="268"/>
        <v>0.27871907827854964</v>
      </c>
      <c r="K4616" s="22">
        <v>1681</v>
      </c>
      <c r="L4616" s="6">
        <v>1699</v>
      </c>
      <c r="M4616" s="125">
        <f t="shared" si="266"/>
        <v>18</v>
      </c>
      <c r="N4616" s="235">
        <f>AVERAGE(K4595:K4616)</f>
        <v>1724.5681818181818</v>
      </c>
      <c r="O4616" s="230">
        <f>AVERAGE(K4392:K4616)</f>
        <v>1808.4431279620853</v>
      </c>
      <c r="P4616" s="247">
        <v>13340</v>
      </c>
      <c r="Q4616" s="25">
        <f>179.89/1138.5</f>
        <v>0.15800614844093103</v>
      </c>
      <c r="U4616" s="388">
        <v>0.1</v>
      </c>
      <c r="W4616" s="285">
        <f t="shared" si="269"/>
        <v>2318.5822222222218</v>
      </c>
    </row>
    <row r="4617" spans="1:23" ht="15" customHeight="1" thickBot="1">
      <c r="A4617" s="216"/>
      <c r="B4617" s="1330"/>
      <c r="C4617" s="1330"/>
      <c r="D4617" s="1330"/>
      <c r="E4617" s="216"/>
      <c r="F4617" s="407"/>
      <c r="G4617" s="164"/>
      <c r="H4617" s="164"/>
      <c r="I4617" s="166"/>
      <c r="J4617" s="166"/>
      <c r="K4617" s="166"/>
      <c r="L4617" s="167"/>
      <c r="M4617" s="168"/>
      <c r="N4617" s="169" t="s">
        <v>52</v>
      </c>
      <c r="O4617" s="183"/>
      <c r="P4617" s="180"/>
      <c r="Q4617" s="154"/>
      <c r="R4617" s="248"/>
      <c r="S4617" s="249"/>
      <c r="T4617" s="249"/>
      <c r="U4617" s="152"/>
      <c r="V4617" s="153">
        <f>AVERAGE(P4595:P4616)</f>
        <v>13462.5</v>
      </c>
      <c r="W4617" s="295"/>
    </row>
    <row r="4618" spans="1:23" ht="15" customHeight="1">
      <c r="A4618" s="3">
        <v>42310</v>
      </c>
      <c r="B4618" s="9">
        <v>21325</v>
      </c>
      <c r="C4618" s="5">
        <v>300</v>
      </c>
      <c r="D4618" s="5">
        <v>98525</v>
      </c>
      <c r="E4618" s="5">
        <v>147225</v>
      </c>
      <c r="F4618" s="4">
        <v>0</v>
      </c>
      <c r="G4618" s="5">
        <v>325</v>
      </c>
      <c r="H4618" s="5">
        <v>42625</v>
      </c>
      <c r="I4618" s="118">
        <f t="shared" ref="I4618:I4638" si="270">H4618/E4618</f>
        <v>0.28952283919171334</v>
      </c>
      <c r="K4618" s="22">
        <v>1674</v>
      </c>
      <c r="L4618" s="6">
        <v>1691</v>
      </c>
      <c r="M4618" s="125">
        <f t="shared" si="266"/>
        <v>17</v>
      </c>
      <c r="P4618" s="247">
        <v>13240</v>
      </c>
      <c r="Q4618" s="25">
        <f>179.73/1140.5</f>
        <v>0.15758877685225778</v>
      </c>
      <c r="U4618" s="388">
        <v>0.1</v>
      </c>
      <c r="W4618" s="285">
        <f t="shared" si="269"/>
        <v>2295.1229460762829</v>
      </c>
    </row>
    <row r="4619" spans="1:23" ht="15" customHeight="1">
      <c r="A4619" s="3">
        <v>42311</v>
      </c>
      <c r="B4619" s="9">
        <v>21325</v>
      </c>
      <c r="C4619" s="5">
        <v>300</v>
      </c>
      <c r="D4619" s="5">
        <v>98150</v>
      </c>
      <c r="E4619" s="5">
        <v>146850</v>
      </c>
      <c r="F4619" s="4">
        <v>0</v>
      </c>
      <c r="G4619" s="5">
        <v>375</v>
      </c>
      <c r="H4619" s="5">
        <v>42300</v>
      </c>
      <c r="I4619" s="118">
        <f t="shared" si="270"/>
        <v>0.28804902962206336</v>
      </c>
      <c r="K4619" s="22">
        <v>1671</v>
      </c>
      <c r="L4619" s="6">
        <v>1687.5</v>
      </c>
      <c r="M4619" s="125">
        <f t="shared" si="266"/>
        <v>16.5</v>
      </c>
      <c r="P4619" s="247">
        <v>13240</v>
      </c>
      <c r="Q4619" s="25">
        <f>178.63/1133.5</f>
        <v>0.15759153065725628</v>
      </c>
      <c r="U4619" s="384">
        <v>0.1</v>
      </c>
      <c r="W4619" s="285">
        <f t="shared" si="269"/>
        <v>2295.1630524922807</v>
      </c>
    </row>
    <row r="4620" spans="1:23" ht="15" customHeight="1">
      <c r="A4620" s="3">
        <v>42312</v>
      </c>
      <c r="B4620" s="9">
        <v>21225</v>
      </c>
      <c r="C4620" s="5">
        <v>300</v>
      </c>
      <c r="D4620" s="5">
        <v>98050</v>
      </c>
      <c r="E4620" s="5">
        <v>145150</v>
      </c>
      <c r="F4620" s="4">
        <v>0</v>
      </c>
      <c r="G4620" s="5">
        <v>1700</v>
      </c>
      <c r="H4620" s="5">
        <v>40600</v>
      </c>
      <c r="I4620" s="118">
        <f t="shared" si="270"/>
        <v>0.27971064416121255</v>
      </c>
      <c r="K4620" s="22">
        <v>1677.5</v>
      </c>
      <c r="L4620" s="6">
        <v>1692</v>
      </c>
      <c r="M4620" s="125">
        <f t="shared" si="266"/>
        <v>14.5</v>
      </c>
      <c r="P4620" s="247">
        <v>13240</v>
      </c>
      <c r="Q4620" s="25">
        <f>178.53/1133.5</f>
        <v>0.15750330833700926</v>
      </c>
      <c r="U4620" s="384">
        <v>0.1</v>
      </c>
      <c r="W4620" s="285">
        <f t="shared" si="269"/>
        <v>2293.878182620203</v>
      </c>
    </row>
    <row r="4621" spans="1:23" ht="15" customHeight="1">
      <c r="A4621" s="3">
        <v>42313</v>
      </c>
      <c r="B4621" s="9">
        <v>21175</v>
      </c>
      <c r="C4621" s="5">
        <v>300</v>
      </c>
      <c r="D4621" s="5">
        <v>97850</v>
      </c>
      <c r="E4621" s="5">
        <v>144750</v>
      </c>
      <c r="F4621" s="4">
        <v>0</v>
      </c>
      <c r="G4621" s="5">
        <v>400</v>
      </c>
      <c r="H4621" s="5">
        <v>40200</v>
      </c>
      <c r="I4621" s="118">
        <f t="shared" si="270"/>
        <v>0.27772020725388602</v>
      </c>
      <c r="K4621" s="22">
        <v>1647</v>
      </c>
      <c r="L4621" s="6">
        <v>1660.5</v>
      </c>
      <c r="M4621" s="125">
        <f t="shared" si="266"/>
        <v>13.5</v>
      </c>
      <c r="P4621" s="247">
        <v>13240</v>
      </c>
      <c r="Q4621" s="25">
        <f>178.76/1138.5</f>
        <v>0.15701361440491873</v>
      </c>
      <c r="U4621" s="384">
        <v>0.1</v>
      </c>
      <c r="W4621" s="285">
        <f t="shared" si="269"/>
        <v>2286.7462801932365</v>
      </c>
    </row>
    <row r="4622" spans="1:23" ht="15" customHeight="1">
      <c r="A4622" s="3">
        <v>42314</v>
      </c>
      <c r="B4622" s="9">
        <v>21175</v>
      </c>
      <c r="C4622" s="5">
        <v>300</v>
      </c>
      <c r="D4622" s="5">
        <v>97075</v>
      </c>
      <c r="E4622" s="5">
        <v>143975</v>
      </c>
      <c r="F4622" s="4">
        <v>0</v>
      </c>
      <c r="G4622" s="5">
        <v>775</v>
      </c>
      <c r="H4622" s="5">
        <v>39425</v>
      </c>
      <c r="I4622" s="118">
        <f t="shared" si="270"/>
        <v>0.27383226254558085</v>
      </c>
      <c r="K4622" s="22">
        <v>1639</v>
      </c>
      <c r="L4622" s="6">
        <v>1653</v>
      </c>
      <c r="M4622" s="125">
        <f t="shared" si="266"/>
        <v>14</v>
      </c>
      <c r="P4622" s="247">
        <v>13160</v>
      </c>
      <c r="Q4622" s="25">
        <f>179.23/1142</f>
        <v>0.15694395796847635</v>
      </c>
      <c r="U4622" s="384">
        <v>0.1</v>
      </c>
      <c r="W4622" s="285">
        <f t="shared" si="269"/>
        <v>2271.9207355516637</v>
      </c>
    </row>
    <row r="4623" spans="1:23" ht="15" customHeight="1">
      <c r="A4623" s="3">
        <v>42317</v>
      </c>
      <c r="B4623" s="9">
        <v>21175</v>
      </c>
      <c r="C4623" s="5">
        <v>300</v>
      </c>
      <c r="D4623" s="5">
        <v>96325</v>
      </c>
      <c r="E4623" s="5">
        <v>141725</v>
      </c>
      <c r="F4623" s="4">
        <v>0</v>
      </c>
      <c r="G4623" s="5">
        <v>2250</v>
      </c>
      <c r="H4623" s="5">
        <v>37175</v>
      </c>
      <c r="I4623" s="118">
        <f t="shared" si="270"/>
        <v>0.26230375727641558</v>
      </c>
      <c r="K4623" s="22">
        <v>1652</v>
      </c>
      <c r="L4623" s="6">
        <v>1663</v>
      </c>
      <c r="M4623" s="125">
        <f t="shared" si="266"/>
        <v>11</v>
      </c>
      <c r="P4623" s="247">
        <v>13160</v>
      </c>
      <c r="Q4623" s="25">
        <f>181.39/1159</f>
        <v>0.15650560828300258</v>
      </c>
      <c r="U4623" s="384">
        <v>0.1</v>
      </c>
      <c r="W4623" s="285">
        <f t="shared" si="269"/>
        <v>2265.5751855047456</v>
      </c>
    </row>
    <row r="4624" spans="1:23" ht="15" customHeight="1">
      <c r="A4624" s="3">
        <v>42318</v>
      </c>
      <c r="B4624" s="9">
        <v>21025</v>
      </c>
      <c r="C4624" s="5">
        <v>300</v>
      </c>
      <c r="D4624" s="5">
        <v>95550</v>
      </c>
      <c r="E4624" s="5">
        <v>139300</v>
      </c>
      <c r="F4624" s="4">
        <v>0</v>
      </c>
      <c r="G4624" s="5">
        <v>2425</v>
      </c>
      <c r="H4624" s="5">
        <v>34750</v>
      </c>
      <c r="I4624" s="118">
        <f t="shared" si="270"/>
        <v>0.24946159368269921</v>
      </c>
      <c r="K4624" s="22">
        <v>1630.5</v>
      </c>
      <c r="L4624" s="6">
        <v>1645.5</v>
      </c>
      <c r="M4624" s="125">
        <f t="shared" si="266"/>
        <v>15</v>
      </c>
      <c r="P4624" s="247">
        <v>13110</v>
      </c>
      <c r="Q4624" s="25">
        <f>181.3/1158.5</f>
        <v>0.15649546827794564</v>
      </c>
      <c r="U4624" s="384">
        <v>0.1</v>
      </c>
      <c r="W4624" s="285">
        <f t="shared" si="269"/>
        <v>2256.8211480362543</v>
      </c>
    </row>
    <row r="4625" spans="1:23" ht="15" customHeight="1">
      <c r="A4625" s="3">
        <v>42319</v>
      </c>
      <c r="B4625" s="9">
        <v>21025</v>
      </c>
      <c r="C4625" s="5">
        <v>300</v>
      </c>
      <c r="D4625" s="5">
        <v>94800</v>
      </c>
      <c r="E4625" s="5">
        <v>137050</v>
      </c>
      <c r="F4625" s="4">
        <v>0</v>
      </c>
      <c r="G4625" s="5">
        <v>2250</v>
      </c>
      <c r="H4625" s="5">
        <v>32500</v>
      </c>
      <c r="I4625" s="118">
        <f t="shared" si="270"/>
        <v>0.23713973002553812</v>
      </c>
      <c r="K4625" s="22">
        <v>1596</v>
      </c>
      <c r="L4625" s="6">
        <v>1605</v>
      </c>
      <c r="M4625" s="125">
        <f t="shared" si="266"/>
        <v>9</v>
      </c>
      <c r="P4625" s="247">
        <v>13010</v>
      </c>
      <c r="Q4625" s="25">
        <f>180.69/1154.8</f>
        <v>0.15646865258053344</v>
      </c>
      <c r="U4625" s="384">
        <v>0.1</v>
      </c>
      <c r="W4625" s="285">
        <f t="shared" si="269"/>
        <v>2239.2228870800141</v>
      </c>
    </row>
    <row r="4626" spans="1:23" ht="15" customHeight="1">
      <c r="A4626" s="3">
        <v>42320</v>
      </c>
      <c r="B4626" s="9">
        <v>21025</v>
      </c>
      <c r="C4626" s="5">
        <v>300</v>
      </c>
      <c r="D4626" s="5">
        <v>94250</v>
      </c>
      <c r="E4626" s="5">
        <v>135825</v>
      </c>
      <c r="F4626" s="4">
        <v>0</v>
      </c>
      <c r="G4626" s="5">
        <v>1225</v>
      </c>
      <c r="H4626" s="5">
        <v>31275</v>
      </c>
      <c r="I4626" s="118">
        <f t="shared" si="270"/>
        <v>0.23025952512424075</v>
      </c>
      <c r="K4626" s="22">
        <v>1592.5</v>
      </c>
      <c r="L4626" s="6">
        <v>1608</v>
      </c>
      <c r="M4626" s="125">
        <f t="shared" si="266"/>
        <v>15.5</v>
      </c>
      <c r="P4626" s="247">
        <v>13010</v>
      </c>
      <c r="Q4626" s="25">
        <f>181.27/1159.5</f>
        <v>0.15633462699439415</v>
      </c>
      <c r="U4626" s="384">
        <v>0.1</v>
      </c>
      <c r="W4626" s="285">
        <f t="shared" si="269"/>
        <v>2237.3048469167747</v>
      </c>
    </row>
    <row r="4627" spans="1:23" ht="15" customHeight="1">
      <c r="A4627" s="3">
        <v>42321</v>
      </c>
      <c r="B4627" s="9">
        <v>21025</v>
      </c>
      <c r="C4627" s="5">
        <v>300</v>
      </c>
      <c r="D4627" s="5">
        <v>93550</v>
      </c>
      <c r="E4627" s="5">
        <v>135125</v>
      </c>
      <c r="F4627" s="4">
        <v>0</v>
      </c>
      <c r="G4627" s="5">
        <v>700</v>
      </c>
      <c r="H4627" s="5">
        <v>30675</v>
      </c>
      <c r="I4627" s="118">
        <f t="shared" si="270"/>
        <v>0.22701202590194264</v>
      </c>
      <c r="K4627" s="22">
        <v>1593.5</v>
      </c>
      <c r="L4627" s="6">
        <v>1606</v>
      </c>
      <c r="M4627" s="125">
        <f t="shared" si="266"/>
        <v>12.5</v>
      </c>
      <c r="P4627" s="247">
        <v>13040</v>
      </c>
      <c r="Q4627" s="25">
        <f>181.84/1166</f>
        <v>0.15595197255574614</v>
      </c>
      <c r="U4627" s="384">
        <v>0.1</v>
      </c>
      <c r="W4627" s="285">
        <f t="shared" si="269"/>
        <v>2236.9750943396225</v>
      </c>
    </row>
    <row r="4628" spans="1:23" ht="15" customHeight="1">
      <c r="A4628" s="3">
        <v>42324</v>
      </c>
      <c r="B4628" s="9">
        <v>21025</v>
      </c>
      <c r="C4628" s="5">
        <v>300</v>
      </c>
      <c r="D4628" s="5">
        <v>93000</v>
      </c>
      <c r="E4628" s="5">
        <v>134575</v>
      </c>
      <c r="F4628" s="4">
        <v>0</v>
      </c>
      <c r="G4628" s="5">
        <v>550</v>
      </c>
      <c r="H4628" s="5">
        <v>30350</v>
      </c>
      <c r="I4628" s="118">
        <f t="shared" si="270"/>
        <v>0.22552480029723201</v>
      </c>
      <c r="K4628" s="22">
        <v>1597</v>
      </c>
      <c r="L4628" s="6">
        <v>1604</v>
      </c>
      <c r="M4628" s="125">
        <f t="shared" si="266"/>
        <v>7</v>
      </c>
      <c r="P4628" s="247">
        <v>13040</v>
      </c>
      <c r="Q4628" s="25">
        <f>182.79/1169.5</f>
        <v>0.15629756306113723</v>
      </c>
      <c r="U4628" s="384">
        <v>0.1</v>
      </c>
      <c r="W4628" s="285">
        <f t="shared" si="269"/>
        <v>2241.9322445489524</v>
      </c>
    </row>
    <row r="4629" spans="1:23" ht="15" customHeight="1">
      <c r="A4629" s="3">
        <v>42325</v>
      </c>
      <c r="B4629" s="9">
        <v>21025</v>
      </c>
      <c r="C4629" s="5">
        <v>300</v>
      </c>
      <c r="D4629" s="5">
        <v>92650</v>
      </c>
      <c r="E4629" s="5">
        <v>134225</v>
      </c>
      <c r="F4629" s="4">
        <v>0</v>
      </c>
      <c r="G4629" s="5">
        <v>350</v>
      </c>
      <c r="H4629" s="5">
        <v>30000</v>
      </c>
      <c r="I4629" s="118">
        <f t="shared" si="270"/>
        <v>0.22350530825107096</v>
      </c>
      <c r="K4629" s="22">
        <v>1589</v>
      </c>
      <c r="L4629" s="6">
        <v>1600</v>
      </c>
      <c r="M4629" s="125">
        <f t="shared" si="266"/>
        <v>11</v>
      </c>
      <c r="P4629" s="247">
        <v>12810</v>
      </c>
      <c r="Q4629" s="25">
        <f>182.31/1169.2</f>
        <v>0.15592712966130687</v>
      </c>
      <c r="U4629" s="384">
        <v>0.1</v>
      </c>
      <c r="W4629" s="285">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18">
        <f t="shared" si="270"/>
        <v>0.22234657713113226</v>
      </c>
      <c r="K4630" s="22">
        <v>1573.5</v>
      </c>
      <c r="L4630" s="6">
        <v>1585</v>
      </c>
      <c r="M4630" s="125">
        <f t="shared" si="266"/>
        <v>11.5</v>
      </c>
      <c r="P4630" s="247">
        <v>12760</v>
      </c>
      <c r="Q4630" s="25">
        <f>182.84/1173.4</f>
        <v>0.15582069200613602</v>
      </c>
      <c r="U4630" s="384">
        <v>0.1</v>
      </c>
      <c r="W4630" s="285">
        <f t="shared" si="271"/>
        <v>2187.0992329981254</v>
      </c>
    </row>
    <row r="4631" spans="1:23" ht="15" customHeight="1">
      <c r="A4631" s="3">
        <v>42327</v>
      </c>
      <c r="B4631" s="9">
        <v>21025</v>
      </c>
      <c r="C4631" s="5">
        <v>300</v>
      </c>
      <c r="D4631" s="5">
        <v>92325</v>
      </c>
      <c r="E4631" s="5">
        <v>133900</v>
      </c>
      <c r="F4631" s="4">
        <v>525</v>
      </c>
      <c r="G4631" s="5">
        <v>650</v>
      </c>
      <c r="H4631" s="5">
        <v>29300</v>
      </c>
      <c r="I4631" s="118">
        <f t="shared" si="270"/>
        <v>0.21882001493651979</v>
      </c>
      <c r="K4631" s="22">
        <v>1561.5</v>
      </c>
      <c r="L4631" s="6">
        <v>1575</v>
      </c>
      <c r="M4631" s="125">
        <f t="shared" si="266"/>
        <v>13.5</v>
      </c>
      <c r="P4631" s="247">
        <v>12710</v>
      </c>
      <c r="Q4631" s="25">
        <f>181.53/1164</f>
        <v>0.15595360824742269</v>
      </c>
      <c r="U4631" s="384">
        <v>0.1</v>
      </c>
      <c r="W4631" s="285">
        <f t="shared" si="271"/>
        <v>2180.387396907217</v>
      </c>
    </row>
    <row r="4632" spans="1:23" ht="15" customHeight="1">
      <c r="A4632" s="3">
        <v>42328</v>
      </c>
      <c r="B4632" s="9">
        <v>20975</v>
      </c>
      <c r="C4632" s="5">
        <v>300</v>
      </c>
      <c r="D4632" s="5">
        <v>91475</v>
      </c>
      <c r="E4632" s="5">
        <v>133000</v>
      </c>
      <c r="F4632" s="4">
        <v>0</v>
      </c>
      <c r="G4632" s="5">
        <v>900</v>
      </c>
      <c r="H4632" s="5">
        <v>28400</v>
      </c>
      <c r="I4632" s="118">
        <f t="shared" si="270"/>
        <v>0.21353383458646616</v>
      </c>
      <c r="K4632" s="22">
        <v>1617</v>
      </c>
      <c r="L4632" s="6">
        <v>1625</v>
      </c>
      <c r="M4632" s="125">
        <f t="shared" si="266"/>
        <v>8</v>
      </c>
      <c r="P4632" s="247">
        <v>12710</v>
      </c>
      <c r="Q4632" s="25">
        <f>180.08/1156</f>
        <v>0.15577854671280278</v>
      </c>
      <c r="U4632" s="384">
        <v>0.1</v>
      </c>
      <c r="W4632" s="285">
        <f t="shared" si="271"/>
        <v>2177.9398615916957</v>
      </c>
    </row>
    <row r="4633" spans="1:23" ht="15" customHeight="1">
      <c r="A4633" s="3">
        <v>42331</v>
      </c>
      <c r="B4633" s="9">
        <v>20825</v>
      </c>
      <c r="C4633" s="5">
        <v>300</v>
      </c>
      <c r="D4633" s="5">
        <v>90050</v>
      </c>
      <c r="E4633" s="5">
        <v>131425</v>
      </c>
      <c r="F4633" s="4">
        <v>0</v>
      </c>
      <c r="G4633" s="5">
        <v>1575</v>
      </c>
      <c r="H4633" s="5">
        <v>26975</v>
      </c>
      <c r="I4633" s="118">
        <f t="shared" si="270"/>
        <v>0.20525014266692029</v>
      </c>
      <c r="K4633" s="22">
        <v>1555</v>
      </c>
      <c r="L4633" s="6">
        <v>1562</v>
      </c>
      <c r="M4633" s="125">
        <f t="shared" si="266"/>
        <v>7</v>
      </c>
      <c r="P4633" s="247">
        <v>12660</v>
      </c>
      <c r="Q4633" s="25">
        <f>180.32/1159.5</f>
        <v>0.15551530832255281</v>
      </c>
      <c r="U4633" s="384">
        <v>0.1</v>
      </c>
      <c r="W4633" s="285">
        <f t="shared" si="271"/>
        <v>2165.7061836998705</v>
      </c>
    </row>
    <row r="4634" spans="1:23" ht="15" customHeight="1">
      <c r="A4634" s="3">
        <v>42332</v>
      </c>
      <c r="B4634" s="9">
        <v>20825</v>
      </c>
      <c r="C4634" s="5">
        <v>300</v>
      </c>
      <c r="D4634" s="5">
        <v>89000</v>
      </c>
      <c r="E4634" s="5">
        <v>130375</v>
      </c>
      <c r="F4634" s="4">
        <v>0</v>
      </c>
      <c r="G4634" s="5">
        <v>1050</v>
      </c>
      <c r="H4634" s="5">
        <v>25850</v>
      </c>
      <c r="I4634" s="118">
        <f t="shared" si="270"/>
        <v>0.19827420901246404</v>
      </c>
      <c r="K4634" s="22">
        <v>1593</v>
      </c>
      <c r="L4634" s="6">
        <v>1595</v>
      </c>
      <c r="M4634" s="125">
        <f t="shared" si="266"/>
        <v>2</v>
      </c>
      <c r="P4634" s="247">
        <v>12760</v>
      </c>
      <c r="Q4634" s="25">
        <f>179.54/1153.8</f>
        <v>0.15560755763563877</v>
      </c>
      <c r="U4634" s="384">
        <v>0.1</v>
      </c>
      <c r="W4634" s="285">
        <f t="shared" si="271"/>
        <v>2184.1076789738258</v>
      </c>
    </row>
    <row r="4635" spans="1:23" ht="15" customHeight="1">
      <c r="A4635" s="3">
        <v>42333</v>
      </c>
      <c r="B4635" s="9">
        <v>20825</v>
      </c>
      <c r="C4635" s="5">
        <v>300</v>
      </c>
      <c r="D4635" s="5">
        <v>88375</v>
      </c>
      <c r="E4635" s="5">
        <v>129750</v>
      </c>
      <c r="F4635" s="4">
        <v>0</v>
      </c>
      <c r="G4635" s="5">
        <v>625</v>
      </c>
      <c r="H4635" s="5">
        <v>25275</v>
      </c>
      <c r="I4635" s="118">
        <f t="shared" si="270"/>
        <v>0.19479768786127169</v>
      </c>
      <c r="K4635" s="22">
        <v>1593</v>
      </c>
      <c r="L4635" s="6">
        <v>1595.5</v>
      </c>
      <c r="M4635" s="125">
        <f t="shared" si="266"/>
        <v>2.5</v>
      </c>
      <c r="P4635" s="247">
        <v>12840</v>
      </c>
      <c r="Q4635" s="25">
        <f>178.18/1144</f>
        <v>0.15575174825174826</v>
      </c>
      <c r="U4635" s="384">
        <v>0.1</v>
      </c>
      <c r="W4635" s="285">
        <f t="shared" si="271"/>
        <v>2199.8376923076926</v>
      </c>
    </row>
    <row r="4636" spans="1:23" ht="15" customHeight="1">
      <c r="A4636" s="3">
        <v>42334</v>
      </c>
      <c r="B4636" s="9">
        <v>20825</v>
      </c>
      <c r="C4636" s="5">
        <v>300</v>
      </c>
      <c r="D4636" s="5">
        <v>87800</v>
      </c>
      <c r="E4636" s="5">
        <v>129175</v>
      </c>
      <c r="F4636" s="4">
        <v>0</v>
      </c>
      <c r="G4636" s="5">
        <v>575</v>
      </c>
      <c r="H4636" s="5">
        <v>25100</v>
      </c>
      <c r="I4636" s="118">
        <f t="shared" si="270"/>
        <v>0.1943100445132572</v>
      </c>
      <c r="K4636" s="22">
        <v>1640</v>
      </c>
      <c r="L4636" s="6">
        <v>1645</v>
      </c>
      <c r="M4636" s="125">
        <f t="shared" si="266"/>
        <v>5</v>
      </c>
      <c r="P4636" s="247">
        <v>12960</v>
      </c>
      <c r="Q4636" s="25">
        <f>178.78/1149.5</f>
        <v>0.15552849064810786</v>
      </c>
      <c r="U4636" s="384">
        <v>0.1</v>
      </c>
      <c r="W4636" s="285">
        <f t="shared" si="271"/>
        <v>2217.214162679426</v>
      </c>
    </row>
    <row r="4637" spans="1:23" ht="15" customHeight="1">
      <c r="A4637" s="3">
        <v>42335</v>
      </c>
      <c r="B4637" s="9">
        <v>20675</v>
      </c>
      <c r="C4637" s="5">
        <v>300</v>
      </c>
      <c r="D4637" s="5">
        <v>87550</v>
      </c>
      <c r="E4637" s="5">
        <v>128775</v>
      </c>
      <c r="F4637" s="4">
        <v>0</v>
      </c>
      <c r="G4637" s="5">
        <v>400</v>
      </c>
      <c r="H4637" s="5">
        <v>27250</v>
      </c>
      <c r="I4637" s="118">
        <f t="shared" si="270"/>
        <v>0.21160939623374103</v>
      </c>
      <c r="K4637" s="22">
        <v>1613.5</v>
      </c>
      <c r="L4637" s="6">
        <v>1618</v>
      </c>
      <c r="M4637" s="125">
        <f t="shared" si="266"/>
        <v>4.5</v>
      </c>
      <c r="P4637" s="247">
        <v>12890</v>
      </c>
      <c r="Q4637" s="25">
        <f>179.2/1156</f>
        <v>0.15501730103806227</v>
      </c>
      <c r="U4637" s="384">
        <v>0.1</v>
      </c>
      <c r="W4637" s="285">
        <f t="shared" si="271"/>
        <v>2197.990311418685</v>
      </c>
    </row>
    <row r="4638" spans="1:23" ht="15" customHeight="1">
      <c r="A4638" s="3">
        <v>42338</v>
      </c>
      <c r="B4638" s="9">
        <v>20575</v>
      </c>
      <c r="C4638" s="5">
        <v>300</v>
      </c>
      <c r="D4638" s="5">
        <v>87200</v>
      </c>
      <c r="E4638" s="5">
        <v>128325</v>
      </c>
      <c r="F4638" s="4">
        <v>0</v>
      </c>
      <c r="G4638" s="5">
        <v>450</v>
      </c>
      <c r="H4638" s="5">
        <v>29225</v>
      </c>
      <c r="I4638" s="118">
        <f t="shared" si="270"/>
        <v>0.22774206117280343</v>
      </c>
      <c r="K4638" s="22">
        <v>1630</v>
      </c>
      <c r="L4638" s="6">
        <v>1622</v>
      </c>
      <c r="M4638" s="125">
        <f t="shared" si="266"/>
        <v>-8</v>
      </c>
      <c r="N4638" s="235">
        <f>AVERAGE(K4618:K4638)</f>
        <v>1615.9761904761904</v>
      </c>
      <c r="O4638" s="230">
        <f>AVERAGE(K4392:K4638)</f>
        <v>1791.0215517241379</v>
      </c>
      <c r="P4638" s="247">
        <v>12890</v>
      </c>
      <c r="Q4638" s="25">
        <f>180.28/1159.8</f>
        <v>0.15544059320572512</v>
      </c>
      <c r="U4638" s="384">
        <v>0.1</v>
      </c>
      <c r="W4638" s="285">
        <f t="shared" si="271"/>
        <v>2203.9921710639765</v>
      </c>
    </row>
    <row r="4639" spans="1:23" ht="15" customHeight="1" thickBot="1">
      <c r="A4639" s="216"/>
      <c r="B4639" s="1330"/>
      <c r="C4639" s="1330"/>
      <c r="D4639" s="1330"/>
      <c r="E4639" s="216"/>
      <c r="F4639" s="407"/>
      <c r="G4639" s="164"/>
      <c r="H4639" s="164"/>
      <c r="I4639" s="166"/>
      <c r="J4639" s="166"/>
      <c r="K4639" s="166"/>
      <c r="L4639" s="167"/>
      <c r="M4639" s="168"/>
      <c r="N4639" s="169" t="s">
        <v>52</v>
      </c>
      <c r="O4639" s="183"/>
      <c r="P4639" s="180"/>
      <c r="Q4639" s="154"/>
      <c r="R4639" s="248"/>
      <c r="S4639" s="249"/>
      <c r="T4639" s="249"/>
      <c r="U4639" s="152"/>
      <c r="V4639" s="153">
        <f>AVERAGE(P4618:P4638)</f>
        <v>12975.238095238095</v>
      </c>
      <c r="W4639" s="295"/>
    </row>
    <row r="4640" spans="1:23" ht="15" customHeight="1">
      <c r="A4640" s="3">
        <v>42339</v>
      </c>
      <c r="B4640" s="9">
        <v>20550</v>
      </c>
      <c r="C4640" s="5">
        <v>300</v>
      </c>
      <c r="D4640" s="5">
        <v>87150</v>
      </c>
      <c r="E4640" s="5">
        <v>128250</v>
      </c>
      <c r="F4640" s="4">
        <v>0</v>
      </c>
      <c r="G4640" s="5">
        <v>75</v>
      </c>
      <c r="H4640" s="5">
        <v>29150</v>
      </c>
      <c r="I4640" s="118">
        <f t="shared" ref="I4640:I4657" si="272">H4640/E4640</f>
        <v>0.22729044834307993</v>
      </c>
      <c r="K4640" s="22">
        <v>1630.5</v>
      </c>
      <c r="L4640" s="6">
        <v>1634</v>
      </c>
      <c r="M4640" s="125">
        <f t="shared" ref="M4640:M4723" si="273">L4640-K4640</f>
        <v>3.5</v>
      </c>
      <c r="P4640" s="247">
        <v>12990</v>
      </c>
      <c r="Q4640" s="25">
        <f>179.67/1158</f>
        <v>0.15515544041450777</v>
      </c>
      <c r="U4640" s="384">
        <v>0.1</v>
      </c>
      <c r="W4640" s="285">
        <f t="shared" si="271"/>
        <v>2217.0160880829017</v>
      </c>
    </row>
    <row r="4641" spans="1:23" ht="15" customHeight="1">
      <c r="A4641" s="3">
        <v>42340</v>
      </c>
      <c r="B4641" s="9">
        <v>20550</v>
      </c>
      <c r="C4641" s="5">
        <v>300</v>
      </c>
      <c r="D4641" s="5">
        <v>87125</v>
      </c>
      <c r="E4641" s="5">
        <v>128225</v>
      </c>
      <c r="F4641" s="4">
        <v>0</v>
      </c>
      <c r="G4641" s="5">
        <v>25</v>
      </c>
      <c r="H4641" s="5">
        <v>29225</v>
      </c>
      <c r="I4641" s="118">
        <f t="shared" si="272"/>
        <v>0.22791967245077013</v>
      </c>
      <c r="K4641" s="22">
        <v>1639</v>
      </c>
      <c r="L4641" s="6">
        <v>1645</v>
      </c>
      <c r="M4641" s="125">
        <f t="shared" si="273"/>
        <v>6</v>
      </c>
      <c r="P4641" s="247">
        <v>13010</v>
      </c>
      <c r="Q4641" s="25">
        <f>180.37/1162.5</f>
        <v>0.15515698924731183</v>
      </c>
      <c r="U4641" s="384">
        <v>0.1</v>
      </c>
      <c r="W4641" s="285">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18">
        <f t="shared" si="272"/>
        <v>0.22731707317073171</v>
      </c>
      <c r="K4642" s="22">
        <v>1641</v>
      </c>
      <c r="L4642" s="6">
        <v>1643</v>
      </c>
      <c r="M4642" s="125">
        <f t="shared" si="273"/>
        <v>2</v>
      </c>
      <c r="P4642" s="247">
        <v>12990</v>
      </c>
      <c r="Q4642" s="25">
        <f>180.7/1164.5</f>
        <v>0.15517389437526835</v>
      </c>
      <c r="U4642" s="384">
        <v>0.1</v>
      </c>
      <c r="W4642" s="285">
        <f t="shared" si="274"/>
        <v>2217.2797767282095</v>
      </c>
    </row>
    <row r="4643" spans="1:23" ht="15" customHeight="1">
      <c r="A4643" s="3">
        <v>42342</v>
      </c>
      <c r="B4643" s="9">
        <v>20550</v>
      </c>
      <c r="C4643" s="5">
        <v>300</v>
      </c>
      <c r="D4643" s="5">
        <v>86850</v>
      </c>
      <c r="E4643" s="5">
        <v>127950</v>
      </c>
      <c r="F4643" s="4">
        <v>0</v>
      </c>
      <c r="G4643" s="5">
        <v>175</v>
      </c>
      <c r="H4643" s="5">
        <v>29050</v>
      </c>
      <c r="I4643" s="118">
        <f t="shared" si="272"/>
        <v>0.22704181320828448</v>
      </c>
      <c r="K4643" s="22">
        <v>1669</v>
      </c>
      <c r="L4643" s="6">
        <v>1665</v>
      </c>
      <c r="M4643" s="125">
        <f t="shared" si="273"/>
        <v>-4</v>
      </c>
      <c r="P4643" s="247">
        <v>13010</v>
      </c>
      <c r="Q4643" s="25">
        <f>180.59/1164</f>
        <v>0.15514604810996563</v>
      </c>
      <c r="U4643" s="384">
        <v>0.1</v>
      </c>
      <c r="W4643" s="285">
        <f t="shared" si="274"/>
        <v>2220.2950945017183</v>
      </c>
    </row>
    <row r="4644" spans="1:23" ht="15" customHeight="1">
      <c r="A4644" s="3">
        <v>42345</v>
      </c>
      <c r="B4644" s="9">
        <v>20525</v>
      </c>
      <c r="C4644" s="5">
        <v>300</v>
      </c>
      <c r="D4644" s="5">
        <v>86500</v>
      </c>
      <c r="E4644" s="5">
        <v>127575</v>
      </c>
      <c r="F4644" s="4">
        <v>0</v>
      </c>
      <c r="G4644" s="5">
        <v>375</v>
      </c>
      <c r="H4644" s="5">
        <v>28675</v>
      </c>
      <c r="I4644" s="118">
        <f t="shared" si="272"/>
        <v>0.2247697432882618</v>
      </c>
      <c r="K4644" s="22">
        <v>1686</v>
      </c>
      <c r="L4644" s="6">
        <v>1692</v>
      </c>
      <c r="M4644" s="125">
        <f t="shared" si="273"/>
        <v>6</v>
      </c>
      <c r="P4644" s="247">
        <v>13110</v>
      </c>
      <c r="Q4644" s="25">
        <f>181.76/1176.5</f>
        <v>0.15449213769655759</v>
      </c>
      <c r="U4644" s="384">
        <v>0.1</v>
      </c>
      <c r="W4644" s="285">
        <f t="shared" si="274"/>
        <v>2227.931117722057</v>
      </c>
    </row>
    <row r="4645" spans="1:23" ht="15" customHeight="1">
      <c r="A4645" s="3">
        <v>42346</v>
      </c>
      <c r="B4645" s="9">
        <v>20500</v>
      </c>
      <c r="C4645" s="5">
        <v>300</v>
      </c>
      <c r="D4645" s="5">
        <v>86450</v>
      </c>
      <c r="E4645" s="5">
        <v>127500</v>
      </c>
      <c r="F4645" s="4">
        <v>0</v>
      </c>
      <c r="G4645" s="5">
        <v>75</v>
      </c>
      <c r="H4645" s="5">
        <v>28850</v>
      </c>
      <c r="I4645" s="118">
        <f t="shared" si="272"/>
        <v>0.22627450980392158</v>
      </c>
      <c r="K4645" s="22">
        <v>1670</v>
      </c>
      <c r="L4645" s="6">
        <v>1675</v>
      </c>
      <c r="M4645" s="125">
        <f t="shared" si="273"/>
        <v>5</v>
      </c>
      <c r="P4645" s="247">
        <v>13110</v>
      </c>
      <c r="Q4645" s="25">
        <f>181.55/1177.5</f>
        <v>0.15418259023354566</v>
      </c>
      <c r="U4645" s="384">
        <v>0.1</v>
      </c>
      <c r="W4645" s="285">
        <f t="shared" si="274"/>
        <v>2223.4671337579621</v>
      </c>
    </row>
    <row r="4646" spans="1:23" ht="15" customHeight="1">
      <c r="A4646" s="3">
        <v>42347</v>
      </c>
      <c r="B4646" s="9">
        <v>20500</v>
      </c>
      <c r="C4646" s="5">
        <v>300</v>
      </c>
      <c r="D4646" s="5">
        <v>86400</v>
      </c>
      <c r="E4646" s="5">
        <v>131850</v>
      </c>
      <c r="F4646" s="4">
        <v>4400</v>
      </c>
      <c r="G4646" s="5">
        <v>50</v>
      </c>
      <c r="H4646" s="5">
        <v>28850</v>
      </c>
      <c r="I4646" s="118">
        <f t="shared" si="272"/>
        <v>0.21880925293894576</v>
      </c>
      <c r="K4646" s="22">
        <v>1709</v>
      </c>
      <c r="L4646" s="6">
        <v>1715</v>
      </c>
      <c r="M4646" s="125">
        <f t="shared" si="273"/>
        <v>6</v>
      </c>
      <c r="P4646" s="247">
        <v>13110</v>
      </c>
      <c r="Q4646" s="25">
        <f>181.92/1182</f>
        <v>0.15390862944162437</v>
      </c>
      <c r="U4646" s="384">
        <v>0.1</v>
      </c>
      <c r="W4646" s="285">
        <f t="shared" si="274"/>
        <v>2219.5163451776652</v>
      </c>
    </row>
    <row r="4647" spans="1:23" ht="15" customHeight="1">
      <c r="A4647" s="3">
        <v>42348</v>
      </c>
      <c r="B4647" s="9">
        <v>20500</v>
      </c>
      <c r="C4647" s="5">
        <v>300</v>
      </c>
      <c r="D4647" s="5">
        <v>86300</v>
      </c>
      <c r="E4647" s="5">
        <v>131750</v>
      </c>
      <c r="F4647" s="4">
        <v>0</v>
      </c>
      <c r="G4647" s="5">
        <v>100</v>
      </c>
      <c r="H4647" s="5">
        <v>28825</v>
      </c>
      <c r="I4647" s="118">
        <f t="shared" si="272"/>
        <v>0.21878557874762808</v>
      </c>
      <c r="K4647" s="22">
        <v>1684</v>
      </c>
      <c r="L4647" s="6">
        <v>1690</v>
      </c>
      <c r="M4647" s="125">
        <f t="shared" si="273"/>
        <v>6</v>
      </c>
      <c r="P4647" s="247">
        <v>13160</v>
      </c>
      <c r="Q4647" s="25">
        <f>181.14/1177.5</f>
        <v>0.15383439490445858</v>
      </c>
      <c r="U4647" s="384">
        <v>0.1</v>
      </c>
      <c r="W4647" s="285">
        <f t="shared" si="274"/>
        <v>2226.9067006369428</v>
      </c>
    </row>
    <row r="4648" spans="1:23" ht="15" customHeight="1">
      <c r="A4648" s="3">
        <v>42349</v>
      </c>
      <c r="B4648" s="9">
        <v>20500</v>
      </c>
      <c r="C4648" s="5">
        <v>300</v>
      </c>
      <c r="D4648" s="5">
        <v>86050</v>
      </c>
      <c r="E4648" s="5">
        <v>131500</v>
      </c>
      <c r="F4648" s="4">
        <v>0</v>
      </c>
      <c r="G4648" s="5">
        <v>250</v>
      </c>
      <c r="H4648" s="5">
        <v>28575</v>
      </c>
      <c r="I4648" s="118">
        <f t="shared" si="272"/>
        <v>0.21730038022813689</v>
      </c>
      <c r="K4648" s="22">
        <v>1717.5</v>
      </c>
      <c r="L4648" s="6">
        <v>1717</v>
      </c>
      <c r="M4648" s="125">
        <f t="shared" si="273"/>
        <v>-0.5</v>
      </c>
      <c r="P4648" s="247">
        <v>13160</v>
      </c>
      <c r="Q4648" s="25">
        <f>181.14/1186.7</f>
        <v>0.15264177972528858</v>
      </c>
      <c r="U4648" s="384">
        <v>0.1</v>
      </c>
      <c r="W4648" s="285">
        <f t="shared" si="274"/>
        <v>2209.6424033032777</v>
      </c>
    </row>
    <row r="4649" spans="1:23" ht="15" customHeight="1">
      <c r="A4649" s="3">
        <v>42352</v>
      </c>
      <c r="B4649" s="9">
        <v>20500</v>
      </c>
      <c r="C4649" s="5">
        <v>300</v>
      </c>
      <c r="D4649" s="5">
        <v>85725</v>
      </c>
      <c r="E4649" s="5">
        <v>131175</v>
      </c>
      <c r="F4649" s="4">
        <v>0</v>
      </c>
      <c r="G4649" s="5">
        <v>325</v>
      </c>
      <c r="H4649" s="5">
        <v>28400</v>
      </c>
      <c r="I4649" s="118">
        <f t="shared" si="272"/>
        <v>0.21650466933485801</v>
      </c>
      <c r="K4649" s="22">
        <v>1712.5</v>
      </c>
      <c r="L4649" s="6">
        <v>1714</v>
      </c>
      <c r="M4649" s="125">
        <f t="shared" si="273"/>
        <v>1.5</v>
      </c>
      <c r="P4649" s="247">
        <v>13210</v>
      </c>
      <c r="Q4649" s="25">
        <f>180.59/1183.5</f>
        <v>0.15258977608787494</v>
      </c>
      <c r="U4649" s="384">
        <v>0.1</v>
      </c>
      <c r="W4649" s="285">
        <f t="shared" si="274"/>
        <v>2217.282036332911</v>
      </c>
    </row>
    <row r="4650" spans="1:23" ht="15" customHeight="1">
      <c r="A4650" s="3">
        <v>42353</v>
      </c>
      <c r="B4650" s="9">
        <v>20500</v>
      </c>
      <c r="C4650" s="5">
        <v>300</v>
      </c>
      <c r="D4650" s="5">
        <v>85500</v>
      </c>
      <c r="E4650" s="5">
        <v>130950</v>
      </c>
      <c r="F4650" s="4">
        <v>0</v>
      </c>
      <c r="G4650" s="5">
        <v>225</v>
      </c>
      <c r="H4650" s="5">
        <v>28175</v>
      </c>
      <c r="I4650" s="118">
        <f t="shared" si="272"/>
        <v>0.21515845742649867</v>
      </c>
      <c r="K4650" s="22">
        <v>1714.5</v>
      </c>
      <c r="L4650" s="6">
        <v>1720</v>
      </c>
      <c r="M4650" s="125">
        <f t="shared" si="273"/>
        <v>5.5</v>
      </c>
      <c r="P4650" s="1331" t="s">
        <v>50</v>
      </c>
      <c r="Q4650" s="25">
        <f>179.73/1175</f>
        <v>0.15296170212765955</v>
      </c>
      <c r="U4650" s="384">
        <v>0.1</v>
      </c>
      <c r="W4650" s="314"/>
    </row>
    <row r="4651" spans="1:23" ht="15" customHeight="1">
      <c r="A4651" s="3">
        <v>42354</v>
      </c>
      <c r="B4651" s="9">
        <v>35500</v>
      </c>
      <c r="C4651" s="5">
        <v>300</v>
      </c>
      <c r="D4651" s="5">
        <v>85375</v>
      </c>
      <c r="E4651" s="5">
        <v>170975</v>
      </c>
      <c r="F4651" s="4">
        <v>41650</v>
      </c>
      <c r="G4651" s="5">
        <v>1625</v>
      </c>
      <c r="H4651" s="5">
        <v>26550</v>
      </c>
      <c r="I4651" s="118">
        <f t="shared" si="272"/>
        <v>0.15528586050592191</v>
      </c>
      <c r="K4651" s="22">
        <v>1676</v>
      </c>
      <c r="L4651" s="6">
        <v>1681</v>
      </c>
      <c r="M4651" s="125">
        <f t="shared" si="273"/>
        <v>5</v>
      </c>
      <c r="P4651" s="1331"/>
      <c r="Q4651" s="25">
        <f>180.15/1177</f>
        <v>0.15305862361937128</v>
      </c>
      <c r="U4651" s="384">
        <v>0.1</v>
      </c>
    </row>
    <row r="4652" spans="1:23" ht="15" customHeight="1">
      <c r="A4652" s="3">
        <v>42355</v>
      </c>
      <c r="B4652" s="9">
        <v>35500</v>
      </c>
      <c r="C4652" s="5">
        <v>300</v>
      </c>
      <c r="D4652" s="5">
        <v>85375</v>
      </c>
      <c r="E4652" s="5">
        <v>169475</v>
      </c>
      <c r="F4652" s="4">
        <v>0</v>
      </c>
      <c r="G4652" s="5">
        <v>1500</v>
      </c>
      <c r="H4652" s="5">
        <v>25050</v>
      </c>
      <c r="I4652" s="118">
        <f t="shared" si="272"/>
        <v>0.14780941141761322</v>
      </c>
      <c r="K4652" s="22">
        <v>1635</v>
      </c>
      <c r="L4652" s="6">
        <v>1641</v>
      </c>
      <c r="M4652" s="125">
        <f t="shared" si="273"/>
        <v>6</v>
      </c>
      <c r="P4652" s="1331"/>
      <c r="Q4652" s="25">
        <f>180.17/1180.5</f>
        <v>0.15262177043625583</v>
      </c>
      <c r="U4652" s="384">
        <v>0.1</v>
      </c>
    </row>
    <row r="4653" spans="1:23" ht="15" customHeight="1">
      <c r="A4653" s="3">
        <v>42356</v>
      </c>
      <c r="B4653" s="9">
        <v>46875</v>
      </c>
      <c r="C4653" s="5">
        <v>300</v>
      </c>
      <c r="D4653" s="5">
        <v>85325</v>
      </c>
      <c r="E4653" s="5">
        <v>179300</v>
      </c>
      <c r="F4653" s="4">
        <v>11375</v>
      </c>
      <c r="G4653" s="5">
        <v>1550</v>
      </c>
      <c r="H4653" s="5">
        <v>79175</v>
      </c>
      <c r="I4653" s="118">
        <f t="shared" si="272"/>
        <v>0.44157836029001674</v>
      </c>
      <c r="K4653" s="22">
        <v>1669</v>
      </c>
      <c r="L4653" s="6">
        <v>1667</v>
      </c>
      <c r="M4653" s="125">
        <f t="shared" si="273"/>
        <v>-2</v>
      </c>
      <c r="P4653" s="247">
        <v>13190</v>
      </c>
      <c r="Q4653" s="25">
        <f>180.17/1181</f>
        <v>0.15255715495342928</v>
      </c>
      <c r="U4653" s="384">
        <v>0.1</v>
      </c>
      <c r="W4653" s="285">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18">
        <f t="shared" si="272"/>
        <v>0.50110778052912808</v>
      </c>
      <c r="K4654" s="22">
        <v>1719</v>
      </c>
      <c r="L4654" s="6">
        <v>1710</v>
      </c>
      <c r="M4654" s="125">
        <f t="shared" si="273"/>
        <v>-9</v>
      </c>
      <c r="P4654" s="247">
        <v>13110</v>
      </c>
      <c r="Q4654" s="25">
        <f>179.82/1178.2</f>
        <v>0.15262264471227294</v>
      </c>
      <c r="U4654" s="384">
        <v>0.1</v>
      </c>
      <c r="W4654" s="285">
        <f t="shared" si="275"/>
        <v>2200.9711593956881</v>
      </c>
    </row>
    <row r="4655" spans="1:23" ht="15" customHeight="1">
      <c r="A4655" s="3">
        <v>42360</v>
      </c>
      <c r="B4655" s="9">
        <v>59875</v>
      </c>
      <c r="C4655" s="5">
        <v>300</v>
      </c>
      <c r="D4655" s="5">
        <v>85250</v>
      </c>
      <c r="E4655" s="5">
        <v>191950</v>
      </c>
      <c r="F4655" s="4">
        <v>200</v>
      </c>
      <c r="G4655" s="5">
        <v>75</v>
      </c>
      <c r="H4655" s="5">
        <v>96050</v>
      </c>
      <c r="I4655" s="118">
        <f t="shared" si="272"/>
        <v>0.50039072675175822</v>
      </c>
      <c r="K4655" s="22">
        <v>1720</v>
      </c>
      <c r="L4655" s="6">
        <v>1709</v>
      </c>
      <c r="M4655" s="125">
        <f t="shared" si="273"/>
        <v>-11</v>
      </c>
      <c r="P4655" s="247">
        <v>13190</v>
      </c>
      <c r="Q4655" s="25">
        <f>179.35/1171.5</f>
        <v>0.15309432351685873</v>
      </c>
      <c r="U4655" s="384">
        <v>0.1</v>
      </c>
      <c r="W4655" s="285">
        <f t="shared" si="275"/>
        <v>2221.2455399061037</v>
      </c>
    </row>
    <row r="4656" spans="1:23" ht="15" customHeight="1">
      <c r="A4656" s="3">
        <v>42361</v>
      </c>
      <c r="B4656" s="9">
        <v>59875</v>
      </c>
      <c r="C4656" s="5">
        <v>300</v>
      </c>
      <c r="D4656" s="5">
        <v>85100</v>
      </c>
      <c r="E4656" s="5">
        <v>191800</v>
      </c>
      <c r="F4656" s="4">
        <v>0</v>
      </c>
      <c r="G4656" s="5">
        <v>5850</v>
      </c>
      <c r="H4656" s="5">
        <v>104025</v>
      </c>
      <c r="I4656" s="118">
        <f t="shared" si="272"/>
        <v>0.54236183524504689</v>
      </c>
      <c r="K4656" s="22">
        <v>1735</v>
      </c>
      <c r="L4656" s="6">
        <v>1726</v>
      </c>
      <c r="M4656" s="125">
        <f t="shared" si="273"/>
        <v>-9</v>
      </c>
      <c r="P4656" s="247">
        <v>13140</v>
      </c>
      <c r="Q4656" s="25">
        <f>179.43/1173.4</f>
        <v>0.15291460712459518</v>
      </c>
      <c r="U4656" s="384">
        <v>0.1</v>
      </c>
      <c r="W4656" s="285">
        <f t="shared" si="275"/>
        <v>2210.2277313788991</v>
      </c>
    </row>
    <row r="4657" spans="1:24" ht="15" customHeight="1">
      <c r="A4657" s="3">
        <v>42362</v>
      </c>
      <c r="B4657" s="9">
        <v>59875</v>
      </c>
      <c r="C4657" s="5">
        <v>300</v>
      </c>
      <c r="D4657" s="5">
        <v>84975</v>
      </c>
      <c r="E4657" s="5">
        <v>191675</v>
      </c>
      <c r="F4657" s="4">
        <v>0</v>
      </c>
      <c r="G4657" s="5">
        <v>125</v>
      </c>
      <c r="H4657" s="5">
        <v>111050</v>
      </c>
      <c r="I4657" s="118">
        <f t="shared" si="272"/>
        <v>0.57936611451676012</v>
      </c>
      <c r="K4657" s="22">
        <v>1747</v>
      </c>
      <c r="L4657" s="6">
        <v>1732</v>
      </c>
      <c r="M4657" s="125">
        <f t="shared" si="273"/>
        <v>-15</v>
      </c>
      <c r="P4657" s="247">
        <v>13190</v>
      </c>
      <c r="Q4657" s="25">
        <f>179.02/1170.5</f>
        <v>0.15294318667236226</v>
      </c>
      <c r="U4657" s="384">
        <v>0.1</v>
      </c>
      <c r="W4657" s="285">
        <f t="shared" si="275"/>
        <v>2219.0526954293041</v>
      </c>
    </row>
    <row r="4658" spans="1:24" ht="15" customHeight="1">
      <c r="A4658" s="3">
        <v>42366</v>
      </c>
      <c r="B4658" s="9" t="e">
        <f>#REF!+#REF!</f>
        <v>#REF!</v>
      </c>
      <c r="F4658" s="1318" t="s">
        <v>51</v>
      </c>
      <c r="G4658" s="1318"/>
      <c r="H4658" s="1318"/>
      <c r="I4658" s="1318"/>
      <c r="J4658" s="5"/>
      <c r="P4658" s="247">
        <v>13160</v>
      </c>
      <c r="Q4658" s="25">
        <f>178.21/1169</f>
        <v>0.15244653550042772</v>
      </c>
      <c r="U4658" s="384">
        <v>0.1</v>
      </c>
      <c r="W4658" s="285">
        <f t="shared" si="275"/>
        <v>2206.8160479041921</v>
      </c>
    </row>
    <row r="4659" spans="1:24" ht="15" customHeight="1">
      <c r="A4659" s="3">
        <v>42367</v>
      </c>
      <c r="B4659" s="9">
        <v>59875</v>
      </c>
      <c r="C4659" s="5">
        <v>300</v>
      </c>
      <c r="D4659" s="5">
        <v>84975</v>
      </c>
      <c r="E4659" s="5">
        <v>191675</v>
      </c>
      <c r="F4659" s="4">
        <v>0</v>
      </c>
      <c r="G4659" s="5">
        <v>0</v>
      </c>
      <c r="H4659" s="5">
        <v>111075</v>
      </c>
      <c r="I4659" s="118">
        <f>H4659/E4659</f>
        <v>0.57949654362853786</v>
      </c>
      <c r="K4659" s="22">
        <v>1763</v>
      </c>
      <c r="L4659" s="6">
        <v>1754</v>
      </c>
      <c r="M4659" s="125">
        <f t="shared" si="273"/>
        <v>-9</v>
      </c>
      <c r="P4659" s="247">
        <v>13160</v>
      </c>
      <c r="Q4659" s="25">
        <f>178.02/1171</f>
        <v>0.15202391118701966</v>
      </c>
      <c r="U4659" s="384">
        <v>0.1</v>
      </c>
      <c r="W4659" s="285">
        <f t="shared" si="275"/>
        <v>2200.6981383432967</v>
      </c>
    </row>
    <row r="4660" spans="1:24" ht="15" customHeight="1">
      <c r="A4660" s="3">
        <v>42368</v>
      </c>
      <c r="B4660" s="9">
        <v>59875</v>
      </c>
      <c r="C4660" s="5">
        <v>300</v>
      </c>
      <c r="D4660" s="5">
        <v>84975</v>
      </c>
      <c r="E4660" s="5">
        <v>191675</v>
      </c>
      <c r="F4660" s="4">
        <v>0</v>
      </c>
      <c r="G4660" s="5">
        <v>0</v>
      </c>
      <c r="H4660" s="5">
        <v>111075</v>
      </c>
      <c r="I4660" s="118">
        <f>H4660/E4660</f>
        <v>0.57949654362853786</v>
      </c>
      <c r="K4660" s="22">
        <v>1788</v>
      </c>
      <c r="L4660" s="6">
        <v>1778</v>
      </c>
      <c r="M4660" s="125">
        <f t="shared" si="273"/>
        <v>-10</v>
      </c>
      <c r="P4660" s="247">
        <v>13210</v>
      </c>
      <c r="Q4660" s="25">
        <f>177.52/1167.7</f>
        <v>0.15202534897662071</v>
      </c>
      <c r="U4660" s="384">
        <v>0.1</v>
      </c>
      <c r="W4660" s="285">
        <f t="shared" si="275"/>
        <v>2209.0803459792755</v>
      </c>
    </row>
    <row r="4661" spans="1:24" ht="15" customHeight="1">
      <c r="A4661" s="3">
        <v>42369</v>
      </c>
      <c r="B4661" s="9">
        <v>59875</v>
      </c>
      <c r="C4661" s="5">
        <v>300</v>
      </c>
      <c r="D4661" s="5">
        <v>84950</v>
      </c>
      <c r="E4661" s="5">
        <v>191650</v>
      </c>
      <c r="F4661" s="4">
        <v>0</v>
      </c>
      <c r="G4661" s="5">
        <v>25</v>
      </c>
      <c r="H4661" s="5">
        <v>111050</v>
      </c>
      <c r="I4661" s="118">
        <f>H4661/E4661</f>
        <v>0.57944169058178974</v>
      </c>
      <c r="K4661" s="22">
        <v>1802</v>
      </c>
      <c r="L4661" s="6">
        <v>1797</v>
      </c>
      <c r="M4661" s="125">
        <f t="shared" si="273"/>
        <v>-5</v>
      </c>
      <c r="N4661" s="235">
        <f>AVERAGE(K4640:K4661)</f>
        <v>1701.2857142857142</v>
      </c>
      <c r="O4661" s="230">
        <f>AVERAGE(K4392:K4661)</f>
        <v>1783.5731225296443</v>
      </c>
      <c r="P4661" s="247">
        <v>13210</v>
      </c>
      <c r="Q4661" s="25">
        <f>179.11/1177.5</f>
        <v>0.15211040339702761</v>
      </c>
      <c r="U4661" s="384">
        <v>0.1</v>
      </c>
      <c r="W4661" s="285">
        <f t="shared" si="275"/>
        <v>2210.3162717622085</v>
      </c>
    </row>
    <row r="4662" spans="1:24" ht="15" customHeight="1" thickBot="1">
      <c r="A4662" s="216"/>
      <c r="B4662" s="1330"/>
      <c r="C4662" s="1330"/>
      <c r="D4662" s="1330"/>
      <c r="E4662" s="216"/>
      <c r="F4662" s="407"/>
      <c r="G4662" s="164"/>
      <c r="H4662" s="164"/>
      <c r="I4662" s="166"/>
      <c r="J4662" s="166"/>
      <c r="K4662" s="166"/>
      <c r="L4662" s="167"/>
      <c r="M4662" s="168"/>
      <c r="N4662" s="169" t="s">
        <v>52</v>
      </c>
      <c r="O4662" s="183"/>
      <c r="P4662" s="180"/>
      <c r="Q4662" s="154"/>
      <c r="R4662" s="248"/>
      <c r="S4662" s="249"/>
      <c r="T4662" s="249"/>
      <c r="U4662" s="152"/>
      <c r="V4662" s="153">
        <f>AVERAGE(P4640:P4661)</f>
        <v>13127.368421052632</v>
      </c>
      <c r="W4662" s="295"/>
      <c r="X4662" s="445"/>
    </row>
    <row r="4663" spans="1:24" ht="15" customHeight="1">
      <c r="A4663" s="3">
        <v>42373</v>
      </c>
      <c r="B4663" s="9">
        <v>59875</v>
      </c>
      <c r="C4663" s="5">
        <v>300</v>
      </c>
      <c r="D4663" s="5">
        <v>84950</v>
      </c>
      <c r="E4663" s="5">
        <v>191650</v>
      </c>
      <c r="F4663" s="4">
        <v>0</v>
      </c>
      <c r="G4663" s="5">
        <v>0</v>
      </c>
      <c r="H4663" s="5">
        <v>111050</v>
      </c>
      <c r="I4663" s="118">
        <f t="shared" ref="I4663:I4682" si="276">H4663/E4663</f>
        <v>0.57944169058178974</v>
      </c>
      <c r="K4663" s="22">
        <v>1762</v>
      </c>
      <c r="L4663" s="6">
        <v>1760</v>
      </c>
      <c r="M4663" s="125">
        <f t="shared" si="273"/>
        <v>-2</v>
      </c>
      <c r="P4663" s="247">
        <v>13210</v>
      </c>
      <c r="Q4663" s="25">
        <f>179.6/1189.5</f>
        <v>0.15098781000420344</v>
      </c>
      <c r="U4663" s="384">
        <v>0.1</v>
      </c>
      <c r="W4663" s="285">
        <f t="shared" si="275"/>
        <v>2194.0038671710804</v>
      </c>
      <c r="X4663" s="446">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18">
        <f t="shared" si="276"/>
        <v>0.57778941854374022</v>
      </c>
      <c r="K4664" s="22">
        <v>1728.5</v>
      </c>
      <c r="L4664" s="6">
        <v>1740</v>
      </c>
      <c r="M4664" s="125">
        <f t="shared" si="273"/>
        <v>11.5</v>
      </c>
      <c r="P4664" s="247">
        <v>13240</v>
      </c>
      <c r="Q4664" s="25">
        <f>179/1189.5</f>
        <v>0.15048339638503572</v>
      </c>
      <c r="U4664" s="384">
        <v>0.1</v>
      </c>
      <c r="W4664" s="285">
        <f t="shared" si="275"/>
        <v>2191.6401849516606</v>
      </c>
      <c r="X4664" s="446">
        <f t="shared" si="277"/>
        <v>7.6598206537460225</v>
      </c>
    </row>
    <row r="4665" spans="1:24" ht="15" customHeight="1">
      <c r="A4665" s="3">
        <v>42375</v>
      </c>
      <c r="B4665" s="9">
        <v>59125</v>
      </c>
      <c r="C4665" s="5">
        <v>300</v>
      </c>
      <c r="D4665" s="5">
        <v>84950</v>
      </c>
      <c r="E4665" s="5">
        <v>190900</v>
      </c>
      <c r="F4665" s="4">
        <v>0</v>
      </c>
      <c r="G4665" s="5">
        <v>0</v>
      </c>
      <c r="H4665" s="5">
        <v>110300</v>
      </c>
      <c r="I4665" s="118">
        <f t="shared" si="276"/>
        <v>0.57778941854374022</v>
      </c>
      <c r="K4665" s="22">
        <v>1695</v>
      </c>
      <c r="L4665" s="6">
        <v>1699</v>
      </c>
      <c r="M4665" s="125">
        <f t="shared" si="273"/>
        <v>4</v>
      </c>
      <c r="P4665" s="247">
        <v>13240</v>
      </c>
      <c r="Q4665" s="25">
        <f>178.65/1200</f>
        <v>0.14887500000000001</v>
      </c>
      <c r="U4665" s="384">
        <v>0.1</v>
      </c>
      <c r="W4665" s="285">
        <f t="shared" si="275"/>
        <v>2168.2155000000002</v>
      </c>
      <c r="X4665" s="446">
        <f t="shared" si="277"/>
        <v>7.8112094395280236</v>
      </c>
    </row>
    <row r="4666" spans="1:24" ht="15" customHeight="1">
      <c r="A4666" s="3">
        <v>42376</v>
      </c>
      <c r="B4666" s="9">
        <v>59500</v>
      </c>
      <c r="C4666" s="5">
        <v>300</v>
      </c>
      <c r="D4666" s="5">
        <v>84950</v>
      </c>
      <c r="E4666" s="5">
        <v>191275</v>
      </c>
      <c r="F4666" s="4">
        <v>375</v>
      </c>
      <c r="G4666" s="5">
        <v>0</v>
      </c>
      <c r="H4666" s="5">
        <v>110300</v>
      </c>
      <c r="I4666" s="118">
        <f t="shared" si="276"/>
        <v>0.57665664619004053</v>
      </c>
      <c r="K4666" s="22">
        <v>1613</v>
      </c>
      <c r="L4666" s="6">
        <v>1618</v>
      </c>
      <c r="M4666" s="125">
        <f t="shared" si="273"/>
        <v>5</v>
      </c>
      <c r="P4666" s="247">
        <v>13160</v>
      </c>
      <c r="Q4666" s="25">
        <f>179.51/1200.2</f>
        <v>0.14956673887685384</v>
      </c>
      <c r="U4666" s="384">
        <v>0.1</v>
      </c>
      <c r="W4666" s="285">
        <f t="shared" si="275"/>
        <v>2165.1281119813366</v>
      </c>
      <c r="X4666" s="446">
        <f t="shared" si="277"/>
        <v>8.1587104773713577</v>
      </c>
    </row>
    <row r="4667" spans="1:24" ht="15" customHeight="1">
      <c r="A4667" s="3">
        <v>42377</v>
      </c>
      <c r="B4667" s="9">
        <v>59500</v>
      </c>
      <c r="C4667" s="5">
        <v>300</v>
      </c>
      <c r="D4667" s="5">
        <v>84950</v>
      </c>
      <c r="E4667" s="5">
        <v>191175</v>
      </c>
      <c r="F4667" s="4">
        <v>0</v>
      </c>
      <c r="G4667" s="5">
        <v>100</v>
      </c>
      <c r="H4667" s="5">
        <v>110250</v>
      </c>
      <c r="I4667" s="118">
        <f t="shared" si="276"/>
        <v>0.57669674382110636</v>
      </c>
      <c r="K4667" s="22">
        <v>1647</v>
      </c>
      <c r="L4667" s="6">
        <v>1646</v>
      </c>
      <c r="M4667" s="125">
        <f t="shared" si="273"/>
        <v>-1</v>
      </c>
      <c r="P4667" s="247">
        <v>13090</v>
      </c>
      <c r="Q4667" s="25">
        <f>179.41/1199.5</f>
        <v>0.14957065443934972</v>
      </c>
      <c r="U4667" s="384">
        <v>0.1</v>
      </c>
      <c r="W4667" s="285">
        <f t="shared" si="275"/>
        <v>2153.6678532721967</v>
      </c>
      <c r="X4667" s="446">
        <f t="shared" si="277"/>
        <v>7.9477838494231934</v>
      </c>
    </row>
    <row r="4668" spans="1:24" ht="15" customHeight="1">
      <c r="A4668" s="3">
        <v>42380</v>
      </c>
      <c r="B4668" s="9">
        <v>59500</v>
      </c>
      <c r="C4668" s="5">
        <v>300</v>
      </c>
      <c r="D4668" s="5">
        <v>84750</v>
      </c>
      <c r="E4668" s="5">
        <v>191075</v>
      </c>
      <c r="F4668" s="4">
        <v>0</v>
      </c>
      <c r="G4668" s="5">
        <v>100</v>
      </c>
      <c r="H4668" s="5">
        <v>110200</v>
      </c>
      <c r="I4668" s="118">
        <f t="shared" si="276"/>
        <v>0.57673688342273977</v>
      </c>
      <c r="K4668" s="22">
        <v>1602</v>
      </c>
      <c r="L4668" s="6">
        <v>1605</v>
      </c>
      <c r="M4668" s="125">
        <f t="shared" si="273"/>
        <v>3</v>
      </c>
      <c r="P4668" s="247">
        <v>13060</v>
      </c>
      <c r="Q4668" s="25">
        <f>180.91/1208.6</f>
        <v>0.14968558662915771</v>
      </c>
      <c r="U4668" s="384">
        <v>0.1</v>
      </c>
      <c r="W4668" s="285">
        <f t="shared" si="275"/>
        <v>2150.3831375144796</v>
      </c>
      <c r="X4668" s="446">
        <f t="shared" si="277"/>
        <v>8.1523096129837711</v>
      </c>
    </row>
    <row r="4669" spans="1:24" ht="15" customHeight="1">
      <c r="A4669" s="3">
        <v>42381</v>
      </c>
      <c r="B4669" s="9">
        <v>58975</v>
      </c>
      <c r="C4669" s="5">
        <v>300</v>
      </c>
      <c r="D4669" s="5">
        <v>84650</v>
      </c>
      <c r="E4669" s="5">
        <v>190450</v>
      </c>
      <c r="F4669" s="4">
        <v>0</v>
      </c>
      <c r="G4669" s="5">
        <v>625</v>
      </c>
      <c r="H4669" s="5">
        <v>109575</v>
      </c>
      <c r="I4669" s="118">
        <f t="shared" si="276"/>
        <v>0.57534786033079544</v>
      </c>
      <c r="K4669" s="22">
        <v>1597</v>
      </c>
      <c r="L4669" s="6">
        <v>1598</v>
      </c>
      <c r="M4669" s="125">
        <f t="shared" si="273"/>
        <v>1</v>
      </c>
      <c r="P4669" s="247">
        <v>12990</v>
      </c>
      <c r="Q4669" s="25">
        <f>180.91/1208.6</f>
        <v>0.14968558662915771</v>
      </c>
      <c r="U4669" s="384">
        <v>0.1</v>
      </c>
      <c r="W4669" s="285">
        <f t="shared" si="275"/>
        <v>2138.8573473440347</v>
      </c>
      <c r="X4669" s="446">
        <f t="shared" si="277"/>
        <v>8.1340012523481526</v>
      </c>
    </row>
    <row r="4670" spans="1:24" ht="15" customHeight="1">
      <c r="A4670" s="3">
        <v>42382</v>
      </c>
      <c r="B4670" s="9">
        <v>58975</v>
      </c>
      <c r="C4670" s="5">
        <v>300</v>
      </c>
      <c r="D4670" s="5">
        <v>84525</v>
      </c>
      <c r="E4670" s="5">
        <v>190200</v>
      </c>
      <c r="F4670" s="4">
        <v>0</v>
      </c>
      <c r="G4670" s="5">
        <v>250</v>
      </c>
      <c r="H4670" s="5">
        <v>109325</v>
      </c>
      <c r="I4670" s="118">
        <f t="shared" si="276"/>
        <v>0.57478969505783384</v>
      </c>
      <c r="K4670" s="22">
        <v>1610</v>
      </c>
      <c r="L4670" s="6">
        <v>1613.5</v>
      </c>
      <c r="M4670" s="125">
        <f t="shared" si="273"/>
        <v>3.5</v>
      </c>
      <c r="P4670" s="247">
        <v>13010</v>
      </c>
      <c r="Q4670" s="25">
        <f>183.05/1208.5</f>
        <v>0.15146876292925116</v>
      </c>
      <c r="U4670" s="384">
        <v>0.1</v>
      </c>
      <c r="W4670" s="285">
        <f t="shared" si="275"/>
        <v>2167.6694662805135</v>
      </c>
      <c r="X4670" s="446">
        <f t="shared" si="277"/>
        <v>8.0807453416149073</v>
      </c>
    </row>
    <row r="4671" spans="1:24" ht="15" customHeight="1">
      <c r="A4671" s="3">
        <v>42383</v>
      </c>
      <c r="B4671" s="9">
        <v>58975</v>
      </c>
      <c r="C4671" s="5">
        <v>300</v>
      </c>
      <c r="D4671" s="5">
        <v>84275</v>
      </c>
      <c r="E4671" s="5">
        <v>189900</v>
      </c>
      <c r="F4671" s="4">
        <v>0</v>
      </c>
      <c r="G4671" s="5">
        <v>300</v>
      </c>
      <c r="H4671" s="5">
        <v>109150</v>
      </c>
      <c r="I4671" s="118">
        <f t="shared" si="276"/>
        <v>0.57477619799894686</v>
      </c>
      <c r="K4671" s="22">
        <v>1630</v>
      </c>
      <c r="L4671" s="6">
        <v>1621</v>
      </c>
      <c r="M4671" s="125">
        <f t="shared" si="273"/>
        <v>-9</v>
      </c>
      <c r="P4671" s="247">
        <v>13090</v>
      </c>
      <c r="Q4671" s="25">
        <f>183.52/1206.4</f>
        <v>0.15212201591511937</v>
      </c>
      <c r="U4671" s="384">
        <v>0.1</v>
      </c>
      <c r="W4671" s="285">
        <f t="shared" si="275"/>
        <v>2190.4049071618042</v>
      </c>
      <c r="X4671" s="446">
        <f t="shared" si="277"/>
        <v>8.0306748466257662</v>
      </c>
    </row>
    <row r="4672" spans="1:24" ht="15" customHeight="1">
      <c r="A4672" s="3">
        <v>42384</v>
      </c>
      <c r="B4672" s="9">
        <v>58975</v>
      </c>
      <c r="C4672" s="5">
        <v>300</v>
      </c>
      <c r="D4672" s="5">
        <v>84200</v>
      </c>
      <c r="E4672" s="5">
        <v>189825</v>
      </c>
      <c r="F4672" s="4">
        <v>0</v>
      </c>
      <c r="G4672" s="5">
        <v>75</v>
      </c>
      <c r="H4672" s="5">
        <v>109175</v>
      </c>
      <c r="I4672" s="118">
        <f t="shared" si="276"/>
        <v>0.57513499275648627</v>
      </c>
      <c r="K4672" s="22">
        <v>1612</v>
      </c>
      <c r="L4672" s="6">
        <v>1608</v>
      </c>
      <c r="M4672" s="125">
        <f t="shared" si="273"/>
        <v>-4</v>
      </c>
      <c r="P4672" s="247">
        <v>13090</v>
      </c>
      <c r="Q4672" s="25">
        <f>183.84/1212.7</f>
        <v>0.15159561309474726</v>
      </c>
      <c r="U4672" s="384">
        <v>0.1</v>
      </c>
      <c r="W4672" s="285">
        <f t="shared" si="275"/>
        <v>2182.8252329512661</v>
      </c>
      <c r="X4672" s="446">
        <f t="shared" si="277"/>
        <v>8.1203473945409428</v>
      </c>
    </row>
    <row r="4673" spans="1:24" ht="15" customHeight="1">
      <c r="A4673" s="3">
        <v>42387</v>
      </c>
      <c r="B4673" s="9">
        <v>105325</v>
      </c>
      <c r="C4673" s="5">
        <v>300</v>
      </c>
      <c r="D4673" s="5">
        <v>84075</v>
      </c>
      <c r="E4673" s="5">
        <v>189700</v>
      </c>
      <c r="F4673" s="4">
        <v>0</v>
      </c>
      <c r="G4673" s="5">
        <v>125</v>
      </c>
      <c r="H4673" s="5">
        <v>96825</v>
      </c>
      <c r="I4673" s="118">
        <f t="shared" si="276"/>
        <v>0.51041117554032678</v>
      </c>
      <c r="K4673" s="22">
        <v>1608.5</v>
      </c>
      <c r="L4673" s="6">
        <v>1607</v>
      </c>
      <c r="M4673" s="125">
        <f t="shared" si="273"/>
        <v>-1.5</v>
      </c>
      <c r="P4673" s="247">
        <v>13110</v>
      </c>
      <c r="Q4673" s="25">
        <f>183.09/1211</f>
        <v>0.15118909991742363</v>
      </c>
      <c r="U4673" s="384">
        <v>0.1</v>
      </c>
      <c r="W4673" s="285">
        <f t="shared" si="275"/>
        <v>2180.2980099091665</v>
      </c>
      <c r="X4673" s="446">
        <f t="shared" si="277"/>
        <v>8.1504507304942493</v>
      </c>
    </row>
    <row r="4674" spans="1:24" ht="15" customHeight="1">
      <c r="A4674" s="3">
        <v>42388</v>
      </c>
      <c r="B4674" s="9">
        <v>104025</v>
      </c>
      <c r="C4674" s="5">
        <v>300</v>
      </c>
      <c r="D4674" s="5">
        <v>83900</v>
      </c>
      <c r="E4674" s="5">
        <v>188225</v>
      </c>
      <c r="F4674" s="4">
        <v>0</v>
      </c>
      <c r="G4674" s="5">
        <v>1475</v>
      </c>
      <c r="H4674" s="5">
        <v>95350</v>
      </c>
      <c r="I4674" s="118">
        <f t="shared" si="276"/>
        <v>0.50657457829725061</v>
      </c>
      <c r="K4674" s="22">
        <v>1638</v>
      </c>
      <c r="L4674" s="6">
        <v>1630</v>
      </c>
      <c r="M4674" s="125">
        <f t="shared" si="273"/>
        <v>-8</v>
      </c>
      <c r="P4674" s="247">
        <v>13140</v>
      </c>
      <c r="Q4674" s="25">
        <f>184.24/1212.5</f>
        <v>0.15195051546391752</v>
      </c>
      <c r="U4674" s="384">
        <v>0.1</v>
      </c>
      <c r="W4674" s="285">
        <f t="shared" si="275"/>
        <v>2196.2927505154639</v>
      </c>
      <c r="X4674" s="446">
        <f t="shared" si="277"/>
        <v>8.0219780219780219</v>
      </c>
    </row>
    <row r="4675" spans="1:24" ht="15" customHeight="1">
      <c r="A4675" s="3">
        <v>42389</v>
      </c>
      <c r="B4675" s="9">
        <v>103350</v>
      </c>
      <c r="C4675" s="5">
        <v>300</v>
      </c>
      <c r="D4675" s="5">
        <v>83750</v>
      </c>
      <c r="E4675" s="5">
        <v>187400</v>
      </c>
      <c r="F4675" s="4">
        <v>0</v>
      </c>
      <c r="G4675" s="5">
        <v>825</v>
      </c>
      <c r="H4675" s="5">
        <v>94525</v>
      </c>
      <c r="I4675" s="118">
        <f t="shared" si="276"/>
        <v>0.50440234791889005</v>
      </c>
      <c r="K4675" s="22">
        <v>1611</v>
      </c>
      <c r="L4675" s="6">
        <v>1613</v>
      </c>
      <c r="M4675" s="125">
        <f t="shared" si="273"/>
        <v>2</v>
      </c>
      <c r="P4675" s="247">
        <v>13160</v>
      </c>
      <c r="Q4675" s="25">
        <f>183.43/1209.9</f>
        <v>0.15160757087362592</v>
      </c>
      <c r="U4675" s="384">
        <v>0.1</v>
      </c>
      <c r="W4675" s="285">
        <f t="shared" si="275"/>
        <v>2194.671195966609</v>
      </c>
      <c r="X4675" s="446">
        <f t="shared" si="277"/>
        <v>8.168839230291745</v>
      </c>
    </row>
    <row r="4676" spans="1:24" ht="15" customHeight="1">
      <c r="A4676" s="3">
        <v>42390</v>
      </c>
      <c r="B4676" s="9">
        <v>103350</v>
      </c>
      <c r="C4676" s="5">
        <v>300</v>
      </c>
      <c r="D4676" s="5">
        <v>83675</v>
      </c>
      <c r="E4676" s="5">
        <v>187325</v>
      </c>
      <c r="F4676" s="4">
        <v>0</v>
      </c>
      <c r="G4676" s="5">
        <v>75</v>
      </c>
      <c r="H4676" s="5">
        <v>94500</v>
      </c>
      <c r="I4676" s="118">
        <f t="shared" si="276"/>
        <v>0.50447083945015347</v>
      </c>
      <c r="K4676" s="22">
        <v>1615.5</v>
      </c>
      <c r="L4676" s="6">
        <v>1619</v>
      </c>
      <c r="M4676" s="125">
        <f t="shared" si="273"/>
        <v>3.5</v>
      </c>
      <c r="P4676" s="247">
        <v>13160</v>
      </c>
      <c r="Q4676" s="25">
        <f>183.57/1211.6</f>
        <v>0.15151039947177286</v>
      </c>
      <c r="U4676" s="384">
        <v>0.1</v>
      </c>
      <c r="W4676" s="285">
        <f t="shared" si="275"/>
        <v>2193.2645427533839</v>
      </c>
      <c r="X4676" s="446">
        <f t="shared" si="277"/>
        <v>8.1460848034664188</v>
      </c>
    </row>
    <row r="4677" spans="1:24" ht="15" customHeight="1">
      <c r="A4677" s="3">
        <v>42391</v>
      </c>
      <c r="B4677" s="9">
        <v>105025</v>
      </c>
      <c r="C4677" s="5">
        <v>300</v>
      </c>
      <c r="D4677" s="5">
        <v>83400</v>
      </c>
      <c r="E4677" s="5">
        <v>188725</v>
      </c>
      <c r="F4677" s="4">
        <v>1825</v>
      </c>
      <c r="G4677" s="5">
        <v>425</v>
      </c>
      <c r="H4677" s="5">
        <v>94075</v>
      </c>
      <c r="I4677" s="118">
        <f t="shared" si="276"/>
        <v>0.49847661941979071</v>
      </c>
      <c r="K4677" s="22">
        <v>1665.5</v>
      </c>
      <c r="L4677" s="6">
        <v>1665</v>
      </c>
      <c r="M4677" s="125">
        <f t="shared" si="273"/>
        <v>-0.5</v>
      </c>
      <c r="P4677" s="247">
        <v>13160</v>
      </c>
      <c r="Q4677" s="25">
        <f>183.09/1209.9</f>
        <v>0.15132655591371186</v>
      </c>
      <c r="U4677" s="384">
        <v>0.1</v>
      </c>
      <c r="W4677" s="285">
        <f t="shared" si="275"/>
        <v>2190.603223406893</v>
      </c>
      <c r="X4677" s="446">
        <f t="shared" si="277"/>
        <v>7.9015310717502247</v>
      </c>
    </row>
    <row r="4678" spans="1:24" ht="15" customHeight="1">
      <c r="A4678" s="3">
        <v>42394</v>
      </c>
      <c r="B4678" s="9">
        <v>104500</v>
      </c>
      <c r="C4678" s="5">
        <v>300</v>
      </c>
      <c r="D4678" s="5">
        <v>83100</v>
      </c>
      <c r="E4678" s="5">
        <v>187900</v>
      </c>
      <c r="F4678" s="4">
        <v>0</v>
      </c>
      <c r="G4678" s="5">
        <v>825</v>
      </c>
      <c r="H4678" s="5">
        <v>93250</v>
      </c>
      <c r="I4678" s="118">
        <f t="shared" si="276"/>
        <v>0.49627461415646623</v>
      </c>
      <c r="K4678" s="22">
        <v>1628.5</v>
      </c>
      <c r="L4678" s="6">
        <v>1633</v>
      </c>
      <c r="M4678" s="125">
        <f t="shared" si="273"/>
        <v>4.5</v>
      </c>
      <c r="P4678" s="247">
        <v>13160</v>
      </c>
      <c r="Q4678" s="25">
        <f>182.23/1203.2</f>
        <v>0.15145445478723402</v>
      </c>
      <c r="U4678" s="384">
        <v>0.1</v>
      </c>
      <c r="W4678" s="285">
        <f t="shared" si="275"/>
        <v>2192.4546874999996</v>
      </c>
      <c r="X4678" s="446">
        <f t="shared" si="277"/>
        <v>8.0810561866748536</v>
      </c>
    </row>
    <row r="4679" spans="1:24" ht="15" customHeight="1">
      <c r="A4679" s="3">
        <v>42395</v>
      </c>
      <c r="B4679" s="9">
        <v>104500</v>
      </c>
      <c r="C4679" s="5">
        <v>300</v>
      </c>
      <c r="D4679" s="5">
        <v>82850</v>
      </c>
      <c r="E4679" s="5">
        <v>187650</v>
      </c>
      <c r="F4679" s="4">
        <v>0</v>
      </c>
      <c r="G4679" s="5">
        <v>250</v>
      </c>
      <c r="H4679" s="5">
        <v>93000</v>
      </c>
      <c r="I4679" s="118">
        <f t="shared" si="276"/>
        <v>0.49560351718625101</v>
      </c>
      <c r="K4679" s="22">
        <v>1639</v>
      </c>
      <c r="L4679" s="6">
        <v>1641</v>
      </c>
      <c r="M4679" s="125">
        <f t="shared" si="273"/>
        <v>2</v>
      </c>
      <c r="P4679" s="247">
        <v>13190</v>
      </c>
      <c r="Q4679" s="25">
        <f>180.77/1194.4</f>
        <v>0.15134795713328869</v>
      </c>
      <c r="U4679" s="384">
        <v>0.1</v>
      </c>
      <c r="W4679" s="285">
        <f t="shared" si="275"/>
        <v>2195.9075100468858</v>
      </c>
      <c r="X4679" s="446">
        <f t="shared" si="277"/>
        <v>8.0475899938987183</v>
      </c>
    </row>
    <row r="4680" spans="1:24" ht="15" customHeight="1">
      <c r="A4680" s="3">
        <v>42396</v>
      </c>
      <c r="B4680" s="9">
        <v>107450</v>
      </c>
      <c r="C4680" s="5">
        <v>300</v>
      </c>
      <c r="D4680" s="5">
        <v>82675</v>
      </c>
      <c r="E4680" s="5">
        <v>190425</v>
      </c>
      <c r="F4680" s="4">
        <v>3150</v>
      </c>
      <c r="G4680" s="5">
        <v>375</v>
      </c>
      <c r="H4680" s="5">
        <v>92750</v>
      </c>
      <c r="I4680" s="118">
        <f t="shared" si="276"/>
        <v>0.48706839963240123</v>
      </c>
      <c r="K4680" s="22">
        <v>1655.5</v>
      </c>
      <c r="L4680" s="6">
        <v>1657</v>
      </c>
      <c r="M4680" s="125">
        <f t="shared" si="273"/>
        <v>1.5</v>
      </c>
      <c r="P4680" s="247">
        <v>13390</v>
      </c>
      <c r="Q4680" s="25">
        <f>181.6/1201.4</f>
        <v>0.15115698351922754</v>
      </c>
      <c r="U4680" s="384">
        <v>0.1</v>
      </c>
      <c r="W4680" s="285">
        <f t="shared" si="275"/>
        <v>2226.3912102547029</v>
      </c>
      <c r="X4680" s="446">
        <f t="shared" si="277"/>
        <v>8.0881908788885539</v>
      </c>
    </row>
    <row r="4681" spans="1:24" ht="15" customHeight="1">
      <c r="A4681" s="3">
        <v>42397</v>
      </c>
      <c r="B4681" s="9">
        <v>106900</v>
      </c>
      <c r="C4681" s="5">
        <v>300</v>
      </c>
      <c r="D4681" s="5">
        <v>82500</v>
      </c>
      <c r="E4681" s="5">
        <v>189700</v>
      </c>
      <c r="F4681" s="4">
        <v>0</v>
      </c>
      <c r="G4681" s="5">
        <v>725</v>
      </c>
      <c r="H4681" s="5">
        <v>92025</v>
      </c>
      <c r="I4681" s="118">
        <f t="shared" si="276"/>
        <v>0.48510806536636797</v>
      </c>
      <c r="K4681" s="22">
        <v>1669.5</v>
      </c>
      <c r="L4681" s="6">
        <v>1677</v>
      </c>
      <c r="M4681" s="125">
        <f t="shared" si="273"/>
        <v>7.5</v>
      </c>
      <c r="P4681" s="247">
        <v>13410</v>
      </c>
      <c r="Q4681" s="25">
        <f>182.78/1208.4</f>
        <v>0.15125786163522012</v>
      </c>
      <c r="U4681" s="384">
        <v>0.1</v>
      </c>
      <c r="W4681" s="285">
        <f t="shared" si="275"/>
        <v>2231.2047169811322</v>
      </c>
      <c r="X4681" s="446">
        <f t="shared" si="277"/>
        <v>8.0323450134770891</v>
      </c>
    </row>
    <row r="4682" spans="1:24" ht="15" customHeight="1">
      <c r="A4682" s="3">
        <v>42398</v>
      </c>
      <c r="B4682" s="9">
        <v>106300</v>
      </c>
      <c r="C4682" s="5">
        <v>300</v>
      </c>
      <c r="D4682" s="5">
        <v>82300</v>
      </c>
      <c r="E4682" s="5">
        <v>188900</v>
      </c>
      <c r="F4682" s="4">
        <v>0</v>
      </c>
      <c r="G4682" s="5">
        <v>800</v>
      </c>
      <c r="H4682" s="5">
        <v>91225</v>
      </c>
      <c r="I4682" s="118">
        <f t="shared" si="276"/>
        <v>0.48292747485442034</v>
      </c>
      <c r="K4682" s="22">
        <v>1711.5</v>
      </c>
      <c r="L4682" s="6">
        <v>1706.5</v>
      </c>
      <c r="M4682" s="125">
        <f t="shared" si="273"/>
        <v>-5</v>
      </c>
      <c r="N4682" s="235">
        <f>AVERAGE(K4663:K4682)</f>
        <v>1646.95</v>
      </c>
      <c r="O4682" s="230">
        <f>AVERAGE(K4663:K4682)</f>
        <v>1646.95</v>
      </c>
      <c r="P4682" s="247">
        <v>13510</v>
      </c>
      <c r="Q4682" s="25">
        <f>182.78/1208.4</f>
        <v>0.15125786163522012</v>
      </c>
      <c r="U4682" s="384">
        <v>0.1</v>
      </c>
      <c r="W4682" s="285">
        <f t="shared" si="275"/>
        <v>2247.843081761006</v>
      </c>
      <c r="X4682" s="446">
        <f t="shared" si="277"/>
        <v>7.8936605316973418</v>
      </c>
    </row>
    <row r="4683" spans="1:24" ht="15" customHeight="1" thickBot="1">
      <c r="A4683" s="216"/>
      <c r="B4683" s="1330"/>
      <c r="C4683" s="1330"/>
      <c r="D4683" s="1330"/>
      <c r="E4683" s="216"/>
      <c r="F4683" s="407"/>
      <c r="G4683" s="164"/>
      <c r="H4683" s="164"/>
      <c r="I4683" s="166"/>
      <c r="J4683" s="166"/>
      <c r="K4683" s="166"/>
      <c r="L4683" s="167"/>
      <c r="M4683" s="168"/>
      <c r="N4683" s="169" t="s">
        <v>52</v>
      </c>
      <c r="O4683" s="183"/>
      <c r="P4683" s="180"/>
      <c r="Q4683" s="154"/>
      <c r="R4683" s="248"/>
      <c r="S4683" s="249"/>
      <c r="T4683" s="249"/>
      <c r="U4683" s="152"/>
      <c r="V4683" s="153">
        <f>AVERAGE(P4663:P4682)</f>
        <v>13178.5</v>
      </c>
      <c r="W4683" s="295"/>
      <c r="X4683" s="447">
        <f>AVERAGE(X4663:X4682)</f>
        <v>8.0062245823174951</v>
      </c>
    </row>
    <row r="4684" spans="1:24" ht="15" customHeight="1">
      <c r="A4684" s="3">
        <v>42401</v>
      </c>
      <c r="B4684" s="9">
        <v>105700</v>
      </c>
      <c r="C4684" s="5">
        <v>300</v>
      </c>
      <c r="D4684" s="5">
        <v>82125</v>
      </c>
      <c r="E4684" s="5">
        <v>188125</v>
      </c>
      <c r="F4684" s="4">
        <v>0</v>
      </c>
      <c r="G4684" s="5">
        <v>775</v>
      </c>
      <c r="H4684" s="5">
        <v>90650</v>
      </c>
      <c r="I4684" s="118">
        <f t="shared" ref="I4684:I4704" si="278">H4684/E4684</f>
        <v>0.48186046511627906</v>
      </c>
      <c r="K4684" s="22">
        <v>1716</v>
      </c>
      <c r="L4684" s="6">
        <v>1715</v>
      </c>
      <c r="M4684" s="125">
        <f t="shared" si="273"/>
        <v>-1</v>
      </c>
      <c r="P4684" s="247">
        <v>13710</v>
      </c>
      <c r="Q4684" s="25">
        <f>181.6/1201.4</f>
        <v>0.15115698351922754</v>
      </c>
      <c r="U4684" s="384">
        <v>0.1</v>
      </c>
      <c r="W4684" s="285">
        <f>(P4684*Q4684)*(1+U4684)</f>
        <v>2279.598468453471</v>
      </c>
      <c r="X4684" s="446">
        <f t="shared" si="277"/>
        <v>7.9895104895104891</v>
      </c>
    </row>
    <row r="4685" spans="1:24" ht="15" customHeight="1">
      <c r="A4685" s="3">
        <v>42402</v>
      </c>
      <c r="B4685" s="9">
        <v>104800</v>
      </c>
      <c r="C4685" s="5">
        <v>300</v>
      </c>
      <c r="D4685" s="5">
        <v>81975</v>
      </c>
      <c r="E4685" s="5">
        <v>187075</v>
      </c>
      <c r="F4685" s="4">
        <v>0</v>
      </c>
      <c r="G4685" s="5">
        <v>1050</v>
      </c>
      <c r="H4685" s="5">
        <v>89675</v>
      </c>
      <c r="I4685" s="118">
        <f t="shared" si="278"/>
        <v>0.47935320058799946</v>
      </c>
      <c r="K4685" s="22">
        <v>1775.5</v>
      </c>
      <c r="L4685" s="6">
        <v>1766.5</v>
      </c>
      <c r="M4685" s="125">
        <f t="shared" si="273"/>
        <v>-9</v>
      </c>
      <c r="P4685" s="247">
        <v>13910</v>
      </c>
      <c r="Q4685" s="25">
        <f>182.23/1203.2</f>
        <v>0.15145445478723402</v>
      </c>
      <c r="U4685" s="384">
        <v>0.1</v>
      </c>
      <c r="W4685" s="285">
        <f t="shared" ref="W4685:W4687" si="279">(P4685*Q4685)*(1+U4685)</f>
        <v>2317.4046126994681</v>
      </c>
      <c r="X4685" s="446">
        <f t="shared" si="277"/>
        <v>7.834412841453112</v>
      </c>
    </row>
    <row r="4686" spans="1:24" ht="15" customHeight="1">
      <c r="A4686" s="3">
        <v>42403</v>
      </c>
      <c r="B4686" s="9">
        <v>103950</v>
      </c>
      <c r="C4686" s="5">
        <v>300</v>
      </c>
      <c r="D4686" s="5">
        <v>81825</v>
      </c>
      <c r="E4686" s="5">
        <v>186075</v>
      </c>
      <c r="F4686" s="4">
        <v>0</v>
      </c>
      <c r="G4686" s="5">
        <v>1000</v>
      </c>
      <c r="H4686" s="5">
        <v>88675</v>
      </c>
      <c r="I4686" s="118">
        <f t="shared" si="278"/>
        <v>0.47655515249227465</v>
      </c>
      <c r="K4686" s="22">
        <v>1768</v>
      </c>
      <c r="L4686" s="6">
        <v>1765.5</v>
      </c>
      <c r="M4686" s="125">
        <f t="shared" si="273"/>
        <v>-2.5</v>
      </c>
      <c r="P4686" s="247">
        <v>13910</v>
      </c>
      <c r="Q4686" s="25">
        <f>181.86/1203.1</f>
        <v>0.15115950461308289</v>
      </c>
      <c r="U4686" s="384">
        <v>0.1</v>
      </c>
      <c r="W4686" s="285">
        <f t="shared" si="279"/>
        <v>2312.8915800847813</v>
      </c>
      <c r="X4686" s="446">
        <f t="shared" si="277"/>
        <v>7.867647058823529</v>
      </c>
    </row>
    <row r="4687" spans="1:24" ht="15" customHeight="1">
      <c r="A4687" s="3">
        <v>42404</v>
      </c>
      <c r="B4687" s="9">
        <v>103200</v>
      </c>
      <c r="C4687" s="5">
        <v>300</v>
      </c>
      <c r="D4687" s="5">
        <v>81600</v>
      </c>
      <c r="E4687" s="5">
        <v>185100</v>
      </c>
      <c r="F4687" s="4">
        <v>0</v>
      </c>
      <c r="G4687" s="5">
        <v>975</v>
      </c>
      <c r="H4687" s="5">
        <v>97400</v>
      </c>
      <c r="I4687" s="118">
        <f t="shared" si="278"/>
        <v>0.5262020529443544</v>
      </c>
      <c r="K4687" s="22">
        <v>1818</v>
      </c>
      <c r="L4687" s="6">
        <v>1813</v>
      </c>
      <c r="M4687" s="125">
        <f t="shared" si="273"/>
        <v>-5</v>
      </c>
      <c r="P4687" s="247">
        <v>14010</v>
      </c>
      <c r="Q4687" s="25">
        <f>181.83/1202.7</f>
        <v>0.15118483412322276</v>
      </c>
      <c r="U4687" s="384">
        <v>0.1</v>
      </c>
      <c r="W4687" s="285">
        <f t="shared" si="279"/>
        <v>2329.9094786729861</v>
      </c>
      <c r="X4687" s="446">
        <f t="shared" si="277"/>
        <v>7.7062706270627066</v>
      </c>
    </row>
    <row r="4688" spans="1:24" ht="15" customHeight="1">
      <c r="A4688" s="3">
        <v>42405</v>
      </c>
      <c r="B4688" s="9">
        <v>102575</v>
      </c>
      <c r="C4688" s="5">
        <v>300</v>
      </c>
      <c r="D4688" s="5">
        <v>81375</v>
      </c>
      <c r="E4688" s="5">
        <v>184250</v>
      </c>
      <c r="F4688" s="4">
        <v>0</v>
      </c>
      <c r="G4688" s="5">
        <v>850</v>
      </c>
      <c r="H4688" s="5">
        <v>86875</v>
      </c>
      <c r="I4688" s="118">
        <f t="shared" si="278"/>
        <v>0.47150610583446406</v>
      </c>
      <c r="K4688" s="22">
        <v>1789</v>
      </c>
      <c r="L4688" s="6">
        <v>1790</v>
      </c>
      <c r="M4688" s="125">
        <f t="shared" si="273"/>
        <v>1</v>
      </c>
      <c r="P4688" s="1326" t="s">
        <v>48</v>
      </c>
      <c r="Q4688" s="25">
        <f>181.83/1202.7</f>
        <v>0.15118483412322276</v>
      </c>
      <c r="U4688" s="384">
        <v>0.1</v>
      </c>
      <c r="W4688" s="1343" t="s">
        <v>48</v>
      </c>
      <c r="X4688" s="446"/>
    </row>
    <row r="4689" spans="1:24" ht="15" customHeight="1">
      <c r="A4689" s="3">
        <v>42408</v>
      </c>
      <c r="B4689" s="9">
        <v>102200</v>
      </c>
      <c r="C4689" s="5">
        <v>300</v>
      </c>
      <c r="D4689" s="5">
        <v>81225</v>
      </c>
      <c r="E4689" s="5">
        <v>183725</v>
      </c>
      <c r="F4689" s="4">
        <v>0</v>
      </c>
      <c r="G4689" s="5">
        <v>525</v>
      </c>
      <c r="H4689" s="5">
        <v>86350</v>
      </c>
      <c r="I4689" s="118">
        <f t="shared" si="278"/>
        <v>0.46999591781194722</v>
      </c>
      <c r="K4689" s="22">
        <v>1774</v>
      </c>
      <c r="L4689" s="6">
        <v>1774</v>
      </c>
      <c r="M4689" s="125">
        <f t="shared" si="273"/>
        <v>0</v>
      </c>
      <c r="P4689" s="1326"/>
      <c r="Q4689" s="1326" t="s">
        <v>48</v>
      </c>
      <c r="U4689" s="384">
        <v>0.1</v>
      </c>
      <c r="W4689" s="1343"/>
      <c r="X4689" s="446">
        <f t="shared" si="277"/>
        <v>0</v>
      </c>
    </row>
    <row r="4690" spans="1:24" ht="15" customHeight="1">
      <c r="A4690" s="3">
        <v>42409</v>
      </c>
      <c r="B4690" s="9">
        <v>102200</v>
      </c>
      <c r="C4690" s="5">
        <v>300</v>
      </c>
      <c r="D4690" s="5">
        <v>81125</v>
      </c>
      <c r="E4690" s="5">
        <v>183625</v>
      </c>
      <c r="F4690" s="4">
        <v>0</v>
      </c>
      <c r="G4690" s="5">
        <v>100</v>
      </c>
      <c r="H4690" s="5">
        <v>86250</v>
      </c>
      <c r="I4690" s="118">
        <f t="shared" si="278"/>
        <v>0.4697072838665759</v>
      </c>
      <c r="K4690" s="22">
        <v>1827</v>
      </c>
      <c r="L4690" s="6">
        <v>1825</v>
      </c>
      <c r="M4690" s="125">
        <f t="shared" si="273"/>
        <v>-2</v>
      </c>
      <c r="P4690" s="1326"/>
      <c r="Q4690" s="1326"/>
      <c r="U4690" s="384">
        <v>0.1</v>
      </c>
      <c r="W4690" s="1343"/>
      <c r="X4690" s="446">
        <f t="shared" si="277"/>
        <v>0</v>
      </c>
    </row>
    <row r="4691" spans="1:24" ht="15" customHeight="1">
      <c r="A4691" s="3">
        <v>42410</v>
      </c>
      <c r="B4691" s="9">
        <v>102200</v>
      </c>
      <c r="C4691" s="5">
        <v>300</v>
      </c>
      <c r="D4691" s="5">
        <v>81025</v>
      </c>
      <c r="E4691" s="5">
        <v>183525</v>
      </c>
      <c r="F4691" s="4">
        <v>0</v>
      </c>
      <c r="G4691" s="5">
        <v>100</v>
      </c>
      <c r="H4691" s="5">
        <v>86250</v>
      </c>
      <c r="I4691" s="118">
        <f t="shared" si="278"/>
        <v>0.46996322026971804</v>
      </c>
      <c r="K4691" s="22">
        <v>1830</v>
      </c>
      <c r="L4691" s="6">
        <v>1829</v>
      </c>
      <c r="M4691" s="125">
        <f t="shared" si="273"/>
        <v>-1</v>
      </c>
      <c r="P4691" s="1326"/>
      <c r="Q4691" s="1326"/>
      <c r="U4691" s="384">
        <v>0.1</v>
      </c>
      <c r="W4691" s="1343"/>
      <c r="X4691" s="446">
        <f t="shared" si="277"/>
        <v>0</v>
      </c>
    </row>
    <row r="4692" spans="1:24" ht="15" customHeight="1">
      <c r="A4692" s="3">
        <v>42411</v>
      </c>
      <c r="B4692" s="9">
        <v>101325</v>
      </c>
      <c r="C4692" s="5">
        <v>300</v>
      </c>
      <c r="D4692" s="5">
        <v>81025</v>
      </c>
      <c r="E4692" s="5">
        <v>182650</v>
      </c>
      <c r="F4692" s="4">
        <v>0</v>
      </c>
      <c r="G4692" s="5">
        <v>875</v>
      </c>
      <c r="H4692" s="5">
        <v>97400</v>
      </c>
      <c r="I4692" s="118">
        <f t="shared" si="278"/>
        <v>0.53326033397207773</v>
      </c>
      <c r="K4692" s="22">
        <v>1827</v>
      </c>
      <c r="L4692" s="6">
        <v>1819</v>
      </c>
      <c r="M4692" s="125">
        <f t="shared" si="273"/>
        <v>-8</v>
      </c>
      <c r="P4692" s="1326"/>
      <c r="Q4692" s="25">
        <f>183.28/1198.36</f>
        <v>0.15294235455122002</v>
      </c>
      <c r="U4692" s="384">
        <v>0.1</v>
      </c>
      <c r="W4692" s="1343"/>
      <c r="X4692" s="446">
        <f t="shared" si="277"/>
        <v>0</v>
      </c>
    </row>
    <row r="4693" spans="1:24" ht="15" customHeight="1">
      <c r="A4693" s="3">
        <v>42412</v>
      </c>
      <c r="B4693" s="9">
        <v>100400</v>
      </c>
      <c r="C4693" s="5">
        <v>300</v>
      </c>
      <c r="D4693" s="5">
        <v>80800</v>
      </c>
      <c r="E4693" s="5">
        <v>181500</v>
      </c>
      <c r="F4693" s="4">
        <v>0</v>
      </c>
      <c r="G4693" s="5">
        <v>1150</v>
      </c>
      <c r="H4693" s="5">
        <v>96250</v>
      </c>
      <c r="I4693" s="118">
        <f t="shared" si="278"/>
        <v>0.53030303030303028</v>
      </c>
      <c r="K4693" s="22">
        <v>1845</v>
      </c>
      <c r="L4693" s="6">
        <v>1839</v>
      </c>
      <c r="M4693" s="125">
        <f t="shared" si="273"/>
        <v>-6</v>
      </c>
      <c r="P4693" s="1326"/>
      <c r="Q4693" s="25">
        <f>182.78/1197</f>
        <v>0.15269841269841269</v>
      </c>
      <c r="U4693" s="384">
        <v>0.1</v>
      </c>
      <c r="W4693" s="1343"/>
      <c r="X4693" s="446">
        <f t="shared" si="277"/>
        <v>0</v>
      </c>
    </row>
    <row r="4694" spans="1:24" ht="15" customHeight="1">
      <c r="A4694" s="3">
        <v>42415</v>
      </c>
      <c r="B4694" s="9">
        <v>100400</v>
      </c>
      <c r="C4694" s="5">
        <v>300</v>
      </c>
      <c r="D4694" s="5">
        <v>80700</v>
      </c>
      <c r="E4694" s="5">
        <v>181400</v>
      </c>
      <c r="F4694" s="4">
        <v>0</v>
      </c>
      <c r="G4694" s="5">
        <v>100</v>
      </c>
      <c r="H4694" s="5">
        <v>96150</v>
      </c>
      <c r="I4694" s="118">
        <f t="shared" si="278"/>
        <v>0.53004410143329661</v>
      </c>
      <c r="K4694" s="22">
        <v>1854</v>
      </c>
      <c r="L4694" s="6">
        <v>1852</v>
      </c>
      <c r="M4694" s="125">
        <f t="shared" si="273"/>
        <v>-2</v>
      </c>
      <c r="P4694" s="247">
        <v>14010</v>
      </c>
      <c r="Q4694" s="25">
        <f>184.5/1206.5</f>
        <v>0.15292167426440115</v>
      </c>
      <c r="U4694" s="384">
        <v>0.1</v>
      </c>
      <c r="W4694" s="285">
        <f t="shared" ref="W4694:W4743" si="280">(P4694*Q4694)*(1+U4694)</f>
        <v>2356.6759220886861</v>
      </c>
      <c r="X4694" s="446">
        <f t="shared" si="277"/>
        <v>7.5566343042071198</v>
      </c>
    </row>
    <row r="4695" spans="1:24" ht="15" customHeight="1">
      <c r="A4695" s="3">
        <v>42416</v>
      </c>
      <c r="B4695" s="9">
        <v>100350</v>
      </c>
      <c r="C4695" s="5">
        <v>300</v>
      </c>
      <c r="D4695" s="5">
        <v>81575</v>
      </c>
      <c r="E4695" s="5">
        <v>182225</v>
      </c>
      <c r="F4695" s="4">
        <v>925</v>
      </c>
      <c r="G4695" s="5">
        <v>100</v>
      </c>
      <c r="H4695" s="5">
        <v>96050</v>
      </c>
      <c r="I4695" s="118">
        <f t="shared" si="278"/>
        <v>0.52709562354232409</v>
      </c>
      <c r="K4695" s="22">
        <v>1821.5</v>
      </c>
      <c r="L4695" s="6">
        <v>1822.5</v>
      </c>
      <c r="M4695" s="125">
        <f t="shared" si="273"/>
        <v>1</v>
      </c>
      <c r="P4695" s="247">
        <v>13940</v>
      </c>
      <c r="Q4695" s="25">
        <f>186.49/1215</f>
        <v>0.15348971193415639</v>
      </c>
      <c r="U4695" s="384">
        <v>0.1</v>
      </c>
      <c r="W4695" s="285">
        <f t="shared" si="280"/>
        <v>2353.6112427983539</v>
      </c>
      <c r="X4695" s="446">
        <f t="shared" si="277"/>
        <v>7.6530332143837496</v>
      </c>
    </row>
    <row r="4696" spans="1:24" ht="15" customHeight="1">
      <c r="A4696" s="3">
        <v>42417</v>
      </c>
      <c r="B4696" s="9">
        <v>100350</v>
      </c>
      <c r="C4696" s="5">
        <v>300</v>
      </c>
      <c r="D4696" s="5">
        <v>99900</v>
      </c>
      <c r="E4696" s="5">
        <v>200550</v>
      </c>
      <c r="F4696" s="4">
        <v>18425</v>
      </c>
      <c r="G4696" s="5">
        <v>100</v>
      </c>
      <c r="H4696" s="5">
        <v>95950</v>
      </c>
      <c r="I4696" s="118">
        <f t="shared" si="278"/>
        <v>0.47843430565943657</v>
      </c>
      <c r="K4696" s="22">
        <v>1750</v>
      </c>
      <c r="L4696" s="6">
        <v>1759</v>
      </c>
      <c r="M4696" s="125">
        <f t="shared" si="273"/>
        <v>9</v>
      </c>
      <c r="P4696" s="247">
        <v>13860</v>
      </c>
      <c r="Q4696" s="25">
        <f>187.56/1224.8</f>
        <v>0.1531352057478772</v>
      </c>
      <c r="U4696" s="384">
        <v>0.1</v>
      </c>
      <c r="W4696" s="285">
        <f t="shared" si="280"/>
        <v>2334.6993468321361</v>
      </c>
      <c r="X4696" s="446">
        <f t="shared" si="277"/>
        <v>7.92</v>
      </c>
    </row>
    <row r="4697" spans="1:24" ht="15" customHeight="1">
      <c r="A4697" s="3">
        <v>42418</v>
      </c>
      <c r="B4697" s="9">
        <v>100350</v>
      </c>
      <c r="C4697" s="5">
        <v>300</v>
      </c>
      <c r="D4697" s="5">
        <v>105425</v>
      </c>
      <c r="E4697" s="5">
        <v>206075</v>
      </c>
      <c r="F4697" s="4">
        <v>5575</v>
      </c>
      <c r="G4697" s="5">
        <v>50</v>
      </c>
      <c r="H4697" s="5">
        <v>95900</v>
      </c>
      <c r="I4697" s="118">
        <f t="shared" si="278"/>
        <v>0.46536455174087105</v>
      </c>
      <c r="K4697" s="22">
        <v>1710.5</v>
      </c>
      <c r="L4697" s="6">
        <v>1718</v>
      </c>
      <c r="M4697" s="125">
        <f t="shared" si="273"/>
        <v>7.5</v>
      </c>
      <c r="P4697" s="247">
        <v>13820</v>
      </c>
      <c r="Q4697" s="25">
        <f>187.56/1224.8</f>
        <v>0.1531352057478772</v>
      </c>
      <c r="U4697" s="384">
        <v>0.1</v>
      </c>
      <c r="W4697" s="285">
        <f t="shared" si="280"/>
        <v>2327.9613977792296</v>
      </c>
      <c r="X4697" s="446">
        <f t="shared" si="277"/>
        <v>8.0795089155217781</v>
      </c>
    </row>
    <row r="4698" spans="1:24" ht="15" customHeight="1">
      <c r="A4698" s="3">
        <v>42419</v>
      </c>
      <c r="B4698" s="9">
        <v>100350</v>
      </c>
      <c r="C4698" s="5">
        <v>300</v>
      </c>
      <c r="D4698" s="5">
        <v>118575</v>
      </c>
      <c r="E4698" s="5">
        <v>219225</v>
      </c>
      <c r="F4698" s="4">
        <v>13275</v>
      </c>
      <c r="G4698" s="5">
        <v>125</v>
      </c>
      <c r="H4698" s="5">
        <v>95775</v>
      </c>
      <c r="I4698" s="118">
        <f t="shared" si="278"/>
        <v>0.43687991789257613</v>
      </c>
      <c r="K4698" s="22">
        <v>1733</v>
      </c>
      <c r="L4698" s="6">
        <v>1740</v>
      </c>
      <c r="M4698" s="125">
        <f t="shared" si="273"/>
        <v>7</v>
      </c>
      <c r="P4698" s="247">
        <v>13810</v>
      </c>
      <c r="Q4698" s="25">
        <f>187.87/1225.7</f>
        <v>0.15327567920372032</v>
      </c>
      <c r="U4698" s="384">
        <v>0.1</v>
      </c>
      <c r="W4698" s="285">
        <f t="shared" si="280"/>
        <v>2328.4108427837155</v>
      </c>
      <c r="X4698" s="446">
        <f t="shared" si="277"/>
        <v>7.968840161569533</v>
      </c>
    </row>
    <row r="4699" spans="1:24" ht="15" customHeight="1">
      <c r="A4699" s="3">
        <v>42422</v>
      </c>
      <c r="B4699" s="9">
        <v>100350</v>
      </c>
      <c r="C4699" s="5">
        <v>300</v>
      </c>
      <c r="D4699" s="5">
        <v>118525</v>
      </c>
      <c r="E4699" s="5">
        <v>219175</v>
      </c>
      <c r="F4699" s="4">
        <v>0</v>
      </c>
      <c r="G4699" s="5">
        <v>50</v>
      </c>
      <c r="H4699" s="5">
        <v>95725</v>
      </c>
      <c r="I4699" s="118">
        <f t="shared" si="278"/>
        <v>0.43675145431732632</v>
      </c>
      <c r="K4699" s="22">
        <v>1757.5</v>
      </c>
      <c r="L4699" s="6">
        <v>1767</v>
      </c>
      <c r="M4699" s="125">
        <f t="shared" si="273"/>
        <v>9.5</v>
      </c>
      <c r="P4699" s="247">
        <v>13860</v>
      </c>
      <c r="Q4699" s="25">
        <f>189.23/1233.9</f>
        <v>0.15335926736364372</v>
      </c>
      <c r="U4699" s="384">
        <v>0.1</v>
      </c>
      <c r="W4699" s="285">
        <f t="shared" si="280"/>
        <v>2338.1153902261126</v>
      </c>
      <c r="X4699" s="446">
        <f t="shared" si="277"/>
        <v>7.8862019914651498</v>
      </c>
    </row>
    <row r="4700" spans="1:24" ht="15" customHeight="1">
      <c r="A4700" s="3">
        <v>42423</v>
      </c>
      <c r="B4700" s="9">
        <v>100350</v>
      </c>
      <c r="C4700" s="5">
        <v>300</v>
      </c>
      <c r="D4700" s="5">
        <v>118450</v>
      </c>
      <c r="E4700" s="5">
        <v>219100</v>
      </c>
      <c r="F4700" s="4">
        <v>0</v>
      </c>
      <c r="G4700" s="5">
        <v>75</v>
      </c>
      <c r="H4700" s="5">
        <v>95650</v>
      </c>
      <c r="I4700" s="118">
        <f t="shared" si="278"/>
        <v>0.43655864901871294</v>
      </c>
      <c r="K4700" s="22">
        <v>1718</v>
      </c>
      <c r="L4700" s="6">
        <v>1724</v>
      </c>
      <c r="M4700" s="125">
        <f t="shared" si="273"/>
        <v>6</v>
      </c>
      <c r="P4700" s="247">
        <v>13810</v>
      </c>
      <c r="Q4700" s="25">
        <f>189.01/1233.2</f>
        <v>0.15326792085630878</v>
      </c>
      <c r="U4700" s="384">
        <v>0.1</v>
      </c>
      <c r="W4700" s="285">
        <f t="shared" si="280"/>
        <v>2328.292985728187</v>
      </c>
      <c r="X4700" s="446">
        <f t="shared" si="277"/>
        <v>8.038416763678697</v>
      </c>
    </row>
    <row r="4701" spans="1:24" ht="15" customHeight="1">
      <c r="A4701" s="3">
        <v>42424</v>
      </c>
      <c r="B4701" s="9">
        <v>99025</v>
      </c>
      <c r="C4701" s="5">
        <v>300</v>
      </c>
      <c r="D4701" s="5">
        <v>118350</v>
      </c>
      <c r="E4701" s="5">
        <v>217675</v>
      </c>
      <c r="F4701" s="4">
        <v>0</v>
      </c>
      <c r="G4701" s="5">
        <v>1425</v>
      </c>
      <c r="H4701" s="5">
        <v>94275</v>
      </c>
      <c r="I4701" s="118">
        <f t="shared" si="278"/>
        <v>0.43309980475479498</v>
      </c>
      <c r="K4701" s="22">
        <v>1689.5</v>
      </c>
      <c r="L4701" s="6">
        <v>1692</v>
      </c>
      <c r="M4701" s="125">
        <f t="shared" si="273"/>
        <v>2.5</v>
      </c>
      <c r="P4701" s="247">
        <v>13810</v>
      </c>
      <c r="Q4701" s="25">
        <f>188.31/1230.1</f>
        <v>0.15308511503129829</v>
      </c>
      <c r="U4701" s="384">
        <v>0.1</v>
      </c>
      <c r="W4701" s="285">
        <f t="shared" si="280"/>
        <v>2325.5159824404527</v>
      </c>
      <c r="X4701" s="446">
        <f t="shared" si="277"/>
        <v>8.174015981059485</v>
      </c>
    </row>
    <row r="4702" spans="1:24" ht="15" customHeight="1">
      <c r="A4702" s="3">
        <v>42425</v>
      </c>
      <c r="B4702" s="9">
        <v>97300</v>
      </c>
      <c r="C4702" s="5">
        <v>300</v>
      </c>
      <c r="D4702" s="5">
        <v>118275</v>
      </c>
      <c r="E4702" s="5">
        <v>215875</v>
      </c>
      <c r="F4702" s="4">
        <v>0</v>
      </c>
      <c r="G4702" s="5">
        <v>1800</v>
      </c>
      <c r="H4702" s="5">
        <v>92475</v>
      </c>
      <c r="I4702" s="118">
        <f t="shared" si="278"/>
        <v>0.42837290098436598</v>
      </c>
      <c r="K4702" s="22">
        <v>1708</v>
      </c>
      <c r="L4702" s="6">
        <v>1704</v>
      </c>
      <c r="M4702" s="125">
        <f t="shared" si="273"/>
        <v>-4</v>
      </c>
      <c r="P4702" s="247">
        <v>13840</v>
      </c>
      <c r="Q4702" s="25">
        <f>188.92/1234.8</f>
        <v>0.15299643666990606</v>
      </c>
      <c r="U4702" s="384">
        <v>0.1</v>
      </c>
      <c r="W4702" s="285">
        <f t="shared" si="280"/>
        <v>2329.2177518626499</v>
      </c>
      <c r="X4702" s="446">
        <f t="shared" si="277"/>
        <v>8.1030444964871187</v>
      </c>
    </row>
    <row r="4703" spans="1:24" ht="15" customHeight="1">
      <c r="A4703" s="3">
        <v>42426</v>
      </c>
      <c r="B4703" s="9">
        <v>95575</v>
      </c>
      <c r="C4703" s="5">
        <v>300</v>
      </c>
      <c r="D4703" s="5">
        <v>119425</v>
      </c>
      <c r="E4703" s="5">
        <v>215300</v>
      </c>
      <c r="F4703" s="4">
        <v>1150</v>
      </c>
      <c r="G4703" s="5">
        <v>1725</v>
      </c>
      <c r="H4703" s="5">
        <v>102600</v>
      </c>
      <c r="I4703" s="118">
        <f t="shared" si="278"/>
        <v>0.47654435671156525</v>
      </c>
      <c r="K4703" s="22">
        <v>1714</v>
      </c>
      <c r="L4703" s="6">
        <v>1711</v>
      </c>
      <c r="M4703" s="125">
        <f t="shared" si="273"/>
        <v>-3</v>
      </c>
      <c r="P4703" s="247">
        <v>13810</v>
      </c>
      <c r="Q4703" s="25">
        <f>189/1235.4</f>
        <v>0.152986886838271</v>
      </c>
      <c r="U4703" s="384">
        <v>0.1</v>
      </c>
      <c r="W4703" s="285">
        <f t="shared" si="280"/>
        <v>2324.0237979601748</v>
      </c>
      <c r="X4703" s="446">
        <f t="shared" si="277"/>
        <v>8.0571761960326729</v>
      </c>
    </row>
    <row r="4704" spans="1:24" ht="15" customHeight="1">
      <c r="A4704" s="3">
        <v>42429</v>
      </c>
      <c r="B4704" s="9">
        <v>93450</v>
      </c>
      <c r="C4704" s="5">
        <v>300</v>
      </c>
      <c r="D4704" s="5">
        <v>119425</v>
      </c>
      <c r="E4704" s="5">
        <v>213175</v>
      </c>
      <c r="F4704" s="4">
        <v>0</v>
      </c>
      <c r="G4704" s="5">
        <v>2125</v>
      </c>
      <c r="H4704" s="5">
        <v>100475</v>
      </c>
      <c r="I4704" s="118">
        <f t="shared" si="278"/>
        <v>0.47132637504397795</v>
      </c>
      <c r="K4704" s="22">
        <v>1777.5</v>
      </c>
      <c r="L4704" s="6">
        <v>1770</v>
      </c>
      <c r="M4704" s="125">
        <f t="shared" si="273"/>
        <v>-7.5</v>
      </c>
      <c r="N4704" s="235">
        <f>AVERAGE(K4684:K4704)</f>
        <v>1771.5714285714287</v>
      </c>
      <c r="O4704" s="230">
        <f>AVERAGE(K4663:K4704)</f>
        <v>1710.780487804878</v>
      </c>
      <c r="P4704" s="247">
        <v>13860</v>
      </c>
      <c r="Q4704" s="25">
        <f>189/1235.4</f>
        <v>0.152986886838271</v>
      </c>
      <c r="U4704" s="384">
        <v>0.1</v>
      </c>
      <c r="W4704" s="285">
        <f t="shared" si="280"/>
        <v>2332.43807673628</v>
      </c>
      <c r="X4704" s="446">
        <f t="shared" si="277"/>
        <v>7.7974683544303796</v>
      </c>
    </row>
    <row r="4705" spans="1:24" ht="15" customHeight="1" thickBot="1">
      <c r="A4705" s="216"/>
      <c r="B4705" s="1330"/>
      <c r="C4705" s="1330"/>
      <c r="D4705" s="1330"/>
      <c r="E4705" s="216"/>
      <c r="F4705" s="407"/>
      <c r="G4705" s="164"/>
      <c r="H4705" s="164"/>
      <c r="I4705" s="166"/>
      <c r="J4705" s="166"/>
      <c r="K4705" s="166"/>
      <c r="L4705" s="167"/>
      <c r="M4705" s="168"/>
      <c r="N4705" s="169" t="s">
        <v>52</v>
      </c>
      <c r="O4705" s="183"/>
      <c r="P4705" s="180"/>
      <c r="Q4705" s="154"/>
      <c r="R4705" s="248"/>
      <c r="S4705" s="249"/>
      <c r="T4705" s="249"/>
      <c r="U4705" s="152"/>
      <c r="V4705" s="153">
        <f>AVERAGE(P4684:P4704)</f>
        <v>13864.666666666666</v>
      </c>
      <c r="W4705" s="295"/>
      <c r="X4705" s="447">
        <f>AVERAGE(X4684:X4704)</f>
        <v>5.931609069784276</v>
      </c>
    </row>
    <row r="4706" spans="1:24" ht="15" customHeight="1">
      <c r="A4706" s="3">
        <v>42430</v>
      </c>
      <c r="B4706" s="9">
        <v>91750</v>
      </c>
      <c r="C4706" s="5">
        <v>300</v>
      </c>
      <c r="D4706" s="5">
        <v>119425</v>
      </c>
      <c r="E4706" s="5">
        <v>211475</v>
      </c>
      <c r="F4706" s="4">
        <v>0</v>
      </c>
      <c r="G4706" s="5">
        <v>1700</v>
      </c>
      <c r="H4706" s="5">
        <v>98925</v>
      </c>
      <c r="I4706" s="118">
        <f t="shared" ref="I4706:I4723" si="281">H4706/E4706</f>
        <v>0.4677857902825393</v>
      </c>
      <c r="K4706" s="22">
        <v>1776</v>
      </c>
      <c r="L4706" s="6">
        <v>1778</v>
      </c>
      <c r="M4706" s="125">
        <f t="shared" si="273"/>
        <v>2</v>
      </c>
      <c r="P4706" s="247">
        <v>13630</v>
      </c>
      <c r="Q4706" s="25">
        <f>189/1235.4</f>
        <v>0.152986886838271</v>
      </c>
      <c r="U4706" s="384">
        <v>0.1</v>
      </c>
      <c r="W4706" s="285">
        <f t="shared" si="280"/>
        <v>2293.7323943661972</v>
      </c>
      <c r="X4706" s="446">
        <f t="shared" si="277"/>
        <v>7.6745495495495497</v>
      </c>
    </row>
    <row r="4707" spans="1:24" ht="15" customHeight="1">
      <c r="A4707" s="3">
        <v>42431</v>
      </c>
      <c r="B4707" s="9">
        <v>91750</v>
      </c>
      <c r="C4707" s="5">
        <v>300</v>
      </c>
      <c r="D4707" s="5">
        <v>119425</v>
      </c>
      <c r="E4707" s="5">
        <v>211475</v>
      </c>
      <c r="F4707" s="4">
        <v>0</v>
      </c>
      <c r="G4707" s="5">
        <v>0</v>
      </c>
      <c r="H4707" s="5">
        <v>98925</v>
      </c>
      <c r="I4707" s="118">
        <f t="shared" si="281"/>
        <v>0.4677857902825393</v>
      </c>
      <c r="K4707" s="22">
        <v>1795</v>
      </c>
      <c r="L4707" s="6">
        <v>1792</v>
      </c>
      <c r="M4707" s="125">
        <f t="shared" si="273"/>
        <v>-3</v>
      </c>
      <c r="P4707" s="247">
        <v>13750</v>
      </c>
      <c r="Q4707" s="25">
        <f>189.53/1240.9</f>
        <v>0.15273591747924892</v>
      </c>
      <c r="U4707" s="384">
        <v>0.1</v>
      </c>
      <c r="W4707" s="285">
        <f t="shared" si="280"/>
        <v>2310.1307518736398</v>
      </c>
      <c r="X4707" s="446">
        <f t="shared" si="277"/>
        <v>7.6601671309192199</v>
      </c>
    </row>
    <row r="4708" spans="1:24" ht="15" customHeight="1">
      <c r="A4708" s="3">
        <v>42432</v>
      </c>
      <c r="B4708" s="9">
        <v>90250</v>
      </c>
      <c r="C4708" s="5">
        <v>300</v>
      </c>
      <c r="D4708" s="5">
        <v>119375</v>
      </c>
      <c r="E4708" s="5">
        <v>209925</v>
      </c>
      <c r="F4708" s="4">
        <v>0</v>
      </c>
      <c r="G4708" s="5">
        <v>1550</v>
      </c>
      <c r="H4708" s="5">
        <v>97375</v>
      </c>
      <c r="I4708" s="118">
        <f t="shared" si="281"/>
        <v>0.46385613909729667</v>
      </c>
      <c r="K4708" s="22">
        <v>1831.5</v>
      </c>
      <c r="L4708" s="6">
        <v>1832</v>
      </c>
      <c r="M4708" s="125">
        <f t="shared" si="273"/>
        <v>0.5</v>
      </c>
      <c r="P4708" s="247">
        <v>13800</v>
      </c>
      <c r="Q4708" s="25">
        <f>188.31/1232.7</f>
        <v>0.15276222925285957</v>
      </c>
      <c r="U4708" s="384">
        <v>0.1</v>
      </c>
      <c r="W4708" s="285">
        <f t="shared" si="280"/>
        <v>2318.9306400584082</v>
      </c>
      <c r="X4708" s="446">
        <f t="shared" si="277"/>
        <v>7.534807534807535</v>
      </c>
    </row>
    <row r="4709" spans="1:24" ht="15" customHeight="1">
      <c r="A4709" s="3">
        <v>42433</v>
      </c>
      <c r="B4709" s="9">
        <v>88750</v>
      </c>
      <c r="C4709" s="5">
        <v>300</v>
      </c>
      <c r="D4709" s="5">
        <v>119375</v>
      </c>
      <c r="E4709" s="5">
        <v>208425</v>
      </c>
      <c r="F4709" s="4">
        <v>0</v>
      </c>
      <c r="G4709" s="5">
        <v>1500</v>
      </c>
      <c r="H4709" s="5">
        <v>95875</v>
      </c>
      <c r="I4709" s="118">
        <f t="shared" si="281"/>
        <v>0.45999760105553555</v>
      </c>
      <c r="K4709" s="22">
        <v>1849</v>
      </c>
      <c r="L4709" s="6">
        <v>1847</v>
      </c>
      <c r="M4709" s="125">
        <f t="shared" si="273"/>
        <v>-2</v>
      </c>
      <c r="P4709" s="247">
        <v>13870</v>
      </c>
      <c r="Q4709" s="25">
        <f>186.27/1218.9</f>
        <v>0.15281811469357617</v>
      </c>
      <c r="U4709" s="384">
        <v>0.1</v>
      </c>
      <c r="W4709" s="285">
        <f t="shared" si="280"/>
        <v>2331.545975879892</v>
      </c>
      <c r="X4709" s="446">
        <f t="shared" si="277"/>
        <v>7.5013520822065978</v>
      </c>
    </row>
    <row r="4710" spans="1:24" ht="15" customHeight="1">
      <c r="A4710" s="3">
        <v>42436</v>
      </c>
      <c r="B4710" s="9">
        <v>87250</v>
      </c>
      <c r="C4710" s="5">
        <v>300</v>
      </c>
      <c r="D4710" s="5">
        <v>117925</v>
      </c>
      <c r="E4710" s="5">
        <v>205475</v>
      </c>
      <c r="F4710" s="4">
        <v>0</v>
      </c>
      <c r="G4710" s="5">
        <v>2950</v>
      </c>
      <c r="H4710" s="5">
        <v>104500</v>
      </c>
      <c r="I4710" s="118">
        <f t="shared" si="281"/>
        <v>0.50857768584986007</v>
      </c>
      <c r="K4710" s="22">
        <v>1896.5</v>
      </c>
      <c r="L4710" s="6">
        <v>1888</v>
      </c>
      <c r="M4710" s="125">
        <f t="shared" si="273"/>
        <v>-8.5</v>
      </c>
      <c r="P4710" s="247">
        <v>13870</v>
      </c>
      <c r="Q4710" s="25">
        <f>185.41/1208.5</f>
        <v>0.15342159702110053</v>
      </c>
      <c r="U4710" s="384">
        <v>0.1</v>
      </c>
      <c r="W4710" s="285">
        <f t="shared" si="280"/>
        <v>2340.7533057509313</v>
      </c>
      <c r="X4710" s="446">
        <f t="shared" si="277"/>
        <v>7.313472185605062</v>
      </c>
    </row>
    <row r="4711" spans="1:24" ht="15" customHeight="1">
      <c r="A4711" s="3">
        <v>42437</v>
      </c>
      <c r="B4711" s="9">
        <v>87125</v>
      </c>
      <c r="C4711" s="5">
        <v>300</v>
      </c>
      <c r="D4711" s="5">
        <v>116375</v>
      </c>
      <c r="E4711" s="5">
        <v>203800</v>
      </c>
      <c r="F4711" s="4">
        <v>0</v>
      </c>
      <c r="G4711" s="5">
        <v>1675</v>
      </c>
      <c r="H4711" s="5">
        <v>102825</v>
      </c>
      <c r="I4711" s="118">
        <f t="shared" si="281"/>
        <v>0.50453876349362115</v>
      </c>
      <c r="K4711" s="22">
        <v>1878</v>
      </c>
      <c r="L4711" s="6">
        <v>1861</v>
      </c>
      <c r="M4711" s="125">
        <f t="shared" si="273"/>
        <v>-17</v>
      </c>
      <c r="P4711" s="247">
        <v>13810</v>
      </c>
      <c r="Q4711" s="25">
        <f>184.6/1200.7</f>
        <v>0.15374364953776962</v>
      </c>
      <c r="U4711" s="384">
        <v>0.1</v>
      </c>
      <c r="W4711" s="285">
        <f t="shared" si="280"/>
        <v>2335.5197801282584</v>
      </c>
      <c r="X4711" s="446">
        <f t="shared" si="277"/>
        <v>7.3535676251331203</v>
      </c>
    </row>
    <row r="4712" spans="1:24" ht="15" customHeight="1">
      <c r="A4712" s="3">
        <v>42438</v>
      </c>
      <c r="B4712" s="9">
        <v>87025</v>
      </c>
      <c r="C4712" s="5">
        <v>300</v>
      </c>
      <c r="D4712" s="5">
        <v>84050</v>
      </c>
      <c r="E4712" s="5">
        <v>171375</v>
      </c>
      <c r="F4712" s="4">
        <v>875</v>
      </c>
      <c r="G4712" s="5">
        <v>33000</v>
      </c>
      <c r="H4712" s="5">
        <v>69625</v>
      </c>
      <c r="I4712" s="118">
        <f t="shared" si="281"/>
        <v>0.40627279358132751</v>
      </c>
      <c r="K4712" s="22">
        <v>1858</v>
      </c>
      <c r="L4712" s="6">
        <v>1851</v>
      </c>
      <c r="M4712" s="125">
        <f t="shared" si="273"/>
        <v>-7</v>
      </c>
      <c r="P4712" s="247">
        <v>13640</v>
      </c>
      <c r="Q4712" s="25">
        <f>185.17/1205.2</f>
        <v>0.15364254895453036</v>
      </c>
      <c r="U4712" s="384">
        <v>0.1</v>
      </c>
      <c r="W4712" s="285">
        <f t="shared" si="280"/>
        <v>2305.2528045137738</v>
      </c>
      <c r="X4712" s="446">
        <f t="shared" si="277"/>
        <v>7.3412271259418729</v>
      </c>
    </row>
    <row r="4713" spans="1:24" ht="15" customHeight="1">
      <c r="A4713" s="3">
        <v>42439</v>
      </c>
      <c r="B4713" s="9">
        <v>86825</v>
      </c>
      <c r="C4713" s="5">
        <v>300</v>
      </c>
      <c r="D4713" s="5">
        <v>82325</v>
      </c>
      <c r="E4713" s="5">
        <v>169450</v>
      </c>
      <c r="F4713" s="4">
        <v>0</v>
      </c>
      <c r="G4713" s="5">
        <v>1925</v>
      </c>
      <c r="H4713" s="5">
        <v>67700</v>
      </c>
      <c r="I4713" s="118">
        <f t="shared" si="281"/>
        <v>0.39952788433166125</v>
      </c>
      <c r="K4713" s="22">
        <v>1853</v>
      </c>
      <c r="L4713" s="6">
        <v>1842</v>
      </c>
      <c r="M4713" s="125">
        <f t="shared" si="273"/>
        <v>-11</v>
      </c>
      <c r="P4713" s="247">
        <v>13640</v>
      </c>
      <c r="Q4713" s="25">
        <f>186.36/1214.5</f>
        <v>0.15344586249485387</v>
      </c>
      <c r="U4713" s="384">
        <v>0.1</v>
      </c>
      <c r="W4713" s="285">
        <f t="shared" si="280"/>
        <v>2302.3017208727879</v>
      </c>
      <c r="X4713" s="446">
        <f t="shared" si="277"/>
        <v>7.3610361575822987</v>
      </c>
    </row>
    <row r="4714" spans="1:24" ht="15" customHeight="1">
      <c r="A4714" s="3">
        <v>42440</v>
      </c>
      <c r="B4714" s="9">
        <v>86825</v>
      </c>
      <c r="C4714" s="5">
        <v>300</v>
      </c>
      <c r="D4714" s="5">
        <v>82325</v>
      </c>
      <c r="E4714" s="5">
        <v>169450</v>
      </c>
      <c r="F4714" s="4">
        <v>0</v>
      </c>
      <c r="G4714" s="5">
        <v>0</v>
      </c>
      <c r="H4714" s="5">
        <v>67825</v>
      </c>
      <c r="I4714" s="118">
        <f t="shared" si="281"/>
        <v>0.40026556506344052</v>
      </c>
      <c r="K4714" s="22">
        <v>1840</v>
      </c>
      <c r="L4714" s="6">
        <v>1835.5</v>
      </c>
      <c r="M4714" s="125">
        <f t="shared" si="273"/>
        <v>-4.5</v>
      </c>
      <c r="P4714" s="247">
        <v>13620</v>
      </c>
      <c r="Q4714" s="25">
        <f>184.88/1200.1</f>
        <v>0.15405382884759605</v>
      </c>
      <c r="U4714" s="384">
        <v>0.1</v>
      </c>
      <c r="W4714" s="285">
        <f t="shared" si="280"/>
        <v>2308.0344637946841</v>
      </c>
      <c r="X4714" s="446">
        <f t="shared" si="277"/>
        <v>7.4021739130434785</v>
      </c>
    </row>
    <row r="4715" spans="1:24" ht="15" customHeight="1">
      <c r="A4715" s="3">
        <v>42443</v>
      </c>
      <c r="B4715" s="9">
        <v>86825</v>
      </c>
      <c r="C4715" s="5">
        <v>300</v>
      </c>
      <c r="D4715" s="5">
        <v>79300</v>
      </c>
      <c r="E4715" s="5">
        <v>166425</v>
      </c>
      <c r="F4715" s="4">
        <v>0</v>
      </c>
      <c r="G4715" s="5">
        <v>3025</v>
      </c>
      <c r="H4715" s="5">
        <v>64800</v>
      </c>
      <c r="I4715" s="118">
        <f t="shared" si="281"/>
        <v>0.38936457863902657</v>
      </c>
      <c r="K4715" s="22">
        <v>1841</v>
      </c>
      <c r="L4715" s="6">
        <v>1853</v>
      </c>
      <c r="M4715" s="125">
        <f t="shared" si="273"/>
        <v>12</v>
      </c>
      <c r="P4715" s="247">
        <v>13660</v>
      </c>
      <c r="Q4715" s="25">
        <f>184.88/1200.1</f>
        <v>0.15405382884759605</v>
      </c>
      <c r="U4715" s="384">
        <v>0.1</v>
      </c>
      <c r="W4715" s="285">
        <f t="shared" si="280"/>
        <v>2314.8128322639786</v>
      </c>
      <c r="X4715" s="446">
        <f t="shared" si="277"/>
        <v>7.4198804997284089</v>
      </c>
    </row>
    <row r="4716" spans="1:24" ht="15" customHeight="1">
      <c r="A4716" s="3">
        <v>42444</v>
      </c>
      <c r="B4716" s="9">
        <v>86825</v>
      </c>
      <c r="C4716" s="5">
        <v>300</v>
      </c>
      <c r="D4716" s="5">
        <v>77625</v>
      </c>
      <c r="E4716" s="5">
        <v>164800</v>
      </c>
      <c r="F4716" s="4">
        <v>0</v>
      </c>
      <c r="G4716" s="5">
        <v>1625</v>
      </c>
      <c r="H4716" s="5">
        <v>63175</v>
      </c>
      <c r="I4716" s="118">
        <f t="shared" si="281"/>
        <v>0.38334344660194175</v>
      </c>
      <c r="K4716" s="22">
        <v>1797</v>
      </c>
      <c r="L4716" s="6">
        <v>1805</v>
      </c>
      <c r="M4716" s="125">
        <f t="shared" si="273"/>
        <v>8</v>
      </c>
      <c r="P4716" s="247">
        <v>13650</v>
      </c>
      <c r="Q4716" s="25">
        <f>182.88/1186.5</f>
        <v>0.15413400758533502</v>
      </c>
      <c r="U4716" s="384">
        <v>0.1</v>
      </c>
      <c r="W4716" s="285">
        <f t="shared" si="280"/>
        <v>2314.3221238938054</v>
      </c>
      <c r="X4716" s="446">
        <f t="shared" si="277"/>
        <v>7.5959933222036726</v>
      </c>
    </row>
    <row r="4717" spans="1:24" ht="15" customHeight="1">
      <c r="A4717" s="3">
        <v>42445</v>
      </c>
      <c r="B4717" s="9">
        <v>91825</v>
      </c>
      <c r="C4717" s="5">
        <v>300</v>
      </c>
      <c r="D4717" s="5">
        <v>76050</v>
      </c>
      <c r="E4717" s="5">
        <v>168175</v>
      </c>
      <c r="F4717" s="4">
        <v>5000</v>
      </c>
      <c r="G4717" s="5">
        <v>1625</v>
      </c>
      <c r="H4717" s="5">
        <v>61550</v>
      </c>
      <c r="I4717" s="118">
        <f t="shared" si="281"/>
        <v>0.36598781031663447</v>
      </c>
      <c r="K4717" s="22">
        <v>1768</v>
      </c>
      <c r="L4717" s="6">
        <v>1776</v>
      </c>
      <c r="M4717" s="125">
        <f t="shared" si="273"/>
        <v>8</v>
      </c>
      <c r="P4717" s="247">
        <v>13570</v>
      </c>
      <c r="Q4717" s="25">
        <f>182.98/1189.2</f>
        <v>0.15386814665321222</v>
      </c>
      <c r="U4717" s="384">
        <v>0.1</v>
      </c>
      <c r="W4717" s="285">
        <f t="shared" si="280"/>
        <v>2296.7898250924991</v>
      </c>
      <c r="X4717" s="446">
        <f t="shared" si="277"/>
        <v>7.6753393665158374</v>
      </c>
    </row>
    <row r="4718" spans="1:24" ht="15" customHeight="1">
      <c r="A4718" s="3">
        <v>42446</v>
      </c>
      <c r="B4718" s="9">
        <v>91600</v>
      </c>
      <c r="C4718" s="5">
        <v>300</v>
      </c>
      <c r="D4718" s="5">
        <v>74350</v>
      </c>
      <c r="E4718" s="5">
        <v>166250</v>
      </c>
      <c r="F4718" s="4">
        <v>0</v>
      </c>
      <c r="G4718" s="5">
        <v>1925</v>
      </c>
      <c r="H4718" s="5">
        <v>59625</v>
      </c>
      <c r="I4718" s="118">
        <f t="shared" si="281"/>
        <v>0.35864661654135338</v>
      </c>
      <c r="K4718" s="22">
        <v>1812</v>
      </c>
      <c r="L4718" s="6">
        <v>1815</v>
      </c>
      <c r="M4718" s="125">
        <f t="shared" si="273"/>
        <v>3</v>
      </c>
      <c r="P4718" s="247">
        <v>13590</v>
      </c>
      <c r="Q4718" s="25">
        <f>183.04/1192.7</f>
        <v>0.15346692378636706</v>
      </c>
      <c r="U4718" s="384">
        <v>0.1</v>
      </c>
      <c r="W4718" s="285">
        <f t="shared" si="280"/>
        <v>2294.1770436824013</v>
      </c>
      <c r="X4718" s="446">
        <f t="shared" si="277"/>
        <v>7.5</v>
      </c>
    </row>
    <row r="4719" spans="1:24" ht="15" customHeight="1">
      <c r="A4719" s="3">
        <v>42447</v>
      </c>
      <c r="B4719" s="9">
        <v>91600</v>
      </c>
      <c r="C4719" s="5">
        <v>300</v>
      </c>
      <c r="D4719" s="5">
        <v>72800</v>
      </c>
      <c r="E4719" s="5">
        <v>164700</v>
      </c>
      <c r="F4719" s="4">
        <v>0</v>
      </c>
      <c r="G4719" s="5">
        <v>1550</v>
      </c>
      <c r="H4719" s="5">
        <v>58075</v>
      </c>
      <c r="I4719" s="118">
        <f t="shared" si="281"/>
        <v>0.35261080752884033</v>
      </c>
      <c r="K4719" s="22">
        <v>1820.5</v>
      </c>
      <c r="L4719" s="6">
        <v>1826</v>
      </c>
      <c r="M4719" s="125">
        <f t="shared" si="273"/>
        <v>5.5</v>
      </c>
      <c r="P4719" s="247">
        <v>13640</v>
      </c>
      <c r="Q4719" s="25">
        <f>180.83/1174.5</f>
        <v>0.15396338867603238</v>
      </c>
      <c r="U4719" s="384">
        <v>0.1</v>
      </c>
      <c r="W4719" s="285">
        <f t="shared" si="280"/>
        <v>2310.06668369519</v>
      </c>
      <c r="X4719" s="446">
        <f t="shared" si="277"/>
        <v>7.4924471299093653</v>
      </c>
    </row>
    <row r="4720" spans="1:24" ht="15" customHeight="1">
      <c r="A4720" s="3">
        <v>42450</v>
      </c>
      <c r="B4720" s="9">
        <v>91600</v>
      </c>
      <c r="C4720" s="5">
        <v>300</v>
      </c>
      <c r="D4720" s="5">
        <v>71300</v>
      </c>
      <c r="E4720" s="5">
        <v>163200</v>
      </c>
      <c r="F4720" s="4">
        <v>0</v>
      </c>
      <c r="G4720" s="5">
        <v>1500</v>
      </c>
      <c r="H4720" s="5">
        <v>56575</v>
      </c>
      <c r="I4720" s="118">
        <f t="shared" si="281"/>
        <v>0.34666053921568629</v>
      </c>
      <c r="K4720" s="22">
        <v>1806.5</v>
      </c>
      <c r="L4720" s="6">
        <v>1815</v>
      </c>
      <c r="M4720" s="125">
        <f t="shared" si="273"/>
        <v>8.5</v>
      </c>
      <c r="P4720" s="247">
        <v>13640</v>
      </c>
      <c r="Q4720" s="25">
        <f>179.76/1161.3</f>
        <v>0.15479204339963834</v>
      </c>
      <c r="U4720" s="384">
        <v>0.1</v>
      </c>
      <c r="W4720" s="285">
        <f t="shared" si="280"/>
        <v>2322.4998191681739</v>
      </c>
      <c r="X4720" s="446">
        <f t="shared" si="277"/>
        <v>7.5505120398560752</v>
      </c>
    </row>
    <row r="4721" spans="1:24" ht="15" customHeight="1">
      <c r="A4721" s="3">
        <v>42451</v>
      </c>
      <c r="B4721" s="9">
        <v>91100</v>
      </c>
      <c r="C4721" s="5">
        <v>300</v>
      </c>
      <c r="D4721" s="5">
        <v>70100</v>
      </c>
      <c r="E4721" s="5">
        <v>161500</v>
      </c>
      <c r="F4721" s="4">
        <v>300</v>
      </c>
      <c r="G4721" s="5">
        <v>2000</v>
      </c>
      <c r="H4721" s="5">
        <v>54575</v>
      </c>
      <c r="I4721" s="118">
        <f t="shared" si="281"/>
        <v>0.33792569659442723</v>
      </c>
      <c r="K4721" s="22">
        <v>1810</v>
      </c>
      <c r="L4721" s="6">
        <v>1820</v>
      </c>
      <c r="M4721" s="125">
        <f t="shared" si="273"/>
        <v>10</v>
      </c>
      <c r="P4721" s="247">
        <v>13620</v>
      </c>
      <c r="Q4721" s="25">
        <f>179.95/1165.3</f>
        <v>0.15442375353986099</v>
      </c>
      <c r="U4721" s="384">
        <v>0.1</v>
      </c>
      <c r="W4721" s="285">
        <f t="shared" si="280"/>
        <v>2313.5766755341974</v>
      </c>
      <c r="X4721" s="446">
        <f t="shared" si="277"/>
        <v>7.5248618784530388</v>
      </c>
    </row>
    <row r="4722" spans="1:24" ht="15" customHeight="1">
      <c r="A4722" s="3">
        <v>42452</v>
      </c>
      <c r="B4722" s="9">
        <v>91000</v>
      </c>
      <c r="C4722" s="5">
        <v>300</v>
      </c>
      <c r="D4722" s="5">
        <v>68600</v>
      </c>
      <c r="E4722" s="5">
        <v>159900</v>
      </c>
      <c r="F4722" s="4">
        <v>0</v>
      </c>
      <c r="G4722" s="5">
        <v>1600</v>
      </c>
      <c r="H4722" s="5">
        <v>53150</v>
      </c>
      <c r="I4722" s="118">
        <f t="shared" si="281"/>
        <v>0.33239524702939338</v>
      </c>
      <c r="K4722" s="22">
        <v>1795</v>
      </c>
      <c r="L4722" s="6">
        <v>1802</v>
      </c>
      <c r="M4722" s="125">
        <f t="shared" si="273"/>
        <v>7</v>
      </c>
      <c r="P4722" s="247">
        <v>13580</v>
      </c>
      <c r="Q4722" s="25">
        <f>178.84/1159.5</f>
        <v>0.15423889607589478</v>
      </c>
      <c r="U4722" s="384">
        <v>0.1</v>
      </c>
      <c r="W4722" s="285">
        <f t="shared" si="280"/>
        <v>2304.0206295817165</v>
      </c>
      <c r="X4722" s="446">
        <f t="shared" si="277"/>
        <v>7.5654596100278555</v>
      </c>
    </row>
    <row r="4723" spans="1:24" ht="15" customHeight="1">
      <c r="A4723" s="3">
        <v>42453</v>
      </c>
      <c r="B4723" s="9">
        <v>91000</v>
      </c>
      <c r="C4723" s="5">
        <v>300</v>
      </c>
      <c r="D4723" s="5">
        <v>67100</v>
      </c>
      <c r="E4723" s="5">
        <v>158400</v>
      </c>
      <c r="F4723" s="4">
        <v>0</v>
      </c>
      <c r="G4723" s="5">
        <v>1500</v>
      </c>
      <c r="H4723" s="5">
        <v>51650</v>
      </c>
      <c r="I4723" s="118">
        <f t="shared" si="281"/>
        <v>0.32607323232323232</v>
      </c>
      <c r="K4723" s="22">
        <v>1755</v>
      </c>
      <c r="L4723" s="6">
        <v>1763</v>
      </c>
      <c r="M4723" s="125">
        <f t="shared" si="273"/>
        <v>8</v>
      </c>
      <c r="P4723" s="247">
        <v>13540</v>
      </c>
      <c r="Q4723" s="25">
        <f>178.27/1158.8</f>
        <v>0.1538401794960304</v>
      </c>
      <c r="U4723" s="384">
        <v>0.1</v>
      </c>
      <c r="W4723" s="285">
        <f t="shared" si="280"/>
        <v>2291.2956334138771</v>
      </c>
      <c r="X4723" s="446">
        <f t="shared" si="277"/>
        <v>7.7150997150997149</v>
      </c>
    </row>
    <row r="4724" spans="1:24" ht="15" customHeight="1">
      <c r="A4724" s="3">
        <v>42454</v>
      </c>
      <c r="B4724" s="1318"/>
      <c r="C4724" s="1318"/>
      <c r="D4724" s="1318"/>
      <c r="E4724" s="1318"/>
      <c r="F4724" s="1318"/>
      <c r="G4724" s="1318"/>
      <c r="H4724" s="1318"/>
      <c r="I4724" s="1318"/>
      <c r="J4724" s="1318"/>
      <c r="K4724" s="1318"/>
      <c r="L4724" s="1318"/>
      <c r="M4724" s="1318"/>
      <c r="P4724" s="247">
        <v>13540</v>
      </c>
      <c r="Q4724" s="25">
        <f>179.19/1167.1</f>
        <v>0.15353440150801131</v>
      </c>
      <c r="U4724" s="384">
        <v>0.1</v>
      </c>
      <c r="W4724" s="285">
        <f t="shared" si="280"/>
        <v>2286.7413760603208</v>
      </c>
      <c r="X4724" s="446"/>
    </row>
    <row r="4725" spans="1:24" ht="15" customHeight="1">
      <c r="A4725" s="3">
        <v>42457</v>
      </c>
      <c r="B4725" s="1318"/>
      <c r="C4725" s="1318"/>
      <c r="D4725" s="1318"/>
      <c r="E4725" s="1318"/>
      <c r="F4725" s="1318"/>
      <c r="G4725" s="1318"/>
      <c r="H4725" s="1318"/>
      <c r="I4725" s="1318"/>
      <c r="J4725" s="1318"/>
      <c r="K4725" s="1318"/>
      <c r="L4725" s="1318"/>
      <c r="M4725" s="1318"/>
      <c r="P4725" s="247">
        <v>13580</v>
      </c>
      <c r="Q4725" s="25">
        <f>179.19/1167.1</f>
        <v>0.15353440150801131</v>
      </c>
      <c r="U4725" s="384">
        <v>0.1</v>
      </c>
      <c r="W4725" s="285">
        <f t="shared" si="280"/>
        <v>2293.4968897266735</v>
      </c>
      <c r="X4725" s="446"/>
    </row>
    <row r="4726" spans="1:24" ht="15" customHeight="1">
      <c r="A4726" s="3">
        <v>42458</v>
      </c>
      <c r="B4726" s="9">
        <v>91000</v>
      </c>
      <c r="C4726" s="5">
        <v>300</v>
      </c>
      <c r="D4726" s="5">
        <v>65850</v>
      </c>
      <c r="E4726" s="5">
        <v>157150</v>
      </c>
      <c r="F4726" s="4">
        <v>300</v>
      </c>
      <c r="G4726" s="5">
        <v>1550</v>
      </c>
      <c r="H4726" s="5">
        <v>50100</v>
      </c>
      <c r="I4726" s="118">
        <f>H4726/E4726</f>
        <v>0.31880369074132991</v>
      </c>
      <c r="K4726" s="22">
        <v>1744</v>
      </c>
      <c r="L4726" s="6">
        <v>1755</v>
      </c>
      <c r="M4726" s="125">
        <f t="shared" ref="M4726:M4750" si="282">L4726-K4726</f>
        <v>11</v>
      </c>
      <c r="P4726" s="247">
        <v>13580</v>
      </c>
      <c r="Q4726" s="25">
        <f>178.51/1163</f>
        <v>0.15349097162510747</v>
      </c>
      <c r="U4726" s="384">
        <v>0.1</v>
      </c>
      <c r="W4726" s="285">
        <f t="shared" si="280"/>
        <v>2292.8481341358556</v>
      </c>
      <c r="X4726" s="446">
        <f t="shared" si="277"/>
        <v>7.7866972477064218</v>
      </c>
    </row>
    <row r="4727" spans="1:24" ht="15" customHeight="1">
      <c r="A4727" s="3">
        <v>42459</v>
      </c>
      <c r="B4727" s="9">
        <v>90650</v>
      </c>
      <c r="C4727" s="5">
        <v>300</v>
      </c>
      <c r="D4727" s="5">
        <v>65125</v>
      </c>
      <c r="E4727" s="5">
        <v>156075</v>
      </c>
      <c r="F4727" s="4">
        <v>0</v>
      </c>
      <c r="G4727" s="5">
        <v>1075</v>
      </c>
      <c r="H4727" s="5">
        <v>49025</v>
      </c>
      <c r="I4727" s="118">
        <f>H4727/E4727</f>
        <v>0.31411180522184845</v>
      </c>
      <c r="K4727" s="22">
        <v>1738</v>
      </c>
      <c r="L4727" s="6">
        <v>1750</v>
      </c>
      <c r="M4727" s="125">
        <f t="shared" si="282"/>
        <v>12</v>
      </c>
      <c r="P4727" s="247">
        <v>13550</v>
      </c>
      <c r="Q4727" s="25">
        <f>177.69/1153.5</f>
        <v>0.15404421326397919</v>
      </c>
      <c r="U4727" s="384">
        <v>0.1</v>
      </c>
      <c r="W4727" s="285">
        <f t="shared" si="280"/>
        <v>2296.0289986996099</v>
      </c>
      <c r="X4727" s="446">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18">
        <f>H4728/E4728</f>
        <v>0.31533408107675054</v>
      </c>
      <c r="K4728" s="22">
        <v>1704.5</v>
      </c>
      <c r="L4728" s="6">
        <v>1710.5</v>
      </c>
      <c r="M4728" s="125">
        <f t="shared" si="282"/>
        <v>6</v>
      </c>
      <c r="N4728" s="235">
        <f>AVERAGE(K4706:K4728)</f>
        <v>1808.0238095238096</v>
      </c>
      <c r="O4728" s="230">
        <f>AVERAGE(K4663:K4728)</f>
        <v>1743.7177419354839</v>
      </c>
      <c r="P4728" s="247">
        <v>13380</v>
      </c>
      <c r="Q4728" s="25">
        <f>177.69/1153.5</f>
        <v>0.15404421326397919</v>
      </c>
      <c r="U4728" s="384">
        <v>0.1</v>
      </c>
      <c r="W4728" s="285">
        <f t="shared" si="280"/>
        <v>2267.222730819246</v>
      </c>
      <c r="X4728" s="446">
        <f t="shared" si="283"/>
        <v>7.8498093282487531</v>
      </c>
    </row>
    <row r="4729" spans="1:24" ht="15" customHeight="1" thickBot="1">
      <c r="A4729" s="216"/>
      <c r="B4729" s="1330"/>
      <c r="C4729" s="1330"/>
      <c r="D4729" s="1330"/>
      <c r="E4729" s="216"/>
      <c r="F4729" s="407"/>
      <c r="G4729" s="164"/>
      <c r="H4729" s="164"/>
      <c r="I4729" s="166"/>
      <c r="J4729" s="166"/>
      <c r="K4729" s="166"/>
      <c r="L4729" s="167"/>
      <c r="M4729" s="168"/>
      <c r="N4729" s="169" t="s">
        <v>52</v>
      </c>
      <c r="O4729" s="183"/>
      <c r="P4729" s="180"/>
      <c r="Q4729" s="154"/>
      <c r="R4729" s="248"/>
      <c r="S4729" s="249"/>
      <c r="T4729" s="249"/>
      <c r="U4729" s="152"/>
      <c r="V4729" s="153">
        <f>AVERAGE(P4706:P4728)</f>
        <v>13641.304347826086</v>
      </c>
      <c r="W4729" s="295"/>
      <c r="X4729" s="447">
        <f>AVERAGE(X4706:X4728)</f>
        <v>7.5530843356658117</v>
      </c>
    </row>
    <row r="4730" spans="1:24" ht="15" customHeight="1">
      <c r="A4730" s="3">
        <v>42461</v>
      </c>
      <c r="B4730" s="9">
        <v>90650</v>
      </c>
      <c r="C4730" s="5">
        <v>300</v>
      </c>
      <c r="D4730" s="5">
        <v>65025</v>
      </c>
      <c r="E4730" s="5">
        <v>155975</v>
      </c>
      <c r="F4730" s="4">
        <v>0</v>
      </c>
      <c r="G4730" s="5">
        <v>50</v>
      </c>
      <c r="H4730" s="5">
        <v>49150</v>
      </c>
      <c r="I4730" s="118">
        <f t="shared" ref="I4730:I4750" si="284">H4730/E4730</f>
        <v>0.31511460169899025</v>
      </c>
      <c r="K4730" s="22">
        <v>1719.5</v>
      </c>
      <c r="L4730" s="6">
        <v>1730</v>
      </c>
      <c r="M4730" s="125">
        <f t="shared" si="282"/>
        <v>10.5</v>
      </c>
      <c r="P4730" s="247">
        <v>13400</v>
      </c>
      <c r="Q4730" s="25">
        <f>176.81/1144.5</f>
        <v>0.1544866754041066</v>
      </c>
      <c r="U4730" s="384">
        <v>0.1</v>
      </c>
      <c r="W4730" s="285">
        <f t="shared" si="280"/>
        <v>2277.1335954565316</v>
      </c>
      <c r="X4730" s="446">
        <f t="shared" si="283"/>
        <v>7.7929630706600754</v>
      </c>
    </row>
    <row r="4731" spans="1:24" ht="15" customHeight="1">
      <c r="A4731" s="3">
        <v>42464</v>
      </c>
      <c r="B4731" s="9">
        <v>90600</v>
      </c>
      <c r="C4731" s="5">
        <v>300</v>
      </c>
      <c r="D4731" s="5">
        <v>65025</v>
      </c>
      <c r="E4731" s="5">
        <v>155925</v>
      </c>
      <c r="F4731" s="4">
        <v>0</v>
      </c>
      <c r="G4731" s="5">
        <v>50</v>
      </c>
      <c r="H4731" s="5">
        <v>49100</v>
      </c>
      <c r="I4731" s="118">
        <f t="shared" si="284"/>
        <v>0.31489498156164825</v>
      </c>
      <c r="K4731" s="22">
        <v>1726</v>
      </c>
      <c r="L4731" s="6">
        <v>1738</v>
      </c>
      <c r="M4731" s="125">
        <f t="shared" si="282"/>
        <v>12</v>
      </c>
      <c r="P4731" s="247">
        <v>13400</v>
      </c>
      <c r="Q4731" s="25">
        <f>177.44/1148.9</f>
        <v>0.15444338062494559</v>
      </c>
      <c r="U4731" s="384">
        <v>0.1</v>
      </c>
      <c r="W4731" s="285">
        <f t="shared" si="280"/>
        <v>2276.4954304116982</v>
      </c>
      <c r="X4731" s="446">
        <f t="shared" si="283"/>
        <v>7.7636152954808804</v>
      </c>
    </row>
    <row r="4732" spans="1:24" ht="15" customHeight="1">
      <c r="A4732" s="3">
        <v>42465</v>
      </c>
      <c r="B4732" s="9">
        <v>90475</v>
      </c>
      <c r="C4732" s="5">
        <v>300</v>
      </c>
      <c r="D4732" s="5">
        <v>65025</v>
      </c>
      <c r="E4732" s="5">
        <v>155800</v>
      </c>
      <c r="F4732" s="4">
        <v>0</v>
      </c>
      <c r="G4732" s="5">
        <v>125</v>
      </c>
      <c r="H4732" s="5">
        <v>48975</v>
      </c>
      <c r="I4732" s="118">
        <f t="shared" si="284"/>
        <v>0.31434531450577663</v>
      </c>
      <c r="K4732" s="22">
        <v>1698</v>
      </c>
      <c r="L4732" s="6">
        <v>1712</v>
      </c>
      <c r="M4732" s="125">
        <f t="shared" si="282"/>
        <v>14</v>
      </c>
      <c r="P4732" s="247">
        <v>13370</v>
      </c>
      <c r="Q4732" s="25">
        <f>178.38/1155</f>
        <v>0.15444155844155844</v>
      </c>
      <c r="U4732" s="384">
        <v>0.1</v>
      </c>
      <c r="W4732" s="285">
        <f t="shared" si="280"/>
        <v>2271.3720000000003</v>
      </c>
      <c r="X4732" s="446">
        <f t="shared" si="283"/>
        <v>7.8739693757361602</v>
      </c>
    </row>
    <row r="4733" spans="1:24" ht="15" customHeight="1">
      <c r="A4733" s="3">
        <v>42466</v>
      </c>
      <c r="B4733" s="9">
        <v>90400</v>
      </c>
      <c r="C4733" s="5">
        <v>300</v>
      </c>
      <c r="D4733" s="5">
        <v>65025</v>
      </c>
      <c r="E4733" s="5">
        <v>155725</v>
      </c>
      <c r="F4733" s="4">
        <v>0</v>
      </c>
      <c r="G4733" s="5">
        <v>75</v>
      </c>
      <c r="H4733" s="5">
        <v>48900</v>
      </c>
      <c r="I4733" s="118">
        <f t="shared" si="284"/>
        <v>0.31401509070476802</v>
      </c>
      <c r="K4733" s="22">
        <v>1683</v>
      </c>
      <c r="L4733" s="6">
        <v>1696</v>
      </c>
      <c r="M4733" s="125">
        <f t="shared" si="282"/>
        <v>13</v>
      </c>
      <c r="P4733" s="247">
        <v>13370</v>
      </c>
      <c r="Q4733" s="25">
        <f>178.38/1155</f>
        <v>0.15444155844155844</v>
      </c>
      <c r="U4733" s="384">
        <v>0.1</v>
      </c>
      <c r="W4733" s="285">
        <f t="shared" si="280"/>
        <v>2271.3720000000003</v>
      </c>
      <c r="X4733" s="446">
        <f t="shared" si="283"/>
        <v>7.9441473559120617</v>
      </c>
    </row>
    <row r="4734" spans="1:24" ht="15" customHeight="1">
      <c r="A4734" s="3">
        <v>42467</v>
      </c>
      <c r="B4734" s="9">
        <v>89900</v>
      </c>
      <c r="C4734" s="5">
        <v>300</v>
      </c>
      <c r="D4734" s="5">
        <v>66500</v>
      </c>
      <c r="E4734" s="5">
        <v>156700</v>
      </c>
      <c r="F4734" s="4">
        <v>1500</v>
      </c>
      <c r="G4734" s="5">
        <v>525</v>
      </c>
      <c r="H4734" s="5">
        <v>48475</v>
      </c>
      <c r="I4734" s="118">
        <f t="shared" si="284"/>
        <v>0.30934907466496492</v>
      </c>
      <c r="K4734" s="22">
        <v>1688</v>
      </c>
      <c r="L4734" s="6">
        <v>1706</v>
      </c>
      <c r="M4734" s="125">
        <f t="shared" si="282"/>
        <v>18</v>
      </c>
      <c r="P4734" s="247">
        <v>13370</v>
      </c>
      <c r="Q4734" s="25">
        <f>178.29/1155.9</f>
        <v>0.15424344666493639</v>
      </c>
      <c r="U4734" s="384">
        <v>0.1</v>
      </c>
      <c r="W4734" s="285">
        <f t="shared" si="280"/>
        <v>2268.4583701012198</v>
      </c>
      <c r="X4734" s="446">
        <f t="shared" si="283"/>
        <v>7.9206161137440763</v>
      </c>
    </row>
    <row r="4735" spans="1:24" ht="15" customHeight="1">
      <c r="A4735" s="3">
        <v>42468</v>
      </c>
      <c r="B4735" s="9">
        <v>89275</v>
      </c>
      <c r="C4735" s="5">
        <v>300</v>
      </c>
      <c r="D4735" s="5">
        <v>66500</v>
      </c>
      <c r="E4735" s="5">
        <v>156075</v>
      </c>
      <c r="F4735" s="4">
        <v>0</v>
      </c>
      <c r="G4735" s="5">
        <v>625</v>
      </c>
      <c r="H4735" s="5">
        <v>47950</v>
      </c>
      <c r="I4735" s="118">
        <f t="shared" si="284"/>
        <v>0.30722409098189973</v>
      </c>
      <c r="K4735" s="22">
        <v>1683</v>
      </c>
      <c r="L4735" s="6">
        <v>1697.5</v>
      </c>
      <c r="M4735" s="125">
        <f t="shared" si="282"/>
        <v>14.5</v>
      </c>
      <c r="P4735" s="247">
        <v>13270</v>
      </c>
      <c r="Q4735" s="25">
        <f>178.12/1154.5</f>
        <v>0.15428323949761802</v>
      </c>
      <c r="U4735" s="384">
        <v>0.1</v>
      </c>
      <c r="W4735" s="285">
        <f t="shared" si="280"/>
        <v>2252.0724469467305</v>
      </c>
      <c r="X4735" s="446">
        <f t="shared" si="283"/>
        <v>7.8847296494355321</v>
      </c>
    </row>
    <row r="4736" spans="1:24" ht="15" customHeight="1">
      <c r="A4736" s="3">
        <v>42471</v>
      </c>
      <c r="B4736" s="9">
        <v>88975</v>
      </c>
      <c r="C4736" s="5">
        <v>300</v>
      </c>
      <c r="D4736" s="5">
        <v>66475</v>
      </c>
      <c r="E4736" s="5">
        <v>155750</v>
      </c>
      <c r="F4736" s="4">
        <v>0</v>
      </c>
      <c r="G4736" s="5">
        <v>325</v>
      </c>
      <c r="H4736" s="5">
        <v>47725</v>
      </c>
      <c r="I4736" s="118">
        <f t="shared" si="284"/>
        <v>0.30642054574638844</v>
      </c>
      <c r="K4736" s="22">
        <v>1686</v>
      </c>
      <c r="L4736" s="6">
        <v>1697</v>
      </c>
      <c r="M4736" s="125">
        <f t="shared" si="282"/>
        <v>11</v>
      </c>
      <c r="P4736" s="247">
        <v>13280</v>
      </c>
      <c r="Q4736" s="25">
        <f>177.5/1149.2</f>
        <v>0.15445527323355376</v>
      </c>
      <c r="U4736" s="384">
        <v>0.1</v>
      </c>
      <c r="W4736" s="285">
        <f t="shared" si="280"/>
        <v>2256.2826313957539</v>
      </c>
      <c r="X4736" s="446">
        <f t="shared" si="283"/>
        <v>7.876631079478055</v>
      </c>
    </row>
    <row r="4737" spans="1:24" ht="15" customHeight="1">
      <c r="A4737" s="3">
        <v>42472</v>
      </c>
      <c r="B4737" s="9">
        <v>88975</v>
      </c>
      <c r="C4737" s="5">
        <v>300</v>
      </c>
      <c r="D4737" s="5">
        <v>66375</v>
      </c>
      <c r="E4737" s="5">
        <v>155650</v>
      </c>
      <c r="F4737" s="4">
        <v>0</v>
      </c>
      <c r="G4737" s="5">
        <v>100</v>
      </c>
      <c r="H4737" s="5">
        <v>47625</v>
      </c>
      <c r="I4737" s="118">
        <f t="shared" si="284"/>
        <v>0.30597494378413104</v>
      </c>
      <c r="K4737" s="22">
        <v>1690.5</v>
      </c>
      <c r="L4737" s="6">
        <v>1700</v>
      </c>
      <c r="M4737" s="125">
        <f t="shared" si="282"/>
        <v>9.5</v>
      </c>
      <c r="P4737" s="247">
        <v>13280</v>
      </c>
      <c r="Q4737" s="25" t="s">
        <v>48</v>
      </c>
      <c r="U4737" s="384">
        <v>0.1</v>
      </c>
      <c r="W4737" s="321" t="s">
        <v>48</v>
      </c>
      <c r="X4737" s="446">
        <f t="shared" si="283"/>
        <v>7.8556640047323274</v>
      </c>
    </row>
    <row r="4738" spans="1:24" ht="15" customHeight="1">
      <c r="A4738" s="3">
        <v>42473</v>
      </c>
      <c r="B4738" s="9">
        <v>95925</v>
      </c>
      <c r="C4738" s="5">
        <v>300</v>
      </c>
      <c r="D4738" s="5">
        <v>66275</v>
      </c>
      <c r="E4738" s="5">
        <v>162500</v>
      </c>
      <c r="F4738" s="4">
        <v>6950</v>
      </c>
      <c r="G4738" s="5">
        <v>100</v>
      </c>
      <c r="H4738" s="5">
        <v>47525</v>
      </c>
      <c r="I4738" s="118">
        <f t="shared" si="284"/>
        <v>0.29246153846153844</v>
      </c>
      <c r="K4738" s="22">
        <v>1716.5</v>
      </c>
      <c r="L4738" s="6">
        <v>1729</v>
      </c>
      <c r="M4738" s="125">
        <f t="shared" si="282"/>
        <v>12.5</v>
      </c>
      <c r="P4738" s="247">
        <v>13420</v>
      </c>
      <c r="Q4738" s="25">
        <f>177.5/1149.2</f>
        <v>0.15445527323355376</v>
      </c>
      <c r="U4738" s="384">
        <v>0.1</v>
      </c>
      <c r="W4738" s="285">
        <f t="shared" si="280"/>
        <v>2280.068743473721</v>
      </c>
      <c r="X4738" s="446">
        <f t="shared" si="283"/>
        <v>7.8182347800757359</v>
      </c>
    </row>
    <row r="4739" spans="1:24" ht="15" customHeight="1">
      <c r="A4739" s="3">
        <v>42474</v>
      </c>
      <c r="B4739" s="9">
        <v>95825</v>
      </c>
      <c r="C4739" s="5">
        <v>300</v>
      </c>
      <c r="D4739" s="5">
        <v>66200</v>
      </c>
      <c r="E4739" s="5">
        <v>162325</v>
      </c>
      <c r="F4739" s="4">
        <v>0</v>
      </c>
      <c r="G4739" s="5">
        <v>175</v>
      </c>
      <c r="H4739" s="5">
        <v>47450</v>
      </c>
      <c r="I4739" s="118">
        <f t="shared" si="284"/>
        <v>0.29231480055444325</v>
      </c>
      <c r="K4739" s="22">
        <v>1740.5</v>
      </c>
      <c r="L4739" s="6">
        <v>1750</v>
      </c>
      <c r="M4739" s="125">
        <f t="shared" si="282"/>
        <v>9.5</v>
      </c>
      <c r="P4739" s="247">
        <v>13360</v>
      </c>
      <c r="Q4739" s="25">
        <f>177.66/1153.4</f>
        <v>0.15403155886942949</v>
      </c>
      <c r="U4739" s="384">
        <v>0.1</v>
      </c>
      <c r="W4739" s="285">
        <f t="shared" si="280"/>
        <v>2263.6477891451359</v>
      </c>
      <c r="X4739" s="446">
        <f t="shared" si="283"/>
        <v>7.675955185291583</v>
      </c>
    </row>
    <row r="4740" spans="1:24" ht="15" customHeight="1">
      <c r="A4740" s="3">
        <v>42475</v>
      </c>
      <c r="B4740" s="9">
        <v>95825</v>
      </c>
      <c r="C4740" s="5">
        <v>300</v>
      </c>
      <c r="D4740" s="5">
        <v>66500</v>
      </c>
      <c r="E4740" s="5">
        <v>162625</v>
      </c>
      <c r="F4740" s="4">
        <v>375</v>
      </c>
      <c r="G4740" s="5">
        <v>75</v>
      </c>
      <c r="H4740" s="5">
        <v>47375</v>
      </c>
      <c r="I4740" s="118">
        <f t="shared" si="284"/>
        <v>0.29131437355880091</v>
      </c>
      <c r="K4740" s="22">
        <v>1708.5</v>
      </c>
      <c r="L4740" s="6">
        <v>1719</v>
      </c>
      <c r="M4740" s="125">
        <f t="shared" si="282"/>
        <v>10.5</v>
      </c>
      <c r="P4740" s="247">
        <v>13330</v>
      </c>
      <c r="Q4740" s="25">
        <f>177.66/1153.4</f>
        <v>0.15403155886942949</v>
      </c>
      <c r="U4740" s="384">
        <v>0.1</v>
      </c>
      <c r="W4740" s="285">
        <f t="shared" si="280"/>
        <v>2258.5647477024449</v>
      </c>
      <c r="X4740" s="446">
        <f t="shared" si="283"/>
        <v>7.8021656423763535</v>
      </c>
    </row>
    <row r="4741" spans="1:24" ht="15" customHeight="1">
      <c r="A4741" s="3">
        <v>42478</v>
      </c>
      <c r="B4741" s="9">
        <v>95775</v>
      </c>
      <c r="C4741" s="5">
        <v>300</v>
      </c>
      <c r="D4741" s="5">
        <v>66500</v>
      </c>
      <c r="E4741" s="5">
        <v>162275</v>
      </c>
      <c r="F4741" s="4">
        <v>0</v>
      </c>
      <c r="G4741" s="5">
        <v>50</v>
      </c>
      <c r="H4741" s="5">
        <v>47425</v>
      </c>
      <c r="I4741" s="118">
        <f t="shared" si="284"/>
        <v>0.2922508088122015</v>
      </c>
      <c r="K4741" s="22">
        <v>1711.5</v>
      </c>
      <c r="L4741" s="6">
        <v>1718</v>
      </c>
      <c r="M4741" s="125">
        <f t="shared" si="282"/>
        <v>6.5</v>
      </c>
      <c r="P4741" s="247">
        <v>13330</v>
      </c>
      <c r="Q4741" s="25">
        <f>177.28/1150.7</f>
        <v>0.15406274441644216</v>
      </c>
      <c r="U4741" s="384">
        <v>0.1</v>
      </c>
      <c r="W4741" s="285">
        <f t="shared" si="280"/>
        <v>2259.0220213782914</v>
      </c>
      <c r="X4741" s="446">
        <f t="shared" si="283"/>
        <v>7.7884896289804262</v>
      </c>
    </row>
    <row r="4742" spans="1:24" ht="15" customHeight="1">
      <c r="A4742" s="3">
        <v>42479</v>
      </c>
      <c r="B4742" s="9">
        <v>95400</v>
      </c>
      <c r="C4742" s="5">
        <v>300</v>
      </c>
      <c r="D4742" s="5">
        <v>66500</v>
      </c>
      <c r="E4742" s="5">
        <v>162200</v>
      </c>
      <c r="F4742" s="4">
        <v>0</v>
      </c>
      <c r="G4742" s="5">
        <v>375</v>
      </c>
      <c r="H4742" s="5">
        <v>47050</v>
      </c>
      <c r="I4742" s="118">
        <f t="shared" si="284"/>
        <v>0.29007398273736129</v>
      </c>
      <c r="K4742" s="22">
        <v>1728</v>
      </c>
      <c r="L4742" s="6">
        <v>1728</v>
      </c>
      <c r="M4742" s="125">
        <f t="shared" si="282"/>
        <v>0</v>
      </c>
      <c r="P4742" s="247">
        <v>13290</v>
      </c>
      <c r="Q4742" s="25">
        <f>175.97/1140.5</f>
        <v>0.15429197720298116</v>
      </c>
      <c r="U4742" s="384">
        <v>0.1</v>
      </c>
      <c r="W4742" s="285">
        <f t="shared" si="280"/>
        <v>2255.5944147303817</v>
      </c>
      <c r="X4742" s="446">
        <f t="shared" si="283"/>
        <v>7.6909722222222223</v>
      </c>
    </row>
    <row r="4743" spans="1:24" ht="15" customHeight="1">
      <c r="A4743" s="3">
        <v>42480</v>
      </c>
      <c r="B4743" s="9">
        <v>95400</v>
      </c>
      <c r="C4743" s="5">
        <v>300</v>
      </c>
      <c r="D4743" s="5">
        <v>78225</v>
      </c>
      <c r="E4743" s="5">
        <v>173925</v>
      </c>
      <c r="F4743" s="4">
        <v>11850</v>
      </c>
      <c r="G4743" s="5">
        <v>125</v>
      </c>
      <c r="H4743" s="5">
        <v>46950</v>
      </c>
      <c r="I4743" s="118">
        <f t="shared" si="284"/>
        <v>0.26994394135403194</v>
      </c>
      <c r="K4743" s="22">
        <v>1773.5</v>
      </c>
      <c r="L4743" s="6">
        <v>1773.5</v>
      </c>
      <c r="M4743" s="125">
        <f t="shared" si="282"/>
        <v>0</v>
      </c>
      <c r="P4743" s="247">
        <v>13350</v>
      </c>
      <c r="Q4743" s="25">
        <f>174.89/1132.3</f>
        <v>0.15445553298595777</v>
      </c>
      <c r="U4743" s="384">
        <v>0.1</v>
      </c>
      <c r="W4743" s="285">
        <f t="shared" si="280"/>
        <v>2268.17950189879</v>
      </c>
      <c r="X4743" s="446">
        <f t="shared" si="283"/>
        <v>7.5274880180434174</v>
      </c>
    </row>
    <row r="4744" spans="1:24" ht="15" customHeight="1">
      <c r="A4744" s="3">
        <v>42481</v>
      </c>
      <c r="B4744" s="9">
        <v>95400</v>
      </c>
      <c r="C4744" s="5">
        <v>300</v>
      </c>
      <c r="D4744" s="5">
        <v>78075</v>
      </c>
      <c r="E4744" s="5">
        <v>173775</v>
      </c>
      <c r="F4744" s="4">
        <v>0</v>
      </c>
      <c r="G4744" s="5">
        <v>150</v>
      </c>
      <c r="H4744" s="5">
        <v>46800</v>
      </c>
      <c r="I4744" s="118">
        <f t="shared" si="284"/>
        <v>0.26931376780319377</v>
      </c>
      <c r="K4744" s="22">
        <v>1793.5</v>
      </c>
      <c r="L4744" s="6">
        <v>1792</v>
      </c>
      <c r="M4744" s="125">
        <f t="shared" si="282"/>
        <v>-1.5</v>
      </c>
      <c r="P4744" s="247">
        <v>13380</v>
      </c>
      <c r="Q4744" s="25">
        <f>174.98/1134.9</f>
        <v>0.15418098510882014</v>
      </c>
      <c r="U4744" s="384">
        <v>0.1</v>
      </c>
      <c r="W4744" s="285">
        <f t="shared" ref="W4744:W4750" si="285">(P4744*Q4744)*(1+U4744)</f>
        <v>2269.235738831615</v>
      </c>
      <c r="X4744" s="446">
        <f t="shared" si="283"/>
        <v>7.46027320880959</v>
      </c>
    </row>
    <row r="4745" spans="1:24" ht="15" customHeight="1">
      <c r="A4745" s="3">
        <v>42482</v>
      </c>
      <c r="B4745" s="9">
        <v>95250</v>
      </c>
      <c r="C4745" s="5">
        <v>300</v>
      </c>
      <c r="D4745" s="5">
        <v>79725</v>
      </c>
      <c r="E4745" s="5">
        <v>175275</v>
      </c>
      <c r="F4745" s="4">
        <v>1700</v>
      </c>
      <c r="G4745" s="5">
        <v>200</v>
      </c>
      <c r="H4745" s="5">
        <v>60275</v>
      </c>
      <c r="I4745" s="118">
        <f t="shared" si="284"/>
        <v>0.34388817572386249</v>
      </c>
      <c r="K4745" s="22">
        <v>1774</v>
      </c>
      <c r="L4745" s="6">
        <v>1780</v>
      </c>
      <c r="M4745" s="125">
        <f t="shared" si="282"/>
        <v>6</v>
      </c>
      <c r="P4745" s="247">
        <v>13320</v>
      </c>
      <c r="Q4745" s="25">
        <f>174.98/1134.9</f>
        <v>0.15418098510882014</v>
      </c>
      <c r="U4745" s="384">
        <v>0.1</v>
      </c>
      <c r="W4745" s="285">
        <f t="shared" si="285"/>
        <v>2259.0597938144329</v>
      </c>
      <c r="X4745" s="446">
        <f t="shared" si="283"/>
        <v>7.5084554678692221</v>
      </c>
    </row>
    <row r="4746" spans="1:24" ht="15" customHeight="1">
      <c r="A4746" s="3">
        <v>42485</v>
      </c>
      <c r="B4746" s="9">
        <v>95000</v>
      </c>
      <c r="C4746" s="5">
        <v>300</v>
      </c>
      <c r="D4746" s="5">
        <v>80025</v>
      </c>
      <c r="E4746" s="5">
        <v>175325</v>
      </c>
      <c r="F4746" s="4">
        <v>300</v>
      </c>
      <c r="G4746" s="5">
        <v>250</v>
      </c>
      <c r="H4746" s="5">
        <v>68050</v>
      </c>
      <c r="I4746" s="118">
        <f t="shared" si="284"/>
        <v>0.38813631826607731</v>
      </c>
      <c r="K4746" s="22">
        <v>1773</v>
      </c>
      <c r="L4746" s="6">
        <v>1775</v>
      </c>
      <c r="M4746" s="125">
        <f t="shared" si="282"/>
        <v>2</v>
      </c>
      <c r="P4746" s="247">
        <v>13320</v>
      </c>
      <c r="Q4746" s="25">
        <f>175.85/1141.1</f>
        <v>0.15410568749452283</v>
      </c>
      <c r="U4746" s="384">
        <v>0.1</v>
      </c>
      <c r="W4746" s="285">
        <f t="shared" si="285"/>
        <v>2257.956533169749</v>
      </c>
      <c r="X4746" s="446">
        <f t="shared" si="283"/>
        <v>7.5126903553299496</v>
      </c>
    </row>
    <row r="4747" spans="1:24" ht="15" customHeight="1">
      <c r="A4747" s="3">
        <v>42486</v>
      </c>
      <c r="B4747" s="9">
        <v>95000</v>
      </c>
      <c r="C4747" s="5">
        <v>300</v>
      </c>
      <c r="D4747" s="5">
        <v>80025</v>
      </c>
      <c r="E4747" s="5">
        <v>175325</v>
      </c>
      <c r="F4747" s="4">
        <v>0</v>
      </c>
      <c r="G4747" s="5">
        <v>0</v>
      </c>
      <c r="H4747" s="5">
        <v>79700</v>
      </c>
      <c r="I4747" s="118">
        <f t="shared" si="284"/>
        <v>0.45458434336232711</v>
      </c>
      <c r="K4747" s="22">
        <v>1733.5</v>
      </c>
      <c r="L4747" s="6">
        <v>1738</v>
      </c>
      <c r="M4747" s="125">
        <f t="shared" si="282"/>
        <v>4.5</v>
      </c>
      <c r="P4747" s="247">
        <v>13250</v>
      </c>
      <c r="Q4747" s="25">
        <f>176.74/1149.7</f>
        <v>0.15372705923284335</v>
      </c>
      <c r="U4747" s="384">
        <v>0.1</v>
      </c>
      <c r="W4747" s="285">
        <f t="shared" si="285"/>
        <v>2240.5718883186919</v>
      </c>
      <c r="X4747" s="446">
        <f t="shared" si="283"/>
        <v>7.6434958177098355</v>
      </c>
    </row>
    <row r="4748" spans="1:24" ht="15" customHeight="1">
      <c r="A4748" s="3">
        <v>42487</v>
      </c>
      <c r="B4748" s="9">
        <v>95000</v>
      </c>
      <c r="C4748" s="5">
        <v>300</v>
      </c>
      <c r="D4748" s="5">
        <v>80025</v>
      </c>
      <c r="E4748" s="5">
        <v>175325</v>
      </c>
      <c r="F4748" s="4">
        <v>0</v>
      </c>
      <c r="G4748" s="5">
        <v>0</v>
      </c>
      <c r="H4748" s="5">
        <v>79700</v>
      </c>
      <c r="I4748" s="118">
        <f t="shared" si="284"/>
        <v>0.45458434336232711</v>
      </c>
      <c r="K4748" s="22">
        <v>1745</v>
      </c>
      <c r="L4748" s="6">
        <v>1751</v>
      </c>
      <c r="M4748" s="125">
        <f t="shared" si="282"/>
        <v>6</v>
      </c>
      <c r="P4748" s="247">
        <v>13170</v>
      </c>
      <c r="Q4748" s="25">
        <f>176.31/1145.9</f>
        <v>0.15386159350728684</v>
      </c>
      <c r="U4748" s="384">
        <v>0.1</v>
      </c>
      <c r="W4748" s="285">
        <f t="shared" si="285"/>
        <v>2228.9929051400645</v>
      </c>
      <c r="X4748" s="446">
        <f t="shared" si="283"/>
        <v>7.5472779369627503</v>
      </c>
    </row>
    <row r="4749" spans="1:24" ht="15" customHeight="1">
      <c r="A4749" s="3">
        <v>42488</v>
      </c>
      <c r="B4749" s="9">
        <v>94650</v>
      </c>
      <c r="C4749" s="5">
        <v>300</v>
      </c>
      <c r="D4749" s="5">
        <v>80000</v>
      </c>
      <c r="E4749" s="5">
        <v>174950</v>
      </c>
      <c r="F4749" s="4">
        <v>0</v>
      </c>
      <c r="G4749" s="5">
        <v>375</v>
      </c>
      <c r="H4749" s="5">
        <v>79325</v>
      </c>
      <c r="I4749" s="118">
        <f t="shared" si="284"/>
        <v>0.45341526150328665</v>
      </c>
      <c r="K4749" s="22">
        <v>1735</v>
      </c>
      <c r="L4749" s="6">
        <v>1733</v>
      </c>
      <c r="M4749" s="125">
        <f t="shared" si="282"/>
        <v>-2</v>
      </c>
      <c r="P4749" s="247">
        <v>13140</v>
      </c>
      <c r="Q4749" s="25">
        <f>175.95/1143.9</f>
        <v>0.15381589299763962</v>
      </c>
      <c r="U4749" s="384">
        <v>0.1</v>
      </c>
      <c r="W4749" s="285">
        <f t="shared" si="285"/>
        <v>2223.2549173878833</v>
      </c>
      <c r="X4749" s="446">
        <f t="shared" si="283"/>
        <v>7.5734870317002878</v>
      </c>
    </row>
    <row r="4750" spans="1:24" ht="15" customHeight="1">
      <c r="A4750" s="3">
        <v>42489</v>
      </c>
      <c r="B4750" s="9">
        <v>94550</v>
      </c>
      <c r="C4750" s="5">
        <v>300</v>
      </c>
      <c r="D4750" s="5">
        <v>80175</v>
      </c>
      <c r="E4750" s="5">
        <v>175025</v>
      </c>
      <c r="F4750" s="4">
        <v>450</v>
      </c>
      <c r="G4750" s="5">
        <v>375</v>
      </c>
      <c r="H4750" s="5">
        <v>78950</v>
      </c>
      <c r="I4750" s="118">
        <f t="shared" si="284"/>
        <v>0.45107841736894727</v>
      </c>
      <c r="K4750" s="22">
        <v>1795.5</v>
      </c>
      <c r="L4750" s="6">
        <v>1797</v>
      </c>
      <c r="M4750" s="125">
        <f t="shared" si="282"/>
        <v>1.5</v>
      </c>
      <c r="N4750" s="235">
        <f>AVERAGE(K4730:K4750)</f>
        <v>1728.6666666666667</v>
      </c>
      <c r="O4750" s="230">
        <f>AVERAGE(K4663:K4750)</f>
        <v>1739.9096385542168</v>
      </c>
      <c r="P4750" s="247">
        <v>13170</v>
      </c>
      <c r="Q4750" s="25">
        <f>175.51/1138.1</f>
        <v>0.1542131622880239</v>
      </c>
      <c r="U4750" s="384">
        <v>0.1</v>
      </c>
      <c r="W4750" s="285">
        <f t="shared" si="285"/>
        <v>2234.0860820666026</v>
      </c>
      <c r="X4750" s="446">
        <f t="shared" si="283"/>
        <v>7.3350041771094405</v>
      </c>
    </row>
    <row r="4751" spans="1:24" ht="15" customHeight="1" thickBot="1">
      <c r="A4751" s="216"/>
      <c r="B4751" s="1330"/>
      <c r="C4751" s="1330"/>
      <c r="D4751" s="1330"/>
      <c r="E4751" s="216"/>
      <c r="F4751" s="407"/>
      <c r="G4751" s="164"/>
      <c r="H4751" s="164"/>
      <c r="I4751" s="166"/>
      <c r="J4751" s="166"/>
      <c r="K4751" s="166"/>
      <c r="L4751" s="167"/>
      <c r="M4751" s="168"/>
      <c r="N4751" s="169" t="s">
        <v>52</v>
      </c>
      <c r="O4751" s="183"/>
      <c r="P4751" s="180"/>
      <c r="Q4751" s="154"/>
      <c r="R4751" s="248"/>
      <c r="S4751" s="249"/>
      <c r="T4751" s="249"/>
      <c r="U4751" s="152"/>
      <c r="V4751" s="153">
        <f>AVERAGE(P4730:P4750)</f>
        <v>13312.857142857143</v>
      </c>
      <c r="W4751" s="295"/>
      <c r="X4751" s="447">
        <f>AVERAGE(X4730:X4750)</f>
        <v>7.7045869246504779</v>
      </c>
    </row>
    <row r="4752" spans="1:24" ht="15" customHeight="1">
      <c r="A4752" s="3">
        <v>42492</v>
      </c>
      <c r="B4752" s="1328"/>
      <c r="C4752" s="1328"/>
      <c r="D4752" s="1328"/>
      <c r="E4752" s="1328"/>
      <c r="F4752" s="1328"/>
      <c r="G4752" s="1328"/>
      <c r="H4752" s="1328"/>
      <c r="I4752" s="1328"/>
      <c r="J4752" s="1328"/>
      <c r="K4752" s="1328"/>
      <c r="L4752" s="1328"/>
      <c r="M4752" s="1328"/>
      <c r="P4752" s="25" t="s">
        <v>48</v>
      </c>
      <c r="Q4752" s="25">
        <f>175.95/1140.8</f>
        <v>0.15423387096774194</v>
      </c>
      <c r="U4752" s="384">
        <v>0.1</v>
      </c>
      <c r="W4752" s="321" t="s">
        <v>48</v>
      </c>
      <c r="X4752" s="446"/>
    </row>
    <row r="4753" spans="1:24" ht="15" customHeight="1">
      <c r="A4753" s="3">
        <v>42493</v>
      </c>
      <c r="B4753" s="9">
        <v>80175</v>
      </c>
      <c r="C4753" s="5">
        <v>300</v>
      </c>
      <c r="D4753" s="5">
        <v>93850</v>
      </c>
      <c r="E4753" s="5">
        <v>174325</v>
      </c>
      <c r="F4753" s="4">
        <v>0</v>
      </c>
      <c r="G4753" s="5">
        <v>700</v>
      </c>
      <c r="H4753" s="5">
        <v>78250</v>
      </c>
      <c r="I4753" s="118">
        <f t="shared" ref="I4753:I4776" si="286">H4753/E4753</f>
        <v>0.44887422916965436</v>
      </c>
      <c r="J4753" s="5">
        <v>53055</v>
      </c>
      <c r="K4753" s="22">
        <v>1780</v>
      </c>
      <c r="L4753" s="6">
        <v>1780</v>
      </c>
      <c r="M4753" s="125">
        <f t="shared" ref="M4753:M4791" si="287">L4753-K4753</f>
        <v>0</v>
      </c>
      <c r="P4753" s="247">
        <v>13170</v>
      </c>
      <c r="Q4753" s="25">
        <f>175.34/1137.1</f>
        <v>0.15419927886729401</v>
      </c>
      <c r="U4753" s="384">
        <v>0.1</v>
      </c>
      <c r="W4753" s="285">
        <f>(P4753*Q4753)*(1+U4753)</f>
        <v>2233.8849529504887</v>
      </c>
      <c r="X4753" s="446">
        <f t="shared" si="283"/>
        <v>7.3988764044943824</v>
      </c>
    </row>
    <row r="4754" spans="1:24" ht="15" customHeight="1">
      <c r="A4754" s="3">
        <v>42494</v>
      </c>
      <c r="B4754" s="9">
        <v>80175</v>
      </c>
      <c r="C4754" s="5">
        <v>300</v>
      </c>
      <c r="D4754" s="5">
        <v>93650</v>
      </c>
      <c r="E4754" s="5">
        <v>174125</v>
      </c>
      <c r="F4754" s="4">
        <v>0</v>
      </c>
      <c r="G4754" s="5">
        <v>200</v>
      </c>
      <c r="H4754" s="5">
        <v>78050</v>
      </c>
      <c r="I4754" s="118">
        <f t="shared" si="286"/>
        <v>0.44824120603015077</v>
      </c>
      <c r="J4754" s="5">
        <v>51109</v>
      </c>
      <c r="K4754" s="22">
        <v>1765.5</v>
      </c>
      <c r="L4754" s="6">
        <v>1762</v>
      </c>
      <c r="M4754" s="125">
        <f t="shared" si="287"/>
        <v>-3.5</v>
      </c>
      <c r="P4754" s="247">
        <v>13115</v>
      </c>
      <c r="Q4754" s="25">
        <f>175.34/1137.1</f>
        <v>0.15419927886729401</v>
      </c>
      <c r="U4754" s="384">
        <v>0.1</v>
      </c>
      <c r="W4754" s="285">
        <f>(P4754*Q4754)*(1+U4754)</f>
        <v>2224.5558965790174</v>
      </c>
      <c r="X4754" s="446">
        <f t="shared" si="283"/>
        <v>7.4284905126026626</v>
      </c>
    </row>
    <row r="4755" spans="1:24" ht="15" customHeight="1">
      <c r="A4755" s="3">
        <v>42495</v>
      </c>
      <c r="B4755" s="9">
        <v>80725</v>
      </c>
      <c r="C4755" s="5">
        <v>300</v>
      </c>
      <c r="D4755" s="5">
        <v>93650</v>
      </c>
      <c r="E4755" s="5">
        <v>174675</v>
      </c>
      <c r="F4755" s="4">
        <v>550</v>
      </c>
      <c r="G4755" s="5">
        <v>0</v>
      </c>
      <c r="H4755" s="5">
        <v>78050</v>
      </c>
      <c r="I4755" s="118">
        <f t="shared" si="286"/>
        <v>0.44682982682123945</v>
      </c>
      <c r="J4755" s="5">
        <v>33543</v>
      </c>
      <c r="K4755" s="22">
        <v>1745</v>
      </c>
      <c r="L4755" s="6">
        <v>1739</v>
      </c>
      <c r="M4755" s="125">
        <f>L4755-K4755</f>
        <v>-6</v>
      </c>
      <c r="P4755" s="247">
        <v>12950</v>
      </c>
      <c r="Q4755" s="25" t="s">
        <v>48</v>
      </c>
      <c r="U4755" s="384">
        <v>0.1</v>
      </c>
      <c r="W4755" s="321" t="s">
        <v>48</v>
      </c>
      <c r="X4755" s="446">
        <f t="shared" si="283"/>
        <v>7.4212034383954153</v>
      </c>
    </row>
    <row r="4756" spans="1:24" ht="15" customHeight="1">
      <c r="A4756" s="3">
        <v>42496</v>
      </c>
      <c r="B4756" s="9">
        <v>80575</v>
      </c>
      <c r="C4756" s="5">
        <v>300</v>
      </c>
      <c r="D4756" s="5">
        <v>93150</v>
      </c>
      <c r="E4756" s="5">
        <v>174025</v>
      </c>
      <c r="F4756" s="4">
        <v>0</v>
      </c>
      <c r="G4756" s="5">
        <v>650</v>
      </c>
      <c r="H4756" s="5">
        <v>77400</v>
      </c>
      <c r="I4756" s="118">
        <f t="shared" si="286"/>
        <v>0.44476368337882488</v>
      </c>
      <c r="J4756" s="5">
        <v>31239</v>
      </c>
      <c r="K4756" s="22">
        <v>1741.5</v>
      </c>
      <c r="L4756" s="6">
        <v>1737</v>
      </c>
      <c r="M4756" s="125">
        <f t="shared" si="287"/>
        <v>-4.5</v>
      </c>
      <c r="P4756" s="247">
        <v>12950</v>
      </c>
      <c r="Q4756" s="25" t="s">
        <v>48</v>
      </c>
      <c r="U4756" s="384">
        <v>0.1</v>
      </c>
      <c r="W4756" s="321" t="s">
        <v>48</v>
      </c>
      <c r="X4756" s="446">
        <f t="shared" si="283"/>
        <v>7.4361182888314667</v>
      </c>
    </row>
    <row r="4757" spans="1:24" ht="15" customHeight="1">
      <c r="A4757" s="3">
        <v>42499</v>
      </c>
      <c r="B4757" s="9">
        <v>80525</v>
      </c>
      <c r="C4757" s="5">
        <v>300</v>
      </c>
      <c r="D4757" s="5">
        <v>92950</v>
      </c>
      <c r="E4757" s="5">
        <v>173775</v>
      </c>
      <c r="F4757" s="4">
        <v>0</v>
      </c>
      <c r="G4757" s="5">
        <v>250</v>
      </c>
      <c r="H4757" s="5">
        <v>77075</v>
      </c>
      <c r="I4757" s="118">
        <f t="shared" si="286"/>
        <v>0.44353330456049489</v>
      </c>
      <c r="J4757" s="5">
        <v>40363</v>
      </c>
      <c r="K4757" s="22">
        <v>1737</v>
      </c>
      <c r="L4757" s="6">
        <v>1738</v>
      </c>
      <c r="M4757" s="125">
        <f t="shared" si="287"/>
        <v>1</v>
      </c>
      <c r="P4757" s="247">
        <v>12890</v>
      </c>
      <c r="Q4757" s="25">
        <f>178.72/1164.7</f>
        <v>0.15344723963252338</v>
      </c>
      <c r="U4757" s="384">
        <v>0.1</v>
      </c>
      <c r="W4757" s="285">
        <f t="shared" ref="W4757:W4780" si="288">(P4757*Q4757)*(1+U4757)</f>
        <v>2175.7284107495493</v>
      </c>
      <c r="X4757" s="446">
        <f t="shared" si="283"/>
        <v>7.42084052964882</v>
      </c>
    </row>
    <row r="4758" spans="1:24" ht="15" customHeight="1">
      <c r="A4758" s="3">
        <v>42500</v>
      </c>
      <c r="B4758" s="9">
        <v>82400</v>
      </c>
      <c r="C4758" s="5">
        <v>300</v>
      </c>
      <c r="D4758" s="5">
        <v>92650</v>
      </c>
      <c r="E4758" s="5">
        <v>175350</v>
      </c>
      <c r="F4758" s="4">
        <v>1975</v>
      </c>
      <c r="G4758" s="5">
        <v>400</v>
      </c>
      <c r="H4758" s="5">
        <v>76675</v>
      </c>
      <c r="I4758" s="118">
        <f t="shared" si="286"/>
        <v>0.43726832050185344</v>
      </c>
      <c r="J4758" s="5">
        <v>39970</v>
      </c>
      <c r="K4758" s="22">
        <v>1750</v>
      </c>
      <c r="L4758" s="6">
        <v>1747</v>
      </c>
      <c r="M4758" s="125">
        <f t="shared" si="287"/>
        <v>-3</v>
      </c>
      <c r="P4758" s="247">
        <v>12890</v>
      </c>
      <c r="Q4758" s="25">
        <f>179.51/1174</f>
        <v>0.15290459965928449</v>
      </c>
      <c r="U4758" s="384">
        <v>0.1</v>
      </c>
      <c r="W4758" s="285">
        <f t="shared" si="288"/>
        <v>2168.0343185689949</v>
      </c>
      <c r="X4758" s="446">
        <f t="shared" si="283"/>
        <v>7.3657142857142857</v>
      </c>
    </row>
    <row r="4759" spans="1:24" ht="15" customHeight="1">
      <c r="A4759" s="3">
        <v>42501</v>
      </c>
      <c r="B4759" s="9">
        <v>82550</v>
      </c>
      <c r="C4759" s="5">
        <v>300</v>
      </c>
      <c r="D4759" s="5">
        <v>92450</v>
      </c>
      <c r="E4759" s="5">
        <v>175300</v>
      </c>
      <c r="F4759" s="4">
        <v>175</v>
      </c>
      <c r="G4759" s="5">
        <v>225</v>
      </c>
      <c r="H4759" s="5">
        <v>76450</v>
      </c>
      <c r="I4759" s="118">
        <f t="shared" si="286"/>
        <v>0.43610952652595553</v>
      </c>
      <c r="J4759" s="5">
        <v>42653</v>
      </c>
      <c r="K4759" s="22">
        <v>1784.5</v>
      </c>
      <c r="L4759" s="6">
        <v>1785</v>
      </c>
      <c r="M4759" s="125">
        <f t="shared" si="287"/>
        <v>0.5</v>
      </c>
      <c r="P4759" s="247">
        <v>12940</v>
      </c>
      <c r="Q4759" s="25">
        <f>178.78/1168.1</f>
        <v>0.1530519647290472</v>
      </c>
      <c r="U4759" s="384">
        <v>0.1</v>
      </c>
      <c r="W4759" s="285">
        <f t="shared" si="288"/>
        <v>2178.541665953258</v>
      </c>
      <c r="X4759" s="446">
        <f t="shared" si="283"/>
        <v>7.2513309050154104</v>
      </c>
    </row>
    <row r="4760" spans="1:24" ht="15" customHeight="1">
      <c r="A4760" s="3">
        <v>42502</v>
      </c>
      <c r="B4760" s="9">
        <v>83375</v>
      </c>
      <c r="C4760" s="5">
        <v>300</v>
      </c>
      <c r="D4760" s="5">
        <v>92375</v>
      </c>
      <c r="E4760" s="5">
        <v>176050</v>
      </c>
      <c r="F4760" s="4">
        <v>925</v>
      </c>
      <c r="G4760" s="5">
        <v>175</v>
      </c>
      <c r="H4760" s="5">
        <v>76275</v>
      </c>
      <c r="I4760" s="118">
        <f t="shared" si="286"/>
        <v>0.43325759727350183</v>
      </c>
      <c r="J4760" s="5">
        <v>36370</v>
      </c>
      <c r="K4760" s="22">
        <v>1750.5</v>
      </c>
      <c r="L4760" s="6">
        <v>1760</v>
      </c>
      <c r="M4760" s="125">
        <f t="shared" si="287"/>
        <v>9.5</v>
      </c>
      <c r="P4760" s="247">
        <v>12980</v>
      </c>
      <c r="Q4760" s="25">
        <f>178.78/1168.1</f>
        <v>0.1530519647290472</v>
      </c>
      <c r="U4760" s="384">
        <v>0.1</v>
      </c>
      <c r="W4760" s="285">
        <f t="shared" si="288"/>
        <v>2185.2759524013359</v>
      </c>
      <c r="X4760" s="446">
        <f t="shared" si="283"/>
        <v>7.4150242787774925</v>
      </c>
    </row>
    <row r="4761" spans="1:24" ht="15" customHeight="1">
      <c r="A4761" s="3">
        <v>42503</v>
      </c>
      <c r="B4761" s="9">
        <v>83375</v>
      </c>
      <c r="C4761" s="5">
        <v>300</v>
      </c>
      <c r="D4761" s="5">
        <v>91950</v>
      </c>
      <c r="E4761" s="5">
        <v>176075</v>
      </c>
      <c r="F4761" s="4">
        <v>475</v>
      </c>
      <c r="G4761" s="5">
        <v>450</v>
      </c>
      <c r="H4761" s="5">
        <v>75825</v>
      </c>
      <c r="I4761" s="118">
        <f t="shared" si="286"/>
        <v>0.43064035212267499</v>
      </c>
      <c r="J4761" s="5">
        <v>51858</v>
      </c>
      <c r="K4761" s="22">
        <v>1724</v>
      </c>
      <c r="L4761" s="6">
        <v>1725</v>
      </c>
      <c r="M4761" s="125">
        <f t="shared" si="287"/>
        <v>1</v>
      </c>
      <c r="P4761" s="247">
        <v>12890</v>
      </c>
      <c r="Q4761" s="25">
        <f>178.35/1164.1</f>
        <v>0.15320848724336397</v>
      </c>
      <c r="U4761" s="384">
        <v>0.1</v>
      </c>
      <c r="W4761" s="285">
        <f t="shared" si="288"/>
        <v>2172.3431406236577</v>
      </c>
      <c r="X4761" s="446">
        <f t="shared" si="283"/>
        <v>7.4767981438515081</v>
      </c>
    </row>
    <row r="4762" spans="1:24" ht="15" customHeight="1">
      <c r="A4762" s="3">
        <v>42506</v>
      </c>
      <c r="B4762" s="9">
        <v>83775</v>
      </c>
      <c r="C4762" s="5">
        <v>300</v>
      </c>
      <c r="D4762" s="5">
        <v>91750</v>
      </c>
      <c r="E4762" s="5">
        <v>175825</v>
      </c>
      <c r="F4762" s="4">
        <v>0</v>
      </c>
      <c r="G4762" s="5">
        <v>250</v>
      </c>
      <c r="H4762" s="5">
        <v>75575</v>
      </c>
      <c r="I4762" s="118">
        <f t="shared" si="286"/>
        <v>0.42983079766813592</v>
      </c>
      <c r="J4762" s="5">
        <v>43775</v>
      </c>
      <c r="K4762" s="22">
        <v>1701.5</v>
      </c>
      <c r="L4762" s="6">
        <v>1707</v>
      </c>
      <c r="M4762" s="125">
        <f t="shared" si="287"/>
        <v>5.5</v>
      </c>
      <c r="P4762" s="247">
        <v>12850</v>
      </c>
      <c r="Q4762" s="25">
        <f>178.58/1169.4</f>
        <v>0.15271079185907302</v>
      </c>
      <c r="U4762" s="384">
        <v>0.1</v>
      </c>
      <c r="W4762" s="285">
        <f t="shared" si="288"/>
        <v>2158.5670429279971</v>
      </c>
      <c r="X4762" s="446">
        <f t="shared" si="283"/>
        <v>7.552159858947987</v>
      </c>
    </row>
    <row r="4763" spans="1:24" ht="15" customHeight="1">
      <c r="A4763" s="3">
        <v>42507</v>
      </c>
      <c r="B4763" s="9">
        <v>83775</v>
      </c>
      <c r="C4763" s="5">
        <v>300</v>
      </c>
      <c r="D4763" s="5">
        <v>91575</v>
      </c>
      <c r="E4763" s="5">
        <v>175650</v>
      </c>
      <c r="F4763" s="4">
        <v>0</v>
      </c>
      <c r="G4763" s="5">
        <v>175</v>
      </c>
      <c r="H4763" s="5">
        <v>75400</v>
      </c>
      <c r="I4763" s="118">
        <f t="shared" si="286"/>
        <v>0.42926273840022772</v>
      </c>
      <c r="J4763" s="5">
        <v>41679</v>
      </c>
      <c r="K4763" s="22">
        <v>1720</v>
      </c>
      <c r="L4763" s="6">
        <v>1729</v>
      </c>
      <c r="M4763" s="125">
        <f t="shared" si="287"/>
        <v>9</v>
      </c>
      <c r="P4763" s="247">
        <v>12850</v>
      </c>
      <c r="Q4763" s="25">
        <f>179.38/1173.3</f>
        <v>0.15288502514275973</v>
      </c>
      <c r="U4763" s="384">
        <v>0.1</v>
      </c>
      <c r="W4763" s="285">
        <f t="shared" si="288"/>
        <v>2161.0298303929089</v>
      </c>
      <c r="X4763" s="446">
        <f t="shared" si="283"/>
        <v>7.4709302325581399</v>
      </c>
    </row>
    <row r="4764" spans="1:24" ht="15" customHeight="1">
      <c r="A4764" s="3">
        <v>42508</v>
      </c>
      <c r="B4764" s="9">
        <v>89425</v>
      </c>
      <c r="C4764" s="5">
        <v>300</v>
      </c>
      <c r="D4764" s="5">
        <v>90725</v>
      </c>
      <c r="E4764" s="5">
        <v>180450</v>
      </c>
      <c r="F4764" s="4">
        <v>5650</v>
      </c>
      <c r="G4764" s="5">
        <v>850</v>
      </c>
      <c r="H4764" s="5">
        <v>74550</v>
      </c>
      <c r="I4764" s="118">
        <f t="shared" si="286"/>
        <v>0.41313383208645055</v>
      </c>
      <c r="J4764" s="5">
        <v>57522</v>
      </c>
      <c r="K4764" s="22">
        <v>1702</v>
      </c>
      <c r="L4764" s="6">
        <v>1708</v>
      </c>
      <c r="M4764" s="125">
        <f t="shared" si="287"/>
        <v>6</v>
      </c>
      <c r="P4764" s="247">
        <v>12830</v>
      </c>
      <c r="Q4764" s="25">
        <f>180.64/1184.5</f>
        <v>0.15250316589278176</v>
      </c>
      <c r="U4764" s="384">
        <v>0.1</v>
      </c>
      <c r="W4764" s="285">
        <f t="shared" si="288"/>
        <v>2152.2771802448292</v>
      </c>
      <c r="X4764" s="446">
        <f t="shared" si="283"/>
        <v>7.5381903642773205</v>
      </c>
    </row>
    <row r="4765" spans="1:24" ht="15" customHeight="1">
      <c r="A4765" s="3">
        <v>42509</v>
      </c>
      <c r="B4765" s="9">
        <v>89425</v>
      </c>
      <c r="C4765" s="5">
        <v>300</v>
      </c>
      <c r="D4765" s="5">
        <v>90525</v>
      </c>
      <c r="E4765" s="5">
        <v>180250</v>
      </c>
      <c r="F4765" s="4">
        <v>0</v>
      </c>
      <c r="G4765" s="5">
        <v>200</v>
      </c>
      <c r="H4765" s="5">
        <v>74350</v>
      </c>
      <c r="I4765" s="118">
        <f t="shared" si="286"/>
        <v>0.41248266296809988</v>
      </c>
      <c r="J4765" s="5">
        <v>46063</v>
      </c>
      <c r="K4765" s="22">
        <v>1696</v>
      </c>
      <c r="L4765" s="6">
        <v>1700</v>
      </c>
      <c r="M4765" s="125">
        <f t="shared" si="287"/>
        <v>4</v>
      </c>
      <c r="P4765" s="247">
        <v>12780</v>
      </c>
      <c r="Q4765" s="25">
        <f>181.27/1190.8</f>
        <v>0.15222539469264362</v>
      </c>
      <c r="U4765" s="384">
        <v>0.1</v>
      </c>
      <c r="W4765" s="285">
        <f t="shared" si="288"/>
        <v>2139.9845985891843</v>
      </c>
      <c r="X4765" s="446">
        <f t="shared" si="283"/>
        <v>7.5353773584905657</v>
      </c>
    </row>
    <row r="4766" spans="1:24" ht="15" customHeight="1">
      <c r="A4766" s="3">
        <v>42510</v>
      </c>
      <c r="B4766" s="9">
        <v>89375</v>
      </c>
      <c r="C4766" s="5">
        <v>300</v>
      </c>
      <c r="D4766" s="5">
        <v>90425</v>
      </c>
      <c r="E4766" s="5">
        <v>180100</v>
      </c>
      <c r="F4766" s="4">
        <v>0</v>
      </c>
      <c r="G4766" s="5">
        <v>150</v>
      </c>
      <c r="H4766" s="5">
        <v>74200</v>
      </c>
      <c r="I4766" s="118">
        <f t="shared" si="286"/>
        <v>0.41199333703498059</v>
      </c>
      <c r="J4766" s="5">
        <v>40492</v>
      </c>
      <c r="K4766" s="22">
        <v>1694.5</v>
      </c>
      <c r="L4766" s="6">
        <v>1696</v>
      </c>
      <c r="M4766" s="125">
        <f t="shared" si="287"/>
        <v>1.5</v>
      </c>
      <c r="P4766" s="247">
        <v>12755</v>
      </c>
      <c r="Q4766" s="25">
        <f>181.11/1188.4</f>
        <v>0.15239818243015821</v>
      </c>
      <c r="U4766" s="384">
        <v>0.1</v>
      </c>
      <c r="W4766" s="285">
        <f t="shared" si="288"/>
        <v>2138.2226985863349</v>
      </c>
      <c r="X4766" s="446">
        <f t="shared" si="283"/>
        <v>7.5272941870758334</v>
      </c>
    </row>
    <row r="4767" spans="1:24" ht="15" customHeight="1">
      <c r="A4767" s="3">
        <v>42513</v>
      </c>
      <c r="B4767" s="9">
        <v>89325</v>
      </c>
      <c r="C4767" s="5">
        <v>300</v>
      </c>
      <c r="D4767" s="5">
        <v>90350</v>
      </c>
      <c r="E4767" s="5">
        <v>179975</v>
      </c>
      <c r="F4767" s="4">
        <v>0</v>
      </c>
      <c r="G4767" s="5">
        <v>125</v>
      </c>
      <c r="H4767" s="5">
        <v>74075</v>
      </c>
      <c r="I4767" s="118">
        <f t="shared" si="286"/>
        <v>0.41158494235310461</v>
      </c>
      <c r="J4767" s="5">
        <v>36688</v>
      </c>
      <c r="K4767" s="22">
        <v>1646.5</v>
      </c>
      <c r="L4767" s="6">
        <v>1649</v>
      </c>
      <c r="M4767" s="125">
        <f t="shared" si="287"/>
        <v>2.5</v>
      </c>
      <c r="P4767" s="247">
        <v>12755</v>
      </c>
      <c r="Q4767" s="25">
        <f>181.11/1188.4</f>
        <v>0.15239818243015821</v>
      </c>
      <c r="U4767" s="384">
        <v>0.1</v>
      </c>
      <c r="W4767" s="285">
        <f t="shared" si="288"/>
        <v>2138.2226985863349</v>
      </c>
      <c r="X4767" s="446">
        <f t="shared" si="283"/>
        <v>7.7467354995444886</v>
      </c>
    </row>
    <row r="4768" spans="1:24" ht="15" customHeight="1">
      <c r="A4768" s="3">
        <v>42514</v>
      </c>
      <c r="B4768" s="9">
        <v>94975</v>
      </c>
      <c r="C4768" s="5">
        <v>300</v>
      </c>
      <c r="D4768" s="5">
        <v>90275</v>
      </c>
      <c r="E4768" s="5">
        <v>185550</v>
      </c>
      <c r="F4768" s="4">
        <v>5675</v>
      </c>
      <c r="G4768" s="5">
        <v>100</v>
      </c>
      <c r="H4768" s="5">
        <v>74025</v>
      </c>
      <c r="I4768" s="118">
        <f t="shared" si="286"/>
        <v>0.39894907033144705</v>
      </c>
      <c r="J4768" s="5">
        <v>44001</v>
      </c>
      <c r="K4768" s="22">
        <v>1651.5</v>
      </c>
      <c r="L4768" s="6">
        <v>1654</v>
      </c>
      <c r="M4768" s="125">
        <f t="shared" si="287"/>
        <v>2.5</v>
      </c>
      <c r="P4768" s="247">
        <v>12690</v>
      </c>
      <c r="Q4768" s="25">
        <f>181.72/1192.5</f>
        <v>0.15238574423480084</v>
      </c>
      <c r="U4768" s="384">
        <v>0.1</v>
      </c>
      <c r="W4768" s="285">
        <f t="shared" si="288"/>
        <v>2127.1526037735853</v>
      </c>
      <c r="X4768" s="446">
        <f t="shared" si="283"/>
        <v>7.6839237057220711</v>
      </c>
    </row>
    <row r="4769" spans="1:24" ht="15" customHeight="1">
      <c r="A4769" s="3">
        <v>42515</v>
      </c>
      <c r="B4769" s="9">
        <v>94975</v>
      </c>
      <c r="C4769" s="5">
        <v>300</v>
      </c>
      <c r="D4769" s="5">
        <v>90275</v>
      </c>
      <c r="E4769" s="5">
        <v>185550</v>
      </c>
      <c r="F4769" s="4">
        <v>0</v>
      </c>
      <c r="G4769" s="5">
        <v>0</v>
      </c>
      <c r="H4769" s="5">
        <v>74025</v>
      </c>
      <c r="I4769" s="118">
        <f t="shared" si="286"/>
        <v>0.39894907033144705</v>
      </c>
      <c r="J4769" s="5">
        <v>37088</v>
      </c>
      <c r="K4769" s="22">
        <v>1646</v>
      </c>
      <c r="L4769" s="6">
        <v>1649</v>
      </c>
      <c r="M4769" s="125">
        <f t="shared" si="287"/>
        <v>3</v>
      </c>
      <c r="P4769" s="247">
        <v>12690</v>
      </c>
      <c r="Q4769" s="25">
        <f>181.12/1188.6</f>
        <v>0.15238095238095239</v>
      </c>
      <c r="U4769" s="384">
        <v>0.1</v>
      </c>
      <c r="W4769" s="285">
        <f t="shared" si="288"/>
        <v>2127.0857142857144</v>
      </c>
      <c r="X4769" s="446">
        <f t="shared" si="283"/>
        <v>7.7095990279465374</v>
      </c>
    </row>
    <row r="4770" spans="1:24" ht="15" customHeight="1">
      <c r="A4770" s="3">
        <v>42516</v>
      </c>
      <c r="B4770" s="9">
        <v>94950</v>
      </c>
      <c r="C4770" s="5">
        <v>300</v>
      </c>
      <c r="D4770" s="5">
        <v>90025</v>
      </c>
      <c r="E4770" s="5">
        <v>185275</v>
      </c>
      <c r="H4770" s="5">
        <v>73750</v>
      </c>
      <c r="I4770" s="118">
        <f t="shared" si="286"/>
        <v>0.39805694238294426</v>
      </c>
      <c r="J4770" s="5">
        <v>36675</v>
      </c>
      <c r="K4770" s="22">
        <v>1667</v>
      </c>
      <c r="L4770" s="6">
        <v>1670</v>
      </c>
      <c r="M4770" s="125">
        <f t="shared" si="287"/>
        <v>3</v>
      </c>
      <c r="P4770" s="247">
        <v>12690</v>
      </c>
      <c r="Q4770" s="25">
        <f>180.2/1182.5</f>
        <v>0.15238900634249469</v>
      </c>
      <c r="U4770" s="384">
        <v>0.1</v>
      </c>
      <c r="W4770" s="285">
        <f t="shared" si="288"/>
        <v>2127.1981395348835</v>
      </c>
      <c r="X4770" s="446">
        <f t="shared" si="283"/>
        <v>7.6124775044991004</v>
      </c>
    </row>
    <row r="4771" spans="1:24" ht="15" customHeight="1">
      <c r="A4771" s="3">
        <v>42517</v>
      </c>
      <c r="B4771" s="9">
        <v>90025</v>
      </c>
      <c r="C4771" s="5">
        <v>300</v>
      </c>
      <c r="D4771" s="5">
        <v>94925</v>
      </c>
      <c r="E4771" s="5">
        <v>185250</v>
      </c>
      <c r="F4771" s="4">
        <v>0</v>
      </c>
      <c r="G4771" s="5">
        <v>25</v>
      </c>
      <c r="H4771" s="5">
        <v>73725</v>
      </c>
      <c r="I4771" s="118">
        <f t="shared" si="286"/>
        <v>0.39797570850202429</v>
      </c>
      <c r="J4771" s="5">
        <v>42739</v>
      </c>
      <c r="K4771" s="22">
        <v>1694</v>
      </c>
      <c r="L4771" s="6">
        <v>1697</v>
      </c>
      <c r="M4771" s="125">
        <f t="shared" si="287"/>
        <v>3</v>
      </c>
      <c r="P4771" s="247">
        <v>12770</v>
      </c>
      <c r="Q4771" s="25">
        <f>180.09/1181</f>
        <v>0.15248941574936495</v>
      </c>
      <c r="U4771" s="384">
        <v>0.1</v>
      </c>
      <c r="W4771" s="285">
        <f t="shared" si="288"/>
        <v>2142.0188230313297</v>
      </c>
      <c r="X4771" s="446">
        <f t="shared" si="283"/>
        <v>7.5383707201889019</v>
      </c>
    </row>
    <row r="4772" spans="1:24" ht="15" customHeight="1">
      <c r="A4772" s="3">
        <v>42520</v>
      </c>
      <c r="B4772" s="1318"/>
      <c r="C4772" s="1318"/>
      <c r="D4772" s="1318"/>
      <c r="E4772" s="1318"/>
      <c r="F4772" s="1318"/>
      <c r="G4772" s="1318"/>
      <c r="H4772" s="1318"/>
      <c r="I4772" s="1318"/>
      <c r="J4772" s="1318"/>
      <c r="K4772" s="1318"/>
      <c r="L4772" s="1318"/>
      <c r="M4772" s="1318"/>
      <c r="P4772" s="247">
        <v>12770</v>
      </c>
      <c r="Q4772" s="25">
        <f>180.77/1190.6</f>
        <v>0.15183100957500423</v>
      </c>
      <c r="U4772" s="384">
        <v>0.1</v>
      </c>
      <c r="W4772" s="285">
        <f t="shared" si="288"/>
        <v>2132.7701915000844</v>
      </c>
      <c r="X4772" s="446"/>
    </row>
    <row r="4773" spans="1:24" ht="15" customHeight="1">
      <c r="A4773" s="3">
        <v>42521</v>
      </c>
      <c r="B4773" s="9">
        <v>90025</v>
      </c>
      <c r="C4773" s="5">
        <v>300</v>
      </c>
      <c r="D4773" s="5">
        <v>95150</v>
      </c>
      <c r="E4773" s="5">
        <v>185475</v>
      </c>
      <c r="F4773" s="4">
        <v>250</v>
      </c>
      <c r="G4773" s="5">
        <v>25</v>
      </c>
      <c r="H4773" s="5">
        <v>73700</v>
      </c>
      <c r="I4773" s="118">
        <f t="shared" si="286"/>
        <v>0.39735813451947699</v>
      </c>
      <c r="J4773" s="5">
        <v>40841</v>
      </c>
      <c r="K4773" s="22">
        <v>1691.5</v>
      </c>
      <c r="L4773" s="6">
        <v>1698</v>
      </c>
      <c r="M4773" s="125">
        <f t="shared" si="287"/>
        <v>6.5</v>
      </c>
      <c r="N4773" s="235">
        <f>AVERAGE(K4753:K4773)</f>
        <v>1714.425</v>
      </c>
      <c r="O4773" s="230">
        <f>AVERAGE(K4663:K4773)</f>
        <v>1734.9611650485438</v>
      </c>
      <c r="P4773" s="247">
        <v>12750</v>
      </c>
      <c r="Q4773" s="25">
        <f>180.61/1190.5</f>
        <v>0.15170936581268377</v>
      </c>
      <c r="U4773" s="384">
        <v>0.1</v>
      </c>
      <c r="W4773" s="285">
        <f t="shared" si="288"/>
        <v>2127.7238555228901</v>
      </c>
      <c r="X4773" s="446">
        <f t="shared" si="283"/>
        <v>7.5376884422110555</v>
      </c>
    </row>
    <row r="4774" spans="1:24" ht="15" customHeight="1" thickBot="1">
      <c r="A4774" s="216"/>
      <c r="B4774" s="1330"/>
      <c r="C4774" s="1330"/>
      <c r="D4774" s="1330"/>
      <c r="E4774" s="216"/>
      <c r="F4774" s="407"/>
      <c r="G4774" s="164"/>
      <c r="H4774" s="164"/>
      <c r="I4774" s="166"/>
      <c r="J4774" s="166"/>
      <c r="K4774" s="166"/>
      <c r="L4774" s="167"/>
      <c r="M4774" s="168"/>
      <c r="N4774" s="169" t="s">
        <v>52</v>
      </c>
      <c r="O4774" s="183"/>
      <c r="P4774" s="180"/>
      <c r="Q4774" s="154"/>
      <c r="R4774" s="248"/>
      <c r="S4774" s="249"/>
      <c r="T4774" s="249"/>
      <c r="U4774" s="152"/>
      <c r="V4774" s="153">
        <f>AVERAGE(P4753:P4773)</f>
        <v>12855</v>
      </c>
      <c r="W4774" s="295"/>
      <c r="X4774" s="447">
        <f>AVERAGE(X4752:X4773)</f>
        <v>7.5033571844396736</v>
      </c>
    </row>
    <row r="4775" spans="1:24" ht="15" customHeight="1">
      <c r="A4775" s="3">
        <v>42522</v>
      </c>
      <c r="B4775" s="9">
        <v>90000</v>
      </c>
      <c r="C4775" s="5">
        <v>300</v>
      </c>
      <c r="D4775" s="5">
        <v>95075</v>
      </c>
      <c r="E4775" s="5">
        <v>185375</v>
      </c>
      <c r="F4775" s="4">
        <v>0</v>
      </c>
      <c r="G4775" s="5">
        <v>100</v>
      </c>
      <c r="H4775" s="5">
        <v>73600</v>
      </c>
      <c r="I4775" s="118">
        <f t="shared" si="286"/>
        <v>0.39703304113283883</v>
      </c>
      <c r="J4775" s="5">
        <v>47593</v>
      </c>
      <c r="K4775" s="22">
        <v>1674</v>
      </c>
      <c r="L4775" s="6">
        <v>1678</v>
      </c>
      <c r="M4775" s="125">
        <f t="shared" si="287"/>
        <v>4</v>
      </c>
      <c r="P4775" s="247">
        <v>12690</v>
      </c>
      <c r="Q4775" s="25">
        <f>180.61/1190.5</f>
        <v>0.15170936581268377</v>
      </c>
      <c r="U4775" s="384">
        <v>0.1</v>
      </c>
      <c r="W4775" s="285">
        <f t="shared" si="288"/>
        <v>2117.711037379253</v>
      </c>
      <c r="X4775" s="446">
        <f t="shared" si="283"/>
        <v>7.580645161290323</v>
      </c>
    </row>
    <row r="4776" spans="1:24" ht="15" customHeight="1">
      <c r="A4776" s="3">
        <v>42523</v>
      </c>
      <c r="B4776" s="9">
        <v>90000</v>
      </c>
      <c r="C4776" s="5">
        <v>300</v>
      </c>
      <c r="D4776" s="5">
        <v>95075</v>
      </c>
      <c r="E4776" s="5">
        <v>185375</v>
      </c>
      <c r="F4776" s="4">
        <v>0</v>
      </c>
      <c r="G4776" s="5">
        <v>0</v>
      </c>
      <c r="H4776" s="5">
        <v>73600</v>
      </c>
      <c r="I4776" s="118">
        <f t="shared" si="286"/>
        <v>0.39703304113283883</v>
      </c>
      <c r="J4776" s="5">
        <v>42902</v>
      </c>
      <c r="K4776" s="22">
        <v>1727</v>
      </c>
      <c r="L4776" s="6">
        <v>1736</v>
      </c>
      <c r="M4776" s="125">
        <f t="shared" si="287"/>
        <v>9</v>
      </c>
      <c r="P4776" s="247">
        <v>12740</v>
      </c>
      <c r="Q4776" s="25">
        <f>180.7/1189.6</f>
        <v>0.15189979825151312</v>
      </c>
      <c r="U4776" s="384">
        <v>0.1</v>
      </c>
      <c r="W4776" s="285">
        <f t="shared" si="288"/>
        <v>2128.7237726967051</v>
      </c>
      <c r="X4776" s="446">
        <f t="shared" si="283"/>
        <v>7.3769542559351473</v>
      </c>
    </row>
    <row r="4777" spans="1:24" ht="15" customHeight="1">
      <c r="A4777" s="3">
        <v>42524</v>
      </c>
      <c r="B4777" s="9">
        <v>90000</v>
      </c>
      <c r="C4777" s="5">
        <v>300</v>
      </c>
      <c r="D4777" s="5">
        <v>95075</v>
      </c>
      <c r="E4777" s="5">
        <v>185375</v>
      </c>
      <c r="F4777" s="4">
        <v>0</v>
      </c>
      <c r="G4777" s="5">
        <v>0</v>
      </c>
      <c r="H4777" s="5">
        <v>73600</v>
      </c>
      <c r="I4777" s="118">
        <f t="shared" ref="I4777:I4818" si="289">H4777/E4777</f>
        <v>0.39703304113283883</v>
      </c>
      <c r="J4777" s="5">
        <v>46519</v>
      </c>
      <c r="K4777" s="22">
        <v>1724</v>
      </c>
      <c r="L4777" s="6">
        <v>1730</v>
      </c>
      <c r="M4777" s="125">
        <f t="shared" si="287"/>
        <v>6</v>
      </c>
      <c r="P4777" s="247">
        <v>12740</v>
      </c>
      <c r="Q4777" s="25" t="s">
        <v>48</v>
      </c>
      <c r="U4777" s="384">
        <v>0.1</v>
      </c>
      <c r="W4777" s="321" t="s">
        <v>48</v>
      </c>
      <c r="X4777" s="446">
        <f t="shared" si="283"/>
        <v>7.3897911832946637</v>
      </c>
    </row>
    <row r="4778" spans="1:24" ht="15" customHeight="1">
      <c r="A4778" s="3">
        <v>42527</v>
      </c>
      <c r="B4778" s="9">
        <v>90000</v>
      </c>
      <c r="C4778" s="5">
        <v>300</v>
      </c>
      <c r="D4778" s="5">
        <v>95125</v>
      </c>
      <c r="E4778" s="5">
        <v>185425</v>
      </c>
      <c r="F4778" s="4">
        <v>75</v>
      </c>
      <c r="G4778" s="5">
        <v>25</v>
      </c>
      <c r="H4778" s="5">
        <v>73575</v>
      </c>
      <c r="I4778" s="118">
        <f t="shared" si="289"/>
        <v>0.39679115545368748</v>
      </c>
      <c r="J4778" s="5">
        <v>32524</v>
      </c>
      <c r="K4778" s="22">
        <v>1727.5</v>
      </c>
      <c r="L4778" s="6">
        <v>1735</v>
      </c>
      <c r="M4778" s="125">
        <f t="shared" si="287"/>
        <v>7.5</v>
      </c>
      <c r="P4778" s="247">
        <v>12750</v>
      </c>
      <c r="Q4778" s="25">
        <f>180.7/1189.6</f>
        <v>0.15189979825151312</v>
      </c>
      <c r="U4778" s="384">
        <v>0.1</v>
      </c>
      <c r="W4778" s="285">
        <f t="shared" si="288"/>
        <v>2130.3946704774717</v>
      </c>
      <c r="X4778" s="446">
        <f t="shared" si="283"/>
        <v>7.3806078147612153</v>
      </c>
    </row>
    <row r="4779" spans="1:24" ht="15" customHeight="1">
      <c r="A4779" s="3">
        <v>42528</v>
      </c>
      <c r="B4779" s="9">
        <v>90000</v>
      </c>
      <c r="C4779" s="5">
        <v>300</v>
      </c>
      <c r="D4779" s="5">
        <v>95125</v>
      </c>
      <c r="E4779" s="5">
        <v>185425</v>
      </c>
      <c r="F4779" s="4">
        <v>0</v>
      </c>
      <c r="G4779" s="5">
        <v>0</v>
      </c>
      <c r="H4779" s="5">
        <v>73575</v>
      </c>
      <c r="I4779" s="118">
        <f t="shared" si="289"/>
        <v>0.39679115545368748</v>
      </c>
      <c r="J4779" s="5">
        <v>35259</v>
      </c>
      <c r="K4779" s="22">
        <v>1727</v>
      </c>
      <c r="L4779" s="6">
        <v>1734</v>
      </c>
      <c r="M4779" s="125">
        <f t="shared" si="287"/>
        <v>7</v>
      </c>
      <c r="P4779" s="247">
        <v>12720</v>
      </c>
      <c r="Q4779" s="25">
        <f>180.16/1186.5</f>
        <v>0.15184155077960387</v>
      </c>
      <c r="U4779" s="384">
        <v>0.1</v>
      </c>
      <c r="W4779" s="285">
        <f t="shared" si="288"/>
        <v>2124.5669785082177</v>
      </c>
      <c r="X4779" s="446">
        <f t="shared" si="283"/>
        <v>7.3653734800231616</v>
      </c>
    </row>
    <row r="4780" spans="1:24" ht="15" customHeight="1">
      <c r="A4780" s="3">
        <v>42529</v>
      </c>
      <c r="B4780" s="9">
        <v>90000</v>
      </c>
      <c r="C4780" s="5">
        <v>275</v>
      </c>
      <c r="D4780" s="5">
        <v>95125</v>
      </c>
      <c r="E4780" s="5">
        <v>185400</v>
      </c>
      <c r="F4780" s="4">
        <v>0</v>
      </c>
      <c r="G4780" s="5">
        <v>25</v>
      </c>
      <c r="H4780" s="5">
        <v>73550</v>
      </c>
      <c r="I4780" s="118">
        <f t="shared" si="289"/>
        <v>0.39670981661272925</v>
      </c>
      <c r="J4780" s="5">
        <v>48424</v>
      </c>
      <c r="K4780" s="22">
        <v>1733</v>
      </c>
      <c r="L4780" s="6">
        <v>1739</v>
      </c>
      <c r="M4780" s="125">
        <f t="shared" si="287"/>
        <v>6</v>
      </c>
      <c r="P4780" s="247">
        <v>12720</v>
      </c>
      <c r="Q4780" s="25">
        <f>176.98/1163.2</f>
        <v>0.15214924346629985</v>
      </c>
      <c r="U4780" s="384">
        <v>0.1</v>
      </c>
      <c r="W4780" s="285">
        <f t="shared" si="288"/>
        <v>2128.8722145804677</v>
      </c>
      <c r="X4780" s="446">
        <f t="shared" si="283"/>
        <v>7.3398730525100984</v>
      </c>
    </row>
    <row r="4781" spans="1:24" ht="15" customHeight="1">
      <c r="A4781" s="3">
        <v>42530</v>
      </c>
      <c r="B4781" s="9">
        <v>90000</v>
      </c>
      <c r="C4781" s="5">
        <v>250</v>
      </c>
      <c r="D4781" s="5">
        <v>95700</v>
      </c>
      <c r="E4781" s="5">
        <v>185950</v>
      </c>
      <c r="F4781" s="4">
        <v>575</v>
      </c>
      <c r="G4781" s="5">
        <v>25</v>
      </c>
      <c r="H4781" s="5">
        <v>73650</v>
      </c>
      <c r="I4781" s="118">
        <f t="shared" si="289"/>
        <v>0.39607421349825223</v>
      </c>
      <c r="J4781" s="5">
        <v>58092</v>
      </c>
      <c r="K4781" s="22">
        <v>1740.5</v>
      </c>
      <c r="L4781" s="6">
        <v>1746</v>
      </c>
      <c r="M4781" s="125">
        <f t="shared" si="287"/>
        <v>5.5</v>
      </c>
      <c r="P4781" s="1349" t="s">
        <v>55</v>
      </c>
      <c r="Q4781" s="25">
        <f>175.94/1156.5</f>
        <v>0.15213143104193688</v>
      </c>
      <c r="U4781" s="384">
        <v>0.1</v>
      </c>
      <c r="W4781" s="1340" t="s">
        <v>55</v>
      </c>
      <c r="X4781" s="446"/>
    </row>
    <row r="4782" spans="1:24" ht="15" customHeight="1">
      <c r="A4782" s="3">
        <v>42531</v>
      </c>
      <c r="B4782" s="9">
        <v>90000</v>
      </c>
      <c r="C4782" s="5">
        <v>225</v>
      </c>
      <c r="D4782" s="5">
        <v>95700</v>
      </c>
      <c r="E4782" s="5">
        <v>185925</v>
      </c>
      <c r="F4782" s="4">
        <v>0</v>
      </c>
      <c r="G4782" s="5">
        <v>25</v>
      </c>
      <c r="H4782" s="5">
        <v>73625</v>
      </c>
      <c r="I4782" s="118">
        <f t="shared" si="289"/>
        <v>0.39599300793330644</v>
      </c>
      <c r="J4782" s="5">
        <v>55149</v>
      </c>
      <c r="K4782" s="22">
        <v>1727</v>
      </c>
      <c r="L4782" s="6">
        <v>1731</v>
      </c>
      <c r="M4782" s="125">
        <f t="shared" si="287"/>
        <v>4</v>
      </c>
      <c r="P4782" s="1349"/>
      <c r="Q4782" s="25">
        <f>175.94/1155.8</f>
        <v>0.15222356809136528</v>
      </c>
      <c r="U4782" s="384">
        <v>0.1</v>
      </c>
      <c r="W4782" s="1340"/>
      <c r="X4782" s="446">
        <f t="shared" si="283"/>
        <v>0</v>
      </c>
    </row>
    <row r="4783" spans="1:24" ht="15" customHeight="1">
      <c r="A4783" s="3">
        <v>42534</v>
      </c>
      <c r="B4783" s="9">
        <v>90000</v>
      </c>
      <c r="C4783" s="5">
        <v>225</v>
      </c>
      <c r="D4783" s="5">
        <v>95700</v>
      </c>
      <c r="E4783" s="5">
        <v>185925</v>
      </c>
      <c r="F4783" s="4">
        <v>0</v>
      </c>
      <c r="G4783" s="5">
        <v>0</v>
      </c>
      <c r="H4783" s="5">
        <v>73625</v>
      </c>
      <c r="I4783" s="118">
        <f t="shared" si="289"/>
        <v>0.39599300793330644</v>
      </c>
      <c r="J4783" s="5">
        <v>53174</v>
      </c>
      <c r="K4783" s="22">
        <v>1698.5</v>
      </c>
      <c r="L4783" s="6">
        <v>1705</v>
      </c>
      <c r="M4783" s="125">
        <f t="shared" si="287"/>
        <v>6.5</v>
      </c>
      <c r="P4783" s="247">
        <v>12720</v>
      </c>
      <c r="Q4783" s="25">
        <f>177.73/1172.8</f>
        <v>0.15154331514324693</v>
      </c>
      <c r="U4783" s="384">
        <v>0.1</v>
      </c>
      <c r="W4783" s="285">
        <f t="shared" ref="W4783:W4789" si="290">(P4783*Q4783)*(1+U4783)</f>
        <v>2120.3940654843113</v>
      </c>
      <c r="X4783" s="446">
        <f t="shared" si="283"/>
        <v>7.4889608478068883</v>
      </c>
    </row>
    <row r="4784" spans="1:24" ht="15" customHeight="1">
      <c r="A4784" s="3">
        <v>42535</v>
      </c>
      <c r="B4784" s="9">
        <v>90000</v>
      </c>
      <c r="C4784" s="5">
        <v>200</v>
      </c>
      <c r="D4784" s="5">
        <v>95700</v>
      </c>
      <c r="E4784" s="5">
        <v>185900</v>
      </c>
      <c r="F4784" s="4">
        <v>0</v>
      </c>
      <c r="G4784" s="5">
        <v>25</v>
      </c>
      <c r="H4784" s="5">
        <v>73600</v>
      </c>
      <c r="I4784" s="118">
        <f t="shared" si="289"/>
        <v>0.39591178052716514</v>
      </c>
      <c r="J4784" s="5">
        <v>47418</v>
      </c>
      <c r="K4784" s="22">
        <v>1685.5</v>
      </c>
      <c r="L4784" s="6">
        <v>1694</v>
      </c>
      <c r="M4784" s="125">
        <f t="shared" si="287"/>
        <v>8.5</v>
      </c>
      <c r="P4784" s="247">
        <v>12720</v>
      </c>
      <c r="Q4784" s="25">
        <f>177.73/1172.5</f>
        <v>0.15158208955223879</v>
      </c>
      <c r="U4784" s="384">
        <v>0.1</v>
      </c>
      <c r="W4784" s="285">
        <f t="shared" si="290"/>
        <v>2120.9365970149252</v>
      </c>
      <c r="X4784" s="446">
        <f t="shared" si="283"/>
        <v>7.5467220409374072</v>
      </c>
    </row>
    <row r="4785" spans="1:24" ht="15" customHeight="1">
      <c r="A4785" s="3">
        <v>42536</v>
      </c>
      <c r="B4785" s="9">
        <v>89875</v>
      </c>
      <c r="C4785" s="5">
        <v>175</v>
      </c>
      <c r="D4785" s="5">
        <v>95700</v>
      </c>
      <c r="E4785" s="5">
        <v>185750</v>
      </c>
      <c r="F4785" s="4">
        <v>0</v>
      </c>
      <c r="G4785" s="5">
        <v>150</v>
      </c>
      <c r="H4785" s="5">
        <v>73450</v>
      </c>
      <c r="I4785" s="118">
        <f t="shared" si="289"/>
        <v>0.39542395693135934</v>
      </c>
      <c r="J4785" s="5">
        <v>48652</v>
      </c>
      <c r="K4785" s="22">
        <v>1702</v>
      </c>
      <c r="L4785" s="6">
        <v>1712</v>
      </c>
      <c r="M4785" s="125">
        <f t="shared" si="287"/>
        <v>10</v>
      </c>
      <c r="P4785" s="247">
        <v>12710</v>
      </c>
      <c r="Q4785" s="25">
        <f>177.73/1172.5</f>
        <v>0.15158208955223879</v>
      </c>
      <c r="U4785" s="384">
        <v>0.1</v>
      </c>
      <c r="W4785" s="285">
        <f t="shared" si="290"/>
        <v>2119.2691940298505</v>
      </c>
      <c r="X4785" s="446">
        <f t="shared" si="283"/>
        <v>7.4676850763807288</v>
      </c>
    </row>
    <row r="4786" spans="1:24" ht="15" customHeight="1">
      <c r="A4786" s="3">
        <v>42537</v>
      </c>
      <c r="B4786" s="9">
        <v>89575</v>
      </c>
      <c r="C4786" s="5">
        <v>150</v>
      </c>
      <c r="D4786" s="5">
        <v>95875</v>
      </c>
      <c r="E4786" s="5">
        <v>185600</v>
      </c>
      <c r="F4786" s="4">
        <v>200</v>
      </c>
      <c r="G4786" s="5">
        <v>350</v>
      </c>
      <c r="H4786" s="5">
        <v>73100</v>
      </c>
      <c r="I4786" s="118">
        <f t="shared" si="289"/>
        <v>0.39385775862068967</v>
      </c>
      <c r="J4786" s="5">
        <v>37619</v>
      </c>
      <c r="K4786" s="22">
        <v>1682.5</v>
      </c>
      <c r="L4786" s="6">
        <v>1689</v>
      </c>
      <c r="M4786" s="125">
        <f t="shared" si="287"/>
        <v>6.5</v>
      </c>
      <c r="P4786" s="247">
        <v>12710</v>
      </c>
      <c r="Q4786" s="25">
        <f>177.45/1170.1</f>
        <v>0.15165370481155457</v>
      </c>
      <c r="U4786" s="384">
        <v>0.1</v>
      </c>
      <c r="W4786" s="285">
        <f>(P4786*Q4786)*(1+U4786)</f>
        <v>2120.2704469703449</v>
      </c>
      <c r="X4786" s="446">
        <f t="shared" si="283"/>
        <v>7.5542347696879641</v>
      </c>
    </row>
    <row r="4787" spans="1:24" ht="15" customHeight="1">
      <c r="A4787" s="3">
        <v>42538</v>
      </c>
      <c r="B4787" s="9">
        <v>89575</v>
      </c>
      <c r="C4787" s="5">
        <v>125</v>
      </c>
      <c r="D4787" s="5">
        <v>95850</v>
      </c>
      <c r="E4787" s="5">
        <v>185550</v>
      </c>
      <c r="F4787" s="4">
        <v>0</v>
      </c>
      <c r="G4787" s="5">
        <v>50</v>
      </c>
      <c r="H4787" s="5">
        <v>73050</v>
      </c>
      <c r="I4787" s="118">
        <f t="shared" si="289"/>
        <v>0.39369442198868232</v>
      </c>
      <c r="J4787" s="5">
        <v>35712</v>
      </c>
      <c r="K4787" s="22">
        <v>1707</v>
      </c>
      <c r="L4787" s="6">
        <v>1714</v>
      </c>
      <c r="M4787" s="125">
        <f t="shared" si="287"/>
        <v>7</v>
      </c>
      <c r="P4787" s="247">
        <v>12710</v>
      </c>
      <c r="Q4787" s="25">
        <f>177.45/1170.1</f>
        <v>0.15165370481155457</v>
      </c>
      <c r="U4787" s="384">
        <v>0.1</v>
      </c>
      <c r="W4787" s="285">
        <f t="shared" si="290"/>
        <v>2120.2704469703449</v>
      </c>
      <c r="X4787" s="446">
        <f t="shared" si="283"/>
        <v>7.4458113649677795</v>
      </c>
    </row>
    <row r="4788" spans="1:24" ht="15" customHeight="1">
      <c r="A4788" s="3">
        <v>42541</v>
      </c>
      <c r="B4788" s="9">
        <v>89575</v>
      </c>
      <c r="C4788" s="5">
        <v>125</v>
      </c>
      <c r="D4788" s="5">
        <v>95850</v>
      </c>
      <c r="E4788" s="5">
        <v>185550</v>
      </c>
      <c r="F4788" s="4">
        <v>0</v>
      </c>
      <c r="G4788" s="5">
        <v>0</v>
      </c>
      <c r="H4788" s="5">
        <v>73050</v>
      </c>
      <c r="I4788" s="118">
        <f t="shared" si="289"/>
        <v>0.39369442198868232</v>
      </c>
      <c r="J4788" s="5">
        <v>33416</v>
      </c>
      <c r="K4788" s="22">
        <v>1702</v>
      </c>
      <c r="L4788" s="6">
        <v>1712</v>
      </c>
      <c r="M4788" s="125">
        <f t="shared" si="287"/>
        <v>10</v>
      </c>
      <c r="P4788" s="247">
        <v>12710</v>
      </c>
      <c r="Q4788" s="25">
        <f>177.47/1170.8</f>
        <v>0.15158011615989067</v>
      </c>
      <c r="U4788" s="384">
        <v>0.1</v>
      </c>
      <c r="W4788" s="285">
        <f t="shared" si="290"/>
        <v>2119.2416040314315</v>
      </c>
      <c r="X4788" s="446">
        <f t="shared" si="283"/>
        <v>7.4676850763807288</v>
      </c>
    </row>
    <row r="4789" spans="1:24" ht="15" customHeight="1">
      <c r="A4789" s="3">
        <v>42542</v>
      </c>
      <c r="B4789" s="9">
        <v>89575</v>
      </c>
      <c r="C4789" s="5">
        <v>100</v>
      </c>
      <c r="D4789" s="5">
        <v>95825</v>
      </c>
      <c r="E4789" s="5">
        <v>185500</v>
      </c>
      <c r="F4789" s="4">
        <v>0</v>
      </c>
      <c r="G4789" s="5">
        <v>50</v>
      </c>
      <c r="H4789" s="5">
        <v>73000</v>
      </c>
      <c r="I4789" s="118">
        <f t="shared" si="289"/>
        <v>0.39353099730458219</v>
      </c>
      <c r="J4789" s="5">
        <v>34502</v>
      </c>
      <c r="K4789" s="22">
        <v>1697.5</v>
      </c>
      <c r="L4789" s="6">
        <v>1706</v>
      </c>
      <c r="M4789" s="125">
        <f t="shared" si="287"/>
        <v>8.5</v>
      </c>
      <c r="P4789" s="247">
        <v>12730</v>
      </c>
      <c r="Q4789" s="25">
        <f>176.64/1163.2</f>
        <v>0.15185694635488306</v>
      </c>
      <c r="U4789" s="384">
        <v>0.1</v>
      </c>
      <c r="W4789" s="285">
        <f t="shared" si="290"/>
        <v>2126.4528198074277</v>
      </c>
      <c r="X4789" s="446">
        <f t="shared" si="283"/>
        <v>7.4992636229749632</v>
      </c>
    </row>
    <row r="4790" spans="1:24" ht="15" customHeight="1">
      <c r="A4790" s="3">
        <v>42543</v>
      </c>
      <c r="B4790" s="9">
        <v>89575</v>
      </c>
      <c r="C4790" s="5">
        <v>75</v>
      </c>
      <c r="D4790" s="5">
        <v>96025</v>
      </c>
      <c r="E4790" s="5">
        <v>185675</v>
      </c>
      <c r="F4790" s="4">
        <v>200</v>
      </c>
      <c r="G4790" s="5">
        <v>25</v>
      </c>
      <c r="H4790" s="5">
        <v>73225</v>
      </c>
      <c r="I4790" s="118">
        <f t="shared" si="289"/>
        <v>0.3943718863605763</v>
      </c>
      <c r="J4790" s="5">
        <v>35135</v>
      </c>
      <c r="K4790" s="22">
        <v>1712</v>
      </c>
      <c r="L4790" s="6">
        <v>1718</v>
      </c>
      <c r="M4790" s="125">
        <f t="shared" si="287"/>
        <v>6</v>
      </c>
      <c r="P4790" s="247">
        <v>12730</v>
      </c>
      <c r="Q4790" s="25">
        <f>175.82/1158.2</f>
        <v>0.15180452426178551</v>
      </c>
      <c r="U4790" s="384">
        <v>0.1</v>
      </c>
      <c r="W4790" s="285">
        <f>(P4790*Q4790)*(1+U4791)</f>
        <v>2125.7187532377825</v>
      </c>
      <c r="X4790" s="446">
        <f t="shared" si="283"/>
        <v>7.4357476635514015</v>
      </c>
    </row>
    <row r="4791" spans="1:24" ht="15" customHeight="1">
      <c r="A4791" s="3">
        <v>42544</v>
      </c>
      <c r="B4791" s="9">
        <v>89575</v>
      </c>
      <c r="C4791" s="5">
        <v>50</v>
      </c>
      <c r="D4791" s="5">
        <v>96025</v>
      </c>
      <c r="E4791" s="5">
        <v>185650</v>
      </c>
      <c r="F4791" s="4">
        <v>0</v>
      </c>
      <c r="G4791" s="5">
        <v>25</v>
      </c>
      <c r="H4791" s="5">
        <v>73200</v>
      </c>
      <c r="I4791" s="118">
        <f t="shared" si="289"/>
        <v>0.39429033126851604</v>
      </c>
      <c r="J4791" s="5">
        <v>26906</v>
      </c>
      <c r="K4791" s="22">
        <v>1720</v>
      </c>
      <c r="L4791" s="6">
        <v>1727</v>
      </c>
      <c r="M4791" s="125">
        <f t="shared" si="287"/>
        <v>7</v>
      </c>
      <c r="P4791" s="247">
        <v>12710</v>
      </c>
      <c r="Q4791" s="25">
        <f>174.83/1151.2</f>
        <v>0.15186761640027799</v>
      </c>
      <c r="U4791" s="384">
        <v>0.1</v>
      </c>
      <c r="W4791" s="285">
        <f t="shared" ref="W4791:W4796" si="291">(P4791*Q4791)*(1+U4791)</f>
        <v>2123.2611448922867</v>
      </c>
      <c r="X4791" s="446">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18">
        <f t="shared" si="289"/>
        <v>0.39523296525720442</v>
      </c>
      <c r="J4792" s="5">
        <v>23425</v>
      </c>
      <c r="K4792" s="22">
        <v>1693.5</v>
      </c>
      <c r="L4792" s="6">
        <v>1699</v>
      </c>
      <c r="M4792" s="125">
        <f>L4792-K4792</f>
        <v>5.5</v>
      </c>
      <c r="P4792" s="247">
        <v>12710</v>
      </c>
      <c r="Q4792" s="25">
        <f>175.15/1168.5</f>
        <v>0.14989302524604195</v>
      </c>
      <c r="U4792" s="384">
        <v>0.1</v>
      </c>
      <c r="W4792" s="285">
        <f t="shared" si="291"/>
        <v>2095.6543859649128</v>
      </c>
      <c r="X4792" s="446">
        <f t="shared" si="292"/>
        <v>7.5051668142899324</v>
      </c>
    </row>
    <row r="4793" spans="1:24" ht="15" customHeight="1">
      <c r="A4793" s="3">
        <v>42548</v>
      </c>
      <c r="B4793" s="9">
        <v>89575</v>
      </c>
      <c r="C4793" s="5">
        <v>25</v>
      </c>
      <c r="D4793" s="5">
        <v>96025</v>
      </c>
      <c r="E4793" s="5">
        <v>185625</v>
      </c>
      <c r="F4793" s="4">
        <v>0</v>
      </c>
      <c r="G4793" s="5">
        <v>25</v>
      </c>
      <c r="H4793" s="5">
        <v>73350</v>
      </c>
      <c r="I4793" s="118">
        <f t="shared" si="289"/>
        <v>0.39515151515151514</v>
      </c>
      <c r="J4793" s="5">
        <v>26854</v>
      </c>
      <c r="K4793" s="22">
        <v>1698</v>
      </c>
      <c r="L4793" s="6">
        <v>1705</v>
      </c>
      <c r="M4793" s="125">
        <f>L4793-K4793</f>
        <v>7</v>
      </c>
      <c r="P4793" s="247">
        <v>12710</v>
      </c>
      <c r="Q4793" s="25">
        <f>175.15/1168.5</f>
        <v>0.14989302524604195</v>
      </c>
      <c r="U4793" s="384">
        <v>0.1</v>
      </c>
      <c r="W4793" s="285">
        <f t="shared" si="291"/>
        <v>2095.6543859649128</v>
      </c>
      <c r="X4793" s="446">
        <f t="shared" si="292"/>
        <v>7.4852767962308597</v>
      </c>
    </row>
    <row r="4794" spans="1:24" ht="15" customHeight="1">
      <c r="A4794" s="3">
        <v>42549</v>
      </c>
      <c r="B4794" s="9">
        <v>89325</v>
      </c>
      <c r="C4794" s="5">
        <v>0</v>
      </c>
      <c r="D4794" s="5">
        <v>96025</v>
      </c>
      <c r="E4794" s="5">
        <v>185350</v>
      </c>
      <c r="F4794" s="4">
        <v>0</v>
      </c>
      <c r="G4794" s="5">
        <v>275</v>
      </c>
      <c r="H4794" s="5">
        <v>73075</v>
      </c>
      <c r="I4794" s="118">
        <f t="shared" si="289"/>
        <v>0.39425411383868358</v>
      </c>
      <c r="J4794" s="5">
        <v>21222</v>
      </c>
      <c r="K4794" s="22">
        <v>1713.5</v>
      </c>
      <c r="L4794" s="6">
        <v>1718</v>
      </c>
      <c r="M4794" s="125">
        <f>L4794-K4794</f>
        <v>4.5</v>
      </c>
      <c r="P4794" s="247">
        <v>12710</v>
      </c>
      <c r="Q4794" s="25">
        <f>177.71/1183.3</f>
        <v>0.15018169525902139</v>
      </c>
      <c r="U4794" s="384">
        <v>0.1</v>
      </c>
      <c r="W4794" s="285">
        <f t="shared" si="291"/>
        <v>2099.6902814163782</v>
      </c>
      <c r="X4794" s="446">
        <f t="shared" si="292"/>
        <v>7.4175663845929387</v>
      </c>
    </row>
    <row r="4795" spans="1:24" ht="15" customHeight="1">
      <c r="A4795" s="3">
        <v>42550</v>
      </c>
      <c r="B4795" s="9">
        <v>90350</v>
      </c>
      <c r="C4795" s="5">
        <v>0</v>
      </c>
      <c r="D4795" s="5">
        <v>95900</v>
      </c>
      <c r="E4795" s="5">
        <v>186250</v>
      </c>
      <c r="F4795" s="4">
        <v>1025</v>
      </c>
      <c r="G4795" s="5">
        <v>125</v>
      </c>
      <c r="H4795" s="5">
        <v>72950</v>
      </c>
      <c r="I4795" s="118">
        <f t="shared" si="289"/>
        <v>0.39167785234899327</v>
      </c>
      <c r="J4795" s="5">
        <v>36773</v>
      </c>
      <c r="K4795" s="22">
        <v>1734</v>
      </c>
      <c r="L4795" s="6">
        <v>1736</v>
      </c>
      <c r="M4795" s="125">
        <f>L4795-K4795</f>
        <v>2</v>
      </c>
      <c r="P4795" s="247">
        <v>12760</v>
      </c>
      <c r="Q4795" s="25">
        <f>176.32/1175.9</f>
        <v>0.1499447231907475</v>
      </c>
      <c r="U4795" s="384">
        <v>0.1</v>
      </c>
      <c r="W4795" s="285">
        <f t="shared" si="291"/>
        <v>2104.6241347053319</v>
      </c>
      <c r="X4795" s="446">
        <f t="shared" si="292"/>
        <v>7.3587081891580164</v>
      </c>
    </row>
    <row r="4796" spans="1:24" ht="15" customHeight="1">
      <c r="A4796" s="3">
        <v>42551</v>
      </c>
      <c r="B4796" s="9">
        <v>89350</v>
      </c>
      <c r="C4796" s="5">
        <v>0</v>
      </c>
      <c r="D4796" s="5">
        <v>95875</v>
      </c>
      <c r="E4796" s="5">
        <v>185225</v>
      </c>
      <c r="F4796" s="4">
        <v>0</v>
      </c>
      <c r="G4796" s="5">
        <v>1025</v>
      </c>
      <c r="H4796" s="5">
        <v>71925</v>
      </c>
      <c r="I4796" s="118">
        <f t="shared" si="289"/>
        <v>0.38831151302469968</v>
      </c>
      <c r="J4796" s="5">
        <v>51257</v>
      </c>
      <c r="K4796" s="22">
        <v>1780</v>
      </c>
      <c r="L4796" s="6">
        <v>1784</v>
      </c>
      <c r="M4796" s="125">
        <f>L4796-K4796</f>
        <v>4</v>
      </c>
      <c r="N4796" s="235">
        <f>AVERAGE(K4775:K4796)</f>
        <v>1713.909090909091</v>
      </c>
      <c r="O4796" s="230">
        <f>AVERAGE(K4663:K4796)</f>
        <v>1731.2560000000001</v>
      </c>
      <c r="P4796" s="247">
        <v>12790</v>
      </c>
      <c r="Q4796" s="25">
        <f>173.2/1152.6</f>
        <v>0.15026895714037827</v>
      </c>
      <c r="U4796" s="384">
        <v>0.1</v>
      </c>
      <c r="W4796" s="285">
        <f t="shared" si="291"/>
        <v>2114.1339580079821</v>
      </c>
      <c r="X4796" s="446">
        <f t="shared" si="292"/>
        <v>7.1853932584269664</v>
      </c>
    </row>
    <row r="4797" spans="1:24" ht="15" customHeight="1" thickBot="1">
      <c r="A4797" s="216"/>
      <c r="B4797" s="1330"/>
      <c r="C4797" s="1330"/>
      <c r="D4797" s="1330"/>
      <c r="E4797" s="216"/>
      <c r="F4797" s="407"/>
      <c r="G4797" s="164"/>
      <c r="H4797" s="164"/>
      <c r="I4797" s="166"/>
      <c r="J4797" s="166"/>
      <c r="K4797" s="166"/>
      <c r="L4797" s="167"/>
      <c r="M4797" s="168"/>
      <c r="N4797" s="169" t="s">
        <v>52</v>
      </c>
      <c r="O4797" s="183"/>
      <c r="P4797" s="180"/>
      <c r="Q4797" s="154"/>
      <c r="R4797" s="248"/>
      <c r="S4797" s="249"/>
      <c r="T4797" s="249"/>
      <c r="U4797" s="152"/>
      <c r="V4797" s="153">
        <f>AVERAGE(P4775:P4796)</f>
        <v>12724.5</v>
      </c>
      <c r="W4797" s="295"/>
      <c r="X4797" s="447">
        <f>AVERAGE(X4775:X4796)</f>
        <v>7.0800477017581969</v>
      </c>
    </row>
    <row r="4798" spans="1:24" ht="15" customHeight="1">
      <c r="A4798" s="3">
        <v>42552</v>
      </c>
      <c r="B4798" s="9">
        <v>89350</v>
      </c>
      <c r="C4798" s="5">
        <v>0</v>
      </c>
      <c r="D4798" s="5">
        <v>95800</v>
      </c>
      <c r="E4798" s="5">
        <v>185150</v>
      </c>
      <c r="F4798" s="4">
        <v>0</v>
      </c>
      <c r="G4798" s="5">
        <v>75</v>
      </c>
      <c r="H4798" s="5">
        <v>71850</v>
      </c>
      <c r="I4798" s="118">
        <f t="shared" si="289"/>
        <v>0.38806373210910072</v>
      </c>
      <c r="J4798" s="5">
        <v>58339</v>
      </c>
      <c r="K4798" s="22">
        <v>1815</v>
      </c>
      <c r="L4798" s="6">
        <v>1820.5</v>
      </c>
      <c r="M4798" s="125">
        <f t="shared" ref="M4798:M4818" si="293">L4798-K4798</f>
        <v>5.5</v>
      </c>
      <c r="P4798" s="247">
        <v>12920</v>
      </c>
      <c r="Q4798" s="25">
        <f>173.2/1152.6</f>
        <v>0.15026895714037827</v>
      </c>
      <c r="U4798" s="384">
        <v>0.1</v>
      </c>
      <c r="W4798" s="285">
        <f t="shared" ref="W4798:W4851" si="294">(P4798*Q4798)*(1+U4798)</f>
        <v>2135.6224188790561</v>
      </c>
      <c r="X4798" s="446">
        <f t="shared" si="292"/>
        <v>7.1184573002754821</v>
      </c>
    </row>
    <row r="4799" spans="1:24" ht="15" customHeight="1">
      <c r="A4799" s="3">
        <v>42555</v>
      </c>
      <c r="B4799" s="9">
        <v>89350</v>
      </c>
      <c r="C4799" s="5">
        <v>0</v>
      </c>
      <c r="D4799" s="5">
        <v>95800</v>
      </c>
      <c r="E4799" s="5">
        <v>185150</v>
      </c>
      <c r="F4799" s="4">
        <v>0</v>
      </c>
      <c r="G4799" s="5">
        <v>0</v>
      </c>
      <c r="H4799" s="5">
        <v>71850</v>
      </c>
      <c r="I4799" s="118">
        <f t="shared" si="289"/>
        <v>0.38806373210910072</v>
      </c>
      <c r="J4799" s="5">
        <v>47352</v>
      </c>
      <c r="K4799" s="22">
        <v>1867</v>
      </c>
      <c r="L4799" s="6">
        <v>1871</v>
      </c>
      <c r="M4799" s="125">
        <f t="shared" si="293"/>
        <v>4</v>
      </c>
      <c r="P4799" s="247">
        <v>13200</v>
      </c>
      <c r="Q4799" s="25">
        <f>172.14/1147.5</f>
        <v>0.15001307189542482</v>
      </c>
      <c r="U4799" s="384">
        <v>0.1</v>
      </c>
      <c r="W4799" s="285">
        <f t="shared" si="294"/>
        <v>2178.1898039215685</v>
      </c>
      <c r="X4799" s="446">
        <f t="shared" si="292"/>
        <v>7.0701660417782541</v>
      </c>
    </row>
    <row r="4800" spans="1:24" ht="15" customHeight="1">
      <c r="A4800" s="3">
        <v>42556</v>
      </c>
      <c r="B4800" s="9">
        <v>89000</v>
      </c>
      <c r="C4800" s="5">
        <v>0</v>
      </c>
      <c r="D4800" s="5">
        <v>95800</v>
      </c>
      <c r="E4800" s="5">
        <v>184800</v>
      </c>
      <c r="F4800" s="4">
        <v>0</v>
      </c>
      <c r="G4800" s="5">
        <v>350</v>
      </c>
      <c r="H4800" s="5">
        <v>71500</v>
      </c>
      <c r="I4800" s="118">
        <f t="shared" si="289"/>
        <v>0.38690476190476192</v>
      </c>
      <c r="J4800" s="5">
        <v>35699</v>
      </c>
      <c r="K4800" s="22">
        <v>1821</v>
      </c>
      <c r="L4800" s="6">
        <v>1830</v>
      </c>
      <c r="M4800" s="125">
        <f t="shared" si="293"/>
        <v>9</v>
      </c>
      <c r="P4800" s="247">
        <v>12930</v>
      </c>
      <c r="Q4800" s="25">
        <f>172.5/1153</f>
        <v>0.14960971379011276</v>
      </c>
      <c r="U4800" s="384">
        <v>0.1</v>
      </c>
      <c r="W4800" s="285">
        <f t="shared" si="294"/>
        <v>2127.8989592367739</v>
      </c>
      <c r="X4800" s="446">
        <f t="shared" si="292"/>
        <v>7.1004942339373969</v>
      </c>
    </row>
    <row r="4801" spans="1:24" ht="15" customHeight="1">
      <c r="A4801" s="3">
        <v>42557</v>
      </c>
      <c r="B4801" s="9">
        <v>89000</v>
      </c>
      <c r="C4801" s="5">
        <v>0</v>
      </c>
      <c r="D4801" s="5">
        <v>95750</v>
      </c>
      <c r="E4801" s="5">
        <v>184750</v>
      </c>
      <c r="F4801" s="4">
        <v>0</v>
      </c>
      <c r="G4801" s="5">
        <v>50</v>
      </c>
      <c r="H4801" s="5">
        <v>71450</v>
      </c>
      <c r="I4801" s="118">
        <f t="shared" si="289"/>
        <v>0.38673883626522326</v>
      </c>
      <c r="J4801" s="5">
        <v>46507</v>
      </c>
      <c r="K4801" s="22">
        <v>1788</v>
      </c>
      <c r="L4801" s="6">
        <v>1791</v>
      </c>
      <c r="M4801" s="125">
        <f t="shared" si="293"/>
        <v>3</v>
      </c>
      <c r="P4801" s="247">
        <v>12880</v>
      </c>
      <c r="Q4801" s="25">
        <f>172.5/1153</f>
        <v>0.14960971379011276</v>
      </c>
      <c r="U4801" s="384">
        <v>0.1</v>
      </c>
      <c r="W4801" s="285">
        <f t="shared" si="294"/>
        <v>2119.6704249783179</v>
      </c>
      <c r="X4801" s="446">
        <f t="shared" si="292"/>
        <v>7.2035794183445194</v>
      </c>
    </row>
    <row r="4802" spans="1:24" ht="15" customHeight="1">
      <c r="A4802" s="3">
        <v>42558</v>
      </c>
      <c r="B4802" s="9">
        <v>89000</v>
      </c>
      <c r="C4802" s="5">
        <v>0</v>
      </c>
      <c r="D4802" s="5">
        <v>95650</v>
      </c>
      <c r="E4802" s="5">
        <v>184650</v>
      </c>
      <c r="F4802" s="4">
        <v>0</v>
      </c>
      <c r="G4802" s="5">
        <v>100</v>
      </c>
      <c r="H4802" s="5">
        <v>71350</v>
      </c>
      <c r="I4802" s="118">
        <f t="shared" si="289"/>
        <v>0.38640671540752775</v>
      </c>
      <c r="J4802" s="5">
        <v>37428</v>
      </c>
      <c r="K4802" s="22">
        <v>1830</v>
      </c>
      <c r="L4802" s="6">
        <v>1841</v>
      </c>
      <c r="M4802" s="125">
        <f t="shared" si="293"/>
        <v>11</v>
      </c>
      <c r="P4802" s="247">
        <v>12880</v>
      </c>
      <c r="Q4802" s="25">
        <f>173.97/1165.8</f>
        <v>0.14922799794132785</v>
      </c>
      <c r="U4802" s="384">
        <v>0.1</v>
      </c>
      <c r="W4802" s="285">
        <f t="shared" si="294"/>
        <v>2114.2622748327331</v>
      </c>
      <c r="X4802" s="446">
        <f t="shared" si="292"/>
        <v>7.0382513661202184</v>
      </c>
    </row>
    <row r="4803" spans="1:24" ht="15" customHeight="1">
      <c r="A4803" s="3">
        <v>42559</v>
      </c>
      <c r="B4803" s="9">
        <v>89000</v>
      </c>
      <c r="C4803" s="5">
        <v>0</v>
      </c>
      <c r="D4803" s="5">
        <v>95525</v>
      </c>
      <c r="E4803" s="5">
        <v>184525</v>
      </c>
      <c r="F4803" s="4">
        <v>0</v>
      </c>
      <c r="G4803" s="5">
        <v>125</v>
      </c>
      <c r="H4803" s="5">
        <v>71225</v>
      </c>
      <c r="I4803" s="118">
        <f t="shared" si="289"/>
        <v>0.38599105812220569</v>
      </c>
      <c r="J4803" s="5">
        <v>35383</v>
      </c>
      <c r="K4803" s="22">
        <v>1815.5</v>
      </c>
      <c r="L4803" s="6">
        <v>1824</v>
      </c>
      <c r="M4803" s="125">
        <f t="shared" si="293"/>
        <v>8.5</v>
      </c>
      <c r="P4803" s="247">
        <v>12830</v>
      </c>
      <c r="Q4803" s="25">
        <f>172.72/1156.6</f>
        <v>0.14933425557669031</v>
      </c>
      <c r="U4803" s="384">
        <v>0.1</v>
      </c>
      <c r="W4803" s="285">
        <f t="shared" si="294"/>
        <v>2107.5543489538304</v>
      </c>
      <c r="X4803" s="446">
        <f t="shared" si="292"/>
        <v>7.0669237124759023</v>
      </c>
    </row>
    <row r="4804" spans="1:24" ht="15" customHeight="1">
      <c r="A4804" s="3">
        <v>42562</v>
      </c>
      <c r="B4804" s="9">
        <v>89000</v>
      </c>
      <c r="C4804" s="5">
        <v>0</v>
      </c>
      <c r="D4804" s="5">
        <v>95525</v>
      </c>
      <c r="E4804" s="5">
        <v>184525</v>
      </c>
      <c r="F4804" s="4">
        <v>0</v>
      </c>
      <c r="G4804" s="5">
        <v>0</v>
      </c>
      <c r="H4804" s="5">
        <v>71350</v>
      </c>
      <c r="I4804" s="118">
        <f t="shared" si="289"/>
        <v>0.38666847310662511</v>
      </c>
      <c r="J4804" s="5">
        <v>52333</v>
      </c>
      <c r="K4804" s="22">
        <v>1816</v>
      </c>
      <c r="L4804" s="6">
        <v>1825</v>
      </c>
      <c r="M4804" s="125">
        <f t="shared" si="293"/>
        <v>9</v>
      </c>
      <c r="P4804" s="247">
        <v>12870</v>
      </c>
      <c r="Q4804" s="25">
        <f>172.98/1159.2</f>
        <v>0.14922360248447203</v>
      </c>
      <c r="U4804" s="384">
        <v>0.1</v>
      </c>
      <c r="W4804" s="285">
        <f t="shared" si="294"/>
        <v>2112.5585403726709</v>
      </c>
      <c r="X4804" s="446">
        <f t="shared" si="292"/>
        <v>7.0870044052863435</v>
      </c>
    </row>
    <row r="4805" spans="1:24" ht="15" customHeight="1">
      <c r="A4805" s="3">
        <v>42563</v>
      </c>
      <c r="B4805" s="9">
        <v>89000</v>
      </c>
      <c r="C4805" s="5">
        <v>0</v>
      </c>
      <c r="D4805" s="5">
        <v>95525</v>
      </c>
      <c r="E4805" s="5">
        <v>184525</v>
      </c>
      <c r="F4805" s="4">
        <v>0</v>
      </c>
      <c r="G4805" s="5">
        <v>0</v>
      </c>
      <c r="H4805" s="5">
        <v>71350</v>
      </c>
      <c r="I4805" s="118">
        <f t="shared" si="289"/>
        <v>0.38666847310662511</v>
      </c>
      <c r="J4805" s="5">
        <v>47468</v>
      </c>
      <c r="K4805" s="22">
        <v>1852</v>
      </c>
      <c r="L4805" s="6">
        <v>1857</v>
      </c>
      <c r="M4805" s="125">
        <f t="shared" si="293"/>
        <v>5</v>
      </c>
      <c r="P4805" s="247">
        <v>12900</v>
      </c>
      <c r="Q4805" s="25">
        <f>171.37/1147.8</f>
        <v>0.14930301446244992</v>
      </c>
      <c r="U4805" s="384">
        <v>0.1</v>
      </c>
      <c r="W4805" s="285">
        <f t="shared" si="294"/>
        <v>2118.6097752221644</v>
      </c>
      <c r="X4805" s="446">
        <f t="shared" si="292"/>
        <v>6.9654427645788335</v>
      </c>
    </row>
    <row r="4806" spans="1:24" ht="15" customHeight="1">
      <c r="A4806" s="3">
        <v>42564</v>
      </c>
      <c r="B4806" s="9">
        <v>89000</v>
      </c>
      <c r="C4806" s="5">
        <v>0</v>
      </c>
      <c r="D4806" s="5">
        <v>95525</v>
      </c>
      <c r="E4806" s="5">
        <v>184525</v>
      </c>
      <c r="F4806" s="4">
        <v>0</v>
      </c>
      <c r="G4806" s="5">
        <v>0</v>
      </c>
      <c r="H4806" s="5">
        <v>71350</v>
      </c>
      <c r="I4806" s="118">
        <f t="shared" si="289"/>
        <v>0.38666847310662511</v>
      </c>
      <c r="J4806" s="5">
        <v>65499</v>
      </c>
      <c r="K4806" s="22">
        <v>1863</v>
      </c>
      <c r="L4806" s="6">
        <v>1869</v>
      </c>
      <c r="M4806" s="125">
        <f t="shared" si="293"/>
        <v>6</v>
      </c>
      <c r="P4806" s="247">
        <v>13020</v>
      </c>
      <c r="Q4806" s="25">
        <f>171.25/1145.7</f>
        <v>0.14947193855284979</v>
      </c>
      <c r="U4806" s="384">
        <v>0.1</v>
      </c>
      <c r="W4806" s="285">
        <f t="shared" si="294"/>
        <v>2140.7371039539148</v>
      </c>
      <c r="X4806" s="446">
        <f t="shared" si="292"/>
        <v>6.9887278582930756</v>
      </c>
    </row>
    <row r="4807" spans="1:24" ht="15" customHeight="1">
      <c r="A4807" s="3">
        <v>42565</v>
      </c>
      <c r="B4807" s="9">
        <v>90400</v>
      </c>
      <c r="C4807" s="5">
        <v>0</v>
      </c>
      <c r="D4807" s="5">
        <v>95525</v>
      </c>
      <c r="E4807" s="5">
        <v>185925</v>
      </c>
      <c r="F4807" s="4">
        <v>1400</v>
      </c>
      <c r="G4807" s="5">
        <v>0</v>
      </c>
      <c r="H4807" s="5">
        <v>71425</v>
      </c>
      <c r="I4807" s="118">
        <f t="shared" si="289"/>
        <v>0.38416027968266775</v>
      </c>
      <c r="J4807" s="5">
        <v>50090</v>
      </c>
      <c r="K4807" s="22">
        <v>1877</v>
      </c>
      <c r="L4807" s="6">
        <v>1883</v>
      </c>
      <c r="M4807" s="125">
        <f t="shared" si="293"/>
        <v>6</v>
      </c>
      <c r="P4807" s="247">
        <v>12980</v>
      </c>
      <c r="Q4807" s="25">
        <f>171.25/1145.7</f>
        <v>0.14947193855284979</v>
      </c>
      <c r="U4807" s="384">
        <v>0.1</v>
      </c>
      <c r="W4807" s="285">
        <f t="shared" si="294"/>
        <v>2134.1603386575894</v>
      </c>
      <c r="X4807" s="446">
        <f t="shared" si="292"/>
        <v>6.9152903569525837</v>
      </c>
    </row>
    <row r="4808" spans="1:24" ht="15" customHeight="1">
      <c r="A4808" s="3">
        <v>42566</v>
      </c>
      <c r="B4808" s="9">
        <v>90400</v>
      </c>
      <c r="C4808" s="5">
        <v>0</v>
      </c>
      <c r="D4808" s="5">
        <v>96025</v>
      </c>
      <c r="E4808" s="5">
        <v>186425</v>
      </c>
      <c r="F4808" s="4">
        <v>500</v>
      </c>
      <c r="G4808" s="5">
        <v>0</v>
      </c>
      <c r="H4808" s="5">
        <v>71425</v>
      </c>
      <c r="I4808" s="118">
        <f t="shared" si="289"/>
        <v>0.38312994501810377</v>
      </c>
      <c r="J4808" s="5">
        <v>45367</v>
      </c>
      <c r="K4808" s="22">
        <v>1901</v>
      </c>
      <c r="L4808" s="6">
        <v>1909</v>
      </c>
      <c r="M4808" s="125">
        <f t="shared" si="293"/>
        <v>8</v>
      </c>
      <c r="P4808" s="247">
        <v>13070</v>
      </c>
      <c r="Q4808" s="25">
        <f>169.24/1132.7</f>
        <v>0.14941290721285425</v>
      </c>
      <c r="U4808" s="384">
        <v>0.1</v>
      </c>
      <c r="W4808" s="285">
        <f t="shared" si="294"/>
        <v>2148.1093669992056</v>
      </c>
      <c r="X4808" s="446">
        <f t="shared" si="292"/>
        <v>6.8753287743293008</v>
      </c>
    </row>
    <row r="4809" spans="1:24" ht="15" customHeight="1">
      <c r="A4809" s="3">
        <v>42569</v>
      </c>
      <c r="B4809" s="9">
        <v>90400</v>
      </c>
      <c r="C4809" s="5">
        <v>0</v>
      </c>
      <c r="D4809" s="5">
        <v>95950</v>
      </c>
      <c r="E4809" s="5">
        <v>186350</v>
      </c>
      <c r="F4809" s="4">
        <v>0</v>
      </c>
      <c r="G4809" s="5">
        <v>75</v>
      </c>
      <c r="H4809" s="5">
        <v>71350</v>
      </c>
      <c r="I4809" s="118">
        <f t="shared" si="289"/>
        <v>0.38288167426884895</v>
      </c>
      <c r="J4809" s="5">
        <v>46943</v>
      </c>
      <c r="K4809" s="22">
        <v>1851</v>
      </c>
      <c r="L4809" s="6">
        <v>1861</v>
      </c>
      <c r="M4809" s="125">
        <f t="shared" si="293"/>
        <v>10</v>
      </c>
      <c r="P4809" s="247">
        <v>13030</v>
      </c>
      <c r="Q4809" s="25">
        <f>169.24/1132.7</f>
        <v>0.14941290721285425</v>
      </c>
      <c r="U4809" s="384">
        <v>0.1</v>
      </c>
      <c r="W4809" s="285">
        <f t="shared" si="294"/>
        <v>2141.5351990818403</v>
      </c>
      <c r="X4809" s="446">
        <f t="shared" si="292"/>
        <v>7.0394381415451104</v>
      </c>
    </row>
    <row r="4810" spans="1:24" ht="15" customHeight="1">
      <c r="A4810" s="3">
        <v>42570</v>
      </c>
      <c r="B4810" s="9">
        <v>90400</v>
      </c>
      <c r="C4810" s="5">
        <v>0</v>
      </c>
      <c r="D4810" s="5">
        <v>95950</v>
      </c>
      <c r="E4810" s="5">
        <v>186350</v>
      </c>
      <c r="F4810" s="4">
        <v>0</v>
      </c>
      <c r="G4810" s="5">
        <v>0</v>
      </c>
      <c r="H4810" s="5">
        <v>71700</v>
      </c>
      <c r="I4810" s="118">
        <f t="shared" si="289"/>
        <v>0.38475986047759592</v>
      </c>
      <c r="J4810" s="5">
        <v>39713</v>
      </c>
      <c r="K4810" s="22">
        <v>1856</v>
      </c>
      <c r="L4810" s="6">
        <v>1866</v>
      </c>
      <c r="M4810" s="125">
        <f t="shared" si="293"/>
        <v>10</v>
      </c>
      <c r="P4810" s="247">
        <v>13030</v>
      </c>
      <c r="Q4810" s="25">
        <f>169.47/1136.3</f>
        <v>0.14914195194930915</v>
      </c>
      <c r="U4810" s="384">
        <v>0.1</v>
      </c>
      <c r="W4810" s="285">
        <f t="shared" si="294"/>
        <v>2137.6515972894481</v>
      </c>
      <c r="X4810" s="446">
        <f t="shared" si="292"/>
        <v>7.0204741379310347</v>
      </c>
    </row>
    <row r="4811" spans="1:24" ht="15" customHeight="1">
      <c r="A4811" s="3">
        <v>42571</v>
      </c>
      <c r="B4811" s="9">
        <v>89900</v>
      </c>
      <c r="C4811" s="5">
        <v>0</v>
      </c>
      <c r="D4811" s="5">
        <v>95950</v>
      </c>
      <c r="E4811" s="5">
        <v>185850</v>
      </c>
      <c r="F4811" s="4">
        <v>0</v>
      </c>
      <c r="G4811" s="5">
        <v>500</v>
      </c>
      <c r="H4811" s="5">
        <v>71200</v>
      </c>
      <c r="I4811" s="118">
        <f t="shared" si="289"/>
        <v>0.38310465429109497</v>
      </c>
      <c r="J4811" s="5">
        <v>43989</v>
      </c>
      <c r="K4811" s="22">
        <v>1823</v>
      </c>
      <c r="L4811" s="6">
        <v>1834</v>
      </c>
      <c r="M4811" s="125">
        <f t="shared" si="293"/>
        <v>11</v>
      </c>
      <c r="P4811" s="247">
        <v>13030</v>
      </c>
      <c r="Q4811" s="25">
        <f>169.73/1138.4</f>
        <v>0.1490952213633169</v>
      </c>
      <c r="U4811" s="384">
        <v>0.1</v>
      </c>
      <c r="W4811" s="285">
        <f t="shared" si="294"/>
        <v>2136.9818078004214</v>
      </c>
      <c r="X4811" s="446">
        <f t="shared" si="292"/>
        <v>7.1475589687328576</v>
      </c>
    </row>
    <row r="4812" spans="1:24" ht="15" customHeight="1">
      <c r="A4812" s="3">
        <v>42572</v>
      </c>
      <c r="B4812" s="9">
        <v>89750</v>
      </c>
      <c r="C4812" s="5">
        <v>0</v>
      </c>
      <c r="D4812" s="5">
        <v>95950</v>
      </c>
      <c r="E4812" s="5">
        <v>185700</v>
      </c>
      <c r="F4812" s="4">
        <v>0</v>
      </c>
      <c r="G4812" s="5">
        <v>150</v>
      </c>
      <c r="H4812" s="5">
        <v>71050</v>
      </c>
      <c r="I4812" s="118">
        <f t="shared" si="289"/>
        <v>0.38260635433494883</v>
      </c>
      <c r="J4812" s="5">
        <v>31938</v>
      </c>
      <c r="K4812" s="22">
        <v>1852.5</v>
      </c>
      <c r="L4812" s="6">
        <v>1863</v>
      </c>
      <c r="M4812" s="125">
        <f t="shared" si="293"/>
        <v>10.5</v>
      </c>
      <c r="P4812" s="247">
        <v>13030</v>
      </c>
      <c r="Q4812" s="25">
        <f>170.22/1140.8</f>
        <v>0.14921107994389901</v>
      </c>
      <c r="U4812" s="384">
        <v>0.1</v>
      </c>
      <c r="W4812" s="285">
        <f t="shared" si="294"/>
        <v>2138.6424088359049</v>
      </c>
      <c r="X4812" s="446">
        <f t="shared" si="292"/>
        <v>7.0337381916329287</v>
      </c>
    </row>
    <row r="4813" spans="1:24" ht="15" customHeight="1">
      <c r="A4813" s="3">
        <v>42573</v>
      </c>
      <c r="B4813" s="9">
        <v>89750</v>
      </c>
      <c r="C4813" s="5">
        <v>0</v>
      </c>
      <c r="D4813" s="5">
        <v>95525</v>
      </c>
      <c r="E4813" s="5">
        <v>187275</v>
      </c>
      <c r="F4813" s="4">
        <v>1575</v>
      </c>
      <c r="G4813" s="5">
        <v>0</v>
      </c>
      <c r="H4813" s="5">
        <v>71150</v>
      </c>
      <c r="I4813" s="118">
        <f t="shared" si="289"/>
        <v>0.37992257375517285</v>
      </c>
      <c r="J4813" s="5">
        <v>33841</v>
      </c>
      <c r="K4813" s="22">
        <v>1845.5</v>
      </c>
      <c r="L4813" s="6">
        <v>1858</v>
      </c>
      <c r="M4813" s="125">
        <f t="shared" si="293"/>
        <v>12.5</v>
      </c>
      <c r="P4813" s="247">
        <v>13130</v>
      </c>
      <c r="Q4813" s="25">
        <f>170.06/1135</f>
        <v>0.14983259911894273</v>
      </c>
      <c r="U4813" s="384">
        <v>0.1</v>
      </c>
      <c r="W4813" s="285">
        <f t="shared" si="294"/>
        <v>2164.03222907489</v>
      </c>
      <c r="X4813" s="446">
        <f t="shared" si="292"/>
        <v>7.1146030885938769</v>
      </c>
    </row>
    <row r="4814" spans="1:24" ht="15" customHeight="1">
      <c r="A4814" s="3">
        <v>42576</v>
      </c>
      <c r="B4814" s="9">
        <v>89725</v>
      </c>
      <c r="C4814" s="5">
        <v>0</v>
      </c>
      <c r="D4814" s="5">
        <v>97625</v>
      </c>
      <c r="E4814" s="5">
        <v>187350</v>
      </c>
      <c r="F4814" s="4">
        <v>300</v>
      </c>
      <c r="G4814" s="5">
        <v>225</v>
      </c>
      <c r="H4814" s="5">
        <v>70925</v>
      </c>
      <c r="I4814" s="118">
        <f t="shared" si="289"/>
        <v>0.37856952228449425</v>
      </c>
      <c r="J4814" s="5">
        <v>36931</v>
      </c>
      <c r="K4814" s="22">
        <v>1843</v>
      </c>
      <c r="L4814" s="6">
        <v>1856</v>
      </c>
      <c r="M4814" s="125">
        <f t="shared" si="293"/>
        <v>13</v>
      </c>
      <c r="P4814" s="247">
        <v>13130</v>
      </c>
      <c r="Q4814" s="25">
        <f>170.02/1136.9</f>
        <v>0.14954701380948193</v>
      </c>
      <c r="U4814" s="384">
        <v>0.1</v>
      </c>
      <c r="W4814" s="285">
        <f t="shared" si="294"/>
        <v>2159.9075204503479</v>
      </c>
      <c r="X4814" s="446">
        <f t="shared" si="292"/>
        <v>7.1242539338035815</v>
      </c>
    </row>
    <row r="4815" spans="1:24" ht="15" customHeight="1">
      <c r="A4815" s="3">
        <v>42577</v>
      </c>
      <c r="B4815" s="9">
        <v>89725</v>
      </c>
      <c r="C4815" s="5">
        <v>0</v>
      </c>
      <c r="D4815" s="5">
        <v>97500</v>
      </c>
      <c r="E4815" s="5">
        <v>187225</v>
      </c>
      <c r="F4815" s="4">
        <v>0</v>
      </c>
      <c r="G4815" s="5">
        <v>125</v>
      </c>
      <c r="H4815" s="5">
        <v>70800</v>
      </c>
      <c r="I4815" s="118">
        <f t="shared" si="289"/>
        <v>0.37815462678595274</v>
      </c>
      <c r="J4815" s="5">
        <v>31206</v>
      </c>
      <c r="K4815" s="22">
        <v>1826</v>
      </c>
      <c r="L4815" s="6">
        <v>1836</v>
      </c>
      <c r="M4815" s="125">
        <f t="shared" si="293"/>
        <v>10</v>
      </c>
      <c r="P4815" s="247">
        <v>13280</v>
      </c>
      <c r="Q4815" s="25">
        <f>170.02/1136.9</f>
        <v>0.14954701380948193</v>
      </c>
      <c r="U4815" s="384">
        <v>0.1</v>
      </c>
      <c r="W4815" s="285">
        <f t="shared" si="294"/>
        <v>2184.5827777289123</v>
      </c>
      <c r="X4815" s="446">
        <f t="shared" si="292"/>
        <v>7.2727272727272725</v>
      </c>
    </row>
    <row r="4816" spans="1:24" ht="15" customHeight="1">
      <c r="A4816" s="3">
        <v>42578</v>
      </c>
      <c r="B4816" s="9">
        <v>89725</v>
      </c>
      <c r="C4816" s="5">
        <v>0</v>
      </c>
      <c r="D4816" s="5">
        <v>97425</v>
      </c>
      <c r="E4816" s="5">
        <v>187150</v>
      </c>
      <c r="F4816" s="4">
        <v>0</v>
      </c>
      <c r="G4816" s="5">
        <v>75</v>
      </c>
      <c r="H4816" s="5">
        <v>70725</v>
      </c>
      <c r="I4816" s="118">
        <f t="shared" si="289"/>
        <v>0.37790542345711997</v>
      </c>
      <c r="J4816" s="5">
        <v>31074</v>
      </c>
      <c r="K4816" s="22">
        <v>1806</v>
      </c>
      <c r="L4816" s="6">
        <v>1820</v>
      </c>
      <c r="M4816" s="125">
        <f t="shared" si="293"/>
        <v>14</v>
      </c>
      <c r="P4816" s="247">
        <v>13430</v>
      </c>
      <c r="Q4816" s="25">
        <f>170.39/1138.4</f>
        <v>0.14967498243148275</v>
      </c>
      <c r="U4816" s="384">
        <v>0.1</v>
      </c>
      <c r="W4816" s="285">
        <f t="shared" si="294"/>
        <v>2211.1485154602947</v>
      </c>
      <c r="X4816" s="446">
        <f t="shared" si="292"/>
        <v>7.436323366555925</v>
      </c>
    </row>
    <row r="4817" spans="1:24" ht="15" customHeight="1">
      <c r="A4817" s="3">
        <v>42579</v>
      </c>
      <c r="B4817" s="9">
        <v>89725</v>
      </c>
      <c r="C4817" s="5">
        <v>0</v>
      </c>
      <c r="D4817" s="5">
        <v>97400</v>
      </c>
      <c r="E4817" s="5">
        <v>187125</v>
      </c>
      <c r="F4817" s="4">
        <v>0</v>
      </c>
      <c r="G4817" s="5">
        <v>25</v>
      </c>
      <c r="H4817" s="5">
        <v>70700</v>
      </c>
      <c r="I4817" s="118">
        <f t="shared" si="289"/>
        <v>0.37782231128924515</v>
      </c>
      <c r="J4817" s="5">
        <v>28598</v>
      </c>
      <c r="K4817" s="22">
        <v>1800</v>
      </c>
      <c r="L4817" s="6">
        <v>1811</v>
      </c>
      <c r="M4817" s="125">
        <f t="shared" si="293"/>
        <v>11</v>
      </c>
      <c r="P4817" s="247">
        <v>13430</v>
      </c>
      <c r="Q4817" s="25">
        <f>169.86/1134.1</f>
        <v>0.14977515210298917</v>
      </c>
      <c r="U4817" s="384">
        <v>0.1</v>
      </c>
      <c r="W4817" s="285">
        <f t="shared" si="294"/>
        <v>2212.6283220174591</v>
      </c>
      <c r="X4817" s="446">
        <f t="shared" si="292"/>
        <v>7.4611111111111112</v>
      </c>
    </row>
    <row r="4818" spans="1:24" ht="15" customHeight="1">
      <c r="A4818" s="3">
        <v>42580</v>
      </c>
      <c r="B4818" s="9">
        <v>89725</v>
      </c>
      <c r="C4818" s="5">
        <v>0</v>
      </c>
      <c r="D4818" s="5">
        <v>97350</v>
      </c>
      <c r="E4818" s="5">
        <v>187075</v>
      </c>
      <c r="F4818" s="4">
        <v>0</v>
      </c>
      <c r="G4818" s="5">
        <v>50</v>
      </c>
      <c r="H4818" s="5">
        <v>70650</v>
      </c>
      <c r="I4818" s="118">
        <f t="shared" si="289"/>
        <v>0.37765602031270878</v>
      </c>
      <c r="J4818" s="5">
        <v>31108</v>
      </c>
      <c r="K4818" s="22">
        <v>1784</v>
      </c>
      <c r="L4818" s="6">
        <v>1798</v>
      </c>
      <c r="M4818" s="125">
        <f t="shared" si="293"/>
        <v>14</v>
      </c>
      <c r="N4818" s="235">
        <f>AVERAGE(K4798:K4818)</f>
        <v>1834.8809523809523</v>
      </c>
      <c r="O4818" s="230">
        <f>AVERAGE(K4663:K4818)</f>
        <v>1746.1609589041095</v>
      </c>
      <c r="P4818" s="247">
        <v>13510</v>
      </c>
      <c r="Q4818" s="25">
        <f>168.69/1122.4</f>
        <v>0.15029401282965074</v>
      </c>
      <c r="U4818" s="384">
        <v>0.1</v>
      </c>
      <c r="W4818" s="285">
        <f t="shared" si="294"/>
        <v>2233.5193246614399</v>
      </c>
      <c r="X4818" s="446">
        <f t="shared" si="292"/>
        <v>7.5728699551569507</v>
      </c>
    </row>
    <row r="4819" spans="1:24" ht="15" customHeight="1" thickBot="1">
      <c r="A4819" s="216"/>
      <c r="B4819" s="1330"/>
      <c r="C4819" s="1330"/>
      <c r="D4819" s="1330"/>
      <c r="E4819" s="216"/>
      <c r="F4819" s="407"/>
      <c r="G4819" s="164"/>
      <c r="H4819" s="164"/>
      <c r="I4819" s="166"/>
      <c r="J4819" s="166"/>
      <c r="K4819" s="166"/>
      <c r="L4819" s="167"/>
      <c r="M4819" s="168"/>
      <c r="N4819" s="169" t="s">
        <v>52</v>
      </c>
      <c r="O4819" s="183"/>
      <c r="P4819" s="180"/>
      <c r="Q4819" s="154"/>
      <c r="R4819" s="248"/>
      <c r="S4819" s="249"/>
      <c r="T4819" s="249"/>
      <c r="U4819" s="152"/>
      <c r="V4819" s="153">
        <f>AVERAGE(P4798:P4818)</f>
        <v>13071.904761904761</v>
      </c>
      <c r="W4819" s="295"/>
      <c r="X4819" s="447">
        <f>AVERAGE(X4798:X4818)</f>
        <v>7.1263221142934556</v>
      </c>
    </row>
    <row r="4820" spans="1:24" ht="15" customHeight="1">
      <c r="A4820" s="3">
        <v>42583</v>
      </c>
      <c r="B4820" s="9">
        <v>89725</v>
      </c>
      <c r="C4820" s="5">
        <v>0</v>
      </c>
      <c r="D4820" s="5">
        <v>97350</v>
      </c>
      <c r="E4820" s="5">
        <v>187075</v>
      </c>
      <c r="F4820" s="4">
        <v>0</v>
      </c>
      <c r="G4820" s="5">
        <v>0</v>
      </c>
      <c r="H4820" s="5">
        <v>70650</v>
      </c>
      <c r="I4820" s="118">
        <f t="shared" ref="I4820:I4896" si="295">H4820/E4820</f>
        <v>0.37765602031270878</v>
      </c>
      <c r="J4820" s="5">
        <v>43375</v>
      </c>
      <c r="K4820" s="22">
        <v>1835</v>
      </c>
      <c r="L4820" s="6">
        <v>1843</v>
      </c>
      <c r="M4820" s="125">
        <f t="shared" ref="M4820:M4839" si="296">L4820-K4820</f>
        <v>8</v>
      </c>
      <c r="P4820" s="247">
        <v>13680</v>
      </c>
      <c r="Q4820" s="25">
        <f>168.69/1122.4</f>
        <v>0.15029401282965074</v>
      </c>
      <c r="U4820" s="384">
        <v>0.1</v>
      </c>
      <c r="W4820" s="285">
        <f t="shared" si="294"/>
        <v>2261.6243050605844</v>
      </c>
      <c r="X4820" s="446">
        <f t="shared" si="292"/>
        <v>7.4550408719346049</v>
      </c>
    </row>
    <row r="4821" spans="1:24" ht="15" customHeight="1">
      <c r="A4821" s="3">
        <v>42584</v>
      </c>
      <c r="B4821" s="9">
        <v>89725</v>
      </c>
      <c r="C4821" s="5">
        <v>0</v>
      </c>
      <c r="D4821" s="5">
        <v>97350</v>
      </c>
      <c r="E4821" s="5">
        <v>187075</v>
      </c>
      <c r="F4821" s="4">
        <v>0</v>
      </c>
      <c r="G4821" s="5">
        <v>0</v>
      </c>
      <c r="H4821" s="5">
        <v>70650</v>
      </c>
      <c r="I4821" s="118">
        <f t="shared" si="295"/>
        <v>0.37765602031270878</v>
      </c>
      <c r="J4821" s="5">
        <v>30731</v>
      </c>
      <c r="K4821" s="22">
        <v>1818</v>
      </c>
      <c r="L4821" s="6">
        <v>1829</v>
      </c>
      <c r="M4821" s="125">
        <f t="shared" si="296"/>
        <v>11</v>
      </c>
      <c r="P4821" s="247">
        <v>13830</v>
      </c>
      <c r="Q4821" s="25">
        <f>167.56/1111</f>
        <v>0.15081908190819082</v>
      </c>
      <c r="U4821" s="384">
        <v>0.1</v>
      </c>
      <c r="W4821" s="285">
        <f t="shared" si="294"/>
        <v>2294.4106930693069</v>
      </c>
      <c r="X4821" s="446">
        <f t="shared" si="292"/>
        <v>7.6072607260726075</v>
      </c>
    </row>
    <row r="4822" spans="1:24" ht="15" customHeight="1">
      <c r="A4822" s="3">
        <v>42585</v>
      </c>
      <c r="B4822" s="9">
        <v>90900</v>
      </c>
      <c r="C4822" s="5">
        <v>0</v>
      </c>
      <c r="D4822" s="5">
        <v>97825</v>
      </c>
      <c r="E4822" s="5">
        <v>188725</v>
      </c>
      <c r="F4822" s="4">
        <v>2075</v>
      </c>
      <c r="G4822" s="5">
        <v>425</v>
      </c>
      <c r="H4822" s="5">
        <v>70225</v>
      </c>
      <c r="I4822" s="118">
        <f t="shared" si="295"/>
        <v>0.37210226520068884</v>
      </c>
      <c r="J4822" s="5">
        <v>31330</v>
      </c>
      <c r="K4822" s="22">
        <v>1803</v>
      </c>
      <c r="L4822" s="6">
        <v>1809</v>
      </c>
      <c r="M4822" s="125">
        <f t="shared" si="296"/>
        <v>6</v>
      </c>
      <c r="P4822" s="247">
        <v>13830</v>
      </c>
      <c r="Q4822" s="25">
        <f>166.71/1108.9</f>
        <v>0.15033817296419874</v>
      </c>
      <c r="U4822" s="384">
        <v>0.1</v>
      </c>
      <c r="W4822" s="285">
        <f t="shared" si="294"/>
        <v>2287.0946253043558</v>
      </c>
      <c r="X4822" s="446">
        <f t="shared" si="292"/>
        <v>7.6705490848585693</v>
      </c>
    </row>
    <row r="4823" spans="1:24" ht="15" customHeight="1">
      <c r="A4823" s="3">
        <v>42586</v>
      </c>
      <c r="B4823" s="9">
        <v>90400</v>
      </c>
      <c r="C4823" s="5">
        <v>0</v>
      </c>
      <c r="D4823" s="5">
        <v>97825</v>
      </c>
      <c r="E4823" s="5">
        <v>188225</v>
      </c>
      <c r="F4823" s="4">
        <v>0</v>
      </c>
      <c r="G4823" s="5">
        <v>500</v>
      </c>
      <c r="H4823" s="5">
        <v>69725</v>
      </c>
      <c r="I4823" s="118">
        <f t="shared" si="295"/>
        <v>0.37043432062690929</v>
      </c>
      <c r="J4823" s="5">
        <v>45918</v>
      </c>
      <c r="K4823" s="22">
        <v>1788</v>
      </c>
      <c r="L4823" s="6">
        <v>1795</v>
      </c>
      <c r="M4823" s="125">
        <f t="shared" si="296"/>
        <v>7</v>
      </c>
      <c r="P4823" s="247">
        <v>13830</v>
      </c>
      <c r="Q4823" s="25">
        <f>167.8/1114</f>
        <v>0.15062836624775586</v>
      </c>
      <c r="U4823" s="384">
        <v>0.1</v>
      </c>
      <c r="W4823" s="285">
        <f t="shared" si="294"/>
        <v>2291.5093357271103</v>
      </c>
      <c r="X4823" s="446">
        <f t="shared" si="292"/>
        <v>7.7348993288590604</v>
      </c>
    </row>
    <row r="4824" spans="1:24" ht="15" customHeight="1">
      <c r="A4824" s="3">
        <v>42587</v>
      </c>
      <c r="B4824" s="9">
        <v>90400</v>
      </c>
      <c r="C4824" s="5">
        <v>0</v>
      </c>
      <c r="D4824" s="5">
        <v>97825</v>
      </c>
      <c r="E4824" s="5">
        <v>188225</v>
      </c>
      <c r="F4824" s="4">
        <v>0</v>
      </c>
      <c r="G4824" s="5">
        <v>0</v>
      </c>
      <c r="H4824" s="5">
        <v>69725</v>
      </c>
      <c r="I4824" s="118">
        <f t="shared" si="295"/>
        <v>0.37043432062690929</v>
      </c>
      <c r="J4824" s="5">
        <v>35044</v>
      </c>
      <c r="K4824" s="22">
        <v>1795</v>
      </c>
      <c r="L4824" s="6">
        <v>1805</v>
      </c>
      <c r="M4824" s="125">
        <f t="shared" si="296"/>
        <v>10</v>
      </c>
      <c r="P4824" s="247">
        <v>13770</v>
      </c>
      <c r="Q4824" s="25">
        <f>167.74/1113.8</f>
        <v>0.15060154426288383</v>
      </c>
      <c r="U4824" s="384">
        <v>0.1</v>
      </c>
      <c r="W4824" s="285">
        <f t="shared" si="294"/>
        <v>2281.1615909499014</v>
      </c>
      <c r="X4824" s="446">
        <f t="shared" si="292"/>
        <v>7.6713091922005567</v>
      </c>
    </row>
    <row r="4825" spans="1:24" ht="15" customHeight="1">
      <c r="A4825" s="3">
        <v>42590</v>
      </c>
      <c r="B4825" s="9">
        <v>90400</v>
      </c>
      <c r="C4825" s="5">
        <v>0</v>
      </c>
      <c r="D4825" s="5">
        <v>97775</v>
      </c>
      <c r="E4825" s="5">
        <v>188175</v>
      </c>
      <c r="F4825" s="4">
        <v>0</v>
      </c>
      <c r="G4825" s="5">
        <v>50</v>
      </c>
      <c r="H4825" s="5">
        <v>69675</v>
      </c>
      <c r="I4825" s="118">
        <f t="shared" si="295"/>
        <v>0.37026703866082106</v>
      </c>
      <c r="J4825" s="5">
        <v>40779</v>
      </c>
      <c r="K4825" s="22">
        <v>1793</v>
      </c>
      <c r="L4825" s="6">
        <v>1801</v>
      </c>
      <c r="M4825" s="125">
        <f t="shared" si="296"/>
        <v>8</v>
      </c>
      <c r="P4825" s="247">
        <v>13800</v>
      </c>
      <c r="Q4825" s="25">
        <f>167.14/1111.3</f>
        <v>0.15040043192657249</v>
      </c>
      <c r="U4825" s="384">
        <v>0.1</v>
      </c>
      <c r="W4825" s="285">
        <f t="shared" si="294"/>
        <v>2283.0785566453706</v>
      </c>
      <c r="X4825" s="446">
        <f t="shared" si="292"/>
        <v>7.6965978806469604</v>
      </c>
    </row>
    <row r="4826" spans="1:24" ht="15" customHeight="1">
      <c r="A4826" s="3">
        <v>42591</v>
      </c>
      <c r="B4826" s="9">
        <v>90375</v>
      </c>
      <c r="C4826" s="5">
        <v>0</v>
      </c>
      <c r="D4826" s="5">
        <v>97725</v>
      </c>
      <c r="E4826" s="5">
        <v>188100</v>
      </c>
      <c r="F4826" s="4">
        <v>0</v>
      </c>
      <c r="G4826" s="5">
        <v>75</v>
      </c>
      <c r="H4826" s="5">
        <v>69600</v>
      </c>
      <c r="I4826" s="118">
        <f t="shared" si="295"/>
        <v>0.37001594896331741</v>
      </c>
      <c r="J4826" s="5">
        <v>37619</v>
      </c>
      <c r="K4826" s="22">
        <v>1791</v>
      </c>
      <c r="L4826" s="6">
        <v>1800</v>
      </c>
      <c r="M4826" s="125">
        <f t="shared" si="296"/>
        <v>9</v>
      </c>
      <c r="P4826" s="247">
        <v>13800</v>
      </c>
      <c r="Q4826" s="25">
        <f>166.06/1107.2</f>
        <v>0.14998193641618496</v>
      </c>
      <c r="U4826" s="384">
        <v>0.1</v>
      </c>
      <c r="W4826" s="285">
        <f t="shared" si="294"/>
        <v>2276.7257947976877</v>
      </c>
      <c r="X4826" s="446">
        <f t="shared" si="292"/>
        <v>7.7051926298157456</v>
      </c>
    </row>
    <row r="4827" spans="1:24" ht="15" customHeight="1">
      <c r="A4827" s="3">
        <v>42592</v>
      </c>
      <c r="B4827" s="9">
        <v>90375</v>
      </c>
      <c r="C4827" s="5">
        <v>0</v>
      </c>
      <c r="D4827" s="5">
        <v>97725</v>
      </c>
      <c r="E4827" s="5">
        <v>188100</v>
      </c>
      <c r="F4827" s="4">
        <v>0</v>
      </c>
      <c r="G4827" s="5">
        <v>0</v>
      </c>
      <c r="H4827" s="5">
        <v>69600</v>
      </c>
      <c r="I4827" s="118">
        <f t="shared" si="295"/>
        <v>0.37001594896331741</v>
      </c>
      <c r="J4827" s="5">
        <v>41566</v>
      </c>
      <c r="K4827" s="22">
        <v>1839</v>
      </c>
      <c r="L4827" s="6">
        <v>1850</v>
      </c>
      <c r="M4827" s="125">
        <f t="shared" si="296"/>
        <v>11</v>
      </c>
      <c r="P4827" s="247">
        <v>13800</v>
      </c>
      <c r="Q4827" s="25">
        <f>164.81/1096.1</f>
        <v>0.15036036857950918</v>
      </c>
      <c r="U4827" s="384">
        <v>0.1</v>
      </c>
      <c r="W4827" s="285">
        <f t="shared" si="294"/>
        <v>2282.4703950369499</v>
      </c>
      <c r="X4827" s="446">
        <f t="shared" si="292"/>
        <v>7.504078303425775</v>
      </c>
    </row>
    <row r="4828" spans="1:24" ht="15" customHeight="1">
      <c r="A4828" s="3">
        <v>42593</v>
      </c>
      <c r="B4828" s="9">
        <v>89950</v>
      </c>
      <c r="C4828" s="5">
        <v>0</v>
      </c>
      <c r="D4828" s="5">
        <v>97725</v>
      </c>
      <c r="E4828" s="5">
        <v>187675</v>
      </c>
      <c r="F4828" s="4">
        <v>0</v>
      </c>
      <c r="G4828" s="5">
        <v>425</v>
      </c>
      <c r="H4828" s="5">
        <v>69175</v>
      </c>
      <c r="I4828" s="118">
        <f t="shared" si="295"/>
        <v>0.3685893166378047</v>
      </c>
      <c r="J4828" s="5">
        <v>54271</v>
      </c>
      <c r="K4828" s="22">
        <v>1817</v>
      </c>
      <c r="L4828" s="6">
        <v>1824</v>
      </c>
      <c r="M4828" s="125">
        <f t="shared" si="296"/>
        <v>7</v>
      </c>
      <c r="P4828" s="247">
        <v>13800</v>
      </c>
      <c r="Q4828" s="25">
        <f>165.41/1098.6</f>
        <v>0.1505643546331695</v>
      </c>
      <c r="U4828" s="384">
        <v>0.1</v>
      </c>
      <c r="W4828" s="285">
        <f t="shared" si="294"/>
        <v>2285.5669033315135</v>
      </c>
      <c r="X4828" s="446">
        <f t="shared" si="292"/>
        <v>7.5949367088607591</v>
      </c>
    </row>
    <row r="4829" spans="1:24" ht="15" customHeight="1">
      <c r="A4829" s="3">
        <v>42594</v>
      </c>
      <c r="B4829" s="9">
        <v>89800</v>
      </c>
      <c r="C4829" s="5">
        <v>0</v>
      </c>
      <c r="D4829" s="5">
        <v>97725</v>
      </c>
      <c r="E4829" s="5">
        <v>187525</v>
      </c>
      <c r="F4829" s="4">
        <v>0</v>
      </c>
      <c r="G4829" s="5">
        <v>150</v>
      </c>
      <c r="H4829" s="5">
        <v>69025</v>
      </c>
      <c r="I4829" s="118">
        <f t="shared" si="295"/>
        <v>0.36808425543260898</v>
      </c>
      <c r="J4829" s="5">
        <v>40501</v>
      </c>
      <c r="K4829" s="22">
        <v>1811</v>
      </c>
      <c r="L4829" s="6">
        <v>1820</v>
      </c>
      <c r="M4829" s="125">
        <f t="shared" si="296"/>
        <v>9</v>
      </c>
      <c r="P4829" s="247">
        <v>13800</v>
      </c>
      <c r="Q4829" s="25">
        <f>165.57/1101.1</f>
        <v>0.15036781400417765</v>
      </c>
      <c r="U4829" s="384">
        <v>0.1</v>
      </c>
      <c r="W4829" s="285">
        <f t="shared" si="294"/>
        <v>2282.5834165834167</v>
      </c>
      <c r="X4829" s="446">
        <f t="shared" si="292"/>
        <v>7.620099392600773</v>
      </c>
    </row>
    <row r="4830" spans="1:24" ht="15" customHeight="1">
      <c r="A4830" s="3">
        <v>42597</v>
      </c>
      <c r="B4830" s="9">
        <v>89650</v>
      </c>
      <c r="C4830" s="5">
        <v>0</v>
      </c>
      <c r="D4830" s="5">
        <v>97725</v>
      </c>
      <c r="E4830" s="5">
        <v>187375</v>
      </c>
      <c r="F4830" s="4">
        <v>0</v>
      </c>
      <c r="G4830" s="5">
        <v>150</v>
      </c>
      <c r="H4830" s="5">
        <v>68875</v>
      </c>
      <c r="I4830" s="118">
        <f t="shared" si="295"/>
        <v>0.36757838559039357</v>
      </c>
      <c r="J4830" s="5">
        <v>38509</v>
      </c>
      <c r="K4830" s="22">
        <v>1828</v>
      </c>
      <c r="L4830" s="6">
        <v>1836</v>
      </c>
      <c r="M4830" s="125">
        <f t="shared" si="296"/>
        <v>8</v>
      </c>
      <c r="P4830" s="247">
        <v>13800</v>
      </c>
      <c r="Q4830" s="25">
        <f>165.57/1101.1</f>
        <v>0.15036781400417765</v>
      </c>
      <c r="U4830" s="384">
        <v>0.1</v>
      </c>
      <c r="W4830" s="285">
        <f t="shared" si="294"/>
        <v>2282.5834165834167</v>
      </c>
      <c r="X4830" s="446">
        <f t="shared" si="292"/>
        <v>7.5492341356673958</v>
      </c>
    </row>
    <row r="4831" spans="1:24" ht="15" customHeight="1">
      <c r="A4831" s="3">
        <v>42598</v>
      </c>
      <c r="B4831" s="9">
        <v>89650</v>
      </c>
      <c r="C4831" s="5">
        <v>0</v>
      </c>
      <c r="D4831" s="5">
        <v>97675</v>
      </c>
      <c r="E4831" s="5">
        <v>187325</v>
      </c>
      <c r="F4831" s="4">
        <v>0</v>
      </c>
      <c r="G4831" s="5">
        <v>50</v>
      </c>
      <c r="H4831" s="5">
        <v>68825</v>
      </c>
      <c r="I4831" s="118">
        <f t="shared" si="295"/>
        <v>0.36740958227679166</v>
      </c>
      <c r="J4831" s="5">
        <v>31308</v>
      </c>
      <c r="K4831" s="22">
        <v>1864</v>
      </c>
      <c r="L4831" s="6">
        <v>1868</v>
      </c>
      <c r="M4831" s="125">
        <f t="shared" si="296"/>
        <v>4</v>
      </c>
      <c r="P4831" s="247">
        <v>13750</v>
      </c>
      <c r="Q4831" s="25">
        <f>165.57/1101.1</f>
        <v>0.15036781400417765</v>
      </c>
      <c r="U4831" s="384">
        <v>0.1</v>
      </c>
      <c r="W4831" s="285">
        <f t="shared" si="294"/>
        <v>2274.3131868131873</v>
      </c>
      <c r="X4831" s="446">
        <f t="shared" si="292"/>
        <v>7.3766094420600856</v>
      </c>
    </row>
    <row r="4832" spans="1:24" ht="15" customHeight="1">
      <c r="A4832" s="3">
        <v>42599</v>
      </c>
      <c r="B4832" s="9">
        <v>89500</v>
      </c>
      <c r="C4832" s="5">
        <v>0</v>
      </c>
      <c r="D4832" s="5">
        <v>97650</v>
      </c>
      <c r="E4832" s="5">
        <v>187150</v>
      </c>
      <c r="F4832" s="4">
        <v>0</v>
      </c>
      <c r="G4832" s="5">
        <v>175</v>
      </c>
      <c r="H4832" s="5">
        <v>68650</v>
      </c>
      <c r="I4832" s="118">
        <f t="shared" si="295"/>
        <v>0.36681806037937481</v>
      </c>
      <c r="J4832" s="5">
        <v>40408</v>
      </c>
      <c r="K4832" s="22">
        <v>1876</v>
      </c>
      <c r="L4832" s="6">
        <v>1884</v>
      </c>
      <c r="M4832" s="125">
        <f t="shared" si="296"/>
        <v>8</v>
      </c>
      <c r="P4832" s="247">
        <v>13750</v>
      </c>
      <c r="Q4832" s="25">
        <f>164.86/1095</f>
        <v>0.1505570776255708</v>
      </c>
      <c r="U4832" s="384">
        <v>0.1</v>
      </c>
      <c r="W4832" s="285">
        <f t="shared" si="294"/>
        <v>2277.1757990867586</v>
      </c>
      <c r="X4832" s="446">
        <f t="shared" si="292"/>
        <v>7.3294243070362475</v>
      </c>
    </row>
    <row r="4833" spans="1:24" ht="15" customHeight="1">
      <c r="A4833" s="3">
        <v>42600</v>
      </c>
      <c r="B4833" s="9">
        <v>89500</v>
      </c>
      <c r="C4833" s="5">
        <v>0</v>
      </c>
      <c r="D4833" s="5">
        <v>97625</v>
      </c>
      <c r="E4833" s="5">
        <v>187125</v>
      </c>
      <c r="F4833" s="4">
        <v>0</v>
      </c>
      <c r="G4833" s="5">
        <v>25</v>
      </c>
      <c r="H4833" s="5">
        <v>68625</v>
      </c>
      <c r="I4833" s="118">
        <f t="shared" si="295"/>
        <v>0.36673346693386771</v>
      </c>
      <c r="J4833" s="5">
        <v>34738</v>
      </c>
      <c r="K4833" s="22">
        <v>1893</v>
      </c>
      <c r="L4833" s="6">
        <v>1903</v>
      </c>
      <c r="M4833" s="125">
        <f t="shared" si="296"/>
        <v>10</v>
      </c>
      <c r="P4833" s="247">
        <v>13800</v>
      </c>
      <c r="Q4833" s="25">
        <f>166.08/1102.3</f>
        <v>0.15066678762587318</v>
      </c>
      <c r="U4833" s="384">
        <v>0.1</v>
      </c>
      <c r="W4833" s="285">
        <f t="shared" si="294"/>
        <v>2287.1218361607548</v>
      </c>
      <c r="X4833" s="446">
        <f t="shared" si="292"/>
        <v>7.2900158478605386</v>
      </c>
    </row>
    <row r="4834" spans="1:24" ht="15" customHeight="1">
      <c r="A4834" s="3">
        <v>42601</v>
      </c>
      <c r="B4834" s="9">
        <v>89500</v>
      </c>
      <c r="C4834" s="5">
        <v>0</v>
      </c>
      <c r="D4834" s="5">
        <v>97525</v>
      </c>
      <c r="E4834" s="5">
        <v>187025</v>
      </c>
      <c r="F4834" s="4">
        <v>0</v>
      </c>
      <c r="G4834" s="5">
        <v>100</v>
      </c>
      <c r="H4834" s="5">
        <v>68525</v>
      </c>
      <c r="I4834" s="118">
        <f t="shared" si="295"/>
        <v>0.36639486699639084</v>
      </c>
      <c r="J4834" s="5">
        <v>42102</v>
      </c>
      <c r="K4834" s="22">
        <v>1884</v>
      </c>
      <c r="L4834" s="6">
        <v>1894</v>
      </c>
      <c r="M4834" s="125">
        <f t="shared" si="296"/>
        <v>10</v>
      </c>
      <c r="P4834" s="247">
        <v>13870</v>
      </c>
      <c r="Q4834" s="25">
        <f>167.82/1115.2</f>
        <v>0.15048421807747489</v>
      </c>
      <c r="U4834" s="384">
        <v>0.1</v>
      </c>
      <c r="W4834" s="285">
        <f t="shared" si="294"/>
        <v>2295.9377152080347</v>
      </c>
      <c r="X4834" s="446">
        <f t="shared" si="292"/>
        <v>7.3619957537154992</v>
      </c>
    </row>
    <row r="4835" spans="1:24" ht="15" customHeight="1">
      <c r="A4835" s="3">
        <v>42604</v>
      </c>
      <c r="B4835" s="9">
        <v>90450</v>
      </c>
      <c r="C4835" s="5">
        <v>0</v>
      </c>
      <c r="D4835" s="5">
        <v>97450</v>
      </c>
      <c r="E4835" s="5">
        <v>187900</v>
      </c>
      <c r="F4835" s="4">
        <v>950</v>
      </c>
      <c r="G4835" s="5">
        <v>75</v>
      </c>
      <c r="H4835" s="5">
        <v>68450</v>
      </c>
      <c r="I4835" s="118">
        <f t="shared" si="295"/>
        <v>0.36428951569984036</v>
      </c>
      <c r="J4835" s="5">
        <v>34434</v>
      </c>
      <c r="K4835" s="22">
        <v>1847.5</v>
      </c>
      <c r="L4835" s="6">
        <v>1859</v>
      </c>
      <c r="M4835" s="125">
        <f t="shared" si="296"/>
        <v>11.5</v>
      </c>
      <c r="P4835" s="247">
        <v>13900</v>
      </c>
      <c r="Q4835" s="25">
        <f>168.76/1125.3</f>
        <v>0.14996889718297343</v>
      </c>
      <c r="U4835" s="384">
        <v>0.1</v>
      </c>
      <c r="W4835" s="285">
        <f t="shared" si="294"/>
        <v>2293.0244379276642</v>
      </c>
      <c r="X4835" s="446">
        <f t="shared" si="292"/>
        <v>7.523680649526387</v>
      </c>
    </row>
    <row r="4836" spans="1:24" ht="15" customHeight="1">
      <c r="A4836" s="3">
        <v>42605</v>
      </c>
      <c r="B4836" s="9">
        <v>90200</v>
      </c>
      <c r="C4836" s="5">
        <v>0</v>
      </c>
      <c r="D4836" s="5">
        <v>97450</v>
      </c>
      <c r="E4836" s="5">
        <v>187650</v>
      </c>
      <c r="F4836" s="4">
        <v>0</v>
      </c>
      <c r="G4836" s="5">
        <v>250</v>
      </c>
      <c r="H4836" s="5">
        <v>68200</v>
      </c>
      <c r="I4836" s="118">
        <f t="shared" si="295"/>
        <v>0.36344257926991741</v>
      </c>
      <c r="J4836" s="5">
        <v>34091</v>
      </c>
      <c r="K4836" s="22">
        <v>1850</v>
      </c>
      <c r="L4836" s="6">
        <v>1860</v>
      </c>
      <c r="M4836" s="125">
        <f t="shared" si="296"/>
        <v>10</v>
      </c>
      <c r="P4836" s="247">
        <v>13900</v>
      </c>
      <c r="Q4836" s="25">
        <f>168.76/1125.3</f>
        <v>0.14996889718297343</v>
      </c>
      <c r="U4836" s="384">
        <v>0.1</v>
      </c>
      <c r="W4836" s="285">
        <f t="shared" si="294"/>
        <v>2293.0244379276642</v>
      </c>
      <c r="X4836" s="446">
        <f t="shared" si="292"/>
        <v>7.5135135135135132</v>
      </c>
    </row>
    <row r="4837" spans="1:24" ht="15" customHeight="1">
      <c r="A4837" s="3">
        <v>42606</v>
      </c>
      <c r="B4837" s="9">
        <v>90200</v>
      </c>
      <c r="C4837" s="5">
        <v>0</v>
      </c>
      <c r="D4837" s="5">
        <v>97450</v>
      </c>
      <c r="E4837" s="5">
        <f>SUM(B4837:D4837)</f>
        <v>187650</v>
      </c>
      <c r="F4837" s="4">
        <v>0</v>
      </c>
      <c r="G4837" s="5">
        <v>0</v>
      </c>
      <c r="H4837" s="5">
        <v>68200</v>
      </c>
      <c r="I4837" s="118">
        <f t="shared" si="295"/>
        <v>0.36344257926991741</v>
      </c>
      <c r="J4837" s="5">
        <v>27283</v>
      </c>
      <c r="K4837" s="22">
        <v>1850</v>
      </c>
      <c r="L4837" s="6">
        <v>1859</v>
      </c>
      <c r="M4837" s="125">
        <f t="shared" si="296"/>
        <v>9</v>
      </c>
      <c r="P4837" s="247">
        <v>13930</v>
      </c>
      <c r="Q4837" s="25">
        <f>168.29/1121.6</f>
        <v>0.15004457917261055</v>
      </c>
      <c r="U4837" s="384">
        <v>0.1</v>
      </c>
      <c r="W4837" s="285">
        <f t="shared" si="294"/>
        <v>2299.1330866619114</v>
      </c>
      <c r="X4837" s="446">
        <f t="shared" si="292"/>
        <v>7.5297297297297296</v>
      </c>
    </row>
    <row r="4838" spans="1:24" ht="15" customHeight="1">
      <c r="A4838" s="3">
        <v>42607</v>
      </c>
      <c r="B4838" s="9">
        <v>89850</v>
      </c>
      <c r="C4838" s="5">
        <v>0</v>
      </c>
      <c r="D4838" s="5">
        <v>97450</v>
      </c>
      <c r="E4838" s="5">
        <v>187300</v>
      </c>
      <c r="F4838" s="4">
        <v>0</v>
      </c>
      <c r="G4838" s="5">
        <v>350</v>
      </c>
      <c r="H4838" s="5">
        <v>67850</v>
      </c>
      <c r="I4838" s="118">
        <f t="shared" si="295"/>
        <v>0.36225306994127071</v>
      </c>
      <c r="J4838" s="5">
        <v>36161</v>
      </c>
      <c r="K4838" s="22">
        <v>1840</v>
      </c>
      <c r="L4838" s="6">
        <v>1851</v>
      </c>
      <c r="M4838" s="125">
        <f t="shared" si="296"/>
        <v>11</v>
      </c>
      <c r="P4838" s="247">
        <v>13910</v>
      </c>
      <c r="Q4838" s="25">
        <f>168.29/1121.6</f>
        <v>0.15004457917261055</v>
      </c>
      <c r="U4838" s="384">
        <v>0.1</v>
      </c>
      <c r="W4838" s="285">
        <f t="shared" si="294"/>
        <v>2295.8321059201144</v>
      </c>
      <c r="X4838" s="446">
        <f t="shared" si="292"/>
        <v>7.5597826086956523</v>
      </c>
    </row>
    <row r="4839" spans="1:24" ht="15" customHeight="1">
      <c r="A4839" s="3">
        <v>42608</v>
      </c>
      <c r="B4839" s="9">
        <v>89775</v>
      </c>
      <c r="C4839" s="5">
        <v>0</v>
      </c>
      <c r="D4839" s="5">
        <v>97450</v>
      </c>
      <c r="E4839" s="5">
        <v>187225</v>
      </c>
      <c r="F4839" s="4">
        <v>0</v>
      </c>
      <c r="G4839" s="5">
        <v>75</v>
      </c>
      <c r="H4839" s="5">
        <v>67775</v>
      </c>
      <c r="I4839" s="118">
        <f t="shared" si="295"/>
        <v>0.36199759647482976</v>
      </c>
      <c r="J4839" s="5">
        <v>31924</v>
      </c>
      <c r="K4839" s="22">
        <v>1878</v>
      </c>
      <c r="L4839" s="6">
        <v>1888</v>
      </c>
      <c r="M4839" s="125">
        <f t="shared" si="296"/>
        <v>10</v>
      </c>
      <c r="P4839" s="247">
        <v>13930</v>
      </c>
      <c r="Q4839" s="25">
        <f>167.74/1119</f>
        <v>0.1499016979445934</v>
      </c>
      <c r="U4839" s="384">
        <v>0.1</v>
      </c>
      <c r="W4839" s="285">
        <f t="shared" si="294"/>
        <v>2296.9437176050046</v>
      </c>
      <c r="X4839" s="446">
        <f t="shared" si="292"/>
        <v>7.4174653887113955</v>
      </c>
    </row>
    <row r="4840" spans="1:24" ht="15" customHeight="1">
      <c r="A4840" s="3">
        <v>42611</v>
      </c>
      <c r="B4840" s="1318"/>
      <c r="C4840" s="1318"/>
      <c r="D4840" s="1318"/>
      <c r="E4840" s="1318"/>
      <c r="F4840" s="1318"/>
      <c r="G4840" s="1318"/>
      <c r="H4840" s="1318"/>
      <c r="I4840" s="1318"/>
      <c r="J4840" s="1318"/>
      <c r="K4840" s="1318"/>
      <c r="L4840" s="1318"/>
      <c r="M4840" s="1318"/>
      <c r="X4840" s="446"/>
    </row>
    <row r="4841" spans="1:24" ht="15" customHeight="1">
      <c r="A4841" s="3">
        <v>42612</v>
      </c>
      <c r="B4841" s="9">
        <v>90275</v>
      </c>
      <c r="C4841" s="5">
        <v>0</v>
      </c>
      <c r="D4841" s="5">
        <v>97450</v>
      </c>
      <c r="E4841" s="5">
        <v>187725</v>
      </c>
      <c r="F4841" s="4">
        <v>500</v>
      </c>
      <c r="G4841" s="5">
        <v>0</v>
      </c>
      <c r="H4841" s="5">
        <v>67800</v>
      </c>
      <c r="I4841" s="118">
        <f t="shared" si="295"/>
        <v>0.36116660007990409</v>
      </c>
      <c r="J4841" s="5">
        <v>32292</v>
      </c>
      <c r="K4841" s="22">
        <v>1880</v>
      </c>
      <c r="L4841" s="6">
        <v>1889</v>
      </c>
      <c r="M4841" s="125">
        <f>L4841-K4841</f>
        <v>9</v>
      </c>
      <c r="P4841" s="247">
        <v>13930</v>
      </c>
      <c r="Q4841" s="25">
        <f>167.74/1119</f>
        <v>0.1499016979445934</v>
      </c>
      <c r="U4841" s="384">
        <v>0.1</v>
      </c>
      <c r="W4841" s="285">
        <f t="shared" si="294"/>
        <v>2296.9437176050046</v>
      </c>
      <c r="X4841" s="446">
        <f t="shared" si="292"/>
        <v>7.4095744680851068</v>
      </c>
    </row>
    <row r="4842" spans="1:24" ht="15" customHeight="1">
      <c r="A4842" s="3">
        <v>42613</v>
      </c>
      <c r="B4842" s="9">
        <v>89875</v>
      </c>
      <c r="C4842" s="5">
        <v>0</v>
      </c>
      <c r="D4842" s="5">
        <v>97425</v>
      </c>
      <c r="E4842" s="5">
        <v>187300</v>
      </c>
      <c r="F4842" s="4">
        <v>0</v>
      </c>
      <c r="G4842" s="5">
        <v>425</v>
      </c>
      <c r="H4842" s="5">
        <v>67375</v>
      </c>
      <c r="I4842" s="118">
        <f t="shared" si="295"/>
        <v>0.35971703150026696</v>
      </c>
      <c r="J4842" s="5">
        <v>30133</v>
      </c>
      <c r="K4842" s="22">
        <v>1875</v>
      </c>
      <c r="L4842" s="6">
        <v>1880</v>
      </c>
      <c r="M4842" s="125">
        <f>L4842-K4842</f>
        <v>5</v>
      </c>
      <c r="N4842" s="235">
        <f>AVERAGE(K4820:K4842)</f>
        <v>1838.8863636363637</v>
      </c>
      <c r="O4842" s="230">
        <f>AVERAGE(K4663:K4842)</f>
        <v>1758.3035714285713</v>
      </c>
      <c r="P4842" s="247">
        <v>13890</v>
      </c>
      <c r="Q4842" s="25">
        <f>167.08/1117.4</f>
        <v>0.14952568462502236</v>
      </c>
      <c r="U4842" s="384">
        <v>0.1</v>
      </c>
      <c r="W4842" s="285">
        <f t="shared" si="294"/>
        <v>2284.602935385717</v>
      </c>
      <c r="X4842" s="446">
        <f t="shared" si="292"/>
        <v>7.4080000000000004</v>
      </c>
    </row>
    <row r="4843" spans="1:24" ht="15" customHeight="1" thickBot="1">
      <c r="A4843" s="216"/>
      <c r="B4843" s="1330"/>
      <c r="C4843" s="1330"/>
      <c r="D4843" s="1330"/>
      <c r="E4843" s="216"/>
      <c r="F4843" s="407"/>
      <c r="G4843" s="164"/>
      <c r="H4843" s="164"/>
      <c r="I4843" s="166"/>
      <c r="J4843" s="166"/>
      <c r="K4843" s="166"/>
      <c r="L4843" s="167"/>
      <c r="M4843" s="168"/>
      <c r="N4843" s="169" t="s">
        <v>52</v>
      </c>
      <c r="O4843" s="183"/>
      <c r="P4843" s="180"/>
      <c r="Q4843" s="154"/>
      <c r="R4843" s="248"/>
      <c r="S4843" s="249"/>
      <c r="T4843" s="249"/>
      <c r="U4843" s="152"/>
      <c r="V4843" s="153">
        <f>AVERAGE(P4820:P4842)</f>
        <v>13831.818181818182</v>
      </c>
      <c r="W4843" s="295"/>
      <c r="X4843" s="447">
        <f>AVERAGE(X4820:X4842)</f>
        <v>7.5240449983580442</v>
      </c>
    </row>
    <row r="4844" spans="1:24" ht="15" customHeight="1">
      <c r="A4844" s="3">
        <v>42614</v>
      </c>
      <c r="B4844" s="9">
        <v>89875</v>
      </c>
      <c r="C4844" s="5">
        <v>0</v>
      </c>
      <c r="D4844" s="5">
        <v>97400</v>
      </c>
      <c r="E4844" s="5">
        <v>187275</v>
      </c>
      <c r="F4844" s="4">
        <v>0</v>
      </c>
      <c r="G4844" s="5">
        <v>25</v>
      </c>
      <c r="H4844" s="5">
        <v>67350</v>
      </c>
      <c r="I4844" s="118">
        <f t="shared" si="295"/>
        <v>0.35963155786944334</v>
      </c>
      <c r="J4844" s="5">
        <v>39592</v>
      </c>
      <c r="K4844" s="22">
        <v>1914</v>
      </c>
      <c r="L4844" s="6">
        <v>1926</v>
      </c>
      <c r="M4844" s="125">
        <f t="shared" ref="M4844:M4865" si="297">L4844-K4844</f>
        <v>12</v>
      </c>
      <c r="P4844" s="247">
        <v>13950</v>
      </c>
      <c r="Q4844" s="25">
        <f>167.08/1117.4</f>
        <v>0.14952568462502236</v>
      </c>
      <c r="U4844" s="384">
        <v>0.1</v>
      </c>
      <c r="W4844" s="285">
        <f t="shared" si="294"/>
        <v>2294.471630570968</v>
      </c>
      <c r="X4844" s="446">
        <f t="shared" si="292"/>
        <v>7.2884012539184955</v>
      </c>
    </row>
    <row r="4845" spans="1:24" ht="15" customHeight="1">
      <c r="A4845" s="3">
        <v>42615</v>
      </c>
      <c r="B4845" s="9">
        <v>89875</v>
      </c>
      <c r="C4845" s="5">
        <v>0</v>
      </c>
      <c r="D4845" s="5">
        <v>97400</v>
      </c>
      <c r="E4845" s="5">
        <v>187275</v>
      </c>
      <c r="F4845" s="4">
        <v>0</v>
      </c>
      <c r="G4845" s="5">
        <v>0</v>
      </c>
      <c r="H4845" s="5">
        <v>67350</v>
      </c>
      <c r="I4845" s="118">
        <f t="shared" si="295"/>
        <v>0.35963155786944334</v>
      </c>
      <c r="J4845" s="5">
        <v>46048</v>
      </c>
      <c r="K4845" s="22">
        <v>1940</v>
      </c>
      <c r="L4845" s="6">
        <v>1947</v>
      </c>
      <c r="M4845" s="125">
        <f t="shared" si="297"/>
        <v>7</v>
      </c>
      <c r="P4845" s="247">
        <v>14500</v>
      </c>
      <c r="Q4845" s="25">
        <f>167.29/1119.3</f>
        <v>0.14945948360582506</v>
      </c>
      <c r="U4845" s="384">
        <v>0.1</v>
      </c>
      <c r="W4845" s="285">
        <f t="shared" si="294"/>
        <v>2383.8787635129102</v>
      </c>
      <c r="X4845" s="446">
        <f t="shared" si="292"/>
        <v>7.4742268041237114</v>
      </c>
    </row>
    <row r="4846" spans="1:24" ht="15" customHeight="1">
      <c r="A4846" s="3">
        <v>42618</v>
      </c>
      <c r="B4846" s="9">
        <v>89875</v>
      </c>
      <c r="C4846" s="5">
        <v>0</v>
      </c>
      <c r="D4846" s="5">
        <v>97350</v>
      </c>
      <c r="E4846" s="5">
        <v>187225</v>
      </c>
      <c r="F4846" s="4">
        <v>0</v>
      </c>
      <c r="G4846" s="5">
        <v>25</v>
      </c>
      <c r="H4846" s="5">
        <v>67300</v>
      </c>
      <c r="I4846" s="118">
        <f t="shared" si="295"/>
        <v>0.35946054212845507</v>
      </c>
      <c r="J4846" s="5">
        <v>26443</v>
      </c>
      <c r="K4846" s="22">
        <v>1959</v>
      </c>
      <c r="L4846" s="6">
        <v>1967</v>
      </c>
      <c r="M4846" s="125">
        <f t="shared" si="297"/>
        <v>8</v>
      </c>
      <c r="P4846" s="247">
        <v>14350</v>
      </c>
      <c r="Q4846" s="25">
        <f>167.17/1117.6</f>
        <v>0.14957945597709377</v>
      </c>
      <c r="U4846" s="384">
        <v>0.1</v>
      </c>
      <c r="W4846" s="285">
        <f t="shared" si="294"/>
        <v>2361.1117125984251</v>
      </c>
      <c r="X4846" s="446">
        <f t="shared" si="292"/>
        <v>7.3251659009698828</v>
      </c>
    </row>
    <row r="4847" spans="1:24" ht="15" customHeight="1">
      <c r="A4847" s="3">
        <v>42619</v>
      </c>
      <c r="B4847" s="9">
        <v>89675</v>
      </c>
      <c r="C4847" s="5">
        <v>0</v>
      </c>
      <c r="D4847" s="5">
        <v>97325</v>
      </c>
      <c r="E4847" s="5">
        <v>187000</v>
      </c>
      <c r="F4847" s="4">
        <v>0</v>
      </c>
      <c r="G4847" s="5">
        <v>225</v>
      </c>
      <c r="H4847" s="5">
        <v>67075</v>
      </c>
      <c r="I4847" s="118">
        <f t="shared" si="295"/>
        <v>0.35868983957219253</v>
      </c>
      <c r="J4847" s="5">
        <v>21878</v>
      </c>
      <c r="K4847" s="22">
        <v>1950.5</v>
      </c>
      <c r="L4847" s="6">
        <v>1962</v>
      </c>
      <c r="M4847" s="125">
        <f t="shared" si="297"/>
        <v>11.5</v>
      </c>
      <c r="P4847" s="247">
        <v>14350</v>
      </c>
      <c r="Q4847" s="25">
        <f>165.68/1108.2</f>
        <v>0.14950369969319618</v>
      </c>
      <c r="U4847" s="384">
        <v>0.1</v>
      </c>
      <c r="W4847" s="285">
        <f t="shared" si="294"/>
        <v>2359.9158996571023</v>
      </c>
      <c r="X4847" s="446">
        <f t="shared" si="292"/>
        <v>7.3570879261727766</v>
      </c>
    </row>
    <row r="4848" spans="1:24" ht="15" customHeight="1">
      <c r="A4848" s="3">
        <v>42620</v>
      </c>
      <c r="B4848" s="9">
        <v>89175</v>
      </c>
      <c r="C4848" s="5">
        <v>0</v>
      </c>
      <c r="D4848" s="5">
        <v>97325</v>
      </c>
      <c r="E4848" s="5">
        <v>186500</v>
      </c>
      <c r="F4848" s="4">
        <v>0</v>
      </c>
      <c r="G4848" s="5">
        <v>500</v>
      </c>
      <c r="H4848" s="5">
        <v>66575</v>
      </c>
      <c r="I4848" s="118">
        <f t="shared" si="295"/>
        <v>0.35697050938337804</v>
      </c>
      <c r="J4848" s="5">
        <v>48867</v>
      </c>
      <c r="K4848" s="22">
        <v>1926.5</v>
      </c>
      <c r="L4848" s="6">
        <v>1938</v>
      </c>
      <c r="M4848" s="125">
        <f t="shared" si="297"/>
        <v>11.5</v>
      </c>
      <c r="P4848" s="247">
        <v>14250</v>
      </c>
      <c r="Q4848" s="25">
        <f>165.17/1105</f>
        <v>0.14947511312217193</v>
      </c>
      <c r="U4848" s="384">
        <v>0.1</v>
      </c>
      <c r="W4848" s="285">
        <f t="shared" si="294"/>
        <v>2343.0223981900449</v>
      </c>
      <c r="X4848" s="446">
        <f t="shared" si="292"/>
        <v>7.3968336361276927</v>
      </c>
    </row>
    <row r="4849" spans="1:24" ht="15" customHeight="1">
      <c r="A4849" s="3">
        <v>42621</v>
      </c>
      <c r="B4849" s="9">
        <v>88875</v>
      </c>
      <c r="C4849" s="5">
        <v>0</v>
      </c>
      <c r="D4849" s="5">
        <v>97825</v>
      </c>
      <c r="E4849" s="5">
        <v>186700</v>
      </c>
      <c r="F4849" s="4">
        <v>500</v>
      </c>
      <c r="G4849" s="5">
        <v>300</v>
      </c>
      <c r="H4849" s="5">
        <v>66275</v>
      </c>
      <c r="I4849" s="118">
        <f t="shared" si="295"/>
        <v>0.35498125334761649</v>
      </c>
      <c r="J4849" s="5">
        <v>40388</v>
      </c>
      <c r="K4849" s="22">
        <v>1888</v>
      </c>
      <c r="L4849" s="6">
        <v>1900</v>
      </c>
      <c r="M4849" s="125">
        <f t="shared" si="297"/>
        <v>12</v>
      </c>
      <c r="P4849" s="247">
        <v>14190</v>
      </c>
      <c r="Q4849" s="25">
        <f>163.86/1093.2</f>
        <v>0.14989023051591657</v>
      </c>
      <c r="U4849" s="384">
        <v>0.1</v>
      </c>
      <c r="W4849" s="285">
        <f t="shared" si="294"/>
        <v>2339.6366081229421</v>
      </c>
      <c r="X4849" s="446">
        <f t="shared" si="292"/>
        <v>7.5158898305084749</v>
      </c>
    </row>
    <row r="4850" spans="1:24" ht="15" customHeight="1">
      <c r="A4850" s="3">
        <v>42622</v>
      </c>
      <c r="B4850" s="9">
        <v>89375</v>
      </c>
      <c r="C4850" s="5">
        <v>0</v>
      </c>
      <c r="D4850" s="5">
        <v>98475</v>
      </c>
      <c r="E4850" s="5">
        <v>187850</v>
      </c>
      <c r="F4850" s="4">
        <v>1175</v>
      </c>
      <c r="G4850" s="5">
        <v>25</v>
      </c>
      <c r="H4850" s="5">
        <v>66250</v>
      </c>
      <c r="I4850" s="118">
        <f t="shared" si="295"/>
        <v>0.35267500665424539</v>
      </c>
      <c r="J4850" s="5">
        <v>56073</v>
      </c>
      <c r="K4850" s="22">
        <v>1896.5</v>
      </c>
      <c r="L4850" s="6">
        <v>1906</v>
      </c>
      <c r="M4850" s="125">
        <f t="shared" si="297"/>
        <v>9.5</v>
      </c>
      <c r="P4850" s="247">
        <v>14190</v>
      </c>
      <c r="Q4850" s="25">
        <f>164.58/1099.5</f>
        <v>0.14968622100954981</v>
      </c>
      <c r="U4850" s="384">
        <v>0.1</v>
      </c>
      <c r="W4850" s="285">
        <f t="shared" si="294"/>
        <v>2336.4522237380634</v>
      </c>
      <c r="X4850" s="446">
        <f t="shared" si="292"/>
        <v>7.48220406011073</v>
      </c>
    </row>
    <row r="4851" spans="1:24" ht="15" customHeight="1">
      <c r="A4851" s="3">
        <v>42625</v>
      </c>
      <c r="B4851" s="9">
        <v>89375</v>
      </c>
      <c r="C4851" s="5">
        <v>0</v>
      </c>
      <c r="D4851" s="5">
        <v>98475</v>
      </c>
      <c r="E4851" s="5">
        <v>187850</v>
      </c>
      <c r="F4851" s="4">
        <v>0</v>
      </c>
      <c r="G4851" s="5">
        <v>0</v>
      </c>
      <c r="H4851" s="5">
        <v>66250</v>
      </c>
      <c r="I4851" s="118">
        <f t="shared" si="295"/>
        <v>0.35267500665424539</v>
      </c>
      <c r="J4851" s="5">
        <v>38754</v>
      </c>
      <c r="K4851" s="22">
        <v>1864</v>
      </c>
      <c r="L4851" s="6">
        <v>1871</v>
      </c>
      <c r="M4851" s="125">
        <f t="shared" si="297"/>
        <v>7</v>
      </c>
      <c r="P4851" s="247">
        <v>14090</v>
      </c>
      <c r="Q4851" s="25">
        <f>166.01/1110.6</f>
        <v>0.14947775976949398</v>
      </c>
      <c r="U4851" s="384">
        <v>0.1</v>
      </c>
      <c r="W4851" s="285">
        <f t="shared" si="294"/>
        <v>2316.7557986673874</v>
      </c>
      <c r="X4851" s="446">
        <f t="shared" si="292"/>
        <v>7.5590128755364807</v>
      </c>
    </row>
    <row r="4852" spans="1:24" ht="15" customHeight="1">
      <c r="A4852" s="3">
        <v>42626</v>
      </c>
      <c r="B4852" s="9">
        <v>89375</v>
      </c>
      <c r="C4852" s="5">
        <v>0</v>
      </c>
      <c r="D4852" s="5">
        <v>98475</v>
      </c>
      <c r="E4852" s="5">
        <v>187850</v>
      </c>
      <c r="F4852" s="4">
        <v>0</v>
      </c>
      <c r="G4852" s="5">
        <v>0</v>
      </c>
      <c r="H4852" s="5">
        <v>66300</v>
      </c>
      <c r="I4852" s="118">
        <f t="shared" si="295"/>
        <v>0.35294117647058826</v>
      </c>
      <c r="J4852" s="5">
        <v>41015</v>
      </c>
      <c r="K4852" s="22">
        <v>1903</v>
      </c>
      <c r="L4852" s="6">
        <v>1909.5</v>
      </c>
      <c r="M4852" s="125">
        <f t="shared" si="297"/>
        <v>6.5</v>
      </c>
      <c r="P4852" s="247">
        <v>14090</v>
      </c>
      <c r="Q4852" s="1350" t="s">
        <v>50</v>
      </c>
      <c r="U4852" s="384">
        <v>0.1</v>
      </c>
      <c r="W4852" s="1340" t="s">
        <v>48</v>
      </c>
      <c r="X4852" s="446">
        <f t="shared" si="292"/>
        <v>7.4040987913820286</v>
      </c>
    </row>
    <row r="4853" spans="1:24" ht="15" customHeight="1">
      <c r="A4853" s="3">
        <v>42627</v>
      </c>
      <c r="B4853" s="9">
        <v>89375</v>
      </c>
      <c r="C4853" s="5">
        <v>0</v>
      </c>
      <c r="D4853" s="5">
        <v>98475</v>
      </c>
      <c r="E4853" s="5">
        <v>187850</v>
      </c>
      <c r="F4853" s="4">
        <v>0</v>
      </c>
      <c r="G4853" s="5">
        <v>0</v>
      </c>
      <c r="H4853" s="5">
        <v>66300</v>
      </c>
      <c r="I4853" s="118">
        <f t="shared" si="295"/>
        <v>0.35294117647058826</v>
      </c>
      <c r="J4853" s="5">
        <v>52750</v>
      </c>
      <c r="K4853" s="22">
        <v>1904</v>
      </c>
      <c r="L4853" s="6">
        <v>1912</v>
      </c>
      <c r="M4853" s="125">
        <f t="shared" si="297"/>
        <v>8</v>
      </c>
      <c r="P4853" s="247">
        <v>14090</v>
      </c>
      <c r="Q4853" s="1350"/>
      <c r="U4853" s="384">
        <v>0.1</v>
      </c>
      <c r="W4853" s="1340"/>
      <c r="X4853" s="446">
        <f t="shared" si="292"/>
        <v>7.4002100840336134</v>
      </c>
    </row>
    <row r="4854" spans="1:24" ht="15" customHeight="1">
      <c r="A4854" s="3">
        <v>42628</v>
      </c>
      <c r="B4854" s="9">
        <v>89375</v>
      </c>
      <c r="C4854" s="5">
        <v>0</v>
      </c>
      <c r="D4854" s="5">
        <v>98475</v>
      </c>
      <c r="E4854" s="5">
        <v>187850</v>
      </c>
      <c r="F4854" s="4">
        <v>0</v>
      </c>
      <c r="G4854" s="5">
        <v>0</v>
      </c>
      <c r="H4854" s="5">
        <v>66300</v>
      </c>
      <c r="I4854" s="118">
        <f t="shared" si="295"/>
        <v>0.35294117647058826</v>
      </c>
      <c r="J4854" s="5">
        <v>47654</v>
      </c>
      <c r="K4854" s="22">
        <v>1936</v>
      </c>
      <c r="L4854" s="6">
        <v>1942.5</v>
      </c>
      <c r="M4854" s="125">
        <f t="shared" si="297"/>
        <v>6.5</v>
      </c>
      <c r="P4854" s="1341" t="s">
        <v>50</v>
      </c>
      <c r="Q4854" s="1350"/>
      <c r="U4854" s="384">
        <v>0.1</v>
      </c>
      <c r="W4854" s="1340"/>
      <c r="X4854" s="446"/>
    </row>
    <row r="4855" spans="1:24" ht="15" customHeight="1">
      <c r="A4855" s="3">
        <v>42629</v>
      </c>
      <c r="B4855" s="9">
        <v>89375</v>
      </c>
      <c r="C4855" s="5">
        <v>0</v>
      </c>
      <c r="D4855" s="5">
        <v>98475</v>
      </c>
      <c r="E4855" s="5">
        <v>187850</v>
      </c>
      <c r="F4855" s="4">
        <v>0</v>
      </c>
      <c r="G4855" s="5">
        <v>0</v>
      </c>
      <c r="H4855" s="5">
        <v>66400</v>
      </c>
      <c r="I4855" s="118">
        <f t="shared" si="295"/>
        <v>0.35347351610327388</v>
      </c>
      <c r="J4855" s="5">
        <v>32174</v>
      </c>
      <c r="K4855" s="22">
        <v>1936</v>
      </c>
      <c r="L4855" s="6">
        <v>1937</v>
      </c>
      <c r="M4855" s="125">
        <f t="shared" si="297"/>
        <v>1</v>
      </c>
      <c r="P4855" s="1341"/>
      <c r="Q4855" s="25">
        <f>166.02/1112.3</f>
        <v>0.14925829362582038</v>
      </c>
      <c r="U4855" s="384">
        <v>0.1</v>
      </c>
      <c r="W4855" s="1340"/>
      <c r="X4855" s="446">
        <f t="shared" ref="X4855:X4918" si="298">P4855/K4855</f>
        <v>0</v>
      </c>
    </row>
    <row r="4856" spans="1:24" ht="15" customHeight="1">
      <c r="A4856" s="3">
        <v>42632</v>
      </c>
      <c r="B4856" s="9">
        <v>89375</v>
      </c>
      <c r="C4856" s="5">
        <v>0</v>
      </c>
      <c r="D4856" s="5">
        <v>98775</v>
      </c>
      <c r="E4856" s="5">
        <v>188150</v>
      </c>
      <c r="F4856" s="4">
        <v>300</v>
      </c>
      <c r="G4856" s="5">
        <v>0</v>
      </c>
      <c r="H4856" s="5">
        <v>66400</v>
      </c>
      <c r="I4856" s="118">
        <f t="shared" si="295"/>
        <v>0.35290991230401275</v>
      </c>
      <c r="J4856" s="5">
        <v>32212</v>
      </c>
      <c r="K4856" s="22">
        <v>1937</v>
      </c>
      <c r="L4856" s="6">
        <v>1942</v>
      </c>
      <c r="M4856" s="125">
        <f t="shared" si="297"/>
        <v>5</v>
      </c>
      <c r="P4856" s="247">
        <v>14190</v>
      </c>
      <c r="Q4856" s="25">
        <f>166.02/1112.3</f>
        <v>0.14925829362582038</v>
      </c>
      <c r="U4856" s="384">
        <v>0.1</v>
      </c>
      <c r="W4856" s="285">
        <f t="shared" ref="W4856:W4865" si="299">(P4856*Q4856)*(1+U4856)</f>
        <v>2329.7727052054306</v>
      </c>
      <c r="X4856" s="446">
        <f t="shared" si="298"/>
        <v>7.3257614868353125</v>
      </c>
    </row>
    <row r="4857" spans="1:24" ht="15" customHeight="1">
      <c r="A4857" s="3">
        <v>42633</v>
      </c>
      <c r="B4857" s="9">
        <v>89350</v>
      </c>
      <c r="C4857" s="5">
        <v>0</v>
      </c>
      <c r="D4857" s="5">
        <v>99675</v>
      </c>
      <c r="E4857" s="5">
        <v>189025</v>
      </c>
      <c r="F4857" s="4">
        <v>900</v>
      </c>
      <c r="G4857" s="5">
        <v>25</v>
      </c>
      <c r="H4857" s="5">
        <v>66375</v>
      </c>
      <c r="I4857" s="118">
        <f t="shared" si="295"/>
        <v>0.35114402856764976</v>
      </c>
      <c r="J4857" s="5">
        <v>36353</v>
      </c>
      <c r="K4857" s="22">
        <v>1953.5</v>
      </c>
      <c r="L4857" s="6">
        <v>1959.5</v>
      </c>
      <c r="M4857" s="125">
        <f t="shared" si="297"/>
        <v>6</v>
      </c>
      <c r="P4857" s="247">
        <v>14350</v>
      </c>
      <c r="Q4857" s="25">
        <f>168.06/1120</f>
        <v>0.15005357142857143</v>
      </c>
      <c r="U4857" s="384">
        <v>0.1</v>
      </c>
      <c r="W4857" s="285">
        <f t="shared" si="299"/>
        <v>2368.5956249999999</v>
      </c>
      <c r="X4857" s="446">
        <f t="shared" si="298"/>
        <v>7.3457896083951884</v>
      </c>
    </row>
    <row r="4858" spans="1:24" ht="15" customHeight="1">
      <c r="A4858" s="3">
        <v>42634</v>
      </c>
      <c r="B4858" s="9">
        <v>89350</v>
      </c>
      <c r="C4858" s="5">
        <v>0</v>
      </c>
      <c r="D4858" s="5">
        <v>101875</v>
      </c>
      <c r="E4858" s="5">
        <v>191225</v>
      </c>
      <c r="F4858" s="4">
        <v>2200</v>
      </c>
      <c r="G4858" s="5">
        <v>0</v>
      </c>
      <c r="H4858" s="5">
        <v>66375</v>
      </c>
      <c r="I4858" s="118">
        <f t="shared" si="295"/>
        <v>0.34710419662701009</v>
      </c>
      <c r="J4858" s="5">
        <v>50133</v>
      </c>
      <c r="K4858" s="22">
        <v>1956</v>
      </c>
      <c r="L4858" s="6">
        <v>1968</v>
      </c>
      <c r="M4858" s="125">
        <f t="shared" si="297"/>
        <v>12</v>
      </c>
      <c r="P4858" s="247">
        <v>14500</v>
      </c>
      <c r="Q4858" s="25">
        <f>167.76/1119.5</f>
        <v>0.14985261277355963</v>
      </c>
      <c r="U4858" s="384">
        <v>0.1</v>
      </c>
      <c r="W4858" s="285">
        <f t="shared" si="299"/>
        <v>2390.1491737382767</v>
      </c>
      <c r="X4858" s="446">
        <f t="shared" si="298"/>
        <v>7.4130879345603269</v>
      </c>
    </row>
    <row r="4859" spans="1:24" ht="15" customHeight="1">
      <c r="A4859" s="3">
        <v>42635</v>
      </c>
      <c r="B4859" s="9">
        <v>89200</v>
      </c>
      <c r="C4859" s="5">
        <v>0</v>
      </c>
      <c r="D4859" s="5">
        <v>101825</v>
      </c>
      <c r="E4859" s="5">
        <v>191025</v>
      </c>
      <c r="F4859" s="4">
        <v>0</v>
      </c>
      <c r="G4859" s="5">
        <v>200</v>
      </c>
      <c r="H4859" s="5">
        <v>66175</v>
      </c>
      <c r="I4859" s="118">
        <f t="shared" si="295"/>
        <v>0.34642062557256903</v>
      </c>
      <c r="J4859" s="5">
        <v>42236</v>
      </c>
      <c r="K4859" s="22">
        <v>1951</v>
      </c>
      <c r="L4859" s="6">
        <v>1961</v>
      </c>
      <c r="M4859" s="125">
        <f t="shared" si="297"/>
        <v>10</v>
      </c>
      <c r="P4859" s="247">
        <v>14500</v>
      </c>
      <c r="Q4859" s="25">
        <f>166.97/1116.8</f>
        <v>0.14950752148997135</v>
      </c>
      <c r="U4859" s="384">
        <v>0.1</v>
      </c>
      <c r="W4859" s="285">
        <f t="shared" si="299"/>
        <v>2384.644967765043</v>
      </c>
      <c r="X4859" s="446">
        <f t="shared" si="298"/>
        <v>7.4320861096873401</v>
      </c>
    </row>
    <row r="4860" spans="1:24" ht="15" customHeight="1">
      <c r="A4860" s="3">
        <v>42636</v>
      </c>
      <c r="B4860" s="9">
        <v>89200</v>
      </c>
      <c r="C4860" s="5">
        <v>0</v>
      </c>
      <c r="D4860" s="5">
        <v>101800</v>
      </c>
      <c r="E4860" s="5">
        <v>191000</v>
      </c>
      <c r="F4860" s="4">
        <v>0</v>
      </c>
      <c r="G4860" s="5">
        <v>25</v>
      </c>
      <c r="H4860" s="5">
        <v>66200</v>
      </c>
      <c r="I4860" s="118">
        <f t="shared" si="295"/>
        <v>0.34659685863874345</v>
      </c>
      <c r="J4860" s="5">
        <v>31296</v>
      </c>
      <c r="K4860" s="22">
        <v>1912</v>
      </c>
      <c r="L4860" s="6">
        <v>1925</v>
      </c>
      <c r="M4860" s="125">
        <f t="shared" si="297"/>
        <v>13</v>
      </c>
      <c r="P4860" s="247">
        <v>14500</v>
      </c>
      <c r="Q4860" s="25">
        <f>165.33/1103.1</f>
        <v>0.14987761762306231</v>
      </c>
      <c r="U4860" s="384">
        <v>0.1</v>
      </c>
      <c r="W4860" s="285">
        <f t="shared" si="299"/>
        <v>2390.5480010878441</v>
      </c>
      <c r="X4860" s="446">
        <f t="shared" si="298"/>
        <v>7.5836820083682008</v>
      </c>
    </row>
    <row r="4861" spans="1:24" ht="15" customHeight="1">
      <c r="A4861" s="3">
        <v>42639</v>
      </c>
      <c r="B4861" s="9">
        <v>89200</v>
      </c>
      <c r="C4861" s="5">
        <v>0</v>
      </c>
      <c r="D4861" s="5">
        <v>102050</v>
      </c>
      <c r="E4861" s="5">
        <v>191250</v>
      </c>
      <c r="F4861" s="4">
        <v>300</v>
      </c>
      <c r="G4861" s="5">
        <v>50</v>
      </c>
      <c r="H4861" s="5">
        <v>66150</v>
      </c>
      <c r="I4861" s="118">
        <f t="shared" si="295"/>
        <v>0.34588235294117647</v>
      </c>
      <c r="J4861" s="5">
        <v>41216</v>
      </c>
      <c r="K4861" s="22">
        <v>1907</v>
      </c>
      <c r="L4861" s="6">
        <v>1917</v>
      </c>
      <c r="M4861" s="125">
        <f t="shared" si="297"/>
        <v>10</v>
      </c>
      <c r="P4861" s="247">
        <v>14430</v>
      </c>
      <c r="Q4861" s="25">
        <f>165.37/1104.2</f>
        <v>0.14976453541025175</v>
      </c>
      <c r="U4861" s="384">
        <v>0.1</v>
      </c>
      <c r="W4861" s="285">
        <f t="shared" si="299"/>
        <v>2377.2124705669266</v>
      </c>
      <c r="X4861" s="446">
        <f t="shared" si="298"/>
        <v>7.5668589407446252</v>
      </c>
    </row>
    <row r="4862" spans="1:24" ht="15" customHeight="1">
      <c r="A4862" s="3">
        <v>42640</v>
      </c>
      <c r="B4862" s="9">
        <v>89200</v>
      </c>
      <c r="C4862" s="5">
        <v>0</v>
      </c>
      <c r="D4862" s="5">
        <v>102050</v>
      </c>
      <c r="E4862" s="5">
        <v>191250</v>
      </c>
      <c r="F4862" s="4">
        <v>0</v>
      </c>
      <c r="G4862" s="5">
        <v>0</v>
      </c>
      <c r="H4862" s="5">
        <v>66150</v>
      </c>
      <c r="I4862" s="118">
        <f t="shared" si="295"/>
        <v>0.34588235294117647</v>
      </c>
      <c r="J4862" s="5">
        <v>32207</v>
      </c>
      <c r="K4862" s="22">
        <v>1962.5</v>
      </c>
      <c r="L4862" s="6">
        <v>1965.5</v>
      </c>
      <c r="M4862" s="125">
        <f t="shared" si="297"/>
        <v>3</v>
      </c>
      <c r="P4862" s="247">
        <v>14500</v>
      </c>
      <c r="Q4862" s="25">
        <f>165.66/1106.9</f>
        <v>0.14966121600867285</v>
      </c>
      <c r="U4862" s="384">
        <v>0.1</v>
      </c>
      <c r="W4862" s="285">
        <f t="shared" si="299"/>
        <v>2387.0963953383325</v>
      </c>
      <c r="X4862" s="446">
        <f t="shared" si="298"/>
        <v>7.3885350318471339</v>
      </c>
    </row>
    <row r="4863" spans="1:24" ht="15" customHeight="1">
      <c r="A4863" s="3">
        <v>42641</v>
      </c>
      <c r="B4863" s="9">
        <v>88850</v>
      </c>
      <c r="C4863" s="5">
        <v>0</v>
      </c>
      <c r="D4863" s="5">
        <v>102150</v>
      </c>
      <c r="E4863" s="5">
        <v>191000</v>
      </c>
      <c r="F4863" s="4">
        <v>100</v>
      </c>
      <c r="G4863" s="5">
        <v>350</v>
      </c>
      <c r="H4863" s="5">
        <v>65800</v>
      </c>
      <c r="I4863" s="118">
        <f t="shared" si="295"/>
        <v>0.34450261780104713</v>
      </c>
      <c r="J4863" s="5">
        <v>43065</v>
      </c>
      <c r="K4863" s="22">
        <v>1987</v>
      </c>
      <c r="L4863" s="6">
        <v>1985</v>
      </c>
      <c r="M4863" s="125">
        <f t="shared" si="297"/>
        <v>-2</v>
      </c>
      <c r="P4863" s="247">
        <v>14500</v>
      </c>
      <c r="Q4863" s="25">
        <f>165.05/1103.5</f>
        <v>0.14956955142727685</v>
      </c>
      <c r="U4863" s="384">
        <v>0.1</v>
      </c>
      <c r="W4863" s="285">
        <f t="shared" si="299"/>
        <v>2385.6343452650658</v>
      </c>
      <c r="X4863" s="446">
        <f t="shared" si="298"/>
        <v>7.2974333165576244</v>
      </c>
    </row>
    <row r="4864" spans="1:24" ht="15" customHeight="1">
      <c r="A4864" s="3">
        <v>42642</v>
      </c>
      <c r="B4864" s="9">
        <v>88650</v>
      </c>
      <c r="C4864" s="5">
        <v>0</v>
      </c>
      <c r="D4864" s="5">
        <v>102050</v>
      </c>
      <c r="E4864" s="5">
        <v>190700</v>
      </c>
      <c r="F4864" s="4">
        <v>0</v>
      </c>
      <c r="G4864" s="5">
        <v>300</v>
      </c>
      <c r="H4864" s="5">
        <v>65900</v>
      </c>
      <c r="I4864" s="118">
        <f t="shared" si="295"/>
        <v>0.34556895647614055</v>
      </c>
      <c r="J4864" s="5">
        <v>47432</v>
      </c>
      <c r="K4864" s="22">
        <v>2035.5</v>
      </c>
      <c r="L4864" s="6">
        <v>2039</v>
      </c>
      <c r="M4864" s="125">
        <f t="shared" si="297"/>
        <v>3.5</v>
      </c>
      <c r="P4864" s="247">
        <v>14750</v>
      </c>
      <c r="Q4864" s="25">
        <f>163.93/1095.7</f>
        <v>0.14961212010586838</v>
      </c>
      <c r="U4864" s="384">
        <v>0.1</v>
      </c>
      <c r="W4864" s="285">
        <f t="shared" si="299"/>
        <v>2427.4566487177149</v>
      </c>
      <c r="X4864" s="446">
        <f t="shared" si="298"/>
        <v>7.2463768115942031</v>
      </c>
    </row>
    <row r="4865" spans="1:24" ht="15" customHeight="1">
      <c r="A4865" s="3">
        <v>42643</v>
      </c>
      <c r="B4865" s="9">
        <v>88650</v>
      </c>
      <c r="C4865" s="5">
        <v>0</v>
      </c>
      <c r="D4865" s="5">
        <v>101800</v>
      </c>
      <c r="E4865" s="5">
        <v>190450</v>
      </c>
      <c r="F4865" s="4">
        <v>0</v>
      </c>
      <c r="G4865" s="5">
        <v>250</v>
      </c>
      <c r="H4865" s="5">
        <v>65650</v>
      </c>
      <c r="I4865" s="118">
        <f t="shared" si="295"/>
        <v>0.34470989761092152</v>
      </c>
      <c r="J4865" s="5">
        <v>68081</v>
      </c>
      <c r="K4865" s="22">
        <v>2105.5</v>
      </c>
      <c r="L4865" s="6">
        <v>2105</v>
      </c>
      <c r="M4865" s="125">
        <f t="shared" si="297"/>
        <v>-0.5</v>
      </c>
      <c r="N4865" s="235">
        <f>AVERAGE(K4844:K4865)</f>
        <v>1942.0227272727273</v>
      </c>
      <c r="O4865" s="230">
        <f>AVERAGE(K4663:K4865)</f>
        <v>1779.5763157894737</v>
      </c>
      <c r="P4865" s="247">
        <v>15130</v>
      </c>
      <c r="Q4865" s="25">
        <f>163.97/1096.3</f>
        <v>0.14956672443674177</v>
      </c>
      <c r="U4865" s="384">
        <v>0.1</v>
      </c>
      <c r="W4865" s="285">
        <f t="shared" si="299"/>
        <v>2489.2389948006935</v>
      </c>
      <c r="X4865" s="446">
        <f t="shared" si="298"/>
        <v>7.1859415815720729</v>
      </c>
    </row>
    <row r="4866" spans="1:24" ht="15" customHeight="1" thickBot="1">
      <c r="A4866" s="216"/>
      <c r="B4866" s="1330"/>
      <c r="C4866" s="1330"/>
      <c r="D4866" s="1330"/>
      <c r="E4866" s="216"/>
      <c r="F4866" s="407"/>
      <c r="G4866" s="164"/>
      <c r="H4866" s="164"/>
      <c r="I4866" s="166"/>
      <c r="J4866" s="166"/>
      <c r="K4866" s="166"/>
      <c r="L4866" s="167"/>
      <c r="M4866" s="168"/>
      <c r="N4866" s="169" t="s">
        <v>52</v>
      </c>
      <c r="O4866" s="183"/>
      <c r="P4866" s="180"/>
      <c r="Q4866" s="154"/>
      <c r="R4866" s="248"/>
      <c r="S4866" s="249"/>
      <c r="T4866" s="249"/>
      <c r="U4866" s="152"/>
      <c r="V4866" s="153">
        <f>AVERAGE(P4844:P4865)</f>
        <v>14370</v>
      </c>
      <c r="W4866" s="295"/>
      <c r="X4866" s="447">
        <f>AVERAGE(X4844:X4865)</f>
        <v>7.0470801901450439</v>
      </c>
    </row>
    <row r="4867" spans="1:24" ht="15" customHeight="1">
      <c r="A4867" s="3">
        <v>42646</v>
      </c>
      <c r="B4867" s="9">
        <v>88450</v>
      </c>
      <c r="C4867" s="5">
        <v>0</v>
      </c>
      <c r="D4867" s="5">
        <v>101800</v>
      </c>
      <c r="E4867" s="5">
        <v>190250</v>
      </c>
      <c r="F4867" s="4">
        <v>100</v>
      </c>
      <c r="G4867" s="5">
        <v>300</v>
      </c>
      <c r="H4867" s="5">
        <v>65350</v>
      </c>
      <c r="I4867" s="118">
        <f t="shared" si="295"/>
        <v>0.34349540078843627</v>
      </c>
      <c r="J4867" s="5">
        <v>85554</v>
      </c>
      <c r="K4867" s="22">
        <v>2074</v>
      </c>
      <c r="L4867" s="6">
        <v>2082.5</v>
      </c>
      <c r="M4867" s="125">
        <f>L4867-K4867</f>
        <v>8.5</v>
      </c>
      <c r="P4867" s="1409" t="s">
        <v>50</v>
      </c>
      <c r="Q4867" s="310" t="s">
        <v>50</v>
      </c>
      <c r="U4867" s="384">
        <v>0.1</v>
      </c>
      <c r="W4867" s="1339" t="s">
        <v>48</v>
      </c>
      <c r="X4867" s="446"/>
    </row>
    <row r="4868" spans="1:24" ht="15" customHeight="1">
      <c r="A4868" s="3">
        <v>42647</v>
      </c>
      <c r="B4868" s="9">
        <v>88450</v>
      </c>
      <c r="C4868" s="5">
        <v>0</v>
      </c>
      <c r="D4868" s="5">
        <v>101950</v>
      </c>
      <c r="E4868" s="5">
        <v>190400</v>
      </c>
      <c r="F4868" s="4">
        <v>175</v>
      </c>
      <c r="G4868" s="5">
        <v>25</v>
      </c>
      <c r="H4868" s="5">
        <v>46150</v>
      </c>
      <c r="I4868" s="118">
        <f t="shared" si="295"/>
        <v>0.2423844537815126</v>
      </c>
      <c r="J4868" s="5">
        <v>66175</v>
      </c>
      <c r="K4868" s="22">
        <v>2099</v>
      </c>
      <c r="L4868" s="6">
        <v>2102</v>
      </c>
      <c r="M4868" s="125">
        <f t="shared" ref="M4868:M4880" si="300">L4868-K4868</f>
        <v>3</v>
      </c>
      <c r="P4868" s="1341"/>
      <c r="Q4868" s="25">
        <f>165.28/1105.1</f>
        <v>0.14956112568998281</v>
      </c>
      <c r="U4868" s="384">
        <v>0.1</v>
      </c>
      <c r="W4868" s="1340"/>
      <c r="X4868" s="446">
        <f t="shared" si="298"/>
        <v>0</v>
      </c>
    </row>
    <row r="4869" spans="1:24" ht="15" customHeight="1">
      <c r="A4869" s="3">
        <v>42648</v>
      </c>
      <c r="B4869" s="9">
        <v>88600</v>
      </c>
      <c r="C4869" s="5">
        <v>0</v>
      </c>
      <c r="D4869" s="5">
        <v>102175</v>
      </c>
      <c r="E4869" s="5">
        <v>190775</v>
      </c>
      <c r="F4869" s="4">
        <v>500</v>
      </c>
      <c r="G4869" s="5">
        <v>125</v>
      </c>
      <c r="H4869" s="5">
        <v>46025</v>
      </c>
      <c r="I4869" s="118">
        <f t="shared" si="295"/>
        <v>0.24125278469401126</v>
      </c>
      <c r="J4869" s="5">
        <v>49157</v>
      </c>
      <c r="K4869" s="22">
        <v>2060</v>
      </c>
      <c r="L4869" s="6">
        <v>2064</v>
      </c>
      <c r="M4869" s="125">
        <f t="shared" si="300"/>
        <v>4</v>
      </c>
      <c r="P4869" s="1341"/>
      <c r="Q4869" s="25">
        <f>165.28/1105.1</f>
        <v>0.14956112568998281</v>
      </c>
      <c r="U4869" s="384">
        <v>0.1</v>
      </c>
      <c r="W4869" s="1340"/>
      <c r="X4869" s="446">
        <f t="shared" si="298"/>
        <v>0</v>
      </c>
    </row>
    <row r="4870" spans="1:24" ht="15" customHeight="1">
      <c r="A4870" s="3">
        <v>42649</v>
      </c>
      <c r="B4870" s="9">
        <v>88450</v>
      </c>
      <c r="C4870" s="5">
        <v>0</v>
      </c>
      <c r="D4870" s="5">
        <v>102375</v>
      </c>
      <c r="E4870" s="5">
        <v>190825</v>
      </c>
      <c r="F4870" s="4">
        <v>225</v>
      </c>
      <c r="G4870" s="5">
        <v>175</v>
      </c>
      <c r="H4870" s="5">
        <v>45850</v>
      </c>
      <c r="I4870" s="118">
        <f t="shared" si="295"/>
        <v>0.24027250098257566</v>
      </c>
      <c r="J4870" s="5">
        <v>49547</v>
      </c>
      <c r="K4870" s="22">
        <v>2045</v>
      </c>
      <c r="L4870" s="6">
        <v>2050</v>
      </c>
      <c r="M4870" s="125">
        <f t="shared" si="300"/>
        <v>5</v>
      </c>
      <c r="P4870" s="1341"/>
      <c r="Q4870" s="25">
        <f>165.28/1105.1</f>
        <v>0.14956112568998281</v>
      </c>
      <c r="U4870" s="384">
        <v>0.1</v>
      </c>
      <c r="W4870" s="1340"/>
      <c r="X4870" s="446">
        <f t="shared" si="298"/>
        <v>0</v>
      </c>
    </row>
    <row r="4871" spans="1:24" ht="15" customHeight="1">
      <c r="A4871" s="3">
        <v>42650</v>
      </c>
      <c r="B4871" s="9">
        <v>88350</v>
      </c>
      <c r="C4871" s="5">
        <v>0</v>
      </c>
      <c r="D4871" s="5">
        <v>102500</v>
      </c>
      <c r="E4871" s="5">
        <v>190850</v>
      </c>
      <c r="F4871" s="4">
        <v>125</v>
      </c>
      <c r="G4871" s="5">
        <v>100</v>
      </c>
      <c r="H4871" s="5">
        <v>38356</v>
      </c>
      <c r="I4871" s="118">
        <f t="shared" si="295"/>
        <v>0.20097458737228191</v>
      </c>
      <c r="J4871" s="5">
        <v>49547</v>
      </c>
      <c r="K4871" s="22">
        <v>2079</v>
      </c>
      <c r="L4871" s="6">
        <v>2085</v>
      </c>
      <c r="M4871" s="125">
        <f t="shared" si="300"/>
        <v>6</v>
      </c>
      <c r="P4871" s="1341"/>
      <c r="Q4871" s="25">
        <f>165.94/1111.3</f>
        <v>0.14932061549536579</v>
      </c>
      <c r="U4871" s="384">
        <v>0.1</v>
      </c>
      <c r="W4871" s="1340"/>
      <c r="X4871" s="446">
        <f t="shared" si="298"/>
        <v>0</v>
      </c>
    </row>
    <row r="4872" spans="1:24" ht="15" customHeight="1">
      <c r="A4872" s="3">
        <v>42653</v>
      </c>
      <c r="B4872" s="9">
        <v>88200</v>
      </c>
      <c r="C4872" s="5">
        <v>0</v>
      </c>
      <c r="D4872" s="5">
        <v>102425</v>
      </c>
      <c r="E4872" s="5">
        <v>190700</v>
      </c>
      <c r="F4872" s="4">
        <v>0</v>
      </c>
      <c r="G4872" s="5">
        <v>150</v>
      </c>
      <c r="H4872" s="5">
        <v>40025</v>
      </c>
      <c r="I4872" s="118">
        <f t="shared" si="295"/>
        <v>0.20988463555322495</v>
      </c>
      <c r="J4872" s="5">
        <v>49547</v>
      </c>
      <c r="K4872" s="22">
        <v>2095</v>
      </c>
      <c r="L4872" s="6">
        <v>2106</v>
      </c>
      <c r="M4872" s="125">
        <f t="shared" si="300"/>
        <v>11</v>
      </c>
      <c r="P4872" s="247">
        <v>15480</v>
      </c>
      <c r="Q4872" s="25">
        <f>165.94/1111.3</f>
        <v>0.14932061549536579</v>
      </c>
      <c r="U4872" s="384">
        <v>0.1</v>
      </c>
      <c r="W4872" s="285">
        <f t="shared" ref="W4872:W4912" si="301">(P4872*Q4872)*(1+U4872)</f>
        <v>2542.6314406550887</v>
      </c>
      <c r="X4872" s="446">
        <f t="shared" si="298"/>
        <v>7.3890214797136036</v>
      </c>
    </row>
    <row r="4873" spans="1:24" ht="15" customHeight="1">
      <c r="A4873" s="3">
        <v>42654</v>
      </c>
      <c r="B4873" s="9">
        <v>88200</v>
      </c>
      <c r="C4873" s="5">
        <v>0</v>
      </c>
      <c r="D4873" s="5">
        <v>102425</v>
      </c>
      <c r="E4873" s="5">
        <v>190625</v>
      </c>
      <c r="F4873" s="4">
        <v>0</v>
      </c>
      <c r="G4873" s="5">
        <v>75</v>
      </c>
      <c r="H4873" s="5">
        <v>30550</v>
      </c>
      <c r="I4873" s="118">
        <f t="shared" si="295"/>
        <v>0.16026229508196721</v>
      </c>
      <c r="J4873" s="5">
        <v>52809</v>
      </c>
      <c r="K4873" s="22">
        <v>2066</v>
      </c>
      <c r="L4873" s="6">
        <v>2075</v>
      </c>
      <c r="M4873" s="125">
        <f t="shared" si="300"/>
        <v>9</v>
      </c>
      <c r="P4873" s="247">
        <v>15630</v>
      </c>
      <c r="Q4873" s="25">
        <f>166.17/1117.2</f>
        <v>0.14873791621911922</v>
      </c>
      <c r="U4873" s="384">
        <v>0.1</v>
      </c>
      <c r="W4873" s="285">
        <f t="shared" si="301"/>
        <v>2557.2509935553171</v>
      </c>
      <c r="X4873" s="446">
        <f t="shared" si="298"/>
        <v>7.5653436592449177</v>
      </c>
    </row>
    <row r="4874" spans="1:24" ht="15" customHeight="1">
      <c r="A4874" s="3">
        <v>42655</v>
      </c>
      <c r="B4874" s="9">
        <v>88200</v>
      </c>
      <c r="C4874" s="5">
        <v>0</v>
      </c>
      <c r="D4874" s="5">
        <v>102425</v>
      </c>
      <c r="E4874" s="5">
        <v>189950</v>
      </c>
      <c r="F4874" s="4">
        <v>0</v>
      </c>
      <c r="G4874" s="5">
        <v>675</v>
      </c>
      <c r="H4874" s="5">
        <v>29975</v>
      </c>
      <c r="I4874" s="118">
        <f t="shared" si="295"/>
        <v>0.15780468544353776</v>
      </c>
      <c r="J4874" s="5">
        <v>59892</v>
      </c>
      <c r="K4874" s="22">
        <v>2041</v>
      </c>
      <c r="L4874" s="6">
        <v>2054</v>
      </c>
      <c r="M4874" s="125">
        <f t="shared" si="300"/>
        <v>13</v>
      </c>
      <c r="P4874" s="247">
        <v>15630</v>
      </c>
      <c r="Q4874" s="25">
        <f>166.17/1117.2</f>
        <v>0.14873791621911922</v>
      </c>
      <c r="U4874" s="384">
        <v>0.1</v>
      </c>
      <c r="W4874" s="285">
        <f t="shared" si="301"/>
        <v>2557.2509935553171</v>
      </c>
      <c r="X4874" s="446">
        <f t="shared" si="298"/>
        <v>7.6580107790298877</v>
      </c>
    </row>
    <row r="4875" spans="1:24" ht="15" customHeight="1">
      <c r="A4875" s="3">
        <v>42656</v>
      </c>
      <c r="B4875" s="9">
        <v>87450</v>
      </c>
      <c r="C4875" s="5">
        <v>0</v>
      </c>
      <c r="D4875" s="5">
        <v>102350</v>
      </c>
      <c r="E4875" s="5">
        <v>189800</v>
      </c>
      <c r="F4875" s="4">
        <v>0</v>
      </c>
      <c r="G4875" s="5">
        <v>150</v>
      </c>
      <c r="H4875" s="5">
        <v>29825</v>
      </c>
      <c r="I4875" s="118">
        <f t="shared" si="295"/>
        <v>0.1571390937829294</v>
      </c>
      <c r="J4875" s="5">
        <v>58005</v>
      </c>
      <c r="K4875" s="22">
        <v>2013</v>
      </c>
      <c r="L4875" s="6">
        <v>2022</v>
      </c>
      <c r="M4875" s="125">
        <f t="shared" si="300"/>
        <v>9</v>
      </c>
      <c r="P4875" s="247">
        <v>15550</v>
      </c>
      <c r="Q4875" s="25">
        <f>166.17/1117.2</f>
        <v>0.14873791621911922</v>
      </c>
      <c r="U4875" s="384">
        <v>0.1</v>
      </c>
      <c r="W4875" s="285">
        <f t="shared" si="301"/>
        <v>2544.1620569280344</v>
      </c>
      <c r="X4875" s="446">
        <f t="shared" si="298"/>
        <v>7.7247888723298557</v>
      </c>
    </row>
    <row r="4876" spans="1:24" ht="15" customHeight="1">
      <c r="A4876" s="3">
        <v>42657</v>
      </c>
      <c r="B4876" s="9">
        <v>87450</v>
      </c>
      <c r="C4876" s="5">
        <v>0</v>
      </c>
      <c r="D4876" s="5">
        <v>102350</v>
      </c>
      <c r="E4876" s="5">
        <v>189800</v>
      </c>
      <c r="F4876" s="4">
        <v>0</v>
      </c>
      <c r="G4876" s="5">
        <v>0</v>
      </c>
      <c r="H4876" s="5">
        <v>29825</v>
      </c>
      <c r="I4876" s="118">
        <f t="shared" si="295"/>
        <v>0.1571390937829294</v>
      </c>
      <c r="J4876" s="5">
        <v>51545</v>
      </c>
      <c r="K4876" s="22">
        <v>1991.5</v>
      </c>
      <c r="L4876" s="6">
        <v>2003</v>
      </c>
      <c r="M4876" s="125">
        <f t="shared" si="300"/>
        <v>11.5</v>
      </c>
      <c r="P4876" s="247">
        <v>15550</v>
      </c>
      <c r="Q4876" s="25">
        <f>168.24/1132.9</f>
        <v>0.14850383970341602</v>
      </c>
      <c r="U4876" s="384">
        <v>0.1</v>
      </c>
      <c r="W4876" s="285">
        <f t="shared" si="301"/>
        <v>2540.1581781269315</v>
      </c>
      <c r="X4876" s="446">
        <f t="shared" si="298"/>
        <v>7.8081847853376853</v>
      </c>
    </row>
    <row r="4877" spans="1:24" ht="15" customHeight="1">
      <c r="A4877" s="3">
        <v>42660</v>
      </c>
      <c r="B4877" s="9">
        <v>87450</v>
      </c>
      <c r="C4877" s="5">
        <v>0</v>
      </c>
      <c r="D4877" s="5">
        <v>102350</v>
      </c>
      <c r="E4877" s="5">
        <v>189800</v>
      </c>
      <c r="F4877" s="4">
        <v>0</v>
      </c>
      <c r="G4877" s="5">
        <v>0</v>
      </c>
      <c r="H4877" s="5">
        <v>29825</v>
      </c>
      <c r="I4877" s="118">
        <f t="shared" si="295"/>
        <v>0.1571390937829294</v>
      </c>
      <c r="J4877" s="5">
        <v>36466</v>
      </c>
      <c r="K4877" s="22">
        <v>1986.5</v>
      </c>
      <c r="L4877" s="6">
        <v>2008</v>
      </c>
      <c r="M4877" s="125">
        <f t="shared" si="300"/>
        <v>21.5</v>
      </c>
      <c r="P4877" s="247">
        <v>15530</v>
      </c>
      <c r="Q4877" s="25">
        <f>169.22/1140.3</f>
        <v>0.14839954397965449</v>
      </c>
      <c r="U4877" s="384">
        <v>0.1</v>
      </c>
      <c r="W4877" s="285">
        <f t="shared" si="301"/>
        <v>2535.1094098044377</v>
      </c>
      <c r="X4877" s="446">
        <f t="shared" si="298"/>
        <v>7.8177699471432165</v>
      </c>
    </row>
    <row r="4878" spans="1:24" ht="15" customHeight="1">
      <c r="A4878" s="3">
        <v>42661</v>
      </c>
      <c r="B4878" s="9">
        <v>87450</v>
      </c>
      <c r="C4878" s="5">
        <v>0</v>
      </c>
      <c r="D4878" s="5">
        <v>102950</v>
      </c>
      <c r="E4878" s="5">
        <v>190400</v>
      </c>
      <c r="F4878" s="4">
        <v>600</v>
      </c>
      <c r="G4878" s="5">
        <v>0</v>
      </c>
      <c r="H4878" s="5">
        <v>31000</v>
      </c>
      <c r="I4878" s="118">
        <f t="shared" si="295"/>
        <v>0.16281512605042017</v>
      </c>
      <c r="J4878" s="5">
        <v>51862</v>
      </c>
      <c r="K4878" s="22">
        <v>1995</v>
      </c>
      <c r="L4878" s="6">
        <v>2010</v>
      </c>
      <c r="M4878" s="125">
        <f t="shared" si="300"/>
        <v>15</v>
      </c>
      <c r="P4878" s="247">
        <v>15530</v>
      </c>
      <c r="Q4878" s="25">
        <f>168.01/1132.3</f>
        <v>0.14837940475139097</v>
      </c>
      <c r="U4878" s="384">
        <v>0.1</v>
      </c>
      <c r="W4878" s="285">
        <f t="shared" si="301"/>
        <v>2534.765371368012</v>
      </c>
      <c r="X4878" s="446">
        <f t="shared" si="298"/>
        <v>7.7844611528822059</v>
      </c>
    </row>
    <row r="4879" spans="1:24" ht="15" customHeight="1">
      <c r="A4879" s="3">
        <v>42662</v>
      </c>
      <c r="B4879" s="9">
        <v>87450</v>
      </c>
      <c r="C4879" s="5">
        <v>0</v>
      </c>
      <c r="D4879" s="5">
        <v>102950</v>
      </c>
      <c r="E4879" s="5">
        <v>190400</v>
      </c>
      <c r="F4879" s="4">
        <v>0</v>
      </c>
      <c r="G4879" s="5">
        <v>0</v>
      </c>
      <c r="H4879" s="5">
        <v>31000</v>
      </c>
      <c r="I4879" s="118">
        <f t="shared" si="295"/>
        <v>0.16281512605042017</v>
      </c>
      <c r="J4879" s="5">
        <v>45771</v>
      </c>
      <c r="K4879" s="22">
        <v>1965</v>
      </c>
      <c r="L4879" s="6">
        <v>1981</v>
      </c>
      <c r="M4879" s="125">
        <f t="shared" si="300"/>
        <v>16</v>
      </c>
      <c r="P4879" s="247">
        <v>15530</v>
      </c>
      <c r="Q4879" s="25">
        <f>166.41/1122.8</f>
        <v>0.14820983256145351</v>
      </c>
      <c r="U4879" s="384">
        <v>0.1</v>
      </c>
      <c r="W4879" s="285">
        <f t="shared" si="301"/>
        <v>2531.8685696473103</v>
      </c>
      <c r="X4879" s="446">
        <f t="shared" si="298"/>
        <v>7.9033078880407128</v>
      </c>
    </row>
    <row r="4880" spans="1:24" ht="15" customHeight="1">
      <c r="A4880" s="3">
        <v>42663</v>
      </c>
      <c r="B4880" s="9">
        <v>86775</v>
      </c>
      <c r="C4880" s="5">
        <v>0</v>
      </c>
      <c r="D4880" s="5">
        <v>102950</v>
      </c>
      <c r="E4880" s="5">
        <v>189725</v>
      </c>
      <c r="F4880" s="4">
        <v>0</v>
      </c>
      <c r="G4880" s="5">
        <v>675</v>
      </c>
      <c r="H4880" s="5">
        <v>34075</v>
      </c>
      <c r="I4880" s="118">
        <f t="shared" si="295"/>
        <v>0.17960205560679932</v>
      </c>
      <c r="J4880" s="5">
        <v>38887</v>
      </c>
      <c r="K4880" s="22">
        <v>2004.5</v>
      </c>
      <c r="L4880" s="6">
        <v>2013</v>
      </c>
      <c r="M4880" s="125">
        <f t="shared" si="300"/>
        <v>8.5</v>
      </c>
      <c r="P4880" s="247">
        <v>15530</v>
      </c>
      <c r="Q4880" s="25">
        <f>166.41/1122.8</f>
        <v>0.14820983256145351</v>
      </c>
      <c r="U4880" s="384">
        <v>0.1</v>
      </c>
      <c r="W4880" s="285">
        <f t="shared" si="301"/>
        <v>2531.8685696473103</v>
      </c>
      <c r="X4880" s="446">
        <f t="shared" si="298"/>
        <v>7.7475679720628587</v>
      </c>
    </row>
    <row r="4881" spans="1:24" ht="15" customHeight="1">
      <c r="A4881" s="3">
        <v>42664</v>
      </c>
      <c r="B4881" s="9">
        <v>86775</v>
      </c>
      <c r="C4881" s="5">
        <v>0</v>
      </c>
      <c r="D4881" s="5">
        <v>102950</v>
      </c>
      <c r="E4881" s="5">
        <v>189725</v>
      </c>
      <c r="F4881" s="4">
        <v>0</v>
      </c>
      <c r="G4881" s="5">
        <v>0</v>
      </c>
      <c r="H4881" s="5">
        <v>34075</v>
      </c>
      <c r="I4881" s="118">
        <f t="shared" si="295"/>
        <v>0.17960205560679932</v>
      </c>
      <c r="J4881" s="5">
        <v>33735</v>
      </c>
      <c r="K4881" s="22">
        <v>2010</v>
      </c>
      <c r="L4881" s="6">
        <v>2025</v>
      </c>
      <c r="M4881" s="125">
        <f t="shared" ref="M4881:M4912" si="302">L4881-K4881</f>
        <v>15</v>
      </c>
      <c r="P4881" s="247">
        <v>15680</v>
      </c>
      <c r="Q4881" s="25">
        <f>166.57/1124</f>
        <v>0.14819395017793593</v>
      </c>
      <c r="U4881" s="384">
        <v>0.1</v>
      </c>
      <c r="W4881" s="285">
        <f t="shared" si="301"/>
        <v>2556.0492526690396</v>
      </c>
      <c r="X4881" s="446">
        <f t="shared" si="298"/>
        <v>7.8009950248756219</v>
      </c>
    </row>
    <row r="4882" spans="1:24" ht="15" customHeight="1">
      <c r="A4882" s="3">
        <v>42667</v>
      </c>
      <c r="B4882" s="9">
        <v>86175</v>
      </c>
      <c r="C4882" s="5">
        <v>0</v>
      </c>
      <c r="D4882" s="5">
        <v>102750</v>
      </c>
      <c r="E4882" s="5">
        <v>188925</v>
      </c>
      <c r="F4882" s="4">
        <v>0</v>
      </c>
      <c r="G4882" s="5">
        <v>800</v>
      </c>
      <c r="H4882" s="5">
        <v>33275</v>
      </c>
      <c r="I4882" s="118">
        <f t="shared" si="295"/>
        <v>0.17612809315866085</v>
      </c>
      <c r="J4882" s="5">
        <v>36951</v>
      </c>
      <c r="K4882" s="22">
        <v>2010</v>
      </c>
      <c r="L4882" s="6">
        <v>2018</v>
      </c>
      <c r="M4882" s="125">
        <f t="shared" si="302"/>
        <v>8</v>
      </c>
      <c r="P4882" s="247">
        <v>15740</v>
      </c>
      <c r="Q4882" s="25">
        <f>167.81/1134.5</f>
        <v>0.14791538122520934</v>
      </c>
      <c r="U4882" s="384">
        <v>0.1</v>
      </c>
      <c r="W4882" s="285">
        <f t="shared" si="301"/>
        <v>2561.006910533275</v>
      </c>
      <c r="X4882" s="446">
        <f t="shared" si="298"/>
        <v>7.8308457711442783</v>
      </c>
    </row>
    <row r="4883" spans="1:24" ht="15" customHeight="1">
      <c r="A4883" s="3">
        <v>42668</v>
      </c>
      <c r="B4883" s="9">
        <v>85825</v>
      </c>
      <c r="C4883" s="5">
        <v>0</v>
      </c>
      <c r="D4883" s="5">
        <v>102800</v>
      </c>
      <c r="E4883" s="5">
        <v>188625</v>
      </c>
      <c r="F4883" s="4">
        <v>300</v>
      </c>
      <c r="G4883" s="5">
        <v>600</v>
      </c>
      <c r="H4883" s="5">
        <v>33400</v>
      </c>
      <c r="I4883" s="118">
        <f t="shared" si="295"/>
        <v>0.17707090788601723</v>
      </c>
      <c r="J4883" s="5">
        <v>28410</v>
      </c>
      <c r="K4883" s="22">
        <v>2069</v>
      </c>
      <c r="L4883" s="6">
        <v>2079.5</v>
      </c>
      <c r="M4883" s="125">
        <f t="shared" si="302"/>
        <v>10.5</v>
      </c>
      <c r="P4883" s="247">
        <v>16140</v>
      </c>
      <c r="Q4883" s="25">
        <f>167.51/1136.5</f>
        <v>0.14739111306643202</v>
      </c>
      <c r="U4883" s="384">
        <v>0.1</v>
      </c>
      <c r="W4883" s="285">
        <f t="shared" si="301"/>
        <v>2616.7818213814344</v>
      </c>
      <c r="X4883" s="446">
        <f t="shared" si="298"/>
        <v>7.8008699855002419</v>
      </c>
    </row>
    <row r="4884" spans="1:24" ht="15" customHeight="1">
      <c r="A4884" s="3">
        <v>42669</v>
      </c>
      <c r="B4884" s="9">
        <v>85825</v>
      </c>
      <c r="C4884" s="5">
        <v>0</v>
      </c>
      <c r="D4884" s="5">
        <v>102625</v>
      </c>
      <c r="E4884" s="5">
        <v>188450</v>
      </c>
      <c r="F4884" s="4">
        <v>0</v>
      </c>
      <c r="G4884" s="5">
        <v>175</v>
      </c>
      <c r="H4884" s="5">
        <v>33225</v>
      </c>
      <c r="I4884" s="118">
        <f t="shared" si="295"/>
        <v>0.17630671265587688</v>
      </c>
      <c r="J4884" s="5">
        <v>35972</v>
      </c>
      <c r="K4884" s="22">
        <v>2058</v>
      </c>
      <c r="L4884" s="6">
        <v>2070</v>
      </c>
      <c r="M4884" s="125">
        <f t="shared" si="302"/>
        <v>12</v>
      </c>
      <c r="P4884" s="247">
        <v>16140</v>
      </c>
      <c r="Q4884" s="25">
        <f>167.03/1132.4</f>
        <v>0.14750088308018366</v>
      </c>
      <c r="U4884" s="384">
        <v>0.1</v>
      </c>
      <c r="W4884" s="285">
        <f t="shared" si="301"/>
        <v>2618.7306782055812</v>
      </c>
      <c r="X4884" s="446">
        <f t="shared" si="298"/>
        <v>7.8425655976676385</v>
      </c>
    </row>
    <row r="4885" spans="1:24" ht="15" customHeight="1">
      <c r="A4885" s="3">
        <v>42670</v>
      </c>
      <c r="B4885" s="9">
        <v>85825</v>
      </c>
      <c r="C4885" s="5">
        <v>0</v>
      </c>
      <c r="D4885" s="5">
        <v>102475</v>
      </c>
      <c r="E4885" s="5">
        <v>188300</v>
      </c>
      <c r="F4885" s="4">
        <v>0</v>
      </c>
      <c r="G4885" s="5">
        <v>150</v>
      </c>
      <c r="H4885" s="5">
        <v>33075</v>
      </c>
      <c r="I4885" s="118">
        <f t="shared" si="295"/>
        <v>0.17565055762081785</v>
      </c>
      <c r="J4885" s="5">
        <v>43052</v>
      </c>
      <c r="K4885" s="22">
        <v>2063.5</v>
      </c>
      <c r="L4885" s="6">
        <v>2075</v>
      </c>
      <c r="M4885" s="125">
        <f t="shared" si="302"/>
        <v>11.5</v>
      </c>
      <c r="P4885" s="247">
        <v>16190</v>
      </c>
      <c r="Q4885" s="25">
        <f>168.02/1140.2</f>
        <v>0.14736011226100684</v>
      </c>
      <c r="U4885" s="384">
        <v>0.1</v>
      </c>
      <c r="W4885" s="285">
        <f t="shared" si="301"/>
        <v>2624.3362392562713</v>
      </c>
      <c r="X4885" s="446">
        <f t="shared" si="298"/>
        <v>7.8458929004119211</v>
      </c>
    </row>
    <row r="4886" spans="1:24" ht="15" customHeight="1">
      <c r="A4886" s="3">
        <v>42671</v>
      </c>
      <c r="B4886" s="9">
        <v>85725</v>
      </c>
      <c r="C4886" s="5">
        <v>0</v>
      </c>
      <c r="D4886" s="5">
        <v>103425</v>
      </c>
      <c r="E4886" s="5">
        <v>189150</v>
      </c>
      <c r="F4886" s="4">
        <v>1100</v>
      </c>
      <c r="G4886" s="5">
        <v>250</v>
      </c>
      <c r="H4886" s="5">
        <v>32825</v>
      </c>
      <c r="I4886" s="118">
        <f t="shared" si="295"/>
        <v>0.17353951890034364</v>
      </c>
      <c r="J4886" s="5">
        <v>37342</v>
      </c>
      <c r="K4886" s="22">
        <v>2048</v>
      </c>
      <c r="L4886" s="6">
        <v>2058</v>
      </c>
      <c r="M4886" s="125">
        <f t="shared" si="302"/>
        <v>10</v>
      </c>
      <c r="P4886" s="247">
        <v>16190</v>
      </c>
      <c r="Q4886" s="25">
        <f>168.65/1145.2</f>
        <v>0.14726685295144953</v>
      </c>
      <c r="U4886" s="384">
        <v>0.1</v>
      </c>
      <c r="W4886" s="285">
        <f t="shared" si="301"/>
        <v>2622.6753842123649</v>
      </c>
      <c r="X4886" s="446">
        <f t="shared" si="298"/>
        <v>7.9052734375</v>
      </c>
    </row>
    <row r="4887" spans="1:24" ht="15" customHeight="1">
      <c r="A4887" s="3">
        <v>42674</v>
      </c>
      <c r="B4887" s="9">
        <v>85375</v>
      </c>
      <c r="C4887" s="5">
        <v>0</v>
      </c>
      <c r="D4887" s="5">
        <v>103325</v>
      </c>
      <c r="E4887" s="5">
        <v>188700</v>
      </c>
      <c r="F4887" s="4">
        <v>0</v>
      </c>
      <c r="G4887" s="5">
        <v>450</v>
      </c>
      <c r="H4887" s="5">
        <v>32375</v>
      </c>
      <c r="I4887" s="118">
        <f t="shared" si="295"/>
        <v>0.17156862745098039</v>
      </c>
      <c r="J4887" s="5">
        <v>22490</v>
      </c>
      <c r="K4887" s="22">
        <v>2065.5</v>
      </c>
      <c r="L4887" s="6">
        <v>2082.5</v>
      </c>
      <c r="M4887" s="125">
        <f t="shared" si="302"/>
        <v>17</v>
      </c>
      <c r="N4887" s="235">
        <f>AVERAGE(K4867:K4887)</f>
        <v>2039.9285714285713</v>
      </c>
      <c r="O4887" s="230">
        <f>AVERAGE(K4663:K4887)</f>
        <v>1805.4881516587677</v>
      </c>
      <c r="P4887" s="247">
        <v>16240</v>
      </c>
      <c r="Q4887" s="25">
        <f>168.83/1144.6</f>
        <v>0.14750131050148527</v>
      </c>
      <c r="U4887" s="384">
        <v>0.1</v>
      </c>
      <c r="W4887" s="285">
        <f t="shared" si="301"/>
        <v>2634.963410798533</v>
      </c>
      <c r="X4887" s="446">
        <f t="shared" si="298"/>
        <v>7.8625030259017183</v>
      </c>
    </row>
    <row r="4888" spans="1:24" ht="15" customHeight="1" thickBot="1">
      <c r="A4888" s="216"/>
      <c r="B4888" s="1330"/>
      <c r="C4888" s="1330"/>
      <c r="D4888" s="1330"/>
      <c r="E4888" s="216"/>
      <c r="F4888" s="407"/>
      <c r="G4888" s="164"/>
      <c r="H4888" s="164"/>
      <c r="I4888" s="166"/>
      <c r="J4888" s="166"/>
      <c r="K4888" s="166"/>
      <c r="L4888" s="167"/>
      <c r="M4888" s="168"/>
      <c r="N4888" s="169" t="s">
        <v>52</v>
      </c>
      <c r="O4888" s="183"/>
      <c r="P4888" s="180"/>
      <c r="Q4888" s="154"/>
      <c r="R4888" s="248"/>
      <c r="S4888" s="249"/>
      <c r="T4888" s="249"/>
      <c r="U4888" s="152"/>
      <c r="V4888" s="153">
        <f>AVERAGE(P4872:P4887)</f>
        <v>15767.5</v>
      </c>
      <c r="W4888" s="295"/>
      <c r="X4888" s="447">
        <f>AVERAGE(X4867:X4887)</f>
        <v>6.214370113939319</v>
      </c>
    </row>
    <row r="4889" spans="1:24" ht="15" customHeight="1">
      <c r="A4889" s="3">
        <v>42675</v>
      </c>
      <c r="B4889" s="9">
        <v>85375</v>
      </c>
      <c r="C4889" s="5">
        <v>0</v>
      </c>
      <c r="D4889" s="5">
        <v>103325</v>
      </c>
      <c r="E4889" s="5">
        <v>188700</v>
      </c>
      <c r="F4889" s="4">
        <v>0</v>
      </c>
      <c r="G4889" s="5">
        <v>0</v>
      </c>
      <c r="H4889" s="5">
        <v>32375</v>
      </c>
      <c r="I4889" s="118">
        <f t="shared" si="295"/>
        <v>0.17156862745098039</v>
      </c>
      <c r="J4889" s="5">
        <v>40927</v>
      </c>
      <c r="K4889" s="22">
        <v>2052</v>
      </c>
      <c r="L4889" s="6">
        <v>2067</v>
      </c>
      <c r="M4889" s="125">
        <f t="shared" si="302"/>
        <v>15</v>
      </c>
      <c r="P4889" s="247">
        <v>16420</v>
      </c>
      <c r="Q4889" s="25">
        <f>168.33/1141.8</f>
        <v>0.1474251182343668</v>
      </c>
      <c r="U4889" s="384">
        <v>0.1</v>
      </c>
      <c r="W4889" s="285">
        <f t="shared" si="301"/>
        <v>2662.7924855491337</v>
      </c>
      <c r="X4889" s="446">
        <f t="shared" si="298"/>
        <v>8.0019493177387915</v>
      </c>
    </row>
    <row r="4890" spans="1:24" ht="15" customHeight="1">
      <c r="A4890" s="3">
        <v>42676</v>
      </c>
      <c r="B4890" s="9">
        <v>85375</v>
      </c>
      <c r="C4890" s="5">
        <v>0</v>
      </c>
      <c r="D4890" s="5">
        <v>103325</v>
      </c>
      <c r="E4890" s="5">
        <v>188700</v>
      </c>
      <c r="F4890" s="4">
        <v>0</v>
      </c>
      <c r="G4890" s="5">
        <v>0</v>
      </c>
      <c r="H4890" s="5">
        <v>32375</v>
      </c>
      <c r="I4890" s="118">
        <f t="shared" si="295"/>
        <v>0.17156862745098039</v>
      </c>
      <c r="J4890" s="5">
        <v>42337</v>
      </c>
      <c r="K4890" s="22">
        <v>2047.5</v>
      </c>
      <c r="L4890" s="6">
        <v>2065</v>
      </c>
      <c r="M4890" s="125">
        <f t="shared" si="302"/>
        <v>17.5</v>
      </c>
      <c r="P4890" s="247">
        <v>16420</v>
      </c>
      <c r="Q4890" s="25">
        <f>169.57/1148.7</f>
        <v>0.14761904761904759</v>
      </c>
      <c r="U4890" s="384">
        <v>0.1</v>
      </c>
      <c r="W4890" s="285">
        <f t="shared" si="301"/>
        <v>2666.2952380952379</v>
      </c>
      <c r="X4890" s="446">
        <f t="shared" si="298"/>
        <v>8.0195360195360195</v>
      </c>
    </row>
    <row r="4891" spans="1:24" ht="15" customHeight="1">
      <c r="A4891" s="3">
        <v>42677</v>
      </c>
      <c r="B4891" s="9">
        <v>85375</v>
      </c>
      <c r="C4891" s="5">
        <v>0</v>
      </c>
      <c r="D4891" s="5">
        <v>103200</v>
      </c>
      <c r="E4891" s="5">
        <v>188575</v>
      </c>
      <c r="F4891" s="4">
        <v>0</v>
      </c>
      <c r="G4891" s="5">
        <v>125</v>
      </c>
      <c r="H4891" s="5">
        <v>32250</v>
      </c>
      <c r="I4891" s="118">
        <f t="shared" si="295"/>
        <v>0.17101948826726768</v>
      </c>
      <c r="J4891" s="5">
        <v>33145</v>
      </c>
      <c r="K4891" s="22">
        <v>2061</v>
      </c>
      <c r="L4891" s="6">
        <v>2075</v>
      </c>
      <c r="M4891" s="125">
        <f t="shared" si="302"/>
        <v>14</v>
      </c>
      <c r="P4891" s="247">
        <v>16390</v>
      </c>
      <c r="Q4891" s="25">
        <f>168.47/1140.6</f>
        <v>0.14770296335262142</v>
      </c>
      <c r="U4891" s="384">
        <v>0.1</v>
      </c>
      <c r="W4891" s="285">
        <f t="shared" si="301"/>
        <v>2662.9367262844116</v>
      </c>
      <c r="X4891" s="446">
        <f t="shared" si="298"/>
        <v>7.9524502668607475</v>
      </c>
    </row>
    <row r="4892" spans="1:24" ht="15" customHeight="1">
      <c r="A4892" s="3">
        <v>42678</v>
      </c>
      <c r="B4892" s="9">
        <v>85375</v>
      </c>
      <c r="C4892" s="5">
        <v>0</v>
      </c>
      <c r="D4892" s="5">
        <v>102975</v>
      </c>
      <c r="E4892" s="5">
        <v>188350</v>
      </c>
      <c r="F4892" s="4">
        <v>0</v>
      </c>
      <c r="G4892" s="5">
        <v>225</v>
      </c>
      <c r="H4892" s="5">
        <v>32025</v>
      </c>
      <c r="I4892" s="118">
        <f t="shared" si="295"/>
        <v>0.17002920095566765</v>
      </c>
      <c r="J4892" s="5">
        <v>34500</v>
      </c>
      <c r="K4892" s="22">
        <v>2070.5</v>
      </c>
      <c r="L4892" s="6">
        <v>2087</v>
      </c>
      <c r="M4892" s="125">
        <f t="shared" si="302"/>
        <v>16.5</v>
      </c>
      <c r="P4892" s="247">
        <v>16460</v>
      </c>
      <c r="Q4892" s="25">
        <f>168.47/1140.6</f>
        <v>0.14770296335262142</v>
      </c>
      <c r="U4892" s="384">
        <v>0.1</v>
      </c>
      <c r="W4892" s="285">
        <f t="shared" si="301"/>
        <v>2674.3098544625636</v>
      </c>
      <c r="X4892" s="446">
        <f t="shared" si="298"/>
        <v>7.949770586814779</v>
      </c>
    </row>
    <row r="4893" spans="1:24" ht="15" customHeight="1">
      <c r="A4893" s="3">
        <v>42681</v>
      </c>
      <c r="B4893" s="9">
        <v>85375</v>
      </c>
      <c r="C4893" s="5">
        <v>0</v>
      </c>
      <c r="D4893" s="5">
        <v>102750</v>
      </c>
      <c r="E4893" s="5">
        <v>188125</v>
      </c>
      <c r="F4893" s="4">
        <v>0</v>
      </c>
      <c r="G4893" s="5">
        <v>225</v>
      </c>
      <c r="H4893" s="5">
        <v>31800</v>
      </c>
      <c r="I4893" s="118">
        <f t="shared" si="295"/>
        <v>0.16903654485049835</v>
      </c>
      <c r="J4893" s="5">
        <v>30176</v>
      </c>
      <c r="K4893" s="22">
        <v>2093</v>
      </c>
      <c r="L4893" s="6">
        <v>2109</v>
      </c>
      <c r="M4893" s="125">
        <f t="shared" si="302"/>
        <v>16</v>
      </c>
      <c r="P4893" s="247">
        <v>16610</v>
      </c>
      <c r="Q4893" s="25">
        <f>168.29/1141.6</f>
        <v>0.14741590749824807</v>
      </c>
      <c r="U4893" s="384">
        <v>0.1</v>
      </c>
      <c r="W4893" s="285">
        <f t="shared" si="301"/>
        <v>2693.4360459004906</v>
      </c>
      <c r="X4893" s="446">
        <f t="shared" si="298"/>
        <v>7.9359770664118487</v>
      </c>
    </row>
    <row r="4894" spans="1:24" ht="15" customHeight="1">
      <c r="A4894" s="3">
        <v>42682</v>
      </c>
      <c r="B4894" s="9">
        <v>85375</v>
      </c>
      <c r="C4894" s="5">
        <v>0</v>
      </c>
      <c r="D4894" s="5">
        <v>102675</v>
      </c>
      <c r="E4894" s="5">
        <v>188050</v>
      </c>
      <c r="F4894" s="4">
        <v>0</v>
      </c>
      <c r="G4894" s="5">
        <v>75</v>
      </c>
      <c r="H4894" s="5">
        <v>31725</v>
      </c>
      <c r="I4894" s="118">
        <f t="shared" si="295"/>
        <v>0.16870513161393247</v>
      </c>
      <c r="J4894" s="5">
        <v>43468</v>
      </c>
      <c r="K4894" s="22">
        <v>2073</v>
      </c>
      <c r="L4894" s="6">
        <v>2093</v>
      </c>
      <c r="M4894" s="125">
        <f t="shared" si="302"/>
        <v>20</v>
      </c>
      <c r="P4894" s="247">
        <v>16610</v>
      </c>
      <c r="Q4894" s="25">
        <f>168.29/1141.6</f>
        <v>0.14741590749824807</v>
      </c>
      <c r="U4894" s="384">
        <v>0.1</v>
      </c>
      <c r="W4894" s="285">
        <f t="shared" si="301"/>
        <v>2693.4360459004906</v>
      </c>
      <c r="X4894" s="446">
        <f t="shared" si="298"/>
        <v>8.0125422093584184</v>
      </c>
    </row>
    <row r="4895" spans="1:24" ht="15" customHeight="1">
      <c r="A4895" s="3">
        <v>42683</v>
      </c>
      <c r="B4895" s="9">
        <v>85375</v>
      </c>
      <c r="C4895" s="5">
        <v>0</v>
      </c>
      <c r="D4895" s="5">
        <v>102350</v>
      </c>
      <c r="E4895" s="5">
        <v>187725</v>
      </c>
      <c r="F4895" s="4">
        <v>0</v>
      </c>
      <c r="G4895" s="5">
        <v>325</v>
      </c>
      <c r="H4895" s="5">
        <v>31400</v>
      </c>
      <c r="I4895" s="118">
        <f t="shared" si="295"/>
        <v>0.16726594752963111</v>
      </c>
      <c r="J4895" s="5">
        <v>43879</v>
      </c>
      <c r="K4895" s="22">
        <v>2127</v>
      </c>
      <c r="L4895" s="6">
        <v>2140.5</v>
      </c>
      <c r="M4895" s="125">
        <f t="shared" si="302"/>
        <v>13.5</v>
      </c>
      <c r="P4895" s="247">
        <v>16610</v>
      </c>
      <c r="Q4895" s="25">
        <f>167.59/1137.5</f>
        <v>0.14733186813186813</v>
      </c>
      <c r="U4895" s="384">
        <v>0.1</v>
      </c>
      <c r="W4895" s="285">
        <f t="shared" si="301"/>
        <v>2691.9005626373628</v>
      </c>
      <c r="X4895" s="446">
        <f t="shared" si="298"/>
        <v>7.8091208274565114</v>
      </c>
    </row>
    <row r="4896" spans="1:24" ht="15" customHeight="1">
      <c r="A4896" s="3">
        <v>42684</v>
      </c>
      <c r="B4896" s="9">
        <v>85375</v>
      </c>
      <c r="C4896" s="5">
        <v>0</v>
      </c>
      <c r="D4896" s="5">
        <v>102275</v>
      </c>
      <c r="E4896" s="5">
        <v>187650</v>
      </c>
      <c r="F4896" s="4">
        <v>0</v>
      </c>
      <c r="G4896" s="5">
        <v>75</v>
      </c>
      <c r="H4896" s="5">
        <v>31325</v>
      </c>
      <c r="I4896" s="118">
        <f t="shared" si="295"/>
        <v>0.16693312017053025</v>
      </c>
      <c r="J4896" s="5">
        <v>53702</v>
      </c>
      <c r="K4896" s="22">
        <v>2155</v>
      </c>
      <c r="L4896" s="6">
        <v>2170</v>
      </c>
      <c r="M4896" s="125">
        <f t="shared" si="302"/>
        <v>15</v>
      </c>
      <c r="P4896" s="247">
        <v>17090</v>
      </c>
      <c r="Q4896" s="25">
        <f>168.89/1151</f>
        <v>0.14673327541268461</v>
      </c>
      <c r="U4896" s="384">
        <v>0.1</v>
      </c>
      <c r="W4896" s="285">
        <f t="shared" si="301"/>
        <v>2758.4388444830583</v>
      </c>
      <c r="X4896" s="446">
        <f t="shared" si="298"/>
        <v>7.9303944315545243</v>
      </c>
    </row>
    <row r="4897" spans="1:24" ht="15" customHeight="1">
      <c r="A4897" s="3">
        <v>42685</v>
      </c>
      <c r="B4897" s="9">
        <v>85375</v>
      </c>
      <c r="C4897" s="5">
        <v>0</v>
      </c>
      <c r="D4897" s="5">
        <v>102125</v>
      </c>
      <c r="E4897" s="5">
        <v>187500</v>
      </c>
      <c r="F4897" s="4">
        <v>0</v>
      </c>
      <c r="G4897" s="5">
        <v>150</v>
      </c>
      <c r="H4897" s="5">
        <v>31175</v>
      </c>
      <c r="I4897" s="118">
        <f t="shared" ref="I4897:I4912" si="303">H4897/E4897</f>
        <v>0.16626666666666667</v>
      </c>
      <c r="J4897" s="5">
        <v>47074</v>
      </c>
      <c r="K4897" s="22">
        <v>2151.5</v>
      </c>
      <c r="L4897" s="6">
        <v>2163.5</v>
      </c>
      <c r="M4897" s="125">
        <f t="shared" si="302"/>
        <v>12</v>
      </c>
      <c r="N4897" s="300"/>
      <c r="P4897" s="247">
        <v>17040</v>
      </c>
      <c r="Q4897" s="25">
        <f>170.44/1164.4</f>
        <v>0.14637581587083476</v>
      </c>
      <c r="U4897" s="384">
        <v>0.1</v>
      </c>
      <c r="W4897" s="285">
        <f t="shared" si="301"/>
        <v>2743.6682926829267</v>
      </c>
      <c r="X4897" s="446">
        <f t="shared" si="298"/>
        <v>7.9200557750406695</v>
      </c>
    </row>
    <row r="4898" spans="1:24" ht="15" customHeight="1">
      <c r="A4898" s="3">
        <v>42688</v>
      </c>
      <c r="B4898" s="9">
        <v>85375</v>
      </c>
      <c r="C4898" s="5">
        <v>0</v>
      </c>
      <c r="D4898" s="5">
        <v>102125</v>
      </c>
      <c r="E4898" s="5">
        <f>SUM(B4898:D4898)</f>
        <v>187500</v>
      </c>
      <c r="F4898" s="4">
        <v>0</v>
      </c>
      <c r="G4898" s="5">
        <v>0</v>
      </c>
      <c r="H4898" s="5">
        <v>31175</v>
      </c>
      <c r="I4898" s="118">
        <f t="shared" si="303"/>
        <v>0.16626666666666667</v>
      </c>
      <c r="J4898" s="5">
        <v>43849</v>
      </c>
      <c r="K4898" s="22">
        <v>2150.5</v>
      </c>
      <c r="L4898" s="6">
        <v>2158</v>
      </c>
      <c r="M4898" s="125">
        <f t="shared" si="302"/>
        <v>7.5</v>
      </c>
      <c r="P4898" s="247">
        <f>(17080+17140)/2</f>
        <v>17110</v>
      </c>
      <c r="Q4898" s="25">
        <f>171.25/1169.8</f>
        <v>0.14639254573431357</v>
      </c>
      <c r="U4898" s="384">
        <v>0.1</v>
      </c>
      <c r="W4898" s="285">
        <f t="shared" si="301"/>
        <v>2755.2541032655158</v>
      </c>
      <c r="X4898" s="446">
        <f t="shared" si="298"/>
        <v>7.9562892350616137</v>
      </c>
    </row>
    <row r="4899" spans="1:24" ht="15" customHeight="1">
      <c r="A4899" s="3">
        <v>42689</v>
      </c>
      <c r="B4899" s="9">
        <v>85375</v>
      </c>
      <c r="C4899" s="5">
        <v>0</v>
      </c>
      <c r="D4899" s="5">
        <v>102725</v>
      </c>
      <c r="E4899" s="5">
        <v>188100</v>
      </c>
      <c r="F4899" s="4">
        <v>600</v>
      </c>
      <c r="G4899" s="5">
        <v>0</v>
      </c>
      <c r="H4899" s="5">
        <v>31225</v>
      </c>
      <c r="I4899" s="118">
        <f t="shared" si="303"/>
        <v>0.16600212652844232</v>
      </c>
      <c r="J4899" s="5">
        <v>42289</v>
      </c>
      <c r="K4899" s="22">
        <v>2154</v>
      </c>
      <c r="L4899" s="6">
        <v>2170</v>
      </c>
      <c r="M4899" s="125">
        <f t="shared" si="302"/>
        <v>16</v>
      </c>
      <c r="P4899" s="247">
        <v>18000</v>
      </c>
      <c r="Q4899" s="25">
        <f>170.3/1168.8</f>
        <v>0.14570499657768654</v>
      </c>
      <c r="U4899" s="384">
        <v>0.1</v>
      </c>
      <c r="W4899" s="285">
        <f t="shared" si="301"/>
        <v>2884.9589322381939</v>
      </c>
      <c r="X4899" s="446">
        <f t="shared" si="298"/>
        <v>8.3565459610027855</v>
      </c>
    </row>
    <row r="4900" spans="1:24" ht="15" customHeight="1">
      <c r="A4900" s="3">
        <v>42690</v>
      </c>
      <c r="B4900" s="9">
        <v>85375</v>
      </c>
      <c r="C4900" s="5">
        <v>0</v>
      </c>
      <c r="D4900" s="5">
        <v>102725</v>
      </c>
      <c r="E4900" s="5">
        <v>188100</v>
      </c>
      <c r="F4900" s="4">
        <v>0</v>
      </c>
      <c r="G4900" s="5">
        <v>0</v>
      </c>
      <c r="H4900" s="5">
        <v>31225</v>
      </c>
      <c r="I4900" s="118">
        <f t="shared" si="303"/>
        <v>0.16600212652844232</v>
      </c>
      <c r="J4900" s="5">
        <v>49568</v>
      </c>
      <c r="K4900" s="22">
        <v>2186.5</v>
      </c>
      <c r="L4900" s="6">
        <v>2199</v>
      </c>
      <c r="M4900" s="125">
        <f t="shared" si="302"/>
        <v>12.5</v>
      </c>
      <c r="P4900" s="247">
        <v>18050</v>
      </c>
      <c r="Q4900" s="25">
        <f>169.71/1167.2</f>
        <v>0.14539924605894447</v>
      </c>
      <c r="U4900" s="384">
        <v>0.1</v>
      </c>
      <c r="W4900" s="285">
        <f t="shared" si="301"/>
        <v>2886.9020305003428</v>
      </c>
      <c r="X4900" s="446">
        <f t="shared" si="298"/>
        <v>8.2552023782300488</v>
      </c>
    </row>
    <row r="4901" spans="1:24" ht="15" customHeight="1">
      <c r="A4901" s="3">
        <v>42691</v>
      </c>
      <c r="B4901" s="9">
        <v>85375</v>
      </c>
      <c r="C4901" s="5">
        <v>0</v>
      </c>
      <c r="D4901" s="5">
        <v>102700</v>
      </c>
      <c r="E4901" s="5">
        <v>188075</v>
      </c>
      <c r="F4901" s="4">
        <v>0</v>
      </c>
      <c r="G4901" s="5">
        <v>25</v>
      </c>
      <c r="H4901" s="5">
        <v>31200</v>
      </c>
      <c r="I4901" s="118">
        <f t="shared" si="303"/>
        <v>0.16589126678186894</v>
      </c>
      <c r="J4901" s="5">
        <v>35829</v>
      </c>
      <c r="K4901" s="22">
        <v>2142</v>
      </c>
      <c r="L4901" s="6">
        <v>2156</v>
      </c>
      <c r="M4901" s="125">
        <f t="shared" si="302"/>
        <v>14</v>
      </c>
      <c r="P4901" s="247">
        <v>17950</v>
      </c>
      <c r="Q4901" s="25">
        <f>170.47/1174.4</f>
        <v>0.14515497275204359</v>
      </c>
      <c r="U4901" s="384">
        <v>0.1</v>
      </c>
      <c r="W4901" s="285">
        <f t="shared" si="301"/>
        <v>2866.0849369891007</v>
      </c>
      <c r="X4901" s="446">
        <f t="shared" si="298"/>
        <v>8.3800186741363216</v>
      </c>
    </row>
    <row r="4902" spans="1:24" ht="15" customHeight="1">
      <c r="A4902" s="3">
        <v>42692</v>
      </c>
      <c r="B4902" s="9">
        <v>85375</v>
      </c>
      <c r="C4902" s="5">
        <v>0</v>
      </c>
      <c r="D4902" s="5">
        <v>103475</v>
      </c>
      <c r="E4902" s="5">
        <v>188850</v>
      </c>
      <c r="F4902" s="4">
        <v>775</v>
      </c>
      <c r="G4902" s="5">
        <v>0</v>
      </c>
      <c r="H4902" s="5">
        <v>31200</v>
      </c>
      <c r="I4902" s="118">
        <f t="shared" si="303"/>
        <v>0.16521048451151707</v>
      </c>
      <c r="J4902" s="5">
        <v>25366</v>
      </c>
      <c r="K4902" s="22">
        <v>2158</v>
      </c>
      <c r="L4902" s="6">
        <v>2164.5</v>
      </c>
      <c r="M4902" s="125">
        <f t="shared" si="302"/>
        <v>6.5</v>
      </c>
      <c r="P4902" s="247">
        <v>17790</v>
      </c>
      <c r="Q4902" s="25">
        <f>171.15/1182.3</f>
        <v>0.14476021314387214</v>
      </c>
      <c r="U4902" s="384">
        <v>0.1</v>
      </c>
      <c r="W4902" s="285">
        <f t="shared" si="301"/>
        <v>2832.812611012434</v>
      </c>
      <c r="X4902" s="446">
        <f t="shared" si="298"/>
        <v>8.2437442075996294</v>
      </c>
    </row>
    <row r="4903" spans="1:24" ht="15" customHeight="1">
      <c r="A4903" s="3">
        <v>42695</v>
      </c>
      <c r="B4903" s="9">
        <v>85375</v>
      </c>
      <c r="C4903" s="5">
        <v>0</v>
      </c>
      <c r="D4903" s="5">
        <v>103475</v>
      </c>
      <c r="E4903" s="5">
        <v>188850</v>
      </c>
      <c r="F4903" s="4">
        <v>0</v>
      </c>
      <c r="G4903" s="5">
        <v>0</v>
      </c>
      <c r="H4903" s="5">
        <v>31200</v>
      </c>
      <c r="I4903" s="118">
        <f t="shared" si="303"/>
        <v>0.16521048451151707</v>
      </c>
      <c r="J4903" s="5">
        <v>23806</v>
      </c>
      <c r="K4903" s="22">
        <v>2170</v>
      </c>
      <c r="L4903" s="6">
        <v>2183.5</v>
      </c>
      <c r="M4903" s="125">
        <f t="shared" si="302"/>
        <v>13.5</v>
      </c>
      <c r="P4903" s="247">
        <v>18000</v>
      </c>
      <c r="Q4903" s="25">
        <f>171.23/1183.6</f>
        <v>0.14466880702940182</v>
      </c>
      <c r="U4903" s="384">
        <v>0.1</v>
      </c>
      <c r="W4903" s="285">
        <f t="shared" si="301"/>
        <v>2864.4423791821564</v>
      </c>
      <c r="X4903" s="446">
        <f t="shared" si="298"/>
        <v>8.2949308755760374</v>
      </c>
    </row>
    <row r="4904" spans="1:24" ht="15" customHeight="1">
      <c r="A4904" s="3">
        <v>42696</v>
      </c>
      <c r="B4904" s="9">
        <v>84375</v>
      </c>
      <c r="C4904" s="5">
        <v>0</v>
      </c>
      <c r="D4904" s="5">
        <v>103450</v>
      </c>
      <c r="E4904" s="5">
        <v>187825</v>
      </c>
      <c r="F4904" s="4">
        <v>0</v>
      </c>
      <c r="G4904" s="5">
        <v>1025</v>
      </c>
      <c r="H4904" s="5">
        <v>30175</v>
      </c>
      <c r="I4904" s="118">
        <f t="shared" si="303"/>
        <v>0.16065486490083855</v>
      </c>
      <c r="J4904" s="5">
        <v>25841</v>
      </c>
      <c r="K4904" s="22">
        <v>2174</v>
      </c>
      <c r="L4904" s="6">
        <v>2190</v>
      </c>
      <c r="M4904" s="125">
        <f t="shared" si="302"/>
        <v>16</v>
      </c>
      <c r="P4904" s="247">
        <v>18700</v>
      </c>
      <c r="Q4904" s="25">
        <f>170.19/1175.5</f>
        <v>0.14478094427903021</v>
      </c>
      <c r="U4904" s="384">
        <v>0.1</v>
      </c>
      <c r="W4904" s="285">
        <f t="shared" si="301"/>
        <v>2978.1440238196515</v>
      </c>
      <c r="X4904" s="446">
        <f t="shared" si="298"/>
        <v>8.6016559337626504</v>
      </c>
    </row>
    <row r="4905" spans="1:24" ht="15" customHeight="1">
      <c r="A4905" s="3">
        <v>42697</v>
      </c>
      <c r="B4905" s="9">
        <v>84375</v>
      </c>
      <c r="C4905" s="5">
        <v>0</v>
      </c>
      <c r="D4905" s="5">
        <v>103450</v>
      </c>
      <c r="E4905" s="5">
        <v>187825</v>
      </c>
      <c r="F4905" s="4">
        <v>0</v>
      </c>
      <c r="G4905" s="5">
        <v>0</v>
      </c>
      <c r="H4905" s="5">
        <v>30175</v>
      </c>
      <c r="I4905" s="118">
        <f t="shared" si="303"/>
        <v>0.16065486490083855</v>
      </c>
      <c r="J4905" s="5">
        <v>34446</v>
      </c>
      <c r="K4905" s="22">
        <v>2175</v>
      </c>
      <c r="L4905" s="6">
        <v>2194</v>
      </c>
      <c r="M4905" s="125">
        <f t="shared" si="302"/>
        <v>19</v>
      </c>
      <c r="P4905" s="247">
        <v>18800</v>
      </c>
      <c r="Q4905" s="25">
        <f>169.78/1174.9</f>
        <v>0.14450591539705507</v>
      </c>
      <c r="U4905" s="384">
        <v>0.1</v>
      </c>
      <c r="W4905" s="285">
        <f t="shared" si="301"/>
        <v>2988.3823304110992</v>
      </c>
      <c r="X4905" s="446">
        <f t="shared" si="298"/>
        <v>8.6436781609195403</v>
      </c>
    </row>
    <row r="4906" spans="1:24" ht="15" customHeight="1">
      <c r="A4906" s="3">
        <v>42698</v>
      </c>
      <c r="B4906" s="9">
        <v>84375</v>
      </c>
      <c r="C4906" s="5">
        <v>0</v>
      </c>
      <c r="D4906" s="5">
        <v>103450</v>
      </c>
      <c r="E4906" s="5">
        <v>187825</v>
      </c>
      <c r="F4906" s="4">
        <v>0</v>
      </c>
      <c r="G4906" s="5">
        <v>0</v>
      </c>
      <c r="H4906" s="5">
        <v>30175</v>
      </c>
      <c r="I4906" s="118">
        <f t="shared" si="303"/>
        <v>0.16065486490083855</v>
      </c>
      <c r="J4906" s="5">
        <v>22994</v>
      </c>
      <c r="K4906" s="22">
        <v>2237</v>
      </c>
      <c r="L4906" s="6">
        <v>2249</v>
      </c>
      <c r="M4906" s="125">
        <f t="shared" si="302"/>
        <v>12</v>
      </c>
      <c r="P4906" s="247">
        <v>19800</v>
      </c>
      <c r="Q4906" s="25">
        <f>170.11/1182.4</f>
        <v>0.14386840324763195</v>
      </c>
      <c r="U4906" s="384">
        <v>0.1</v>
      </c>
      <c r="W4906" s="285">
        <f t="shared" si="301"/>
        <v>3133.4538227334242</v>
      </c>
      <c r="X4906" s="446">
        <f t="shared" si="298"/>
        <v>8.8511399195350915</v>
      </c>
    </row>
    <row r="4907" spans="1:24" ht="15" customHeight="1">
      <c r="A4907" s="3">
        <v>42699</v>
      </c>
      <c r="B4907" s="9">
        <v>84375</v>
      </c>
      <c r="C4907" s="5">
        <v>0</v>
      </c>
      <c r="D4907" s="5">
        <v>103450</v>
      </c>
      <c r="E4907" s="5">
        <v>187825</v>
      </c>
      <c r="F4907" s="4">
        <v>0</v>
      </c>
      <c r="G4907" s="5">
        <v>0</v>
      </c>
      <c r="H4907" s="5">
        <v>37675</v>
      </c>
      <c r="I4907" s="118">
        <f t="shared" si="303"/>
        <v>0.20058565153733529</v>
      </c>
      <c r="J4907" s="5">
        <v>33028</v>
      </c>
      <c r="K4907" s="22">
        <v>2302</v>
      </c>
      <c r="L4907" s="6">
        <v>2312</v>
      </c>
      <c r="M4907" s="125">
        <f t="shared" si="302"/>
        <v>10</v>
      </c>
      <c r="P4907" s="247">
        <v>20000</v>
      </c>
      <c r="Q4907" s="25">
        <f>169.8/1178.9</f>
        <v>0.14403257273729747</v>
      </c>
      <c r="U4907" s="384">
        <v>0.1</v>
      </c>
      <c r="W4907" s="285">
        <f t="shared" si="301"/>
        <v>3168.7166002205445</v>
      </c>
      <c r="X4907" s="446">
        <f t="shared" si="298"/>
        <v>8.6880973066898353</v>
      </c>
    </row>
    <row r="4908" spans="1:24" ht="15" customHeight="1">
      <c r="A4908" s="3">
        <v>42702</v>
      </c>
      <c r="B4908" s="9">
        <v>84375</v>
      </c>
      <c r="C4908" s="5">
        <v>0</v>
      </c>
      <c r="D4908" s="5">
        <v>103450</v>
      </c>
      <c r="E4908" s="5">
        <v>187825</v>
      </c>
      <c r="F4908" s="4">
        <v>0</v>
      </c>
      <c r="G4908" s="5">
        <v>0</v>
      </c>
      <c r="H4908" s="5">
        <v>45175</v>
      </c>
      <c r="I4908" s="118">
        <f t="shared" si="303"/>
        <v>0.24051643817383203</v>
      </c>
      <c r="J4908" s="5">
        <v>60574</v>
      </c>
      <c r="K4908" s="22">
        <v>2466</v>
      </c>
      <c r="L4908" s="6">
        <v>2472</v>
      </c>
      <c r="M4908" s="125">
        <f t="shared" si="302"/>
        <v>6</v>
      </c>
      <c r="P4908" s="247">
        <v>21200</v>
      </c>
      <c r="Q4908" s="25">
        <f>168.93/1170.3</f>
        <v>0.14434760317867215</v>
      </c>
      <c r="U4908" s="384">
        <v>0.1</v>
      </c>
      <c r="W4908" s="285">
        <f t="shared" si="301"/>
        <v>3366.1861061266345</v>
      </c>
      <c r="X4908" s="446">
        <f t="shared" si="298"/>
        <v>8.5969180859691807</v>
      </c>
    </row>
    <row r="4909" spans="1:24" ht="15" customHeight="1">
      <c r="A4909" s="3">
        <v>42703</v>
      </c>
      <c r="B4909" s="9">
        <v>84375</v>
      </c>
      <c r="C4909" s="5">
        <v>0</v>
      </c>
      <c r="D4909" s="5">
        <v>103450</v>
      </c>
      <c r="E4909" s="5">
        <v>187825</v>
      </c>
      <c r="F4909" s="4">
        <v>0</v>
      </c>
      <c r="G4909" s="5">
        <v>0</v>
      </c>
      <c r="H4909" s="5">
        <v>45175</v>
      </c>
      <c r="I4909" s="118">
        <f t="shared" si="303"/>
        <v>0.24051643817383203</v>
      </c>
      <c r="J4909" s="5">
        <v>65625</v>
      </c>
      <c r="K4909" s="22">
        <v>2459</v>
      </c>
      <c r="L4909" s="6">
        <v>2475</v>
      </c>
      <c r="M4909" s="125">
        <f t="shared" si="302"/>
        <v>16</v>
      </c>
      <c r="P4909" s="247">
        <v>21900</v>
      </c>
      <c r="Q4909" s="25">
        <f>168.98/1168.5</f>
        <v>0.14461275139067178</v>
      </c>
      <c r="U4909" s="384">
        <v>0.1</v>
      </c>
      <c r="W4909" s="285">
        <f t="shared" si="301"/>
        <v>3483.7211810012836</v>
      </c>
      <c r="X4909" s="446">
        <f t="shared" si="298"/>
        <v>8.9060593737291587</v>
      </c>
    </row>
    <row r="4910" spans="1:24" ht="15" customHeight="1">
      <c r="A4910" s="3">
        <v>42704</v>
      </c>
      <c r="B4910" s="9">
        <v>84275</v>
      </c>
      <c r="C4910" s="5">
        <v>0</v>
      </c>
      <c r="D4910" s="5">
        <v>103450</v>
      </c>
      <c r="E4910" s="5">
        <v>187725</v>
      </c>
      <c r="F4910" s="4">
        <v>0</v>
      </c>
      <c r="G4910" s="5">
        <v>100</v>
      </c>
      <c r="H4910" s="5">
        <v>45075</v>
      </c>
      <c r="I4910" s="118">
        <f t="shared" si="303"/>
        <v>0.2401118657610867</v>
      </c>
      <c r="J4910" s="5">
        <v>55513</v>
      </c>
      <c r="K4910" s="22">
        <v>2330</v>
      </c>
      <c r="L4910" s="6">
        <v>2341</v>
      </c>
      <c r="M4910" s="125">
        <f t="shared" si="302"/>
        <v>11</v>
      </c>
      <c r="N4910" s="235">
        <f>AVERAGE(K4889:K4910)</f>
        <v>2178.840909090909</v>
      </c>
      <c r="O4910" s="230">
        <f>AVERAGE(K4663:K4910)</f>
        <v>1840.7403433476395</v>
      </c>
      <c r="P4910" s="247">
        <v>21400</v>
      </c>
      <c r="Q4910" s="25">
        <f>170.05/1176</f>
        <v>0.14460034013605444</v>
      </c>
      <c r="U4910" s="384">
        <v>0.1</v>
      </c>
      <c r="W4910" s="285">
        <f t="shared" si="301"/>
        <v>3403.8920068027214</v>
      </c>
      <c r="X4910" s="446">
        <f t="shared" si="298"/>
        <v>9.1845493562231759</v>
      </c>
    </row>
    <row r="4911" spans="1:24" ht="15" customHeight="1" thickBot="1">
      <c r="A4911" s="216"/>
      <c r="B4911" s="1330"/>
      <c r="C4911" s="1330"/>
      <c r="D4911" s="1330"/>
      <c r="E4911" s="216"/>
      <c r="F4911" s="407"/>
      <c r="G4911" s="164"/>
      <c r="H4911" s="164"/>
      <c r="I4911" s="166"/>
      <c r="J4911" s="166"/>
      <c r="K4911" s="166"/>
      <c r="L4911" s="167"/>
      <c r="M4911" s="168"/>
      <c r="N4911" s="169" t="s">
        <v>52</v>
      </c>
      <c r="O4911" s="183"/>
      <c r="P4911" s="180"/>
      <c r="Q4911" s="154"/>
      <c r="R4911" s="248"/>
      <c r="S4911" s="249"/>
      <c r="T4911" s="249"/>
      <c r="U4911" s="152"/>
      <c r="V4911" s="153">
        <f>AVERAGE(P4889:P4910)</f>
        <v>18106.81818181818</v>
      </c>
      <c r="W4911" s="295"/>
      <c r="X4911" s="447">
        <f>AVERAGE(X4889:X4910)</f>
        <v>8.2950284531457914</v>
      </c>
    </row>
    <row r="4912" spans="1:24" ht="15" customHeight="1">
      <c r="A4912" s="3">
        <v>42705</v>
      </c>
      <c r="B4912" s="9">
        <v>84275</v>
      </c>
      <c r="C4912" s="5">
        <v>0</v>
      </c>
      <c r="D4912" s="5">
        <v>103450</v>
      </c>
      <c r="E4912" s="5">
        <v>187725</v>
      </c>
      <c r="F4912" s="4">
        <v>0</v>
      </c>
      <c r="G4912" s="5">
        <v>0</v>
      </c>
      <c r="H4912" s="5">
        <v>45075</v>
      </c>
      <c r="I4912" s="118">
        <f t="shared" si="303"/>
        <v>0.2401118657610867</v>
      </c>
      <c r="J4912" s="5">
        <v>42475</v>
      </c>
      <c r="K4912" s="22">
        <v>2374</v>
      </c>
      <c r="L4912" s="6">
        <v>2379</v>
      </c>
      <c r="M4912" s="125">
        <f t="shared" si="302"/>
        <v>5</v>
      </c>
      <c r="P4912" s="247">
        <v>20880</v>
      </c>
      <c r="Q4912" s="25">
        <f>170.01/1172.6</f>
        <v>0.14498550230257548</v>
      </c>
      <c r="U4912" s="384">
        <v>0.1</v>
      </c>
      <c r="W4912" s="285">
        <f t="shared" si="301"/>
        <v>3330.0270168855541</v>
      </c>
      <c r="X4912" s="446">
        <f t="shared" si="298"/>
        <v>8.7952822240943558</v>
      </c>
    </row>
    <row r="4913" spans="1:24" ht="15" customHeight="1">
      <c r="A4913" s="3">
        <v>42706</v>
      </c>
      <c r="B4913" s="9">
        <v>83775</v>
      </c>
      <c r="C4913" s="5">
        <v>0</v>
      </c>
      <c r="D4913" s="5">
        <v>103450</v>
      </c>
      <c r="E4913" s="5">
        <v>187225</v>
      </c>
      <c r="F4913" s="4">
        <v>0</v>
      </c>
      <c r="G4913" s="5">
        <v>500</v>
      </c>
      <c r="H4913" s="5">
        <v>44575</v>
      </c>
      <c r="I4913" s="118">
        <f t="shared" ref="I4913:I4928" si="304">H4913/E4913</f>
        <v>0.23808252103084523</v>
      </c>
      <c r="J4913" s="5">
        <v>34322</v>
      </c>
      <c r="K4913" s="22">
        <v>2274</v>
      </c>
      <c r="L4913" s="6">
        <v>2290</v>
      </c>
      <c r="M4913" s="125">
        <f t="shared" ref="M4913:M4919" si="305">L4913-K4913</f>
        <v>16</v>
      </c>
      <c r="P4913" s="247">
        <v>20880</v>
      </c>
      <c r="Q4913" s="25">
        <f>170.01/1172.6</f>
        <v>0.14498550230257548</v>
      </c>
      <c r="U4913" s="384">
        <v>0.1</v>
      </c>
      <c r="W4913" s="285">
        <f t="shared" ref="W4913:W4919" si="306">(P4913*Q4913)*(1+U4913)</f>
        <v>3330.0270168855541</v>
      </c>
      <c r="X4913" s="446">
        <f t="shared" si="298"/>
        <v>9.1820580474934044</v>
      </c>
    </row>
    <row r="4914" spans="1:24" ht="15" customHeight="1">
      <c r="A4914" s="3">
        <v>42709</v>
      </c>
      <c r="B4914" s="9">
        <v>83775</v>
      </c>
      <c r="C4914" s="5">
        <v>0</v>
      </c>
      <c r="D4914" s="5">
        <v>103400</v>
      </c>
      <c r="E4914" s="5">
        <v>187175</v>
      </c>
      <c r="F4914" s="4">
        <v>0</v>
      </c>
      <c r="G4914" s="5">
        <v>50</v>
      </c>
      <c r="H4914" s="5">
        <v>44575</v>
      </c>
      <c r="I4914" s="118">
        <f t="shared" si="304"/>
        <v>0.23814611994123147</v>
      </c>
      <c r="J4914" s="5">
        <v>32504</v>
      </c>
      <c r="K4914" s="22">
        <v>2285</v>
      </c>
      <c r="L4914" s="6">
        <v>2295</v>
      </c>
      <c r="M4914" s="125">
        <f t="shared" si="305"/>
        <v>10</v>
      </c>
      <c r="P4914" s="247">
        <v>20480</v>
      </c>
      <c r="Q4914" s="25">
        <f>170.52/1173.8</f>
        <v>0.14527176691088772</v>
      </c>
      <c r="U4914" s="384">
        <v>0.1</v>
      </c>
      <c r="W4914" s="285">
        <f t="shared" si="306"/>
        <v>3272.6823649684789</v>
      </c>
      <c r="X4914" s="446">
        <f t="shared" si="298"/>
        <v>8.9628008752735226</v>
      </c>
    </row>
    <row r="4915" spans="1:24" ht="15" customHeight="1">
      <c r="A4915" s="3">
        <v>42710</v>
      </c>
      <c r="B4915" s="9">
        <v>83775</v>
      </c>
      <c r="C4915" s="5">
        <v>0</v>
      </c>
      <c r="D4915" s="5">
        <v>103900</v>
      </c>
      <c r="E4915" s="5">
        <v>187675</v>
      </c>
      <c r="F4915" s="4">
        <v>500</v>
      </c>
      <c r="G4915" s="5">
        <v>0</v>
      </c>
      <c r="H4915" s="5">
        <v>44575</v>
      </c>
      <c r="I4915" s="118">
        <f t="shared" si="304"/>
        <v>0.23751165578793126</v>
      </c>
      <c r="J4915" s="5">
        <v>35166</v>
      </c>
      <c r="K4915" s="22">
        <v>2307</v>
      </c>
      <c r="L4915" s="6">
        <v>2312</v>
      </c>
      <c r="M4915" s="125">
        <f t="shared" si="305"/>
        <v>5</v>
      </c>
      <c r="P4915" s="247">
        <v>20480</v>
      </c>
      <c r="Q4915" s="25">
        <f>170.52/1173.8</f>
        <v>0.14527176691088772</v>
      </c>
      <c r="U4915" s="384">
        <v>0.1</v>
      </c>
      <c r="W4915" s="285">
        <f t="shared" si="306"/>
        <v>3272.6823649684789</v>
      </c>
      <c r="X4915" s="446">
        <f t="shared" si="298"/>
        <v>8.8773298656263542</v>
      </c>
    </row>
    <row r="4916" spans="1:24" ht="15" customHeight="1">
      <c r="A4916" s="3">
        <v>42711</v>
      </c>
      <c r="B4916" s="9">
        <v>83375</v>
      </c>
      <c r="C4916" s="5">
        <v>0</v>
      </c>
      <c r="D4916" s="5">
        <v>103900</v>
      </c>
      <c r="E4916" s="5">
        <v>187275</v>
      </c>
      <c r="F4916" s="4">
        <v>0</v>
      </c>
      <c r="G4916" s="5">
        <v>400</v>
      </c>
      <c r="H4916" s="5">
        <v>44175</v>
      </c>
      <c r="I4916" s="118">
        <f t="shared" si="304"/>
        <v>0.23588305967160592</v>
      </c>
      <c r="J4916" s="5">
        <v>30057</v>
      </c>
      <c r="K4916" s="22">
        <v>2369</v>
      </c>
      <c r="L4916" s="6">
        <v>2384</v>
      </c>
      <c r="M4916" s="125">
        <f t="shared" si="305"/>
        <v>15</v>
      </c>
      <c r="P4916" s="247">
        <v>20680</v>
      </c>
      <c r="Q4916" s="25">
        <f>169.56/1169.4</f>
        <v>0.14499743458183684</v>
      </c>
      <c r="U4916" s="384">
        <v>0.1</v>
      </c>
      <c r="W4916" s="285">
        <f t="shared" si="306"/>
        <v>3298.4016418676247</v>
      </c>
      <c r="X4916" s="446">
        <f t="shared" si="298"/>
        <v>8.7294216969185303</v>
      </c>
    </row>
    <row r="4917" spans="1:24" ht="15" customHeight="1">
      <c r="A4917" s="3">
        <v>42712</v>
      </c>
      <c r="B4917" s="9">
        <v>83375</v>
      </c>
      <c r="C4917" s="5">
        <v>0</v>
      </c>
      <c r="D4917" s="5">
        <v>103900</v>
      </c>
      <c r="E4917" s="5">
        <v>187275</v>
      </c>
      <c r="F4917" s="4">
        <v>0</v>
      </c>
      <c r="G4917" s="5">
        <v>0</v>
      </c>
      <c r="H4917" s="5">
        <v>44225</v>
      </c>
      <c r="I4917" s="118">
        <f t="shared" si="304"/>
        <v>0.23615004672273396</v>
      </c>
      <c r="J4917" s="5">
        <v>38828</v>
      </c>
      <c r="K4917" s="22">
        <v>2331</v>
      </c>
      <c r="L4917" s="6">
        <v>2340</v>
      </c>
      <c r="M4917" s="125">
        <f t="shared" si="305"/>
        <v>9</v>
      </c>
      <c r="P4917" s="247">
        <v>20680</v>
      </c>
      <c r="Q4917" s="25">
        <f>168.09/1159.1</f>
        <v>0.14501768613579502</v>
      </c>
      <c r="U4917" s="384">
        <v>0.1</v>
      </c>
      <c r="W4917" s="285">
        <f t="shared" si="306"/>
        <v>3298.8623242170656</v>
      </c>
      <c r="X4917" s="446">
        <f t="shared" si="298"/>
        <v>8.8717288717288714</v>
      </c>
    </row>
    <row r="4918" spans="1:24" ht="15" customHeight="1">
      <c r="A4918" s="3">
        <v>42713</v>
      </c>
      <c r="B4918" s="9">
        <v>83375</v>
      </c>
      <c r="C4918" s="5">
        <v>0</v>
      </c>
      <c r="D4918" s="5">
        <v>103900</v>
      </c>
      <c r="E4918" s="5">
        <v>187275</v>
      </c>
      <c r="F4918" s="4">
        <v>0</v>
      </c>
      <c r="G4918" s="5">
        <v>0</v>
      </c>
      <c r="H4918" s="5">
        <v>47375</v>
      </c>
      <c r="I4918" s="118">
        <f t="shared" si="304"/>
        <v>0.25297023094379922</v>
      </c>
      <c r="J4918" s="5">
        <v>33187</v>
      </c>
      <c r="K4918" s="22">
        <v>2310</v>
      </c>
      <c r="L4918" s="6">
        <v>2316</v>
      </c>
      <c r="M4918" s="125">
        <f t="shared" si="305"/>
        <v>6</v>
      </c>
      <c r="P4918" s="247">
        <v>20780</v>
      </c>
      <c r="Q4918" s="25">
        <f>168.62/1166.2</f>
        <v>0.14458926427713942</v>
      </c>
      <c r="U4918" s="384">
        <v>0.1</v>
      </c>
      <c r="W4918" s="285">
        <f t="shared" si="306"/>
        <v>3305.0214028468531</v>
      </c>
      <c r="X4918" s="446">
        <f t="shared" si="298"/>
        <v>8.995670995670995</v>
      </c>
    </row>
    <row r="4919" spans="1:24" ht="15" customHeight="1">
      <c r="A4919" s="3">
        <v>42716</v>
      </c>
      <c r="B4919" s="9">
        <v>83375</v>
      </c>
      <c r="C4919" s="5">
        <v>0</v>
      </c>
      <c r="D4919" s="5">
        <v>103900</v>
      </c>
      <c r="E4919" s="5">
        <v>187275</v>
      </c>
      <c r="F4919" s="4">
        <v>0</v>
      </c>
      <c r="G4919" s="5">
        <v>0</v>
      </c>
      <c r="H4919" s="5">
        <v>47375</v>
      </c>
      <c r="I4919" s="118">
        <f t="shared" si="304"/>
        <v>0.25297023094379922</v>
      </c>
      <c r="J4919" s="5">
        <v>31078</v>
      </c>
      <c r="K4919" s="22">
        <v>2310</v>
      </c>
      <c r="L4919" s="6">
        <v>2318</v>
      </c>
      <c r="M4919" s="125">
        <f t="shared" si="305"/>
        <v>8</v>
      </c>
      <c r="P4919" s="247">
        <v>20680</v>
      </c>
      <c r="Q4919" s="25">
        <f>168.84/1170.2</f>
        <v>0.14428302854212954</v>
      </c>
      <c r="U4919" s="384">
        <v>0.1</v>
      </c>
      <c r="W4919" s="285">
        <f t="shared" si="306"/>
        <v>3282.1503332763632</v>
      </c>
      <c r="X4919" s="446">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18">
        <f t="shared" si="304"/>
        <v>0.2551061273528234</v>
      </c>
      <c r="J4920" s="5">
        <v>32670</v>
      </c>
      <c r="K4920" s="22">
        <v>2377</v>
      </c>
      <c r="L4920" s="6">
        <v>2389</v>
      </c>
      <c r="M4920" s="125">
        <f t="shared" ref="M4920:M4928" si="308">L4920-K4920</f>
        <v>12</v>
      </c>
      <c r="P4920" s="247">
        <v>20830</v>
      </c>
      <c r="Q4920" s="25">
        <f>168.23/1165.5</f>
        <v>0.14434148434148433</v>
      </c>
      <c r="U4920" s="384">
        <v>0.1</v>
      </c>
      <c r="W4920" s="285">
        <f t="shared" ref="W4920:W4941" si="309">(P4920*Q4920)*(1+U4920)</f>
        <v>3307.2964307164307</v>
      </c>
      <c r="X4920" s="446">
        <f t="shared" si="307"/>
        <v>8.7631468237273875</v>
      </c>
    </row>
    <row r="4921" spans="1:24" ht="15" customHeight="1">
      <c r="A4921" s="3">
        <v>42718</v>
      </c>
      <c r="B4921" s="9">
        <v>83375</v>
      </c>
      <c r="C4921" s="5">
        <v>0</v>
      </c>
      <c r="D4921" s="5">
        <v>103850</v>
      </c>
      <c r="E4921" s="5">
        <v>187225</v>
      </c>
      <c r="F4921" s="4">
        <v>0</v>
      </c>
      <c r="G4921" s="5">
        <v>50</v>
      </c>
      <c r="H4921" s="5">
        <v>47775</v>
      </c>
      <c r="I4921" s="118">
        <f t="shared" si="304"/>
        <v>0.25517425557484308</v>
      </c>
      <c r="J4921" s="5">
        <v>32341</v>
      </c>
      <c r="K4921" s="22">
        <v>2342</v>
      </c>
      <c r="L4921" s="6">
        <v>2352</v>
      </c>
      <c r="M4921" s="125">
        <f t="shared" si="308"/>
        <v>10</v>
      </c>
      <c r="P4921" s="247">
        <v>20630</v>
      </c>
      <c r="Q4921" s="25">
        <f>168.57/1168.3</f>
        <v>0.14428657023024907</v>
      </c>
      <c r="U4921" s="384">
        <v>0.1</v>
      </c>
      <c r="W4921" s="285">
        <f t="shared" si="309"/>
        <v>3274.295138235042</v>
      </c>
      <c r="X4921" s="446">
        <f t="shared" si="307"/>
        <v>8.8087105038428692</v>
      </c>
    </row>
    <row r="4922" spans="1:24" ht="15" customHeight="1">
      <c r="A4922" s="3">
        <v>42719</v>
      </c>
      <c r="B4922" s="9">
        <v>83275</v>
      </c>
      <c r="C4922" s="5">
        <v>0</v>
      </c>
      <c r="D4922" s="5">
        <v>103850</v>
      </c>
      <c r="E4922" s="5">
        <v>187125</v>
      </c>
      <c r="F4922" s="4">
        <v>0</v>
      </c>
      <c r="G4922" s="5">
        <v>100</v>
      </c>
      <c r="H4922" s="5">
        <v>47725</v>
      </c>
      <c r="I4922" s="118">
        <f t="shared" si="304"/>
        <v>0.2550434201736807</v>
      </c>
      <c r="J4922" s="5">
        <v>37131</v>
      </c>
      <c r="K4922" s="22">
        <v>2314</v>
      </c>
      <c r="L4922" s="6">
        <v>2321</v>
      </c>
      <c r="M4922" s="125">
        <f t="shared" si="308"/>
        <v>7</v>
      </c>
      <c r="P4922" s="247">
        <v>20750</v>
      </c>
      <c r="Q4922" s="25">
        <f>170.15/1180.1</f>
        <v>0.14418269638166259</v>
      </c>
      <c r="U4922" s="384">
        <v>0.1</v>
      </c>
      <c r="W4922" s="285">
        <f t="shared" si="309"/>
        <v>3290.9700449114489</v>
      </c>
      <c r="X4922" s="446">
        <f t="shared" si="307"/>
        <v>8.9671564390665512</v>
      </c>
    </row>
    <row r="4923" spans="1:24" ht="15" customHeight="1">
      <c r="A4923" s="3">
        <v>42720</v>
      </c>
      <c r="B4923" s="9">
        <v>83275</v>
      </c>
      <c r="C4923" s="5">
        <v>0</v>
      </c>
      <c r="D4923" s="5">
        <v>103800</v>
      </c>
      <c r="E4923" s="5">
        <v>187075</v>
      </c>
      <c r="F4923" s="4">
        <v>0</v>
      </c>
      <c r="G4923" s="5">
        <v>50</v>
      </c>
      <c r="H4923" s="5">
        <v>47675</v>
      </c>
      <c r="I4923" s="118">
        <f t="shared" si="304"/>
        <v>0.25484431377789657</v>
      </c>
      <c r="J4923" s="5">
        <v>41083</v>
      </c>
      <c r="K4923" s="22">
        <v>2263</v>
      </c>
      <c r="L4923" s="6">
        <v>2277</v>
      </c>
      <c r="M4923" s="125">
        <f t="shared" si="308"/>
        <v>14</v>
      </c>
      <c r="P4923" s="247">
        <v>20410</v>
      </c>
      <c r="Q4923" s="25">
        <f>170.59/1183.4</f>
        <v>0.14415244211593711</v>
      </c>
      <c r="U4923" s="384">
        <v>0.1</v>
      </c>
      <c r="W4923" s="285">
        <f t="shared" si="309"/>
        <v>3236.3664779449045</v>
      </c>
      <c r="X4923" s="446">
        <f t="shared" si="307"/>
        <v>9.0190013256738837</v>
      </c>
    </row>
    <row r="4924" spans="1:24" ht="15" customHeight="1">
      <c r="A4924" s="3">
        <v>42723</v>
      </c>
      <c r="B4924" s="9">
        <v>82725</v>
      </c>
      <c r="C4924" s="5">
        <v>0</v>
      </c>
      <c r="D4924" s="5">
        <v>103800</v>
      </c>
      <c r="E4924" s="5">
        <v>187075</v>
      </c>
      <c r="F4924" s="4">
        <v>0</v>
      </c>
      <c r="G4924" s="5">
        <v>550</v>
      </c>
      <c r="H4924" s="5">
        <v>47125</v>
      </c>
      <c r="I4924" s="118">
        <f t="shared" si="304"/>
        <v>0.25190431645062139</v>
      </c>
      <c r="J4924" s="5">
        <v>27299</v>
      </c>
      <c r="K4924" s="22">
        <v>2185</v>
      </c>
      <c r="L4924" s="6">
        <v>2202</v>
      </c>
      <c r="M4924" s="125">
        <f t="shared" si="308"/>
        <v>17</v>
      </c>
      <c r="P4924" s="247">
        <v>19410</v>
      </c>
      <c r="Q4924" s="25">
        <f>170.82/1186.4</f>
        <v>0.14398179366149694</v>
      </c>
      <c r="U4924" s="384">
        <v>0.1</v>
      </c>
      <c r="W4924" s="285">
        <f t="shared" si="309"/>
        <v>3074.1552764666217</v>
      </c>
      <c r="X4924" s="446">
        <f t="shared" si="307"/>
        <v>8.8832951945080083</v>
      </c>
    </row>
    <row r="4925" spans="1:24" ht="15" customHeight="1">
      <c r="A4925" s="3">
        <v>42724</v>
      </c>
      <c r="B4925" s="9">
        <v>80125</v>
      </c>
      <c r="C4925" s="5">
        <v>0</v>
      </c>
      <c r="D4925" s="5">
        <v>104100</v>
      </c>
      <c r="E4925" s="5">
        <v>184225</v>
      </c>
      <c r="F4925" s="4">
        <v>300</v>
      </c>
      <c r="G4925" s="5">
        <v>2600</v>
      </c>
      <c r="H4925" s="5">
        <v>44525</v>
      </c>
      <c r="I4925" s="118">
        <f t="shared" si="304"/>
        <v>0.24168815307368707</v>
      </c>
      <c r="J4925" s="5">
        <v>37583</v>
      </c>
      <c r="K4925" s="22">
        <v>2183</v>
      </c>
      <c r="L4925" s="6">
        <v>2199</v>
      </c>
      <c r="M4925" s="125">
        <f t="shared" si="308"/>
        <v>16</v>
      </c>
      <c r="P4925" s="247">
        <v>18610</v>
      </c>
      <c r="Q4925" s="25">
        <f>171.54/1191.2</f>
        <v>0.14400604432505035</v>
      </c>
      <c r="U4925" s="384">
        <v>0.1</v>
      </c>
      <c r="W4925" s="285">
        <f t="shared" si="309"/>
        <v>2947.947733378106</v>
      </c>
      <c r="X4925" s="446">
        <f t="shared" si="307"/>
        <v>8.5249656436097112</v>
      </c>
    </row>
    <row r="4926" spans="1:24" ht="15" customHeight="1">
      <c r="A4926" s="3">
        <v>42725</v>
      </c>
      <c r="B4926" s="9">
        <v>80125</v>
      </c>
      <c r="C4926" s="5">
        <v>0</v>
      </c>
      <c r="D4926" s="5">
        <v>104125</v>
      </c>
      <c r="E4926" s="5">
        <v>184250</v>
      </c>
      <c r="F4926" s="4">
        <v>100</v>
      </c>
      <c r="G4926" s="5">
        <v>75</v>
      </c>
      <c r="H4926" s="5">
        <v>44450</v>
      </c>
      <c r="I4926" s="118">
        <f t="shared" si="304"/>
        <v>0.24124830393487109</v>
      </c>
      <c r="J4926" s="5">
        <v>39768</v>
      </c>
      <c r="K4926" s="22">
        <v>2168</v>
      </c>
      <c r="L4926" s="6">
        <v>2190</v>
      </c>
      <c r="M4926" s="125">
        <f t="shared" si="308"/>
        <v>22</v>
      </c>
      <c r="P4926" s="247">
        <v>18610</v>
      </c>
      <c r="Q4926" s="25">
        <f>171.54/1191.2</f>
        <v>0.14400604432505035</v>
      </c>
      <c r="U4926" s="384">
        <v>0.1</v>
      </c>
      <c r="W4926" s="285">
        <f t="shared" si="309"/>
        <v>2947.947733378106</v>
      </c>
      <c r="X4926" s="446">
        <f t="shared" si="307"/>
        <v>8.5839483394833955</v>
      </c>
    </row>
    <row r="4927" spans="1:24" ht="15" customHeight="1">
      <c r="A4927" s="3">
        <v>42726</v>
      </c>
      <c r="B4927" s="9">
        <v>80125</v>
      </c>
      <c r="C4927" s="5">
        <v>0</v>
      </c>
      <c r="D4927" s="5">
        <v>115825</v>
      </c>
      <c r="E4927" s="5">
        <v>195950</v>
      </c>
      <c r="F4927" s="4">
        <v>11700</v>
      </c>
      <c r="G4927" s="5">
        <v>0</v>
      </c>
      <c r="H4927" s="5">
        <v>44450</v>
      </c>
      <c r="I4927" s="118">
        <f t="shared" si="304"/>
        <v>0.226843582546568</v>
      </c>
      <c r="J4927" s="5">
        <v>33492</v>
      </c>
      <c r="K4927" s="22">
        <v>2092</v>
      </c>
      <c r="L4927" s="6">
        <v>2115</v>
      </c>
      <c r="M4927" s="125">
        <f t="shared" si="308"/>
        <v>23</v>
      </c>
      <c r="P4927" s="247">
        <v>18610</v>
      </c>
      <c r="Q4927" s="25">
        <f>173.21/1204</f>
        <v>0.14386212624584718</v>
      </c>
      <c r="U4927" s="384">
        <v>0.1</v>
      </c>
      <c r="W4927" s="285">
        <f t="shared" si="309"/>
        <v>2945.001586378738</v>
      </c>
      <c r="X4927" s="446">
        <f t="shared" si="307"/>
        <v>8.8957934990439771</v>
      </c>
    </row>
    <row r="4928" spans="1:24" ht="15" customHeight="1">
      <c r="A4928" s="3">
        <v>42727</v>
      </c>
      <c r="B4928" s="9">
        <v>80025</v>
      </c>
      <c r="C4928" s="5">
        <v>0</v>
      </c>
      <c r="D4928" s="5">
        <v>115975</v>
      </c>
      <c r="E4928" s="5">
        <v>196000</v>
      </c>
      <c r="F4928" s="4">
        <v>300</v>
      </c>
      <c r="G4928" s="5">
        <v>250</v>
      </c>
      <c r="H4928" s="5">
        <v>44200</v>
      </c>
      <c r="I4928" s="118">
        <f t="shared" si="304"/>
        <v>0.22551020408163266</v>
      </c>
      <c r="J4928" s="5">
        <v>47280</v>
      </c>
      <c r="K4928" s="22">
        <v>2087</v>
      </c>
      <c r="L4928" s="6">
        <v>2110</v>
      </c>
      <c r="M4928" s="125">
        <f t="shared" si="308"/>
        <v>23</v>
      </c>
      <c r="P4928" s="247">
        <v>18410</v>
      </c>
      <c r="Q4928" s="25">
        <f>173.14/1202.9</f>
        <v>0.14393548923435029</v>
      </c>
      <c r="U4928" s="384">
        <v>0.1</v>
      </c>
      <c r="W4928" s="285">
        <f t="shared" si="309"/>
        <v>2914.8375924848278</v>
      </c>
      <c r="X4928" s="446">
        <f t="shared" si="307"/>
        <v>8.8212745567800663</v>
      </c>
    </row>
    <row r="4929" spans="1:24" ht="15" customHeight="1">
      <c r="A4929" s="3">
        <v>42730</v>
      </c>
      <c r="B4929" s="1318"/>
      <c r="C4929" s="1318"/>
      <c r="D4929" s="1318"/>
      <c r="E4929" s="1318"/>
      <c r="F4929" s="1318"/>
      <c r="G4929" s="1318"/>
      <c r="H4929" s="1318"/>
      <c r="I4929" s="1318"/>
      <c r="J4929" s="1318"/>
      <c r="K4929" s="1318"/>
      <c r="L4929" s="1318"/>
      <c r="M4929" s="1318"/>
      <c r="P4929" s="247">
        <v>17610</v>
      </c>
      <c r="Q4929" s="25">
        <f>172.49/1199.4</f>
        <v>0.14381357345339335</v>
      </c>
      <c r="U4929" s="384">
        <v>0.1</v>
      </c>
      <c r="W4929" s="285">
        <f t="shared" si="309"/>
        <v>2785.8127313656832</v>
      </c>
      <c r="X4929" s="446"/>
    </row>
    <row r="4930" spans="1:24" ht="15" customHeight="1">
      <c r="A4930" s="3">
        <v>42731</v>
      </c>
      <c r="B4930" s="1318"/>
      <c r="C4930" s="1318"/>
      <c r="D4930" s="1318"/>
      <c r="E4930" s="1318"/>
      <c r="F4930" s="1318"/>
      <c r="G4930" s="1318"/>
      <c r="H4930" s="1318"/>
      <c r="I4930" s="1318"/>
      <c r="J4930" s="1318"/>
      <c r="K4930" s="1318"/>
      <c r="L4930" s="1318"/>
      <c r="M4930" s="1318"/>
      <c r="P4930" s="247">
        <v>17610</v>
      </c>
      <c r="Q4930" s="25">
        <f>173.27/1205.3</f>
        <v>0.14375674106031694</v>
      </c>
      <c r="U4930" s="384">
        <v>0.1</v>
      </c>
      <c r="W4930" s="285">
        <f t="shared" si="309"/>
        <v>2784.7118310793999</v>
      </c>
      <c r="X4930" s="446"/>
    </row>
    <row r="4931" spans="1:24" ht="15" customHeight="1">
      <c r="A4931" s="3">
        <v>42732</v>
      </c>
      <c r="B4931" s="9">
        <v>80025</v>
      </c>
      <c r="C4931" s="5">
        <v>0</v>
      </c>
      <c r="D4931" s="5">
        <v>115775</v>
      </c>
      <c r="E4931" s="5">
        <v>195800</v>
      </c>
      <c r="F4931" s="4">
        <v>0</v>
      </c>
      <c r="G4931" s="5">
        <v>200</v>
      </c>
      <c r="H4931" s="5">
        <v>44150</v>
      </c>
      <c r="I4931" s="118">
        <f t="shared" ref="I4931:I4979" si="310">H4931/E4931</f>
        <v>0.22548518896833503</v>
      </c>
      <c r="J4931" s="5">
        <v>35199</v>
      </c>
      <c r="K4931" s="22">
        <v>2070</v>
      </c>
      <c r="L4931" s="6">
        <v>2075</v>
      </c>
      <c r="M4931" s="125">
        <f>L4931-K4931</f>
        <v>5</v>
      </c>
      <c r="P4931" s="247">
        <v>17910</v>
      </c>
      <c r="Q4931" s="25">
        <f>173.27/1205.3</f>
        <v>0.14375674106031694</v>
      </c>
      <c r="U4931" s="384">
        <v>0.1</v>
      </c>
      <c r="W4931" s="285">
        <f t="shared" si="309"/>
        <v>2832.1515556293043</v>
      </c>
      <c r="X4931" s="446">
        <f t="shared" si="307"/>
        <v>8.6521739130434785</v>
      </c>
    </row>
    <row r="4932" spans="1:24" ht="15" customHeight="1">
      <c r="A4932" s="3">
        <v>42733</v>
      </c>
      <c r="B4932" s="9">
        <v>80025</v>
      </c>
      <c r="C4932" s="5">
        <v>0</v>
      </c>
      <c r="D4932" s="5">
        <v>115725</v>
      </c>
      <c r="E4932" s="5">
        <v>195750</v>
      </c>
      <c r="F4932" s="4">
        <v>0</v>
      </c>
      <c r="G4932" s="5">
        <v>50</v>
      </c>
      <c r="H4932" s="5">
        <v>44200</v>
      </c>
      <c r="I4932" s="118">
        <f t="shared" si="310"/>
        <v>0.22579821200510855</v>
      </c>
      <c r="J4932" s="5">
        <v>36071</v>
      </c>
      <c r="K4932" s="22">
        <v>1990.5</v>
      </c>
      <c r="L4932" s="6">
        <v>2011</v>
      </c>
      <c r="M4932" s="125">
        <f>L4932-K4932</f>
        <v>20.5</v>
      </c>
      <c r="P4932" s="247">
        <v>17810</v>
      </c>
      <c r="Q4932" s="25">
        <f>173.63/1207.6</f>
        <v>0.14378105332891686</v>
      </c>
      <c r="U4932" s="384">
        <v>0.1</v>
      </c>
      <c r="W4932" s="285">
        <f t="shared" si="309"/>
        <v>2816.8146157668102</v>
      </c>
      <c r="X4932" s="446">
        <f t="shared" si="307"/>
        <v>8.9475006279829188</v>
      </c>
    </row>
    <row r="4933" spans="1:24" ht="15" customHeight="1">
      <c r="A4933" s="3">
        <v>42734</v>
      </c>
      <c r="B4933" s="9">
        <v>79275</v>
      </c>
      <c r="C4933" s="5">
        <v>0</v>
      </c>
      <c r="D4933" s="5">
        <v>115675</v>
      </c>
      <c r="E4933" s="5">
        <v>194950</v>
      </c>
      <c r="F4933" s="4">
        <v>50</v>
      </c>
      <c r="G4933" s="5">
        <v>850</v>
      </c>
      <c r="H4933" s="5">
        <v>43350</v>
      </c>
      <c r="I4933" s="118">
        <f t="shared" si="310"/>
        <v>0.22236470889971788</v>
      </c>
      <c r="J4933" s="5">
        <v>37205</v>
      </c>
      <c r="K4933" s="22">
        <v>1985</v>
      </c>
      <c r="L4933" s="6">
        <v>1996</v>
      </c>
      <c r="M4933" s="125">
        <f>L4933-K4933</f>
        <v>11</v>
      </c>
      <c r="N4933" s="235">
        <f>AVERAGE(K4912:K4933)</f>
        <v>2230.8249999999998</v>
      </c>
      <c r="O4933" s="230">
        <f>AVERAGE(K4663:K4933)</f>
        <v>1871.5770750988142</v>
      </c>
      <c r="P4933" s="247">
        <v>17760</v>
      </c>
      <c r="Q4933" s="25">
        <f>173.26/1208.5</f>
        <v>0.14336781133636739</v>
      </c>
      <c r="U4933" s="384">
        <v>0.1</v>
      </c>
      <c r="W4933" s="285">
        <f t="shared" si="309"/>
        <v>2800.8335622672739</v>
      </c>
      <c r="X4933" s="446">
        <f t="shared" si="307"/>
        <v>8.9471032745591934</v>
      </c>
    </row>
    <row r="4934" spans="1:24" ht="15" customHeight="1" thickBot="1">
      <c r="A4934" s="216"/>
      <c r="B4934" s="1330"/>
      <c r="C4934" s="1330"/>
      <c r="D4934" s="1330"/>
      <c r="E4934" s="216"/>
      <c r="F4934" s="407"/>
      <c r="G4934" s="164"/>
      <c r="H4934" s="164"/>
      <c r="I4934" s="166"/>
      <c r="J4934" s="166"/>
      <c r="K4934" s="166"/>
      <c r="L4934" s="167"/>
      <c r="M4934" s="168"/>
      <c r="N4934" s="169" t="s">
        <v>52</v>
      </c>
      <c r="O4934" s="183"/>
      <c r="P4934" s="180"/>
      <c r="Q4934" s="154"/>
      <c r="R4934" s="248"/>
      <c r="S4934" s="249"/>
      <c r="T4934" s="249"/>
      <c r="U4934" s="152"/>
      <c r="V4934" s="153">
        <f>AVERAGE(P4912:P4933)</f>
        <v>19568.636363636364</v>
      </c>
      <c r="W4934" s="295"/>
      <c r="X4934" s="447">
        <f>AVERAGE(X4912:X4933)</f>
        <v>8.8590371835254196</v>
      </c>
    </row>
    <row r="4935" spans="1:24" ht="15" customHeight="1">
      <c r="A4935" s="3">
        <v>42738</v>
      </c>
      <c r="B4935" s="9">
        <v>79275</v>
      </c>
      <c r="C4935" s="5">
        <v>0</v>
      </c>
      <c r="D4935" s="5">
        <v>115625</v>
      </c>
      <c r="E4935" s="5">
        <v>194900</v>
      </c>
      <c r="F4935" s="4">
        <v>0</v>
      </c>
      <c r="G4935" s="5">
        <v>50</v>
      </c>
      <c r="H4935" s="5">
        <v>43350</v>
      </c>
      <c r="I4935" s="118">
        <f t="shared" si="310"/>
        <v>0.2224217547460236</v>
      </c>
      <c r="J4935" s="5">
        <v>39551</v>
      </c>
      <c r="K4935" s="22">
        <v>2007</v>
      </c>
      <c r="L4935" s="6">
        <v>2022</v>
      </c>
      <c r="M4935" s="125">
        <f t="shared" ref="M4935:M4979" si="311">L4935-K4935</f>
        <v>15</v>
      </c>
      <c r="P4935" s="247">
        <v>17760</v>
      </c>
      <c r="Q4935" s="25">
        <f>173.18/1206.2</f>
        <v>0.14357486320676505</v>
      </c>
      <c r="W4935" s="285">
        <f t="shared" si="309"/>
        <v>2549.8895705521472</v>
      </c>
      <c r="X4935" s="446">
        <f t="shared" si="307"/>
        <v>8.8490284005979074</v>
      </c>
    </row>
    <row r="4936" spans="1:24" ht="15" customHeight="1">
      <c r="A4936" s="3">
        <v>42739</v>
      </c>
      <c r="B4936" s="9">
        <v>78150</v>
      </c>
      <c r="C4936" s="5">
        <v>0</v>
      </c>
      <c r="D4936" s="5">
        <v>115750</v>
      </c>
      <c r="E4936" s="5">
        <v>193900</v>
      </c>
      <c r="F4936" s="4">
        <v>125</v>
      </c>
      <c r="G4936" s="5">
        <v>1125</v>
      </c>
      <c r="H4936" s="5">
        <v>42225</v>
      </c>
      <c r="I4936" s="118">
        <f t="shared" si="310"/>
        <v>0.21776689014956163</v>
      </c>
      <c r="J4936" s="5">
        <v>37937</v>
      </c>
      <c r="K4936" s="22">
        <v>2026.5</v>
      </c>
      <c r="L4936" s="6">
        <v>2050</v>
      </c>
      <c r="M4936" s="125">
        <f t="shared" si="311"/>
        <v>23.5</v>
      </c>
      <c r="P4936" s="247">
        <v>17660</v>
      </c>
      <c r="Q4936" s="25">
        <f>173.18/1206.2</f>
        <v>0.14357486320676505</v>
      </c>
      <c r="W4936" s="285">
        <f t="shared" si="309"/>
        <v>2535.5320842314709</v>
      </c>
      <c r="X4936" s="446">
        <f t="shared" si="307"/>
        <v>8.7145324451023924</v>
      </c>
    </row>
    <row r="4937" spans="1:24" ht="15" customHeight="1">
      <c r="A4937" s="3">
        <v>42740</v>
      </c>
      <c r="B4937" s="9">
        <v>78125</v>
      </c>
      <c r="C4937" s="5">
        <v>0</v>
      </c>
      <c r="D4937" s="5">
        <v>115750</v>
      </c>
      <c r="E4937" s="5">
        <v>193875</v>
      </c>
      <c r="F4937" s="4">
        <v>0</v>
      </c>
      <c r="G4937" s="5">
        <v>25</v>
      </c>
      <c r="H4937" s="5">
        <v>42250</v>
      </c>
      <c r="I4937" s="118">
        <f t="shared" si="310"/>
        <v>0.21792392005157962</v>
      </c>
      <c r="J4937" s="5">
        <v>37464</v>
      </c>
      <c r="K4937" s="22">
        <v>2056</v>
      </c>
      <c r="L4937" s="6">
        <v>2077</v>
      </c>
      <c r="M4937" s="125">
        <f t="shared" si="311"/>
        <v>21</v>
      </c>
      <c r="P4937" s="247">
        <v>17860</v>
      </c>
      <c r="Q4937" s="25">
        <f>173.48/1191.6</f>
        <v>0.14558576703591811</v>
      </c>
      <c r="W4937" s="285">
        <f t="shared" si="309"/>
        <v>2600.1617992614974</v>
      </c>
      <c r="X4937" s="446">
        <f t="shared" si="307"/>
        <v>8.6867704280155635</v>
      </c>
    </row>
    <row r="4938" spans="1:24" ht="15" customHeight="1">
      <c r="A4938" s="3">
        <v>42741</v>
      </c>
      <c r="B4938" s="9">
        <v>77975</v>
      </c>
      <c r="C4938" s="5">
        <v>0</v>
      </c>
      <c r="D4938" s="5">
        <v>115725</v>
      </c>
      <c r="E4938" s="5">
        <v>193700</v>
      </c>
      <c r="F4938" s="4">
        <v>0</v>
      </c>
      <c r="G4938" s="5">
        <v>175</v>
      </c>
      <c r="H4938" s="5">
        <v>42075</v>
      </c>
      <c r="I4938" s="118">
        <f t="shared" si="310"/>
        <v>0.21721734641197729</v>
      </c>
      <c r="J4938" s="5">
        <v>37228</v>
      </c>
      <c r="K4938" s="22">
        <v>2041</v>
      </c>
      <c r="L4938" s="6">
        <v>2060</v>
      </c>
      <c r="M4938" s="125">
        <f t="shared" si="311"/>
        <v>19</v>
      </c>
      <c r="P4938" s="247">
        <v>17860</v>
      </c>
      <c r="Q4938" s="25">
        <f>173.48/1191.6</f>
        <v>0.14558576703591811</v>
      </c>
      <c r="W4938" s="285">
        <f t="shared" si="309"/>
        <v>2600.1617992614974</v>
      </c>
      <c r="X4938" s="446">
        <f t="shared" si="307"/>
        <v>8.7506124448799607</v>
      </c>
    </row>
    <row r="4939" spans="1:24" ht="15" customHeight="1">
      <c r="A4939" s="3">
        <v>42744</v>
      </c>
      <c r="B4939" s="9">
        <v>77575</v>
      </c>
      <c r="C4939" s="5">
        <v>0</v>
      </c>
      <c r="D4939" s="5">
        <v>115725</v>
      </c>
      <c r="E4939" s="5">
        <v>193300</v>
      </c>
      <c r="F4939" s="4">
        <v>0</v>
      </c>
      <c r="G4939" s="5">
        <v>400</v>
      </c>
      <c r="H4939" s="5">
        <v>42525</v>
      </c>
      <c r="I4939" s="118">
        <f t="shared" si="310"/>
        <v>0.21999482669425763</v>
      </c>
      <c r="J4939" s="5">
        <v>20280</v>
      </c>
      <c r="K4939" s="22">
        <v>2060</v>
      </c>
      <c r="L4939" s="6">
        <v>2080</v>
      </c>
      <c r="M4939" s="125">
        <f t="shared" si="311"/>
        <v>20</v>
      </c>
      <c r="P4939" s="247">
        <v>17970</v>
      </c>
      <c r="Q4939" s="25">
        <f>175.31/1205.5</f>
        <v>0.14542513479883865</v>
      </c>
      <c r="W4939" s="285">
        <f t="shared" si="309"/>
        <v>2613.2896723351305</v>
      </c>
      <c r="X4939" s="446">
        <f t="shared" si="307"/>
        <v>8.7233009708737868</v>
      </c>
    </row>
    <row r="4940" spans="1:24" ht="15" customHeight="1">
      <c r="A4940" s="3">
        <v>42745</v>
      </c>
      <c r="B4940" s="9">
        <v>77575</v>
      </c>
      <c r="C4940" s="5">
        <v>0</v>
      </c>
      <c r="D4940" s="5">
        <v>115725</v>
      </c>
      <c r="E4940" s="5">
        <v>193300</v>
      </c>
      <c r="F4940" s="4">
        <v>0</v>
      </c>
      <c r="G4940" s="5">
        <v>0</v>
      </c>
      <c r="H4940" s="5">
        <v>42950</v>
      </c>
      <c r="I4940" s="118">
        <f t="shared" si="310"/>
        <v>0.22219348163476463</v>
      </c>
      <c r="J4940" s="5">
        <v>34745</v>
      </c>
      <c r="K4940" s="22">
        <v>2143.5</v>
      </c>
      <c r="L4940" s="6">
        <v>2160</v>
      </c>
      <c r="M4940" s="125">
        <f t="shared" si="311"/>
        <v>16.5</v>
      </c>
      <c r="P4940" s="247">
        <v>18300</v>
      </c>
      <c r="Q4940" s="25">
        <f>174.35/1198.7</f>
        <v>0.14544923667306248</v>
      </c>
      <c r="W4940" s="285">
        <f t="shared" si="309"/>
        <v>2661.7210311170434</v>
      </c>
      <c r="X4940" s="446">
        <f t="shared" si="307"/>
        <v>8.5374387683694888</v>
      </c>
    </row>
    <row r="4941" spans="1:24" ht="15" customHeight="1">
      <c r="A4941" s="3">
        <v>42746</v>
      </c>
      <c r="B4941" s="9">
        <v>77575</v>
      </c>
      <c r="C4941" s="5">
        <v>0</v>
      </c>
      <c r="D4941" s="5">
        <v>115650</v>
      </c>
      <c r="E4941" s="5">
        <v>193225</v>
      </c>
      <c r="F4941" s="4">
        <v>0</v>
      </c>
      <c r="G4941" s="5">
        <v>1275</v>
      </c>
      <c r="H4941" s="5">
        <v>42975</v>
      </c>
      <c r="I4941" s="118">
        <f t="shared" si="310"/>
        <v>0.22240910855220597</v>
      </c>
      <c r="J4941" s="5">
        <v>36611</v>
      </c>
      <c r="K4941" s="22">
        <v>2165</v>
      </c>
      <c r="L4941" s="6">
        <v>2185</v>
      </c>
      <c r="M4941" s="125">
        <f t="shared" si="311"/>
        <v>20</v>
      </c>
      <c r="P4941" s="247">
        <v>18850</v>
      </c>
      <c r="Q4941" s="25">
        <f>173.25/1196.4</f>
        <v>0.14480942828485455</v>
      </c>
      <c r="W4941" s="285">
        <f t="shared" si="309"/>
        <v>2729.6577231695082</v>
      </c>
      <c r="X4941" s="446">
        <f t="shared" si="307"/>
        <v>8.7066974595842961</v>
      </c>
    </row>
    <row r="4942" spans="1:24" ht="15" customHeight="1">
      <c r="A4942" s="3">
        <v>42747</v>
      </c>
      <c r="B4942" s="9">
        <v>77075</v>
      </c>
      <c r="C4942" s="5">
        <v>0</v>
      </c>
      <c r="D4942" s="5">
        <v>115600</v>
      </c>
      <c r="E4942" s="5">
        <v>192675</v>
      </c>
      <c r="F4942" s="4">
        <v>0</v>
      </c>
      <c r="G4942" s="5">
        <v>550</v>
      </c>
      <c r="H4942" s="5">
        <v>42475</v>
      </c>
      <c r="I4942" s="118">
        <f t="shared" si="310"/>
        <v>0.22044894251978719</v>
      </c>
      <c r="J4942" s="5">
        <v>48241</v>
      </c>
      <c r="K4942" s="22">
        <v>2190</v>
      </c>
      <c r="L4942" s="6">
        <v>2195</v>
      </c>
      <c r="M4942" s="125">
        <f t="shared" si="311"/>
        <v>5</v>
      </c>
      <c r="P4942" s="247">
        <v>18470</v>
      </c>
      <c r="Q4942" s="25">
        <f>171.62/1182.8</f>
        <v>0.14509638146770376</v>
      </c>
      <c r="W4942" s="285">
        <f t="shared" ref="W4942:W4952" si="312">(P4942*Q4942)*(1+U4942)</f>
        <v>2679.9301657084884</v>
      </c>
      <c r="X4942" s="446">
        <f t="shared" si="307"/>
        <v>8.4337899543379002</v>
      </c>
    </row>
    <row r="4943" spans="1:24" ht="15" customHeight="1">
      <c r="A4943" s="3">
        <v>42748</v>
      </c>
      <c r="B4943" s="9">
        <v>77075</v>
      </c>
      <c r="C4943" s="5">
        <v>0</v>
      </c>
      <c r="D4943" s="5">
        <v>115575</v>
      </c>
      <c r="E4943" s="5">
        <v>192650</v>
      </c>
      <c r="F4943" s="4">
        <v>0</v>
      </c>
      <c r="G4943" s="5">
        <v>25</v>
      </c>
      <c r="H4943" s="5">
        <v>42450</v>
      </c>
      <c r="I4943" s="118">
        <f t="shared" si="310"/>
        <v>0.22034778094990917</v>
      </c>
      <c r="J4943" s="5">
        <v>41721</v>
      </c>
      <c r="K4943" s="22">
        <v>2221</v>
      </c>
      <c r="L4943" s="6">
        <v>2226</v>
      </c>
      <c r="M4943" s="125">
        <f t="shared" si="311"/>
        <v>5</v>
      </c>
      <c r="P4943" s="247">
        <v>18500</v>
      </c>
      <c r="Q4943" s="25">
        <f>171.6/1177.7</f>
        <v>0.14570773541648976</v>
      </c>
      <c r="W4943" s="285">
        <f t="shared" si="312"/>
        <v>2695.5931052050605</v>
      </c>
      <c r="X4943" s="446">
        <f t="shared" si="307"/>
        <v>8.329581269698334</v>
      </c>
    </row>
    <row r="4944" spans="1:24" ht="15" customHeight="1">
      <c r="A4944" s="3">
        <v>42751</v>
      </c>
      <c r="B4944" s="9">
        <v>77350</v>
      </c>
      <c r="C4944" s="5">
        <v>0</v>
      </c>
      <c r="D4944" s="5">
        <v>115575</v>
      </c>
      <c r="E4944" s="5">
        <v>192925</v>
      </c>
      <c r="F4944" s="4">
        <v>300</v>
      </c>
      <c r="G4944" s="5">
        <v>25</v>
      </c>
      <c r="H4944" s="5">
        <v>42425</v>
      </c>
      <c r="I4944" s="118">
        <f t="shared" si="310"/>
        <v>0.21990410781391734</v>
      </c>
      <c r="J4944" s="5">
        <v>40977</v>
      </c>
      <c r="K4944" s="22">
        <v>2315.5</v>
      </c>
      <c r="L4944" s="6">
        <v>2322</v>
      </c>
      <c r="M4944" s="125">
        <f t="shared" si="311"/>
        <v>6.5</v>
      </c>
      <c r="P4944" s="247">
        <v>18700</v>
      </c>
      <c r="Q4944" s="25">
        <f>171.6/1177.7</f>
        <v>0.14570773541648976</v>
      </c>
      <c r="W4944" s="285">
        <f t="shared" si="312"/>
        <v>2724.7346522883586</v>
      </c>
      <c r="X4944" s="446">
        <f t="shared" si="307"/>
        <v>8.0760095011876487</v>
      </c>
    </row>
    <row r="4945" spans="1:24" ht="15" customHeight="1">
      <c r="A4945" s="3">
        <v>42752</v>
      </c>
      <c r="B4945" s="9">
        <v>77350</v>
      </c>
      <c r="C4945" s="5">
        <v>0</v>
      </c>
      <c r="D4945" s="5">
        <v>116150</v>
      </c>
      <c r="E4945" s="5">
        <v>193500</v>
      </c>
      <c r="F4945" s="4">
        <v>600</v>
      </c>
      <c r="G4945" s="5">
        <v>25</v>
      </c>
      <c r="H4945" s="5">
        <v>34900</v>
      </c>
      <c r="I4945" s="118">
        <f t="shared" si="310"/>
        <v>0.18036175710594315</v>
      </c>
      <c r="J4945" s="5">
        <v>41392</v>
      </c>
      <c r="K4945" s="22">
        <v>2268</v>
      </c>
      <c r="L4945" s="6">
        <v>2273</v>
      </c>
      <c r="M4945" s="125">
        <f t="shared" si="311"/>
        <v>5</v>
      </c>
      <c r="P4945" s="247">
        <v>18530</v>
      </c>
      <c r="Q4945" s="25">
        <f>172.51/1180.9</f>
        <v>0.14608349563891945</v>
      </c>
      <c r="W4945" s="285">
        <f t="shared" si="312"/>
        <v>2706.9271741891775</v>
      </c>
      <c r="X4945" s="446">
        <f t="shared" si="307"/>
        <v>8.170194003527337</v>
      </c>
    </row>
    <row r="4946" spans="1:24" ht="15" customHeight="1">
      <c r="A4946" s="3">
        <v>42753</v>
      </c>
      <c r="B4946" s="9">
        <v>77350</v>
      </c>
      <c r="C4946" s="5">
        <v>0</v>
      </c>
      <c r="D4946" s="5">
        <v>116100</v>
      </c>
      <c r="E4946" s="5">
        <v>193450</v>
      </c>
      <c r="F4946" s="4">
        <v>0</v>
      </c>
      <c r="G4946" s="5">
        <v>50</v>
      </c>
      <c r="H4946" s="5">
        <v>27375</v>
      </c>
      <c r="I4946" s="118">
        <f t="shared" si="310"/>
        <v>0.14150943396226415</v>
      </c>
      <c r="J4946" s="5">
        <v>80173</v>
      </c>
      <c r="K4946" s="22">
        <v>2303.5</v>
      </c>
      <c r="L4946" s="6">
        <v>2307</v>
      </c>
      <c r="M4946" s="125">
        <f t="shared" si="311"/>
        <v>3.5</v>
      </c>
      <c r="P4946" s="247">
        <v>18530</v>
      </c>
      <c r="Q4946" s="25">
        <f>170.96/1165.6</f>
        <v>0.1466712422786548</v>
      </c>
      <c r="W4946" s="285">
        <f t="shared" si="312"/>
        <v>2717.8181194234735</v>
      </c>
      <c r="X4946" s="446">
        <f t="shared" si="307"/>
        <v>8.0442804428044283</v>
      </c>
    </row>
    <row r="4947" spans="1:24" ht="15" customHeight="1">
      <c r="A4947" s="3">
        <v>42754</v>
      </c>
      <c r="B4947" s="9">
        <v>77000</v>
      </c>
      <c r="C4947" s="5">
        <v>0</v>
      </c>
      <c r="D4947" s="5">
        <v>116025</v>
      </c>
      <c r="E4947" s="5">
        <v>193025</v>
      </c>
      <c r="F4947" s="4">
        <v>75</v>
      </c>
      <c r="G4947" s="5">
        <v>500</v>
      </c>
      <c r="H4947" s="5">
        <v>27125</v>
      </c>
      <c r="I4947" s="118">
        <f t="shared" si="310"/>
        <v>0.14052583862194015</v>
      </c>
      <c r="J4947" s="5">
        <v>39928</v>
      </c>
      <c r="K4947" s="22">
        <v>2315</v>
      </c>
      <c r="L4947" s="6">
        <v>2312</v>
      </c>
      <c r="M4947" s="125">
        <f t="shared" si="311"/>
        <v>-3</v>
      </c>
      <c r="P4947" s="247">
        <v>18450</v>
      </c>
      <c r="Q4947" s="25">
        <f>172.19/1177.1</f>
        <v>0.14628323846741995</v>
      </c>
      <c r="W4947" s="285">
        <f t="shared" si="312"/>
        <v>2698.9257497238982</v>
      </c>
      <c r="X4947" s="446">
        <f t="shared" si="307"/>
        <v>7.9697624190064795</v>
      </c>
    </row>
    <row r="4948" spans="1:24" ht="15" customHeight="1">
      <c r="A4948" s="3">
        <v>42755</v>
      </c>
      <c r="B4948" s="9">
        <v>79325</v>
      </c>
      <c r="C4948" s="5">
        <v>0</v>
      </c>
      <c r="D4948" s="5">
        <v>116100</v>
      </c>
      <c r="E4948" s="5">
        <v>195425</v>
      </c>
      <c r="F4948" s="4">
        <v>2925</v>
      </c>
      <c r="G4948" s="5">
        <v>525</v>
      </c>
      <c r="H4948" s="5">
        <v>34125</v>
      </c>
      <c r="I4948" s="118">
        <f t="shared" si="310"/>
        <v>0.17461941921453242</v>
      </c>
      <c r="J4948" s="5">
        <v>35145</v>
      </c>
      <c r="K4948" s="22">
        <v>2309</v>
      </c>
      <c r="L4948" s="6">
        <v>2299</v>
      </c>
      <c r="M4948" s="125">
        <f t="shared" si="311"/>
        <v>-10</v>
      </c>
      <c r="P4948" s="247">
        <v>18450</v>
      </c>
      <c r="Q4948" s="25">
        <f>172.19/1177.1</f>
        <v>0.14628323846741995</v>
      </c>
      <c r="W4948" s="285">
        <f t="shared" si="312"/>
        <v>2698.9257497238982</v>
      </c>
      <c r="X4948" s="446">
        <f t="shared" si="307"/>
        <v>7.9904720658293638</v>
      </c>
    </row>
    <row r="4949" spans="1:24" ht="15" customHeight="1">
      <c r="A4949" s="3">
        <v>42758</v>
      </c>
      <c r="B4949" s="9">
        <v>79275</v>
      </c>
      <c r="C4949" s="5">
        <v>0</v>
      </c>
      <c r="D4949" s="5">
        <v>115950</v>
      </c>
      <c r="E4949" s="5">
        <v>195225</v>
      </c>
      <c r="F4949" s="4">
        <v>325</v>
      </c>
      <c r="G4949" s="5">
        <v>525</v>
      </c>
      <c r="H4949" s="5">
        <v>28386</v>
      </c>
      <c r="I4949" s="118">
        <f t="shared" si="310"/>
        <v>0.14540145985401459</v>
      </c>
      <c r="J4949" s="5">
        <v>66200</v>
      </c>
      <c r="K4949" s="22">
        <v>2350.5</v>
      </c>
      <c r="L4949" s="6">
        <v>2336</v>
      </c>
      <c r="M4949" s="125">
        <f t="shared" si="311"/>
        <v>-14.5</v>
      </c>
      <c r="P4949" s="247">
        <v>18550</v>
      </c>
      <c r="Q4949" s="25">
        <f>171.04/1166.7</f>
        <v>0.14660152567069512</v>
      </c>
      <c r="W4949" s="285">
        <f t="shared" si="312"/>
        <v>2719.4583011913946</v>
      </c>
      <c r="X4949" s="446">
        <f t="shared" si="307"/>
        <v>7.8919378855562643</v>
      </c>
    </row>
    <row r="4950" spans="1:24" ht="15" customHeight="1">
      <c r="A4950" s="3">
        <v>42759</v>
      </c>
      <c r="B4950" s="9">
        <v>79075</v>
      </c>
      <c r="C4950" s="5">
        <v>0</v>
      </c>
      <c r="D4950" s="5">
        <v>115900</v>
      </c>
      <c r="E4950" s="5">
        <v>194975</v>
      </c>
      <c r="F4950" s="4">
        <v>0</v>
      </c>
      <c r="G4950" s="5">
        <v>250</v>
      </c>
      <c r="H4950" s="5">
        <v>69000</v>
      </c>
      <c r="I4950" s="118">
        <f t="shared" si="310"/>
        <v>0.35389152455443007</v>
      </c>
      <c r="J4950" s="5">
        <v>25227</v>
      </c>
      <c r="K4950" s="22">
        <v>2390</v>
      </c>
      <c r="L4950" s="6">
        <v>2361.5</v>
      </c>
      <c r="M4950" s="125">
        <f t="shared" si="311"/>
        <v>-28.5</v>
      </c>
      <c r="P4950" s="247">
        <v>18570</v>
      </c>
      <c r="Q4950" s="25">
        <f>170.74/1163.6</f>
        <v>0.14673427294602959</v>
      </c>
      <c r="W4950" s="285">
        <f t="shared" si="312"/>
        <v>2724.8554486077696</v>
      </c>
      <c r="X4950" s="446">
        <f t="shared" si="307"/>
        <v>7.7698744769874475</v>
      </c>
    </row>
    <row r="4951" spans="1:24" ht="15" customHeight="1">
      <c r="A4951" s="3">
        <v>42760</v>
      </c>
      <c r="B4951" s="9">
        <v>79075</v>
      </c>
      <c r="C4951" s="5">
        <v>0</v>
      </c>
      <c r="D4951" s="5">
        <v>115425</v>
      </c>
      <c r="E4951" s="5">
        <v>194500</v>
      </c>
      <c r="F4951" s="4">
        <v>0</v>
      </c>
      <c r="G4951" s="5">
        <v>475</v>
      </c>
      <c r="H4951" s="5">
        <v>68525</v>
      </c>
      <c r="I4951" s="118">
        <f t="shared" si="310"/>
        <v>0.35231362467866323</v>
      </c>
      <c r="J4951" s="5">
        <v>32869</v>
      </c>
      <c r="K4951" s="22">
        <v>2379</v>
      </c>
      <c r="L4951" s="6">
        <v>2360</v>
      </c>
      <c r="M4951" s="125">
        <f t="shared" si="311"/>
        <v>-19</v>
      </c>
      <c r="P4951" s="247">
        <v>18670</v>
      </c>
      <c r="Q4951" s="25">
        <f>170.89/1166.2</f>
        <v>0.14653575716000683</v>
      </c>
      <c r="W4951" s="285">
        <f t="shared" si="312"/>
        <v>2735.8225861773276</v>
      </c>
      <c r="X4951" s="446">
        <f t="shared" si="307"/>
        <v>7.8478352248844052</v>
      </c>
    </row>
    <row r="4952" spans="1:24" ht="15" customHeight="1">
      <c r="A4952" s="3">
        <v>42761</v>
      </c>
      <c r="B4952" s="9">
        <v>79075</v>
      </c>
      <c r="C4952" s="5">
        <v>0</v>
      </c>
      <c r="D4952" s="5">
        <v>115300</v>
      </c>
      <c r="E4952" s="4">
        <v>194375</v>
      </c>
      <c r="F4952" s="4">
        <v>0</v>
      </c>
      <c r="G4952" s="5">
        <v>125</v>
      </c>
      <c r="H4952" s="5">
        <v>68400</v>
      </c>
      <c r="I4952" s="118">
        <f t="shared" si="310"/>
        <v>0.35189710610932479</v>
      </c>
      <c r="J4952" s="5">
        <v>37662</v>
      </c>
      <c r="K4952" s="22">
        <v>2390</v>
      </c>
      <c r="L4952" s="6">
        <v>2388</v>
      </c>
      <c r="M4952" s="125">
        <f t="shared" si="311"/>
        <v>-2</v>
      </c>
      <c r="P4952" s="247">
        <v>18670</v>
      </c>
      <c r="Q4952" s="25">
        <f>170.89/1166.2</f>
        <v>0.14653575716000683</v>
      </c>
      <c r="W4952" s="285">
        <f t="shared" si="312"/>
        <v>2735.8225861773276</v>
      </c>
      <c r="X4952" s="446">
        <f t="shared" si="307"/>
        <v>7.8117154811715483</v>
      </c>
    </row>
    <row r="4953" spans="1:24" ht="15" customHeight="1">
      <c r="A4953" s="3">
        <v>42762</v>
      </c>
      <c r="B4953" s="9">
        <v>79075</v>
      </c>
      <c r="C4953" s="5">
        <v>0</v>
      </c>
      <c r="D4953" s="5">
        <v>113700</v>
      </c>
      <c r="E4953" s="5">
        <v>192775</v>
      </c>
      <c r="F4953" s="4">
        <v>0</v>
      </c>
      <c r="G4953" s="5">
        <v>1600</v>
      </c>
      <c r="H4953" s="5">
        <v>66800</v>
      </c>
      <c r="I4953" s="118">
        <f t="shared" si="310"/>
        <v>0.34651796135391</v>
      </c>
      <c r="J4953" s="5">
        <v>25897</v>
      </c>
      <c r="K4953" s="22">
        <v>2365</v>
      </c>
      <c r="L4953" s="6">
        <v>2315</v>
      </c>
      <c r="M4953" s="125">
        <f t="shared" si="311"/>
        <v>-50</v>
      </c>
      <c r="P4953" s="1341" t="s">
        <v>50</v>
      </c>
      <c r="Q4953" s="1341" t="s">
        <v>50</v>
      </c>
      <c r="W4953" s="1346" t="s">
        <v>50</v>
      </c>
      <c r="X4953" s="446"/>
    </row>
    <row r="4954" spans="1:24" ht="15" customHeight="1">
      <c r="A4954" s="3">
        <v>42765</v>
      </c>
      <c r="B4954" s="9">
        <v>79075</v>
      </c>
      <c r="C4954" s="5">
        <v>0</v>
      </c>
      <c r="D4954" s="5">
        <v>111500</v>
      </c>
      <c r="E4954" s="5">
        <v>190575</v>
      </c>
      <c r="F4954" s="4">
        <v>0</v>
      </c>
      <c r="G4954" s="5">
        <v>2200</v>
      </c>
      <c r="H4954" s="5">
        <v>64600</v>
      </c>
      <c r="I4954" s="118">
        <f t="shared" si="310"/>
        <v>0.33897415715597534</v>
      </c>
      <c r="J4954" s="5">
        <v>28840</v>
      </c>
      <c r="K4954" s="22">
        <v>2320</v>
      </c>
      <c r="L4954" s="6">
        <v>2295</v>
      </c>
      <c r="M4954" s="125">
        <f t="shared" si="311"/>
        <v>-25</v>
      </c>
      <c r="P4954" s="1341"/>
      <c r="Q4954" s="1341"/>
      <c r="W4954" s="1346"/>
      <c r="X4954" s="446"/>
    </row>
    <row r="4955" spans="1:24" ht="15" customHeight="1">
      <c r="A4955" s="3">
        <v>42766</v>
      </c>
      <c r="B4955" s="9">
        <v>79075</v>
      </c>
      <c r="C4955" s="5">
        <v>0</v>
      </c>
      <c r="D4955" s="5">
        <v>110375</v>
      </c>
      <c r="E4955" s="5">
        <v>189450</v>
      </c>
      <c r="F4955" s="4">
        <v>0</v>
      </c>
      <c r="G4955" s="5">
        <v>1125</v>
      </c>
      <c r="H4955" s="5">
        <v>68000</v>
      </c>
      <c r="I4955" s="118">
        <f t="shared" si="310"/>
        <v>0.35893375560833995</v>
      </c>
      <c r="J4955" s="5">
        <v>27752</v>
      </c>
      <c r="K4955" s="22">
        <v>2355</v>
      </c>
      <c r="L4955" s="6">
        <v>2356</v>
      </c>
      <c r="M4955" s="125">
        <f t="shared" si="311"/>
        <v>1</v>
      </c>
      <c r="N4955" s="235">
        <f>AVERAGE(K4935:K4955)</f>
        <v>2236.6904761904761</v>
      </c>
      <c r="O4955" s="230">
        <f>AVERAGE(K4935:K4955)</f>
        <v>2236.6904761904761</v>
      </c>
      <c r="P4955" s="1341"/>
      <c r="Q4955" s="1341"/>
      <c r="W4955" s="1346"/>
      <c r="X4955" s="446"/>
    </row>
    <row r="4956" spans="1:24" ht="15" customHeight="1" thickBot="1">
      <c r="A4956" s="216"/>
      <c r="B4956" s="1330"/>
      <c r="C4956" s="1330"/>
      <c r="D4956" s="1330"/>
      <c r="E4956" s="216"/>
      <c r="F4956" s="407"/>
      <c r="G4956" s="164"/>
      <c r="H4956" s="164"/>
      <c r="I4956" s="166"/>
      <c r="J4956" s="166"/>
      <c r="K4956" s="166"/>
      <c r="L4956" s="167"/>
      <c r="M4956" s="168"/>
      <c r="N4956" s="169" t="s">
        <v>52</v>
      </c>
      <c r="O4956" s="183"/>
      <c r="P4956" s="180"/>
      <c r="Q4956" s="154"/>
      <c r="R4956" s="248"/>
      <c r="S4956" s="249"/>
      <c r="T4956" s="249"/>
      <c r="U4956" s="152"/>
      <c r="V4956" s="153">
        <f>AVERAGE(P4935:P4955)</f>
        <v>18352.777777777777</v>
      </c>
      <c r="W4956" s="295"/>
      <c r="X4956" s="447">
        <f>AVERAGE(X4935:X4955)</f>
        <v>8.2946574245785847</v>
      </c>
    </row>
    <row r="4957" spans="1:24" ht="15" customHeight="1">
      <c r="A4957" s="3">
        <v>42767</v>
      </c>
      <c r="B4957" s="9">
        <v>78475</v>
      </c>
      <c r="C4957" s="5">
        <v>0</v>
      </c>
      <c r="D4957" s="5">
        <v>110575</v>
      </c>
      <c r="E4957" s="5">
        <v>189050</v>
      </c>
      <c r="F4957" s="4">
        <v>275</v>
      </c>
      <c r="G4957" s="5">
        <v>675</v>
      </c>
      <c r="H4957" s="5">
        <v>67325</v>
      </c>
      <c r="I4957" s="118">
        <f t="shared" si="310"/>
        <v>0.35612271885744512</v>
      </c>
      <c r="J4957" s="5">
        <v>42174</v>
      </c>
      <c r="K4957" s="22">
        <v>2351.5</v>
      </c>
      <c r="L4957" s="6">
        <v>2350</v>
      </c>
      <c r="M4957" s="125">
        <f t="shared" si="311"/>
        <v>-1.5</v>
      </c>
      <c r="P4957" s="1347" t="s">
        <v>50</v>
      </c>
      <c r="Q4957" s="25">
        <f>169.01/1155.5</f>
        <v>0.14626568585028127</v>
      </c>
      <c r="W4957" s="1344" t="s">
        <v>50</v>
      </c>
      <c r="X4957" s="446"/>
    </row>
    <row r="4958" spans="1:24" ht="15" customHeight="1">
      <c r="A4958" s="3">
        <v>42768</v>
      </c>
      <c r="B4958" s="9">
        <v>78475</v>
      </c>
      <c r="C4958" s="5">
        <v>0</v>
      </c>
      <c r="D4958" s="5">
        <v>110900</v>
      </c>
      <c r="E4958" s="5">
        <v>189375</v>
      </c>
      <c r="F4958" s="4">
        <v>425</v>
      </c>
      <c r="G4958" s="5">
        <v>100</v>
      </c>
      <c r="H4958" s="5">
        <v>67225</v>
      </c>
      <c r="I4958" s="118">
        <f t="shared" si="310"/>
        <v>0.354983498349835</v>
      </c>
      <c r="J4958" s="5">
        <v>40043</v>
      </c>
      <c r="K4958" s="22">
        <v>2334</v>
      </c>
      <c r="L4958" s="6">
        <v>2333</v>
      </c>
      <c r="M4958" s="125">
        <f t="shared" si="311"/>
        <v>-1</v>
      </c>
      <c r="P4958" s="1348"/>
      <c r="Q4958" s="25">
        <f>168.97/1155.2</f>
        <v>0.14626904432132964</v>
      </c>
      <c r="W4958" s="1345"/>
      <c r="X4958" s="446">
        <f t="shared" si="307"/>
        <v>0</v>
      </c>
    </row>
    <row r="4959" spans="1:24" ht="15" customHeight="1">
      <c r="A4959" s="3">
        <v>42769</v>
      </c>
      <c r="B4959" s="9">
        <v>78475</v>
      </c>
      <c r="C4959" s="5">
        <v>0</v>
      </c>
      <c r="D4959" s="5">
        <v>110750</v>
      </c>
      <c r="E4959" s="5">
        <v>189225</v>
      </c>
      <c r="F4959" s="4">
        <v>0</v>
      </c>
      <c r="G4959" s="5">
        <v>150</v>
      </c>
      <c r="H4959" s="5">
        <v>67075</v>
      </c>
      <c r="I4959" s="118">
        <f t="shared" si="310"/>
        <v>0.35447218919275997</v>
      </c>
      <c r="J4959" s="5">
        <v>30664</v>
      </c>
      <c r="K4959" s="22">
        <v>2294</v>
      </c>
      <c r="L4959" s="6">
        <v>2288</v>
      </c>
      <c r="M4959" s="125">
        <f t="shared" si="311"/>
        <v>-6</v>
      </c>
      <c r="P4959" s="247">
        <v>18570</v>
      </c>
      <c r="Q4959" s="25">
        <f>168.17/1146.8</f>
        <v>0.14664283222881061</v>
      </c>
      <c r="W4959" s="285">
        <f t="shared" ref="W4959:W4981" si="313">(P4959*Q4959)*(1+U4959)</f>
        <v>2723.1573944890129</v>
      </c>
      <c r="X4959" s="446">
        <f t="shared" si="307"/>
        <v>8.0950305143853534</v>
      </c>
    </row>
    <row r="4960" spans="1:24" ht="15" customHeight="1">
      <c r="A4960" s="3">
        <v>42772</v>
      </c>
      <c r="B4960" s="9">
        <v>78475</v>
      </c>
      <c r="C4960" s="5">
        <v>0</v>
      </c>
      <c r="D4960" s="5">
        <v>110850</v>
      </c>
      <c r="E4960" s="5">
        <v>189325</v>
      </c>
      <c r="F4960" s="4">
        <v>200</v>
      </c>
      <c r="G4960" s="5">
        <v>100</v>
      </c>
      <c r="H4960" s="5">
        <v>66975</v>
      </c>
      <c r="I4960" s="118">
        <f t="shared" si="310"/>
        <v>0.35375676746335666</v>
      </c>
      <c r="J4960" s="5">
        <v>29888</v>
      </c>
      <c r="K4960" s="22">
        <v>2325.5</v>
      </c>
      <c r="L4960" s="6">
        <v>2315</v>
      </c>
      <c r="M4960" s="125">
        <f t="shared" si="311"/>
        <v>-10.5</v>
      </c>
      <c r="P4960" s="247">
        <v>18620</v>
      </c>
      <c r="Q4960" s="25">
        <f>168.17/1146.8</f>
        <v>0.14664283222881061</v>
      </c>
      <c r="W4960" s="285">
        <f t="shared" si="313"/>
        <v>2730.4895361004537</v>
      </c>
      <c r="X4960" s="446">
        <f t="shared" si="307"/>
        <v>8.0068802408084281</v>
      </c>
    </row>
    <row r="4961" spans="1:24" ht="15" customHeight="1">
      <c r="A4961" s="3">
        <v>42773</v>
      </c>
      <c r="B4961" s="9">
        <v>78475</v>
      </c>
      <c r="C4961" s="5">
        <v>0</v>
      </c>
      <c r="D4961" s="5">
        <v>110850</v>
      </c>
      <c r="E4961" s="5">
        <v>189325</v>
      </c>
      <c r="F4961" s="4">
        <v>0</v>
      </c>
      <c r="G4961" s="5">
        <v>0</v>
      </c>
      <c r="H4961" s="5">
        <v>66975</v>
      </c>
      <c r="I4961" s="118">
        <f t="shared" si="310"/>
        <v>0.35375676746335666</v>
      </c>
      <c r="J4961" s="5">
        <v>26596</v>
      </c>
      <c r="K4961" s="22">
        <v>2329</v>
      </c>
      <c r="L4961" s="6">
        <v>2323</v>
      </c>
      <c r="M4961" s="125">
        <f t="shared" si="311"/>
        <v>-6</v>
      </c>
      <c r="P4961" s="247">
        <v>18670</v>
      </c>
      <c r="Q4961" s="25">
        <f>167.63/1142.1</f>
        <v>0.14677348743542598</v>
      </c>
      <c r="W4961" s="285">
        <f t="shared" si="313"/>
        <v>2740.2610104194032</v>
      </c>
      <c r="X4961" s="446">
        <f t="shared" si="307"/>
        <v>8.0163160154572779</v>
      </c>
    </row>
    <row r="4962" spans="1:24" ht="15" customHeight="1">
      <c r="A4962" s="3">
        <v>42774</v>
      </c>
      <c r="B4962" s="9">
        <v>78175</v>
      </c>
      <c r="C4962" s="5">
        <v>0</v>
      </c>
      <c r="D4962" s="5">
        <v>110725</v>
      </c>
      <c r="E4962" s="5">
        <v>188900</v>
      </c>
      <c r="F4962" s="4">
        <v>0</v>
      </c>
      <c r="G4962" s="5">
        <v>425</v>
      </c>
      <c r="H4962" s="5">
        <v>66600</v>
      </c>
      <c r="I4962" s="118">
        <f t="shared" si="310"/>
        <v>0.35256749602964532</v>
      </c>
      <c r="J4962" s="5">
        <v>40205</v>
      </c>
      <c r="K4962" s="22">
        <v>2379.5</v>
      </c>
      <c r="L4962" s="6">
        <v>2375</v>
      </c>
      <c r="M4962" s="125">
        <f t="shared" si="311"/>
        <v>-4.5</v>
      </c>
      <c r="P4962" s="247">
        <v>18970</v>
      </c>
      <c r="Q4962" s="25">
        <f>167.63/1142.1</f>
        <v>0.14677348743542598</v>
      </c>
      <c r="W4962" s="285">
        <f t="shared" si="313"/>
        <v>2784.2930566500308</v>
      </c>
      <c r="X4962" s="446">
        <f t="shared" si="307"/>
        <v>7.9722630804790926</v>
      </c>
    </row>
    <row r="4963" spans="1:24" ht="15" customHeight="1">
      <c r="A4963" s="3">
        <v>42775</v>
      </c>
      <c r="B4963" s="9">
        <v>78175</v>
      </c>
      <c r="C4963" s="5">
        <v>0</v>
      </c>
      <c r="D4963" s="5">
        <v>110650</v>
      </c>
      <c r="E4963" s="5">
        <v>188825</v>
      </c>
      <c r="F4963" s="4">
        <v>0</v>
      </c>
      <c r="G4963" s="5">
        <v>75</v>
      </c>
      <c r="H4963" s="5">
        <v>66575</v>
      </c>
      <c r="I4963" s="118">
        <f t="shared" si="310"/>
        <v>0.35257513570766585</v>
      </c>
      <c r="J4963" s="5">
        <v>31757</v>
      </c>
      <c r="K4963" s="22">
        <v>2399</v>
      </c>
      <c r="L4963" s="6">
        <v>2390</v>
      </c>
      <c r="M4963" s="125">
        <f t="shared" si="311"/>
        <v>-9</v>
      </c>
      <c r="P4963" s="247">
        <v>19070</v>
      </c>
      <c r="Q4963" s="25">
        <f>167.29/1145.7</f>
        <v>0.1460155363533211</v>
      </c>
      <c r="W4963" s="285">
        <f t="shared" si="313"/>
        <v>2784.5162782578332</v>
      </c>
      <c r="X4963" s="446">
        <f t="shared" si="307"/>
        <v>7.949145477282201</v>
      </c>
    </row>
    <row r="4964" spans="1:24" ht="15" customHeight="1">
      <c r="A4964" s="3">
        <v>42776</v>
      </c>
      <c r="B4964" s="9">
        <v>77975</v>
      </c>
      <c r="C4964" s="5">
        <v>0</v>
      </c>
      <c r="D4964" s="5">
        <v>110650</v>
      </c>
      <c r="E4964" s="5">
        <v>188625</v>
      </c>
      <c r="F4964" s="4">
        <v>0</v>
      </c>
      <c r="G4964" s="5">
        <v>200</v>
      </c>
      <c r="H4964" s="5">
        <v>70525</v>
      </c>
      <c r="I4964" s="118">
        <f t="shared" si="310"/>
        <v>0.37388999337309475</v>
      </c>
      <c r="J4964" s="5">
        <v>34880</v>
      </c>
      <c r="K4964" s="22">
        <v>2406</v>
      </c>
      <c r="L4964" s="6">
        <v>2394</v>
      </c>
      <c r="M4964" s="125">
        <f t="shared" si="311"/>
        <v>-12</v>
      </c>
      <c r="P4964" s="247">
        <v>19000</v>
      </c>
      <c r="Q4964" s="25">
        <f>167.29/1145.7</f>
        <v>0.1460155363533211</v>
      </c>
      <c r="W4964" s="285">
        <f t="shared" si="313"/>
        <v>2774.295190713101</v>
      </c>
      <c r="X4964" s="446">
        <f t="shared" si="307"/>
        <v>7.896924355777224</v>
      </c>
    </row>
    <row r="4965" spans="1:24" ht="15" customHeight="1">
      <c r="A4965" s="3">
        <v>42779</v>
      </c>
      <c r="B4965" s="9">
        <v>77975</v>
      </c>
      <c r="C4965" s="5">
        <v>0</v>
      </c>
      <c r="D4965" s="5">
        <v>110600</v>
      </c>
      <c r="E4965" s="5">
        <v>188575</v>
      </c>
      <c r="F4965" s="4">
        <v>0</v>
      </c>
      <c r="G4965" s="5">
        <v>50</v>
      </c>
      <c r="H4965" s="5">
        <v>70475</v>
      </c>
      <c r="I4965" s="118">
        <f t="shared" si="310"/>
        <v>0.37372398250033145</v>
      </c>
      <c r="J4965" s="5">
        <v>53378</v>
      </c>
      <c r="K4965" s="22">
        <v>2442</v>
      </c>
      <c r="L4965" s="6">
        <v>2445</v>
      </c>
      <c r="M4965" s="125">
        <f t="shared" si="311"/>
        <v>3</v>
      </c>
      <c r="P4965" s="247">
        <v>19500</v>
      </c>
      <c r="Q4965" s="25">
        <f>167.29/1145.7</f>
        <v>0.1460155363533211</v>
      </c>
      <c r="W4965" s="285">
        <f t="shared" si="313"/>
        <v>2847.3029588897612</v>
      </c>
      <c r="X4965" s="446">
        <f t="shared" si="307"/>
        <v>7.9852579852579852</v>
      </c>
    </row>
    <row r="4966" spans="1:24" ht="15" customHeight="1">
      <c r="A4966" s="3">
        <v>42780</v>
      </c>
      <c r="B4966" s="9">
        <v>77975</v>
      </c>
      <c r="C4966" s="5">
        <v>0</v>
      </c>
      <c r="D4966" s="5">
        <v>111200</v>
      </c>
      <c r="E4966" s="5">
        <v>189175</v>
      </c>
      <c r="F4966" s="4">
        <v>600</v>
      </c>
      <c r="G4966" s="5">
        <v>0</v>
      </c>
      <c r="H4966" s="5">
        <v>70475</v>
      </c>
      <c r="I4966" s="118">
        <f t="shared" si="310"/>
        <v>0.37253865468481567</v>
      </c>
      <c r="J4966" s="5">
        <v>51685</v>
      </c>
      <c r="K4966" s="22">
        <v>2415</v>
      </c>
      <c r="L4966" s="6">
        <v>2419.5</v>
      </c>
      <c r="M4966" s="125">
        <f t="shared" si="311"/>
        <v>4.5</v>
      </c>
      <c r="P4966" s="247">
        <v>19370</v>
      </c>
      <c r="Q4966" s="25">
        <f>167.09/1144.5</f>
        <v>0.14599388379204895</v>
      </c>
      <c r="W4966" s="285">
        <f t="shared" si="313"/>
        <v>2827.9015290519883</v>
      </c>
      <c r="X4966" s="446">
        <f t="shared" si="307"/>
        <v>8.0207039337474129</v>
      </c>
    </row>
    <row r="4967" spans="1:24" ht="15" customHeight="1">
      <c r="A4967" s="3">
        <v>42781</v>
      </c>
      <c r="B4967" s="9">
        <v>77975</v>
      </c>
      <c r="C4967" s="5">
        <v>0</v>
      </c>
      <c r="D4967" s="5">
        <v>111175</v>
      </c>
      <c r="E4967" s="5">
        <v>189150</v>
      </c>
      <c r="F4967" s="4">
        <v>0</v>
      </c>
      <c r="G4967" s="5">
        <v>25</v>
      </c>
      <c r="H4967" s="5">
        <v>70450</v>
      </c>
      <c r="I4967" s="118">
        <f t="shared" si="310"/>
        <v>0.3724557229711869</v>
      </c>
      <c r="J4967" s="5">
        <v>63562</v>
      </c>
      <c r="K4967" s="22">
        <v>2338</v>
      </c>
      <c r="L4967" s="6">
        <v>2352</v>
      </c>
      <c r="M4967" s="125">
        <f t="shared" si="311"/>
        <v>14</v>
      </c>
      <c r="P4967" s="247">
        <v>19270</v>
      </c>
      <c r="Q4967" s="25">
        <f>167.09/1144.5</f>
        <v>0.14599388379204895</v>
      </c>
      <c r="W4967" s="285">
        <f t="shared" si="313"/>
        <v>2813.302140672783</v>
      </c>
      <c r="X4967" s="446">
        <f t="shared" si="307"/>
        <v>8.2420872540633017</v>
      </c>
    </row>
    <row r="4968" spans="1:24" ht="15" customHeight="1">
      <c r="A4968" s="3">
        <v>42782</v>
      </c>
      <c r="B4968" s="9">
        <v>77975</v>
      </c>
      <c r="C4968" s="5">
        <v>0</v>
      </c>
      <c r="D4968" s="5">
        <v>111150</v>
      </c>
      <c r="E4968" s="5">
        <v>189125</v>
      </c>
      <c r="F4968" s="4">
        <v>0</v>
      </c>
      <c r="G4968" s="5">
        <v>25</v>
      </c>
      <c r="H4968" s="5">
        <v>70425</v>
      </c>
      <c r="I4968" s="118">
        <f t="shared" si="310"/>
        <v>0.37237276933245206</v>
      </c>
      <c r="J4968" s="5">
        <v>35293</v>
      </c>
      <c r="K4968" s="22">
        <v>2273</v>
      </c>
      <c r="L4968" s="6">
        <v>2287.5</v>
      </c>
      <c r="M4968" s="125">
        <f t="shared" si="311"/>
        <v>14.5</v>
      </c>
      <c r="P4968" s="247">
        <v>19220</v>
      </c>
      <c r="Q4968" s="25">
        <f>166.46/1141.6</f>
        <v>0.14581289418360199</v>
      </c>
      <c r="W4968" s="285">
        <f t="shared" si="313"/>
        <v>2802.5238262088301</v>
      </c>
      <c r="X4968" s="446">
        <f t="shared" si="307"/>
        <v>8.4557853057633086</v>
      </c>
    </row>
    <row r="4969" spans="1:24" ht="15" customHeight="1">
      <c r="A4969" s="3">
        <v>42783</v>
      </c>
      <c r="B4969" s="9">
        <v>77975</v>
      </c>
      <c r="C4969" s="5">
        <v>0</v>
      </c>
      <c r="D4969" s="5">
        <v>111775</v>
      </c>
      <c r="E4969" s="5">
        <v>189750</v>
      </c>
      <c r="F4969" s="4">
        <v>650</v>
      </c>
      <c r="G4969" s="5">
        <v>25</v>
      </c>
      <c r="H4969" s="5">
        <v>70400</v>
      </c>
      <c r="I4969" s="118">
        <f t="shared" si="310"/>
        <v>0.37101449275362319</v>
      </c>
      <c r="J4969" s="5">
        <v>45747</v>
      </c>
      <c r="K4969" s="22">
        <v>2269</v>
      </c>
      <c r="L4969" s="6">
        <v>2282</v>
      </c>
      <c r="M4969" s="125">
        <f t="shared" si="311"/>
        <v>13</v>
      </c>
      <c r="P4969" s="247">
        <v>18920</v>
      </c>
      <c r="Q4969" s="25">
        <f>167.17/1145.3</f>
        <v>0.14596175674495765</v>
      </c>
      <c r="W4969" s="285">
        <f t="shared" si="313"/>
        <v>2761.5964376145989</v>
      </c>
      <c r="X4969" s="446">
        <f t="shared" si="307"/>
        <v>8.3384750991626273</v>
      </c>
    </row>
    <row r="4970" spans="1:24" ht="15" customHeight="1">
      <c r="A4970" s="3">
        <v>42786</v>
      </c>
      <c r="B4970" s="9">
        <v>77975</v>
      </c>
      <c r="C4970" s="5">
        <v>0</v>
      </c>
      <c r="D4970" s="5">
        <v>111775</v>
      </c>
      <c r="E4970" s="5">
        <v>189750</v>
      </c>
      <c r="F4970" s="4">
        <v>0</v>
      </c>
      <c r="G4970" s="5">
        <v>0</v>
      </c>
      <c r="H4970" s="5">
        <v>70400</v>
      </c>
      <c r="I4970" s="118">
        <f t="shared" si="310"/>
        <v>0.37101449275362319</v>
      </c>
      <c r="J4970" s="5">
        <v>26102</v>
      </c>
      <c r="K4970" s="22">
        <v>2275</v>
      </c>
      <c r="L4970" s="6">
        <v>2283</v>
      </c>
      <c r="M4970" s="125">
        <f t="shared" si="311"/>
        <v>8</v>
      </c>
      <c r="P4970" s="247">
        <v>18870</v>
      </c>
      <c r="Q4970" s="25">
        <f>167.17/1145.3</f>
        <v>0.14596175674495765</v>
      </c>
      <c r="W4970" s="285">
        <f t="shared" si="313"/>
        <v>2754.2983497773507</v>
      </c>
      <c r="X4970" s="446">
        <f t="shared" si="307"/>
        <v>8.2945054945054952</v>
      </c>
    </row>
    <row r="4971" spans="1:24" ht="15" customHeight="1">
      <c r="A4971" s="3">
        <v>42787</v>
      </c>
      <c r="B4971" s="9">
        <v>77875</v>
      </c>
      <c r="C4971" s="5">
        <v>0</v>
      </c>
      <c r="D4971" s="5">
        <v>111925</v>
      </c>
      <c r="E4971" s="5">
        <v>189800</v>
      </c>
      <c r="F4971" s="4">
        <v>200</v>
      </c>
      <c r="G4971" s="5">
        <v>150</v>
      </c>
      <c r="H4971" s="5">
        <v>70250</v>
      </c>
      <c r="I4971" s="118">
        <f t="shared" si="310"/>
        <v>0.37012644889357216</v>
      </c>
      <c r="J4971" s="5">
        <v>26258</v>
      </c>
      <c r="K4971" s="22">
        <v>2284</v>
      </c>
      <c r="L4971" s="6">
        <v>2288</v>
      </c>
      <c r="M4971" s="125">
        <f t="shared" si="311"/>
        <v>4</v>
      </c>
      <c r="P4971" s="247">
        <v>19090</v>
      </c>
      <c r="Q4971" s="25">
        <f>167.03/1146.8</f>
        <v>0.14564876177188699</v>
      </c>
      <c r="W4971" s="285">
        <f t="shared" si="313"/>
        <v>2780.4348622253224</v>
      </c>
      <c r="X4971" s="446">
        <f t="shared" si="307"/>
        <v>8.3581436077057791</v>
      </c>
    </row>
    <row r="4972" spans="1:24" ht="15" customHeight="1">
      <c r="A4972" s="3">
        <v>42788</v>
      </c>
      <c r="B4972" s="9">
        <v>77875</v>
      </c>
      <c r="C4972" s="5">
        <v>0</v>
      </c>
      <c r="D4972" s="5">
        <v>111925</v>
      </c>
      <c r="E4972" s="5">
        <v>189800</v>
      </c>
      <c r="F4972" s="4">
        <v>0</v>
      </c>
      <c r="G4972" s="5">
        <v>0</v>
      </c>
      <c r="H4972" s="5">
        <v>70300</v>
      </c>
      <c r="I4972" s="118">
        <f t="shared" si="310"/>
        <v>0.3703898840885142</v>
      </c>
      <c r="J4972" s="5">
        <v>43557</v>
      </c>
      <c r="K4972" s="22">
        <v>2290</v>
      </c>
      <c r="L4972" s="6">
        <v>2296</v>
      </c>
      <c r="M4972" s="125">
        <f t="shared" si="311"/>
        <v>6</v>
      </c>
      <c r="P4972" s="247">
        <v>18950</v>
      </c>
      <c r="Q4972" s="25">
        <f>167.03/1146.8</f>
        <v>0.14564876177188699</v>
      </c>
      <c r="W4972" s="285">
        <f t="shared" si="313"/>
        <v>2760.0440355772585</v>
      </c>
      <c r="X4972" s="446">
        <f t="shared" si="307"/>
        <v>8.2751091703056776</v>
      </c>
    </row>
    <row r="4973" spans="1:24" ht="15" customHeight="1">
      <c r="A4973" s="3">
        <v>42789</v>
      </c>
      <c r="B4973" s="9">
        <v>77875</v>
      </c>
      <c r="C4973" s="5">
        <v>0</v>
      </c>
      <c r="D4973" s="5">
        <v>111925</v>
      </c>
      <c r="E4973" s="5">
        <v>189800</v>
      </c>
      <c r="F4973" s="4">
        <v>0</v>
      </c>
      <c r="G4973" s="5">
        <v>0</v>
      </c>
      <c r="H4973" s="5">
        <v>70300</v>
      </c>
      <c r="I4973" s="118">
        <f t="shared" si="310"/>
        <v>0.3703898840885142</v>
      </c>
      <c r="J4973" s="5">
        <v>37445</v>
      </c>
      <c r="K4973" s="22">
        <v>2270</v>
      </c>
      <c r="L4973" s="6">
        <v>2275</v>
      </c>
      <c r="M4973" s="125">
        <f t="shared" si="311"/>
        <v>5</v>
      </c>
      <c r="P4973" s="247">
        <v>18950</v>
      </c>
      <c r="Q4973" s="25">
        <f>165.93/1138.8</f>
        <v>0.14570600632244468</v>
      </c>
      <c r="W4973" s="285">
        <f t="shared" si="313"/>
        <v>2761.1288198103266</v>
      </c>
      <c r="X4973" s="446">
        <f t="shared" si="307"/>
        <v>8.3480176211453738</v>
      </c>
    </row>
    <row r="4974" spans="1:24" ht="15" customHeight="1">
      <c r="A4974" s="3">
        <v>42790</v>
      </c>
      <c r="B4974" s="9">
        <v>77875</v>
      </c>
      <c r="C4974" s="5">
        <v>0</v>
      </c>
      <c r="D4974" s="5">
        <v>112450</v>
      </c>
      <c r="E4974" s="5">
        <v>190325</v>
      </c>
      <c r="F4974" s="4">
        <v>525</v>
      </c>
      <c r="G4974" s="5">
        <v>0</v>
      </c>
      <c r="H4974" s="5">
        <v>70300</v>
      </c>
      <c r="I4974" s="118">
        <f t="shared" si="310"/>
        <v>0.3693681859976356</v>
      </c>
      <c r="J4974" s="5">
        <v>29016</v>
      </c>
      <c r="K4974" s="22">
        <v>2231</v>
      </c>
      <c r="L4974" s="6">
        <v>2241</v>
      </c>
      <c r="M4974" s="125">
        <f t="shared" si="311"/>
        <v>10</v>
      </c>
      <c r="P4974" s="247">
        <v>18750</v>
      </c>
      <c r="Q4974" s="25">
        <f>165.93/1138.8</f>
        <v>0.14570600632244468</v>
      </c>
      <c r="W4974" s="285">
        <f t="shared" si="313"/>
        <v>2731.9876185458379</v>
      </c>
      <c r="X4974" s="446">
        <f t="shared" si="307"/>
        <v>8.4043030031376063</v>
      </c>
    </row>
    <row r="4975" spans="1:24" ht="15" customHeight="1">
      <c r="A4975" s="3">
        <v>42793</v>
      </c>
      <c r="B4975" s="9">
        <v>77875</v>
      </c>
      <c r="C4975" s="5">
        <v>0</v>
      </c>
      <c r="D4975" s="5">
        <v>112450</v>
      </c>
      <c r="E4975" s="5">
        <v>190325</v>
      </c>
      <c r="F4975" s="4">
        <v>0</v>
      </c>
      <c r="G4975" s="5">
        <v>0</v>
      </c>
      <c r="H4975" s="5">
        <v>70325</v>
      </c>
      <c r="I4975" s="118">
        <f t="shared" si="310"/>
        <v>0.36949954026008142</v>
      </c>
      <c r="J4975" s="5">
        <v>31479</v>
      </c>
      <c r="K4975" s="22">
        <v>2257</v>
      </c>
      <c r="L4975" s="6">
        <v>2260</v>
      </c>
      <c r="M4975" s="125">
        <f t="shared" si="311"/>
        <v>3</v>
      </c>
      <c r="P4975" s="247">
        <v>18850</v>
      </c>
      <c r="Q4975" s="25">
        <f>165.93/1138.8</f>
        <v>0.14570600632244468</v>
      </c>
      <c r="W4975" s="285">
        <f t="shared" si="313"/>
        <v>2746.5582191780823</v>
      </c>
      <c r="X4975" s="446">
        <f t="shared" si="307"/>
        <v>8.351794417368188</v>
      </c>
    </row>
    <row r="4976" spans="1:24" ht="15" customHeight="1">
      <c r="A4976" s="3">
        <v>42794</v>
      </c>
      <c r="B4976" s="9">
        <v>77475</v>
      </c>
      <c r="C4976" s="5">
        <v>0</v>
      </c>
      <c r="D4976" s="5">
        <v>112275</v>
      </c>
      <c r="E4976" s="5">
        <v>189750</v>
      </c>
      <c r="F4976" s="4">
        <v>0</v>
      </c>
      <c r="G4976" s="5">
        <v>575</v>
      </c>
      <c r="H4976" s="5">
        <v>69750</v>
      </c>
      <c r="I4976" s="118">
        <f t="shared" si="310"/>
        <v>0.3675889328063241</v>
      </c>
      <c r="J4976" s="5">
        <v>28109</v>
      </c>
      <c r="K4976" s="22">
        <v>2272</v>
      </c>
      <c r="L4976" s="6">
        <v>2275</v>
      </c>
      <c r="M4976" s="125">
        <f t="shared" si="311"/>
        <v>3</v>
      </c>
      <c r="N4976" s="235">
        <f>AVERAGE(K4957:K4976)</f>
        <v>2321.7249999999999</v>
      </c>
      <c r="O4976" s="230">
        <f>AVERAGE(K4935:K4976)</f>
        <v>2278.1707317073169</v>
      </c>
      <c r="P4976" s="247">
        <v>18600</v>
      </c>
      <c r="Q4976" s="25">
        <f>165.2/1132.3</f>
        <v>0.14589773028349376</v>
      </c>
      <c r="W4976" s="285">
        <f t="shared" si="313"/>
        <v>2713.697783272984</v>
      </c>
      <c r="X4976" s="446">
        <f t="shared" si="307"/>
        <v>8.1866197183098599</v>
      </c>
    </row>
    <row r="4977" spans="1:24" ht="15" customHeight="1" thickBot="1">
      <c r="A4977" s="216"/>
      <c r="B4977" s="1330"/>
      <c r="C4977" s="1330"/>
      <c r="D4977" s="1330"/>
      <c r="E4977" s="216"/>
      <c r="F4977" s="407"/>
      <c r="G4977" s="164"/>
      <c r="H4977" s="164"/>
      <c r="I4977" s="166"/>
      <c r="J4977" s="166"/>
      <c r="K4977" s="166"/>
      <c r="L4977" s="167"/>
      <c r="M4977" s="168"/>
      <c r="N4977" s="169" t="s">
        <v>52</v>
      </c>
      <c r="O4977" s="183"/>
      <c r="P4977" s="180"/>
      <c r="Q4977" s="154"/>
      <c r="R4977" s="248"/>
      <c r="S4977" s="249"/>
      <c r="T4977" s="249"/>
      <c r="U4977" s="152"/>
      <c r="V4977" s="153">
        <f>AVERAGE(P4956:P4976)</f>
        <v>18957.777777777777</v>
      </c>
      <c r="W4977" s="295"/>
      <c r="X4977" s="447">
        <f>AVERAGE(X4957:X4976)</f>
        <v>7.7472295944559058</v>
      </c>
    </row>
    <row r="4978" spans="1:24" ht="15" customHeight="1">
      <c r="A4978" s="3">
        <v>42795</v>
      </c>
      <c r="B4978" s="9">
        <v>77475</v>
      </c>
      <c r="C4978" s="5">
        <v>0</v>
      </c>
      <c r="D4978" s="5">
        <v>112125</v>
      </c>
      <c r="E4978" s="5">
        <v>189600</v>
      </c>
      <c r="F4978" s="4">
        <v>0</v>
      </c>
      <c r="G4978" s="5">
        <v>150</v>
      </c>
      <c r="H4978" s="5">
        <v>69600</v>
      </c>
      <c r="I4978" s="118">
        <f t="shared" si="310"/>
        <v>0.36708860759493672</v>
      </c>
      <c r="J4978" s="5">
        <v>116368</v>
      </c>
      <c r="K4978" s="22">
        <v>2287</v>
      </c>
      <c r="L4978" s="6">
        <v>2290</v>
      </c>
      <c r="M4978" s="125">
        <f t="shared" si="311"/>
        <v>3</v>
      </c>
      <c r="P4978" s="247">
        <v>18600</v>
      </c>
      <c r="Q4978" s="25">
        <f>165.2/1132.3</f>
        <v>0.14589773028349376</v>
      </c>
      <c r="W4978" s="285">
        <f t="shared" si="313"/>
        <v>2713.697783272984</v>
      </c>
      <c r="X4978" s="446">
        <f t="shared" si="307"/>
        <v>8.1329252295583743</v>
      </c>
    </row>
    <row r="4979" spans="1:24" ht="15" customHeight="1">
      <c r="A4979" s="3">
        <v>42796</v>
      </c>
      <c r="B4979" s="9">
        <v>77475</v>
      </c>
      <c r="C4979" s="5">
        <v>0</v>
      </c>
      <c r="D4979" s="5">
        <v>112425</v>
      </c>
      <c r="E4979" s="5">
        <v>189900</v>
      </c>
      <c r="F4979" s="4">
        <v>350</v>
      </c>
      <c r="G4979" s="5">
        <v>50</v>
      </c>
      <c r="H4979" s="5">
        <v>69550</v>
      </c>
      <c r="I4979" s="118">
        <f t="shared" si="310"/>
        <v>0.36624539231174302</v>
      </c>
      <c r="J4979" s="5">
        <v>45781</v>
      </c>
      <c r="K4979" s="22">
        <v>2273</v>
      </c>
      <c r="L4979" s="6">
        <v>2282</v>
      </c>
      <c r="M4979" s="125">
        <f t="shared" si="311"/>
        <v>9</v>
      </c>
      <c r="P4979" s="247">
        <v>18850</v>
      </c>
      <c r="Q4979" s="25">
        <f>165.2/1132.3</f>
        <v>0.14589773028349376</v>
      </c>
      <c r="W4979" s="285">
        <f t="shared" si="313"/>
        <v>2750.1722158438574</v>
      </c>
      <c r="X4979" s="446">
        <f t="shared" si="307"/>
        <v>8.2930048394192699</v>
      </c>
    </row>
    <row r="4980" spans="1:24" ht="15" customHeight="1">
      <c r="A4980" s="3">
        <v>42797</v>
      </c>
      <c r="B4980" s="9">
        <v>77475</v>
      </c>
      <c r="C4980" s="5">
        <v>0</v>
      </c>
      <c r="D4980" s="5">
        <v>112275</v>
      </c>
      <c r="E4980" s="5">
        <v>189750</v>
      </c>
      <c r="F4980" s="4">
        <v>0</v>
      </c>
      <c r="G4980" s="5">
        <v>150</v>
      </c>
      <c r="H4980" s="5">
        <v>69400</v>
      </c>
      <c r="I4980" s="118">
        <f t="shared" ref="I4980:I5010" si="314">H4980/E4980</f>
        <v>0.36574440052700924</v>
      </c>
      <c r="J4980" s="5">
        <v>28112</v>
      </c>
      <c r="K4980" s="22">
        <v>2247.5</v>
      </c>
      <c r="L4980" s="6">
        <v>2255</v>
      </c>
      <c r="M4980" s="125">
        <f t="shared" ref="M4980:M5010" si="315">L4980-K4980</f>
        <v>7.5</v>
      </c>
      <c r="P4980" s="247">
        <v>18600</v>
      </c>
      <c r="Q4980" s="25">
        <f>167.29/1152.7</f>
        <v>0.14512882796911597</v>
      </c>
      <c r="W4980" s="285">
        <f t="shared" si="313"/>
        <v>2699.3962002255571</v>
      </c>
      <c r="X4980" s="446">
        <f t="shared" si="307"/>
        <v>8.2758620689655178</v>
      </c>
    </row>
    <row r="4981" spans="1:24" ht="15" customHeight="1">
      <c r="A4981" s="3">
        <v>42800</v>
      </c>
      <c r="B4981" s="9">
        <v>77475</v>
      </c>
      <c r="C4981" s="5">
        <v>0</v>
      </c>
      <c r="D4981" s="5">
        <v>112250</v>
      </c>
      <c r="E4981" s="5">
        <v>189725</v>
      </c>
      <c r="F4981" s="4">
        <v>0</v>
      </c>
      <c r="G4981" s="5">
        <v>25</v>
      </c>
      <c r="H4981" s="5">
        <v>69425</v>
      </c>
      <c r="I4981" s="118">
        <f t="shared" si="314"/>
        <v>0.36592436421135854</v>
      </c>
      <c r="J4981" s="5">
        <v>26436</v>
      </c>
      <c r="K4981" s="22">
        <v>2223</v>
      </c>
      <c r="L4981" s="6">
        <v>2225</v>
      </c>
      <c r="M4981" s="125">
        <f t="shared" si="315"/>
        <v>2</v>
      </c>
      <c r="P4981" s="247">
        <v>18470</v>
      </c>
      <c r="Q4981" s="25">
        <f>167.29/1152.7</f>
        <v>0.14512882796911597</v>
      </c>
      <c r="W4981" s="285">
        <f t="shared" si="313"/>
        <v>2680.529452589572</v>
      </c>
      <c r="X4981" s="446">
        <f t="shared" si="307"/>
        <v>8.3085919928025191</v>
      </c>
    </row>
    <row r="4982" spans="1:24" ht="15" customHeight="1">
      <c r="A4982" s="3">
        <v>42801</v>
      </c>
      <c r="B4982" s="9">
        <v>77475</v>
      </c>
      <c r="C4982" s="5">
        <v>0</v>
      </c>
      <c r="D4982" s="5">
        <v>112250</v>
      </c>
      <c r="E4982" s="5">
        <v>189725</v>
      </c>
      <c r="F4982" s="4">
        <v>0</v>
      </c>
      <c r="G4982" s="5">
        <v>0</v>
      </c>
      <c r="H4982" s="5">
        <v>69425</v>
      </c>
      <c r="I4982" s="118">
        <f t="shared" si="314"/>
        <v>0.36592436421135854</v>
      </c>
      <c r="J4982" s="5">
        <v>32043</v>
      </c>
      <c r="K4982" s="22">
        <v>2220</v>
      </c>
      <c r="L4982" s="6">
        <v>2227</v>
      </c>
      <c r="M4982" s="125">
        <f t="shared" si="315"/>
        <v>7</v>
      </c>
      <c r="P4982" s="247">
        <v>18270</v>
      </c>
      <c r="Q4982" s="25">
        <f>166.84/1151.2</f>
        <v>0.14492703266157053</v>
      </c>
      <c r="W4982" s="285">
        <f t="shared" ref="W4982:W5000" si="316">(P4982*Q4982)*(1+U4982)</f>
        <v>2647.8168867268937</v>
      </c>
      <c r="X4982" s="446">
        <f t="shared" si="307"/>
        <v>8.2297297297297298</v>
      </c>
    </row>
    <row r="4983" spans="1:24" ht="15" customHeight="1">
      <c r="A4983" s="3">
        <v>42802</v>
      </c>
      <c r="B4983" s="9">
        <v>77475</v>
      </c>
      <c r="C4983" s="5">
        <v>0</v>
      </c>
      <c r="D4983" s="5">
        <v>112250</v>
      </c>
      <c r="E4983" s="5">
        <v>189725</v>
      </c>
      <c r="F4983" s="4">
        <v>0</v>
      </c>
      <c r="G4983" s="5">
        <v>0</v>
      </c>
      <c r="H4983" s="5">
        <v>69475</v>
      </c>
      <c r="I4983" s="118">
        <f t="shared" si="314"/>
        <v>0.36618790354460401</v>
      </c>
      <c r="J4983" s="5">
        <v>42622</v>
      </c>
      <c r="K4983" s="22">
        <v>2240</v>
      </c>
      <c r="L4983" s="6">
        <v>2245</v>
      </c>
      <c r="M4983" s="125">
        <f t="shared" si="315"/>
        <v>5</v>
      </c>
      <c r="P4983" s="247">
        <v>18070</v>
      </c>
      <c r="Q4983" s="25">
        <f>166.65/1152.5</f>
        <v>0.14459869848156182</v>
      </c>
      <c r="W4983" s="285">
        <f t="shared" si="316"/>
        <v>2612.8984815618219</v>
      </c>
      <c r="X4983" s="446">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18">
        <f t="shared" si="314"/>
        <v>0.36488970588235292</v>
      </c>
      <c r="J4984" s="5">
        <v>33012</v>
      </c>
      <c r="K4984" s="22">
        <v>2227</v>
      </c>
      <c r="L4984" s="6">
        <v>2229</v>
      </c>
      <c r="M4984" s="125">
        <f t="shared" si="315"/>
        <v>2</v>
      </c>
      <c r="P4984" s="247">
        <v>17920</v>
      </c>
      <c r="Q4984" s="25">
        <f>166.9/1156.1</f>
        <v>0.14436467433613012</v>
      </c>
      <c r="W4984" s="285">
        <f t="shared" si="316"/>
        <v>2587.0149641034518</v>
      </c>
      <c r="X4984" s="446">
        <f t="shared" si="317"/>
        <v>8.0466995958688816</v>
      </c>
    </row>
    <row r="4985" spans="1:24" ht="15" customHeight="1">
      <c r="A4985" s="3">
        <v>42804</v>
      </c>
      <c r="B4985" s="9">
        <v>77475</v>
      </c>
      <c r="C4985" s="5">
        <v>0</v>
      </c>
      <c r="D4985" s="5">
        <v>112925</v>
      </c>
      <c r="E4985" s="5">
        <v>190400</v>
      </c>
      <c r="F4985" s="4">
        <v>0</v>
      </c>
      <c r="G4985" s="5">
        <v>0</v>
      </c>
      <c r="H4985" s="5">
        <v>69550</v>
      </c>
      <c r="I4985" s="118">
        <f t="shared" si="314"/>
        <v>0.36528361344537813</v>
      </c>
      <c r="J4985" s="5">
        <v>47625</v>
      </c>
      <c r="K4985" s="22">
        <v>2258</v>
      </c>
      <c r="L4985" s="6">
        <v>2263</v>
      </c>
      <c r="M4985" s="125">
        <f t="shared" si="315"/>
        <v>5</v>
      </c>
      <c r="P4985" s="247">
        <v>17920</v>
      </c>
      <c r="Q4985" s="25">
        <f>166.9/1156.1</f>
        <v>0.14436467433613012</v>
      </c>
      <c r="W4985" s="285">
        <f t="shared" si="316"/>
        <v>2587.0149641034518</v>
      </c>
      <c r="X4985" s="446">
        <f t="shared" si="317"/>
        <v>7.9362267493356953</v>
      </c>
    </row>
    <row r="4986" spans="1:24" ht="15" customHeight="1">
      <c r="A4986" s="3">
        <v>42807</v>
      </c>
      <c r="B4986" s="9">
        <v>77475</v>
      </c>
      <c r="C4986" s="5">
        <v>0</v>
      </c>
      <c r="D4986" s="5">
        <v>112925</v>
      </c>
      <c r="E4986" s="5">
        <v>190400</v>
      </c>
      <c r="F4986" s="4">
        <v>0</v>
      </c>
      <c r="G4986" s="5">
        <v>0</v>
      </c>
      <c r="H4986" s="5">
        <v>69550</v>
      </c>
      <c r="I4986" s="118">
        <f t="shared" si="314"/>
        <v>0.36528361344537813</v>
      </c>
      <c r="J4986" s="5">
        <v>35848</v>
      </c>
      <c r="K4986" s="22">
        <v>2284.5</v>
      </c>
      <c r="L4986" s="6">
        <v>2296</v>
      </c>
      <c r="M4986" s="125">
        <f t="shared" si="315"/>
        <v>11.5</v>
      </c>
      <c r="P4986" s="247">
        <v>17970</v>
      </c>
      <c r="Q4986" s="25">
        <f>166.62/1147.7</f>
        <v>0.14517731114402718</v>
      </c>
      <c r="W4986" s="285">
        <f t="shared" si="316"/>
        <v>2608.8362812581686</v>
      </c>
      <c r="X4986" s="446">
        <f t="shared" si="317"/>
        <v>7.8660538411030858</v>
      </c>
    </row>
    <row r="4987" spans="1:24" ht="15" customHeight="1">
      <c r="A4987" s="3">
        <v>42808</v>
      </c>
      <c r="B4987" s="9">
        <v>77475</v>
      </c>
      <c r="C4987" s="5">
        <v>0</v>
      </c>
      <c r="D4987" s="5">
        <v>113525</v>
      </c>
      <c r="E4987" s="5">
        <v>191000</v>
      </c>
      <c r="F4987" s="4">
        <v>600</v>
      </c>
      <c r="G4987" s="5">
        <v>0</v>
      </c>
      <c r="H4987" s="5">
        <v>69550</v>
      </c>
      <c r="I4987" s="118">
        <f t="shared" si="314"/>
        <v>0.36413612565445025</v>
      </c>
      <c r="J4987" s="5">
        <v>53122</v>
      </c>
      <c r="K4987" s="22">
        <v>2210.5</v>
      </c>
      <c r="L4987" s="6">
        <v>2222</v>
      </c>
      <c r="M4987" s="125">
        <f t="shared" si="315"/>
        <v>11.5</v>
      </c>
      <c r="P4987" s="247">
        <v>18020</v>
      </c>
      <c r="Q4987" s="25">
        <f>166.24/1147.3</f>
        <v>0.14489671402423082</v>
      </c>
      <c r="W4987" s="285">
        <f t="shared" si="316"/>
        <v>2611.0387867166396</v>
      </c>
      <c r="X4987" s="446">
        <f t="shared" si="317"/>
        <v>8.1520018095453519</v>
      </c>
    </row>
    <row r="4988" spans="1:24" ht="15" customHeight="1">
      <c r="A4988" s="3">
        <v>42809</v>
      </c>
      <c r="B4988" s="9">
        <v>77075</v>
      </c>
      <c r="C4988" s="5">
        <v>0</v>
      </c>
      <c r="D4988" s="5">
        <v>113475</v>
      </c>
      <c r="E4988" s="5">
        <v>190550</v>
      </c>
      <c r="F4988" s="4">
        <v>0</v>
      </c>
      <c r="G4988" s="5">
        <v>450</v>
      </c>
      <c r="H4988" s="5">
        <v>69100</v>
      </c>
      <c r="I4988" s="118">
        <f t="shared" si="314"/>
        <v>0.3626344791393335</v>
      </c>
      <c r="J4988" s="5">
        <v>80277</v>
      </c>
      <c r="K4988" s="22">
        <v>2217</v>
      </c>
      <c r="L4988" s="6">
        <v>2235</v>
      </c>
      <c r="M4988" s="125">
        <f t="shared" si="315"/>
        <v>18</v>
      </c>
      <c r="P4988" s="247">
        <v>18020</v>
      </c>
      <c r="Q4988" s="25">
        <f>166.24/1147.3</f>
        <v>0.14489671402423082</v>
      </c>
      <c r="W4988" s="285">
        <f t="shared" si="316"/>
        <v>2611.0387867166396</v>
      </c>
      <c r="X4988" s="446">
        <f t="shared" si="317"/>
        <v>8.128101037437979</v>
      </c>
    </row>
    <row r="4989" spans="1:24" ht="15" customHeight="1">
      <c r="A4989" s="3">
        <v>42810</v>
      </c>
      <c r="B4989" s="9">
        <v>76975</v>
      </c>
      <c r="C4989" s="5">
        <v>0</v>
      </c>
      <c r="D4989" s="5">
        <v>113450</v>
      </c>
      <c r="E4989" s="5">
        <v>190425</v>
      </c>
      <c r="F4989" s="4">
        <v>0</v>
      </c>
      <c r="G4989" s="5">
        <v>125</v>
      </c>
      <c r="H4989" s="5">
        <v>68975</v>
      </c>
      <c r="I4989" s="118">
        <f t="shared" si="314"/>
        <v>0.36221609557568596</v>
      </c>
      <c r="J4989" s="5">
        <v>36557</v>
      </c>
      <c r="K4989" s="22">
        <v>2267</v>
      </c>
      <c r="L4989" s="6">
        <v>2280</v>
      </c>
      <c r="M4989" s="125">
        <f t="shared" si="315"/>
        <v>13</v>
      </c>
      <c r="P4989" s="247">
        <v>18120</v>
      </c>
      <c r="Q4989" s="25">
        <f>166.24/1147.3</f>
        <v>0.14489671402423082</v>
      </c>
      <c r="W4989" s="285">
        <f t="shared" si="316"/>
        <v>2625.5284581190626</v>
      </c>
      <c r="X4989" s="446">
        <f t="shared" si="317"/>
        <v>7.9929422143802382</v>
      </c>
    </row>
    <row r="4990" spans="1:24" ht="15" customHeight="1">
      <c r="A4990" s="3">
        <v>42811</v>
      </c>
      <c r="B4990" s="9">
        <v>76975</v>
      </c>
      <c r="C4990" s="5">
        <v>0</v>
      </c>
      <c r="D4990" s="5">
        <v>113450</v>
      </c>
      <c r="E4990" s="5">
        <v>190425</v>
      </c>
      <c r="F4990" s="4">
        <v>0</v>
      </c>
      <c r="G4990" s="5">
        <v>0</v>
      </c>
      <c r="H4990" s="5">
        <v>68975</v>
      </c>
      <c r="I4990" s="118">
        <f t="shared" si="314"/>
        <v>0.36221609557568596</v>
      </c>
      <c r="J4990" s="5">
        <v>32927</v>
      </c>
      <c r="K4990" s="22">
        <v>2260</v>
      </c>
      <c r="L4990" s="6">
        <v>2267</v>
      </c>
      <c r="M4990" s="125">
        <f t="shared" si="315"/>
        <v>7</v>
      </c>
      <c r="P4990" s="247">
        <v>18220</v>
      </c>
      <c r="Q4990" s="25">
        <f>164.83/1131.7</f>
        <v>0.1456481399664222</v>
      </c>
      <c r="W4990" s="285">
        <f t="shared" si="316"/>
        <v>2653.7091101882124</v>
      </c>
      <c r="X4990" s="446">
        <f t="shared" si="317"/>
        <v>8.0619469026548671</v>
      </c>
    </row>
    <row r="4991" spans="1:24" ht="15" customHeight="1">
      <c r="A4991" s="3">
        <v>42814</v>
      </c>
      <c r="B4991" s="9">
        <v>76975</v>
      </c>
      <c r="C4991" s="5">
        <v>0</v>
      </c>
      <c r="D4991" s="5">
        <v>113450</v>
      </c>
      <c r="E4991" s="5">
        <v>190425</v>
      </c>
      <c r="F4991" s="4">
        <v>0</v>
      </c>
      <c r="G4991" s="5">
        <v>0</v>
      </c>
      <c r="H4991" s="5">
        <v>68975</v>
      </c>
      <c r="I4991" s="118">
        <f t="shared" si="314"/>
        <v>0.36221609557568596</v>
      </c>
      <c r="J4991" s="5">
        <v>30759</v>
      </c>
      <c r="K4991" s="22">
        <v>2280.5</v>
      </c>
      <c r="L4991" s="6">
        <v>2297</v>
      </c>
      <c r="M4991" s="125">
        <f t="shared" si="315"/>
        <v>16.5</v>
      </c>
      <c r="P4991" s="247">
        <v>18220</v>
      </c>
      <c r="Q4991" s="25">
        <f>164.83/1131.7</f>
        <v>0.1456481399664222</v>
      </c>
      <c r="W4991" s="285">
        <f t="shared" si="316"/>
        <v>2653.7091101882124</v>
      </c>
      <c r="X4991" s="446">
        <f t="shared" si="317"/>
        <v>7.9894759921069944</v>
      </c>
    </row>
    <row r="4992" spans="1:24" ht="15" customHeight="1">
      <c r="A4992" s="3">
        <v>42815</v>
      </c>
      <c r="B4992" s="9">
        <v>76575</v>
      </c>
      <c r="C4992" s="5">
        <v>0</v>
      </c>
      <c r="D4992" s="5">
        <v>113450</v>
      </c>
      <c r="E4992" s="5">
        <v>190025</v>
      </c>
      <c r="F4992" s="4">
        <v>0</v>
      </c>
      <c r="G4992" s="5">
        <v>400</v>
      </c>
      <c r="H4992" s="5">
        <v>68575</v>
      </c>
      <c r="I4992" s="118">
        <f t="shared" si="314"/>
        <v>0.36087356926720171</v>
      </c>
      <c r="J4992" s="5">
        <v>28196</v>
      </c>
      <c r="K4992" s="22">
        <v>2284</v>
      </c>
      <c r="L4992" s="6">
        <v>2291</v>
      </c>
      <c r="M4992" s="125">
        <f t="shared" si="315"/>
        <v>7</v>
      </c>
      <c r="P4992" s="247">
        <v>18120</v>
      </c>
      <c r="Q4992" s="25">
        <f>162.09/1117.5</f>
        <v>0.14504697986577181</v>
      </c>
      <c r="W4992" s="285">
        <f t="shared" si="316"/>
        <v>2628.251275167785</v>
      </c>
      <c r="X4992" s="446">
        <f t="shared" si="317"/>
        <v>7.9334500875656744</v>
      </c>
    </row>
    <row r="4993" spans="1:24" ht="15" customHeight="1">
      <c r="A4993" s="3">
        <v>42816</v>
      </c>
      <c r="B4993" s="9">
        <v>76775</v>
      </c>
      <c r="C4993" s="5">
        <v>0</v>
      </c>
      <c r="D4993" s="5">
        <v>113425</v>
      </c>
      <c r="E4993" s="5">
        <v>190200</v>
      </c>
      <c r="F4993" s="4">
        <v>200</v>
      </c>
      <c r="G4993" s="5">
        <v>25</v>
      </c>
      <c r="H4993" s="5">
        <v>112175</v>
      </c>
      <c r="I4993" s="118">
        <f t="shared" si="314"/>
        <v>0.5897739221871714</v>
      </c>
      <c r="J4993" s="5">
        <v>37256</v>
      </c>
      <c r="K4993" s="22">
        <v>2319</v>
      </c>
      <c r="L4993" s="6">
        <v>2324</v>
      </c>
      <c r="M4993" s="125">
        <f t="shared" si="315"/>
        <v>5</v>
      </c>
      <c r="P4993" s="247">
        <v>17950</v>
      </c>
      <c r="Q4993" s="25">
        <f>163.57/1123.8</f>
        <v>0.14555080975262502</v>
      </c>
      <c r="W4993" s="285">
        <f t="shared" si="316"/>
        <v>2612.6370350596189</v>
      </c>
      <c r="X4993" s="446">
        <f t="shared" si="317"/>
        <v>7.740405347132385</v>
      </c>
    </row>
    <row r="4994" spans="1:24" ht="15" customHeight="1">
      <c r="A4994" s="3">
        <v>42817</v>
      </c>
      <c r="B4994" s="9">
        <v>76775</v>
      </c>
      <c r="C4994" s="5">
        <v>0</v>
      </c>
      <c r="D4994" s="5">
        <v>113425</v>
      </c>
      <c r="E4994" s="5">
        <v>190200</v>
      </c>
      <c r="F4994" s="4">
        <v>0</v>
      </c>
      <c r="G4994" s="5">
        <v>0</v>
      </c>
      <c r="H4994" s="5">
        <v>112175</v>
      </c>
      <c r="I4994" s="118">
        <f t="shared" si="314"/>
        <v>0.5897739221871714</v>
      </c>
      <c r="J4994" s="5">
        <v>60390</v>
      </c>
      <c r="K4994" s="22">
        <v>2363</v>
      </c>
      <c r="L4994" s="6">
        <v>2368</v>
      </c>
      <c r="M4994" s="125">
        <f t="shared" si="315"/>
        <v>5</v>
      </c>
      <c r="P4994" s="247">
        <v>18270</v>
      </c>
      <c r="Q4994" s="25">
        <f>162.91/1120</f>
        <v>0.14545535714285715</v>
      </c>
      <c r="W4994" s="285">
        <f t="shared" si="316"/>
        <v>2657.4693750000001</v>
      </c>
      <c r="X4994" s="446">
        <f t="shared" si="317"/>
        <v>7.7316969953449002</v>
      </c>
    </row>
    <row r="4995" spans="1:24" ht="15" customHeight="1">
      <c r="A4995" s="3">
        <v>42818</v>
      </c>
      <c r="B4995" s="9">
        <v>76775</v>
      </c>
      <c r="C4995" s="5">
        <v>0</v>
      </c>
      <c r="D4995" s="5">
        <v>113425</v>
      </c>
      <c r="E4995" s="5">
        <v>190200</v>
      </c>
      <c r="F4995" s="4">
        <v>0</v>
      </c>
      <c r="G4995" s="5">
        <v>0</v>
      </c>
      <c r="H4995" s="5">
        <v>112225</v>
      </c>
      <c r="I4995" s="118">
        <f t="shared" si="314"/>
        <v>0.59003680336487907</v>
      </c>
      <c r="J4995" s="5">
        <v>37898</v>
      </c>
      <c r="K4995" s="22">
        <v>2346</v>
      </c>
      <c r="L4995" s="6">
        <v>2355</v>
      </c>
      <c r="M4995" s="125">
        <f t="shared" si="315"/>
        <v>9</v>
      </c>
      <c r="P4995" s="247">
        <v>18070</v>
      </c>
      <c r="Q4995" s="25">
        <f>163.21/1122.7</f>
        <v>0.14537276209138683</v>
      </c>
      <c r="W4995" s="285">
        <f t="shared" si="316"/>
        <v>2626.8858109913599</v>
      </c>
      <c r="X4995" s="446">
        <f t="shared" si="317"/>
        <v>7.7024722932651324</v>
      </c>
    </row>
    <row r="4996" spans="1:24" ht="15" customHeight="1">
      <c r="A4996" s="3">
        <v>42821</v>
      </c>
      <c r="B4996" s="9">
        <v>76775</v>
      </c>
      <c r="C4996" s="5">
        <v>0</v>
      </c>
      <c r="D4996" s="5">
        <v>113425</v>
      </c>
      <c r="E4996" s="5">
        <v>190200</v>
      </c>
      <c r="F4996" s="4">
        <v>0</v>
      </c>
      <c r="G4996" s="5">
        <v>0</v>
      </c>
      <c r="H4996" s="5">
        <v>112275</v>
      </c>
      <c r="I4996" s="118">
        <f t="shared" si="314"/>
        <v>0.59029968454258674</v>
      </c>
      <c r="J4996" s="5">
        <v>25385</v>
      </c>
      <c r="K4996" s="22">
        <v>2305</v>
      </c>
      <c r="L4996" s="6">
        <v>2318</v>
      </c>
      <c r="M4996" s="125">
        <f t="shared" si="315"/>
        <v>13</v>
      </c>
      <c r="P4996" s="247">
        <v>17920</v>
      </c>
      <c r="Q4996" s="25">
        <f>162.48/1114.2</f>
        <v>0.14582660204631123</v>
      </c>
      <c r="W4996" s="285">
        <f t="shared" si="316"/>
        <v>2613.2127086698974</v>
      </c>
      <c r="X4996" s="446">
        <f t="shared" si="317"/>
        <v>7.7744034707158347</v>
      </c>
    </row>
    <row r="4997" spans="1:24" ht="15" customHeight="1">
      <c r="A4997" s="3">
        <v>42822</v>
      </c>
      <c r="B4997" s="9">
        <v>76775</v>
      </c>
      <c r="C4997" s="5">
        <v>0</v>
      </c>
      <c r="D4997" s="5">
        <v>113425</v>
      </c>
      <c r="E4997" s="5">
        <v>190200</v>
      </c>
      <c r="F4997" s="4">
        <v>0</v>
      </c>
      <c r="G4997" s="5">
        <v>0</v>
      </c>
      <c r="H4997" s="5">
        <v>112275</v>
      </c>
      <c r="I4997" s="118">
        <f t="shared" si="314"/>
        <v>0.59029968454258674</v>
      </c>
      <c r="J4997" s="5">
        <v>28447</v>
      </c>
      <c r="K4997" s="22">
        <v>2308</v>
      </c>
      <c r="L4997" s="6">
        <v>2314</v>
      </c>
      <c r="M4997" s="125">
        <f t="shared" si="315"/>
        <v>6</v>
      </c>
      <c r="P4997" s="247">
        <v>17570</v>
      </c>
      <c r="Q4997" s="25">
        <f>162.15/1112.5</f>
        <v>0.14575280898876405</v>
      </c>
      <c r="W4997" s="285">
        <f t="shared" si="316"/>
        <v>2560.8768539325843</v>
      </c>
      <c r="X4997" s="446">
        <f t="shared" si="317"/>
        <v>7.6126516464471408</v>
      </c>
    </row>
    <row r="4998" spans="1:24" ht="15" customHeight="1">
      <c r="A4998" s="3">
        <v>42823</v>
      </c>
      <c r="B4998" s="9">
        <v>76775</v>
      </c>
      <c r="C4998" s="5">
        <v>0</v>
      </c>
      <c r="D4998" s="5">
        <v>113375</v>
      </c>
      <c r="E4998" s="5">
        <v>190150</v>
      </c>
      <c r="F4998" s="4">
        <v>0</v>
      </c>
      <c r="G4998" s="5">
        <v>50</v>
      </c>
      <c r="H4998" s="5">
        <v>112225</v>
      </c>
      <c r="I4998" s="118">
        <f t="shared" si="314"/>
        <v>0.59019195372074673</v>
      </c>
      <c r="J4998" s="5">
        <v>34432</v>
      </c>
      <c r="K4998" s="22">
        <v>2308</v>
      </c>
      <c r="L4998" s="6">
        <v>2314</v>
      </c>
      <c r="M4998" s="125">
        <f t="shared" si="315"/>
        <v>6</v>
      </c>
      <c r="P4998" s="247">
        <v>17570</v>
      </c>
      <c r="Q4998" s="25">
        <f>162.02/1114</f>
        <v>0.1454398563734291</v>
      </c>
      <c r="W4998" s="285">
        <f t="shared" si="316"/>
        <v>2555.3782764811494</v>
      </c>
      <c r="X4998" s="446">
        <f t="shared" si="317"/>
        <v>7.6126516464471408</v>
      </c>
    </row>
    <row r="4999" spans="1:24" ht="15" customHeight="1">
      <c r="A4999" s="3">
        <v>42824</v>
      </c>
      <c r="B4999" s="9">
        <v>76725</v>
      </c>
      <c r="C4999" s="5">
        <v>0</v>
      </c>
      <c r="D4999" s="5">
        <v>112375</v>
      </c>
      <c r="E4999" s="5">
        <v>189100</v>
      </c>
      <c r="F4999" s="4">
        <v>0</v>
      </c>
      <c r="G4999" s="5">
        <v>1050</v>
      </c>
      <c r="H4999" s="5">
        <v>111250</v>
      </c>
      <c r="I4999" s="118">
        <f t="shared" si="314"/>
        <v>0.58831306187202537</v>
      </c>
      <c r="J4999" s="5">
        <v>25565</v>
      </c>
      <c r="K4999" s="22">
        <v>2340</v>
      </c>
      <c r="L4999" s="6">
        <v>2340</v>
      </c>
      <c r="M4999" s="125">
        <f t="shared" si="315"/>
        <v>0</v>
      </c>
      <c r="P4999" s="247">
        <v>17470</v>
      </c>
      <c r="Q4999" s="25">
        <f>162.27/1116.1</f>
        <v>0.14539019801093095</v>
      </c>
      <c r="W4999" s="285">
        <f t="shared" si="316"/>
        <v>2539.9667592509636</v>
      </c>
      <c r="X4999" s="446">
        <f t="shared" si="317"/>
        <v>7.4658119658119659</v>
      </c>
    </row>
    <row r="5000" spans="1:24" ht="15" customHeight="1">
      <c r="A5000" s="3">
        <v>42825</v>
      </c>
      <c r="B5000" s="9">
        <v>76675</v>
      </c>
      <c r="C5000" s="5">
        <v>0</v>
      </c>
      <c r="D5000" s="5">
        <v>110500</v>
      </c>
      <c r="E5000" s="5">
        <v>187175</v>
      </c>
      <c r="F5000" s="4">
        <v>0</v>
      </c>
      <c r="G5000" s="5">
        <v>1925</v>
      </c>
      <c r="H5000" s="5">
        <v>109375</v>
      </c>
      <c r="I5000" s="118">
        <f t="shared" si="314"/>
        <v>0.58434620008013893</v>
      </c>
      <c r="J5000" s="5">
        <v>25451</v>
      </c>
      <c r="K5000" s="22">
        <v>2310</v>
      </c>
      <c r="L5000" s="6">
        <v>2319</v>
      </c>
      <c r="M5000" s="125">
        <f t="shared" si="315"/>
        <v>9</v>
      </c>
      <c r="N5000" s="235">
        <f>AVERAGE(K4978:K5000)</f>
        <v>2277.304347826087</v>
      </c>
      <c r="O5000" s="230">
        <f>AVERAGE(K4935:K5000)</f>
        <v>2277.859375</v>
      </c>
      <c r="P5000" s="247">
        <v>17420</v>
      </c>
      <c r="Q5000" s="25">
        <f>162.53/1119.3</f>
        <v>0.14520682569463059</v>
      </c>
      <c r="W5000" s="285">
        <f t="shared" si="316"/>
        <v>2529.5029036004648</v>
      </c>
      <c r="X5000" s="446">
        <f t="shared" si="317"/>
        <v>7.5411255411255409</v>
      </c>
    </row>
    <row r="5001" spans="1:24" ht="15" customHeight="1" thickBot="1">
      <c r="A5001" s="216"/>
      <c r="B5001" s="1330"/>
      <c r="C5001" s="1330"/>
      <c r="D5001" s="1330"/>
      <c r="E5001" s="216"/>
      <c r="F5001" s="407"/>
      <c r="G5001" s="164"/>
      <c r="H5001" s="164"/>
      <c r="I5001" s="166"/>
      <c r="J5001" s="166"/>
      <c r="K5001" s="166"/>
      <c r="L5001" s="167"/>
      <c r="M5001" s="168"/>
      <c r="N5001" s="169" t="s">
        <v>52</v>
      </c>
      <c r="O5001" s="183"/>
      <c r="P5001" s="180"/>
      <c r="Q5001" s="154"/>
      <c r="R5001" s="248"/>
      <c r="S5001" s="249"/>
      <c r="T5001" s="249"/>
      <c r="U5001" s="152"/>
      <c r="V5001" s="153">
        <f>AVERAGE(P4978:P5000)</f>
        <v>18070.869565217392</v>
      </c>
      <c r="W5001" s="295"/>
      <c r="X5001" s="447">
        <f>AVERAGE(X4978:X5000)</f>
        <v>7.9389215340208059</v>
      </c>
    </row>
    <row r="5002" spans="1:24" ht="15" customHeight="1">
      <c r="A5002" s="3">
        <v>42828</v>
      </c>
      <c r="B5002" s="9">
        <v>76675</v>
      </c>
      <c r="C5002" s="5">
        <v>0</v>
      </c>
      <c r="D5002" s="5">
        <v>107600</v>
      </c>
      <c r="E5002" s="5">
        <v>184075</v>
      </c>
      <c r="F5002" s="4">
        <v>0</v>
      </c>
      <c r="G5002" s="5">
        <v>2900</v>
      </c>
      <c r="H5002" s="5">
        <v>106475</v>
      </c>
      <c r="I5002" s="118">
        <f t="shared" si="314"/>
        <v>0.57843270406084479</v>
      </c>
      <c r="J5002" s="5">
        <v>35037</v>
      </c>
      <c r="K5002" s="22">
        <v>2287</v>
      </c>
      <c r="L5002" s="6">
        <v>2307</v>
      </c>
      <c r="M5002" s="125">
        <f t="shared" si="315"/>
        <v>20</v>
      </c>
      <c r="P5002" s="1353" t="s">
        <v>56</v>
      </c>
      <c r="Q5002" s="25">
        <f>162.01/1113.8</f>
        <v>0.1454569940743401</v>
      </c>
      <c r="W5002" s="1351" t="s">
        <v>57</v>
      </c>
      <c r="X5002" s="446"/>
    </row>
    <row r="5003" spans="1:24" ht="15" customHeight="1">
      <c r="A5003" s="3">
        <v>42829</v>
      </c>
      <c r="B5003" s="9">
        <v>76675</v>
      </c>
      <c r="C5003" s="5">
        <v>0</v>
      </c>
      <c r="D5003" s="5">
        <v>104750</v>
      </c>
      <c r="E5003" s="5">
        <v>181425</v>
      </c>
      <c r="F5003" s="4">
        <v>0</v>
      </c>
      <c r="G5003" s="5">
        <v>2850</v>
      </c>
      <c r="H5003" s="5">
        <v>103625</v>
      </c>
      <c r="I5003" s="118">
        <f t="shared" si="314"/>
        <v>0.57117266087915119</v>
      </c>
      <c r="J5003" s="5">
        <v>32246</v>
      </c>
      <c r="K5003" s="22">
        <v>2275</v>
      </c>
      <c r="L5003" s="6">
        <v>2289</v>
      </c>
      <c r="M5003" s="125">
        <f t="shared" si="315"/>
        <v>14</v>
      </c>
      <c r="P5003" s="1331"/>
      <c r="Q5003" s="25">
        <f>162.67/1118.9</f>
        <v>0.14538385914737686</v>
      </c>
      <c r="W5003" s="1352"/>
      <c r="X5003" s="446">
        <f t="shared" ref="X5003:X5010" si="318">P5003/K5003</f>
        <v>0</v>
      </c>
    </row>
    <row r="5004" spans="1:24" ht="15" customHeight="1">
      <c r="A5004" s="3">
        <v>42830</v>
      </c>
      <c r="B5004" s="9">
        <v>76675</v>
      </c>
      <c r="C5004" s="5">
        <v>0</v>
      </c>
      <c r="D5004" s="5">
        <v>102025</v>
      </c>
      <c r="E5004" s="5">
        <v>178700</v>
      </c>
      <c r="F5004" s="4">
        <v>0</v>
      </c>
      <c r="G5004" s="5">
        <v>2725</v>
      </c>
      <c r="H5004" s="5">
        <v>100900</v>
      </c>
      <c r="I5004" s="118">
        <f t="shared" si="314"/>
        <v>0.56463346390598768</v>
      </c>
      <c r="J5004" s="5">
        <v>24618</v>
      </c>
      <c r="K5004" s="22">
        <v>2314.5</v>
      </c>
      <c r="L5004" s="6">
        <v>2323.5</v>
      </c>
      <c r="M5004" s="125">
        <f t="shared" si="315"/>
        <v>9</v>
      </c>
      <c r="P5004" s="247">
        <v>17330</v>
      </c>
      <c r="Q5004" s="25">
        <f>163.39/1124</f>
        <v>0.145364768683274</v>
      </c>
      <c r="W5004" s="285">
        <f t="shared" ref="W5004:W5020" si="319">(P5004*Q5004)*(1+U5004)</f>
        <v>2519.1714412811384</v>
      </c>
      <c r="X5004" s="446">
        <f t="shared" si="318"/>
        <v>7.4875783106502487</v>
      </c>
    </row>
    <row r="5005" spans="1:24" ht="15" customHeight="1">
      <c r="A5005" s="3">
        <v>42831</v>
      </c>
      <c r="B5005" s="9">
        <v>76675</v>
      </c>
      <c r="C5005" s="5">
        <v>0</v>
      </c>
      <c r="D5005" s="5">
        <v>99125</v>
      </c>
      <c r="E5005" s="5">
        <v>175800</v>
      </c>
      <c r="F5005" s="4">
        <v>0</v>
      </c>
      <c r="G5005" s="5">
        <v>2900</v>
      </c>
      <c r="H5005" s="5">
        <v>98000</v>
      </c>
      <c r="I5005" s="118">
        <f t="shared" si="314"/>
        <v>0.55745164960182025</v>
      </c>
      <c r="J5005" s="5">
        <v>34782</v>
      </c>
      <c r="K5005" s="22">
        <v>2327.5</v>
      </c>
      <c r="L5005" s="6">
        <v>2342</v>
      </c>
      <c r="M5005" s="125">
        <f t="shared" si="315"/>
        <v>14.5</v>
      </c>
      <c r="P5005" s="247">
        <v>17410</v>
      </c>
      <c r="Q5005" s="25">
        <f>164.27/1131</f>
        <v>0.14524314765694077</v>
      </c>
      <c r="W5005" s="285">
        <f t="shared" si="319"/>
        <v>2528.683200707339</v>
      </c>
      <c r="X5005" s="446">
        <f t="shared" si="318"/>
        <v>7.4801288936627284</v>
      </c>
    </row>
    <row r="5006" spans="1:24" ht="15" customHeight="1">
      <c r="A5006" s="3">
        <v>42832</v>
      </c>
      <c r="B5006" s="9">
        <v>76675</v>
      </c>
      <c r="C5006" s="5">
        <v>0</v>
      </c>
      <c r="D5006" s="5">
        <v>96350</v>
      </c>
      <c r="E5006" s="5">
        <v>173025</v>
      </c>
      <c r="F5006" s="4">
        <v>0</v>
      </c>
      <c r="G5006" s="5">
        <v>2775</v>
      </c>
      <c r="H5006" s="5">
        <v>95225</v>
      </c>
      <c r="I5006" s="118">
        <f t="shared" si="314"/>
        <v>0.55035399508741512</v>
      </c>
      <c r="J5006" s="5">
        <v>32607</v>
      </c>
      <c r="K5006" s="22">
        <v>2260</v>
      </c>
      <c r="L5006" s="6">
        <v>2264</v>
      </c>
      <c r="M5006" s="125">
        <f t="shared" si="315"/>
        <v>4</v>
      </c>
      <c r="P5006" s="247">
        <v>17410</v>
      </c>
      <c r="Q5006" s="25">
        <f>164.46/1134.6</f>
        <v>0.14494976203067161</v>
      </c>
      <c r="W5006" s="285">
        <f t="shared" si="319"/>
        <v>2523.5753569539929</v>
      </c>
      <c r="X5006" s="446">
        <f t="shared" si="318"/>
        <v>7.7035398230088497</v>
      </c>
    </row>
    <row r="5007" spans="1:24" ht="15" customHeight="1">
      <c r="A5007" s="3">
        <v>42835</v>
      </c>
      <c r="B5007" s="9">
        <v>76675</v>
      </c>
      <c r="C5007" s="5">
        <v>0</v>
      </c>
      <c r="D5007" s="5">
        <v>95075</v>
      </c>
      <c r="E5007" s="5">
        <v>171750</v>
      </c>
      <c r="F5007" s="4">
        <v>0</v>
      </c>
      <c r="G5007" s="5">
        <v>1275</v>
      </c>
      <c r="H5007" s="5">
        <v>93950</v>
      </c>
      <c r="I5007" s="118">
        <f t="shared" si="314"/>
        <v>0.5470160116448326</v>
      </c>
      <c r="J5007" s="5">
        <v>50024</v>
      </c>
      <c r="K5007" s="22">
        <v>2260</v>
      </c>
      <c r="L5007" s="6">
        <v>2265</v>
      </c>
      <c r="M5007" s="125">
        <f t="shared" si="315"/>
        <v>5</v>
      </c>
      <c r="P5007" s="247">
        <v>16710</v>
      </c>
      <c r="Q5007" s="25">
        <f>165.3/1141.6</f>
        <v>0.14479677645409952</v>
      </c>
      <c r="W5007" s="285">
        <f t="shared" si="319"/>
        <v>2419.5541345480028</v>
      </c>
      <c r="X5007" s="446">
        <f t="shared" si="318"/>
        <v>7.3938053097345131</v>
      </c>
    </row>
    <row r="5008" spans="1:24" ht="15" customHeight="1">
      <c r="A5008" s="3">
        <v>42836</v>
      </c>
      <c r="B5008" s="9">
        <v>76675</v>
      </c>
      <c r="C5008" s="5">
        <v>0</v>
      </c>
      <c r="D5008" s="5">
        <v>94175</v>
      </c>
      <c r="E5008" s="5">
        <v>170850</v>
      </c>
      <c r="F5008" s="4">
        <v>175</v>
      </c>
      <c r="G5008" s="5">
        <v>1075</v>
      </c>
      <c r="H5008" s="5">
        <v>92875</v>
      </c>
      <c r="I5008" s="118">
        <f t="shared" si="314"/>
        <v>0.54360550190225343</v>
      </c>
      <c r="J5008" s="5">
        <v>42233</v>
      </c>
      <c r="K5008" s="22">
        <v>2261</v>
      </c>
      <c r="L5008" s="6">
        <v>2269</v>
      </c>
      <c r="M5008" s="125">
        <f t="shared" si="315"/>
        <v>8</v>
      </c>
      <c r="P5008" s="247">
        <v>16710</v>
      </c>
      <c r="Q5008" s="25">
        <f>165.83/1145.8</f>
        <v>0.14472857392215047</v>
      </c>
      <c r="W5008" s="285">
        <f t="shared" si="319"/>
        <v>2418.4144702391345</v>
      </c>
      <c r="X5008" s="446">
        <f t="shared" si="318"/>
        <v>7.3905351614329939</v>
      </c>
    </row>
    <row r="5009" spans="1:24" ht="15" customHeight="1">
      <c r="A5009" s="3">
        <v>42837</v>
      </c>
      <c r="B5009" s="9">
        <v>76675</v>
      </c>
      <c r="C5009" s="5">
        <v>0</v>
      </c>
      <c r="D5009" s="5">
        <v>93150</v>
      </c>
      <c r="E5009" s="5">
        <v>169825</v>
      </c>
      <c r="F5009" s="4">
        <v>0</v>
      </c>
      <c r="G5009" s="5">
        <v>1025</v>
      </c>
      <c r="H5009" s="5">
        <v>91580</v>
      </c>
      <c r="I5009" s="118">
        <f t="shared" si="314"/>
        <v>0.5392610039746798</v>
      </c>
      <c r="J5009" s="5">
        <v>59347</v>
      </c>
      <c r="K5009" s="22">
        <v>2251</v>
      </c>
      <c r="L5009" s="6">
        <v>2248</v>
      </c>
      <c r="M5009" s="125">
        <f t="shared" si="315"/>
        <v>-3</v>
      </c>
      <c r="P5009" s="247">
        <v>16600</v>
      </c>
      <c r="Q5009" s="25">
        <f>165.83/1145.8</f>
        <v>0.14472857392215047</v>
      </c>
      <c r="W5009" s="285">
        <f t="shared" si="319"/>
        <v>2402.4943271076977</v>
      </c>
      <c r="X5009" s="446">
        <f t="shared" si="318"/>
        <v>7.3745002221235003</v>
      </c>
    </row>
    <row r="5010" spans="1:24" ht="15" customHeight="1">
      <c r="A5010" s="3">
        <v>42838</v>
      </c>
      <c r="B5010" s="9">
        <v>76675</v>
      </c>
      <c r="C5010" s="5">
        <v>0</v>
      </c>
      <c r="D5010" s="5">
        <v>92125</v>
      </c>
      <c r="E5010" s="5">
        <v>168800</v>
      </c>
      <c r="F5010" s="4">
        <v>0</v>
      </c>
      <c r="G5010" s="5">
        <v>1025</v>
      </c>
      <c r="H5010" s="5">
        <v>90825</v>
      </c>
      <c r="I5010" s="118">
        <f t="shared" si="314"/>
        <v>0.53806279620853081</v>
      </c>
      <c r="J5010" s="5">
        <v>42423</v>
      </c>
      <c r="K5010" s="22">
        <v>2256</v>
      </c>
      <c r="L5010" s="6">
        <v>2254</v>
      </c>
      <c r="M5010" s="125">
        <f t="shared" si="315"/>
        <v>-2</v>
      </c>
      <c r="P5010" s="247">
        <v>16620</v>
      </c>
      <c r="Q5010" s="25">
        <f>164.5/1131.9</f>
        <v>0.14533085961657388</v>
      </c>
      <c r="W5010" s="285">
        <f t="shared" si="319"/>
        <v>2415.3988868274578</v>
      </c>
      <c r="X5010" s="446">
        <f t="shared" si="318"/>
        <v>7.3670212765957448</v>
      </c>
    </row>
    <row r="5011" spans="1:24" ht="15" customHeight="1">
      <c r="A5011" s="3">
        <v>42839</v>
      </c>
      <c r="B5011" s="1318"/>
      <c r="C5011" s="1318"/>
      <c r="D5011" s="1318"/>
      <c r="E5011" s="1318"/>
      <c r="F5011" s="1318"/>
      <c r="G5011" s="1318"/>
      <c r="H5011" s="1318"/>
      <c r="I5011" s="1318"/>
      <c r="J5011" s="1318"/>
      <c r="K5011" s="1318"/>
      <c r="L5011" s="1318"/>
      <c r="M5011" s="1318"/>
      <c r="Q5011" s="25">
        <f>165.47/1138.8</f>
        <v>0.14530207235686687</v>
      </c>
      <c r="X5011" s="446"/>
    </row>
    <row r="5012" spans="1:24" ht="15" customHeight="1">
      <c r="A5012" s="3">
        <v>42842</v>
      </c>
      <c r="B5012" s="1318"/>
      <c r="C5012" s="1318"/>
      <c r="D5012" s="1318"/>
      <c r="E5012" s="1318"/>
      <c r="F5012" s="1318"/>
      <c r="G5012" s="1318"/>
      <c r="H5012" s="1318"/>
      <c r="I5012" s="1318"/>
      <c r="J5012" s="1318"/>
      <c r="K5012" s="1318"/>
      <c r="L5012" s="1318"/>
      <c r="M5012" s="1318"/>
      <c r="P5012" s="247">
        <v>16620</v>
      </c>
      <c r="Q5012" s="25">
        <f>165.22/1136.5</f>
        <v>0.14537615486141664</v>
      </c>
      <c r="W5012" s="285">
        <f t="shared" si="319"/>
        <v>2416.1516937967444</v>
      </c>
      <c r="X5012" s="446"/>
    </row>
    <row r="5013" spans="1:24" ht="15" customHeight="1">
      <c r="A5013" s="3">
        <v>42843</v>
      </c>
      <c r="B5013" s="9">
        <v>76675</v>
      </c>
      <c r="C5013" s="5">
        <v>0</v>
      </c>
      <c r="D5013" s="5">
        <v>92150</v>
      </c>
      <c r="E5013" s="5">
        <v>168825</v>
      </c>
      <c r="F5013" s="4">
        <v>600</v>
      </c>
      <c r="G5013" s="5">
        <v>575</v>
      </c>
      <c r="H5013" s="5">
        <v>90250</v>
      </c>
      <c r="I5013" s="118">
        <f t="shared" ref="I5013:I5021" si="320">H5013/E5013</f>
        <v>0.53457722493706505</v>
      </c>
      <c r="J5013" s="5">
        <v>47490</v>
      </c>
      <c r="K5013" s="22">
        <v>2185</v>
      </c>
      <c r="L5013" s="6">
        <v>2186</v>
      </c>
      <c r="M5013" s="125">
        <f t="shared" ref="M5013:M5021" si="321">L5013-K5013</f>
        <v>1</v>
      </c>
      <c r="P5013" s="247">
        <v>16500</v>
      </c>
      <c r="Q5013" s="25">
        <f>165.45/1137.9</f>
        <v>0.14539941998418138</v>
      </c>
      <c r="W5013" s="285">
        <f t="shared" si="319"/>
        <v>2399.0904297389925</v>
      </c>
      <c r="X5013" s="446">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18">
        <f t="shared" si="320"/>
        <v>0.53069719042663888</v>
      </c>
      <c r="J5014" s="5">
        <v>63931</v>
      </c>
      <c r="K5014" s="22">
        <v>2148</v>
      </c>
      <c r="L5014" s="6">
        <v>2150</v>
      </c>
      <c r="M5014" s="125">
        <f t="shared" si="321"/>
        <v>2</v>
      </c>
      <c r="P5014" s="247">
        <v>16150</v>
      </c>
      <c r="Q5014" s="25">
        <f>165.8/1139.8</f>
        <v>0.14546411651166874</v>
      </c>
      <c r="W5014" s="285">
        <f t="shared" si="319"/>
        <v>2349.2454816634499</v>
      </c>
      <c r="X5014" s="446">
        <f t="shared" si="322"/>
        <v>7.5186219739292364</v>
      </c>
    </row>
    <row r="5015" spans="1:24" ht="15" customHeight="1">
      <c r="A5015" s="3">
        <v>42845</v>
      </c>
      <c r="B5015" s="9">
        <v>77000</v>
      </c>
      <c r="C5015" s="5">
        <v>0</v>
      </c>
      <c r="D5015" s="5">
        <v>90675</v>
      </c>
      <c r="E5015" s="5">
        <v>167675</v>
      </c>
      <c r="F5015" s="4">
        <v>0</v>
      </c>
      <c r="G5015" s="5">
        <v>500</v>
      </c>
      <c r="H5015" s="5">
        <v>88750</v>
      </c>
      <c r="I5015" s="118">
        <f t="shared" si="320"/>
        <v>0.52929774862084389</v>
      </c>
      <c r="J5015" s="5">
        <v>48886</v>
      </c>
      <c r="K5015" s="22">
        <v>2160.5</v>
      </c>
      <c r="L5015" s="6">
        <v>2160</v>
      </c>
      <c r="M5015" s="125">
        <f t="shared" si="321"/>
        <v>-0.5</v>
      </c>
      <c r="P5015" s="247">
        <v>16170</v>
      </c>
      <c r="Q5015" s="25">
        <f>165.31/1138</f>
        <v>0.14526362038664323</v>
      </c>
      <c r="W5015" s="285">
        <f t="shared" si="319"/>
        <v>2348.9127416520209</v>
      </c>
      <c r="X5015" s="446">
        <f t="shared" si="322"/>
        <v>7.4843786160610968</v>
      </c>
    </row>
    <row r="5016" spans="1:24" ht="15" customHeight="1">
      <c r="A5016" s="3">
        <v>42846</v>
      </c>
      <c r="B5016" s="9">
        <v>77000</v>
      </c>
      <c r="C5016" s="5">
        <v>0</v>
      </c>
      <c r="D5016" s="5">
        <v>90175</v>
      </c>
      <c r="E5016" s="5">
        <v>167175</v>
      </c>
      <c r="F5016" s="4">
        <v>0</v>
      </c>
      <c r="G5016" s="5">
        <v>500</v>
      </c>
      <c r="H5016" s="5">
        <v>88250</v>
      </c>
      <c r="I5016" s="118">
        <f t="shared" si="320"/>
        <v>0.52788993569612686</v>
      </c>
      <c r="J5016" s="5">
        <v>41354</v>
      </c>
      <c r="K5016" s="22">
        <v>2142</v>
      </c>
      <c r="L5016" s="6">
        <v>2141</v>
      </c>
      <c r="M5016" s="125">
        <f t="shared" si="321"/>
        <v>-1</v>
      </c>
      <c r="P5016" s="247">
        <v>16170</v>
      </c>
      <c r="Q5016" s="25">
        <f>165.22/1136.6</f>
        <v>0.14536336442020062</v>
      </c>
      <c r="W5016" s="285">
        <f t="shared" si="319"/>
        <v>2350.5256026746442</v>
      </c>
      <c r="X5016" s="446">
        <f t="shared" si="322"/>
        <v>7.5490196078431371</v>
      </c>
    </row>
    <row r="5017" spans="1:24" ht="15" customHeight="1">
      <c r="A5017" s="3">
        <v>42849</v>
      </c>
      <c r="B5017" s="9">
        <v>77000</v>
      </c>
      <c r="C5017" s="5">
        <v>0</v>
      </c>
      <c r="D5017" s="5">
        <v>89925</v>
      </c>
      <c r="E5017" s="5">
        <v>166925</v>
      </c>
      <c r="F5017" s="4">
        <v>300</v>
      </c>
      <c r="G5017" s="5">
        <v>550</v>
      </c>
      <c r="H5017" s="5">
        <v>87750</v>
      </c>
      <c r="I5017" s="118">
        <f t="shared" si="320"/>
        <v>0.52568518795866404</v>
      </c>
      <c r="J5017" s="5">
        <v>36752</v>
      </c>
      <c r="K5017" s="22">
        <v>2155</v>
      </c>
      <c r="L5017" s="6">
        <v>2159</v>
      </c>
      <c r="M5017" s="125">
        <f t="shared" si="321"/>
        <v>4</v>
      </c>
      <c r="P5017" s="247">
        <v>16000</v>
      </c>
      <c r="Q5017" s="25">
        <f>164.53/1131.7</f>
        <v>0.14538305204559512</v>
      </c>
      <c r="W5017" s="285">
        <f t="shared" si="319"/>
        <v>2326.1288327295219</v>
      </c>
      <c r="X5017" s="446">
        <f t="shared" si="322"/>
        <v>7.4245939675174011</v>
      </c>
    </row>
    <row r="5018" spans="1:24" ht="15" customHeight="1">
      <c r="A5018" s="3">
        <v>42850</v>
      </c>
      <c r="B5018" s="9">
        <v>77000</v>
      </c>
      <c r="C5018" s="5">
        <v>0</v>
      </c>
      <c r="D5018" s="5">
        <v>89325</v>
      </c>
      <c r="E5018" s="5">
        <v>166325</v>
      </c>
      <c r="F5018" s="4">
        <v>0</v>
      </c>
      <c r="G5018" s="5">
        <v>600</v>
      </c>
      <c r="H5018" s="5">
        <v>87225</v>
      </c>
      <c r="I5018" s="118">
        <f t="shared" si="320"/>
        <v>0.52442507139636252</v>
      </c>
      <c r="J5018" s="5">
        <v>29508</v>
      </c>
      <c r="K5018" s="22">
        <v>2173</v>
      </c>
      <c r="L5018" s="6">
        <v>2165.5</v>
      </c>
      <c r="M5018" s="125">
        <f t="shared" si="321"/>
        <v>-7.5</v>
      </c>
      <c r="P5018" s="247">
        <v>16000</v>
      </c>
      <c r="Q5018" s="25">
        <f>164.26/1130.5</f>
        <v>0.1452985404688191</v>
      </c>
      <c r="W5018" s="285">
        <f t="shared" si="319"/>
        <v>2324.7766475011058</v>
      </c>
      <c r="X5018" s="446">
        <f t="shared" si="322"/>
        <v>7.3630924988495172</v>
      </c>
    </row>
    <row r="5019" spans="1:24" ht="15" customHeight="1">
      <c r="A5019" s="3">
        <v>42851</v>
      </c>
      <c r="B5019" s="9">
        <v>77000</v>
      </c>
      <c r="C5019" s="5">
        <v>0</v>
      </c>
      <c r="D5019" s="5">
        <v>88750</v>
      </c>
      <c r="E5019" s="5">
        <v>165750</v>
      </c>
      <c r="F5019" s="4">
        <v>0</v>
      </c>
      <c r="G5019" s="5">
        <v>575</v>
      </c>
      <c r="H5019" s="5">
        <v>86650</v>
      </c>
      <c r="I5019" s="118">
        <f t="shared" si="320"/>
        <v>0.52277526395173457</v>
      </c>
      <c r="J5019" s="5">
        <v>25203</v>
      </c>
      <c r="K5019" s="22">
        <v>2191</v>
      </c>
      <c r="L5019" s="6">
        <v>2185</v>
      </c>
      <c r="M5019" s="125">
        <f t="shared" si="321"/>
        <v>-6</v>
      </c>
      <c r="P5019" s="247">
        <v>16100</v>
      </c>
      <c r="Q5019" s="25">
        <f>163.37/1125.1</f>
        <v>0.14520487067816196</v>
      </c>
      <c r="W5019" s="285">
        <f t="shared" si="319"/>
        <v>2337.7984179184077</v>
      </c>
      <c r="X5019" s="446">
        <f t="shared" si="322"/>
        <v>7.3482428115015974</v>
      </c>
    </row>
    <row r="5020" spans="1:24" ht="15" customHeight="1">
      <c r="A5020" s="3">
        <v>42852</v>
      </c>
      <c r="B5020" s="9">
        <v>77000</v>
      </c>
      <c r="C5020" s="5">
        <v>0</v>
      </c>
      <c r="D5020" s="5">
        <v>88400</v>
      </c>
      <c r="E5020" s="5">
        <v>165400</v>
      </c>
      <c r="F5020" s="4">
        <v>300</v>
      </c>
      <c r="G5020" s="5">
        <v>650</v>
      </c>
      <c r="H5020" s="5">
        <v>86025</v>
      </c>
      <c r="I5020" s="118">
        <f t="shared" si="320"/>
        <v>0.52010278113663844</v>
      </c>
      <c r="J5020" s="5">
        <v>36161</v>
      </c>
      <c r="K5020" s="22">
        <v>2237</v>
      </c>
      <c r="L5020" s="6">
        <v>2205</v>
      </c>
      <c r="M5020" s="125">
        <f t="shared" si="321"/>
        <v>-32</v>
      </c>
      <c r="P5020" s="247">
        <v>16100</v>
      </c>
      <c r="Q5020" s="25">
        <f>163.71/1130.1</f>
        <v>0.14486328643482879</v>
      </c>
      <c r="W5020" s="285">
        <f t="shared" si="319"/>
        <v>2332.2989116007434</v>
      </c>
      <c r="X5020" s="446">
        <f t="shared" si="322"/>
        <v>7.1971390254805545</v>
      </c>
    </row>
    <row r="5021" spans="1:24" ht="15" customHeight="1">
      <c r="A5021" s="3">
        <v>42853</v>
      </c>
      <c r="B5021" s="9">
        <v>77000</v>
      </c>
      <c r="C5021" s="5">
        <v>0</v>
      </c>
      <c r="D5021" s="5">
        <v>88275</v>
      </c>
      <c r="E5021" s="5">
        <v>165275</v>
      </c>
      <c r="F5021" s="4">
        <v>0</v>
      </c>
      <c r="G5021" s="5">
        <v>125</v>
      </c>
      <c r="H5021" s="5">
        <v>85900</v>
      </c>
      <c r="I5021" s="118">
        <f t="shared" si="320"/>
        <v>0.51973982756012704</v>
      </c>
      <c r="J5021" s="5">
        <v>33050</v>
      </c>
      <c r="K5021" s="22">
        <v>2280</v>
      </c>
      <c r="L5021" s="6">
        <v>2245</v>
      </c>
      <c r="M5021" s="125">
        <f t="shared" si="321"/>
        <v>-35</v>
      </c>
      <c r="N5021" s="235">
        <f>AVERAGE(K5002:K5021)</f>
        <v>2231.3055555555557</v>
      </c>
      <c r="O5021" s="230">
        <f>AVERAGE(K4935:K5021)</f>
        <v>2267.6402439024391</v>
      </c>
      <c r="P5021" s="247">
        <v>16200</v>
      </c>
      <c r="Q5021" s="25">
        <f>164.35/1133.4</f>
        <v>0.14500617610728778</v>
      </c>
      <c r="W5021" s="285">
        <f>(P5021*Q5021)*(1+U5021)</f>
        <v>2349.1000529380622</v>
      </c>
      <c r="X5021" s="446">
        <f t="shared" si="322"/>
        <v>7.1052631578947372</v>
      </c>
    </row>
    <row r="5022" spans="1:24" ht="15" customHeight="1" thickBot="1">
      <c r="A5022" s="216"/>
      <c r="B5022" s="1330"/>
      <c r="C5022" s="1330"/>
      <c r="D5022" s="1330"/>
      <c r="E5022" s="216"/>
      <c r="F5022" s="407"/>
      <c r="G5022" s="164"/>
      <c r="H5022" s="164"/>
      <c r="I5022" s="166"/>
      <c r="J5022" s="166"/>
      <c r="K5022" s="166"/>
      <c r="L5022" s="167"/>
      <c r="M5022" s="168"/>
      <c r="N5022" s="169" t="s">
        <v>52</v>
      </c>
      <c r="O5022" s="183"/>
      <c r="P5022" s="180"/>
      <c r="Q5022" s="154"/>
      <c r="R5022" s="248"/>
      <c r="S5022" s="249"/>
      <c r="T5022" s="249"/>
      <c r="U5022" s="152"/>
      <c r="V5022" s="153">
        <f>AVERAGE(P5004:P5021)</f>
        <v>16517.647058823528</v>
      </c>
      <c r="W5022" s="295"/>
      <c r="X5022" s="447">
        <f>AVERAGE(X5002:X5021)</f>
        <v>6.9846440041454994</v>
      </c>
    </row>
    <row r="5023" spans="1:24" ht="15" customHeight="1">
      <c r="A5023" s="3">
        <v>42856</v>
      </c>
      <c r="B5023" s="1328"/>
      <c r="C5023" s="1328"/>
      <c r="D5023" s="1328"/>
      <c r="E5023" s="1328"/>
      <c r="F5023" s="1328"/>
      <c r="G5023" s="1328"/>
      <c r="H5023" s="1328"/>
      <c r="I5023" s="1328"/>
      <c r="J5023" s="1328"/>
      <c r="K5023" s="1328"/>
      <c r="L5023" s="1328"/>
      <c r="M5023" s="1328"/>
      <c r="P5023" s="377" t="s">
        <v>56</v>
      </c>
      <c r="Q5023" s="1327" t="s">
        <v>48</v>
      </c>
      <c r="W5023" s="379" t="s">
        <v>56</v>
      </c>
      <c r="X5023" s="446"/>
    </row>
    <row r="5024" spans="1:24" ht="15" customHeight="1">
      <c r="A5024" s="3">
        <v>42857</v>
      </c>
      <c r="B5024" s="9">
        <v>77000</v>
      </c>
      <c r="C5024" s="24">
        <v>0</v>
      </c>
      <c r="D5024" s="24">
        <v>92425</v>
      </c>
      <c r="E5024" s="24">
        <v>169425</v>
      </c>
      <c r="F5024" s="4">
        <v>4700</v>
      </c>
      <c r="G5024" s="24">
        <v>550</v>
      </c>
      <c r="H5024" s="24">
        <v>83025</v>
      </c>
      <c r="I5024" s="118">
        <f t="shared" ref="I5024:I5082" si="323">H5024/E5024</f>
        <v>0.49003984063745021</v>
      </c>
      <c r="J5024" s="24">
        <v>64492</v>
      </c>
      <c r="K5024" s="22">
        <v>2250</v>
      </c>
      <c r="L5024" s="6">
        <v>2230</v>
      </c>
      <c r="M5024" s="125">
        <f t="shared" ref="M5024:M5093" si="324">L5024-K5024</f>
        <v>-20</v>
      </c>
      <c r="P5024" s="378"/>
      <c r="Q5024" s="1326"/>
      <c r="X5024" s="446">
        <f t="shared" ref="X5024:X5042" si="325">P5024/K5024</f>
        <v>0</v>
      </c>
    </row>
    <row r="5025" spans="1:24" ht="15" customHeight="1">
      <c r="A5025" s="3">
        <v>42858</v>
      </c>
      <c r="B5025" s="9">
        <v>76500</v>
      </c>
      <c r="C5025" s="5">
        <v>0</v>
      </c>
      <c r="D5025" s="5">
        <v>92200</v>
      </c>
      <c r="E5025" s="5">
        <v>168700</v>
      </c>
      <c r="F5025" s="4">
        <v>900</v>
      </c>
      <c r="G5025" s="5">
        <v>1625</v>
      </c>
      <c r="H5025" s="5">
        <v>86350</v>
      </c>
      <c r="I5025" s="118">
        <f t="shared" si="323"/>
        <v>0.51185536455245995</v>
      </c>
      <c r="J5025" s="5">
        <v>46980</v>
      </c>
      <c r="K5025" s="22">
        <v>2225</v>
      </c>
      <c r="L5025" s="6">
        <v>2211</v>
      </c>
      <c r="M5025" s="125">
        <f t="shared" si="324"/>
        <v>-14</v>
      </c>
      <c r="Q5025" s="1326"/>
      <c r="X5025" s="446">
        <f t="shared" si="325"/>
        <v>0</v>
      </c>
    </row>
    <row r="5026" spans="1:24" ht="15" customHeight="1">
      <c r="A5026" s="3">
        <v>42859</v>
      </c>
      <c r="B5026" s="9">
        <v>76500</v>
      </c>
      <c r="C5026" s="5">
        <v>0</v>
      </c>
      <c r="D5026" s="5">
        <v>97750</v>
      </c>
      <c r="E5026" s="5">
        <v>174250</v>
      </c>
      <c r="F5026" s="4">
        <v>6075</v>
      </c>
      <c r="G5026" s="5">
        <v>525</v>
      </c>
      <c r="H5026" s="5">
        <v>85850</v>
      </c>
      <c r="I5026" s="118">
        <f t="shared" si="323"/>
        <v>0.49268292682926829</v>
      </c>
      <c r="J5026" s="5">
        <v>39074</v>
      </c>
      <c r="K5026" s="22">
        <v>2177</v>
      </c>
      <c r="L5026" s="6">
        <v>2172</v>
      </c>
      <c r="M5026" s="125">
        <f t="shared" si="324"/>
        <v>-5</v>
      </c>
      <c r="Q5026" s="1326"/>
      <c r="X5026" s="446">
        <f t="shared" si="325"/>
        <v>0</v>
      </c>
    </row>
    <row r="5027" spans="1:24" ht="15" customHeight="1">
      <c r="A5027" s="3">
        <v>42860</v>
      </c>
      <c r="B5027" s="9">
        <v>76500</v>
      </c>
      <c r="C5027" s="5">
        <v>0</v>
      </c>
      <c r="D5027" s="5">
        <v>97225</v>
      </c>
      <c r="E5027" s="5">
        <v>173725</v>
      </c>
      <c r="F5027" s="4">
        <v>0</v>
      </c>
      <c r="G5027" s="5">
        <v>525</v>
      </c>
      <c r="H5027" s="5">
        <v>87575</v>
      </c>
      <c r="I5027" s="118">
        <f t="shared" si="323"/>
        <v>0.50410130954094112</v>
      </c>
      <c r="J5027" s="5">
        <v>32261</v>
      </c>
      <c r="K5027" s="22">
        <v>2190</v>
      </c>
      <c r="L5027" s="6">
        <v>2188</v>
      </c>
      <c r="M5027" s="125">
        <f t="shared" si="324"/>
        <v>-2</v>
      </c>
      <c r="P5027" s="247">
        <v>16120</v>
      </c>
      <c r="Q5027" s="25">
        <f>164.16/1132.1</f>
        <v>0.14500485822807174</v>
      </c>
      <c r="W5027" s="285">
        <f>(P5027*Q5027)*(1+U5027)</f>
        <v>2337.4783146365166</v>
      </c>
      <c r="X5027" s="446">
        <f t="shared" si="325"/>
        <v>7.3607305936073057</v>
      </c>
    </row>
    <row r="5028" spans="1:24" ht="15" customHeight="1">
      <c r="A5028" s="3">
        <v>42863</v>
      </c>
      <c r="B5028" s="9">
        <v>76500</v>
      </c>
      <c r="C5028" s="5">
        <v>0</v>
      </c>
      <c r="D5028" s="5">
        <v>100725</v>
      </c>
      <c r="E5028" s="5">
        <v>177225</v>
      </c>
      <c r="F5028" s="4">
        <v>4000</v>
      </c>
      <c r="G5028" s="5">
        <v>500</v>
      </c>
      <c r="H5028" s="5">
        <v>90450</v>
      </c>
      <c r="I5028" s="118">
        <f t="shared" si="323"/>
        <v>0.51036817604739737</v>
      </c>
      <c r="J5028" s="5">
        <v>44529</v>
      </c>
      <c r="K5028" s="22">
        <v>2159.5</v>
      </c>
      <c r="L5028" s="6">
        <v>2157.5</v>
      </c>
      <c r="M5028" s="125">
        <f t="shared" si="324"/>
        <v>-2</v>
      </c>
      <c r="P5028" s="247"/>
      <c r="Q5028" s="25" t="s">
        <v>45</v>
      </c>
      <c r="X5028" s="446">
        <f t="shared" si="325"/>
        <v>0</v>
      </c>
    </row>
    <row r="5029" spans="1:24" ht="15" customHeight="1">
      <c r="A5029" s="3">
        <v>42864</v>
      </c>
      <c r="B5029" s="9">
        <v>76500</v>
      </c>
      <c r="C5029" s="5">
        <v>0</v>
      </c>
      <c r="D5029" s="5">
        <v>100225</v>
      </c>
      <c r="E5029" s="5">
        <v>176725</v>
      </c>
      <c r="F5029" s="4">
        <v>0</v>
      </c>
      <c r="G5029" s="5">
        <v>500</v>
      </c>
      <c r="H5029" s="5">
        <v>88575</v>
      </c>
      <c r="I5029" s="118">
        <f t="shared" si="323"/>
        <v>0.50120243315886259</v>
      </c>
      <c r="J5029" s="5">
        <v>48431</v>
      </c>
      <c r="K5029" s="22">
        <v>2182</v>
      </c>
      <c r="L5029" s="6">
        <v>2179</v>
      </c>
      <c r="M5029" s="125">
        <f t="shared" si="324"/>
        <v>-3</v>
      </c>
      <c r="P5029" s="247">
        <v>15970</v>
      </c>
      <c r="Q5029" s="25">
        <f>163.9/1132.4</f>
        <v>0.14473684210526316</v>
      </c>
      <c r="W5029" s="285">
        <f t="shared" ref="W5029:W5065" si="326">(P5029*Q5029)*(1+U5029)</f>
        <v>2311.4473684210529</v>
      </c>
      <c r="X5029" s="446">
        <f t="shared" si="325"/>
        <v>7.3189734188817601</v>
      </c>
    </row>
    <row r="5030" spans="1:24" ht="15" customHeight="1">
      <c r="A5030" s="3">
        <v>42865</v>
      </c>
      <c r="B5030" s="9">
        <v>76200</v>
      </c>
      <c r="C5030" s="5">
        <v>0</v>
      </c>
      <c r="D5030" s="5">
        <v>102775</v>
      </c>
      <c r="E5030" s="5">
        <v>178975</v>
      </c>
      <c r="F5030" s="4">
        <v>3050</v>
      </c>
      <c r="G5030" s="5">
        <v>800</v>
      </c>
      <c r="H5030" s="5">
        <v>100175</v>
      </c>
      <c r="I5030" s="118">
        <f t="shared" si="323"/>
        <v>0.55971504400055871</v>
      </c>
      <c r="J5030" s="5">
        <v>51879</v>
      </c>
      <c r="K5030" s="22">
        <v>2175</v>
      </c>
      <c r="L5030" s="6">
        <v>2176</v>
      </c>
      <c r="M5030" s="125">
        <f t="shared" si="324"/>
        <v>1</v>
      </c>
      <c r="P5030" s="247">
        <v>16100</v>
      </c>
      <c r="Q5030" s="25">
        <f>163.9/1132.4</f>
        <v>0.14473684210526316</v>
      </c>
      <c r="W5030" s="285">
        <f t="shared" si="326"/>
        <v>2330.2631578947371</v>
      </c>
      <c r="X5030" s="446">
        <f t="shared" si="325"/>
        <v>7.4022988505747129</v>
      </c>
    </row>
    <row r="5031" spans="1:24" ht="15" customHeight="1">
      <c r="A5031" s="3">
        <v>42866</v>
      </c>
      <c r="B5031" s="9">
        <v>76200</v>
      </c>
      <c r="C5031" s="5">
        <v>0</v>
      </c>
      <c r="D5031" s="5">
        <v>102125</v>
      </c>
      <c r="E5031" s="5">
        <v>178325</v>
      </c>
      <c r="F5031" s="4">
        <v>0</v>
      </c>
      <c r="G5031" s="5">
        <v>650</v>
      </c>
      <c r="H5031" s="5">
        <v>97475</v>
      </c>
      <c r="I5031" s="118">
        <f t="shared" si="323"/>
        <v>0.54661432777232577</v>
      </c>
      <c r="J5031" s="5">
        <v>47508</v>
      </c>
      <c r="K5031" s="22">
        <v>2196</v>
      </c>
      <c r="L5031" s="6">
        <v>2198</v>
      </c>
      <c r="M5031" s="125">
        <f t="shared" si="324"/>
        <v>2</v>
      </c>
      <c r="P5031" s="247">
        <v>16100</v>
      </c>
      <c r="Q5031" s="25">
        <f>163.61/1130.4</f>
        <v>0.14473637650389243</v>
      </c>
      <c r="W5031" s="285">
        <f t="shared" si="326"/>
        <v>2330.2556617126679</v>
      </c>
      <c r="X5031" s="446">
        <f t="shared" si="325"/>
        <v>7.3315118397085612</v>
      </c>
    </row>
    <row r="5032" spans="1:24" ht="15" customHeight="1">
      <c r="A5032" s="3">
        <v>42867</v>
      </c>
      <c r="B5032" s="9">
        <v>76000</v>
      </c>
      <c r="C5032" s="5">
        <v>0</v>
      </c>
      <c r="D5032" s="5">
        <v>107150</v>
      </c>
      <c r="E5032" s="5">
        <v>183150</v>
      </c>
      <c r="F5032" s="4">
        <v>5175</v>
      </c>
      <c r="G5032" s="5">
        <v>350</v>
      </c>
      <c r="H5032" s="5">
        <v>93125</v>
      </c>
      <c r="I5032" s="118">
        <f t="shared" si="323"/>
        <v>0.50846300846300851</v>
      </c>
      <c r="J5032" s="5">
        <v>44476</v>
      </c>
      <c r="K5032" s="22">
        <v>2165.5</v>
      </c>
      <c r="L5032" s="6">
        <v>2171.5</v>
      </c>
      <c r="M5032" s="125">
        <f t="shared" si="324"/>
        <v>6</v>
      </c>
      <c r="P5032" s="247">
        <v>16000</v>
      </c>
      <c r="Q5032" s="25">
        <f>163.3/1126.8</f>
        <v>0.14492367767128153</v>
      </c>
      <c r="W5032" s="285">
        <f t="shared" si="326"/>
        <v>2318.7788427405044</v>
      </c>
      <c r="X5032" s="446">
        <f t="shared" si="325"/>
        <v>7.3885938582313555</v>
      </c>
    </row>
    <row r="5033" spans="1:24" ht="15" customHeight="1">
      <c r="A5033" s="3">
        <v>42870</v>
      </c>
      <c r="B5033" s="9">
        <v>76000</v>
      </c>
      <c r="C5033" s="5">
        <v>0</v>
      </c>
      <c r="D5033" s="5">
        <v>107150</v>
      </c>
      <c r="E5033" s="5">
        <v>183150</v>
      </c>
      <c r="F5033" s="4">
        <v>0</v>
      </c>
      <c r="G5033" s="5">
        <v>0</v>
      </c>
      <c r="H5033" s="5">
        <v>93125</v>
      </c>
      <c r="I5033" s="118">
        <f t="shared" si="323"/>
        <v>0.50846300846300851</v>
      </c>
      <c r="J5033" s="5">
        <v>40747</v>
      </c>
      <c r="K5033" s="22">
        <v>2131.5</v>
      </c>
      <c r="L5033" s="6">
        <v>2140</v>
      </c>
      <c r="M5033" s="125">
        <f t="shared" si="324"/>
        <v>8.5</v>
      </c>
      <c r="P5033" s="247">
        <v>15950</v>
      </c>
      <c r="Q5033" s="25">
        <f>163.3/1126.8</f>
        <v>0.14492367767128153</v>
      </c>
      <c r="W5033" s="285">
        <f t="shared" si="326"/>
        <v>2311.5326588569405</v>
      </c>
      <c r="X5033" s="446">
        <f t="shared" si="325"/>
        <v>7.4829931972789119</v>
      </c>
    </row>
    <row r="5034" spans="1:24" ht="15" customHeight="1">
      <c r="A5034" s="3">
        <v>42871</v>
      </c>
      <c r="B5034" s="9">
        <v>75500</v>
      </c>
      <c r="C5034" s="5">
        <v>0</v>
      </c>
      <c r="D5034" s="5">
        <v>107750</v>
      </c>
      <c r="E5034" s="5">
        <v>183250</v>
      </c>
      <c r="F5034" s="4">
        <v>600</v>
      </c>
      <c r="G5034" s="5">
        <v>500</v>
      </c>
      <c r="H5034" s="5">
        <v>92675</v>
      </c>
      <c r="I5034" s="118">
        <f t="shared" si="323"/>
        <v>0.50572987721691676</v>
      </c>
      <c r="J5034" s="5">
        <v>35317</v>
      </c>
      <c r="K5034" s="22">
        <v>2084</v>
      </c>
      <c r="L5034" s="6">
        <v>2089</v>
      </c>
      <c r="M5034" s="125">
        <f t="shared" si="324"/>
        <v>5</v>
      </c>
      <c r="P5034" s="247">
        <v>15750</v>
      </c>
      <c r="Q5034" s="25">
        <f>162.36/1117.7</f>
        <v>0.14526259282455042</v>
      </c>
      <c r="W5034" s="285">
        <f t="shared" si="326"/>
        <v>2287.8858369866693</v>
      </c>
      <c r="X5034" s="446">
        <f t="shared" si="325"/>
        <v>7.5575815738963534</v>
      </c>
    </row>
    <row r="5035" spans="1:24" ht="15" customHeight="1">
      <c r="A5035" s="3">
        <v>42872</v>
      </c>
      <c r="B5035" s="9">
        <v>75200</v>
      </c>
      <c r="C5035" s="5">
        <v>0</v>
      </c>
      <c r="D5035" s="5">
        <v>108600</v>
      </c>
      <c r="E5035" s="5">
        <v>183800</v>
      </c>
      <c r="F5035" s="4">
        <v>875</v>
      </c>
      <c r="G5035" s="5">
        <v>825</v>
      </c>
      <c r="H5035" s="5">
        <v>92350</v>
      </c>
      <c r="I5035" s="118">
        <f t="shared" si="323"/>
        <v>0.50244831338411322</v>
      </c>
      <c r="J5035" s="5">
        <v>51068</v>
      </c>
      <c r="K5035" s="22">
        <v>2102</v>
      </c>
      <c r="L5035" s="6">
        <v>2114.5</v>
      </c>
      <c r="M5035" s="125">
        <f t="shared" si="324"/>
        <v>12.5</v>
      </c>
      <c r="P5035" s="247">
        <v>15750</v>
      </c>
      <c r="Q5035" s="25">
        <f>162.36/1117.7</f>
        <v>0.14526259282455042</v>
      </c>
      <c r="W5035" s="285">
        <f t="shared" si="326"/>
        <v>2287.8858369866693</v>
      </c>
      <c r="X5035" s="446">
        <f t="shared" si="325"/>
        <v>7.4928639391056135</v>
      </c>
    </row>
    <row r="5036" spans="1:24" ht="15" customHeight="1">
      <c r="A5036" s="3">
        <v>42873</v>
      </c>
      <c r="B5036" s="9">
        <v>75200</v>
      </c>
      <c r="C5036" s="5">
        <v>0</v>
      </c>
      <c r="D5036" s="5">
        <v>109250</v>
      </c>
      <c r="E5036" s="5">
        <v>184450</v>
      </c>
      <c r="F5036" s="4">
        <v>650</v>
      </c>
      <c r="G5036" s="5">
        <v>0</v>
      </c>
      <c r="H5036" s="5">
        <v>92600</v>
      </c>
      <c r="I5036" s="118">
        <f t="shared" si="323"/>
        <v>0.50203307129303332</v>
      </c>
      <c r="J5036" s="5">
        <v>37689</v>
      </c>
      <c r="K5036" s="22">
        <v>2052</v>
      </c>
      <c r="L5036" s="6">
        <v>2057.5</v>
      </c>
      <c r="M5036" s="125">
        <f t="shared" si="324"/>
        <v>5.5</v>
      </c>
      <c r="P5036" s="247">
        <v>15650</v>
      </c>
      <c r="Q5036" s="25">
        <f>163.66/1125.2</f>
        <v>0.14544969783149661</v>
      </c>
      <c r="W5036" s="285">
        <f t="shared" si="326"/>
        <v>2276.2877710629218</v>
      </c>
      <c r="X5036" s="446">
        <f t="shared" si="325"/>
        <v>7.6267056530214425</v>
      </c>
    </row>
    <row r="5037" spans="1:24" ht="15" customHeight="1">
      <c r="A5037" s="3">
        <v>42874</v>
      </c>
      <c r="B5037" s="9">
        <v>75200</v>
      </c>
      <c r="C5037" s="5">
        <v>0</v>
      </c>
      <c r="D5037" s="5">
        <v>109225</v>
      </c>
      <c r="E5037" s="5">
        <v>184425</v>
      </c>
      <c r="F5037" s="4">
        <v>0</v>
      </c>
      <c r="G5037" s="5">
        <v>25</v>
      </c>
      <c r="H5037" s="5">
        <v>92575</v>
      </c>
      <c r="I5037" s="118">
        <f t="shared" si="323"/>
        <v>0.50196556865934661</v>
      </c>
      <c r="J5037" s="5">
        <v>42531</v>
      </c>
      <c r="K5037" s="22">
        <v>2088</v>
      </c>
      <c r="L5037" s="6">
        <v>2102</v>
      </c>
      <c r="M5037" s="125">
        <f t="shared" si="324"/>
        <v>14</v>
      </c>
      <c r="P5037" s="247">
        <v>15550</v>
      </c>
      <c r="Q5037" s="25">
        <f>163.67/1127.5</f>
        <v>0.14516186252771618</v>
      </c>
      <c r="W5037" s="285">
        <f t="shared" si="326"/>
        <v>2257.2669623059865</v>
      </c>
      <c r="X5037" s="446">
        <f t="shared" si="325"/>
        <v>7.4473180076628349</v>
      </c>
    </row>
    <row r="5038" spans="1:24" ht="15" customHeight="1">
      <c r="A5038" s="3">
        <v>42877</v>
      </c>
      <c r="B5038" s="9">
        <v>74000</v>
      </c>
      <c r="C5038" s="5">
        <v>0</v>
      </c>
      <c r="D5038" s="5">
        <v>109225</v>
      </c>
      <c r="E5038" s="5">
        <v>183225</v>
      </c>
      <c r="F5038" s="4">
        <v>0</v>
      </c>
      <c r="G5038" s="5">
        <v>1200</v>
      </c>
      <c r="H5038" s="5">
        <v>92000</v>
      </c>
      <c r="I5038" s="118">
        <f t="shared" si="323"/>
        <v>0.50211488606904076</v>
      </c>
      <c r="J5038" s="5">
        <v>40116</v>
      </c>
      <c r="K5038" s="22">
        <v>2102</v>
      </c>
      <c r="L5038" s="6">
        <v>2122</v>
      </c>
      <c r="M5038" s="125">
        <f t="shared" si="324"/>
        <v>20</v>
      </c>
      <c r="P5038" s="247">
        <v>15770</v>
      </c>
      <c r="Q5038" s="25">
        <f>162.36/1117.1</f>
        <v>0.14534061409005464</v>
      </c>
      <c r="W5038" s="285">
        <f t="shared" si="326"/>
        <v>2292.0214842001615</v>
      </c>
      <c r="X5038" s="446">
        <f t="shared" si="325"/>
        <v>7.5023786869647955</v>
      </c>
    </row>
    <row r="5039" spans="1:24" ht="15" customHeight="1">
      <c r="A5039" s="3">
        <v>42878</v>
      </c>
      <c r="B5039" s="9">
        <v>74000</v>
      </c>
      <c r="C5039" s="5">
        <v>0</v>
      </c>
      <c r="D5039" s="5">
        <v>109525</v>
      </c>
      <c r="E5039" s="5">
        <v>183525</v>
      </c>
      <c r="F5039" s="4">
        <v>300</v>
      </c>
      <c r="G5039" s="5">
        <v>0</v>
      </c>
      <c r="H5039" s="5">
        <v>68625</v>
      </c>
      <c r="I5039" s="118">
        <f t="shared" si="323"/>
        <v>0.37392725786677566</v>
      </c>
      <c r="J5039" s="5">
        <v>38870</v>
      </c>
      <c r="K5039" s="22">
        <v>2088</v>
      </c>
      <c r="L5039" s="6">
        <v>2109</v>
      </c>
      <c r="M5039" s="125">
        <f t="shared" si="324"/>
        <v>21</v>
      </c>
      <c r="P5039" s="247">
        <v>15770</v>
      </c>
      <c r="Q5039" s="25">
        <f>162.89/1120.6</f>
        <v>0.14535962877030162</v>
      </c>
      <c r="W5039" s="285">
        <f t="shared" si="326"/>
        <v>2292.3213457076567</v>
      </c>
      <c r="X5039" s="446">
        <f t="shared" si="325"/>
        <v>7.5526819923371651</v>
      </c>
    </row>
    <row r="5040" spans="1:24" ht="15" customHeight="1">
      <c r="A5040" s="3">
        <v>42879</v>
      </c>
      <c r="B5040" s="9">
        <v>74000</v>
      </c>
      <c r="C5040" s="5">
        <v>0</v>
      </c>
      <c r="D5040" s="5">
        <v>109500</v>
      </c>
      <c r="E5040" s="5">
        <v>183500</v>
      </c>
      <c r="F5040" s="4">
        <v>0</v>
      </c>
      <c r="G5040" s="5">
        <v>25</v>
      </c>
      <c r="H5040" s="5">
        <v>68600</v>
      </c>
      <c r="I5040" s="118">
        <f t="shared" si="323"/>
        <v>0.37384196185286106</v>
      </c>
      <c r="J5040" s="5">
        <v>36478</v>
      </c>
      <c r="K5040" s="22">
        <v>2072</v>
      </c>
      <c r="L5040" s="6">
        <v>2096</v>
      </c>
      <c r="M5040" s="125">
        <f t="shared" si="324"/>
        <v>24</v>
      </c>
      <c r="P5040" s="247">
        <v>15730</v>
      </c>
      <c r="Q5040" s="25">
        <f>163.6/1126.6</f>
        <v>0.14521569323628616</v>
      </c>
      <c r="W5040" s="285">
        <f t="shared" si="326"/>
        <v>2284.2428546067813</v>
      </c>
      <c r="X5040" s="446">
        <f t="shared" si="325"/>
        <v>7.5916988416988413</v>
      </c>
    </row>
    <row r="5041" spans="1:24" ht="15" customHeight="1">
      <c r="A5041" s="3">
        <v>42880</v>
      </c>
      <c r="B5041" s="9">
        <v>74000</v>
      </c>
      <c r="C5041" s="5">
        <v>0</v>
      </c>
      <c r="D5041" s="5">
        <v>109400</v>
      </c>
      <c r="E5041" s="5">
        <v>183400</v>
      </c>
      <c r="F5041" s="4">
        <v>0</v>
      </c>
      <c r="G5041" s="5">
        <v>100</v>
      </c>
      <c r="H5041" s="5">
        <v>68500</v>
      </c>
      <c r="I5041" s="118">
        <f t="shared" si="323"/>
        <v>0.37350054525627047</v>
      </c>
      <c r="J5041" s="5">
        <v>36644</v>
      </c>
      <c r="K5041" s="22">
        <v>2059</v>
      </c>
      <c r="L5041" s="6">
        <v>2080</v>
      </c>
      <c r="M5041" s="125">
        <f t="shared" si="324"/>
        <v>21</v>
      </c>
      <c r="P5041" s="247">
        <v>15780</v>
      </c>
      <c r="Q5041" s="25">
        <f>162.73/1118</f>
        <v>0.1455545617173524</v>
      </c>
      <c r="W5041" s="285">
        <f t="shared" si="326"/>
        <v>2296.8509838998207</v>
      </c>
      <c r="X5041" s="446">
        <f t="shared" si="325"/>
        <v>7.6639145216124334</v>
      </c>
    </row>
    <row r="5042" spans="1:24" ht="15" customHeight="1">
      <c r="A5042" s="3">
        <v>42881</v>
      </c>
      <c r="B5042" s="9">
        <v>73700</v>
      </c>
      <c r="C5042" s="5">
        <v>0</v>
      </c>
      <c r="D5042" s="5">
        <v>109200</v>
      </c>
      <c r="E5042" s="5">
        <v>182900</v>
      </c>
      <c r="F5042" s="4">
        <v>0</v>
      </c>
      <c r="G5042" s="5">
        <v>500</v>
      </c>
      <c r="H5042" s="5">
        <v>68000</v>
      </c>
      <c r="I5042" s="118">
        <f t="shared" si="323"/>
        <v>0.37178786221979221</v>
      </c>
      <c r="J5042" s="5">
        <v>27740</v>
      </c>
      <c r="K5042" s="22">
        <v>2090</v>
      </c>
      <c r="L5042" s="6">
        <v>2098</v>
      </c>
      <c r="M5042" s="125">
        <f t="shared" si="324"/>
        <v>8</v>
      </c>
      <c r="P5042" s="247">
        <v>15890</v>
      </c>
      <c r="Q5042" s="25">
        <f>162.73/1118</f>
        <v>0.1455545617173524</v>
      </c>
      <c r="W5042" s="285">
        <f t="shared" si="326"/>
        <v>2312.8619856887294</v>
      </c>
      <c r="X5042" s="446">
        <f t="shared" si="325"/>
        <v>7.6028708133971294</v>
      </c>
    </row>
    <row r="5043" spans="1:24" ht="15" customHeight="1">
      <c r="A5043" s="3">
        <v>42884</v>
      </c>
      <c r="B5043" s="1318"/>
      <c r="C5043" s="1318"/>
      <c r="D5043" s="1318"/>
      <c r="E5043" s="1318"/>
      <c r="F5043" s="1318"/>
      <c r="G5043" s="1318"/>
      <c r="H5043" s="1318"/>
      <c r="I5043" s="1318"/>
      <c r="J5043" s="1318"/>
      <c r="K5043" s="1318"/>
      <c r="L5043" s="1318"/>
      <c r="M5043" s="1318"/>
      <c r="X5043" s="446"/>
    </row>
    <row r="5044" spans="1:24" ht="15" customHeight="1">
      <c r="A5044" s="3">
        <v>42885</v>
      </c>
      <c r="B5044" s="9">
        <v>73550</v>
      </c>
      <c r="C5044" s="5">
        <v>0</v>
      </c>
      <c r="D5044" s="5">
        <v>109625</v>
      </c>
      <c r="E5044" s="5">
        <v>183175</v>
      </c>
      <c r="F5044" s="4">
        <v>575</v>
      </c>
      <c r="G5044" s="5">
        <v>300</v>
      </c>
      <c r="H5044" s="5">
        <v>67700</v>
      </c>
      <c r="I5044" s="118">
        <f t="shared" si="323"/>
        <v>0.36959192029480004</v>
      </c>
      <c r="J5044" s="5">
        <v>33739</v>
      </c>
      <c r="K5044" s="22">
        <v>2101.5</v>
      </c>
      <c r="L5044" s="6">
        <v>2119</v>
      </c>
      <c r="M5044" s="125">
        <f t="shared" si="324"/>
        <v>17.5</v>
      </c>
      <c r="P5044" s="247">
        <v>15890</v>
      </c>
      <c r="Q5044" s="25">
        <f>164.59/1123.9</f>
        <v>0.14644541329299759</v>
      </c>
      <c r="W5044" s="285">
        <f t="shared" si="326"/>
        <v>2327.0176172257316</v>
      </c>
      <c r="X5044" s="446">
        <f>P5044/K5044</f>
        <v>7.5612657625505593</v>
      </c>
    </row>
    <row r="5045" spans="1:24" ht="15" customHeight="1">
      <c r="A5045" s="3">
        <v>42886</v>
      </c>
      <c r="B5045" s="9">
        <v>72125</v>
      </c>
      <c r="C5045" s="5">
        <v>0</v>
      </c>
      <c r="D5045" s="5">
        <v>109125</v>
      </c>
      <c r="E5045" s="5">
        <v>181250</v>
      </c>
      <c r="F5045" s="4">
        <v>0</v>
      </c>
      <c r="G5045" s="5">
        <v>1925</v>
      </c>
      <c r="H5045" s="5">
        <v>67250</v>
      </c>
      <c r="I5045" s="118">
        <f t="shared" si="323"/>
        <v>0.37103448275862067</v>
      </c>
      <c r="J5045" s="5">
        <v>30566</v>
      </c>
      <c r="K5045" s="22">
        <v>2075</v>
      </c>
      <c r="L5045" s="6">
        <v>2094</v>
      </c>
      <c r="M5045" s="125">
        <f t="shared" si="324"/>
        <v>19</v>
      </c>
      <c r="N5045" s="381">
        <f>AVERAGE(K5023:K5045)</f>
        <v>2131.6666666666665</v>
      </c>
      <c r="O5045" s="230">
        <f>AVERAGE(K4935:K5045)</f>
        <v>2239.9174757281553</v>
      </c>
      <c r="P5045" s="247">
        <v>15970</v>
      </c>
      <c r="Q5045" s="25">
        <f>164.63/1121.8</f>
        <v>0.14675521483330362</v>
      </c>
      <c r="W5045" s="285">
        <f t="shared" si="326"/>
        <v>2343.6807808878589</v>
      </c>
      <c r="X5045" s="446">
        <f>P5045/K5045</f>
        <v>7.6963855421686747</v>
      </c>
    </row>
    <row r="5046" spans="1:24" ht="15" customHeight="1" thickBot="1">
      <c r="A5046" s="216"/>
      <c r="B5046" s="1330"/>
      <c r="C5046" s="1330"/>
      <c r="D5046" s="1330"/>
      <c r="E5046" s="216"/>
      <c r="F5046" s="407"/>
      <c r="G5046" s="164"/>
      <c r="H5046" s="164"/>
      <c r="I5046" s="166"/>
      <c r="J5046" s="166"/>
      <c r="K5046" s="166"/>
      <c r="L5046" s="167"/>
      <c r="M5046" s="168"/>
      <c r="N5046" s="169" t="s">
        <v>52</v>
      </c>
      <c r="O5046" s="183"/>
      <c r="P5046" s="180"/>
      <c r="Q5046" s="154"/>
      <c r="R5046" s="248"/>
      <c r="S5046" s="249"/>
      <c r="T5046" s="249"/>
      <c r="U5046" s="152"/>
      <c r="V5046" s="153">
        <f>AVERAGE(P5023:P5045)</f>
        <v>15867.058823529413</v>
      </c>
      <c r="W5046" s="295"/>
      <c r="X5046" s="447">
        <f>AVERAGE(X5023:X5045)</f>
        <v>6.07527462346183</v>
      </c>
    </row>
    <row r="5047" spans="1:24" ht="15" customHeight="1">
      <c r="A5047" s="3">
        <v>42887</v>
      </c>
      <c r="B5047" s="9">
        <v>71900</v>
      </c>
      <c r="C5047" s="5">
        <v>0</v>
      </c>
      <c r="D5047" s="5">
        <v>108375</v>
      </c>
      <c r="E5047" s="5">
        <v>180275</v>
      </c>
      <c r="F5047" s="4">
        <v>0</v>
      </c>
      <c r="G5047" s="5">
        <v>975</v>
      </c>
      <c r="H5047" s="5">
        <v>66275</v>
      </c>
      <c r="I5047" s="118">
        <f t="shared" si="323"/>
        <v>0.36763278324781584</v>
      </c>
      <c r="J5047" s="5">
        <v>44995</v>
      </c>
      <c r="K5047" s="22">
        <v>2083.5</v>
      </c>
      <c r="L5047" s="6">
        <v>2103.5</v>
      </c>
      <c r="M5047" s="125">
        <f t="shared" si="324"/>
        <v>20</v>
      </c>
      <c r="P5047" s="247">
        <v>15990</v>
      </c>
      <c r="Q5047" s="25">
        <f>164.63/1121.8</f>
        <v>0.14675521483330362</v>
      </c>
      <c r="W5047" s="285">
        <f t="shared" si="326"/>
        <v>2346.6158851845248</v>
      </c>
      <c r="X5047" s="446">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18">
        <f t="shared" si="323"/>
        <v>0.37540002782802284</v>
      </c>
      <c r="J5048" s="5">
        <v>44995</v>
      </c>
      <c r="K5048" s="22">
        <v>2072</v>
      </c>
      <c r="L5048" s="6">
        <v>2092</v>
      </c>
      <c r="M5048" s="125">
        <f t="shared" si="324"/>
        <v>20</v>
      </c>
      <c r="P5048" s="247">
        <v>16030</v>
      </c>
      <c r="Q5048" s="25">
        <f>166.26/1120.4</f>
        <v>0.14839343091752943</v>
      </c>
      <c r="W5048" s="285">
        <f t="shared" si="326"/>
        <v>2378.7466976079968</v>
      </c>
      <c r="X5048" s="446">
        <f t="shared" si="327"/>
        <v>7.7364864864864868</v>
      </c>
    </row>
    <row r="5049" spans="1:24" ht="15" customHeight="1">
      <c r="A5049" s="3">
        <v>42891</v>
      </c>
      <c r="B5049" s="9">
        <v>71600</v>
      </c>
      <c r="C5049" s="5">
        <v>0</v>
      </c>
      <c r="D5049" s="5">
        <v>107600</v>
      </c>
      <c r="E5049" s="5">
        <v>179200</v>
      </c>
      <c r="F5049" s="4">
        <v>0</v>
      </c>
      <c r="G5049" s="5">
        <v>475</v>
      </c>
      <c r="H5049" s="5">
        <v>66975</v>
      </c>
      <c r="I5049" s="118">
        <f t="shared" si="323"/>
        <v>0.37374441964285715</v>
      </c>
      <c r="J5049" s="5">
        <v>34607</v>
      </c>
      <c r="K5049" s="22">
        <v>2068</v>
      </c>
      <c r="L5049" s="6">
        <v>2091</v>
      </c>
      <c r="M5049" s="125">
        <f t="shared" si="324"/>
        <v>23</v>
      </c>
      <c r="P5049" s="247">
        <v>16385</v>
      </c>
      <c r="Q5049" s="25">
        <f>166.26/1120.4</f>
        <v>0.14839343091752943</v>
      </c>
      <c r="W5049" s="285">
        <f t="shared" si="326"/>
        <v>2431.4263655837199</v>
      </c>
      <c r="X5049" s="446">
        <f t="shared" si="327"/>
        <v>7.9231141199226309</v>
      </c>
    </row>
    <row r="5050" spans="1:24" ht="15" customHeight="1">
      <c r="A5050" s="3">
        <v>42892</v>
      </c>
      <c r="B5050" s="9">
        <v>71600</v>
      </c>
      <c r="C5050" s="5">
        <v>0</v>
      </c>
      <c r="D5050" s="5">
        <v>107600</v>
      </c>
      <c r="E5050" s="5">
        <v>179200</v>
      </c>
      <c r="F5050" s="4">
        <v>0</v>
      </c>
      <c r="G5050" s="5">
        <v>0</v>
      </c>
      <c r="H5050" s="5">
        <v>68050</v>
      </c>
      <c r="I5050" s="118">
        <f t="shared" si="323"/>
        <v>0.37974330357142855</v>
      </c>
      <c r="J5050" s="5">
        <v>34175</v>
      </c>
      <c r="K5050" s="22">
        <v>2080</v>
      </c>
      <c r="L5050" s="6">
        <v>2102</v>
      </c>
      <c r="M5050" s="125">
        <f t="shared" si="324"/>
        <v>22</v>
      </c>
      <c r="P5050" s="247">
        <v>16400</v>
      </c>
      <c r="Q5050" s="25">
        <f>165.06/1118.4</f>
        <v>0.14758583690987123</v>
      </c>
      <c r="W5050" s="285">
        <f t="shared" si="326"/>
        <v>2420.4077253218884</v>
      </c>
      <c r="X5050" s="446">
        <f t="shared" si="327"/>
        <v>7.884615384615385</v>
      </c>
    </row>
    <row r="5051" spans="1:24" ht="15" customHeight="1">
      <c r="A5051" s="3">
        <v>42893</v>
      </c>
      <c r="B5051" s="9">
        <v>71600</v>
      </c>
      <c r="C5051" s="5">
        <v>0</v>
      </c>
      <c r="D5051" s="5">
        <v>106575</v>
      </c>
      <c r="E5051" s="5">
        <v>178175</v>
      </c>
      <c r="F5051" s="4">
        <v>0</v>
      </c>
      <c r="G5051" s="5">
        <v>1025</v>
      </c>
      <c r="H5051" s="5">
        <v>67725</v>
      </c>
      <c r="I5051" s="118">
        <f t="shared" si="323"/>
        <v>0.38010383050371827</v>
      </c>
      <c r="J5051" s="5">
        <v>33132</v>
      </c>
      <c r="K5051" s="22">
        <v>2055</v>
      </c>
      <c r="L5051" s="6">
        <v>2079</v>
      </c>
      <c r="M5051" s="125">
        <f t="shared" si="324"/>
        <v>24</v>
      </c>
      <c r="P5051" s="247">
        <v>16370</v>
      </c>
      <c r="Q5051" s="25">
        <f>165.06/1118.4</f>
        <v>0.14758583690987123</v>
      </c>
      <c r="W5051" s="285">
        <f t="shared" si="326"/>
        <v>2415.980150214592</v>
      </c>
      <c r="X5051" s="446">
        <f t="shared" si="327"/>
        <v>7.9659367396593677</v>
      </c>
    </row>
    <row r="5052" spans="1:24" ht="15" customHeight="1">
      <c r="A5052" s="3">
        <v>42894</v>
      </c>
      <c r="B5052" s="9">
        <v>71100</v>
      </c>
      <c r="C5052" s="5">
        <v>0</v>
      </c>
      <c r="D5052" s="5">
        <v>106050</v>
      </c>
      <c r="E5052" s="5">
        <v>177150</v>
      </c>
      <c r="F5052" s="4">
        <v>0</v>
      </c>
      <c r="G5052" s="5">
        <v>1025</v>
      </c>
      <c r="H5052" s="5">
        <v>66700</v>
      </c>
      <c r="I5052" s="118">
        <f t="shared" si="323"/>
        <v>0.3765170759243579</v>
      </c>
      <c r="J5052" s="5">
        <v>47744</v>
      </c>
      <c r="K5052" s="22">
        <v>2065.5</v>
      </c>
      <c r="L5052" s="6">
        <v>2087</v>
      </c>
      <c r="M5052" s="125">
        <f t="shared" si="324"/>
        <v>21.5</v>
      </c>
      <c r="P5052" s="247">
        <v>16420</v>
      </c>
      <c r="Q5052" s="25">
        <f>166.21/1125</f>
        <v>0.14774222222222222</v>
      </c>
      <c r="W5052" s="285">
        <f t="shared" si="326"/>
        <v>2425.9272888888891</v>
      </c>
      <c r="X5052" s="446">
        <f t="shared" si="327"/>
        <v>7.9496489954006293</v>
      </c>
    </row>
    <row r="5053" spans="1:24" ht="15" customHeight="1">
      <c r="A5053" s="3">
        <v>42895</v>
      </c>
      <c r="B5053" s="9">
        <v>70825</v>
      </c>
      <c r="C5053" s="5">
        <v>0</v>
      </c>
      <c r="D5053" s="5">
        <v>106475</v>
      </c>
      <c r="E5053" s="5">
        <v>177300</v>
      </c>
      <c r="F5053" s="4">
        <v>900</v>
      </c>
      <c r="G5053" s="5">
        <v>750</v>
      </c>
      <c r="H5053" s="5">
        <v>63425</v>
      </c>
      <c r="I5053" s="118">
        <f t="shared" si="323"/>
        <v>0.35772701635645798</v>
      </c>
      <c r="J5053" s="5">
        <v>36076</v>
      </c>
      <c r="K5053" s="22">
        <v>2097</v>
      </c>
      <c r="L5053" s="6">
        <v>2115</v>
      </c>
      <c r="M5053" s="125">
        <f t="shared" si="324"/>
        <v>18</v>
      </c>
      <c r="P5053" s="247">
        <v>16520</v>
      </c>
      <c r="Q5053" s="25">
        <f>166.21/1125</f>
        <v>0.14774222222222222</v>
      </c>
      <c r="W5053" s="285">
        <f t="shared" si="326"/>
        <v>2440.7015111111109</v>
      </c>
      <c r="X5053" s="446">
        <f t="shared" si="327"/>
        <v>7.8779208392942301</v>
      </c>
    </row>
    <row r="5054" spans="1:24" ht="15" customHeight="1">
      <c r="A5054" s="3">
        <v>42898</v>
      </c>
      <c r="B5054" s="9">
        <v>70800</v>
      </c>
      <c r="C5054" s="5">
        <v>0</v>
      </c>
      <c r="D5054" s="5">
        <v>106075</v>
      </c>
      <c r="E5054" s="5">
        <v>176875</v>
      </c>
      <c r="F5054" s="4">
        <v>0</v>
      </c>
      <c r="G5054" s="5">
        <v>425</v>
      </c>
      <c r="H5054" s="5">
        <v>63175</v>
      </c>
      <c r="I5054" s="118">
        <f t="shared" si="323"/>
        <v>0.35717314487632507</v>
      </c>
      <c r="J5054" s="5">
        <v>39517</v>
      </c>
      <c r="K5054" s="22">
        <v>2077</v>
      </c>
      <c r="L5054" s="6">
        <v>2095</v>
      </c>
      <c r="M5054" s="125">
        <f t="shared" si="324"/>
        <v>18</v>
      </c>
      <c r="P5054" s="247">
        <v>16890</v>
      </c>
      <c r="Q5054" s="25">
        <f>165.82/1126</f>
        <v>0.1472646536412078</v>
      </c>
      <c r="W5054" s="285">
        <f t="shared" si="326"/>
        <v>2487.2999999999997</v>
      </c>
      <c r="X5054" s="446">
        <f t="shared" si="327"/>
        <v>8.1319210399614832</v>
      </c>
    </row>
    <row r="5055" spans="1:24" ht="15" customHeight="1">
      <c r="A5055" s="3">
        <v>42899</v>
      </c>
      <c r="B5055" s="9">
        <v>70800</v>
      </c>
      <c r="C5055" s="5">
        <v>0</v>
      </c>
      <c r="D5055" s="5">
        <v>105775</v>
      </c>
      <c r="E5055" s="5">
        <v>176575</v>
      </c>
      <c r="F5055" s="4">
        <v>0</v>
      </c>
      <c r="G5055" s="5">
        <v>300</v>
      </c>
      <c r="H5055" s="5">
        <v>63775</v>
      </c>
      <c r="I5055" s="118">
        <f t="shared" si="323"/>
        <v>0.36117796970126009</v>
      </c>
      <c r="J5055" s="5">
        <v>44117</v>
      </c>
      <c r="K5055" s="22">
        <v>2036</v>
      </c>
      <c r="L5055" s="6">
        <v>2061</v>
      </c>
      <c r="M5055" s="125">
        <f t="shared" si="324"/>
        <v>25</v>
      </c>
      <c r="P5055" s="247">
        <v>16840</v>
      </c>
      <c r="Q5055" s="25">
        <f>165.98/1126.5</f>
        <v>0.14734132268086994</v>
      </c>
      <c r="W5055" s="285">
        <f t="shared" si="326"/>
        <v>2481.2278739458498</v>
      </c>
      <c r="X5055" s="446">
        <f t="shared" si="327"/>
        <v>8.2711198428290764</v>
      </c>
    </row>
    <row r="5056" spans="1:24" ht="15" customHeight="1">
      <c r="A5056" s="3">
        <v>42900</v>
      </c>
      <c r="B5056" s="9">
        <v>70800</v>
      </c>
      <c r="C5056" s="5">
        <v>0</v>
      </c>
      <c r="D5056" s="5">
        <v>105575</v>
      </c>
      <c r="E5056" s="5">
        <v>176375</v>
      </c>
      <c r="F5056" s="4">
        <v>0</v>
      </c>
      <c r="G5056" s="5">
        <v>200</v>
      </c>
      <c r="H5056" s="5">
        <v>64850</v>
      </c>
      <c r="I5056" s="118">
        <f t="shared" si="323"/>
        <v>0.36768249468462083</v>
      </c>
      <c r="J5056" s="5">
        <v>40803</v>
      </c>
      <c r="K5056" s="22">
        <v>2055</v>
      </c>
      <c r="L5056" s="6">
        <v>2080</v>
      </c>
      <c r="M5056" s="125">
        <f t="shared" si="324"/>
        <v>25</v>
      </c>
      <c r="P5056" s="247">
        <v>16800</v>
      </c>
      <c r="Q5056" s="25">
        <f>165.87/1125.6</f>
        <v>0.14736140724946697</v>
      </c>
      <c r="W5056" s="285">
        <f t="shared" si="326"/>
        <v>2475.6716417910452</v>
      </c>
      <c r="X5056" s="446">
        <f t="shared" si="327"/>
        <v>8.1751824817518255</v>
      </c>
    </row>
    <row r="5057" spans="1:24" ht="15" customHeight="1">
      <c r="A5057" s="3">
        <v>42901</v>
      </c>
      <c r="B5057" s="9">
        <v>70800</v>
      </c>
      <c r="C5057" s="5">
        <v>0</v>
      </c>
      <c r="D5057" s="5">
        <v>105500</v>
      </c>
      <c r="E5057" s="5">
        <v>176300</v>
      </c>
      <c r="F5057" s="4">
        <v>0</v>
      </c>
      <c r="G5057" s="5">
        <v>75</v>
      </c>
      <c r="H5057" s="5">
        <v>65575</v>
      </c>
      <c r="I5057" s="118">
        <f t="shared" si="323"/>
        <v>0.37195121951219512</v>
      </c>
      <c r="J5057" s="5">
        <v>26991</v>
      </c>
      <c r="K5057" s="22">
        <v>2078.5</v>
      </c>
      <c r="L5057" s="6">
        <v>2095</v>
      </c>
      <c r="M5057" s="125">
        <f t="shared" si="324"/>
        <v>16.5</v>
      </c>
      <c r="P5057" s="247">
        <v>17000</v>
      </c>
      <c r="Q5057" s="25">
        <f>165.87/1125.6</f>
        <v>0.14736140724946697</v>
      </c>
      <c r="W5057" s="285">
        <f t="shared" si="326"/>
        <v>2505.1439232409384</v>
      </c>
      <c r="X5057" s="446">
        <f t="shared" si="327"/>
        <v>8.1789752225162378</v>
      </c>
    </row>
    <row r="5058" spans="1:24" ht="15" customHeight="1">
      <c r="A5058" s="3">
        <v>42902</v>
      </c>
      <c r="B5058" s="9">
        <v>70150</v>
      </c>
      <c r="C5058" s="5">
        <v>0</v>
      </c>
      <c r="D5058" s="5">
        <v>105425</v>
      </c>
      <c r="E5058" s="5">
        <v>175575</v>
      </c>
      <c r="F5058" s="4">
        <v>25</v>
      </c>
      <c r="G5058" s="5">
        <v>750</v>
      </c>
      <c r="H5058" s="5">
        <v>64700</v>
      </c>
      <c r="I5058" s="118">
        <f t="shared" si="323"/>
        <v>0.36850348853766196</v>
      </c>
      <c r="J5058" s="5">
        <v>34386</v>
      </c>
      <c r="K5058" s="22">
        <v>2083.5</v>
      </c>
      <c r="L5058" s="6">
        <v>2107</v>
      </c>
      <c r="M5058" s="125">
        <f t="shared" si="324"/>
        <v>23.5</v>
      </c>
      <c r="P5058" s="247">
        <v>17200</v>
      </c>
      <c r="Q5058" s="25">
        <f>166.06/1133</f>
        <v>0.14656663724624891</v>
      </c>
      <c r="W5058" s="285">
        <f t="shared" si="326"/>
        <v>2520.9461606354812</v>
      </c>
      <c r="X5058" s="446">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18">
        <f t="shared" si="323"/>
        <v>0.36515888920698542</v>
      </c>
      <c r="J5059" s="5">
        <v>29507</v>
      </c>
      <c r="K5059" s="22">
        <v>2113</v>
      </c>
      <c r="L5059" s="6">
        <v>2137</v>
      </c>
      <c r="M5059" s="125">
        <f t="shared" si="324"/>
        <v>24</v>
      </c>
      <c r="P5059" s="247">
        <v>17450</v>
      </c>
      <c r="Q5059" s="25">
        <f>166.01/1131.4</f>
        <v>0.14672971539685345</v>
      </c>
      <c r="W5059" s="285">
        <f t="shared" si="326"/>
        <v>2560.4335336750928</v>
      </c>
      <c r="X5059" s="446">
        <f t="shared" si="328"/>
        <v>8.2584003786086129</v>
      </c>
    </row>
    <row r="5060" spans="1:24" ht="15" customHeight="1">
      <c r="A5060" s="3">
        <v>42906</v>
      </c>
      <c r="B5060" s="9">
        <v>69775</v>
      </c>
      <c r="C5060" s="5">
        <v>0</v>
      </c>
      <c r="D5060" s="5">
        <v>104275</v>
      </c>
      <c r="E5060" s="5">
        <v>174050</v>
      </c>
      <c r="F5060" s="4">
        <v>300</v>
      </c>
      <c r="G5060" s="5">
        <v>900</v>
      </c>
      <c r="H5060" s="5">
        <v>62900</v>
      </c>
      <c r="I5060" s="118">
        <f t="shared" si="323"/>
        <v>0.36139040505601838</v>
      </c>
      <c r="J5060" s="5">
        <v>40771</v>
      </c>
      <c r="K5060" s="22">
        <v>2118</v>
      </c>
      <c r="L5060" s="6">
        <v>2140</v>
      </c>
      <c r="M5060" s="125">
        <f t="shared" si="324"/>
        <v>22</v>
      </c>
      <c r="P5060" s="247">
        <v>17620</v>
      </c>
      <c r="Q5060" s="25">
        <f>166.42/1137</f>
        <v>0.14636763412489004</v>
      </c>
      <c r="W5060" s="285">
        <f t="shared" si="326"/>
        <v>2578.9977132805625</v>
      </c>
      <c r="X5060" s="446">
        <f t="shared" si="328"/>
        <v>8.3191690273843246</v>
      </c>
    </row>
    <row r="5061" spans="1:24" ht="15" customHeight="1">
      <c r="A5061" s="3">
        <v>42907</v>
      </c>
      <c r="B5061" s="9">
        <v>69575</v>
      </c>
      <c r="C5061" s="5">
        <v>0</v>
      </c>
      <c r="D5061" s="5">
        <v>103950</v>
      </c>
      <c r="E5061" s="5">
        <v>173525</v>
      </c>
      <c r="F5061" s="4">
        <v>425</v>
      </c>
      <c r="G5061" s="5">
        <v>950</v>
      </c>
      <c r="H5061" s="5">
        <v>66000</v>
      </c>
      <c r="I5061" s="118">
        <f t="shared" si="323"/>
        <v>0.38034865293185421</v>
      </c>
      <c r="J5061" s="5">
        <v>55654</v>
      </c>
      <c r="K5061" s="22">
        <v>2121</v>
      </c>
      <c r="L5061" s="6">
        <v>2148</v>
      </c>
      <c r="M5061" s="125">
        <f t="shared" si="324"/>
        <v>27</v>
      </c>
      <c r="P5061" s="247">
        <v>17720</v>
      </c>
      <c r="Q5061" s="25">
        <f>167.25/1142.2</f>
        <v>0.14642794606898965</v>
      </c>
      <c r="W5061" s="285">
        <f t="shared" si="326"/>
        <v>2594.7032043424965</v>
      </c>
      <c r="X5061" s="446">
        <f t="shared" si="328"/>
        <v>8.3545497406883538</v>
      </c>
    </row>
    <row r="5062" spans="1:24" ht="15" customHeight="1">
      <c r="A5062" s="3">
        <v>42908</v>
      </c>
      <c r="B5062" s="9">
        <v>69575</v>
      </c>
      <c r="C5062" s="5">
        <v>0</v>
      </c>
      <c r="D5062" s="5">
        <v>103250</v>
      </c>
      <c r="E5062" s="5">
        <v>172825</v>
      </c>
      <c r="F5062" s="4">
        <v>0</v>
      </c>
      <c r="G5062" s="5">
        <v>700</v>
      </c>
      <c r="H5062" s="5">
        <v>65300</v>
      </c>
      <c r="I5062" s="118">
        <f t="shared" si="323"/>
        <v>0.37783885433241721</v>
      </c>
      <c r="J5062" s="5">
        <v>42431</v>
      </c>
      <c r="K5062" s="22">
        <v>2181</v>
      </c>
      <c r="L5062" s="6">
        <v>2203</v>
      </c>
      <c r="M5062" s="125">
        <f t="shared" si="324"/>
        <v>22</v>
      </c>
      <c r="P5062" s="247">
        <v>17850</v>
      </c>
      <c r="Q5062" s="25">
        <f>167.07/1140.8</f>
        <v>0.14644985974754557</v>
      </c>
      <c r="W5062" s="285">
        <f t="shared" si="326"/>
        <v>2614.1299964936884</v>
      </c>
      <c r="X5062" s="446">
        <f t="shared" si="328"/>
        <v>8.1843191196698761</v>
      </c>
    </row>
    <row r="5063" spans="1:24" ht="15" customHeight="1">
      <c r="A5063" s="3">
        <v>42909</v>
      </c>
      <c r="B5063" s="9">
        <v>69575</v>
      </c>
      <c r="C5063" s="5">
        <v>0</v>
      </c>
      <c r="D5063" s="5">
        <v>101775</v>
      </c>
      <c r="E5063" s="5">
        <v>171350</v>
      </c>
      <c r="F5063" s="4">
        <v>0</v>
      </c>
      <c r="G5063" s="5">
        <v>1475</v>
      </c>
      <c r="H5063" s="5">
        <v>69075</v>
      </c>
      <c r="I5063" s="118">
        <f t="shared" si="323"/>
        <v>0.4031222643711701</v>
      </c>
      <c r="J5063" s="5">
        <v>38943</v>
      </c>
      <c r="K5063" s="22">
        <v>2186.5</v>
      </c>
      <c r="L5063" s="6">
        <v>2207</v>
      </c>
      <c r="M5063" s="125">
        <f t="shared" si="324"/>
        <v>20.5</v>
      </c>
      <c r="P5063" s="247">
        <v>17750</v>
      </c>
      <c r="Q5063" s="25">
        <f>166.72/1140.1</f>
        <v>0.14623278659766689</v>
      </c>
      <c r="W5063" s="285">
        <f t="shared" si="326"/>
        <v>2595.6319621085872</v>
      </c>
      <c r="X5063" s="446">
        <f t="shared" si="328"/>
        <v>8.117996798536474</v>
      </c>
    </row>
    <row r="5064" spans="1:24" ht="15" customHeight="1">
      <c r="A5064" s="3">
        <v>42912</v>
      </c>
      <c r="B5064" s="9">
        <v>69575</v>
      </c>
      <c r="C5064" s="5">
        <v>0</v>
      </c>
      <c r="D5064" s="5">
        <v>100850</v>
      </c>
      <c r="E5064" s="5">
        <v>170425</v>
      </c>
      <c r="F5064" s="4">
        <v>0</v>
      </c>
      <c r="G5064" s="5">
        <v>925</v>
      </c>
      <c r="H5064" s="5">
        <v>70750</v>
      </c>
      <c r="I5064" s="118">
        <f t="shared" si="323"/>
        <v>0.41513862402816487</v>
      </c>
      <c r="J5064" s="5">
        <v>32407</v>
      </c>
      <c r="K5064" s="22">
        <v>2237</v>
      </c>
      <c r="L5064" s="6">
        <v>2253.5</v>
      </c>
      <c r="M5064" s="125">
        <f t="shared" si="324"/>
        <v>16.5</v>
      </c>
      <c r="P5064" s="247">
        <v>17430</v>
      </c>
      <c r="Q5064" s="25">
        <f>165.84/1135.2</f>
        <v>0.14608879492600421</v>
      </c>
      <c r="W5064" s="285">
        <f t="shared" si="326"/>
        <v>2546.3276955602532</v>
      </c>
      <c r="X5064" s="446">
        <f t="shared" si="328"/>
        <v>7.7916852928028613</v>
      </c>
    </row>
    <row r="5065" spans="1:24" ht="15" customHeight="1">
      <c r="A5065" s="3">
        <v>42913</v>
      </c>
      <c r="B5065" s="9">
        <v>69075</v>
      </c>
      <c r="C5065" s="5">
        <v>0</v>
      </c>
      <c r="D5065" s="5">
        <v>101500</v>
      </c>
      <c r="E5065" s="5">
        <v>170575</v>
      </c>
      <c r="F5065" s="4">
        <v>1600</v>
      </c>
      <c r="G5065" s="5">
        <v>1450</v>
      </c>
      <c r="H5065" s="5">
        <v>69525</v>
      </c>
      <c r="I5065" s="118">
        <f t="shared" si="323"/>
        <v>0.40759196834237138</v>
      </c>
      <c r="J5065" s="5">
        <v>29668</v>
      </c>
      <c r="K5065" s="22">
        <v>2247.5</v>
      </c>
      <c r="L5065" s="6">
        <v>2269</v>
      </c>
      <c r="M5065" s="125">
        <f t="shared" si="324"/>
        <v>21.5</v>
      </c>
      <c r="P5065" s="247">
        <v>17430</v>
      </c>
      <c r="Q5065" s="25">
        <f>165.84/1135.2</f>
        <v>0.14608879492600421</v>
      </c>
      <c r="W5065" s="285">
        <f t="shared" si="326"/>
        <v>2546.3276955602532</v>
      </c>
      <c r="X5065" s="446">
        <f t="shared" si="328"/>
        <v>7.7552836484983318</v>
      </c>
    </row>
    <row r="5066" spans="1:24" ht="15" customHeight="1">
      <c r="A5066" s="3">
        <v>42914</v>
      </c>
      <c r="B5066" s="9">
        <v>69075</v>
      </c>
      <c r="C5066" s="5">
        <v>0</v>
      </c>
      <c r="D5066" s="5">
        <v>100675</v>
      </c>
      <c r="E5066" s="5">
        <v>169750</v>
      </c>
      <c r="F5066" s="4">
        <v>0</v>
      </c>
      <c r="G5066" s="5">
        <v>825</v>
      </c>
      <c r="H5066" s="5">
        <v>68700</v>
      </c>
      <c r="I5066" s="118">
        <f t="shared" si="323"/>
        <v>0.40471281296023565</v>
      </c>
      <c r="J5066" s="5">
        <v>35714</v>
      </c>
      <c r="K5066" s="22">
        <v>2265</v>
      </c>
      <c r="L5066" s="6">
        <v>2281</v>
      </c>
      <c r="M5066" s="125">
        <f t="shared" si="324"/>
        <v>16</v>
      </c>
      <c r="P5066" s="247">
        <v>17750</v>
      </c>
      <c r="Q5066" s="25">
        <f>167.9/1141.7</f>
        <v>0.147061399667163</v>
      </c>
      <c r="W5066" s="285">
        <f t="shared" ref="W5066:W5067" si="329">(P5066*Q5066)*(1+U5066)</f>
        <v>2610.3398440921433</v>
      </c>
      <c r="X5066" s="446">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18">
        <f t="shared" si="323"/>
        <v>0.39797438188859102</v>
      </c>
      <c r="J5067" s="5">
        <v>41329</v>
      </c>
      <c r="K5067" s="22">
        <v>2292</v>
      </c>
      <c r="L5067" s="6">
        <v>2307</v>
      </c>
      <c r="M5067" s="125">
        <f t="shared" si="324"/>
        <v>15</v>
      </c>
      <c r="P5067" s="247">
        <v>17770</v>
      </c>
      <c r="Q5067" s="25">
        <f>167.79/1139.6</f>
        <v>0.14723587223587223</v>
      </c>
      <c r="W5067" s="285">
        <f t="shared" si="329"/>
        <v>2616.3814496314494</v>
      </c>
      <c r="X5067" s="446">
        <f t="shared" si="330"/>
        <v>7.7530541012216405</v>
      </c>
    </row>
    <row r="5068" spans="1:24" ht="15" customHeight="1">
      <c r="A5068" s="3">
        <v>42916</v>
      </c>
      <c r="B5068" s="9">
        <v>68225</v>
      </c>
      <c r="C5068" s="5">
        <v>0</v>
      </c>
      <c r="D5068" s="5">
        <v>97425</v>
      </c>
      <c r="E5068" s="5">
        <v>165650</v>
      </c>
      <c r="F5068" s="4">
        <v>0</v>
      </c>
      <c r="G5068" s="5">
        <v>2200</v>
      </c>
      <c r="H5068" s="5">
        <v>64600</v>
      </c>
      <c r="I5068" s="118">
        <f t="shared" si="323"/>
        <v>0.38997887111379415</v>
      </c>
      <c r="J5068" s="5">
        <v>48053</v>
      </c>
      <c r="K5068" s="22">
        <v>2274</v>
      </c>
      <c r="L5068" s="6">
        <v>2290</v>
      </c>
      <c r="M5068" s="125">
        <f t="shared" si="324"/>
        <v>16</v>
      </c>
      <c r="N5068" s="381">
        <f>AVERAGE(K5047:K5068)</f>
        <v>2131.181818181818</v>
      </c>
      <c r="O5068" s="230">
        <f>AVERAGE(K4935:K5068)</f>
        <v>2220.7800000000002</v>
      </c>
      <c r="P5068" s="247">
        <v>17700</v>
      </c>
      <c r="Q5068" s="25">
        <f>168.97/1144</f>
        <v>0.14770104895104896</v>
      </c>
      <c r="W5068" s="285">
        <f t="shared" ref="W5068:W5071" si="331">(P5068*Q5068)*(1+U5068)</f>
        <v>2614.3085664335667</v>
      </c>
      <c r="X5068" s="446">
        <f t="shared" ref="X5068:X5078" si="332">P5068/K5068</f>
        <v>7.7836411609498679</v>
      </c>
    </row>
    <row r="5069" spans="1:24" ht="15" customHeight="1" thickBot="1">
      <c r="A5069" s="216"/>
      <c r="B5069" s="1330"/>
      <c r="C5069" s="1330"/>
      <c r="D5069" s="1330"/>
      <c r="E5069" s="216"/>
      <c r="F5069" s="407"/>
      <c r="G5069" s="164"/>
      <c r="H5069" s="164"/>
      <c r="I5069" s="166"/>
      <c r="J5069" s="166"/>
      <c r="K5069" s="166"/>
      <c r="L5069" s="167"/>
      <c r="M5069" s="168"/>
      <c r="N5069" s="169" t="s">
        <v>52</v>
      </c>
      <c r="O5069" s="183"/>
      <c r="P5069" s="180"/>
      <c r="Q5069" s="154"/>
      <c r="R5069" s="248"/>
      <c r="S5069" s="249"/>
      <c r="T5069" s="249"/>
      <c r="U5069" s="152"/>
      <c r="V5069" s="153">
        <f>AVERAGE(P5047:P5068)</f>
        <v>17059.772727272728</v>
      </c>
      <c r="W5069" s="295"/>
      <c r="X5069" s="447">
        <f>AVERAGE(X5047:X5068)</f>
        <v>8.0081632099254865</v>
      </c>
    </row>
    <row r="5070" spans="1:24" ht="15" customHeight="1">
      <c r="A5070" s="3">
        <v>42919</v>
      </c>
      <c r="B5070" s="9">
        <v>68225</v>
      </c>
      <c r="C5070" s="5">
        <v>0</v>
      </c>
      <c r="D5070" s="5">
        <v>95925</v>
      </c>
      <c r="E5070" s="5">
        <v>164150</v>
      </c>
      <c r="F5070" s="4">
        <v>0</v>
      </c>
      <c r="G5070" s="5">
        <v>1500</v>
      </c>
      <c r="H5070" s="5">
        <v>63100</v>
      </c>
      <c r="I5070" s="118">
        <f t="shared" si="323"/>
        <v>0.38440450807188548</v>
      </c>
      <c r="J5070" s="5">
        <v>38098</v>
      </c>
      <c r="K5070" s="22">
        <v>2284</v>
      </c>
      <c r="L5070" s="6">
        <v>2309</v>
      </c>
      <c r="M5070" s="125">
        <f t="shared" si="324"/>
        <v>25</v>
      </c>
      <c r="P5070" s="247">
        <v>17850</v>
      </c>
      <c r="Q5070" s="25">
        <f>168.97/1144</f>
        <v>0.14770104895104896</v>
      </c>
      <c r="W5070" s="285">
        <f t="shared" si="331"/>
        <v>2636.463723776224</v>
      </c>
      <c r="X5070" s="446">
        <f t="shared" si="332"/>
        <v>7.8152364273204906</v>
      </c>
    </row>
    <row r="5071" spans="1:24" ht="15" customHeight="1">
      <c r="A5071" s="3">
        <v>42920</v>
      </c>
      <c r="B5071" s="9">
        <v>68225</v>
      </c>
      <c r="C5071" s="5">
        <v>0</v>
      </c>
      <c r="D5071" s="5">
        <v>95925</v>
      </c>
      <c r="E5071" s="5">
        <v>162975</v>
      </c>
      <c r="F5071" s="4">
        <v>0</v>
      </c>
      <c r="G5071" s="5">
        <v>1175</v>
      </c>
      <c r="H5071" s="5">
        <v>61925</v>
      </c>
      <c r="I5071" s="118">
        <f t="shared" si="323"/>
        <v>0.3799662524927136</v>
      </c>
      <c r="J5071" s="5">
        <v>26088</v>
      </c>
      <c r="K5071" s="22">
        <v>2272</v>
      </c>
      <c r="L5071" s="6">
        <v>2293</v>
      </c>
      <c r="M5071" s="125">
        <f t="shared" si="324"/>
        <v>21</v>
      </c>
      <c r="P5071" s="247">
        <v>17850</v>
      </c>
      <c r="Q5071" s="25">
        <f>168.91/1149.3</f>
        <v>0.14696771948142348</v>
      </c>
      <c r="W5071" s="285">
        <f t="shared" si="331"/>
        <v>2623.373792743409</v>
      </c>
      <c r="X5071" s="446">
        <f t="shared" si="332"/>
        <v>7.856514084507042</v>
      </c>
    </row>
    <row r="5072" spans="1:24" ht="15" customHeight="1">
      <c r="A5072" s="3">
        <v>42921</v>
      </c>
      <c r="B5072" s="9">
        <v>68225</v>
      </c>
      <c r="C5072" s="5">
        <v>0</v>
      </c>
      <c r="D5072" s="5">
        <v>95925</v>
      </c>
      <c r="E5072" s="5">
        <v>161925</v>
      </c>
      <c r="F5072" s="4">
        <v>0</v>
      </c>
      <c r="G5072" s="5">
        <v>1050</v>
      </c>
      <c r="H5072" s="5">
        <v>62675</v>
      </c>
      <c r="I5072" s="118">
        <f t="shared" si="323"/>
        <v>0.3870619113787247</v>
      </c>
      <c r="J5072" s="5">
        <v>23646</v>
      </c>
      <c r="K5072" s="22">
        <v>2245</v>
      </c>
      <c r="L5072" s="6">
        <v>2267</v>
      </c>
      <c r="M5072" s="125">
        <f t="shared" si="324"/>
        <v>22</v>
      </c>
      <c r="P5072" s="247">
        <v>17650</v>
      </c>
      <c r="Q5072" s="25">
        <f>169.02/1149.3</f>
        <v>0.14706342991386062</v>
      </c>
      <c r="W5072" s="285">
        <f t="shared" ref="W5072:W5078" si="333">(P5072*Q5072)*(1+U5072)</f>
        <v>2595.6695379796402</v>
      </c>
      <c r="X5072" s="446">
        <f t="shared" si="332"/>
        <v>7.861915367483296</v>
      </c>
    </row>
    <row r="5073" spans="1:24" ht="15" customHeight="1">
      <c r="A5073" s="3">
        <v>42922</v>
      </c>
      <c r="B5073" s="9">
        <v>68225</v>
      </c>
      <c r="C5073" s="5">
        <v>0</v>
      </c>
      <c r="D5073" s="5">
        <v>95925</v>
      </c>
      <c r="E5073" s="5">
        <v>161075</v>
      </c>
      <c r="F5073" s="4">
        <v>350</v>
      </c>
      <c r="G5073" s="5">
        <v>1200</v>
      </c>
      <c r="H5073" s="5">
        <v>61475</v>
      </c>
      <c r="I5073" s="118">
        <f t="shared" si="323"/>
        <v>0.38165450876920687</v>
      </c>
      <c r="J5073" s="5">
        <v>52826</v>
      </c>
      <c r="K5073" s="22">
        <v>2266</v>
      </c>
      <c r="L5073" s="6">
        <v>2286</v>
      </c>
      <c r="M5073" s="125">
        <f t="shared" si="324"/>
        <v>20</v>
      </c>
      <c r="P5073" s="247">
        <v>17580</v>
      </c>
      <c r="Q5073" s="25">
        <f>169.48/1153.5</f>
        <v>0.14692674469007369</v>
      </c>
      <c r="W5073" s="285">
        <f t="shared" si="333"/>
        <v>2582.9721716514955</v>
      </c>
      <c r="X5073" s="446">
        <f t="shared" si="332"/>
        <v>7.7581641659311567</v>
      </c>
    </row>
    <row r="5074" spans="1:24" ht="15" customHeight="1">
      <c r="A5074" s="3">
        <v>42923</v>
      </c>
      <c r="B5074" s="9">
        <v>68225</v>
      </c>
      <c r="C5074" s="5">
        <v>0</v>
      </c>
      <c r="D5074" s="5">
        <v>95925</v>
      </c>
      <c r="E5074" s="5">
        <v>160000</v>
      </c>
      <c r="F5074" s="4">
        <v>0</v>
      </c>
      <c r="G5074" s="5">
        <v>1075</v>
      </c>
      <c r="H5074" s="5">
        <v>61050</v>
      </c>
      <c r="I5074" s="118">
        <f t="shared" si="323"/>
        <v>0.38156250000000003</v>
      </c>
      <c r="J5074" s="5">
        <v>30091</v>
      </c>
      <c r="K5074" s="22">
        <v>2270</v>
      </c>
      <c r="L5074" s="6">
        <v>2289</v>
      </c>
      <c r="M5074" s="125">
        <f t="shared" si="324"/>
        <v>19</v>
      </c>
      <c r="P5074" s="247">
        <v>17630</v>
      </c>
      <c r="Q5074" s="25">
        <f>169.94/1155.8</f>
        <v>0.14703235853953972</v>
      </c>
      <c r="W5074" s="285">
        <f t="shared" si="333"/>
        <v>2592.1804810520853</v>
      </c>
      <c r="X5074" s="446">
        <f t="shared" si="332"/>
        <v>7.7665198237885464</v>
      </c>
    </row>
    <row r="5075" spans="1:24" ht="15" customHeight="1">
      <c r="A5075" s="3">
        <v>42926</v>
      </c>
      <c r="B5075" s="9">
        <v>68225</v>
      </c>
      <c r="C5075" s="5">
        <v>0</v>
      </c>
      <c r="D5075" s="5">
        <v>95925</v>
      </c>
      <c r="E5075" s="5">
        <v>159775</v>
      </c>
      <c r="F5075" s="4">
        <v>0</v>
      </c>
      <c r="G5075" s="5">
        <v>225</v>
      </c>
      <c r="H5075" s="5">
        <v>61225</v>
      </c>
      <c r="I5075" s="118">
        <f t="shared" si="323"/>
        <v>0.38319511813487717</v>
      </c>
      <c r="J5075" s="5">
        <v>28392</v>
      </c>
      <c r="K5075" s="22">
        <v>2267.5</v>
      </c>
      <c r="L5075" s="6">
        <v>2286.5</v>
      </c>
      <c r="M5075" s="125">
        <f t="shared" si="324"/>
        <v>19</v>
      </c>
      <c r="P5075" s="247">
        <v>17750</v>
      </c>
      <c r="Q5075" s="25">
        <f>169.09/1149.9</f>
        <v>0.14704756935385685</v>
      </c>
      <c r="W5075" s="285">
        <f t="shared" si="333"/>
        <v>2610.0943560309593</v>
      </c>
      <c r="X5075" s="446">
        <f t="shared" si="332"/>
        <v>7.8280044101433299</v>
      </c>
    </row>
    <row r="5076" spans="1:24" ht="15" customHeight="1">
      <c r="A5076" s="3">
        <v>42927</v>
      </c>
      <c r="B5076" s="9">
        <v>68225</v>
      </c>
      <c r="C5076" s="5">
        <v>0</v>
      </c>
      <c r="D5076" s="5">
        <v>91550</v>
      </c>
      <c r="E5076" s="5">
        <v>159125</v>
      </c>
      <c r="F5076" s="4">
        <v>200</v>
      </c>
      <c r="G5076" s="5">
        <v>850</v>
      </c>
      <c r="H5076" s="5">
        <v>60775</v>
      </c>
      <c r="I5076" s="118">
        <f t="shared" si="323"/>
        <v>0.38193244304791829</v>
      </c>
      <c r="J5076" s="5">
        <v>43407</v>
      </c>
      <c r="K5076" s="22">
        <v>2292</v>
      </c>
      <c r="L5076" s="6">
        <v>2312</v>
      </c>
      <c r="M5076" s="125">
        <f t="shared" si="324"/>
        <v>20</v>
      </c>
      <c r="P5076" s="247">
        <v>17730</v>
      </c>
      <c r="Q5076" s="25">
        <f>168.88/1150.1</f>
        <v>0.14683940526910705</v>
      </c>
      <c r="W5076" s="285">
        <f t="shared" si="333"/>
        <v>2603.4626554212678</v>
      </c>
      <c r="X5076" s="446">
        <f t="shared" si="332"/>
        <v>7.7356020942408374</v>
      </c>
    </row>
    <row r="5077" spans="1:24" ht="15" customHeight="1">
      <c r="A5077" s="3">
        <v>42928</v>
      </c>
      <c r="B5077" s="9">
        <v>68225</v>
      </c>
      <c r="C5077" s="5">
        <v>0</v>
      </c>
      <c r="D5077" s="5">
        <v>95925</v>
      </c>
      <c r="E5077" s="5">
        <v>158625</v>
      </c>
      <c r="F5077" s="4">
        <v>0</v>
      </c>
      <c r="G5077" s="5">
        <v>500</v>
      </c>
      <c r="H5077" s="5">
        <v>63275</v>
      </c>
      <c r="I5077" s="118">
        <f t="shared" si="323"/>
        <v>0.39889676910953509</v>
      </c>
      <c r="J5077" s="5">
        <v>56054</v>
      </c>
      <c r="K5077" s="22">
        <v>2310</v>
      </c>
      <c r="L5077" s="6">
        <v>2339</v>
      </c>
      <c r="M5077" s="125">
        <f t="shared" si="324"/>
        <v>29</v>
      </c>
      <c r="P5077" s="247">
        <v>17830</v>
      </c>
      <c r="Q5077" s="25">
        <f>168.72/1145.6</f>
        <v>0.14727653631284918</v>
      </c>
      <c r="W5077" s="285">
        <f t="shared" si="333"/>
        <v>2625.9406424581007</v>
      </c>
      <c r="X5077" s="446">
        <f t="shared" si="332"/>
        <v>7.7186147186147185</v>
      </c>
    </row>
    <row r="5078" spans="1:24" ht="15" customHeight="1">
      <c r="A5078" s="3">
        <v>42929</v>
      </c>
      <c r="B5078" s="9">
        <v>68225</v>
      </c>
      <c r="C5078" s="5">
        <v>0</v>
      </c>
      <c r="D5078" s="5">
        <v>95925</v>
      </c>
      <c r="E5078" s="5">
        <v>158425</v>
      </c>
      <c r="F5078" s="4">
        <v>350</v>
      </c>
      <c r="G5078" s="5">
        <v>550</v>
      </c>
      <c r="H5078" s="5">
        <v>63625</v>
      </c>
      <c r="I5078" s="118">
        <f t="shared" si="323"/>
        <v>0.40160959444532113</v>
      </c>
      <c r="J5078" s="5">
        <v>44194</v>
      </c>
      <c r="K5078" s="22">
        <v>2294</v>
      </c>
      <c r="L5078" s="6">
        <v>2316.5</v>
      </c>
      <c r="M5078" s="125">
        <f t="shared" si="324"/>
        <v>22.5</v>
      </c>
      <c r="P5078" s="247">
        <v>17830</v>
      </c>
      <c r="Q5078" s="25">
        <f>167.75/1137.5</f>
        <v>0.14747252747252748</v>
      </c>
      <c r="W5078" s="285">
        <f t="shared" si="333"/>
        <v>2629.4351648351649</v>
      </c>
      <c r="X5078" s="446">
        <f t="shared" si="332"/>
        <v>7.7724498692240624</v>
      </c>
    </row>
    <row r="5079" spans="1:24" ht="15" customHeight="1">
      <c r="A5079" s="3">
        <v>42930</v>
      </c>
      <c r="B5079" s="9">
        <v>68225</v>
      </c>
      <c r="C5079" s="5">
        <v>0</v>
      </c>
      <c r="D5079" s="5">
        <v>95925</v>
      </c>
      <c r="E5079" s="5">
        <v>158275</v>
      </c>
      <c r="F5079" s="4">
        <v>225</v>
      </c>
      <c r="G5079" s="5">
        <v>375</v>
      </c>
      <c r="H5079" s="5">
        <v>63350</v>
      </c>
      <c r="I5079" s="118">
        <f t="shared" si="323"/>
        <v>0.40025272468804296</v>
      </c>
      <c r="J5079" s="5">
        <v>36401</v>
      </c>
      <c r="K5079" s="22">
        <v>2264</v>
      </c>
      <c r="L5079" s="6">
        <v>2283</v>
      </c>
      <c r="M5079" s="125">
        <f t="shared" si="324"/>
        <v>19</v>
      </c>
      <c r="P5079" s="247">
        <v>17630</v>
      </c>
      <c r="Q5079" s="25">
        <f>167.75/1137.5</f>
        <v>0.14747252747252748</v>
      </c>
      <c r="W5079" s="285">
        <f t="shared" ref="W5079" si="334">(P5079*Q5079)*(1+U5079)</f>
        <v>2599.9406593406593</v>
      </c>
      <c r="X5079" s="446">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18">
        <f t="shared" si="323"/>
        <v>0.39579380139152437</v>
      </c>
      <c r="J5080" s="5">
        <v>45369</v>
      </c>
      <c r="K5080" s="22">
        <v>2302</v>
      </c>
      <c r="L5080" s="6">
        <v>2326</v>
      </c>
      <c r="M5080" s="125">
        <f t="shared" si="324"/>
        <v>24</v>
      </c>
      <c r="P5080" s="247">
        <v>17780</v>
      </c>
      <c r="Q5080" s="25">
        <f>166.76/1128.2</f>
        <v>0.14781067186669028</v>
      </c>
      <c r="W5080" s="285">
        <f t="shared" ref="W5080" si="336">(P5080*Q5080)*(1+U5080)</f>
        <v>2628.073745789753</v>
      </c>
      <c r="X5080" s="446">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18">
        <f t="shared" si="323"/>
        <v>0.40161725067385445</v>
      </c>
      <c r="J5081" s="5">
        <v>36642</v>
      </c>
      <c r="K5081" s="22">
        <v>2245.5</v>
      </c>
      <c r="L5081" s="6">
        <v>2278</v>
      </c>
      <c r="M5081" s="125">
        <f t="shared" si="324"/>
        <v>32.5</v>
      </c>
      <c r="P5081" s="247">
        <v>17780</v>
      </c>
      <c r="Q5081" s="25">
        <f>166.76/1128.2</f>
        <v>0.14781067186669028</v>
      </c>
      <c r="W5081" s="285">
        <f t="shared" ref="W5081" si="338">(P5081*Q5081)*(1+U5081)</f>
        <v>2628.073745789753</v>
      </c>
      <c r="X5081" s="446">
        <f t="shared" ref="X5081" si="339">P5081/K5081</f>
        <v>7.9180583389000221</v>
      </c>
    </row>
    <row r="5082" spans="1:24" ht="15" customHeight="1">
      <c r="A5082" s="3">
        <v>42935</v>
      </c>
      <c r="B5082" s="9">
        <v>68225</v>
      </c>
      <c r="C5082" s="5">
        <v>0</v>
      </c>
      <c r="D5082" s="5">
        <v>95925</v>
      </c>
      <c r="E5082" s="5">
        <v>156725</v>
      </c>
      <c r="F5082" s="4">
        <v>0</v>
      </c>
      <c r="G5082" s="5">
        <v>950</v>
      </c>
      <c r="H5082" s="5">
        <v>62375</v>
      </c>
      <c r="I5082" s="118">
        <f t="shared" si="323"/>
        <v>0.39799011006540119</v>
      </c>
      <c r="J5082" s="5">
        <v>40848</v>
      </c>
      <c r="K5082" s="22">
        <v>2210</v>
      </c>
      <c r="L5082" s="6">
        <v>2240</v>
      </c>
      <c r="M5082" s="125">
        <f t="shared" si="324"/>
        <v>30</v>
      </c>
      <c r="P5082" s="247">
        <v>17580</v>
      </c>
      <c r="Q5082" s="25">
        <f>166.25/1121.8</f>
        <v>0.14819932251738277</v>
      </c>
      <c r="W5082" s="285">
        <f t="shared" ref="W5082" si="340">(P5082*Q5082)*(1+U5082)</f>
        <v>2605.3440898555891</v>
      </c>
      <c r="X5082" s="446">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18">
        <f t="shared" ref="I5083:I5174" si="342">H5083/E5083</f>
        <v>0.39577329490874158</v>
      </c>
      <c r="J5083" s="5">
        <v>57204</v>
      </c>
      <c r="K5083" s="22">
        <v>2200</v>
      </c>
      <c r="L5083" s="6">
        <v>2229</v>
      </c>
      <c r="M5083" s="125">
        <f t="shared" si="324"/>
        <v>29</v>
      </c>
      <c r="P5083" s="247">
        <v>17370</v>
      </c>
      <c r="Q5083" s="25">
        <f>166.35/1124.9</f>
        <v>0.14787981153880342</v>
      </c>
      <c r="W5083" s="285">
        <f t="shared" ref="W5083:W5084" si="343">(P5083*Q5083)*(1+U5083)</f>
        <v>2568.6723264290154</v>
      </c>
      <c r="X5083" s="446">
        <f t="shared" si="341"/>
        <v>7.8954545454545455</v>
      </c>
    </row>
    <row r="5084" spans="1:24" ht="15" customHeight="1">
      <c r="A5084" s="3">
        <v>42937</v>
      </c>
      <c r="B5084" s="9">
        <v>68225</v>
      </c>
      <c r="C5084" s="5">
        <v>0</v>
      </c>
      <c r="D5084" s="5">
        <v>95925</v>
      </c>
      <c r="E5084" s="5">
        <v>155275</v>
      </c>
      <c r="F5084" s="4">
        <v>0</v>
      </c>
      <c r="G5084" s="5">
        <v>875</v>
      </c>
      <c r="H5084" s="5">
        <v>61925</v>
      </c>
      <c r="I5084" s="118">
        <f t="shared" si="342"/>
        <v>0.39880856544839799</v>
      </c>
      <c r="J5084" s="5">
        <v>29554</v>
      </c>
      <c r="K5084" s="22">
        <v>2212</v>
      </c>
      <c r="L5084" s="6">
        <v>2243</v>
      </c>
      <c r="M5084" s="125">
        <f t="shared" si="324"/>
        <v>31</v>
      </c>
      <c r="P5084" s="247">
        <v>17400</v>
      </c>
      <c r="Q5084" s="25">
        <f>165.92/1121.2</f>
        <v>0.14798430253300035</v>
      </c>
      <c r="W5084" s="285">
        <f t="shared" si="343"/>
        <v>2574.9268640742062</v>
      </c>
      <c r="X5084" s="446">
        <f t="shared" si="341"/>
        <v>7.8661844484629295</v>
      </c>
    </row>
    <row r="5085" spans="1:24" ht="15" customHeight="1">
      <c r="A5085" s="3">
        <v>42940</v>
      </c>
      <c r="B5085" s="9">
        <v>68225</v>
      </c>
      <c r="C5085" s="5">
        <v>0</v>
      </c>
      <c r="D5085" s="5">
        <v>95925</v>
      </c>
      <c r="E5085" s="5">
        <v>155275</v>
      </c>
      <c r="F5085" s="4">
        <v>0</v>
      </c>
      <c r="G5085" s="5">
        <v>0</v>
      </c>
      <c r="H5085" s="5">
        <v>63925</v>
      </c>
      <c r="I5085" s="118">
        <f t="shared" si="342"/>
        <v>0.41168893897923042</v>
      </c>
      <c r="J5085" s="5">
        <v>36350</v>
      </c>
      <c r="K5085" s="22">
        <v>2221</v>
      </c>
      <c r="L5085" s="6">
        <v>2249</v>
      </c>
      <c r="M5085" s="125">
        <f t="shared" si="324"/>
        <v>28</v>
      </c>
      <c r="P5085" s="247">
        <v>17500</v>
      </c>
      <c r="Q5085" s="25">
        <f>165.29/1116.1</f>
        <v>0.14809604874115223</v>
      </c>
      <c r="W5085" s="285">
        <f t="shared" ref="W5085" si="344">(P5085*Q5085)*(1+U5085)</f>
        <v>2591.6808529701639</v>
      </c>
      <c r="X5085" s="446">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18">
        <f t="shared" si="342"/>
        <v>0.41705626309850075</v>
      </c>
      <c r="J5086" s="5">
        <v>25078</v>
      </c>
      <c r="K5086" s="22">
        <v>2266</v>
      </c>
      <c r="L5086" s="6">
        <v>2293</v>
      </c>
      <c r="M5086" s="125">
        <f t="shared" si="324"/>
        <v>27</v>
      </c>
      <c r="P5086" s="247">
        <v>17450</v>
      </c>
      <c r="Q5086" s="25">
        <f>165.44/1116.1</f>
        <v>0.14823044530060031</v>
      </c>
      <c r="W5086" s="285">
        <f t="shared" ref="W5086" si="346">(P5086*Q5086)*(1+U5086)</f>
        <v>2586.6212704954755</v>
      </c>
      <c r="X5086" s="446">
        <f t="shared" si="345"/>
        <v>7.7007943512797885</v>
      </c>
    </row>
    <row r="5087" spans="1:24" ht="15" customHeight="1">
      <c r="A5087" s="3">
        <v>42942</v>
      </c>
      <c r="B5087" s="9">
        <v>68225</v>
      </c>
      <c r="C5087" s="5">
        <v>0</v>
      </c>
      <c r="D5087" s="5">
        <v>95925</v>
      </c>
      <c r="E5087" s="5">
        <v>154175</v>
      </c>
      <c r="F5087" s="4">
        <v>0</v>
      </c>
      <c r="G5087" s="5">
        <v>900</v>
      </c>
      <c r="H5087" s="5">
        <v>64925</v>
      </c>
      <c r="I5087" s="118">
        <f t="shared" si="342"/>
        <v>0.42111237230419979</v>
      </c>
      <c r="J5087" s="5">
        <v>29995</v>
      </c>
      <c r="K5087" s="22">
        <v>2284</v>
      </c>
      <c r="L5087" s="6">
        <v>2307</v>
      </c>
      <c r="M5087" s="125">
        <f t="shared" si="324"/>
        <v>23</v>
      </c>
      <c r="P5087" s="247">
        <v>17650</v>
      </c>
      <c r="Q5087" s="25">
        <f>165.73/1120.3</f>
        <v>0.14793358921717398</v>
      </c>
      <c r="W5087" s="285">
        <f t="shared" ref="W5087:W5088" si="347">(P5087*Q5087)*(1+U5087)</f>
        <v>2611.0278496831206</v>
      </c>
      <c r="X5087" s="446">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18">
        <f t="shared" si="342"/>
        <v>0.41802880725036412</v>
      </c>
      <c r="J5088" s="5">
        <v>31502</v>
      </c>
      <c r="K5088" s="22">
        <v>2296.5</v>
      </c>
      <c r="L5088" s="6">
        <v>2324</v>
      </c>
      <c r="M5088" s="125">
        <f t="shared" si="324"/>
        <v>27.5</v>
      </c>
      <c r="P5088" s="247">
        <v>17930</v>
      </c>
      <c r="Q5088" s="25">
        <f>165.28/1112.5</f>
        <v>0.14856629213483147</v>
      </c>
      <c r="W5088" s="285">
        <f t="shared" si="347"/>
        <v>2663.7936179775284</v>
      </c>
      <c r="X5088" s="446">
        <f t="shared" si="348"/>
        <v>7.8075332026997604</v>
      </c>
    </row>
    <row r="5089" spans="1:24" ht="15" customHeight="1">
      <c r="A5089" s="3">
        <v>42944</v>
      </c>
      <c r="B5089" s="9">
        <v>68225</v>
      </c>
      <c r="C5089" s="5">
        <v>0</v>
      </c>
      <c r="D5089" s="5">
        <v>95925</v>
      </c>
      <c r="E5089" s="5">
        <v>154100</v>
      </c>
      <c r="F5089" s="4">
        <v>0</v>
      </c>
      <c r="G5089" s="5">
        <v>375</v>
      </c>
      <c r="H5089" s="5">
        <v>64775</v>
      </c>
      <c r="I5089" s="118">
        <f t="shared" si="342"/>
        <v>0.42034393251135627</v>
      </c>
      <c r="J5089" s="5">
        <v>39759</v>
      </c>
      <c r="K5089" s="22">
        <v>2281</v>
      </c>
      <c r="L5089" s="6">
        <v>2305</v>
      </c>
      <c r="M5089" s="125">
        <f t="shared" si="324"/>
        <v>24</v>
      </c>
      <c r="P5089" s="247">
        <v>18030</v>
      </c>
      <c r="Q5089" s="25">
        <f>165.85/1119.1</f>
        <v>0.1481994459833795</v>
      </c>
      <c r="W5089" s="285">
        <f t="shared" ref="W5089" si="349">(P5089*Q5089)*(1+U5089)</f>
        <v>2672.0360110803326</v>
      </c>
      <c r="X5089" s="446">
        <f t="shared" ref="X5089" si="350">P5089/K5089</f>
        <v>7.9044278825076724</v>
      </c>
    </row>
    <row r="5090" spans="1:24" ht="15" customHeight="1">
      <c r="A5090" s="3">
        <v>42947</v>
      </c>
      <c r="B5090" s="9">
        <v>68225</v>
      </c>
      <c r="C5090" s="5">
        <v>0</v>
      </c>
      <c r="D5090" s="5">
        <v>95925</v>
      </c>
      <c r="E5090" s="5">
        <v>153825</v>
      </c>
      <c r="F5090" s="4">
        <v>0</v>
      </c>
      <c r="G5090" s="5">
        <v>275</v>
      </c>
      <c r="H5090" s="5">
        <v>65100</v>
      </c>
      <c r="I5090" s="118">
        <f t="shared" si="342"/>
        <v>0.42320819112627989</v>
      </c>
      <c r="J5090" s="5">
        <v>23415</v>
      </c>
      <c r="K5090" s="22">
        <v>2312</v>
      </c>
      <c r="L5090" s="6">
        <v>2333</v>
      </c>
      <c r="M5090" s="125">
        <f t="shared" si="324"/>
        <v>21</v>
      </c>
      <c r="N5090" s="381">
        <f>AVERAGE(K5070:K5090)</f>
        <v>2266.4047619047619</v>
      </c>
      <c r="O5090" s="230">
        <f>AVERAGE(K4935:K5090)</f>
        <v>2227.3424657534247</v>
      </c>
      <c r="P5090" s="247">
        <v>18170</v>
      </c>
      <c r="Q5090" s="25">
        <f>165.85/1119.1</f>
        <v>0.1481994459833795</v>
      </c>
      <c r="W5090" s="285">
        <f t="shared" ref="W5090" si="351">(P5090*Q5090)*(1+U5090)</f>
        <v>2692.7839335180056</v>
      </c>
      <c r="X5090" s="446">
        <f t="shared" ref="X5090" si="352">P5090/K5090</f>
        <v>7.8589965397923871</v>
      </c>
    </row>
    <row r="5091" spans="1:24" ht="15" customHeight="1" thickBot="1">
      <c r="A5091" s="216"/>
      <c r="B5091" s="1330"/>
      <c r="C5091" s="1330"/>
      <c r="D5091" s="1330"/>
      <c r="E5091" s="216"/>
      <c r="F5091" s="407"/>
      <c r="G5091" s="164"/>
      <c r="H5091" s="164"/>
      <c r="I5091" s="166"/>
      <c r="J5091" s="166"/>
      <c r="K5091" s="166"/>
      <c r="L5091" s="167"/>
      <c r="M5091" s="168"/>
      <c r="N5091" s="169" t="s">
        <v>52</v>
      </c>
      <c r="O5091" s="183"/>
      <c r="P5091" s="180"/>
      <c r="Q5091" s="154"/>
      <c r="R5091" s="248"/>
      <c r="S5091" s="249"/>
      <c r="T5091" s="249"/>
      <c r="U5091" s="152"/>
      <c r="V5091" s="153">
        <f>AVERAGE(P5070:P5090)</f>
        <v>17712.857142857141</v>
      </c>
      <c r="W5091" s="295"/>
      <c r="X5091" s="447">
        <f>AVERAGE(X5070:X5090)</f>
        <v>7.8160498460610022</v>
      </c>
    </row>
    <row r="5092" spans="1:24" ht="15" customHeight="1">
      <c r="A5092" s="3">
        <v>42948</v>
      </c>
      <c r="B5092" s="9">
        <v>68255</v>
      </c>
      <c r="C5092" s="5">
        <v>0</v>
      </c>
      <c r="D5092" s="5">
        <v>95925</v>
      </c>
      <c r="E5092" s="5">
        <v>152800</v>
      </c>
      <c r="F5092" s="4">
        <v>0</v>
      </c>
      <c r="G5092" s="5">
        <v>1025</v>
      </c>
      <c r="H5092" s="5">
        <v>66175</v>
      </c>
      <c r="I5092" s="118">
        <f t="shared" si="342"/>
        <v>0.43308246073298429</v>
      </c>
      <c r="J5092" s="5">
        <v>41358</v>
      </c>
      <c r="K5092" s="22">
        <v>2299</v>
      </c>
      <c r="L5092" s="6">
        <v>2325</v>
      </c>
      <c r="M5092" s="125">
        <f t="shared" si="324"/>
        <v>26</v>
      </c>
      <c r="P5092" s="247">
        <v>18140</v>
      </c>
      <c r="Q5092" s="25">
        <f>166.26/1118</f>
        <v>0.14871198568872987</v>
      </c>
      <c r="W5092" s="285">
        <f t="shared" ref="W5092" si="353">(P5092*Q5092)*(1+U5092)</f>
        <v>2697.6354203935598</v>
      </c>
      <c r="X5092" s="446">
        <f t="shared" ref="X5092" si="354">P5092/K5092</f>
        <v>7.8903871248368853</v>
      </c>
    </row>
    <row r="5093" spans="1:24" ht="15" customHeight="1">
      <c r="A5093" s="3">
        <v>42949</v>
      </c>
      <c r="B5093" s="9">
        <v>68225</v>
      </c>
      <c r="C5093" s="5">
        <v>0</v>
      </c>
      <c r="D5093" s="5">
        <v>95925</v>
      </c>
      <c r="E5093" s="5">
        <v>151925</v>
      </c>
      <c r="F5093" s="4">
        <v>0</v>
      </c>
      <c r="G5093" s="5">
        <v>875</v>
      </c>
      <c r="H5093" s="5">
        <v>65300</v>
      </c>
      <c r="I5093" s="118">
        <f t="shared" si="342"/>
        <v>0.4298173440842521</v>
      </c>
      <c r="J5093" s="5">
        <v>31886</v>
      </c>
      <c r="K5093" s="22">
        <v>2315</v>
      </c>
      <c r="L5093" s="6">
        <v>2340</v>
      </c>
      <c r="M5093" s="125">
        <f t="shared" si="324"/>
        <v>25</v>
      </c>
      <c r="Q5093" s="25">
        <f>166.94/1123.2</f>
        <v>0.14862891737891737</v>
      </c>
      <c r="W5093" s="285">
        <f t="shared" ref="W5093" si="355">(P5093*Q5093)*(1+U5093)</f>
        <v>0</v>
      </c>
      <c r="X5093" s="446">
        <f t="shared" ref="X5093:X5095" si="356">P5093/K5093</f>
        <v>0</v>
      </c>
    </row>
    <row r="5094" spans="1:24" ht="15" customHeight="1">
      <c r="A5094" s="3">
        <v>42950</v>
      </c>
      <c r="B5094" s="9">
        <v>68225</v>
      </c>
      <c r="C5094" s="5">
        <v>0</v>
      </c>
      <c r="D5094" s="5">
        <v>95925</v>
      </c>
      <c r="E5094" s="5">
        <v>151425</v>
      </c>
      <c r="F5094" s="4">
        <v>0</v>
      </c>
      <c r="G5094" s="5">
        <v>500</v>
      </c>
      <c r="H5094" s="5">
        <v>64800</v>
      </c>
      <c r="I5094" s="118">
        <f t="shared" si="342"/>
        <v>0.42793462109955421</v>
      </c>
      <c r="J5094" s="5">
        <v>42980</v>
      </c>
      <c r="K5094" s="22">
        <v>2342</v>
      </c>
      <c r="L5094" s="6">
        <v>2365</v>
      </c>
      <c r="M5094" s="125">
        <f t="shared" ref="M5094:M5140" si="357">L5094-K5094</f>
        <v>23</v>
      </c>
      <c r="P5094" s="247">
        <v>18570</v>
      </c>
      <c r="Q5094" s="25">
        <f>167.47/1127.6</f>
        <v>0.14851897836112096</v>
      </c>
      <c r="W5094" s="285">
        <f t="shared" ref="W5094:W5099" si="358">(P5094*Q5094)*(1+U5094)</f>
        <v>2757.9974281660161</v>
      </c>
      <c r="X5094" s="446">
        <f t="shared" si="356"/>
        <v>7.929120409906063</v>
      </c>
    </row>
    <row r="5095" spans="1:24" ht="15" customHeight="1">
      <c r="A5095" s="3">
        <v>42951</v>
      </c>
      <c r="B5095" s="9">
        <v>65275</v>
      </c>
      <c r="C5095" s="5">
        <v>0</v>
      </c>
      <c r="D5095" s="5">
        <v>85725</v>
      </c>
      <c r="E5095" s="5">
        <v>151000</v>
      </c>
      <c r="F5095" s="4">
        <v>0</v>
      </c>
      <c r="G5095" s="5">
        <v>425</v>
      </c>
      <c r="H5095" s="5">
        <v>64375</v>
      </c>
      <c r="I5095" s="118">
        <f t="shared" si="342"/>
        <v>0.42632450331125826</v>
      </c>
      <c r="J5095" s="5">
        <v>31759</v>
      </c>
      <c r="K5095" s="22">
        <v>2349</v>
      </c>
      <c r="L5095" s="6">
        <v>2366</v>
      </c>
      <c r="M5095" s="125">
        <f t="shared" si="357"/>
        <v>17</v>
      </c>
      <c r="P5095" s="247">
        <v>18570</v>
      </c>
      <c r="Q5095" s="25">
        <f>167.37/1125.4</f>
        <v>0.14872045494935132</v>
      </c>
      <c r="W5095" s="285">
        <f t="shared" si="358"/>
        <v>2761.738848409454</v>
      </c>
      <c r="X5095" s="446">
        <f t="shared" si="356"/>
        <v>7.9054916985951467</v>
      </c>
    </row>
    <row r="5096" spans="1:24" ht="15" customHeight="1">
      <c r="A5096" s="3">
        <v>42954</v>
      </c>
      <c r="B5096" s="9">
        <v>65275</v>
      </c>
      <c r="C5096" s="5">
        <v>0</v>
      </c>
      <c r="D5096" s="5">
        <v>85375</v>
      </c>
      <c r="E5096" s="5">
        <v>150650</v>
      </c>
      <c r="F5096" s="4">
        <v>0</v>
      </c>
      <c r="G5096" s="5">
        <v>350</v>
      </c>
      <c r="H5096" s="5">
        <v>64025</v>
      </c>
      <c r="I5096" s="118">
        <f t="shared" si="342"/>
        <v>0.42499170262197145</v>
      </c>
      <c r="J5096" s="5">
        <v>35037</v>
      </c>
      <c r="K5096" s="22">
        <v>2355</v>
      </c>
      <c r="L5096" s="6">
        <v>2374</v>
      </c>
      <c r="M5096" s="125">
        <f t="shared" si="357"/>
        <v>19</v>
      </c>
      <c r="P5096" s="247">
        <v>18690</v>
      </c>
      <c r="Q5096" s="25">
        <f>167.49/1127.3</f>
        <v>0.14857624412312606</v>
      </c>
      <c r="W5096" s="285">
        <f t="shared" si="358"/>
        <v>2776.8900026612259</v>
      </c>
      <c r="X5096" s="446">
        <f t="shared" ref="X5096" si="359">P5096/K5096</f>
        <v>7.936305732484076</v>
      </c>
    </row>
    <row r="5097" spans="1:24" ht="15" customHeight="1">
      <c r="A5097" s="3">
        <v>42955</v>
      </c>
      <c r="B5097" s="9">
        <v>65275</v>
      </c>
      <c r="C5097" s="5">
        <v>0</v>
      </c>
      <c r="D5097" s="5">
        <v>85325</v>
      </c>
      <c r="E5097" s="5">
        <v>150600</v>
      </c>
      <c r="F5097" s="4">
        <v>0</v>
      </c>
      <c r="G5097" s="5">
        <v>50</v>
      </c>
      <c r="H5097" s="5">
        <v>64625</v>
      </c>
      <c r="I5097" s="118">
        <f t="shared" si="342"/>
        <v>0.42911686586985393</v>
      </c>
      <c r="J5097" s="5">
        <v>49930</v>
      </c>
      <c r="K5097" s="22">
        <v>2349</v>
      </c>
      <c r="L5097" s="6">
        <v>2367.5</v>
      </c>
      <c r="M5097" s="125">
        <f t="shared" si="357"/>
        <v>18.5</v>
      </c>
      <c r="P5097" s="247">
        <v>18900</v>
      </c>
      <c r="Q5097" s="25">
        <f>167.61/1125.4</f>
        <v>0.14893371245779277</v>
      </c>
      <c r="W5097" s="285">
        <f t="shared" si="358"/>
        <v>2814.8471654522832</v>
      </c>
      <c r="X5097" s="446">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18">
        <f t="shared" si="342"/>
        <v>0.42351785129380937</v>
      </c>
      <c r="J5098" s="5">
        <v>71949</v>
      </c>
      <c r="K5098" s="22">
        <v>2367.5</v>
      </c>
      <c r="L5098" s="6">
        <v>2391</v>
      </c>
      <c r="M5098" s="125">
        <f t="shared" si="357"/>
        <v>23.5</v>
      </c>
      <c r="P5098" s="247">
        <v>19230</v>
      </c>
      <c r="Q5098" s="25">
        <f>169.27/1134.7</f>
        <v>0.14917599365471049</v>
      </c>
      <c r="W5098" s="285">
        <f t="shared" si="358"/>
        <v>2868.6543579800828</v>
      </c>
      <c r="X5098" s="446">
        <f t="shared" ref="X5098" si="361">P5098/K5098</f>
        <v>8.1224920802534317</v>
      </c>
    </row>
    <row r="5099" spans="1:24" ht="15" customHeight="1">
      <c r="A5099" s="3">
        <v>42957</v>
      </c>
      <c r="B5099" s="9">
        <v>65250</v>
      </c>
      <c r="C5099" s="5">
        <v>0</v>
      </c>
      <c r="D5099" s="5">
        <v>87325</v>
      </c>
      <c r="E5099" s="5">
        <v>152575</v>
      </c>
      <c r="F5099" s="4">
        <v>0</v>
      </c>
      <c r="G5099" s="5">
        <v>75</v>
      </c>
      <c r="H5099" s="5">
        <v>64575</v>
      </c>
      <c r="I5099" s="118">
        <f t="shared" si="342"/>
        <v>0.42323447484843518</v>
      </c>
      <c r="J5099" s="5">
        <v>66371</v>
      </c>
      <c r="K5099" s="22">
        <v>2358</v>
      </c>
      <c r="L5099" s="6">
        <v>2378</v>
      </c>
      <c r="M5099" s="125">
        <f t="shared" si="357"/>
        <v>20</v>
      </c>
      <c r="P5099" s="247">
        <v>19260</v>
      </c>
      <c r="Q5099" s="25">
        <f>170.69/1141.1</f>
        <v>0.14958373499255107</v>
      </c>
      <c r="W5099" s="285">
        <f t="shared" si="358"/>
        <v>2880.9827359565334</v>
      </c>
      <c r="X5099" s="446">
        <f t="shared" ref="X5099" si="362">P5099/K5099</f>
        <v>8.1679389312977104</v>
      </c>
    </row>
    <row r="5100" spans="1:24" ht="15" customHeight="1">
      <c r="A5100" s="3">
        <v>42958</v>
      </c>
      <c r="B5100" s="9">
        <v>64800</v>
      </c>
      <c r="C5100" s="5">
        <v>0</v>
      </c>
      <c r="D5100" s="5">
        <v>87250</v>
      </c>
      <c r="E5100" s="5">
        <v>152050</v>
      </c>
      <c r="F5100" s="4">
        <v>0</v>
      </c>
      <c r="G5100" s="5">
        <v>525</v>
      </c>
      <c r="H5100" s="5">
        <v>64050</v>
      </c>
      <c r="I5100" s="118">
        <f t="shared" si="342"/>
        <v>0.42124301216705029</v>
      </c>
      <c r="J5100" s="5">
        <v>59628</v>
      </c>
      <c r="K5100" s="22">
        <v>2322.5</v>
      </c>
      <c r="L5100" s="6">
        <v>2342</v>
      </c>
      <c r="M5100" s="125">
        <f t="shared" si="357"/>
        <v>19.5</v>
      </c>
      <c r="P5100" s="247">
        <v>19100</v>
      </c>
      <c r="Q5100" s="25">
        <f>171.57/1146.3</f>
        <v>0.1496728605077205</v>
      </c>
      <c r="W5100" s="285">
        <f t="shared" ref="W5100" si="363">(P5100*Q5100)*(1+U5100)</f>
        <v>2858.7516356974616</v>
      </c>
      <c r="X5100" s="446">
        <f t="shared" ref="X5100" si="364">P5100/K5100</f>
        <v>8.2238966630785786</v>
      </c>
    </row>
    <row r="5101" spans="1:24" ht="15" customHeight="1">
      <c r="A5101" s="3">
        <v>42961</v>
      </c>
      <c r="B5101" s="9">
        <v>64675</v>
      </c>
      <c r="C5101" s="5">
        <v>0</v>
      </c>
      <c r="D5101" s="5">
        <v>87250</v>
      </c>
      <c r="E5101" s="5">
        <v>151925</v>
      </c>
      <c r="F5101" s="4">
        <v>0</v>
      </c>
      <c r="G5101" s="5">
        <v>125</v>
      </c>
      <c r="H5101" s="5">
        <v>63925</v>
      </c>
      <c r="I5101" s="118">
        <f t="shared" si="342"/>
        <v>0.42076682573638308</v>
      </c>
      <c r="J5101" s="5">
        <v>50108</v>
      </c>
      <c r="K5101" s="22">
        <v>2317</v>
      </c>
      <c r="L5101" s="6">
        <v>2337</v>
      </c>
      <c r="M5101" s="125">
        <f t="shared" si="357"/>
        <v>20</v>
      </c>
      <c r="Q5101" s="311" t="s">
        <v>56</v>
      </c>
    </row>
    <row r="5102" spans="1:24" ht="15" customHeight="1">
      <c r="A5102" s="3">
        <v>42962</v>
      </c>
      <c r="B5102" s="9">
        <v>64075</v>
      </c>
      <c r="C5102" s="5">
        <v>0</v>
      </c>
      <c r="D5102" s="5">
        <v>85150</v>
      </c>
      <c r="E5102" s="5">
        <v>149225</v>
      </c>
      <c r="F5102" s="4">
        <v>0</v>
      </c>
      <c r="G5102" s="5">
        <v>2700</v>
      </c>
      <c r="H5102" s="5">
        <v>61300</v>
      </c>
      <c r="I5102" s="118">
        <f t="shared" si="342"/>
        <v>0.41078907689730271</v>
      </c>
      <c r="J5102" s="5">
        <v>41291</v>
      </c>
      <c r="K5102" s="22">
        <v>2370</v>
      </c>
      <c r="L5102" s="6">
        <v>2389</v>
      </c>
      <c r="M5102" s="125">
        <f t="shared" si="357"/>
        <v>19</v>
      </c>
      <c r="P5102" s="247">
        <v>19150</v>
      </c>
      <c r="Q5102" s="25">
        <f>170.42/1138.2</f>
        <v>0.14972764013354417</v>
      </c>
      <c r="W5102" s="285">
        <f t="shared" ref="W5102" si="365">(P5102*Q5102)*(1+U5102)</f>
        <v>2867.2843085573709</v>
      </c>
      <c r="X5102" s="446">
        <f t="shared" ref="X5102" si="366">P5102/K5102</f>
        <v>8.0801687763713073</v>
      </c>
    </row>
    <row r="5103" spans="1:24" ht="15" customHeight="1">
      <c r="A5103" s="3">
        <v>42963</v>
      </c>
      <c r="B5103" s="9">
        <v>64075</v>
      </c>
      <c r="C5103" s="5">
        <v>0</v>
      </c>
      <c r="D5103" s="5">
        <v>85150</v>
      </c>
      <c r="E5103" s="5">
        <v>149225</v>
      </c>
      <c r="F5103" s="4">
        <v>0</v>
      </c>
      <c r="G5103" s="5">
        <v>0</v>
      </c>
      <c r="H5103" s="5">
        <v>61300</v>
      </c>
      <c r="I5103" s="118">
        <f t="shared" si="342"/>
        <v>0.41078907689730271</v>
      </c>
      <c r="J5103" s="5">
        <v>39874</v>
      </c>
      <c r="K5103" s="22">
        <v>2395</v>
      </c>
      <c r="L5103" s="6">
        <v>2421.5</v>
      </c>
      <c r="M5103" s="125">
        <f t="shared" si="357"/>
        <v>26.5</v>
      </c>
      <c r="P5103" s="247">
        <v>19330</v>
      </c>
      <c r="Q5103" s="25">
        <f>170.14/1139.6</f>
        <v>0.14929799929799931</v>
      </c>
      <c r="W5103" s="285">
        <f t="shared" ref="W5103" si="367">(P5103*Q5103)*(1+U5103)</f>
        <v>2885.9303264303267</v>
      </c>
      <c r="X5103" s="446">
        <f t="shared" ref="X5103" si="368">P5103/K5103</f>
        <v>8.0709812108559493</v>
      </c>
    </row>
    <row r="5104" spans="1:24" ht="15" customHeight="1">
      <c r="A5104" s="3">
        <v>42964</v>
      </c>
      <c r="B5104" s="9">
        <v>63675</v>
      </c>
      <c r="C5104" s="5">
        <v>0</v>
      </c>
      <c r="D5104" s="5">
        <v>85150</v>
      </c>
      <c r="E5104" s="5">
        <v>148825</v>
      </c>
      <c r="F5104" s="4">
        <v>0</v>
      </c>
      <c r="G5104" s="5">
        <v>400</v>
      </c>
      <c r="H5104" s="5">
        <v>61500</v>
      </c>
      <c r="I5104" s="118">
        <f t="shared" si="342"/>
        <v>0.41323702334957163</v>
      </c>
      <c r="J5104" s="5">
        <v>63661</v>
      </c>
      <c r="K5104" s="22">
        <v>2457</v>
      </c>
      <c r="L5104" s="6">
        <v>2481</v>
      </c>
      <c r="M5104" s="125">
        <f t="shared" si="357"/>
        <v>24</v>
      </c>
      <c r="P5104" s="247">
        <v>20150</v>
      </c>
      <c r="Q5104" s="25">
        <f>170.01/1135.9</f>
        <v>0.14966986530504445</v>
      </c>
      <c r="W5104" s="285">
        <f t="shared" ref="W5104" si="369">(P5104*Q5104)*(1+U5104)</f>
        <v>3015.8477858966457</v>
      </c>
      <c r="X5104" s="446">
        <f t="shared" ref="X5104" si="370">P5104/K5104</f>
        <v>8.2010582010582009</v>
      </c>
    </row>
    <row r="5105" spans="1:24" ht="15" customHeight="1">
      <c r="A5105" s="3">
        <v>42965</v>
      </c>
      <c r="B5105" s="9">
        <v>62900</v>
      </c>
      <c r="C5105" s="5">
        <v>0</v>
      </c>
      <c r="D5105" s="5">
        <v>85150</v>
      </c>
      <c r="E5105" s="5">
        <v>148050</v>
      </c>
      <c r="F5105" s="4">
        <v>0</v>
      </c>
      <c r="G5105" s="5">
        <v>775</v>
      </c>
      <c r="H5105" s="5">
        <v>60850</v>
      </c>
      <c r="I5105" s="118">
        <f t="shared" si="342"/>
        <v>0.41100979398851739</v>
      </c>
      <c r="J5105" s="5">
        <v>57784</v>
      </c>
      <c r="K5105" s="22">
        <v>2389</v>
      </c>
      <c r="L5105" s="6">
        <v>2412</v>
      </c>
      <c r="M5105" s="125">
        <f t="shared" si="357"/>
        <v>23</v>
      </c>
      <c r="P5105" s="247">
        <v>19680</v>
      </c>
      <c r="Q5105" s="25">
        <f>170.82/1142</f>
        <v>0.14957968476357267</v>
      </c>
      <c r="W5105" s="285">
        <f t="shared" ref="W5105" si="371">(P5105*Q5105)*(1+U5105)</f>
        <v>2943.7281961471099</v>
      </c>
      <c r="X5105" s="446">
        <f t="shared" ref="X5105" si="372">P5105/K5105</f>
        <v>8.2377563834240259</v>
      </c>
    </row>
    <row r="5106" spans="1:24" ht="15" customHeight="1">
      <c r="A5106" s="3">
        <v>42968</v>
      </c>
      <c r="B5106" s="9">
        <v>62800</v>
      </c>
      <c r="C5106" s="5">
        <v>0</v>
      </c>
      <c r="D5106" s="5">
        <v>85150</v>
      </c>
      <c r="E5106" s="5">
        <v>147950</v>
      </c>
      <c r="F5106" s="4">
        <v>0</v>
      </c>
      <c r="G5106" s="5">
        <v>100</v>
      </c>
      <c r="H5106" s="5">
        <v>60750</v>
      </c>
      <c r="I5106" s="118">
        <f t="shared" si="342"/>
        <v>0.41061169313957419</v>
      </c>
      <c r="J5106" s="5">
        <v>47288</v>
      </c>
      <c r="K5106" s="22">
        <v>2360</v>
      </c>
      <c r="L5106" s="6">
        <v>2394</v>
      </c>
      <c r="M5106" s="125">
        <f t="shared" si="357"/>
        <v>34</v>
      </c>
      <c r="P5106" s="247">
        <v>19630</v>
      </c>
      <c r="Q5106" s="25">
        <f>170.44/1138.3</f>
        <v>0.14973205657559518</v>
      </c>
      <c r="W5106" s="285">
        <f t="shared" ref="W5106" si="373">(P5106*Q5106)*(1+U5106)</f>
        <v>2939.2402705789336</v>
      </c>
      <c r="X5106" s="446">
        <f t="shared" ref="X5106" si="374">P5106/K5106</f>
        <v>8.3177966101694913</v>
      </c>
    </row>
    <row r="5107" spans="1:24" ht="15" customHeight="1">
      <c r="A5107" s="3">
        <v>42969</v>
      </c>
      <c r="B5107" s="9">
        <v>62325</v>
      </c>
      <c r="C5107" s="5">
        <v>0</v>
      </c>
      <c r="D5107" s="5">
        <v>85125</v>
      </c>
      <c r="E5107" s="5">
        <v>147450</v>
      </c>
      <c r="F5107" s="4">
        <v>0</v>
      </c>
      <c r="G5107" s="5">
        <v>500</v>
      </c>
      <c r="H5107" s="5">
        <v>60250</v>
      </c>
      <c r="I5107" s="118">
        <f t="shared" si="342"/>
        <v>0.40861308918277384</v>
      </c>
      <c r="J5107" s="5">
        <v>40157</v>
      </c>
      <c r="K5107" s="22">
        <v>2346</v>
      </c>
      <c r="L5107" s="6">
        <v>2370</v>
      </c>
      <c r="M5107" s="125">
        <f t="shared" si="357"/>
        <v>24</v>
      </c>
      <c r="P5107" s="247">
        <v>19350</v>
      </c>
      <c r="Q5107" s="25">
        <f>170.45/1135.6</f>
        <v>0.15009686509334272</v>
      </c>
      <c r="W5107" s="285">
        <f t="shared" ref="W5107" si="375">(P5107*Q5107)*(1+U5107)</f>
        <v>2904.3743395561814</v>
      </c>
      <c r="X5107" s="446">
        <f t="shared" ref="X5107" si="376">P5107/K5107</f>
        <v>8.2480818414322243</v>
      </c>
    </row>
    <row r="5108" spans="1:24" ht="15" customHeight="1">
      <c r="A5108" s="3">
        <v>42970</v>
      </c>
      <c r="B5108" s="9">
        <v>62125</v>
      </c>
      <c r="C5108" s="5">
        <v>0</v>
      </c>
      <c r="D5108" s="5">
        <v>85125</v>
      </c>
      <c r="E5108" s="5">
        <v>147250</v>
      </c>
      <c r="F5108" s="4">
        <v>0</v>
      </c>
      <c r="G5108" s="5">
        <v>200</v>
      </c>
      <c r="H5108" s="5">
        <v>60050</v>
      </c>
      <c r="I5108" s="118">
        <f t="shared" si="342"/>
        <v>0.40780984719864177</v>
      </c>
      <c r="J5108" s="5">
        <v>45673</v>
      </c>
      <c r="K5108" s="22">
        <v>2393</v>
      </c>
      <c r="L5108" s="6">
        <v>2414</v>
      </c>
      <c r="M5108" s="125">
        <f t="shared" si="357"/>
        <v>21</v>
      </c>
      <c r="P5108" s="247">
        <v>19670</v>
      </c>
      <c r="Q5108" s="25">
        <f>170.45/1135.6</f>
        <v>0.15009686509334272</v>
      </c>
      <c r="W5108" s="285">
        <f t="shared" ref="W5108" si="377">(P5108*Q5108)*(1+U5108)</f>
        <v>2952.4053363860512</v>
      </c>
      <c r="X5108" s="446">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18">
        <f t="shared" si="342"/>
        <v>0.40421585160202361</v>
      </c>
      <c r="J5109" s="5">
        <v>30099</v>
      </c>
      <c r="K5109" s="22">
        <v>2330</v>
      </c>
      <c r="L5109" s="6">
        <v>2358</v>
      </c>
      <c r="M5109" s="125">
        <f t="shared" si="357"/>
        <v>28</v>
      </c>
      <c r="P5109" s="247">
        <v>19650</v>
      </c>
      <c r="Q5109" s="25">
        <f>169.33/1127.3</f>
        <v>0.15020846269848312</v>
      </c>
      <c r="W5109" s="285">
        <f t="shared" ref="W5109:W5110" si="379">(P5109*Q5109)*(1+U5109)</f>
        <v>2951.5962920251932</v>
      </c>
      <c r="X5109" s="446">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18">
        <f t="shared" si="342"/>
        <v>0.40401484480431848</v>
      </c>
      <c r="J5110" s="5">
        <v>32337</v>
      </c>
      <c r="K5110" s="22">
        <v>2342</v>
      </c>
      <c r="L5110" s="6">
        <v>2366</v>
      </c>
      <c r="M5110" s="125">
        <f t="shared" si="357"/>
        <v>24</v>
      </c>
      <c r="P5110" s="247">
        <v>19480</v>
      </c>
      <c r="Q5110" s="25">
        <f>169.33/1127.3</f>
        <v>0.15020846269848312</v>
      </c>
      <c r="W5110" s="285">
        <f t="shared" si="379"/>
        <v>2926.0608533664513</v>
      </c>
      <c r="X5110" s="446">
        <f t="shared" si="380"/>
        <v>8.3176771989752343</v>
      </c>
    </row>
    <row r="5111" spans="1:24" ht="15" customHeight="1">
      <c r="A5111" s="3">
        <v>42975</v>
      </c>
      <c r="B5111" s="1318"/>
      <c r="C5111" s="1318"/>
      <c r="D5111" s="1318"/>
      <c r="E5111" s="1318"/>
      <c r="F5111" s="1318"/>
      <c r="G5111" s="1318"/>
      <c r="H5111" s="1318"/>
      <c r="I5111" s="1318"/>
      <c r="J5111" s="1318"/>
      <c r="K5111" s="1318"/>
      <c r="L5111" s="1318"/>
      <c r="M5111" s="1318"/>
      <c r="X5111" s="446"/>
    </row>
    <row r="5112" spans="1:24" ht="15" customHeight="1">
      <c r="A5112" s="3">
        <v>42976</v>
      </c>
      <c r="B5112" s="9">
        <v>62475</v>
      </c>
      <c r="C5112" s="5">
        <v>0</v>
      </c>
      <c r="D5112" s="5">
        <v>86225</v>
      </c>
      <c r="E5112" s="5">
        <v>148700</v>
      </c>
      <c r="F5112" s="4">
        <v>650</v>
      </c>
      <c r="G5112" s="5">
        <v>150</v>
      </c>
      <c r="H5112" s="5">
        <v>61625</v>
      </c>
      <c r="I5112" s="118">
        <f t="shared" si="342"/>
        <v>0.41442501681237393</v>
      </c>
      <c r="J5112" s="5">
        <v>28653</v>
      </c>
      <c r="K5112" s="22">
        <v>2370</v>
      </c>
      <c r="L5112" s="6">
        <v>2390</v>
      </c>
      <c r="M5112" s="125">
        <f t="shared" si="357"/>
        <v>20</v>
      </c>
      <c r="P5112" s="247">
        <v>19280</v>
      </c>
      <c r="Q5112" s="25">
        <f>168.82/1120.4</f>
        <v>0.15067832916815421</v>
      </c>
      <c r="W5112" s="285">
        <f t="shared" ref="W5112:W5113" si="381">(P5112*Q5112)*(1+U5112)</f>
        <v>2905.0781863620132</v>
      </c>
      <c r="X5112" s="446">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18">
        <f t="shared" si="342"/>
        <v>0.45047923322683708</v>
      </c>
      <c r="J5113" s="5">
        <v>44994</v>
      </c>
      <c r="K5113" s="22">
        <v>2362</v>
      </c>
      <c r="L5113" s="6">
        <v>2384</v>
      </c>
      <c r="M5113" s="125">
        <f t="shared" si="357"/>
        <v>22</v>
      </c>
      <c r="P5113" s="247">
        <v>19630</v>
      </c>
      <c r="Q5113" s="25">
        <f>168.82/1120.4</f>
        <v>0.15067832916815421</v>
      </c>
      <c r="W5113" s="285">
        <f t="shared" si="381"/>
        <v>2957.8156015708673</v>
      </c>
      <c r="X5113" s="446">
        <f t="shared" si="382"/>
        <v>8.3107535986452152</v>
      </c>
    </row>
    <row r="5114" spans="1:24" ht="15" customHeight="1">
      <c r="A5114" s="3">
        <v>42978</v>
      </c>
      <c r="B5114" s="9">
        <v>62475</v>
      </c>
      <c r="C5114" s="5">
        <v>0</v>
      </c>
      <c r="D5114" s="5">
        <v>86200</v>
      </c>
      <c r="E5114" s="5">
        <v>148675</v>
      </c>
      <c r="F5114" s="4">
        <v>0</v>
      </c>
      <c r="G5114" s="5">
        <v>0</v>
      </c>
      <c r="H5114" s="5">
        <v>67150</v>
      </c>
      <c r="I5114" s="118">
        <f t="shared" si="342"/>
        <v>0.45165629729275264</v>
      </c>
      <c r="J5114" s="5">
        <v>40653</v>
      </c>
      <c r="K5114" s="22">
        <v>2373</v>
      </c>
      <c r="L5114" s="6">
        <v>2398</v>
      </c>
      <c r="M5114" s="125">
        <f t="shared" si="357"/>
        <v>25</v>
      </c>
      <c r="N5114" s="381">
        <f>AVERAGE(K5092:K5114)</f>
        <v>2357.318181818182</v>
      </c>
      <c r="O5114" s="230">
        <f>AVERAGE(K4935:K5114)</f>
        <v>2244.3630952380954</v>
      </c>
      <c r="P5114" s="247">
        <v>19630</v>
      </c>
      <c r="Q5114" s="25">
        <f>170.51/1125.8</f>
        <v>0.15145674187244626</v>
      </c>
      <c r="W5114" s="285">
        <f t="shared" ref="W5114" si="383">(P5114*Q5114)*(1+U5114)</f>
        <v>2973.0958429561201</v>
      </c>
      <c r="X5114" s="446">
        <f t="shared" ref="X5114" si="384">P5114/K5114</f>
        <v>8.2722292456805739</v>
      </c>
    </row>
    <row r="5115" spans="1:24" ht="15" customHeight="1" thickBot="1">
      <c r="A5115" s="216"/>
      <c r="B5115" s="1330"/>
      <c r="C5115" s="1330"/>
      <c r="D5115" s="1330"/>
      <c r="E5115" s="216"/>
      <c r="F5115" s="407"/>
      <c r="G5115" s="164"/>
      <c r="H5115" s="164"/>
      <c r="I5115" s="166"/>
      <c r="J5115" s="166"/>
      <c r="K5115" s="166"/>
      <c r="L5115" s="167"/>
      <c r="M5115" s="168"/>
      <c r="N5115" s="169" t="s">
        <v>52</v>
      </c>
      <c r="O5115" s="183"/>
      <c r="P5115" s="180"/>
      <c r="Q5115" s="154"/>
      <c r="R5115" s="248"/>
      <c r="S5115" s="249"/>
      <c r="T5115" s="249"/>
      <c r="U5115" s="152"/>
      <c r="V5115" s="153">
        <f>AVERAGE(P5094:P5114)</f>
        <v>19313.157894736843</v>
      </c>
      <c r="W5115" s="295"/>
      <c r="X5115" s="447">
        <f>AVERAGE(X5094:X5114)</f>
        <v>8.167159518857261</v>
      </c>
    </row>
    <row r="5116" spans="1:24" ht="15" customHeight="1">
      <c r="A5116" s="3">
        <v>42979</v>
      </c>
      <c r="B5116" s="9">
        <v>62475</v>
      </c>
      <c r="C5116" s="5">
        <v>0</v>
      </c>
      <c r="D5116" s="5">
        <v>85950</v>
      </c>
      <c r="E5116" s="5">
        <v>148425</v>
      </c>
      <c r="H5116" s="5">
        <v>67000</v>
      </c>
      <c r="I5116" s="118">
        <f t="shared" si="342"/>
        <v>0.4514064342260401</v>
      </c>
      <c r="J5116" s="5">
        <v>43408</v>
      </c>
      <c r="K5116" s="22">
        <v>2369</v>
      </c>
      <c r="L5116" s="6">
        <v>2383</v>
      </c>
      <c r="M5116" s="125">
        <f t="shared" si="357"/>
        <v>14</v>
      </c>
      <c r="P5116" s="247">
        <v>19630</v>
      </c>
      <c r="Q5116" s="25">
        <f>170.5/1122.7</f>
        <v>0.15186603723167363</v>
      </c>
      <c r="W5116" s="285">
        <f t="shared" ref="W5116" si="385">(P5116*Q5116)*(1+U5116)</f>
        <v>2981.1303108577536</v>
      </c>
      <c r="X5116" s="446">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18">
        <f t="shared" si="342"/>
        <v>0.45094403236682401</v>
      </c>
      <c r="J5117" s="5">
        <v>35262</v>
      </c>
      <c r="K5117" s="22">
        <v>2364</v>
      </c>
      <c r="L5117" s="6">
        <v>2390</v>
      </c>
      <c r="M5117" s="125">
        <f t="shared" si="357"/>
        <v>26</v>
      </c>
      <c r="P5117" s="247">
        <v>19930</v>
      </c>
      <c r="Q5117" s="25">
        <f>170.5/1122.7</f>
        <v>0.15186603723167363</v>
      </c>
      <c r="W5117" s="285">
        <f t="shared" ref="W5117" si="387">(P5117*Q5117)*(1+U5117)</f>
        <v>3026.6901220272557</v>
      </c>
      <c r="X5117" s="446">
        <f t="shared" si="386"/>
        <v>8.4306260575296115</v>
      </c>
    </row>
    <row r="5118" spans="1:24" ht="15" customHeight="1">
      <c r="A5118" s="3">
        <v>42983</v>
      </c>
      <c r="B5118" s="9">
        <v>62475</v>
      </c>
      <c r="C5118" s="5">
        <v>0</v>
      </c>
      <c r="D5118" s="5">
        <v>92300</v>
      </c>
      <c r="E5118" s="5">
        <v>154775</v>
      </c>
      <c r="F5118" s="4">
        <v>6800</v>
      </c>
      <c r="G5118" s="5">
        <v>325</v>
      </c>
      <c r="H5118" s="5">
        <v>65775</v>
      </c>
      <c r="I5118" s="118">
        <f t="shared" si="342"/>
        <v>0.4249717331610402</v>
      </c>
      <c r="J5118" s="5">
        <v>31083</v>
      </c>
      <c r="K5118" s="22">
        <v>2350</v>
      </c>
      <c r="L5118" s="6">
        <v>2375</v>
      </c>
      <c r="M5118" s="125">
        <f t="shared" si="357"/>
        <v>25</v>
      </c>
      <c r="P5118" s="247">
        <v>19910</v>
      </c>
      <c r="Q5118" s="25">
        <f>173.04/1132</f>
        <v>0.15286219081272084</v>
      </c>
      <c r="W5118" s="285">
        <f t="shared" ref="W5118" si="388">(P5118*Q5118)*(1+U5118)</f>
        <v>3043.4862190812719</v>
      </c>
      <c r="X5118" s="446">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18">
        <f t="shared" si="342"/>
        <v>0.3732725892179195</v>
      </c>
      <c r="J5119" s="5">
        <v>56759</v>
      </c>
      <c r="K5119" s="22">
        <v>2320.5</v>
      </c>
      <c r="L5119" s="6">
        <v>2349</v>
      </c>
      <c r="M5119" s="125">
        <f t="shared" si="357"/>
        <v>28.5</v>
      </c>
      <c r="P5119" s="247">
        <v>19480</v>
      </c>
      <c r="Q5119" s="25">
        <f>173.04/1132</f>
        <v>0.15286219081272084</v>
      </c>
      <c r="W5119" s="285">
        <f t="shared" ref="W5119:W5124" si="390">(P5119*Q5119)*(1+U5119)</f>
        <v>2977.755477031802</v>
      </c>
      <c r="X5119" s="446">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18">
        <f t="shared" si="342"/>
        <v>0.37397385223472179</v>
      </c>
      <c r="J5120" s="5">
        <v>45669</v>
      </c>
      <c r="K5120" s="22">
        <v>2307.5</v>
      </c>
      <c r="L5120" s="6">
        <v>2335</v>
      </c>
      <c r="M5120" s="125">
        <f t="shared" si="357"/>
        <v>27.5</v>
      </c>
      <c r="P5120" s="247">
        <v>19480</v>
      </c>
      <c r="Q5120" s="25">
        <f>172.84/1129.6</f>
        <v>0.15300991501416433</v>
      </c>
      <c r="W5120" s="285">
        <f t="shared" si="390"/>
        <v>2980.6331444759212</v>
      </c>
      <c r="X5120" s="446">
        <f t="shared" si="391"/>
        <v>8.4420368364030338</v>
      </c>
    </row>
    <row r="5121" spans="1:24" ht="15" customHeight="1">
      <c r="A5121" s="3">
        <v>42986</v>
      </c>
      <c r="B5121" s="9">
        <v>62475</v>
      </c>
      <c r="C5121" s="5">
        <v>0</v>
      </c>
      <c r="D5121" s="5">
        <v>101900</v>
      </c>
      <c r="E5121" s="5">
        <v>164375</v>
      </c>
      <c r="F5121" s="4">
        <v>0</v>
      </c>
      <c r="G5121" s="5">
        <v>75</v>
      </c>
      <c r="H5121" s="5">
        <v>61475</v>
      </c>
      <c r="I5121" s="118">
        <f t="shared" si="342"/>
        <v>0.37399239543726237</v>
      </c>
      <c r="J5121" s="5">
        <v>44145</v>
      </c>
      <c r="K5121" s="22">
        <v>2272</v>
      </c>
      <c r="L5121" s="6">
        <v>2300</v>
      </c>
      <c r="M5121" s="125">
        <f t="shared" si="357"/>
        <v>28</v>
      </c>
      <c r="P5121" s="247">
        <v>19480</v>
      </c>
      <c r="Q5121" s="25">
        <f>174.14/1126.8</f>
        <v>0.1545438409655662</v>
      </c>
      <c r="W5121" s="285">
        <f t="shared" si="390"/>
        <v>3010.5140220092294</v>
      </c>
      <c r="X5121" s="446">
        <f t="shared" si="391"/>
        <v>8.5739436619718301</v>
      </c>
    </row>
    <row r="5122" spans="1:24" ht="15" customHeight="1">
      <c r="A5122" s="3">
        <v>42989</v>
      </c>
      <c r="B5122" s="9">
        <v>62225</v>
      </c>
      <c r="C5122" s="5">
        <v>0</v>
      </c>
      <c r="D5122" s="5">
        <v>101800</v>
      </c>
      <c r="E5122" s="5">
        <v>164025</v>
      </c>
      <c r="F5122" s="4">
        <v>0</v>
      </c>
      <c r="G5122" s="5">
        <v>350</v>
      </c>
      <c r="H5122" s="5">
        <v>50025</v>
      </c>
      <c r="I5122" s="118">
        <f t="shared" si="342"/>
        <v>0.30498399634202106</v>
      </c>
      <c r="J5122" s="5">
        <v>53472</v>
      </c>
      <c r="K5122" s="22">
        <v>2260</v>
      </c>
      <c r="L5122" s="6">
        <v>2290</v>
      </c>
      <c r="M5122" s="125">
        <f t="shared" si="357"/>
        <v>30</v>
      </c>
      <c r="P5122" s="247">
        <v>19100</v>
      </c>
      <c r="Q5122" s="25">
        <f>173.26/1129.5</f>
        <v>0.15339530765825585</v>
      </c>
      <c r="W5122" s="285">
        <f t="shared" si="390"/>
        <v>2929.8503762726868</v>
      </c>
      <c r="X5122" s="446">
        <f t="shared" si="391"/>
        <v>8.4513274336283182</v>
      </c>
    </row>
    <row r="5123" spans="1:24" ht="15" customHeight="1">
      <c r="A5123" s="3">
        <v>42990</v>
      </c>
      <c r="B5123" s="9">
        <v>62025</v>
      </c>
      <c r="C5123" s="5">
        <v>0</v>
      </c>
      <c r="D5123" s="5">
        <v>101750</v>
      </c>
      <c r="E5123" s="5">
        <v>163775</v>
      </c>
      <c r="F5123" s="4">
        <v>0</v>
      </c>
      <c r="G5123" s="5">
        <v>250</v>
      </c>
      <c r="H5123" s="5">
        <v>49975</v>
      </c>
      <c r="I5123" s="118">
        <f t="shared" si="342"/>
        <v>0.30514425278583424</v>
      </c>
      <c r="J5123" s="5">
        <v>64614</v>
      </c>
      <c r="K5123" s="22">
        <v>2233</v>
      </c>
      <c r="L5123" s="6">
        <v>2260.5</v>
      </c>
      <c r="M5123" s="125">
        <f t="shared" si="357"/>
        <v>27.5</v>
      </c>
      <c r="Q5123" s="25">
        <f>172.62/1129.8</f>
        <v>0.15278810408921933</v>
      </c>
      <c r="X5123" s="446"/>
    </row>
    <row r="5124" spans="1:24" ht="15" customHeight="1">
      <c r="A5124" s="3">
        <v>42991</v>
      </c>
      <c r="B5124" s="9">
        <v>62025</v>
      </c>
      <c r="C5124" s="5">
        <v>0</v>
      </c>
      <c r="D5124" s="5">
        <v>101525</v>
      </c>
      <c r="E5124" s="5">
        <v>163550</v>
      </c>
      <c r="F5124" s="4">
        <v>0</v>
      </c>
      <c r="G5124" s="5">
        <v>225</v>
      </c>
      <c r="H5124" s="5">
        <v>50950</v>
      </c>
      <c r="I5124" s="118">
        <f t="shared" si="342"/>
        <v>0.31152552736166311</v>
      </c>
      <c r="J5124" s="5">
        <v>72146</v>
      </c>
      <c r="K5124" s="22">
        <v>2274</v>
      </c>
      <c r="L5124" s="6">
        <v>2302</v>
      </c>
      <c r="M5124" s="125">
        <f t="shared" si="357"/>
        <v>28</v>
      </c>
      <c r="P5124" s="247">
        <v>19760</v>
      </c>
      <c r="Q5124" s="25">
        <f>172.61/1127.5</f>
        <v>0.15309090909090911</v>
      </c>
      <c r="W5124" s="285">
        <f t="shared" si="390"/>
        <v>3025.076363636364</v>
      </c>
      <c r="X5124" s="446">
        <f t="shared" si="391"/>
        <v>8.6895338610378197</v>
      </c>
    </row>
    <row r="5125" spans="1:24" ht="15" customHeight="1">
      <c r="A5125" s="3">
        <v>42992</v>
      </c>
      <c r="B5125" s="9">
        <v>62025</v>
      </c>
      <c r="C5125" s="5">
        <v>0</v>
      </c>
      <c r="D5125" s="5">
        <v>101275</v>
      </c>
      <c r="E5125" s="5">
        <v>163300</v>
      </c>
      <c r="F5125" s="4">
        <v>0</v>
      </c>
      <c r="G5125" s="5">
        <v>250</v>
      </c>
      <c r="H5125" s="5">
        <v>50700</v>
      </c>
      <c r="I5125" s="118">
        <f t="shared" si="342"/>
        <v>0.31047152480097978</v>
      </c>
      <c r="J5125" s="5">
        <v>61960</v>
      </c>
      <c r="K5125" s="22">
        <v>2266.5</v>
      </c>
      <c r="L5125" s="6">
        <v>2292</v>
      </c>
      <c r="M5125" s="125">
        <f t="shared" si="357"/>
        <v>25.5</v>
      </c>
      <c r="P5125" s="247">
        <v>20010</v>
      </c>
      <c r="Q5125" s="25">
        <f>172.88/1132.5</f>
        <v>0.15265342163355408</v>
      </c>
      <c r="W5125" s="285">
        <f t="shared" ref="W5125" si="392">(P5125*Q5125)*(1+U5125)</f>
        <v>3054.5949668874173</v>
      </c>
      <c r="X5125" s="446">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18">
        <f t="shared" si="342"/>
        <v>0.30973180076628354</v>
      </c>
      <c r="J5126" s="5">
        <v>48470</v>
      </c>
      <c r="K5126" s="22">
        <v>2317</v>
      </c>
      <c r="L5126" s="6">
        <v>2342</v>
      </c>
      <c r="M5126" s="125">
        <f t="shared" si="357"/>
        <v>25</v>
      </c>
      <c r="P5126" s="247">
        <v>20100</v>
      </c>
      <c r="Q5126" s="25">
        <f>172.88/1132.5</f>
        <v>0.15265342163355408</v>
      </c>
      <c r="W5126" s="285">
        <f t="shared" ref="W5126" si="394">(P5126*Q5126)*(1+U5126)</f>
        <v>3068.333774834437</v>
      </c>
      <c r="X5126" s="446">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18">
        <f t="shared" si="342"/>
        <v>0.32673419275629223</v>
      </c>
      <c r="J5127" s="5"/>
      <c r="K5127" s="22">
        <v>2369</v>
      </c>
      <c r="L5127" s="6">
        <v>2395</v>
      </c>
      <c r="M5127" s="125">
        <f t="shared" si="357"/>
        <v>26</v>
      </c>
      <c r="P5127" s="247">
        <v>20420</v>
      </c>
      <c r="Q5127" s="25">
        <f>173.08/1133.5</f>
        <v>0.15269519188354655</v>
      </c>
      <c r="W5127" s="285">
        <f t="shared" ref="W5127" si="396">(P5127*Q5127)*(1+U5127)</f>
        <v>3118.0358182620207</v>
      </c>
      <c r="X5127" s="446">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18">
        <f t="shared" si="342"/>
        <v>0.34188690842040564</v>
      </c>
      <c r="J5128" s="5">
        <v>52478</v>
      </c>
      <c r="K5128" s="22">
        <v>2381</v>
      </c>
      <c r="L5128" s="6">
        <v>2410</v>
      </c>
      <c r="M5128" s="125">
        <f t="shared" si="357"/>
        <v>29</v>
      </c>
      <c r="P5128" s="247">
        <v>20570</v>
      </c>
      <c r="Q5128" s="25">
        <f>171.59/1130</f>
        <v>0.1518495575221239</v>
      </c>
      <c r="W5128" s="285">
        <f t="shared" ref="W5128" si="398">(P5128*Q5128)*(1+U5128)</f>
        <v>3123.5453982300887</v>
      </c>
      <c r="X5128" s="446">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18">
        <f t="shared" si="342"/>
        <v>0.34322620329078884</v>
      </c>
      <c r="J5129" s="5">
        <v>66147</v>
      </c>
      <c r="K5129" s="22">
        <v>2443</v>
      </c>
      <c r="L5129" s="6">
        <v>2462</v>
      </c>
      <c r="M5129" s="125">
        <f t="shared" si="357"/>
        <v>19</v>
      </c>
      <c r="P5129" s="247">
        <v>20770</v>
      </c>
      <c r="Q5129" s="25">
        <f>171.79/1129.1</f>
        <v>0.1521477282791604</v>
      </c>
      <c r="W5129" s="285">
        <f t="shared" ref="W5129" si="400">(P5129*Q5129)*(1+U5129)</f>
        <v>3160.1083163581616</v>
      </c>
      <c r="X5129" s="446">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18">
        <f t="shared" si="342"/>
        <v>0.36693984846141953</v>
      </c>
      <c r="J5130" s="5">
        <v>59808</v>
      </c>
      <c r="K5130" s="22">
        <v>2472</v>
      </c>
      <c r="L5130" s="6">
        <v>2470</v>
      </c>
      <c r="M5130" s="125">
        <f t="shared" si="357"/>
        <v>-2</v>
      </c>
      <c r="P5130" s="247">
        <v>21310</v>
      </c>
      <c r="Q5130" s="25">
        <f>171.79/1129.1</f>
        <v>0.1521477282791604</v>
      </c>
      <c r="W5130" s="285">
        <f t="shared" ref="W5130" si="402">(P5130*Q5130)*(1+U5130)</f>
        <v>3242.268089628908</v>
      </c>
      <c r="X5130" s="446">
        <f t="shared" si="401"/>
        <v>8.6205501618122984</v>
      </c>
    </row>
    <row r="5131" spans="1:24" ht="15" customHeight="1">
      <c r="A5131" s="3">
        <v>43000</v>
      </c>
      <c r="B5131" s="9">
        <v>60450</v>
      </c>
      <c r="C5131" s="5">
        <v>0</v>
      </c>
      <c r="D5131" s="5">
        <v>100800</v>
      </c>
      <c r="E5131" s="5">
        <v>161250</v>
      </c>
      <c r="F5131" s="4">
        <v>0</v>
      </c>
      <c r="G5131" s="5">
        <v>425</v>
      </c>
      <c r="H5131" s="5">
        <v>60425</v>
      </c>
      <c r="I5131" s="118">
        <f t="shared" si="342"/>
        <v>0.37472868217054262</v>
      </c>
      <c r="J5131" s="5">
        <v>78245</v>
      </c>
      <c r="K5131" s="22">
        <v>2477.5</v>
      </c>
      <c r="L5131" s="6">
        <v>2480</v>
      </c>
      <c r="M5131" s="125">
        <f t="shared" si="357"/>
        <v>2.5</v>
      </c>
      <c r="P5131" s="247">
        <v>21010</v>
      </c>
      <c r="Q5131" s="25">
        <f>172.71/1136.3</f>
        <v>0.15199331162545104</v>
      </c>
      <c r="W5131" s="285">
        <f t="shared" ref="W5131" si="403">(P5131*Q5131)*(1+U5131)</f>
        <v>3193.3794772507263</v>
      </c>
      <c r="X5131" s="446">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18">
        <f t="shared" si="342"/>
        <v>0.37470871524001864</v>
      </c>
      <c r="J5132" s="5">
        <v>66236</v>
      </c>
      <c r="K5132" s="22">
        <v>2513</v>
      </c>
      <c r="L5132" s="6">
        <v>2509</v>
      </c>
      <c r="M5132" s="125">
        <f t="shared" si="357"/>
        <v>-4</v>
      </c>
      <c r="P5132" s="247">
        <v>21460</v>
      </c>
      <c r="Q5132" s="25">
        <f>171.48/1130.7</f>
        <v>0.15165826479172193</v>
      </c>
      <c r="W5132" s="285">
        <f t="shared" ref="W5132:W5133" si="405">(P5132*Q5132)*(1+U5132)</f>
        <v>3254.5863624303524</v>
      </c>
      <c r="X5132" s="446">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18">
        <f t="shared" si="342"/>
        <v>0.37064364207221351</v>
      </c>
      <c r="J5133" s="5">
        <v>41393</v>
      </c>
      <c r="K5133" s="22">
        <v>2490</v>
      </c>
      <c r="L5133" s="6">
        <v>2491</v>
      </c>
      <c r="M5133" s="125">
        <f t="shared" si="357"/>
        <v>1</v>
      </c>
      <c r="P5133" s="247">
        <v>21460</v>
      </c>
      <c r="Q5133" s="25">
        <f>171.82/1136.3</f>
        <v>0.15121006776379478</v>
      </c>
      <c r="W5133" s="285">
        <f t="shared" si="405"/>
        <v>3244.9680542110359</v>
      </c>
      <c r="X5133" s="446">
        <f t="shared" si="406"/>
        <v>8.6184738955823299</v>
      </c>
    </row>
    <row r="5134" spans="1:24" ht="15" customHeight="1">
      <c r="A5134" s="3">
        <v>43005</v>
      </c>
      <c r="B5134" s="9">
        <v>56275</v>
      </c>
      <c r="C5134" s="5">
        <v>0</v>
      </c>
      <c r="D5134" s="5">
        <v>101225</v>
      </c>
      <c r="E5134" s="5">
        <v>157500</v>
      </c>
      <c r="F5134" s="4">
        <v>0</v>
      </c>
      <c r="G5134" s="5">
        <v>1750</v>
      </c>
      <c r="H5134" s="5">
        <v>57550</v>
      </c>
      <c r="I5134" s="118">
        <f t="shared" si="342"/>
        <v>0.36539682539682539</v>
      </c>
      <c r="J5134" s="5">
        <v>42346</v>
      </c>
      <c r="K5134" s="22">
        <v>2458</v>
      </c>
      <c r="L5134" s="6">
        <v>2461</v>
      </c>
      <c r="M5134" s="125">
        <f t="shared" si="357"/>
        <v>3</v>
      </c>
      <c r="N5134" s="396"/>
      <c r="P5134" s="247">
        <v>21460</v>
      </c>
      <c r="Q5134" s="25">
        <f>171.82/1136.3</f>
        <v>0.15121006776379478</v>
      </c>
      <c r="W5134" s="285">
        <f t="shared" ref="W5134:W5135" si="407">(P5134*Q5134)*(1+U5134)</f>
        <v>3244.9680542110359</v>
      </c>
      <c r="X5134" s="446">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18">
        <f t="shared" si="342"/>
        <v>0.36009501187648457</v>
      </c>
      <c r="J5135" s="5">
        <v>51872</v>
      </c>
      <c r="K5135" s="22">
        <v>2467</v>
      </c>
      <c r="L5135" s="6">
        <v>2472</v>
      </c>
      <c r="M5135" s="125">
        <f t="shared" si="357"/>
        <v>5</v>
      </c>
      <c r="P5135" s="247">
        <v>21460</v>
      </c>
      <c r="Q5135" s="25">
        <f>172.35/1146.7</f>
        <v>0.15030086334699572</v>
      </c>
      <c r="W5135" s="285">
        <f t="shared" si="407"/>
        <v>3225.4565274265283</v>
      </c>
      <c r="X5135" s="446">
        <f t="shared" si="408"/>
        <v>8.6988244831779493</v>
      </c>
    </row>
    <row r="5136" spans="1:24" ht="15" customHeight="1">
      <c r="A5136" s="3">
        <v>43007</v>
      </c>
      <c r="B5136" s="9">
        <v>54525</v>
      </c>
      <c r="C5136" s="5">
        <v>0</v>
      </c>
      <c r="D5136" s="5">
        <v>103025</v>
      </c>
      <c r="E5136" s="5">
        <v>157550</v>
      </c>
      <c r="F5136" s="4">
        <v>0</v>
      </c>
      <c r="G5136" s="5">
        <v>325</v>
      </c>
      <c r="H5136" s="5">
        <v>56800</v>
      </c>
      <c r="I5136" s="118">
        <f t="shared" si="342"/>
        <v>0.36052046969216123</v>
      </c>
      <c r="J5136" s="5">
        <v>28593</v>
      </c>
      <c r="K5136" s="22">
        <v>2519</v>
      </c>
      <c r="L5136" s="6">
        <v>2509</v>
      </c>
      <c r="M5136" s="125">
        <f t="shared" si="357"/>
        <v>-10</v>
      </c>
      <c r="N5136" s="381">
        <f>AVERAGE(K5116:K5136)</f>
        <v>2377.2857142857142</v>
      </c>
      <c r="O5136" s="230">
        <f>AVERAGE(K4935:K5136)</f>
        <v>2259.132275132275</v>
      </c>
      <c r="P5136" s="247">
        <v>21560</v>
      </c>
      <c r="X5136" s="446">
        <f t="shared" ref="X5136" si="409">P5136/K5136</f>
        <v>8.5589519650655017</v>
      </c>
    </row>
    <row r="5137" spans="1:24" ht="15" customHeight="1" thickBot="1">
      <c r="A5137" s="216"/>
      <c r="B5137" s="1330"/>
      <c r="C5137" s="1330"/>
      <c r="D5137" s="1330"/>
      <c r="E5137" s="216"/>
      <c r="F5137" s="407"/>
      <c r="G5137" s="164"/>
      <c r="H5137" s="164"/>
      <c r="I5137" s="166"/>
      <c r="J5137" s="166"/>
      <c r="K5137" s="166"/>
      <c r="L5137" s="167"/>
      <c r="M5137" s="168"/>
      <c r="N5137" s="169" t="s">
        <v>52</v>
      </c>
      <c r="O5137" s="183"/>
      <c r="P5137" s="180"/>
      <c r="Q5137" s="154"/>
      <c r="R5137" s="248"/>
      <c r="S5137" s="249"/>
      <c r="T5137" s="249"/>
      <c r="U5137" s="152"/>
      <c r="V5137" s="153">
        <f>AVERAGE(P5116:P5136)</f>
        <v>20418</v>
      </c>
      <c r="W5137" s="295"/>
      <c r="X5137" s="447">
        <f>AVERAGE(X5116:X5136)</f>
        <v>8.5626240725840539</v>
      </c>
    </row>
    <row r="5138" spans="1:24" ht="15" customHeight="1">
      <c r="A5138" s="3">
        <v>43010</v>
      </c>
      <c r="B5138" s="9">
        <v>54525</v>
      </c>
      <c r="C5138" s="5">
        <v>0</v>
      </c>
      <c r="D5138" s="5">
        <v>102950</v>
      </c>
      <c r="E5138" s="5">
        <v>157475</v>
      </c>
      <c r="F5138" s="4">
        <v>25</v>
      </c>
      <c r="G5138" s="5">
        <v>100</v>
      </c>
      <c r="H5138" s="5">
        <v>56700</v>
      </c>
      <c r="I5138" s="118">
        <f t="shared" si="342"/>
        <v>0.36005715192887761</v>
      </c>
      <c r="J5138" s="5">
        <v>41566</v>
      </c>
      <c r="K5138" s="22">
        <v>2538</v>
      </c>
      <c r="L5138" s="6">
        <v>2532</v>
      </c>
      <c r="M5138" s="125">
        <f t="shared" si="357"/>
        <v>-6</v>
      </c>
      <c r="P5138" s="247"/>
    </row>
    <row r="5139" spans="1:24" ht="15" customHeight="1">
      <c r="A5139" s="3">
        <v>43011</v>
      </c>
      <c r="B5139" s="9">
        <v>54225</v>
      </c>
      <c r="C5139" s="5">
        <v>0</v>
      </c>
      <c r="D5139" s="5">
        <v>102675</v>
      </c>
      <c r="E5139" s="5">
        <v>156900</v>
      </c>
      <c r="F5139" s="4">
        <v>0</v>
      </c>
      <c r="G5139" s="5">
        <v>575</v>
      </c>
      <c r="H5139" s="5">
        <v>56825</v>
      </c>
      <c r="I5139" s="118">
        <f t="shared" si="342"/>
        <v>0.36217335882727852</v>
      </c>
      <c r="J5139" s="5">
        <v>39082</v>
      </c>
      <c r="K5139" s="22">
        <v>2501</v>
      </c>
      <c r="L5139" s="6">
        <v>2502</v>
      </c>
      <c r="M5139" s="125">
        <f t="shared" si="357"/>
        <v>1</v>
      </c>
      <c r="P5139" s="247"/>
    </row>
    <row r="5140" spans="1:24" ht="15" customHeight="1">
      <c r="A5140" s="3">
        <v>43012</v>
      </c>
      <c r="B5140" s="9">
        <v>54075</v>
      </c>
      <c r="C5140" s="5">
        <v>0</v>
      </c>
      <c r="D5140" s="5">
        <v>102325</v>
      </c>
      <c r="E5140" s="5">
        <v>156400</v>
      </c>
      <c r="F5140" s="4">
        <v>0</v>
      </c>
      <c r="G5140" s="5">
        <v>500</v>
      </c>
      <c r="H5140" s="5">
        <v>55900</v>
      </c>
      <c r="I5140" s="118">
        <f t="shared" si="342"/>
        <v>0.35741687979539644</v>
      </c>
      <c r="J5140" s="5">
        <v>55335</v>
      </c>
      <c r="K5140" s="22">
        <v>2585</v>
      </c>
      <c r="L5140" s="6">
        <v>2593</v>
      </c>
      <c r="M5140" s="125">
        <f t="shared" si="357"/>
        <v>8</v>
      </c>
      <c r="P5140" s="247"/>
    </row>
    <row r="5141" spans="1:24" ht="15" customHeight="1">
      <c r="A5141" s="3">
        <v>43013</v>
      </c>
      <c r="B5141" s="9">
        <v>53725</v>
      </c>
      <c r="C5141" s="5">
        <v>0</v>
      </c>
      <c r="D5141" s="5">
        <v>101800</v>
      </c>
      <c r="E5141" s="5">
        <v>155525</v>
      </c>
      <c r="F5141" s="4">
        <v>0</v>
      </c>
      <c r="G5141" s="5">
        <v>875</v>
      </c>
      <c r="H5141" s="5">
        <v>55025</v>
      </c>
      <c r="I5141" s="118">
        <f t="shared" si="342"/>
        <v>0.35380163960778011</v>
      </c>
      <c r="J5141" s="5">
        <v>34593</v>
      </c>
      <c r="K5141" s="22">
        <v>2548</v>
      </c>
      <c r="L5141" s="6">
        <v>2557</v>
      </c>
      <c r="M5141" s="125">
        <f t="shared" ref="M5141:M5154" si="410">L5141-K5141</f>
        <v>9</v>
      </c>
      <c r="P5141" s="247"/>
    </row>
    <row r="5142" spans="1:24" ht="15" customHeight="1">
      <c r="A5142" s="3">
        <v>43014</v>
      </c>
      <c r="B5142" s="9">
        <v>53725</v>
      </c>
      <c r="C5142" s="5">
        <v>0</v>
      </c>
      <c r="D5142" s="5">
        <v>101400</v>
      </c>
      <c r="E5142" s="5">
        <v>155125</v>
      </c>
      <c r="F5142" s="4">
        <v>0</v>
      </c>
      <c r="G5142" s="5">
        <v>400</v>
      </c>
      <c r="H5142" s="5">
        <v>54625</v>
      </c>
      <c r="I5142" s="118">
        <f t="shared" si="342"/>
        <v>0.35213537469782435</v>
      </c>
      <c r="J5142" s="5">
        <v>31572</v>
      </c>
      <c r="K5142" s="22">
        <v>2539.5</v>
      </c>
      <c r="L5142" s="6">
        <v>2548</v>
      </c>
      <c r="M5142" s="125">
        <f t="shared" si="410"/>
        <v>8.5</v>
      </c>
      <c r="P5142" s="247"/>
    </row>
    <row r="5143" spans="1:24" ht="15" customHeight="1">
      <c r="A5143" s="3">
        <v>43017</v>
      </c>
      <c r="B5143" s="9">
        <v>53725</v>
      </c>
      <c r="C5143" s="5">
        <v>0</v>
      </c>
      <c r="D5143" s="5">
        <v>101150</v>
      </c>
      <c r="E5143" s="5">
        <v>154875</v>
      </c>
      <c r="F5143" s="4">
        <v>0</v>
      </c>
      <c r="G5143" s="5">
        <v>250</v>
      </c>
      <c r="H5143" s="5">
        <v>54375</v>
      </c>
      <c r="I5143" s="118">
        <f t="shared" si="342"/>
        <v>0.35108958837772397</v>
      </c>
      <c r="J5143" s="5">
        <v>36009</v>
      </c>
      <c r="K5143" s="22">
        <v>2515</v>
      </c>
      <c r="L5143" s="6">
        <v>2522</v>
      </c>
      <c r="M5143" s="125">
        <f t="shared" si="410"/>
        <v>7</v>
      </c>
      <c r="P5143" s="247">
        <v>21860</v>
      </c>
      <c r="Q5143" s="25">
        <f>172.35/1146.7</f>
        <v>0.15030086334699572</v>
      </c>
      <c r="W5143" s="285">
        <f t="shared" ref="W5143" si="411">(P5143*Q5143)*(1+U5143)</f>
        <v>3285.5768727653262</v>
      </c>
      <c r="X5143" s="446">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18">
        <f t="shared" si="342"/>
        <v>0.34983017952450268</v>
      </c>
      <c r="J5144" s="5">
        <v>56298</v>
      </c>
      <c r="K5144" s="22">
        <v>2509</v>
      </c>
      <c r="L5144" s="6">
        <v>2520</v>
      </c>
      <c r="M5144" s="125">
        <f t="shared" si="410"/>
        <v>11</v>
      </c>
      <c r="P5144" s="247">
        <v>21730</v>
      </c>
      <c r="Q5144" s="25">
        <f>172.78/1138.2</f>
        <v>0.15180108943946583</v>
      </c>
      <c r="W5144" s="285">
        <f t="shared" ref="W5144" si="413">(P5144*Q5144)*(1+U5144)</f>
        <v>3298.6376735195922</v>
      </c>
      <c r="X5144" s="446">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18">
        <f t="shared" si="342"/>
        <v>0.34602244997559783</v>
      </c>
      <c r="J5145" s="5">
        <v>54306</v>
      </c>
      <c r="K5145" s="22">
        <v>2525</v>
      </c>
      <c r="L5145" s="6">
        <v>2533</v>
      </c>
      <c r="M5145" s="125">
        <f t="shared" si="410"/>
        <v>8</v>
      </c>
      <c r="P5145" s="247">
        <v>21730</v>
      </c>
      <c r="Q5145" s="25">
        <f>172.78/1138.2</f>
        <v>0.15180108943946583</v>
      </c>
      <c r="W5145" s="285">
        <f t="shared" ref="W5145" si="415">(P5145*Q5145)*(1+U5145)</f>
        <v>3298.6376735195922</v>
      </c>
      <c r="X5145" s="446">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18">
        <f t="shared" si="342"/>
        <v>0.34152334152334152</v>
      </c>
      <c r="J5146" s="5">
        <v>61683</v>
      </c>
      <c r="K5146" s="22">
        <v>2568.5</v>
      </c>
      <c r="L5146" s="6">
        <v>2577</v>
      </c>
      <c r="M5146" s="125">
        <f t="shared" si="410"/>
        <v>8.5</v>
      </c>
      <c r="P5146" s="247">
        <v>21330</v>
      </c>
      <c r="Q5146" s="25">
        <f>172.78/1138.2</f>
        <v>0.15180108943946583</v>
      </c>
      <c r="W5146" s="285">
        <f t="shared" ref="W5146" si="417">(P5146*Q5146)*(1+U5146)</f>
        <v>3237.9172377438063</v>
      </c>
      <c r="X5146" s="446">
        <f t="shared" ref="X5146" si="418">P5146/K5146</f>
        <v>8.304457854779054</v>
      </c>
    </row>
    <row r="5147" spans="1:24" ht="15" customHeight="1">
      <c r="A5147" s="3">
        <v>43021</v>
      </c>
      <c r="B5147" s="9">
        <v>51725</v>
      </c>
      <c r="C5147" s="5">
        <v>0</v>
      </c>
      <c r="D5147" s="5">
        <v>100350</v>
      </c>
      <c r="E5147" s="5">
        <v>152075</v>
      </c>
      <c r="F5147" s="4">
        <v>0</v>
      </c>
      <c r="G5147" s="5">
        <v>550</v>
      </c>
      <c r="H5147" s="5">
        <v>51775</v>
      </c>
      <c r="I5147" s="118">
        <f t="shared" si="342"/>
        <v>0.34045701134308731</v>
      </c>
      <c r="J5147" s="5">
        <v>51699</v>
      </c>
      <c r="K5147" s="22">
        <v>2542</v>
      </c>
      <c r="L5147" s="6">
        <v>2551</v>
      </c>
      <c r="M5147" s="125">
        <f t="shared" si="410"/>
        <v>9</v>
      </c>
      <c r="P5147" s="247">
        <v>21230</v>
      </c>
      <c r="Q5147" s="25">
        <f>172.09/1130.8</f>
        <v>0.1521842943049169</v>
      </c>
      <c r="W5147" s="285">
        <f t="shared" ref="W5147" si="419">(P5147*Q5147)*(1+U5147)</f>
        <v>3230.8725680933858</v>
      </c>
      <c r="X5147" s="446">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18">
        <f t="shared" si="342"/>
        <v>0.34002303010363549</v>
      </c>
      <c r="J5148" s="5">
        <v>41327</v>
      </c>
      <c r="K5148" s="22">
        <v>2566</v>
      </c>
      <c r="L5148" s="6">
        <v>2577</v>
      </c>
      <c r="M5148" s="125">
        <f t="shared" si="410"/>
        <v>11</v>
      </c>
      <c r="P5148" s="247">
        <v>21030</v>
      </c>
      <c r="Q5148" s="25">
        <f>172.09/1130.8</f>
        <v>0.1521842943049169</v>
      </c>
      <c r="W5148" s="285">
        <f t="shared" ref="W5148:W5151" si="421">(P5148*Q5148)*(1+U5148)</f>
        <v>3200.4357092324021</v>
      </c>
      <c r="X5148" s="446">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18">
        <f t="shared" si="342"/>
        <v>0.33881038448899115</v>
      </c>
      <c r="J5149" s="5">
        <v>44305</v>
      </c>
      <c r="K5149" s="22">
        <v>2496</v>
      </c>
      <c r="L5149" s="6">
        <v>2510</v>
      </c>
      <c r="M5149" s="125">
        <f t="shared" si="410"/>
        <v>14</v>
      </c>
      <c r="P5149" s="247">
        <v>20900</v>
      </c>
      <c r="Q5149" s="25">
        <f>171.52/1131.4</f>
        <v>0.15159978787343115</v>
      </c>
      <c r="W5149" s="285">
        <f t="shared" si="421"/>
        <v>3168.4355665547109</v>
      </c>
      <c r="X5149" s="446">
        <f t="shared" si="422"/>
        <v>8.3733974358974361</v>
      </c>
    </row>
    <row r="5150" spans="1:24" ht="15" customHeight="1">
      <c r="A5150" s="3">
        <v>43026</v>
      </c>
      <c r="B5150" s="9">
        <v>51725</v>
      </c>
      <c r="C5150" s="5">
        <v>0</v>
      </c>
      <c r="D5150" s="5">
        <v>100200</v>
      </c>
      <c r="E5150" s="5">
        <v>151925</v>
      </c>
      <c r="F5150" s="4">
        <v>0</v>
      </c>
      <c r="G5150" s="5">
        <v>225</v>
      </c>
      <c r="H5150" s="5">
        <v>51325</v>
      </c>
      <c r="I5150" s="118">
        <f t="shared" si="342"/>
        <v>0.33783116669409247</v>
      </c>
      <c r="J5150" s="5">
        <v>54439</v>
      </c>
      <c r="K5150" s="22">
        <v>2493</v>
      </c>
      <c r="L5150" s="6">
        <v>2506</v>
      </c>
      <c r="M5150" s="125">
        <f t="shared" si="410"/>
        <v>13</v>
      </c>
      <c r="P5150" s="247">
        <v>20450</v>
      </c>
      <c r="Q5150" s="25">
        <f>171.1/1130.4</f>
        <v>0.15136234961075723</v>
      </c>
      <c r="W5150" s="285">
        <f t="shared" si="421"/>
        <v>3095.3600495399855</v>
      </c>
      <c r="X5150" s="446">
        <f t="shared" si="422"/>
        <v>8.2029683112715599</v>
      </c>
    </row>
    <row r="5151" spans="1:24" ht="15" customHeight="1">
      <c r="A5151" s="3">
        <v>43027</v>
      </c>
      <c r="B5151" s="9">
        <v>51725</v>
      </c>
      <c r="C5151" s="5">
        <v>0</v>
      </c>
      <c r="D5151" s="5">
        <v>100125</v>
      </c>
      <c r="E5151" s="5">
        <v>151850</v>
      </c>
      <c r="F5151" s="4">
        <v>0</v>
      </c>
      <c r="G5151" s="5">
        <v>75</v>
      </c>
      <c r="H5151" s="5">
        <v>51250</v>
      </c>
      <c r="I5151" s="118">
        <f t="shared" si="342"/>
        <v>0.33750411590385249</v>
      </c>
      <c r="J5151" s="5">
        <v>55440</v>
      </c>
      <c r="K5151" s="22">
        <v>2491</v>
      </c>
      <c r="L5151" s="6">
        <v>2497</v>
      </c>
      <c r="M5151" s="125">
        <f t="shared" si="410"/>
        <v>6</v>
      </c>
      <c r="P5151" s="247">
        <v>20160</v>
      </c>
      <c r="Q5151" s="25">
        <f>170.87/1132.3</f>
        <v>0.15090523712796963</v>
      </c>
      <c r="W5151" s="285">
        <f t="shared" si="421"/>
        <v>3042.249580499868</v>
      </c>
      <c r="X5151" s="446">
        <f t="shared" si="422"/>
        <v>8.09313528703332</v>
      </c>
    </row>
    <row r="5152" spans="1:24" ht="15" customHeight="1">
      <c r="A5152" s="3">
        <v>43028</v>
      </c>
      <c r="B5152" s="9">
        <v>50025</v>
      </c>
      <c r="C5152" s="5">
        <v>0</v>
      </c>
      <c r="D5152" s="5">
        <v>100050</v>
      </c>
      <c r="E5152" s="5">
        <v>150075</v>
      </c>
      <c r="F5152" s="4">
        <v>0</v>
      </c>
      <c r="G5152" s="5">
        <v>1775</v>
      </c>
      <c r="H5152" s="5">
        <v>49475</v>
      </c>
      <c r="I5152" s="118">
        <f t="shared" si="342"/>
        <v>0.32966849908379142</v>
      </c>
      <c r="J5152" s="5">
        <v>50210</v>
      </c>
      <c r="K5152" s="22">
        <v>2502</v>
      </c>
      <c r="L5152" s="6">
        <v>2513</v>
      </c>
      <c r="M5152" s="125">
        <f t="shared" si="410"/>
        <v>11</v>
      </c>
      <c r="P5152" s="247">
        <v>19750</v>
      </c>
      <c r="Q5152" s="25">
        <f>170.87/1132.3</f>
        <v>0.15090523712796963</v>
      </c>
      <c r="W5152" s="285">
        <f t="shared" ref="W5152:W5155" si="423">(P5152*Q5152)*(1+U5152)</f>
        <v>2980.3784332774003</v>
      </c>
      <c r="X5152" s="446">
        <f t="shared" ref="X5152:X5155" si="424">P5152/K5152</f>
        <v>7.8936850519584336</v>
      </c>
    </row>
    <row r="5153" spans="1:24" ht="15" customHeight="1">
      <c r="A5153" s="3">
        <v>43031</v>
      </c>
      <c r="B5153" s="9">
        <v>48725</v>
      </c>
      <c r="C5153" s="5">
        <v>0</v>
      </c>
      <c r="D5153" s="5">
        <v>99850</v>
      </c>
      <c r="E5153" s="5">
        <v>148575</v>
      </c>
      <c r="H5153" s="5">
        <v>47975</v>
      </c>
      <c r="I5153" s="118">
        <f t="shared" si="342"/>
        <v>0.32290089180548542</v>
      </c>
      <c r="J5153" s="5">
        <v>42233</v>
      </c>
      <c r="K5153" s="22">
        <v>2472</v>
      </c>
      <c r="L5153" s="6">
        <v>2479</v>
      </c>
      <c r="M5153" s="125">
        <f t="shared" si="410"/>
        <v>7</v>
      </c>
      <c r="P5153" s="247">
        <v>19700</v>
      </c>
      <c r="Q5153" s="25">
        <f>170.63/1131.9</f>
        <v>0.15074653237918542</v>
      </c>
      <c r="W5153" s="285">
        <f t="shared" si="423"/>
        <v>2969.7066878699529</v>
      </c>
      <c r="X5153" s="446">
        <f t="shared" si="424"/>
        <v>7.9692556634304204</v>
      </c>
    </row>
    <row r="5154" spans="1:24" ht="15" customHeight="1">
      <c r="A5154" s="3">
        <v>43032</v>
      </c>
      <c r="B5154" s="9">
        <v>48325</v>
      </c>
      <c r="C5154" s="5">
        <v>0</v>
      </c>
      <c r="D5154" s="5">
        <v>100425</v>
      </c>
      <c r="E5154" s="5">
        <v>148750</v>
      </c>
      <c r="F5154" s="4">
        <v>600</v>
      </c>
      <c r="G5154" s="5">
        <v>425</v>
      </c>
      <c r="H5154" s="5">
        <v>47550</v>
      </c>
      <c r="I5154" s="118">
        <f t="shared" si="342"/>
        <v>0.31966386554621851</v>
      </c>
      <c r="J5154" s="5">
        <v>29115</v>
      </c>
      <c r="K5154" s="22">
        <v>2504</v>
      </c>
      <c r="L5154" s="6">
        <v>2508</v>
      </c>
      <c r="M5154" s="125">
        <f t="shared" si="410"/>
        <v>4</v>
      </c>
      <c r="P5154" s="247">
        <v>19810</v>
      </c>
      <c r="Q5154" s="25">
        <f>170.16/1128.3</f>
        <v>0.15081095453336879</v>
      </c>
      <c r="W5154" s="285">
        <f t="shared" si="423"/>
        <v>2987.5650093060358</v>
      </c>
      <c r="X5154" s="446">
        <f t="shared" si="424"/>
        <v>7.911341853035144</v>
      </c>
    </row>
    <row r="5155" spans="1:24" ht="15" customHeight="1">
      <c r="A5155" s="3">
        <v>43033</v>
      </c>
      <c r="B5155" s="9">
        <v>48325</v>
      </c>
      <c r="C5155" s="5">
        <v>0</v>
      </c>
      <c r="D5155" s="5">
        <v>100400</v>
      </c>
      <c r="E5155" s="5">
        <v>148725</v>
      </c>
      <c r="F5155" s="4">
        <v>0</v>
      </c>
      <c r="G5155" s="5">
        <v>25</v>
      </c>
      <c r="H5155" s="5">
        <v>48375</v>
      </c>
      <c r="I5155" s="118">
        <f t="shared" si="342"/>
        <v>0.32526475037821484</v>
      </c>
      <c r="J5155" s="5">
        <v>31910</v>
      </c>
      <c r="K5155" s="22">
        <v>2485.5</v>
      </c>
      <c r="L5155" s="6">
        <v>2495</v>
      </c>
      <c r="M5155" s="125">
        <f>L5155-K5155</f>
        <v>9.5</v>
      </c>
      <c r="P5155" s="247">
        <v>19680</v>
      </c>
      <c r="Q5155" s="25">
        <f>169.96/1128.3</f>
        <v>0.15063369671186744</v>
      </c>
      <c r="W5155" s="285">
        <f t="shared" si="423"/>
        <v>2964.471151289551</v>
      </c>
      <c r="X5155" s="446">
        <f t="shared" si="424"/>
        <v>7.9179239589619792</v>
      </c>
    </row>
    <row r="5156" spans="1:24" ht="15" customHeight="1">
      <c r="A5156" s="3">
        <v>43034</v>
      </c>
      <c r="B5156" s="9">
        <v>48100</v>
      </c>
      <c r="C5156" s="5">
        <v>0</v>
      </c>
      <c r="D5156" s="5">
        <v>100350</v>
      </c>
      <c r="E5156" s="5">
        <v>148450</v>
      </c>
      <c r="F5156" s="4">
        <v>0</v>
      </c>
      <c r="G5156" s="5">
        <v>275</v>
      </c>
      <c r="H5156" s="5">
        <v>49000</v>
      </c>
      <c r="I5156" s="118">
        <f t="shared" si="342"/>
        <v>0.33007746716066017</v>
      </c>
      <c r="J5156" s="5">
        <v>36688</v>
      </c>
      <c r="K5156" s="22">
        <v>2492</v>
      </c>
      <c r="L5156" s="6">
        <v>2496</v>
      </c>
      <c r="M5156" s="125">
        <f>L5156-K5156</f>
        <v>4</v>
      </c>
      <c r="P5156" s="247">
        <v>19650</v>
      </c>
      <c r="Q5156" s="25">
        <f>169.58/1124.7</f>
        <v>0.15077798524050859</v>
      </c>
      <c r="W5156" s="285">
        <f t="shared" ref="W5156" si="425">(P5156*Q5156)*(1+U5156)</f>
        <v>2962.7874099759938</v>
      </c>
      <c r="X5156" s="446">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18">
        <f t="shared" si="342"/>
        <v>0.32642487046632124</v>
      </c>
      <c r="J5157" s="5">
        <v>28002</v>
      </c>
      <c r="K5157" s="22">
        <v>2431</v>
      </c>
      <c r="L5157" s="6">
        <v>2434</v>
      </c>
      <c r="M5157" s="125">
        <f>L5157-K5157</f>
        <v>3</v>
      </c>
      <c r="P5157" s="247">
        <v>19200</v>
      </c>
      <c r="Q5157" s="25">
        <f>169.58/1124.7</f>
        <v>0.15077798524050859</v>
      </c>
      <c r="W5157" s="285">
        <f t="shared" ref="W5157:W5158" si="427">(P5157*Q5157)*(1+U5157)</f>
        <v>2894.9373166177647</v>
      </c>
      <c r="X5157" s="446">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18">
        <f t="shared" si="342"/>
        <v>0.32439228834870076</v>
      </c>
      <c r="J5158" s="5">
        <v>40894</v>
      </c>
      <c r="K5158" s="22">
        <v>2414</v>
      </c>
      <c r="L5158" s="6">
        <v>2420</v>
      </c>
      <c r="M5158" s="125">
        <f>L5158-K5158</f>
        <v>6</v>
      </c>
      <c r="P5158" s="247">
        <v>18800</v>
      </c>
      <c r="Q5158" s="25">
        <f>169.58/1124.7</f>
        <v>0.15077798524050859</v>
      </c>
      <c r="W5158" s="285">
        <f t="shared" si="427"/>
        <v>2834.6261225215617</v>
      </c>
      <c r="X5158" s="446">
        <f t="shared" si="428"/>
        <v>7.7879038939519472</v>
      </c>
    </row>
    <row r="5159" spans="1:24" ht="15" customHeight="1">
      <c r="A5159" s="3">
        <v>43039</v>
      </c>
      <c r="B5159" s="9">
        <v>49175</v>
      </c>
      <c r="C5159" s="5">
        <v>0</v>
      </c>
      <c r="D5159" s="5">
        <v>100300</v>
      </c>
      <c r="E5159" s="5">
        <v>149475</v>
      </c>
      <c r="F5159" s="4">
        <v>1400</v>
      </c>
      <c r="G5159" s="5">
        <v>1050</v>
      </c>
      <c r="H5159" s="5">
        <v>47325</v>
      </c>
      <c r="I5159" s="118">
        <f t="shared" si="342"/>
        <v>0.31660812844957353</v>
      </c>
      <c r="J5159" s="5">
        <v>35029</v>
      </c>
      <c r="K5159" s="22">
        <v>2421</v>
      </c>
      <c r="L5159" s="6">
        <v>2432</v>
      </c>
      <c r="M5159" s="125">
        <f>L5159-K5159</f>
        <v>11</v>
      </c>
      <c r="N5159" s="381">
        <f>AVERAGE(K5138:K5159)</f>
        <v>2506.2954545454545</v>
      </c>
      <c r="O5159" s="230">
        <f>AVERAGE(K4935:K5159)</f>
        <v>2284.9028436018957</v>
      </c>
      <c r="P5159" s="247">
        <v>18650</v>
      </c>
      <c r="Q5159" s="25">
        <f>169.06/1121.2</f>
        <v>0.15078487334998217</v>
      </c>
      <c r="W5159" s="285">
        <f t="shared" ref="W5159" si="429">(P5159*Q5159)*(1+U5159)</f>
        <v>2812.1378879771673</v>
      </c>
      <c r="X5159" s="446">
        <f t="shared" ref="X5159" si="430">P5159/K5159</f>
        <v>7.7034283353985957</v>
      </c>
    </row>
    <row r="5160" spans="1:24" ht="15" customHeight="1" thickBot="1">
      <c r="A5160" s="216"/>
      <c r="B5160" s="1330"/>
      <c r="C5160" s="1330"/>
      <c r="D5160" s="1330"/>
      <c r="E5160" s="216"/>
      <c r="F5160" s="407"/>
      <c r="G5160" s="164"/>
      <c r="H5160" s="164"/>
      <c r="I5160" s="166"/>
      <c r="J5160" s="166"/>
      <c r="K5160" s="166"/>
      <c r="L5160" s="167"/>
      <c r="M5160" s="168"/>
      <c r="N5160" s="169" t="s">
        <v>52</v>
      </c>
      <c r="O5160" s="183"/>
      <c r="P5160" s="180"/>
      <c r="Q5160" s="154"/>
      <c r="R5160" s="248"/>
      <c r="S5160" s="249"/>
      <c r="T5160" s="249"/>
      <c r="U5160" s="152"/>
      <c r="V5160" s="153">
        <f>AVERAGE(P5138:P5159)</f>
        <v>20332.941176470587</v>
      </c>
      <c r="W5160" s="295"/>
      <c r="X5160" s="447">
        <f>AVERAGE(X5138:X5159)</f>
        <v>8.1439207126644924</v>
      </c>
    </row>
    <row r="5161" spans="1:24" ht="15" customHeight="1">
      <c r="A5161" s="3">
        <v>43040</v>
      </c>
      <c r="B5161" s="9">
        <v>49175</v>
      </c>
      <c r="C5161" s="5">
        <v>0</v>
      </c>
      <c r="D5161" s="5">
        <v>100075</v>
      </c>
      <c r="E5161" s="5">
        <v>149250</v>
      </c>
      <c r="F5161" s="4">
        <v>0</v>
      </c>
      <c r="G5161" s="5">
        <v>225</v>
      </c>
      <c r="H5161" s="5">
        <v>47450</v>
      </c>
      <c r="I5161" s="118">
        <f t="shared" si="342"/>
        <v>0.31792294807370186</v>
      </c>
      <c r="J5161" s="5">
        <v>34422</v>
      </c>
      <c r="K5161" s="22">
        <v>2452</v>
      </c>
      <c r="L5161" s="6">
        <v>2462</v>
      </c>
      <c r="M5161" s="125">
        <f t="shared" ref="M5161:M5189" si="431">L5161-K5161</f>
        <v>10</v>
      </c>
      <c r="P5161" s="247">
        <v>18880</v>
      </c>
      <c r="Q5161" s="25">
        <f>168.45/1116.8</f>
        <v>0.15083273638968481</v>
      </c>
      <c r="W5161" s="285">
        <f t="shared" ref="W5161" si="432">(P5161*Q5161)*(1+U5161)</f>
        <v>2847.722063037249</v>
      </c>
      <c r="X5161" s="446">
        <f t="shared" ref="X5161" si="433">P5161/K5161</f>
        <v>7.6998368678629694</v>
      </c>
    </row>
    <row r="5162" spans="1:24" ht="15" customHeight="1">
      <c r="A5162" s="3">
        <v>43041</v>
      </c>
      <c r="B5162" s="9">
        <v>48900</v>
      </c>
      <c r="C5162" s="5">
        <v>0</v>
      </c>
      <c r="D5162" s="5">
        <v>99875</v>
      </c>
      <c r="E5162" s="5">
        <v>148775</v>
      </c>
      <c r="F5162" s="4">
        <v>0</v>
      </c>
      <c r="G5162" s="5">
        <v>475</v>
      </c>
      <c r="H5162" s="5">
        <v>47100</v>
      </c>
      <c r="I5162" s="118">
        <f t="shared" si="342"/>
        <v>0.31658544782389514</v>
      </c>
      <c r="J5162" s="5">
        <v>37154</v>
      </c>
      <c r="K5162" s="22">
        <v>2466</v>
      </c>
      <c r="L5162" s="6">
        <v>2469</v>
      </c>
      <c r="M5162" s="125">
        <f t="shared" si="431"/>
        <v>3</v>
      </c>
      <c r="P5162" s="247">
        <v>18750</v>
      </c>
      <c r="Q5162" s="25">
        <f>168.68/1113.3</f>
        <v>0.15151351836881344</v>
      </c>
      <c r="W5162" s="285">
        <f t="shared" ref="W5162" si="434">(P5162*Q5162)*(1+U5162)</f>
        <v>2840.8784694152519</v>
      </c>
      <c r="X5162" s="446">
        <f t="shared" ref="X5162" si="435">P5162/K5162</f>
        <v>7.6034063260340634</v>
      </c>
    </row>
    <row r="5163" spans="1:24" ht="15" customHeight="1">
      <c r="A5163" s="3">
        <v>43042</v>
      </c>
      <c r="B5163" s="9">
        <v>48700</v>
      </c>
      <c r="C5163" s="5">
        <v>0</v>
      </c>
      <c r="D5163" s="5">
        <v>99775</v>
      </c>
      <c r="E5163" s="5">
        <v>148475</v>
      </c>
      <c r="F5163" s="4">
        <v>0</v>
      </c>
      <c r="G5163" s="5">
        <v>300</v>
      </c>
      <c r="H5163" s="5">
        <v>46800</v>
      </c>
      <c r="I5163" s="118">
        <f t="shared" si="342"/>
        <v>0.3152045798956053</v>
      </c>
      <c r="J5163" s="5">
        <v>36130</v>
      </c>
      <c r="K5163" s="22">
        <v>2475</v>
      </c>
      <c r="L5163" s="6">
        <v>2478</v>
      </c>
      <c r="M5163" s="125">
        <f t="shared" si="431"/>
        <v>3</v>
      </c>
      <c r="P5163" s="247">
        <v>18670</v>
      </c>
      <c r="Q5163" s="25">
        <f>168.24/1112.7</f>
        <v>0.15119978430843894</v>
      </c>
      <c r="W5163" s="285">
        <f t="shared" ref="W5163" si="436">(P5163*Q5163)*(1+U5163)</f>
        <v>2822.8999730385549</v>
      </c>
      <c r="X5163" s="446">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18">
        <f t="shared" si="342"/>
        <v>3.1144211238997968</v>
      </c>
      <c r="J5164" s="5">
        <v>32559</v>
      </c>
      <c r="K5164" s="22">
        <v>2490</v>
      </c>
      <c r="L5164" s="6">
        <v>2493.5</v>
      </c>
      <c r="M5164" s="125">
        <f t="shared" si="431"/>
        <v>3.5</v>
      </c>
      <c r="P5164" s="247">
        <v>18670</v>
      </c>
      <c r="Q5164" s="25">
        <f>168.24/1112.7</f>
        <v>0.15119978430843894</v>
      </c>
      <c r="W5164" s="285">
        <f t="shared" ref="W5164" si="438">(P5164*Q5164)*(1+U5164)</f>
        <v>2822.8999730385549</v>
      </c>
      <c r="X5164" s="446">
        <f t="shared" si="437"/>
        <v>7.4979919678714859</v>
      </c>
    </row>
    <row r="5165" spans="1:24" ht="15" customHeight="1">
      <c r="A5165" s="3">
        <v>43046</v>
      </c>
      <c r="B5165" s="9">
        <v>47950</v>
      </c>
      <c r="C5165" s="5">
        <v>0</v>
      </c>
      <c r="D5165" s="5">
        <v>99350</v>
      </c>
      <c r="E5165" s="5">
        <v>147300</v>
      </c>
      <c r="F5165" s="4">
        <v>0</v>
      </c>
      <c r="G5165" s="5">
        <v>400</v>
      </c>
      <c r="H5165" s="5">
        <v>45700</v>
      </c>
      <c r="I5165" s="118">
        <f t="shared" si="342"/>
        <v>0.31025118805159541</v>
      </c>
      <c r="J5165" s="5">
        <v>40547</v>
      </c>
      <c r="K5165" s="22">
        <v>2483</v>
      </c>
      <c r="L5165" s="6">
        <v>2493</v>
      </c>
      <c r="M5165" s="125">
        <f t="shared" si="431"/>
        <v>10</v>
      </c>
      <c r="P5165" s="247">
        <v>18810</v>
      </c>
      <c r="Q5165" s="25">
        <f>167.84/1111.6</f>
        <v>0.15098956459157972</v>
      </c>
      <c r="W5165" s="285">
        <f t="shared" ref="W5165" si="439">(P5165*Q5165)*(1+U5165)</f>
        <v>2840.1137099676148</v>
      </c>
      <c r="X5165" s="446">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18">
        <f t="shared" si="342"/>
        <v>0.30778402316470788</v>
      </c>
      <c r="J5166" s="5">
        <v>55777</v>
      </c>
      <c r="K5166" s="22">
        <v>2499</v>
      </c>
      <c r="L5166" s="6">
        <v>2510</v>
      </c>
      <c r="M5166" s="125">
        <f t="shared" si="431"/>
        <v>11</v>
      </c>
      <c r="P5166" s="247">
        <v>18810</v>
      </c>
      <c r="Q5166" s="25">
        <f>167.84/1111.6</f>
        <v>0.15098956459157972</v>
      </c>
      <c r="W5166" s="285">
        <f t="shared" ref="W5166" si="441">(P5166*Q5166)*(1+U5166)</f>
        <v>2840.1137099676148</v>
      </c>
      <c r="X5166" s="446">
        <f t="shared" si="440"/>
        <v>7.527010804321729</v>
      </c>
    </row>
    <row r="5167" spans="1:24" ht="15" customHeight="1">
      <c r="A5167" s="3">
        <v>43048</v>
      </c>
      <c r="B5167" s="9">
        <v>47650</v>
      </c>
      <c r="C5167" s="5">
        <v>0</v>
      </c>
      <c r="D5167" s="5">
        <v>98700</v>
      </c>
      <c r="E5167" s="5">
        <v>146350</v>
      </c>
      <c r="F5167" s="4">
        <v>0</v>
      </c>
      <c r="G5167" s="5">
        <v>425</v>
      </c>
      <c r="H5167" s="5">
        <v>44750</v>
      </c>
      <c r="I5167" s="118">
        <f t="shared" si="342"/>
        <v>0.30577382985992485</v>
      </c>
      <c r="J5167" s="5">
        <v>65291</v>
      </c>
      <c r="K5167" s="22">
        <v>2504</v>
      </c>
      <c r="L5167" s="6">
        <v>2508</v>
      </c>
      <c r="M5167" s="125">
        <f t="shared" si="431"/>
        <v>4</v>
      </c>
      <c r="P5167" s="247">
        <v>18860</v>
      </c>
      <c r="Q5167" s="25">
        <f>167.92/1114.3</f>
        <v>0.1506955039037961</v>
      </c>
      <c r="W5167" s="285">
        <f t="shared" ref="W5167" si="442">(P5167*Q5167)*(1+U5167)</f>
        <v>2842.1172036255944</v>
      </c>
      <c r="X5167" s="446">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18">
        <f t="shared" si="342"/>
        <v>0.30402181322426719</v>
      </c>
      <c r="J5168" s="5">
        <v>51713</v>
      </c>
      <c r="K5168" s="22">
        <v>2547</v>
      </c>
      <c r="L5168" s="6">
        <v>2551</v>
      </c>
      <c r="M5168" s="125">
        <f t="shared" si="431"/>
        <v>4</v>
      </c>
      <c r="P5168" s="247">
        <v>19140</v>
      </c>
      <c r="Q5168" s="25">
        <f>168.16/1117.2</f>
        <v>0.15051915503043323</v>
      </c>
      <c r="W5168" s="285">
        <f t="shared" ref="W5168" si="444">(P5168*Q5168)*(1+U5168)</f>
        <v>2880.9366272824918</v>
      </c>
      <c r="X5168" s="446">
        <f t="shared" ref="X5168" si="445">P5168/K5168</f>
        <v>7.5147232037691403</v>
      </c>
    </row>
    <row r="5169" spans="1:24" ht="15" customHeight="1">
      <c r="A5169" s="3">
        <v>43052</v>
      </c>
      <c r="B5169" s="9">
        <v>47350</v>
      </c>
      <c r="C5169" s="5">
        <v>0</v>
      </c>
      <c r="D5169" s="5">
        <v>98925</v>
      </c>
      <c r="E5169" s="5">
        <v>146275</v>
      </c>
      <c r="F5169" s="4">
        <v>0</v>
      </c>
      <c r="G5169" s="5">
        <v>425</v>
      </c>
      <c r="H5169" s="5">
        <v>44300</v>
      </c>
      <c r="I5169" s="118">
        <f t="shared" si="342"/>
        <v>0.30285421295505044</v>
      </c>
      <c r="J5169" s="5">
        <v>51437</v>
      </c>
      <c r="K5169" s="22">
        <v>2502</v>
      </c>
      <c r="L5169" s="6">
        <v>2509</v>
      </c>
      <c r="M5169" s="125">
        <f t="shared" si="431"/>
        <v>7</v>
      </c>
      <c r="P5169" s="247">
        <v>19230</v>
      </c>
      <c r="Q5169" s="25">
        <f>168.37/1120.7</f>
        <v>0.1502364593557598</v>
      </c>
      <c r="W5169" s="285">
        <f t="shared" ref="W5169" si="446">(P5169*Q5169)*(1+U5169)</f>
        <v>2889.0471134112609</v>
      </c>
      <c r="X5169" s="446">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18">
        <f t="shared" si="342"/>
        <v>0.30929596719070401</v>
      </c>
      <c r="J5170" s="5">
        <v>72397</v>
      </c>
      <c r="K5170" s="22">
        <v>2477</v>
      </c>
      <c r="L5170" s="6">
        <v>2493</v>
      </c>
      <c r="M5170" s="125">
        <f t="shared" si="431"/>
        <v>16</v>
      </c>
      <c r="P5170" s="247">
        <v>19130</v>
      </c>
      <c r="Q5170" s="25">
        <f>168.25/1118.5</f>
        <v>0.15042467590523023</v>
      </c>
      <c r="W5170" s="285">
        <f t="shared" ref="W5170" si="448">(P5170*Q5170)*(1+U5170)</f>
        <v>2877.6240500670542</v>
      </c>
      <c r="X5170" s="446">
        <f t="shared" ref="X5170" si="449">P5170/K5170</f>
        <v>7.7230520791279771</v>
      </c>
    </row>
    <row r="5171" spans="1:24" ht="15" customHeight="1">
      <c r="A5171" s="3">
        <v>43054</v>
      </c>
      <c r="B5171" s="9">
        <v>47100</v>
      </c>
      <c r="C5171" s="5">
        <v>0</v>
      </c>
      <c r="D5171" s="5">
        <v>98825</v>
      </c>
      <c r="E5171" s="5">
        <v>145925</v>
      </c>
      <c r="F5171" s="4">
        <v>0</v>
      </c>
      <c r="G5171" s="5">
        <v>375</v>
      </c>
      <c r="H5171" s="5">
        <v>44875</v>
      </c>
      <c r="I5171" s="118">
        <f t="shared" si="342"/>
        <v>0.30752098680829193</v>
      </c>
      <c r="J5171" s="5">
        <v>68497</v>
      </c>
      <c r="K5171" s="22">
        <v>2420</v>
      </c>
      <c r="L5171" s="6">
        <v>2433</v>
      </c>
      <c r="M5171" s="125">
        <f t="shared" si="431"/>
        <v>13</v>
      </c>
      <c r="P5171" s="247">
        <v>18690</v>
      </c>
      <c r="Q5171" s="25">
        <f>168.25/1118.5</f>
        <v>0.15042467590523023</v>
      </c>
      <c r="W5171" s="285">
        <f t="shared" ref="W5171" si="450">(P5171*Q5171)*(1+U5171)</f>
        <v>2811.4371926687531</v>
      </c>
      <c r="X5171" s="446">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18">
        <f t="shared" si="342"/>
        <v>0.3067306045555746</v>
      </c>
      <c r="J5172" s="5">
        <v>68834</v>
      </c>
      <c r="K5172" s="22">
        <v>2424</v>
      </c>
      <c r="L5172" s="6">
        <v>2434</v>
      </c>
      <c r="M5172" s="125">
        <f t="shared" si="431"/>
        <v>10</v>
      </c>
      <c r="P5172" s="247">
        <v>18470</v>
      </c>
      <c r="Q5172" s="25">
        <f>166.53/1104.1</f>
        <v>0.15082872928176796</v>
      </c>
      <c r="W5172" s="285">
        <f t="shared" ref="W5172" si="452">(P5172*Q5172)*(1+U5172)</f>
        <v>2785.8066298342542</v>
      </c>
      <c r="X5172" s="446">
        <f t="shared" ref="X5172" si="453">P5172/K5172</f>
        <v>7.6196369636963697</v>
      </c>
    </row>
    <row r="5173" spans="1:24" ht="15" customHeight="1">
      <c r="A5173" s="3">
        <v>43056</v>
      </c>
      <c r="B5173" s="9">
        <v>47250</v>
      </c>
      <c r="C5173" s="5">
        <v>0</v>
      </c>
      <c r="D5173" s="5">
        <v>98625</v>
      </c>
      <c r="E5173" s="5">
        <v>145875</v>
      </c>
      <c r="F5173" s="4">
        <v>0</v>
      </c>
      <c r="G5173" s="5">
        <v>100</v>
      </c>
      <c r="H5173" s="5">
        <v>45950</v>
      </c>
      <c r="I5173" s="118">
        <f t="shared" si="342"/>
        <v>0.31499571550985433</v>
      </c>
      <c r="J5173" s="5">
        <v>54652</v>
      </c>
      <c r="K5173" s="22">
        <v>2409</v>
      </c>
      <c r="L5173" s="6">
        <v>2420</v>
      </c>
      <c r="M5173" s="125">
        <f t="shared" si="431"/>
        <v>11</v>
      </c>
      <c r="P5173" s="247">
        <v>18410</v>
      </c>
      <c r="Q5173" s="25">
        <f>165.35/1096.1</f>
        <v>0.15085302435909134</v>
      </c>
      <c r="W5173" s="285">
        <f t="shared" ref="W5173:W5176" si="454">(P5173*Q5173)*(1+U5173)</f>
        <v>2777.2041784508715</v>
      </c>
      <c r="X5173" s="446">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18">
        <f t="shared" si="342"/>
        <v>0.31498628257887518</v>
      </c>
      <c r="J5174" s="5">
        <v>35124</v>
      </c>
      <c r="K5174" s="22">
        <v>2429.5</v>
      </c>
      <c r="L5174" s="6">
        <v>2438</v>
      </c>
      <c r="M5174" s="125">
        <f t="shared" si="431"/>
        <v>8.5</v>
      </c>
      <c r="P5174" s="247">
        <v>18620</v>
      </c>
      <c r="Q5174" s="25">
        <f>165.4/1098.9</f>
        <v>0.15051415051415051</v>
      </c>
      <c r="W5174" s="285">
        <f t="shared" si="454"/>
        <v>2802.5734825734826</v>
      </c>
      <c r="X5174" s="446">
        <f t="shared" si="455"/>
        <v>7.664128421485902</v>
      </c>
    </row>
    <row r="5175" spans="1:24" ht="15" customHeight="1">
      <c r="A5175" s="3">
        <v>43060</v>
      </c>
      <c r="B5175" s="9">
        <v>48375</v>
      </c>
      <c r="C5175" s="5">
        <v>0</v>
      </c>
      <c r="D5175" s="5">
        <v>98500</v>
      </c>
      <c r="E5175" s="5">
        <v>146875</v>
      </c>
      <c r="F5175" s="4">
        <v>1125</v>
      </c>
      <c r="G5175" s="5">
        <v>50</v>
      </c>
      <c r="H5175" s="5">
        <v>45875</v>
      </c>
      <c r="I5175" s="118">
        <f t="shared" ref="I5175:I5199" si="456">H5175/E5175</f>
        <v>0.31234042553191488</v>
      </c>
      <c r="J5175" s="5">
        <v>37455</v>
      </c>
      <c r="K5175" s="22">
        <v>2460.5</v>
      </c>
      <c r="L5175" s="6">
        <v>2470</v>
      </c>
      <c r="M5175" s="125">
        <f t="shared" si="431"/>
        <v>9.5</v>
      </c>
      <c r="P5175" s="247">
        <v>18620</v>
      </c>
      <c r="Q5175" s="25">
        <f>165.11/1097.3</f>
        <v>0.15046933381937486</v>
      </c>
      <c r="W5175" s="285">
        <f t="shared" si="454"/>
        <v>2801.7389957167597</v>
      </c>
      <c r="X5175" s="446">
        <f t="shared" si="455"/>
        <v>7.5675675675675675</v>
      </c>
    </row>
    <row r="5176" spans="1:24" ht="15" customHeight="1">
      <c r="A5176" s="3">
        <v>43061</v>
      </c>
      <c r="B5176" s="9">
        <v>48175</v>
      </c>
      <c r="C5176" s="5">
        <v>0</v>
      </c>
      <c r="D5176" s="5">
        <v>97150</v>
      </c>
      <c r="E5176" s="5">
        <v>145325</v>
      </c>
      <c r="F5176" s="4">
        <v>0</v>
      </c>
      <c r="G5176" s="5">
        <v>1550</v>
      </c>
      <c r="H5176" s="5">
        <v>46175</v>
      </c>
      <c r="I5176" s="118">
        <f t="shared" si="456"/>
        <v>0.31773610872183039</v>
      </c>
      <c r="J5176" s="5">
        <v>38017</v>
      </c>
      <c r="K5176" s="22">
        <v>2459.5</v>
      </c>
      <c r="L5176" s="6">
        <v>2470</v>
      </c>
      <c r="M5176" s="125">
        <f t="shared" si="431"/>
        <v>10.5</v>
      </c>
      <c r="P5176" s="247">
        <v>18820</v>
      </c>
      <c r="Q5176" s="25">
        <f>164.76/1091.3</f>
        <v>0.15097590030239164</v>
      </c>
      <c r="W5176" s="285">
        <f t="shared" si="454"/>
        <v>2841.3664436910108</v>
      </c>
      <c r="X5176" s="446">
        <f t="shared" si="455"/>
        <v>7.6519617808497662</v>
      </c>
    </row>
    <row r="5177" spans="1:24" ht="15" customHeight="1">
      <c r="A5177" s="3">
        <v>43062</v>
      </c>
      <c r="B5177" s="9">
        <v>48175</v>
      </c>
      <c r="C5177" s="5">
        <v>0</v>
      </c>
      <c r="D5177" s="5">
        <v>97150</v>
      </c>
      <c r="E5177" s="5">
        <v>145325</v>
      </c>
      <c r="F5177" s="4">
        <v>0</v>
      </c>
      <c r="G5177" s="5">
        <v>0</v>
      </c>
      <c r="H5177" s="5">
        <v>46175</v>
      </c>
      <c r="I5177" s="118">
        <f t="shared" si="456"/>
        <v>0.31773610872183039</v>
      </c>
      <c r="J5177" s="5">
        <v>37062</v>
      </c>
      <c r="K5177" s="22">
        <v>2437</v>
      </c>
      <c r="L5177" s="6">
        <v>2445</v>
      </c>
      <c r="M5177" s="125">
        <f t="shared" si="431"/>
        <v>8</v>
      </c>
      <c r="P5177" s="247">
        <v>18570</v>
      </c>
      <c r="Q5177" s="25">
        <f>165.08/1088.2</f>
        <v>0.15170005513692336</v>
      </c>
      <c r="W5177" s="285">
        <f t="shared" ref="W5177:W5182" si="457">(P5177*Q5177)*(1+U5177)</f>
        <v>2817.070023892667</v>
      </c>
      <c r="X5177" s="446">
        <f t="shared" si="455"/>
        <v>7.6200246204349611</v>
      </c>
    </row>
    <row r="5178" spans="1:24" ht="15" customHeight="1">
      <c r="A5178" s="3">
        <v>43063</v>
      </c>
      <c r="B5178" s="9">
        <v>48425</v>
      </c>
      <c r="C5178" s="5">
        <v>0</v>
      </c>
      <c r="D5178" s="5">
        <v>96900</v>
      </c>
      <c r="E5178" s="5">
        <v>145325</v>
      </c>
      <c r="F5178" s="4">
        <v>500</v>
      </c>
      <c r="G5178" s="5">
        <v>500</v>
      </c>
      <c r="H5178" s="5">
        <v>45675</v>
      </c>
      <c r="I5178" s="118">
        <f t="shared" si="456"/>
        <v>0.31429554446929298</v>
      </c>
      <c r="J5178" s="5">
        <v>26999</v>
      </c>
      <c r="K5178" s="22">
        <v>2480.5</v>
      </c>
      <c r="L5178" s="6">
        <v>2487</v>
      </c>
      <c r="M5178" s="125">
        <f t="shared" si="431"/>
        <v>6.5</v>
      </c>
      <c r="P5178" s="247">
        <v>18480</v>
      </c>
      <c r="Q5178" s="25">
        <f>165.08/1088.2</f>
        <v>0.15170005513692336</v>
      </c>
      <c r="W5178" s="285">
        <f t="shared" si="457"/>
        <v>2803.4170189303436</v>
      </c>
      <c r="X5178" s="446">
        <f t="shared" si="455"/>
        <v>7.4501108647450112</v>
      </c>
    </row>
    <row r="5179" spans="1:24" ht="15" customHeight="1">
      <c r="A5179" s="3">
        <v>43066</v>
      </c>
      <c r="B5179" s="9">
        <v>48225</v>
      </c>
      <c r="C5179" s="5">
        <v>0</v>
      </c>
      <c r="D5179" s="5">
        <v>96875</v>
      </c>
      <c r="E5179" s="5">
        <v>145100</v>
      </c>
      <c r="F5179" s="4">
        <v>0</v>
      </c>
      <c r="G5179" s="5">
        <v>225</v>
      </c>
      <c r="H5179" s="5">
        <v>46000</v>
      </c>
      <c r="I5179" s="118">
        <f t="shared" si="456"/>
        <v>0.31702274293590627</v>
      </c>
      <c r="J5179" s="5">
        <v>26237</v>
      </c>
      <c r="K5179" s="22">
        <v>2452</v>
      </c>
      <c r="L5179" s="6">
        <v>2467</v>
      </c>
      <c r="M5179" s="125">
        <f t="shared" si="431"/>
        <v>15</v>
      </c>
      <c r="P5179" s="247">
        <v>18590</v>
      </c>
      <c r="Q5179" s="25">
        <f>165.08/1088.2</f>
        <v>0.15170005513692336</v>
      </c>
      <c r="W5179" s="285">
        <f t="shared" si="457"/>
        <v>2820.1040249954053</v>
      </c>
      <c r="X5179" s="446">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18">
        <f t="shared" si="456"/>
        <v>0.31463960089454668</v>
      </c>
      <c r="J5180" s="5">
        <v>32163</v>
      </c>
      <c r="K5180" s="22">
        <v>2445</v>
      </c>
      <c r="L5180" s="6">
        <v>2455</v>
      </c>
      <c r="M5180" s="125">
        <f t="shared" si="431"/>
        <v>10</v>
      </c>
      <c r="P5180" s="247">
        <v>18290</v>
      </c>
      <c r="Q5180" s="25">
        <f>164.98/1088.3</f>
        <v>0.15159422953229806</v>
      </c>
      <c r="W5180" s="285">
        <f t="shared" si="457"/>
        <v>2772.6584581457314</v>
      </c>
      <c r="X5180" s="446">
        <f t="shared" ref="X5180" si="459">P5180/K5180</f>
        <v>7.4805725971370141</v>
      </c>
    </row>
    <row r="5181" spans="1:24" ht="15" customHeight="1">
      <c r="A5181" s="3">
        <v>43068</v>
      </c>
      <c r="B5181" s="9">
        <v>48525</v>
      </c>
      <c r="C5181" s="5">
        <v>0</v>
      </c>
      <c r="D5181" s="5">
        <v>96750</v>
      </c>
      <c r="E5181" s="5">
        <v>145275</v>
      </c>
      <c r="F5181" s="4">
        <v>0</v>
      </c>
      <c r="G5181" s="5">
        <v>50</v>
      </c>
      <c r="H5181" s="5">
        <v>45675</v>
      </c>
      <c r="I5181" s="118">
        <f t="shared" si="456"/>
        <v>0.31440371708828085</v>
      </c>
      <c r="J5181" s="5">
        <v>33548</v>
      </c>
      <c r="K5181" s="22">
        <v>2431</v>
      </c>
      <c r="L5181" s="6">
        <v>2443</v>
      </c>
      <c r="M5181" s="125">
        <f t="shared" si="431"/>
        <v>12</v>
      </c>
      <c r="P5181" s="247">
        <v>18290</v>
      </c>
      <c r="Q5181" s="25">
        <f>164.01/1082.4</f>
        <v>0.15152439024390241</v>
      </c>
      <c r="W5181" s="285">
        <f t="shared" si="457"/>
        <v>2771.3810975609749</v>
      </c>
      <c r="X5181" s="446">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18">
        <f t="shared" si="456"/>
        <v>0.31414785455798727</v>
      </c>
      <c r="J5182" s="5">
        <v>34900</v>
      </c>
      <c r="K5182" s="22">
        <v>2474</v>
      </c>
      <c r="L5182" s="6">
        <v>2477</v>
      </c>
      <c r="M5182" s="125">
        <f t="shared" si="431"/>
        <v>3</v>
      </c>
      <c r="N5182" s="381">
        <f>AVERAGE(K5161:K5182)</f>
        <v>2464.409090909091</v>
      </c>
      <c r="O5182" s="230">
        <f>AVERAGE(K4935:K5182)</f>
        <v>2301.8519313304723</v>
      </c>
      <c r="P5182" s="247">
        <v>18230</v>
      </c>
      <c r="Q5182" s="25">
        <f>163.99/1085.1</f>
        <v>0.15112892820938165</v>
      </c>
      <c r="W5182" s="285">
        <f t="shared" si="457"/>
        <v>2755.0803612570276</v>
      </c>
      <c r="X5182" s="446">
        <f t="shared" si="460"/>
        <v>7.3686337914308808</v>
      </c>
    </row>
    <row r="5183" spans="1:24" ht="15" customHeight="1" thickBot="1">
      <c r="A5183" s="216"/>
      <c r="B5183" s="1330"/>
      <c r="C5183" s="1330"/>
      <c r="D5183" s="1330"/>
      <c r="E5183" s="216"/>
      <c r="F5183" s="407"/>
      <c r="G5183" s="164"/>
      <c r="H5183" s="164"/>
      <c r="I5183" s="166"/>
      <c r="J5183" s="166"/>
      <c r="K5183" s="166"/>
      <c r="L5183" s="167"/>
      <c r="M5183" s="168"/>
      <c r="N5183" s="169" t="s">
        <v>52</v>
      </c>
      <c r="O5183" s="183"/>
      <c r="P5183" s="180"/>
      <c r="Q5183" s="154"/>
      <c r="R5183" s="248"/>
      <c r="S5183" s="249"/>
      <c r="T5183" s="249"/>
      <c r="U5183" s="152"/>
      <c r="V5183" s="153">
        <f>AVERAGE(P5161:P5182)</f>
        <v>18683.18181818182</v>
      </c>
      <c r="W5183" s="295"/>
      <c r="X5183" s="447">
        <f>AVERAGE(X5161:X5182)</f>
        <v>7.5816336568555647</v>
      </c>
    </row>
    <row r="5184" spans="1:24" ht="15" customHeight="1">
      <c r="A5184" s="3">
        <v>43070</v>
      </c>
      <c r="B5184" s="9">
        <v>48425</v>
      </c>
      <c r="C5184" s="5">
        <v>0</v>
      </c>
      <c r="D5184" s="5">
        <v>96575</v>
      </c>
      <c r="E5184" s="5">
        <v>145000</v>
      </c>
      <c r="F5184" s="4">
        <v>0</v>
      </c>
      <c r="G5184" s="5">
        <v>75</v>
      </c>
      <c r="H5184" s="5">
        <v>45500</v>
      </c>
      <c r="I5184" s="118">
        <f t="shared" si="456"/>
        <v>0.31379310344827588</v>
      </c>
      <c r="J5184" s="5">
        <v>74690</v>
      </c>
      <c r="K5184" s="22">
        <v>2505</v>
      </c>
      <c r="L5184" s="6">
        <v>2510</v>
      </c>
      <c r="M5184" s="125">
        <f t="shared" si="431"/>
        <v>5</v>
      </c>
      <c r="P5184" s="247">
        <v>18505</v>
      </c>
      <c r="Q5184" s="25">
        <f>164.36/1087.1</f>
        <v>0.15119124275595625</v>
      </c>
      <c r="W5184" s="285">
        <f t="shared" ref="W5184" si="461">(P5184*Q5184)*(1+U5184)</f>
        <v>2797.7939471989703</v>
      </c>
      <c r="X5184" s="446">
        <f t="shared" ref="X5184" si="462">P5184/K5184</f>
        <v>7.3872255489021956</v>
      </c>
    </row>
    <row r="5185" spans="1:24" ht="15" customHeight="1">
      <c r="A5185" s="3">
        <v>43073</v>
      </c>
      <c r="B5185" s="9">
        <v>48425</v>
      </c>
      <c r="C5185" s="5">
        <v>0</v>
      </c>
      <c r="D5185" s="5">
        <v>96475</v>
      </c>
      <c r="E5185" s="5">
        <v>144900</v>
      </c>
      <c r="F5185" s="4">
        <v>0</v>
      </c>
      <c r="G5185" s="5">
        <v>100</v>
      </c>
      <c r="H5185" s="5">
        <v>45400</v>
      </c>
      <c r="I5185" s="118">
        <f t="shared" si="456"/>
        <v>0.31331953071083507</v>
      </c>
      <c r="J5185" s="5">
        <v>52660</v>
      </c>
      <c r="K5185" s="22">
        <v>2552</v>
      </c>
      <c r="L5185" s="6">
        <v>2554</v>
      </c>
      <c r="M5185" s="125">
        <f t="shared" si="431"/>
        <v>2</v>
      </c>
      <c r="P5185" s="247">
        <v>19060</v>
      </c>
      <c r="Q5185" s="25">
        <f>164.36/1087.1</f>
        <v>0.15119124275595625</v>
      </c>
      <c r="W5185" s="285">
        <f t="shared" ref="W5185:W5186" si="463">(P5185*Q5185)*(1+U5185)</f>
        <v>2881.7050869285258</v>
      </c>
      <c r="X5185" s="446">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18">
        <f t="shared" si="456"/>
        <v>0.31378954607977994</v>
      </c>
      <c r="J5186" s="5">
        <v>58012</v>
      </c>
      <c r="K5186" s="22">
        <v>2512</v>
      </c>
      <c r="L5186" s="6">
        <v>2511</v>
      </c>
      <c r="M5186" s="125">
        <f t="shared" si="431"/>
        <v>-1</v>
      </c>
      <c r="P5186" s="247">
        <v>18965</v>
      </c>
      <c r="Q5186" s="25">
        <f>164.03/1084.3</f>
        <v>0.15127732177441669</v>
      </c>
      <c r="W5186" s="285">
        <f t="shared" si="463"/>
        <v>2868.9744074518126</v>
      </c>
      <c r="X5186" s="446">
        <f t="shared" si="464"/>
        <v>7.5497611464968148</v>
      </c>
    </row>
    <row r="5187" spans="1:24" ht="15" customHeight="1">
      <c r="A5187" s="3">
        <v>43075</v>
      </c>
      <c r="B5187" s="9">
        <v>49200</v>
      </c>
      <c r="C5187" s="5">
        <v>0</v>
      </c>
      <c r="D5187" s="5">
        <v>96000</v>
      </c>
      <c r="E5187" s="5">
        <v>145200</v>
      </c>
      <c r="F5187" s="4">
        <v>0</v>
      </c>
      <c r="G5187" s="5">
        <v>200</v>
      </c>
      <c r="H5187" s="5">
        <v>48200</v>
      </c>
      <c r="I5187" s="118">
        <f t="shared" si="456"/>
        <v>0.3319559228650138</v>
      </c>
      <c r="J5187" s="5">
        <v>58852</v>
      </c>
      <c r="K5187" s="22">
        <v>2500</v>
      </c>
      <c r="L5187" s="6">
        <v>2494</v>
      </c>
      <c r="M5187" s="125">
        <f t="shared" si="431"/>
        <v>-6</v>
      </c>
      <c r="P5187" s="247">
        <v>18695</v>
      </c>
      <c r="Q5187" s="25">
        <f>164.03/1084.3</f>
        <v>0.15127732177441669</v>
      </c>
      <c r="W5187" s="285">
        <f t="shared" ref="W5187" si="465">(P5187*Q5187)*(1+U5187)</f>
        <v>2828.1295305727199</v>
      </c>
      <c r="X5187" s="446">
        <f t="shared" ref="X5187" si="466">P5187/K5187</f>
        <v>7.4779999999999998</v>
      </c>
    </row>
    <row r="5188" spans="1:24" ht="15" customHeight="1">
      <c r="A5188" s="3">
        <v>43076</v>
      </c>
      <c r="B5188" s="9">
        <v>49200</v>
      </c>
      <c r="C5188" s="5">
        <v>0</v>
      </c>
      <c r="D5188" s="5">
        <v>95900</v>
      </c>
      <c r="E5188" s="5">
        <v>145100</v>
      </c>
      <c r="F5188" s="4">
        <v>0</v>
      </c>
      <c r="G5188" s="5">
        <v>100</v>
      </c>
      <c r="H5188" s="5">
        <v>49550</v>
      </c>
      <c r="I5188" s="118">
        <f t="shared" si="456"/>
        <v>0.34148862853204687</v>
      </c>
      <c r="J5188" s="5">
        <v>48740</v>
      </c>
      <c r="K5188" s="22">
        <v>2506</v>
      </c>
      <c r="L5188" s="6">
        <v>2506</v>
      </c>
      <c r="M5188" s="125">
        <f t="shared" si="431"/>
        <v>0</v>
      </c>
      <c r="P5188" s="247">
        <v>18670</v>
      </c>
      <c r="Q5188" s="25">
        <f>165.18/1092.7</f>
        <v>0.15116683444678319</v>
      </c>
      <c r="W5188" s="285">
        <f t="shared" ref="W5188:W5191" si="467">(P5188*Q5188)*(1+U5188)</f>
        <v>2822.2847991214421</v>
      </c>
      <c r="X5188" s="446">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18">
        <f t="shared" si="456"/>
        <v>0.33912594631796283</v>
      </c>
      <c r="J5189" s="5">
        <v>72424</v>
      </c>
      <c r="K5189" s="22">
        <v>2428</v>
      </c>
      <c r="L5189" s="6">
        <v>2428</v>
      </c>
      <c r="M5189" s="125">
        <f t="shared" si="431"/>
        <v>0</v>
      </c>
      <c r="P5189" s="247">
        <v>18510</v>
      </c>
      <c r="Q5189" s="25">
        <f>165.14/1093.4</f>
        <v>0.15103347356868482</v>
      </c>
      <c r="W5189" s="285">
        <f t="shared" si="467"/>
        <v>2795.6295957563561</v>
      </c>
      <c r="X5189" s="446">
        <f t="shared" si="468"/>
        <v>7.6235584843492585</v>
      </c>
    </row>
    <row r="5190" spans="1:24" ht="15" customHeight="1">
      <c r="A5190" s="3">
        <v>43080</v>
      </c>
      <c r="B5190" s="9">
        <v>49725</v>
      </c>
      <c r="C5190" s="5">
        <v>0</v>
      </c>
      <c r="D5190" s="5">
        <v>96025</v>
      </c>
      <c r="E5190" s="5">
        <v>145750</v>
      </c>
      <c r="F5190" s="4">
        <v>625</v>
      </c>
      <c r="G5190" s="5">
        <v>175</v>
      </c>
      <c r="H5190" s="5">
        <v>51100</v>
      </c>
      <c r="I5190" s="118">
        <f t="shared" si="456"/>
        <v>0.35060034305317322</v>
      </c>
      <c r="J5190" s="5">
        <v>61122</v>
      </c>
      <c r="K5190" s="22">
        <v>2495</v>
      </c>
      <c r="L5190" s="6">
        <v>2479</v>
      </c>
      <c r="M5190" s="125">
        <f t="shared" ref="M5190:M5199" si="469">L5190-K5190</f>
        <v>-16</v>
      </c>
      <c r="P5190" s="247">
        <v>18510</v>
      </c>
      <c r="Q5190" s="25">
        <f>165.03/1092.4</f>
        <v>0.1510710362504577</v>
      </c>
      <c r="W5190" s="285">
        <f t="shared" si="467"/>
        <v>2796.3248809959719</v>
      </c>
      <c r="X5190" s="446">
        <f t="shared" si="468"/>
        <v>7.4188376753507015</v>
      </c>
    </row>
    <row r="5191" spans="1:24" ht="15" customHeight="1">
      <c r="A5191" s="3">
        <v>43081</v>
      </c>
      <c r="B5191" s="9">
        <v>49850</v>
      </c>
      <c r="C5191" s="5">
        <v>0</v>
      </c>
      <c r="D5191" s="5">
        <v>95700</v>
      </c>
      <c r="E5191" s="5">
        <v>145550</v>
      </c>
      <c r="F5191" s="4">
        <v>125</v>
      </c>
      <c r="G5191" s="5">
        <v>325</v>
      </c>
      <c r="H5191" s="5">
        <v>50775</v>
      </c>
      <c r="I5191" s="118">
        <f t="shared" si="456"/>
        <v>0.34884919271727927</v>
      </c>
      <c r="J5191" s="5">
        <v>71922</v>
      </c>
      <c r="K5191" s="22">
        <v>2518</v>
      </c>
      <c r="L5191" s="6">
        <v>2512</v>
      </c>
      <c r="M5191" s="125">
        <f t="shared" si="469"/>
        <v>-6</v>
      </c>
      <c r="P5191" s="247">
        <v>18820</v>
      </c>
      <c r="Q5191" s="25">
        <f>164.5/1090.1</f>
        <v>0.15090358682689664</v>
      </c>
      <c r="W5191" s="285">
        <f t="shared" si="467"/>
        <v>2840.0055040821949</v>
      </c>
      <c r="X5191" s="446">
        <f t="shared" si="468"/>
        <v>7.4741858617950756</v>
      </c>
    </row>
    <row r="5192" spans="1:24" ht="15" customHeight="1">
      <c r="A5192" s="3">
        <v>43082</v>
      </c>
      <c r="B5192" s="9">
        <v>49550</v>
      </c>
      <c r="C5192" s="5">
        <v>0</v>
      </c>
      <c r="D5192" s="5">
        <v>95050</v>
      </c>
      <c r="E5192" s="5">
        <v>144600</v>
      </c>
      <c r="F5192" s="4">
        <v>475</v>
      </c>
      <c r="G5192" s="5">
        <v>1425</v>
      </c>
      <c r="H5192" s="5">
        <v>49425</v>
      </c>
      <c r="I5192" s="118">
        <f t="shared" si="456"/>
        <v>0.34180497925311204</v>
      </c>
      <c r="J5192" s="5">
        <v>62704</v>
      </c>
      <c r="K5192" s="22">
        <v>2515</v>
      </c>
      <c r="L5192" s="6">
        <v>2512</v>
      </c>
      <c r="M5192" s="125">
        <f t="shared" si="469"/>
        <v>-3</v>
      </c>
      <c r="P5192" s="247">
        <v>19040</v>
      </c>
      <c r="Q5192" s="25">
        <f>164.87/1091.9</f>
        <v>0.1509936807399945</v>
      </c>
      <c r="W5192" s="285">
        <f t="shared" ref="W5192" si="470">(P5192*Q5192)*(1+U5192)</f>
        <v>2874.9196812894952</v>
      </c>
      <c r="X5192" s="446">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18">
        <f t="shared" si="456"/>
        <v>0.33523021210553544</v>
      </c>
      <c r="J5193" s="5">
        <v>59406</v>
      </c>
      <c r="K5193" s="22">
        <v>2473</v>
      </c>
      <c r="L5193" s="6">
        <v>2480</v>
      </c>
      <c r="M5193" s="125">
        <f t="shared" si="469"/>
        <v>7</v>
      </c>
      <c r="P5193" s="247">
        <v>18940</v>
      </c>
      <c r="Q5193" s="25">
        <f>164.41/1086.7</f>
        <v>0.15129290512560964</v>
      </c>
      <c r="W5193" s="285">
        <f t="shared" ref="W5193" si="472">(P5193*Q5193)*(1+U5193)</f>
        <v>2865.4876230790464</v>
      </c>
      <c r="X5193" s="446">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18">
        <f t="shared" si="456"/>
        <v>0.32445520581113801</v>
      </c>
      <c r="J5194" s="5">
        <v>50977</v>
      </c>
      <c r="K5194" s="22">
        <v>2511</v>
      </c>
      <c r="L5194" s="6">
        <v>2501</v>
      </c>
      <c r="M5194" s="125">
        <f t="shared" si="469"/>
        <v>-10</v>
      </c>
      <c r="P5194" s="247">
        <v>18990</v>
      </c>
      <c r="Q5194" s="25">
        <f>164.91/1089.3</f>
        <v>0.15139080143211237</v>
      </c>
      <c r="W5194" s="285">
        <f t="shared" ref="W5194" si="474">(P5194*Q5194)*(1+U5194)</f>
        <v>2874.911319195814</v>
      </c>
      <c r="X5194" s="446">
        <f t="shared" ref="X5194" si="475">P5194/K5194</f>
        <v>7.5627240143369177</v>
      </c>
    </row>
    <row r="5195" spans="1:24" ht="15" customHeight="1">
      <c r="A5195" s="3">
        <v>43087</v>
      </c>
      <c r="B5195" s="9">
        <v>49150</v>
      </c>
      <c r="C5195" s="5">
        <v>0</v>
      </c>
      <c r="D5195" s="5">
        <v>94725</v>
      </c>
      <c r="E5195" s="5">
        <v>143875</v>
      </c>
      <c r="F5195" s="4">
        <v>0</v>
      </c>
      <c r="G5195" s="5">
        <v>675</v>
      </c>
      <c r="H5195" s="5">
        <v>46825</v>
      </c>
      <c r="I5195" s="118">
        <f t="shared" si="456"/>
        <v>0.32545612510860122</v>
      </c>
      <c r="J5195" s="5">
        <v>51570</v>
      </c>
      <c r="K5195" s="22">
        <v>2586.5</v>
      </c>
      <c r="L5195" s="6">
        <v>2558.5</v>
      </c>
      <c r="M5195" s="125">
        <f t="shared" si="469"/>
        <v>-28</v>
      </c>
      <c r="P5195" s="247">
        <v>19220</v>
      </c>
      <c r="Q5195" s="25">
        <f>164.91/1089.3</f>
        <v>0.15139080143211237</v>
      </c>
      <c r="W5195" s="285">
        <f t="shared" ref="W5195" si="476">(P5195*Q5195)*(1+U5195)</f>
        <v>2909.7312035251998</v>
      </c>
      <c r="X5195" s="446">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18">
        <f t="shared" si="456"/>
        <v>0.32183908045977011</v>
      </c>
      <c r="J5196" s="5">
        <v>60282</v>
      </c>
      <c r="K5196" s="22">
        <v>2559</v>
      </c>
      <c r="L5196" s="6">
        <v>2545.5</v>
      </c>
      <c r="M5196" s="125">
        <f t="shared" si="469"/>
        <v>-13.5</v>
      </c>
      <c r="P5196" s="247">
        <v>19365</v>
      </c>
      <c r="Q5196" s="25">
        <f>164.43/1086.8</f>
        <v>0.15129738682370261</v>
      </c>
      <c r="W5196" s="285">
        <f t="shared" ref="W5196:W5197" si="478">(P5196*Q5196)*(1+U5196)</f>
        <v>2929.8738958410013</v>
      </c>
      <c r="X5196" s="446">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18">
        <f t="shared" si="456"/>
        <v>0.30704225352112674</v>
      </c>
      <c r="J5197" s="5">
        <v>62694</v>
      </c>
      <c r="K5197" s="22">
        <v>2542.5</v>
      </c>
      <c r="L5197" s="6">
        <v>2544</v>
      </c>
      <c r="M5197" s="125">
        <f t="shared" si="469"/>
        <v>1.5</v>
      </c>
      <c r="P5197" s="247">
        <v>19290</v>
      </c>
      <c r="Q5197" s="25">
        <f>164.28/1082.9</f>
        <v>0.15170375842644748</v>
      </c>
      <c r="W5197" s="285">
        <f t="shared" si="478"/>
        <v>2926.3655000461717</v>
      </c>
      <c r="X5197" s="446">
        <f t="shared" si="479"/>
        <v>7.5870206489675516</v>
      </c>
    </row>
    <row r="5198" spans="1:24" ht="15" customHeight="1">
      <c r="A5198" s="3">
        <v>43090</v>
      </c>
      <c r="B5198" s="9">
        <v>49325</v>
      </c>
      <c r="C5198" s="5">
        <v>0</v>
      </c>
      <c r="D5198" s="5">
        <v>92550</v>
      </c>
      <c r="E5198" s="5">
        <v>141875</v>
      </c>
      <c r="F5198" s="4">
        <v>500</v>
      </c>
      <c r="G5198" s="5">
        <v>625</v>
      </c>
      <c r="H5198" s="5">
        <v>42925</v>
      </c>
      <c r="I5198" s="118">
        <f t="shared" si="456"/>
        <v>0.30255506607929517</v>
      </c>
      <c r="J5198" s="5">
        <v>55827</v>
      </c>
      <c r="K5198" s="22">
        <v>2491</v>
      </c>
      <c r="L5198" s="6">
        <v>2497.5</v>
      </c>
      <c r="M5198" s="125">
        <f t="shared" si="469"/>
        <v>6.5</v>
      </c>
      <c r="P5198" s="247">
        <v>19080</v>
      </c>
      <c r="Q5198" s="25">
        <f>164.66/1080.6</f>
        <v>0.15237830834721452</v>
      </c>
      <c r="W5198" s="285">
        <f t="shared" ref="W5198" si="480">(P5198*Q5198)*(1+U5198)</f>
        <v>2907.378123264853</v>
      </c>
      <c r="X5198" s="446">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18">
        <f t="shared" si="456"/>
        <v>0.30169073617470943</v>
      </c>
      <c r="J5199" s="5">
        <v>43464</v>
      </c>
      <c r="K5199" s="22">
        <v>2473</v>
      </c>
      <c r="L5199" s="6">
        <v>2483</v>
      </c>
      <c r="M5199" s="125">
        <f t="shared" si="469"/>
        <v>10</v>
      </c>
      <c r="P5199" s="247">
        <v>19050</v>
      </c>
      <c r="Q5199" s="25">
        <f>164.3/1079.2</f>
        <v>0.15224240177909562</v>
      </c>
      <c r="W5199" s="285">
        <f t="shared" ref="W5199" si="482">(P5199*Q5199)*(1+U5199)</f>
        <v>2900.2177538917717</v>
      </c>
      <c r="X5199" s="446">
        <f t="shared" ref="X5199" si="483">P5199/K5199</f>
        <v>7.7031945006065508</v>
      </c>
    </row>
    <row r="5200" spans="1:24" ht="15" customHeight="1">
      <c r="A5200" s="3">
        <v>43094</v>
      </c>
      <c r="B5200" s="1318"/>
      <c r="C5200" s="1318"/>
      <c r="D5200" s="1318"/>
      <c r="E5200" s="1318"/>
      <c r="F5200" s="1318"/>
      <c r="G5200" s="1318"/>
      <c r="H5200" s="1318"/>
      <c r="I5200" s="1318"/>
      <c r="J5200" s="1318"/>
      <c r="K5200" s="1318"/>
      <c r="L5200" s="1318"/>
      <c r="M5200" s="1318"/>
      <c r="P5200" s="247"/>
      <c r="X5200" s="446"/>
    </row>
    <row r="5201" spans="1:24" ht="15" customHeight="1">
      <c r="A5201" s="3">
        <v>43095</v>
      </c>
      <c r="B5201" s="1318"/>
      <c r="C5201" s="1318"/>
      <c r="D5201" s="1318"/>
      <c r="E5201" s="1318"/>
      <c r="F5201" s="1318"/>
      <c r="G5201" s="1318"/>
      <c r="H5201" s="1318"/>
      <c r="I5201" s="1318"/>
      <c r="J5201" s="1318"/>
      <c r="K5201" s="1318"/>
      <c r="L5201" s="1318"/>
      <c r="M5201" s="1318"/>
      <c r="X5201" s="446"/>
    </row>
    <row r="5202" spans="1:24" ht="15" customHeight="1">
      <c r="A5202" s="3">
        <v>43096</v>
      </c>
      <c r="B5202" s="9">
        <v>49500</v>
      </c>
      <c r="C5202" s="5">
        <v>0</v>
      </c>
      <c r="D5202" s="5">
        <v>92250</v>
      </c>
      <c r="E5202" s="5">
        <v>141750</v>
      </c>
      <c r="F5202" s="4">
        <v>0</v>
      </c>
      <c r="G5202" s="5">
        <v>200</v>
      </c>
      <c r="H5202" s="5">
        <v>49750</v>
      </c>
      <c r="I5202" s="118">
        <f t="shared" ref="I5202:I5270" si="484">H5202/E5202</f>
        <v>0.35097001763668428</v>
      </c>
      <c r="J5202" s="5">
        <v>39662</v>
      </c>
      <c r="K5202" s="22">
        <v>2494</v>
      </c>
      <c r="L5202" s="6">
        <v>2500</v>
      </c>
      <c r="M5202" s="125">
        <f t="shared" ref="M5202:M5233" si="485">L5202-K5202</f>
        <v>6</v>
      </c>
      <c r="P5202" s="247">
        <v>18985</v>
      </c>
      <c r="Q5202" s="25">
        <f>164.58/1077.1</f>
        <v>0.15279918299136572</v>
      </c>
      <c r="W5202" s="285">
        <f t="shared" ref="W5202" si="486">(P5202*Q5202)*(1+U5202)</f>
        <v>2900.892489091078</v>
      </c>
      <c r="X5202" s="446">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18">
        <f t="shared" si="484"/>
        <v>0.34938488576449911</v>
      </c>
      <c r="J5203" s="5">
        <v>43273</v>
      </c>
      <c r="K5203" s="22">
        <v>2511.5</v>
      </c>
      <c r="L5203" s="6">
        <v>2523</v>
      </c>
      <c r="M5203" s="125">
        <f t="shared" si="485"/>
        <v>11.5</v>
      </c>
      <c r="P5203" s="247">
        <v>19175</v>
      </c>
      <c r="Q5203" s="25">
        <f>163.65/1071.4</f>
        <v>0.15274407317528466</v>
      </c>
      <c r="W5203" s="285">
        <f t="shared" ref="W5203" si="488">(P5203*Q5203)*(1+U5203)</f>
        <v>2928.8676031360833</v>
      </c>
      <c r="X5203" s="446">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18">
        <f t="shared" si="484"/>
        <v>0.31212653778558874</v>
      </c>
      <c r="J5204" s="5">
        <v>41972</v>
      </c>
      <c r="K5204" s="22">
        <v>2495</v>
      </c>
      <c r="L5204" s="6">
        <v>2502</v>
      </c>
      <c r="M5204" s="125">
        <f t="shared" si="485"/>
        <v>7</v>
      </c>
      <c r="N5204" s="381">
        <f>AVERAGE(K5184:K5204)</f>
        <v>2508.8157894736842</v>
      </c>
      <c r="O5204" s="230">
        <f>AVERAGE(K4935:K5204)</f>
        <v>2317.4563492063494</v>
      </c>
      <c r="P5204" s="247">
        <v>19105</v>
      </c>
      <c r="Q5204" s="25">
        <f>163.65/1071.4</f>
        <v>0.15274407317528466</v>
      </c>
      <c r="W5204" s="285">
        <f t="shared" ref="W5204" si="490">(P5204*Q5204)*(1+U5204)</f>
        <v>2918.1755180138134</v>
      </c>
      <c r="X5204" s="446">
        <f t="shared" ref="X5204" si="491">P5204/K5204</f>
        <v>7.6573146292585168</v>
      </c>
    </row>
    <row r="5205" spans="1:24" ht="15" customHeight="1" thickBot="1">
      <c r="A5205" s="216"/>
      <c r="B5205" s="1330"/>
      <c r="C5205" s="1330"/>
      <c r="D5205" s="1330"/>
      <c r="E5205" s="216"/>
      <c r="F5205" s="407"/>
      <c r="G5205" s="164"/>
      <c r="H5205" s="164"/>
      <c r="I5205" s="166"/>
      <c r="J5205" s="166"/>
      <c r="K5205" s="166"/>
      <c r="L5205" s="167"/>
      <c r="M5205" s="168"/>
      <c r="N5205" s="169" t="s">
        <v>52</v>
      </c>
      <c r="O5205" s="183"/>
      <c r="P5205" s="180"/>
      <c r="Q5205" s="154"/>
      <c r="R5205" s="248"/>
      <c r="S5205" s="249"/>
      <c r="T5205" s="249"/>
      <c r="U5205" s="152"/>
      <c r="V5205" s="153">
        <f>AVERAGE(P5184:P5204)</f>
        <v>18946.052631578947</v>
      </c>
      <c r="W5205" s="295"/>
      <c r="X5205" s="447">
        <f>AVERAGE(X5183:X5204)</f>
        <v>7.5538271174534559</v>
      </c>
    </row>
    <row r="5206" spans="1:24" ht="15" customHeight="1">
      <c r="A5206" s="3">
        <v>43102</v>
      </c>
      <c r="B5206" s="9">
        <v>49575</v>
      </c>
      <c r="C5206" s="5">
        <v>0</v>
      </c>
      <c r="D5206" s="5">
        <v>92650</v>
      </c>
      <c r="E5206" s="5">
        <v>142225</v>
      </c>
      <c r="F5206" s="4">
        <v>50</v>
      </c>
      <c r="G5206" s="5">
        <v>75</v>
      </c>
      <c r="H5206" s="5">
        <v>46875</v>
      </c>
      <c r="I5206" s="118">
        <f t="shared" si="484"/>
        <v>0.32958340657409035</v>
      </c>
      <c r="J5206" s="5">
        <v>54611</v>
      </c>
      <c r="K5206" s="22">
        <v>2544</v>
      </c>
      <c r="L5206" s="6">
        <v>2538</v>
      </c>
      <c r="M5206" s="125">
        <f t="shared" si="485"/>
        <v>-6</v>
      </c>
      <c r="P5206" s="247">
        <v>18945</v>
      </c>
      <c r="Q5206" s="25">
        <f>163.82/1064.3</f>
        <v>0.15392276613736727</v>
      </c>
      <c r="W5206" s="285">
        <f t="shared" ref="W5206" si="492">(P5206*Q5206)*(1+U5206)</f>
        <v>2916.066804472423</v>
      </c>
      <c r="X5206" s="446">
        <f t="shared" ref="X5206" si="493">P5206/K5206</f>
        <v>7.4469339622641506</v>
      </c>
    </row>
    <row r="5207" spans="1:24" ht="15" customHeight="1">
      <c r="A5207" s="3">
        <v>43103</v>
      </c>
      <c r="B5207" s="9">
        <v>49575</v>
      </c>
      <c r="C5207" s="5">
        <v>0</v>
      </c>
      <c r="D5207" s="5">
        <v>92500</v>
      </c>
      <c r="E5207" s="5">
        <v>142075</v>
      </c>
      <c r="F5207" s="4">
        <v>0</v>
      </c>
      <c r="G5207" s="5">
        <v>150</v>
      </c>
      <c r="H5207" s="5">
        <v>46725</v>
      </c>
      <c r="I5207" s="118">
        <f t="shared" si="484"/>
        <v>0.32887559387647369</v>
      </c>
      <c r="J5207" s="5">
        <v>47452</v>
      </c>
      <c r="K5207" s="22">
        <v>2580</v>
      </c>
      <c r="L5207" s="6">
        <v>2566.5</v>
      </c>
      <c r="M5207" s="125">
        <f t="shared" si="485"/>
        <v>-13.5</v>
      </c>
      <c r="P5207" s="247">
        <v>19210</v>
      </c>
      <c r="Q5207" s="25">
        <f>163.9/1065.4</f>
        <v>0.15383893373380889</v>
      </c>
      <c r="W5207" s="285">
        <f t="shared" ref="W5207" si="494">(P5207*Q5207)*(1+U5207)</f>
        <v>2955.2459170264688</v>
      </c>
      <c r="X5207" s="446">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18">
        <f t="shared" si="484"/>
        <v>0.33169100827027981</v>
      </c>
      <c r="J5208" s="5">
        <v>61051</v>
      </c>
      <c r="K5208" s="22">
        <v>2573</v>
      </c>
      <c r="L5208" s="6">
        <v>2573</v>
      </c>
      <c r="M5208" s="125">
        <f t="shared" si="485"/>
        <v>0</v>
      </c>
      <c r="P5208" s="247">
        <v>19325</v>
      </c>
      <c r="Q5208" s="25">
        <f>163.92/1065.5</f>
        <v>0.15384326607226653</v>
      </c>
      <c r="W5208" s="285">
        <f t="shared" ref="W5208:W5210" si="496">(P5208*Q5208)*(1+U5208)</f>
        <v>2973.0211168465507</v>
      </c>
      <c r="X5208" s="446">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18">
        <f t="shared" si="484"/>
        <v>0.33168927250308261</v>
      </c>
      <c r="J5209" s="5">
        <v>38020</v>
      </c>
      <c r="K5209" s="22">
        <v>2590</v>
      </c>
      <c r="L5209" s="6">
        <v>2586</v>
      </c>
      <c r="M5209" s="125">
        <f t="shared" si="485"/>
        <v>-4</v>
      </c>
      <c r="P5209" s="247">
        <v>19325</v>
      </c>
      <c r="Q5209" s="25">
        <f>164.01/1062.5</f>
        <v>0.15436235294117645</v>
      </c>
      <c r="W5209" s="285">
        <f t="shared" si="496"/>
        <v>2983.0524705882349</v>
      </c>
      <c r="X5209" s="446">
        <f t="shared" si="497"/>
        <v>7.461389961389961</v>
      </c>
    </row>
    <row r="5210" spans="1:24" ht="15" customHeight="1">
      <c r="A5210" s="3">
        <v>43108</v>
      </c>
      <c r="B5210" s="9">
        <v>49700</v>
      </c>
      <c r="C5210" s="5">
        <v>0</v>
      </c>
      <c r="D5210" s="5">
        <v>94300</v>
      </c>
      <c r="E5210" s="5">
        <v>144000</v>
      </c>
      <c r="F5210" s="4">
        <v>2250</v>
      </c>
      <c r="G5210" s="5">
        <v>175</v>
      </c>
      <c r="H5210" s="5">
        <v>46900</v>
      </c>
      <c r="I5210" s="118">
        <f t="shared" si="484"/>
        <v>0.32569444444444445</v>
      </c>
      <c r="J5210" s="5">
        <v>35459</v>
      </c>
      <c r="K5210" s="22">
        <v>2566</v>
      </c>
      <c r="L5210" s="6">
        <v>2558</v>
      </c>
      <c r="M5210" s="125">
        <f t="shared" si="485"/>
        <v>-8</v>
      </c>
      <c r="P5210" s="247">
        <v>19300</v>
      </c>
      <c r="Q5210" s="25">
        <f>164.31/1065.2</f>
        <v>0.15425272249342847</v>
      </c>
      <c r="W5210" s="285">
        <f t="shared" si="496"/>
        <v>2977.0775441231694</v>
      </c>
      <c r="X5210" s="446">
        <f t="shared" si="497"/>
        <v>7.5214341387373347</v>
      </c>
    </row>
    <row r="5211" spans="1:24" ht="15" customHeight="1">
      <c r="A5211" s="3">
        <v>43109</v>
      </c>
      <c r="B5211" s="9">
        <v>49700</v>
      </c>
      <c r="C5211" s="5">
        <v>0</v>
      </c>
      <c r="D5211" s="5">
        <v>94350</v>
      </c>
      <c r="E5211" s="5">
        <v>144050</v>
      </c>
      <c r="F5211" s="4">
        <v>500</v>
      </c>
      <c r="G5211" s="5">
        <v>450</v>
      </c>
      <c r="H5211" s="5">
        <v>46450</v>
      </c>
      <c r="I5211" s="118">
        <f t="shared" si="484"/>
        <v>0.3224574800416522</v>
      </c>
      <c r="J5211" s="5">
        <v>65763</v>
      </c>
      <c r="K5211" s="22">
        <v>2608</v>
      </c>
      <c r="L5211" s="6">
        <v>2598.5</v>
      </c>
      <c r="M5211" s="125">
        <f t="shared" si="485"/>
        <v>-9.5</v>
      </c>
      <c r="P5211" s="247">
        <v>19480</v>
      </c>
      <c r="Q5211" s="25">
        <f>164.08/1067.1</f>
        <v>0.15376253397057449</v>
      </c>
      <c r="W5211" s="285">
        <f t="shared" ref="W5211" si="498">(P5211*Q5211)*(1+U5211)</f>
        <v>2995.2941617467909</v>
      </c>
      <c r="X5211" s="446">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18">
        <f t="shared" si="484"/>
        <v>0.31770651795050542</v>
      </c>
      <c r="J5212" s="5">
        <v>55285</v>
      </c>
      <c r="K5212" s="22">
        <v>2596</v>
      </c>
      <c r="L5212" s="6">
        <v>2575</v>
      </c>
      <c r="M5212" s="125">
        <f t="shared" si="485"/>
        <v>-21</v>
      </c>
      <c r="P5212" s="247">
        <v>19380</v>
      </c>
      <c r="Q5212" s="25">
        <f>163.86/1070.7</f>
        <v>0.15304006724572711</v>
      </c>
      <c r="W5212" s="285">
        <f t="shared" ref="W5212" si="500">(P5212*Q5212)*(1+U5212)</f>
        <v>2965.9165032221913</v>
      </c>
      <c r="X5212" s="446">
        <f t="shared" ref="X5212" si="501">P5212/K5212</f>
        <v>7.4653312788906012</v>
      </c>
    </row>
    <row r="5213" spans="1:24" ht="15" customHeight="1">
      <c r="A5213" s="3">
        <v>43111</v>
      </c>
      <c r="B5213" s="9">
        <v>49575</v>
      </c>
      <c r="C5213" s="5">
        <v>0</v>
      </c>
      <c r="D5213" s="5">
        <v>93000</v>
      </c>
      <c r="E5213" s="5">
        <v>142575</v>
      </c>
      <c r="F5213" s="4">
        <v>0</v>
      </c>
      <c r="G5213" s="5">
        <v>875</v>
      </c>
      <c r="H5213" s="5">
        <v>45300</v>
      </c>
      <c r="I5213" s="118">
        <f t="shared" si="484"/>
        <v>0.31772751183587583</v>
      </c>
      <c r="J5213" s="5">
        <v>91383</v>
      </c>
      <c r="K5213" s="22">
        <v>2572</v>
      </c>
      <c r="L5213" s="6">
        <v>2567</v>
      </c>
      <c r="M5213" s="125">
        <f t="shared" si="485"/>
        <v>-5</v>
      </c>
      <c r="P5213" s="247">
        <v>19220</v>
      </c>
      <c r="Q5213" s="25">
        <f>164.16/1071.2</f>
        <v>0.1532486930545183</v>
      </c>
      <c r="W5213" s="285">
        <f t="shared" ref="W5213" si="502">(P5213*Q5213)*(1+U5213)</f>
        <v>2945.4398805078417</v>
      </c>
      <c r="X5213" s="446">
        <f t="shared" ref="X5213" si="503">P5213/K5213</f>
        <v>7.4727838258164851</v>
      </c>
    </row>
    <row r="5214" spans="1:24" ht="15" customHeight="1">
      <c r="A5214" s="3">
        <v>43112</v>
      </c>
      <c r="B5214" s="9">
        <v>49575</v>
      </c>
      <c r="C5214" s="5">
        <v>0</v>
      </c>
      <c r="D5214" s="5">
        <v>92500</v>
      </c>
      <c r="E5214" s="5">
        <v>142075</v>
      </c>
      <c r="F5214" s="4">
        <v>0</v>
      </c>
      <c r="G5214" s="5">
        <v>500</v>
      </c>
      <c r="H5214" s="5">
        <v>44800</v>
      </c>
      <c r="I5214" s="118">
        <f t="shared" si="484"/>
        <v>0.31532641210628187</v>
      </c>
      <c r="J5214" s="5">
        <v>65658</v>
      </c>
      <c r="K5214" s="22">
        <v>2536</v>
      </c>
      <c r="L5214" s="6">
        <v>2530</v>
      </c>
      <c r="M5214" s="125">
        <f t="shared" si="485"/>
        <v>-6</v>
      </c>
      <c r="P5214" s="247">
        <v>19220</v>
      </c>
      <c r="Q5214" s="25">
        <f>164.1/1064.7</f>
        <v>0.15412792335869258</v>
      </c>
      <c r="W5214" s="285">
        <f t="shared" ref="W5214" si="504">(P5214*Q5214)*(1+U5214)</f>
        <v>2962.3386869540714</v>
      </c>
      <c r="X5214" s="446">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18">
        <f t="shared" si="484"/>
        <v>0.31070542360864939</v>
      </c>
      <c r="J5215" s="5">
        <v>51172</v>
      </c>
      <c r="K5215" s="22">
        <v>2582</v>
      </c>
      <c r="L5215" s="6">
        <v>2579</v>
      </c>
      <c r="M5215" s="125">
        <f t="shared" si="485"/>
        <v>-3</v>
      </c>
      <c r="P5215" s="247">
        <v>19115</v>
      </c>
      <c r="Q5215" s="25">
        <f>164.87/1061.3</f>
        <v>0.1553472156788844</v>
      </c>
      <c r="W5215" s="285">
        <f t="shared" ref="W5215" si="506">(P5215*Q5215)*(1+U5215)</f>
        <v>2969.4620277018753</v>
      </c>
      <c r="X5215" s="446">
        <f t="shared" ref="X5215" si="507">P5215/K5215</f>
        <v>7.4031758326878387</v>
      </c>
    </row>
    <row r="5216" spans="1:24" ht="15" customHeight="1">
      <c r="A5216" s="3">
        <v>43116</v>
      </c>
      <c r="B5216" s="9">
        <v>49275</v>
      </c>
      <c r="C5216" s="5">
        <v>0</v>
      </c>
      <c r="D5216" s="5">
        <v>91325</v>
      </c>
      <c r="E5216" s="5">
        <v>140600</v>
      </c>
      <c r="F5216" s="4">
        <v>0</v>
      </c>
      <c r="G5216" s="5">
        <v>450</v>
      </c>
      <c r="H5216" s="5">
        <v>43375</v>
      </c>
      <c r="I5216" s="118">
        <f t="shared" si="484"/>
        <v>0.30849928876244664</v>
      </c>
      <c r="J5216" s="5">
        <v>44040</v>
      </c>
      <c r="K5216" s="22">
        <v>2542.5</v>
      </c>
      <c r="L5216" s="6">
        <v>2550</v>
      </c>
      <c r="M5216" s="125">
        <f t="shared" si="485"/>
        <v>7.5</v>
      </c>
      <c r="P5216" s="247">
        <v>19020</v>
      </c>
      <c r="Q5216" s="25">
        <f>164.87/1061.3</f>
        <v>0.1553472156788844</v>
      </c>
      <c r="W5216" s="285">
        <f t="shared" ref="W5216" si="508">(P5216*Q5216)*(1+U5216)</f>
        <v>2954.7040422123814</v>
      </c>
      <c r="X5216" s="446">
        <f t="shared" ref="X5216" si="509">P5216/K5216</f>
        <v>7.4808259587020647</v>
      </c>
    </row>
    <row r="5217" spans="1:24" ht="15" customHeight="1">
      <c r="A5217" s="3">
        <v>43117</v>
      </c>
      <c r="B5217" s="9">
        <v>49275</v>
      </c>
      <c r="C5217" s="5">
        <v>0</v>
      </c>
      <c r="D5217" s="5">
        <v>90850</v>
      </c>
      <c r="E5217" s="5">
        <v>140125</v>
      </c>
      <c r="F5217" s="4">
        <v>0</v>
      </c>
      <c r="G5217" s="5">
        <v>475</v>
      </c>
      <c r="H5217" s="5">
        <v>42900</v>
      </c>
      <c r="I5217" s="118">
        <f t="shared" si="484"/>
        <v>0.30615521855486172</v>
      </c>
      <c r="J5217" s="5">
        <v>57424</v>
      </c>
      <c r="K5217" s="22">
        <v>2555</v>
      </c>
      <c r="L5217" s="6">
        <v>2562</v>
      </c>
      <c r="M5217" s="125">
        <f t="shared" si="485"/>
        <v>7</v>
      </c>
      <c r="P5217" s="247">
        <v>19035</v>
      </c>
      <c r="Q5217" s="25">
        <f>165.65/1065.8</f>
        <v>0.15542315631450554</v>
      </c>
      <c r="W5217" s="285">
        <f t="shared" ref="W5217" si="510">(P5217*Q5217)*(1+U5217)</f>
        <v>2958.4797804466129</v>
      </c>
      <c r="X5217" s="446">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18">
        <f t="shared" si="484"/>
        <v>0.35553168635875404</v>
      </c>
      <c r="J5218" s="5">
        <v>48655</v>
      </c>
      <c r="K5218" s="22">
        <v>2581</v>
      </c>
      <c r="L5218" s="6">
        <v>2585</v>
      </c>
      <c r="M5218" s="125">
        <f t="shared" si="485"/>
        <v>4</v>
      </c>
      <c r="P5218" s="247">
        <v>19160</v>
      </c>
      <c r="Q5218" s="25">
        <f>166.07/1069.4</f>
        <v>0.15529268748831118</v>
      </c>
      <c r="W5218" s="285">
        <f t="shared" ref="W5218:W5219" si="512">(P5218*Q5218)*(1+U5218)</f>
        <v>2975.4078922760423</v>
      </c>
      <c r="X5218" s="446">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18">
        <f t="shared" si="484"/>
        <v>0.38958707360861761</v>
      </c>
      <c r="J5219" s="5">
        <v>71872</v>
      </c>
      <c r="K5219" s="22">
        <v>2608</v>
      </c>
      <c r="L5219" s="6">
        <v>2610</v>
      </c>
      <c r="M5219" s="125">
        <f t="shared" si="485"/>
        <v>2</v>
      </c>
      <c r="P5219" s="247">
        <v>19380</v>
      </c>
      <c r="Q5219" s="25">
        <f>166.74/1067.3</f>
        <v>0.15622599081795185</v>
      </c>
      <c r="W5219" s="285">
        <f t="shared" si="512"/>
        <v>3027.6597020519071</v>
      </c>
      <c r="X5219" s="446">
        <f t="shared" si="513"/>
        <v>7.4309815950920246</v>
      </c>
    </row>
    <row r="5220" spans="1:24" ht="15" customHeight="1">
      <c r="A5220" s="3">
        <v>43122</v>
      </c>
      <c r="B5220" s="9">
        <v>48400</v>
      </c>
      <c r="C5220" s="5">
        <v>0</v>
      </c>
      <c r="D5220" s="5">
        <v>90400</v>
      </c>
      <c r="E5220" s="5">
        <v>138800</v>
      </c>
      <c r="F5220" s="4">
        <v>0</v>
      </c>
      <c r="G5220" s="5">
        <v>450</v>
      </c>
      <c r="H5220" s="5">
        <v>53800</v>
      </c>
      <c r="I5220" s="118">
        <f t="shared" si="484"/>
        <v>0.38760806916426516</v>
      </c>
      <c r="J5220" s="5">
        <v>41428</v>
      </c>
      <c r="K5220" s="22">
        <v>2607</v>
      </c>
      <c r="L5220" s="6">
        <v>2606</v>
      </c>
      <c r="M5220" s="125">
        <f t="shared" si="485"/>
        <v>-1</v>
      </c>
      <c r="P5220" s="247">
        <v>19320</v>
      </c>
      <c r="Q5220" s="25">
        <f>166.86/1068.9</f>
        <v>0.15610440639910189</v>
      </c>
      <c r="W5220" s="285">
        <f t="shared" ref="W5220" si="514">(P5220*Q5220)*(1+U5220)</f>
        <v>3015.9371316306488</v>
      </c>
      <c r="X5220" s="446">
        <f t="shared" ref="X5220" si="515">P5220/K5220</f>
        <v>7.410817031070196</v>
      </c>
    </row>
    <row r="5221" spans="1:24" ht="15" customHeight="1">
      <c r="A5221" s="3">
        <v>43123</v>
      </c>
      <c r="B5221" s="9">
        <v>48400</v>
      </c>
      <c r="C5221" s="5">
        <v>0</v>
      </c>
      <c r="D5221" s="5">
        <v>90200</v>
      </c>
      <c r="E5221" s="5">
        <v>138600</v>
      </c>
      <c r="F5221" s="4">
        <v>0</v>
      </c>
      <c r="G5221" s="5">
        <v>200</v>
      </c>
      <c r="H5221" s="5">
        <v>58600</v>
      </c>
      <c r="I5221" s="118">
        <f t="shared" si="484"/>
        <v>0.42279942279942279</v>
      </c>
      <c r="J5221" s="5">
        <v>38167</v>
      </c>
      <c r="K5221" s="22">
        <v>2610</v>
      </c>
      <c r="L5221" s="6">
        <v>2608</v>
      </c>
      <c r="M5221" s="125">
        <f t="shared" si="485"/>
        <v>-2</v>
      </c>
      <c r="P5221" s="247">
        <v>19460</v>
      </c>
      <c r="Q5221" s="25">
        <f>166.86/1068.9</f>
        <v>0.15610440639910189</v>
      </c>
      <c r="W5221" s="285">
        <f t="shared" ref="W5221:W5225" si="516">(P5221*Q5221)*(1+U5221)</f>
        <v>3037.791748526523</v>
      </c>
      <c r="X5221" s="446">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18">
        <f t="shared" si="484"/>
        <v>0.42102406368735301</v>
      </c>
      <c r="J5222" s="5">
        <v>30098</v>
      </c>
      <c r="K5222" s="22">
        <v>2612</v>
      </c>
      <c r="L5222" s="6">
        <v>2616</v>
      </c>
      <c r="M5222" s="125">
        <f t="shared" si="485"/>
        <v>4</v>
      </c>
      <c r="P5222" s="247">
        <v>19660</v>
      </c>
      <c r="Q5222" s="25">
        <f>167.44/1070.6</f>
        <v>0.15639828133756772</v>
      </c>
      <c r="W5222" s="285">
        <f t="shared" si="516"/>
        <v>3074.7902110965815</v>
      </c>
      <c r="X5222" s="446">
        <f t="shared" si="517"/>
        <v>7.5267993874425727</v>
      </c>
    </row>
    <row r="5223" spans="1:24" ht="15" customHeight="1">
      <c r="A5223" s="3">
        <v>43125</v>
      </c>
      <c r="B5223" s="9">
        <v>48100</v>
      </c>
      <c r="C5223" s="5">
        <v>0</v>
      </c>
      <c r="D5223" s="5">
        <v>89950</v>
      </c>
      <c r="E5223" s="5">
        <v>138050</v>
      </c>
      <c r="F5223" s="4">
        <v>0</v>
      </c>
      <c r="G5223" s="5">
        <v>125</v>
      </c>
      <c r="H5223" s="5">
        <v>59250</v>
      </c>
      <c r="I5223" s="118">
        <f t="shared" si="484"/>
        <v>0.42919232162260051</v>
      </c>
      <c r="J5223" s="5">
        <v>29206</v>
      </c>
      <c r="K5223" s="22">
        <v>2621</v>
      </c>
      <c r="L5223" s="6">
        <v>2623</v>
      </c>
      <c r="M5223" s="125">
        <f t="shared" si="485"/>
        <v>2</v>
      </c>
      <c r="P5223" s="247">
        <v>19580</v>
      </c>
      <c r="Q5223" s="25">
        <f>167.44/1070.6</f>
        <v>0.15639828133756772</v>
      </c>
      <c r="W5223" s="285">
        <f t="shared" si="516"/>
        <v>3062.2783485895761</v>
      </c>
      <c r="X5223" s="446">
        <f t="shared" si="517"/>
        <v>7.4704311331552846</v>
      </c>
    </row>
    <row r="5224" spans="1:24" ht="15" customHeight="1">
      <c r="A5224" s="3">
        <v>43126</v>
      </c>
      <c r="B5224" s="9">
        <v>48000</v>
      </c>
      <c r="C5224" s="5">
        <v>0</v>
      </c>
      <c r="D5224" s="5">
        <v>89875</v>
      </c>
      <c r="E5224" s="5">
        <v>137875</v>
      </c>
      <c r="F5224" s="4">
        <v>0</v>
      </c>
      <c r="G5224" s="5">
        <v>175</v>
      </c>
      <c r="H5224" s="5">
        <v>59075</v>
      </c>
      <c r="I5224" s="118">
        <f t="shared" si="484"/>
        <v>0.42846781504986403</v>
      </c>
      <c r="J5224" s="5">
        <v>47260</v>
      </c>
      <c r="K5224" s="22">
        <v>2604</v>
      </c>
      <c r="L5224" s="6">
        <v>2604</v>
      </c>
      <c r="M5224" s="125">
        <f t="shared" si="485"/>
        <v>0</v>
      </c>
      <c r="P5224" s="247">
        <v>19430</v>
      </c>
      <c r="Q5224" s="25">
        <f>167.42/1061.7</f>
        <v>0.15769049637374022</v>
      </c>
      <c r="W5224" s="285">
        <f t="shared" si="516"/>
        <v>3063.9263445417723</v>
      </c>
      <c r="X5224" s="446">
        <f t="shared" si="517"/>
        <v>7.4615975422427034</v>
      </c>
    </row>
    <row r="5225" spans="1:24" ht="15" customHeight="1">
      <c r="A5225" s="3">
        <v>43129</v>
      </c>
      <c r="B5225" s="9">
        <v>47400</v>
      </c>
      <c r="C5225" s="5">
        <v>0</v>
      </c>
      <c r="D5225" s="5">
        <v>89300</v>
      </c>
      <c r="E5225" s="5">
        <v>136700</v>
      </c>
      <c r="F5225" s="4">
        <v>0</v>
      </c>
      <c r="G5225" s="5">
        <v>1175</v>
      </c>
      <c r="H5225" s="5">
        <v>57950</v>
      </c>
      <c r="I5225" s="118">
        <f t="shared" si="484"/>
        <v>0.42392099487929774</v>
      </c>
      <c r="J5225" s="5">
        <v>37861</v>
      </c>
      <c r="K5225" s="22">
        <v>2643</v>
      </c>
      <c r="L5225" s="6">
        <v>2643</v>
      </c>
      <c r="M5225" s="125">
        <f t="shared" si="485"/>
        <v>0</v>
      </c>
      <c r="P5225" s="247">
        <v>19660</v>
      </c>
      <c r="Q5225" s="25">
        <f>168.33/1064.8</f>
        <v>0.15808602554470325</v>
      </c>
      <c r="W5225" s="285">
        <f t="shared" si="516"/>
        <v>3107.9712622088659</v>
      </c>
      <c r="X5225" s="446">
        <f t="shared" si="517"/>
        <v>7.4385168369277332</v>
      </c>
    </row>
    <row r="5226" spans="1:24" ht="15" customHeight="1">
      <c r="A5226" s="3">
        <v>43130</v>
      </c>
      <c r="B5226" s="9">
        <v>47325</v>
      </c>
      <c r="C5226" s="5">
        <v>0</v>
      </c>
      <c r="D5226" s="5">
        <v>88425</v>
      </c>
      <c r="E5226" s="5">
        <v>135750</v>
      </c>
      <c r="F5226" s="4">
        <v>0</v>
      </c>
      <c r="G5226" s="5">
        <v>950</v>
      </c>
      <c r="H5226" s="5">
        <v>57000</v>
      </c>
      <c r="I5226" s="118">
        <f t="shared" si="484"/>
        <v>0.41988950276243092</v>
      </c>
      <c r="J5226" s="5">
        <v>50159</v>
      </c>
      <c r="K5226" s="22">
        <v>2620.5</v>
      </c>
      <c r="L5226" s="6">
        <v>2625</v>
      </c>
      <c r="M5226" s="125">
        <f t="shared" si="485"/>
        <v>4.5</v>
      </c>
      <c r="P5226" s="247">
        <v>19620</v>
      </c>
      <c r="Q5226" s="25">
        <f>168.99/1071.5</f>
        <v>0.15771348576761551</v>
      </c>
      <c r="W5226" s="285">
        <f t="shared" ref="W5226" si="518">(P5226*Q5226)*(1+U5226)</f>
        <v>3094.3385907606162</v>
      </c>
      <c r="X5226" s="446">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18">
        <f t="shared" si="484"/>
        <v>0.41460695038097006</v>
      </c>
      <c r="J5227" s="5">
        <v>38565</v>
      </c>
      <c r="K5227" s="22">
        <v>2624</v>
      </c>
      <c r="L5227" s="6">
        <v>2618</v>
      </c>
      <c r="M5227" s="125">
        <f t="shared" si="485"/>
        <v>-6</v>
      </c>
      <c r="N5227" s="381">
        <f>AVERAGE(K5206:K5227)</f>
        <v>2589.7727272727275</v>
      </c>
      <c r="O5227" s="230">
        <f>AVERAGE(K5206:K5227)</f>
        <v>2589.7727272727275</v>
      </c>
      <c r="P5227" s="247">
        <v>19460</v>
      </c>
      <c r="Q5227" s="25">
        <f>169.26/1071</f>
        <v>0.15803921568627449</v>
      </c>
      <c r="W5227" s="285">
        <f t="shared" ref="W5227" si="520">(P5227*Q5227)*(1+U5227)</f>
        <v>3075.4431372549016</v>
      </c>
      <c r="X5227" s="446">
        <f t="shared" ref="X5227" si="521">P5227/K5227</f>
        <v>7.4161585365853657</v>
      </c>
    </row>
    <row r="5228" spans="1:24" ht="15" customHeight="1" thickBot="1">
      <c r="A5228" s="216"/>
      <c r="B5228" s="1330"/>
      <c r="C5228" s="1330"/>
      <c r="D5228" s="1330"/>
      <c r="E5228" s="216"/>
      <c r="F5228" s="407"/>
      <c r="G5228" s="164"/>
      <c r="H5228" s="164"/>
      <c r="I5228" s="166"/>
      <c r="J5228" s="166"/>
      <c r="K5228" s="166"/>
      <c r="L5228" s="167"/>
      <c r="M5228" s="168"/>
      <c r="N5228" s="169" t="s">
        <v>52</v>
      </c>
      <c r="O5228" s="183"/>
      <c r="P5228" s="180"/>
      <c r="Q5228" s="154"/>
      <c r="R5228" s="248"/>
      <c r="S5228" s="249"/>
      <c r="T5228" s="249"/>
      <c r="U5228" s="152"/>
      <c r="V5228" s="153">
        <f>AVERAGE(P5206:P5227)</f>
        <v>19332.045454545456</v>
      </c>
      <c r="W5228" s="295"/>
      <c r="X5228" s="447">
        <f>AVERAGE(X5206:X5227)</f>
        <v>7.4649285213406875</v>
      </c>
    </row>
    <row r="5229" spans="1:24" ht="15" customHeight="1">
      <c r="A5229" s="3">
        <v>43132</v>
      </c>
      <c r="B5229" s="9">
        <v>47300</v>
      </c>
      <c r="C5229" s="5">
        <v>0</v>
      </c>
      <c r="D5229" s="5">
        <v>85950</v>
      </c>
      <c r="E5229" s="5">
        <v>133250</v>
      </c>
      <c r="F5229" s="4">
        <v>0</v>
      </c>
      <c r="G5229" s="5">
        <v>1275</v>
      </c>
      <c r="H5229" s="5">
        <v>54750</v>
      </c>
      <c r="I5229" s="118">
        <f t="shared" si="484"/>
        <v>0.41088180112570355</v>
      </c>
      <c r="J5229" s="5">
        <v>52402</v>
      </c>
      <c r="K5229" s="22">
        <v>2670</v>
      </c>
      <c r="L5229" s="6">
        <v>2652</v>
      </c>
      <c r="M5229" s="125">
        <f t="shared" si="485"/>
        <v>-18</v>
      </c>
      <c r="P5229" s="247">
        <v>19480</v>
      </c>
      <c r="Q5229" s="25">
        <f>170.09/1071.1</f>
        <v>0.15879936513864254</v>
      </c>
      <c r="W5229" s="285">
        <f t="shared" ref="W5229:W5230" si="522">(P5229*Q5229)*(1+U5229)</f>
        <v>3093.4116329007566</v>
      </c>
      <c r="X5229" s="446">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18">
        <f t="shared" si="484"/>
        <v>0.41413187228414888</v>
      </c>
      <c r="J5230" s="5">
        <v>74017</v>
      </c>
      <c r="K5230" s="22">
        <v>2683</v>
      </c>
      <c r="L5230" s="6">
        <v>2656</v>
      </c>
      <c r="M5230" s="125">
        <f t="shared" si="485"/>
        <v>-27</v>
      </c>
      <c r="P5230" s="247">
        <v>19600</v>
      </c>
      <c r="Q5230" s="25">
        <f>171.15/1076.7</f>
        <v>0.15895792699916411</v>
      </c>
      <c r="W5230" s="285">
        <f t="shared" si="522"/>
        <v>3115.5753691836167</v>
      </c>
      <c r="X5230" s="446">
        <f t="shared" si="523"/>
        <v>7.3052553112187848</v>
      </c>
    </row>
    <row r="5231" spans="1:24" ht="15" customHeight="1">
      <c r="A5231" s="3">
        <v>43136</v>
      </c>
      <c r="B5231" s="9">
        <v>46850</v>
      </c>
      <c r="C5231" s="5">
        <v>0</v>
      </c>
      <c r="D5231" s="5">
        <v>84275</v>
      </c>
      <c r="E5231" s="5">
        <v>131125</v>
      </c>
      <c r="F5231" s="4">
        <v>0</v>
      </c>
      <c r="G5231" s="5">
        <v>1200</v>
      </c>
      <c r="H5231" s="5">
        <v>53600</v>
      </c>
      <c r="I5231" s="118">
        <f t="shared" si="484"/>
        <v>0.40877025738798856</v>
      </c>
      <c r="J5231" s="5">
        <v>63520</v>
      </c>
      <c r="K5231" s="22">
        <v>2646</v>
      </c>
      <c r="L5231" s="6">
        <v>2650</v>
      </c>
      <c r="M5231" s="125">
        <f t="shared" si="485"/>
        <v>4</v>
      </c>
      <c r="P5231" s="247">
        <v>19600</v>
      </c>
      <c r="Q5231" s="25">
        <f>172.94/1092</f>
        <v>0.15836996336996337</v>
      </c>
      <c r="W5231" s="285">
        <f t="shared" ref="W5231:W5232" si="524">(P5231*Q5231)*(1+U5231)</f>
        <v>3104.0512820512822</v>
      </c>
      <c r="X5231" s="446">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18">
        <f t="shared" si="484"/>
        <v>0.40445554061839833</v>
      </c>
      <c r="J5232" s="5">
        <v>50471</v>
      </c>
      <c r="K5232" s="22">
        <v>2592</v>
      </c>
      <c r="L5232" s="6">
        <v>2592.5</v>
      </c>
      <c r="M5232" s="125">
        <f t="shared" si="485"/>
        <v>0.5</v>
      </c>
      <c r="P5232" s="247">
        <v>19460</v>
      </c>
      <c r="Q5232" s="25">
        <f>173.7/1094.3</f>
        <v>0.15873160924792104</v>
      </c>
      <c r="W5232" s="285">
        <f t="shared" si="524"/>
        <v>3088.9171159645434</v>
      </c>
      <c r="X5232" s="446">
        <f t="shared" si="525"/>
        <v>7.507716049382716</v>
      </c>
    </row>
    <row r="5233" spans="1:24" ht="15" customHeight="1">
      <c r="A5233" s="3">
        <v>43138</v>
      </c>
      <c r="B5233" s="9">
        <v>46425</v>
      </c>
      <c r="C5233" s="5">
        <v>0</v>
      </c>
      <c r="D5233" s="5">
        <v>82375</v>
      </c>
      <c r="E5233" s="5">
        <v>128800</v>
      </c>
      <c r="F5233" s="4">
        <v>175</v>
      </c>
      <c r="G5233" s="5">
        <v>1550</v>
      </c>
      <c r="H5233" s="5">
        <v>50600</v>
      </c>
      <c r="I5233" s="118">
        <f t="shared" si="484"/>
        <v>0.39285714285714285</v>
      </c>
      <c r="J5233" s="5">
        <v>57538</v>
      </c>
      <c r="K5233" s="22">
        <v>2593</v>
      </c>
      <c r="L5233" s="6">
        <v>2592</v>
      </c>
      <c r="M5233" s="125">
        <f t="shared" si="485"/>
        <v>-1</v>
      </c>
      <c r="P5233" s="247">
        <v>19320</v>
      </c>
      <c r="Q5233" s="25">
        <f>172.87/1083.3</f>
        <v>0.15957721776054648</v>
      </c>
      <c r="W5233" s="285">
        <f t="shared" ref="W5233:W5234" si="526">(P5233*Q5233)*(1+U5233)</f>
        <v>3083.0318471337582</v>
      </c>
      <c r="X5233" s="446">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18">
        <f t="shared" si="484"/>
        <v>0.38400945254037022</v>
      </c>
      <c r="J5234" s="5">
        <v>80540</v>
      </c>
      <c r="K5234" s="22">
        <v>2540</v>
      </c>
      <c r="L5234" s="6">
        <v>2525</v>
      </c>
      <c r="M5234" s="125">
        <f t="shared" ref="M5234:M5262" si="528">L5234-K5234</f>
        <v>-15</v>
      </c>
      <c r="P5234" s="247">
        <v>19130</v>
      </c>
      <c r="Q5234" s="25">
        <f>172.17/1087.8</f>
        <v>0.15827357970215111</v>
      </c>
      <c r="W5234" s="285">
        <f t="shared" si="526"/>
        <v>3027.773579702151</v>
      </c>
      <c r="X5234" s="446">
        <f t="shared" si="527"/>
        <v>7.5314960629921259</v>
      </c>
    </row>
    <row r="5235" spans="1:24" ht="15" customHeight="1">
      <c r="A5235" s="3">
        <v>43140</v>
      </c>
      <c r="B5235" s="9">
        <v>45000</v>
      </c>
      <c r="C5235" s="5">
        <v>0</v>
      </c>
      <c r="D5235" s="5">
        <v>80275</v>
      </c>
      <c r="E5235" s="5">
        <v>125275</v>
      </c>
      <c r="F5235" s="4">
        <v>0</v>
      </c>
      <c r="G5235" s="5">
        <v>1675</v>
      </c>
      <c r="H5235" s="5">
        <v>47075</v>
      </c>
      <c r="I5235" s="118">
        <f t="shared" si="484"/>
        <v>0.37577329874276594</v>
      </c>
      <c r="J5235" s="5">
        <v>93571</v>
      </c>
      <c r="K5235" s="22">
        <v>2530</v>
      </c>
      <c r="L5235" s="6">
        <v>2515</v>
      </c>
      <c r="M5235" s="125">
        <f t="shared" si="528"/>
        <v>-15</v>
      </c>
      <c r="P5235" s="247">
        <v>19130</v>
      </c>
      <c r="Q5235" s="25">
        <f>171.91/1092.7</f>
        <v>0.1573258899972545</v>
      </c>
      <c r="W5235" s="285">
        <f t="shared" ref="W5235" si="529">(P5235*Q5235)*(1+U5235)</f>
        <v>3009.6442756474785</v>
      </c>
      <c r="X5235" s="446">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18">
        <f t="shared" si="484"/>
        <v>0.36846355743993542</v>
      </c>
      <c r="J5236" s="5">
        <v>74477</v>
      </c>
      <c r="K5236" s="22">
        <v>2511</v>
      </c>
      <c r="L5236" s="6">
        <v>2512</v>
      </c>
      <c r="M5236" s="125">
        <f t="shared" si="528"/>
        <v>1</v>
      </c>
      <c r="P5236" s="247">
        <v>19130</v>
      </c>
      <c r="Q5236" s="25">
        <f>171.7/1083.4</f>
        <v>0.15848255491969723</v>
      </c>
      <c r="W5236" s="285">
        <f t="shared" ref="W5236:W5237" si="531">(P5236*Q5236)*(1+U5236)</f>
        <v>3031.771275613808</v>
      </c>
      <c r="X5236" s="446">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18">
        <f t="shared" si="484"/>
        <v>0.36552567237163813</v>
      </c>
      <c r="J5237" s="5">
        <v>61168</v>
      </c>
      <c r="K5237" s="22">
        <v>2522</v>
      </c>
      <c r="L5237" s="6">
        <v>2522</v>
      </c>
      <c r="M5237" s="125">
        <f t="shared" si="528"/>
        <v>0</v>
      </c>
      <c r="P5237" s="247">
        <v>19030</v>
      </c>
      <c r="Q5237" s="25">
        <f>171.06/1082.8</f>
        <v>0.15797931289250094</v>
      </c>
      <c r="W5237" s="285">
        <f t="shared" si="531"/>
        <v>3006.346324344293</v>
      </c>
      <c r="X5237" s="446">
        <f t="shared" si="532"/>
        <v>7.5455987311657413</v>
      </c>
    </row>
    <row r="5238" spans="1:24" ht="15" customHeight="1">
      <c r="A5238" s="3">
        <v>43145</v>
      </c>
      <c r="B5238" s="9">
        <v>45000</v>
      </c>
      <c r="C5238" s="5">
        <v>0</v>
      </c>
      <c r="D5238" s="5">
        <v>76075</v>
      </c>
      <c r="E5238" s="5">
        <v>121075</v>
      </c>
      <c r="F5238" s="4">
        <v>0</v>
      </c>
      <c r="G5238" s="5">
        <v>1625</v>
      </c>
      <c r="H5238" s="5">
        <v>43350</v>
      </c>
      <c r="I5238" s="118">
        <f t="shared" si="484"/>
        <v>0.35804253561841831</v>
      </c>
      <c r="J5238" s="5">
        <v>50999</v>
      </c>
      <c r="K5238" s="22">
        <v>2577</v>
      </c>
      <c r="L5238" s="6">
        <v>2574</v>
      </c>
      <c r="M5238" s="125">
        <f t="shared" si="528"/>
        <v>-3</v>
      </c>
      <c r="P5238" s="247">
        <v>19230</v>
      </c>
      <c r="Q5238" s="25">
        <f>170.57/1079.7</f>
        <v>0.15797906825970176</v>
      </c>
      <c r="W5238" s="285">
        <f>(P5238*Q5238)*(1+U5238)</f>
        <v>3037.937482634065</v>
      </c>
      <c r="X5238" s="446">
        <f>P5238/K5238</f>
        <v>7.4621653084982542</v>
      </c>
    </row>
    <row r="5239" spans="1:24" ht="15" customHeight="1">
      <c r="A5239" s="3">
        <v>43146</v>
      </c>
      <c r="B5239" s="9">
        <v>44600</v>
      </c>
      <c r="C5239" s="5">
        <v>0</v>
      </c>
      <c r="D5239" s="5">
        <v>74425</v>
      </c>
      <c r="E5239" s="5">
        <v>119025</v>
      </c>
      <c r="F5239" s="4">
        <v>0</v>
      </c>
      <c r="G5239" s="5">
        <v>2050</v>
      </c>
      <c r="H5239" s="5">
        <v>41300</v>
      </c>
      <c r="I5239" s="118">
        <f t="shared" si="484"/>
        <v>0.34698592732619199</v>
      </c>
      <c r="J5239" s="5">
        <v>40838</v>
      </c>
      <c r="K5239" s="22">
        <v>2610</v>
      </c>
      <c r="L5239" s="6">
        <v>2598</v>
      </c>
      <c r="M5239" s="125">
        <f t="shared" si="528"/>
        <v>-12</v>
      </c>
      <c r="P5239" s="1336" t="s">
        <v>50</v>
      </c>
      <c r="Q5239" s="1336"/>
      <c r="X5239" s="446"/>
    </row>
    <row r="5240" spans="1:24" ht="15" customHeight="1">
      <c r="A5240" s="3">
        <v>43147</v>
      </c>
      <c r="B5240" s="9">
        <v>44600</v>
      </c>
      <c r="C5240" s="5">
        <v>0</v>
      </c>
      <c r="D5240" s="5">
        <v>72775</v>
      </c>
      <c r="E5240" s="5">
        <v>117375</v>
      </c>
      <c r="F5240" s="4">
        <v>0</v>
      </c>
      <c r="G5240" s="5">
        <v>1650</v>
      </c>
      <c r="H5240" s="5">
        <v>39650</v>
      </c>
      <c r="I5240" s="118">
        <f t="shared" si="484"/>
        <v>0.33780617678381258</v>
      </c>
      <c r="J5240" s="5">
        <v>39181</v>
      </c>
      <c r="K5240" s="22">
        <v>2640</v>
      </c>
      <c r="L5240" s="6">
        <v>2632</v>
      </c>
      <c r="M5240" s="125">
        <f t="shared" si="528"/>
        <v>-8</v>
      </c>
      <c r="P5240" s="1336"/>
      <c r="Q5240" s="1336"/>
      <c r="X5240" s="446"/>
    </row>
    <row r="5241" spans="1:24" ht="15" customHeight="1">
      <c r="A5241" s="3">
        <v>43150</v>
      </c>
      <c r="B5241" s="9">
        <v>44600</v>
      </c>
      <c r="C5241" s="5">
        <v>0</v>
      </c>
      <c r="D5241" s="5">
        <v>71775</v>
      </c>
      <c r="E5241" s="5">
        <v>116375</v>
      </c>
      <c r="F5241" s="4">
        <v>0</v>
      </c>
      <c r="G5241" s="5">
        <v>1000</v>
      </c>
      <c r="H5241" s="5">
        <v>38750</v>
      </c>
      <c r="I5241" s="118">
        <f t="shared" si="484"/>
        <v>0.33297529538131043</v>
      </c>
      <c r="J5241" s="5">
        <v>30225</v>
      </c>
      <c r="K5241" s="22">
        <v>2608</v>
      </c>
      <c r="L5241" s="6">
        <v>2597</v>
      </c>
      <c r="M5241" s="125">
        <f t="shared" si="528"/>
        <v>-11</v>
      </c>
      <c r="P5241" s="1336"/>
      <c r="Q5241" s="1336"/>
    </row>
    <row r="5242" spans="1:24" ht="15" customHeight="1">
      <c r="A5242" s="3">
        <v>43151</v>
      </c>
      <c r="B5242" s="9">
        <v>44600</v>
      </c>
      <c r="C5242" s="5">
        <v>0</v>
      </c>
      <c r="D5242" s="5">
        <v>71125</v>
      </c>
      <c r="E5242" s="5">
        <v>115725</v>
      </c>
      <c r="F5242" s="4">
        <v>300</v>
      </c>
      <c r="G5242" s="5">
        <v>950</v>
      </c>
      <c r="H5242" s="5">
        <v>37775</v>
      </c>
      <c r="I5242" s="118">
        <f t="shared" si="484"/>
        <v>0.3264203931734716</v>
      </c>
      <c r="J5242" s="5">
        <v>48474</v>
      </c>
      <c r="K5242" s="22">
        <v>2569</v>
      </c>
      <c r="L5242" s="6">
        <v>2570</v>
      </c>
      <c r="M5242" s="125">
        <f t="shared" si="528"/>
        <v>1</v>
      </c>
      <c r="P5242" s="1336"/>
      <c r="Q5242" s="1336"/>
    </row>
    <row r="5243" spans="1:24" ht="15" customHeight="1">
      <c r="A5243" s="3">
        <v>43152</v>
      </c>
      <c r="B5243" s="9">
        <v>44600</v>
      </c>
      <c r="C5243" s="5">
        <v>0</v>
      </c>
      <c r="D5243" s="5">
        <v>70525</v>
      </c>
      <c r="E5243" s="5">
        <v>115125</v>
      </c>
      <c r="F5243" s="4">
        <v>1050</v>
      </c>
      <c r="G5243" s="5">
        <v>1650</v>
      </c>
      <c r="H5243" s="5">
        <v>36125</v>
      </c>
      <c r="I5243" s="118">
        <f t="shared" si="484"/>
        <v>0.31378935939196523</v>
      </c>
      <c r="J5243" s="5">
        <v>44560</v>
      </c>
      <c r="K5243" s="22">
        <v>2561</v>
      </c>
      <c r="L5243" s="6">
        <v>2564</v>
      </c>
      <c r="M5243" s="125">
        <f t="shared" si="528"/>
        <v>3</v>
      </c>
      <c r="P5243" s="1336"/>
      <c r="Q5243" s="1336"/>
    </row>
    <row r="5244" spans="1:24" ht="15" customHeight="1">
      <c r="A5244" s="3">
        <v>43153</v>
      </c>
      <c r="B5244" s="9">
        <v>44600</v>
      </c>
      <c r="C5244" s="5">
        <v>0</v>
      </c>
      <c r="D5244" s="5">
        <v>70700</v>
      </c>
      <c r="E5244" s="5">
        <v>115300</v>
      </c>
      <c r="F5244" s="4">
        <v>1675</v>
      </c>
      <c r="G5244" s="5">
        <v>1500</v>
      </c>
      <c r="H5244" s="5">
        <v>34800</v>
      </c>
      <c r="I5244" s="118">
        <f t="shared" si="484"/>
        <v>0.3018213356461405</v>
      </c>
      <c r="J5244" s="5">
        <v>33344</v>
      </c>
      <c r="K5244" s="22">
        <v>2524</v>
      </c>
      <c r="L5244" s="6">
        <v>2532</v>
      </c>
      <c r="M5244" s="125">
        <f t="shared" si="528"/>
        <v>8</v>
      </c>
      <c r="P5244" s="247">
        <v>19230</v>
      </c>
      <c r="Q5244" s="25">
        <f>170.74/1082.9</f>
        <v>0.15766922153476776</v>
      </c>
      <c r="W5244" s="285">
        <f>(P5244*Q5244)*(1+U5244)</f>
        <v>3031.9791301135838</v>
      </c>
      <c r="X5244" s="446">
        <f>P5244/K5244</f>
        <v>7.6188589540412046</v>
      </c>
    </row>
    <row r="5245" spans="1:24" ht="15" customHeight="1">
      <c r="A5245" s="3">
        <v>43154</v>
      </c>
      <c r="B5245" s="9">
        <v>44600</v>
      </c>
      <c r="C5245" s="5">
        <v>0</v>
      </c>
      <c r="D5245" s="5">
        <v>69050</v>
      </c>
      <c r="E5245" s="5">
        <v>113650</v>
      </c>
      <c r="F5245" s="4">
        <v>0</v>
      </c>
      <c r="G5245" s="5">
        <v>1650</v>
      </c>
      <c r="H5245" s="5">
        <v>33225</v>
      </c>
      <c r="I5245" s="118">
        <f t="shared" si="484"/>
        <v>0.2923449186097668</v>
      </c>
      <c r="J5245" s="5">
        <v>56361</v>
      </c>
      <c r="K5245" s="22">
        <v>2533</v>
      </c>
      <c r="L5245" s="6">
        <v>2535</v>
      </c>
      <c r="M5245" s="125">
        <f t="shared" si="528"/>
        <v>2</v>
      </c>
      <c r="P5245" s="247">
        <v>19330</v>
      </c>
      <c r="Q5245" s="25">
        <f>170.2/1078.5</f>
        <v>0.15781177561427909</v>
      </c>
      <c r="W5245" s="285">
        <f>(P5245*Q5245)*(1+U5245)</f>
        <v>3050.5016226240145</v>
      </c>
      <c r="X5245" s="446">
        <f>P5245/K5245</f>
        <v>7.6312672720094747</v>
      </c>
    </row>
    <row r="5246" spans="1:24" ht="15" customHeight="1">
      <c r="A5246" s="3">
        <v>43157</v>
      </c>
      <c r="B5246" s="9">
        <v>44500</v>
      </c>
      <c r="C5246" s="5">
        <v>0</v>
      </c>
      <c r="D5246" s="5">
        <v>68550</v>
      </c>
      <c r="E5246" s="5">
        <v>113050</v>
      </c>
      <c r="F5246" s="4">
        <v>0</v>
      </c>
      <c r="G5246" s="5">
        <v>600</v>
      </c>
      <c r="H5246" s="5">
        <v>35775</v>
      </c>
      <c r="I5246" s="118">
        <f t="shared" si="484"/>
        <v>0.31645289694825296</v>
      </c>
      <c r="J5246" s="5">
        <v>41221</v>
      </c>
      <c r="K5246" s="22">
        <v>2598.5</v>
      </c>
      <c r="L5246" s="6">
        <v>2590</v>
      </c>
      <c r="M5246" s="125">
        <f t="shared" si="528"/>
        <v>-8.5</v>
      </c>
      <c r="P5246" s="247">
        <v>19330</v>
      </c>
      <c r="Q5246" s="25">
        <f>169.98/1073.7</f>
        <v>0.15831237775915058</v>
      </c>
      <c r="W5246" s="285">
        <f>(P5246*Q5246)*(1+U5246)</f>
        <v>3060.1782620843805</v>
      </c>
      <c r="X5246" s="446">
        <f>P5246/K5246</f>
        <v>7.4389070617664039</v>
      </c>
    </row>
    <row r="5247" spans="1:24" ht="15" customHeight="1">
      <c r="A5247" s="3">
        <v>43158</v>
      </c>
      <c r="B5247" s="9">
        <v>44200</v>
      </c>
      <c r="C5247" s="5">
        <v>0</v>
      </c>
      <c r="D5247" s="5">
        <v>68675</v>
      </c>
      <c r="E5247" s="5">
        <v>112875</v>
      </c>
      <c r="F5247" s="4">
        <v>300</v>
      </c>
      <c r="G5247" s="5">
        <v>475</v>
      </c>
      <c r="H5247" s="5">
        <v>35300</v>
      </c>
      <c r="I5247" s="118">
        <f t="shared" si="484"/>
        <v>0.31273532668881504</v>
      </c>
      <c r="J5247" s="5">
        <v>56418</v>
      </c>
      <c r="K5247" s="22">
        <v>2578.5</v>
      </c>
      <c r="L5247" s="6">
        <v>2580</v>
      </c>
      <c r="M5247" s="125">
        <f t="shared" si="528"/>
        <v>1.5</v>
      </c>
      <c r="P5247" s="247">
        <v>19480</v>
      </c>
      <c r="Q5247" s="25">
        <f>170.2/1071</f>
        <v>0.15891690009337067</v>
      </c>
      <c r="W5247" s="285">
        <f>(P5247*Q5247)*(1+U5247)</f>
        <v>3095.7012138188607</v>
      </c>
      <c r="X5247" s="446">
        <f>P5247/K5247</f>
        <v>7.5547799108008533</v>
      </c>
    </row>
    <row r="5248" spans="1:24" ht="15" customHeight="1">
      <c r="A5248" s="3">
        <v>43159</v>
      </c>
      <c r="B5248" s="9">
        <v>44750</v>
      </c>
      <c r="C5248" s="5">
        <v>0</v>
      </c>
      <c r="D5248" s="5">
        <v>81050</v>
      </c>
      <c r="E5248" s="5">
        <v>125800</v>
      </c>
      <c r="F5248" s="4">
        <v>12925</v>
      </c>
      <c r="G5248" s="5">
        <v>0</v>
      </c>
      <c r="H5248" s="5">
        <v>35300</v>
      </c>
      <c r="I5248" s="118">
        <f t="shared" si="484"/>
        <v>0.28060413354531</v>
      </c>
      <c r="J5248" s="5">
        <v>35959</v>
      </c>
      <c r="K5248" s="22">
        <v>2530.5</v>
      </c>
      <c r="L5248" s="6">
        <v>2534</v>
      </c>
      <c r="M5248" s="125">
        <f t="shared" si="528"/>
        <v>3.5</v>
      </c>
      <c r="N5248" s="381">
        <f>AVERAGE(K5229:K5248)</f>
        <v>2580.8249999999998</v>
      </c>
      <c r="O5248" s="230">
        <f>AVERAGE(K5206:K5248)</f>
        <v>2585.5119047619046</v>
      </c>
      <c r="P5248" s="247"/>
      <c r="W5248" s="285">
        <f>(P5248*Q5248)*(1+U5248)</f>
        <v>0</v>
      </c>
      <c r="X5248" s="446">
        <f>P5248/K5248</f>
        <v>0</v>
      </c>
    </row>
    <row r="5249" spans="1:24" ht="15" customHeight="1" thickBot="1">
      <c r="A5249" s="216"/>
      <c r="B5249" s="1330"/>
      <c r="C5249" s="1330"/>
      <c r="D5249" s="1330"/>
      <c r="E5249" s="216"/>
      <c r="F5249" s="407"/>
      <c r="G5249" s="164"/>
      <c r="H5249" s="164"/>
      <c r="I5249" s="166"/>
      <c r="J5249" s="166"/>
      <c r="K5249" s="166"/>
      <c r="L5249" s="167"/>
      <c r="M5249" s="168"/>
      <c r="N5249" s="169" t="s">
        <v>52</v>
      </c>
      <c r="O5249" s="183"/>
      <c r="P5249" s="180"/>
      <c r="Q5249" s="154"/>
      <c r="R5249" s="248"/>
      <c r="S5249" s="249"/>
      <c r="T5249" s="249"/>
      <c r="U5249" s="152"/>
      <c r="V5249" s="153">
        <f>AVERAGE(P5229:P5248)</f>
        <v>19320</v>
      </c>
      <c r="W5249" s="295"/>
      <c r="X5249" s="447">
        <f>AVERAGE(X5229:X5248)</f>
        <v>6.9953269926930695</v>
      </c>
    </row>
    <row r="5250" spans="1:24" ht="15" customHeight="1">
      <c r="A5250" s="3">
        <v>43160</v>
      </c>
      <c r="B5250" s="9">
        <v>44350</v>
      </c>
      <c r="C5250" s="5">
        <v>0</v>
      </c>
      <c r="D5250" s="5">
        <v>80875</v>
      </c>
      <c r="E5250" s="5">
        <v>125225</v>
      </c>
      <c r="F5250" s="4">
        <v>0</v>
      </c>
      <c r="G5250" s="5">
        <v>575</v>
      </c>
      <c r="H5250" s="5">
        <v>34725</v>
      </c>
      <c r="I5250" s="118">
        <f t="shared" si="484"/>
        <v>0.27730085845478142</v>
      </c>
      <c r="J5250" s="5">
        <v>76449</v>
      </c>
      <c r="K5250" s="22">
        <v>2458</v>
      </c>
      <c r="L5250" s="6">
        <v>2460</v>
      </c>
      <c r="M5250" s="125">
        <f t="shared" si="528"/>
        <v>2</v>
      </c>
      <c r="P5250" s="247">
        <v>19140</v>
      </c>
      <c r="Q5250" s="25">
        <f>170.99/1081.9</f>
        <v>0.15804603013217489</v>
      </c>
      <c r="W5250" s="285">
        <f t="shared" ref="W5250:W5255" si="533">(P5250*Q5250)*(1+U5250)</f>
        <v>3025.0010167298274</v>
      </c>
      <c r="X5250" s="446">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18">
        <f t="shared" si="484"/>
        <v>0.255338904363974</v>
      </c>
      <c r="J5251" s="5">
        <v>59422</v>
      </c>
      <c r="K5251" s="22">
        <v>2454.5</v>
      </c>
      <c r="L5251" s="6">
        <v>2443.75</v>
      </c>
      <c r="M5251" s="125">
        <f t="shared" si="528"/>
        <v>-10.75</v>
      </c>
      <c r="P5251" s="247">
        <v>19020</v>
      </c>
      <c r="Q5251" s="25">
        <f>170.21/1081.3</f>
        <v>0.15741237399426616</v>
      </c>
      <c r="W5251" s="285">
        <f t="shared" si="533"/>
        <v>2993.9833533709425</v>
      </c>
      <c r="X5251" s="446">
        <f t="shared" si="534"/>
        <v>7.7490323894886943</v>
      </c>
    </row>
    <row r="5252" spans="1:24" ht="15" customHeight="1">
      <c r="A5252" s="3">
        <v>43164</v>
      </c>
      <c r="B5252" s="9">
        <v>44350</v>
      </c>
      <c r="C5252" s="5">
        <v>0</v>
      </c>
      <c r="D5252" s="5">
        <v>90250</v>
      </c>
      <c r="E5252" s="5">
        <v>134600</v>
      </c>
      <c r="F5252" s="4">
        <v>0</v>
      </c>
      <c r="G5252" s="5">
        <v>25</v>
      </c>
      <c r="H5252" s="5">
        <v>34350</v>
      </c>
      <c r="I5252" s="118">
        <f t="shared" si="484"/>
        <v>0.2552005943536404</v>
      </c>
      <c r="J5252" s="5">
        <v>49417</v>
      </c>
      <c r="K5252" s="22">
        <v>2432</v>
      </c>
      <c r="L5252" s="6">
        <v>2436</v>
      </c>
      <c r="M5252" s="125">
        <f t="shared" si="528"/>
        <v>4</v>
      </c>
      <c r="P5252" s="247">
        <v>18880</v>
      </c>
      <c r="Q5252" s="25">
        <f>170.7/1080.5</f>
        <v>0.15798241554835724</v>
      </c>
      <c r="W5252" s="285">
        <f t="shared" si="533"/>
        <v>2982.7080055529846</v>
      </c>
      <c r="X5252" s="446">
        <f t="shared" si="534"/>
        <v>7.7631578947368425</v>
      </c>
    </row>
    <row r="5253" spans="1:24" ht="15" customHeight="1">
      <c r="A5253" s="3">
        <v>43165</v>
      </c>
      <c r="B5253" s="9">
        <v>44050</v>
      </c>
      <c r="C5253" s="5">
        <v>0</v>
      </c>
      <c r="D5253" s="5">
        <v>90150</v>
      </c>
      <c r="E5253" s="5">
        <v>134200</v>
      </c>
      <c r="F5253" s="4">
        <v>0</v>
      </c>
      <c r="G5253" s="5">
        <v>400</v>
      </c>
      <c r="H5253" s="5">
        <v>33950</v>
      </c>
      <c r="I5253" s="118">
        <f t="shared" si="484"/>
        <v>0.2529806259314456</v>
      </c>
      <c r="J5253" s="5">
        <v>47809</v>
      </c>
      <c r="K5253" s="22">
        <v>2436</v>
      </c>
      <c r="L5253" s="6">
        <v>2438</v>
      </c>
      <c r="M5253" s="125">
        <f t="shared" si="528"/>
        <v>2</v>
      </c>
      <c r="P5253" s="247">
        <v>18650</v>
      </c>
      <c r="Q5253" s="25">
        <f>169.71/1075.4</f>
        <v>0.15781104705225962</v>
      </c>
      <c r="W5253" s="285">
        <f t="shared" si="533"/>
        <v>2943.176027524642</v>
      </c>
      <c r="X5253" s="446">
        <f t="shared" si="534"/>
        <v>7.6559934318555012</v>
      </c>
    </row>
    <row r="5254" spans="1:24" ht="15" customHeight="1">
      <c r="A5254" s="3">
        <v>43166</v>
      </c>
      <c r="B5254" s="9">
        <v>44050</v>
      </c>
      <c r="C5254" s="5">
        <v>0</v>
      </c>
      <c r="D5254" s="5">
        <v>90100</v>
      </c>
      <c r="E5254" s="5">
        <v>134150</v>
      </c>
      <c r="F5254" s="4">
        <v>0</v>
      </c>
      <c r="G5254" s="5">
        <v>50</v>
      </c>
      <c r="H5254" s="5">
        <v>34000</v>
      </c>
      <c r="I5254" s="118">
        <f t="shared" si="484"/>
        <v>0.25344763324636599</v>
      </c>
      <c r="J5254" s="5">
        <v>52437</v>
      </c>
      <c r="K5254" s="22">
        <v>2419.5</v>
      </c>
      <c r="L5254" s="6">
        <v>2424</v>
      </c>
      <c r="M5254" s="125">
        <f t="shared" si="528"/>
        <v>4.5</v>
      </c>
      <c r="P5254" s="247">
        <v>18740</v>
      </c>
      <c r="Q5254" s="25">
        <f>168.96/1068.7</f>
        <v>0.1580986244970525</v>
      </c>
      <c r="W5254" s="285">
        <f t="shared" si="533"/>
        <v>2962.7682230747641</v>
      </c>
      <c r="X5254" s="446">
        <f t="shared" si="534"/>
        <v>7.7454019425501137</v>
      </c>
    </row>
    <row r="5255" spans="1:24" ht="15" customHeight="1">
      <c r="A5255" s="3">
        <v>43167</v>
      </c>
      <c r="B5255" s="9">
        <v>43550</v>
      </c>
      <c r="C5255" s="5">
        <v>0</v>
      </c>
      <c r="D5255" s="5">
        <v>90100</v>
      </c>
      <c r="E5255" s="5">
        <v>133650</v>
      </c>
      <c r="F5255" s="4">
        <v>0</v>
      </c>
      <c r="G5255" s="5">
        <v>500</v>
      </c>
      <c r="H5255" s="5">
        <v>33500</v>
      </c>
      <c r="I5255" s="118">
        <f t="shared" si="484"/>
        <v>0.25065469509913957</v>
      </c>
      <c r="J5255" s="5">
        <v>61161</v>
      </c>
      <c r="K5255" s="22">
        <v>2372</v>
      </c>
      <c r="L5255" s="6">
        <v>2370</v>
      </c>
      <c r="M5255" s="125">
        <f t="shared" si="528"/>
        <v>-2</v>
      </c>
      <c r="P5255" s="247">
        <v>18630</v>
      </c>
      <c r="Q5255" s="25">
        <f>136.27/1068.4</f>
        <v>0.1275458629726694</v>
      </c>
      <c r="W5255" s="285">
        <f t="shared" si="533"/>
        <v>2376.1794271808308</v>
      </c>
      <c r="X5255" s="446">
        <f t="shared" si="534"/>
        <v>7.8541315345699827</v>
      </c>
    </row>
    <row r="5256" spans="1:24" ht="15" customHeight="1">
      <c r="A5256" s="3">
        <v>43168</v>
      </c>
      <c r="B5256" s="9">
        <v>43550</v>
      </c>
      <c r="C5256" s="5">
        <v>0</v>
      </c>
      <c r="D5256" s="5">
        <v>87975</v>
      </c>
      <c r="E5256" s="5">
        <v>131525</v>
      </c>
      <c r="F5256" s="4">
        <v>0</v>
      </c>
      <c r="G5256" s="5">
        <v>2125</v>
      </c>
      <c r="H5256" s="5">
        <v>31500</v>
      </c>
      <c r="I5256" s="118">
        <f t="shared" si="484"/>
        <v>0.23949819425964647</v>
      </c>
      <c r="J5256" s="5">
        <v>73695</v>
      </c>
      <c r="K5256" s="22">
        <v>2352</v>
      </c>
      <c r="L5256" s="6">
        <v>2350</v>
      </c>
      <c r="M5256" s="125">
        <f t="shared" si="528"/>
        <v>-2</v>
      </c>
      <c r="P5256" s="247">
        <v>18650</v>
      </c>
      <c r="Q5256" s="25">
        <f>168.58/1069.2</f>
        <v>0.15766928544706324</v>
      </c>
      <c r="W5256" s="285">
        <f t="shared" ref="W5256" si="535">(P5256*Q5256)*(1+U5256)</f>
        <v>2940.5321735877296</v>
      </c>
      <c r="X5256" s="446">
        <f t="shared" ref="X5256" si="536">P5256/K5256</f>
        <v>7.9294217687074831</v>
      </c>
    </row>
    <row r="5257" spans="1:24" ht="15" customHeight="1">
      <c r="A5257" s="3">
        <v>43171</v>
      </c>
      <c r="B5257" s="9">
        <v>43550</v>
      </c>
      <c r="C5257" s="5">
        <v>0</v>
      </c>
      <c r="D5257" s="5">
        <v>87850</v>
      </c>
      <c r="E5257" s="5">
        <v>131400</v>
      </c>
      <c r="F5257" s="4">
        <v>0</v>
      </c>
      <c r="G5257" s="5">
        <v>125</v>
      </c>
      <c r="H5257" s="5">
        <v>31375</v>
      </c>
      <c r="I5257" s="118">
        <f t="shared" si="484"/>
        <v>0.23877473363774734</v>
      </c>
      <c r="J5257" s="5">
        <v>68927</v>
      </c>
      <c r="K5257" s="22">
        <v>2347</v>
      </c>
      <c r="L5257" s="6">
        <v>2345</v>
      </c>
      <c r="M5257" s="125">
        <f t="shared" si="528"/>
        <v>-2</v>
      </c>
      <c r="P5257" s="247">
        <v>18560</v>
      </c>
      <c r="Q5257" s="25">
        <f>168.24/1064.3</f>
        <v>0.15807573052710702</v>
      </c>
      <c r="W5257" s="285">
        <f t="shared" ref="W5257:W5259" si="537">(P5257*Q5257)*(1+U5257)</f>
        <v>2933.8855585831066</v>
      </c>
      <c r="X5257" s="446">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18">
        <f t="shared" si="484"/>
        <v>0.29912414318354913</v>
      </c>
      <c r="J5258" s="5">
        <v>64549</v>
      </c>
      <c r="K5258" s="22">
        <v>2404</v>
      </c>
      <c r="L5258" s="6">
        <v>2400</v>
      </c>
      <c r="M5258" s="125">
        <f t="shared" si="528"/>
        <v>-4</v>
      </c>
      <c r="P5258" s="247">
        <v>18310</v>
      </c>
      <c r="Q5258" s="25">
        <f>168.55/1065.8</f>
        <v>0.15814411709513981</v>
      </c>
      <c r="W5258" s="285">
        <f t="shared" si="537"/>
        <v>2895.6187840120101</v>
      </c>
      <c r="X5258" s="446">
        <f t="shared" si="538"/>
        <v>7.6164725457570714</v>
      </c>
    </row>
    <row r="5259" spans="1:24" ht="15" customHeight="1">
      <c r="A5259" s="3">
        <v>43173</v>
      </c>
      <c r="B5259" s="9">
        <v>43550</v>
      </c>
      <c r="C5259" s="5">
        <v>0</v>
      </c>
      <c r="D5259" s="5">
        <v>87575</v>
      </c>
      <c r="E5259" s="5">
        <v>131125</v>
      </c>
      <c r="F5259" s="4">
        <v>0</v>
      </c>
      <c r="G5259" s="5">
        <v>175</v>
      </c>
      <c r="H5259" s="5">
        <v>52950</v>
      </c>
      <c r="I5259" s="118">
        <f t="shared" si="484"/>
        <v>0.40381315538608198</v>
      </c>
      <c r="J5259" s="5">
        <v>62382</v>
      </c>
      <c r="K5259" s="22">
        <v>2453.5</v>
      </c>
      <c r="L5259" s="6">
        <v>2448</v>
      </c>
      <c r="M5259" s="125">
        <f t="shared" si="528"/>
        <v>-5.5</v>
      </c>
      <c r="P5259" s="247">
        <v>18460</v>
      </c>
      <c r="Q5259" s="25">
        <f>168.74/1065.8</f>
        <v>0.15832238693938827</v>
      </c>
      <c r="W5259" s="285">
        <f t="shared" si="537"/>
        <v>2922.6312629011077</v>
      </c>
      <c r="X5259" s="446">
        <f t="shared" si="538"/>
        <v>7.5239453841450992</v>
      </c>
    </row>
    <row r="5260" spans="1:24" ht="15" customHeight="1">
      <c r="A5260" s="3">
        <v>43174</v>
      </c>
      <c r="B5260" s="9">
        <v>43550</v>
      </c>
      <c r="C5260" s="5">
        <v>0</v>
      </c>
      <c r="D5260" s="5">
        <v>87375</v>
      </c>
      <c r="E5260" s="5">
        <v>130925</v>
      </c>
      <c r="F5260" s="4">
        <v>0</v>
      </c>
      <c r="G5260" s="5">
        <v>200</v>
      </c>
      <c r="H5260" s="5">
        <v>53800</v>
      </c>
      <c r="I5260" s="118">
        <f t="shared" si="484"/>
        <v>0.4109222837502387</v>
      </c>
      <c r="J5260" s="5">
        <v>55260</v>
      </c>
      <c r="K5260" s="22">
        <v>2395</v>
      </c>
      <c r="L5260" s="6">
        <v>2387</v>
      </c>
      <c r="M5260" s="125">
        <f t="shared" si="528"/>
        <v>-8</v>
      </c>
      <c r="P5260" s="247">
        <v>18630</v>
      </c>
      <c r="Q5260" s="25">
        <f>169.04/1065.8</f>
        <v>0.15860386564083317</v>
      </c>
      <c r="W5260" s="285">
        <f t="shared" ref="W5260:W5266" si="539">(P5260*Q5260)*(1+U5260)</f>
        <v>2954.7900168887222</v>
      </c>
      <c r="X5260" s="446">
        <f t="shared" si="538"/>
        <v>7.778705636743215</v>
      </c>
    </row>
    <row r="5261" spans="1:24" ht="15" customHeight="1">
      <c r="A5261" s="3">
        <v>43175</v>
      </c>
      <c r="B5261" s="9">
        <v>43625</v>
      </c>
      <c r="C5261" s="5">
        <v>0</v>
      </c>
      <c r="D5261" s="5">
        <v>87025</v>
      </c>
      <c r="E5261" s="5">
        <v>130650</v>
      </c>
      <c r="F5261" s="4">
        <v>75</v>
      </c>
      <c r="G5261" s="5">
        <v>350</v>
      </c>
      <c r="H5261" s="5">
        <v>53450</v>
      </c>
      <c r="I5261" s="118">
        <f t="shared" si="484"/>
        <v>0.4091083046306927</v>
      </c>
      <c r="J5261" s="5">
        <v>37168</v>
      </c>
      <c r="K5261" s="22">
        <v>2416</v>
      </c>
      <c r="L5261" s="6">
        <v>2417</v>
      </c>
      <c r="M5261" s="125">
        <f t="shared" si="528"/>
        <v>1</v>
      </c>
      <c r="P5261" s="247">
        <v>18630</v>
      </c>
      <c r="Q5261" s="25">
        <f>169.05/1069.6</f>
        <v>0.15804973821989532</v>
      </c>
      <c r="W5261" s="285">
        <f t="shared" si="539"/>
        <v>2944.4666230366497</v>
      </c>
      <c r="X5261" s="446">
        <f t="shared" ref="X5261" si="540">P5261/K5261</f>
        <v>7.7110927152317883</v>
      </c>
    </row>
    <row r="5262" spans="1:24" ht="15" customHeight="1">
      <c r="A5262" s="3">
        <v>43178</v>
      </c>
      <c r="B5262" s="9">
        <v>43625</v>
      </c>
      <c r="C5262" s="5">
        <v>0</v>
      </c>
      <c r="D5262" s="5">
        <v>86800</v>
      </c>
      <c r="E5262" s="5">
        <v>130425</v>
      </c>
      <c r="F5262" s="4">
        <v>0</v>
      </c>
      <c r="G5262" s="5">
        <v>225</v>
      </c>
      <c r="H5262" s="5">
        <v>53225</v>
      </c>
      <c r="I5262" s="118">
        <f t="shared" si="484"/>
        <v>0.40808894000383361</v>
      </c>
      <c r="J5262" s="5">
        <v>42598</v>
      </c>
      <c r="K5262" s="22">
        <v>2360</v>
      </c>
      <c r="L5262" s="6">
        <v>2364</v>
      </c>
      <c r="M5262" s="125">
        <f t="shared" si="528"/>
        <v>4</v>
      </c>
      <c r="P5262" s="247">
        <v>18560</v>
      </c>
      <c r="Q5262" s="25">
        <f>169.15/1071.2</f>
        <v>0.15790702016430172</v>
      </c>
      <c r="W5262" s="285">
        <f t="shared" si="539"/>
        <v>2930.7542942494401</v>
      </c>
      <c r="X5262" s="446">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18">
        <f t="shared" si="484"/>
        <v>0.4092130518234165</v>
      </c>
      <c r="J5263" s="5">
        <v>49591</v>
      </c>
      <c r="K5263" s="22">
        <v>2345.5</v>
      </c>
      <c r="L5263" s="6">
        <v>2348</v>
      </c>
      <c r="M5263" s="125">
        <f t="shared" ref="M5263:M5270" si="542">L5263-K5263</f>
        <v>2.5</v>
      </c>
      <c r="P5263" s="247">
        <v>18460</v>
      </c>
      <c r="Q5263" s="25">
        <f>169.35/1071</f>
        <v>0.15812324929971988</v>
      </c>
      <c r="W5263" s="285">
        <f t="shared" si="539"/>
        <v>2918.9551820728288</v>
      </c>
      <c r="X5263" s="446">
        <f t="shared" si="541"/>
        <v>7.8703901087188237</v>
      </c>
    </row>
    <row r="5264" spans="1:24" ht="15" customHeight="1">
      <c r="A5264" s="3">
        <v>43180</v>
      </c>
      <c r="B5264" s="9">
        <v>43225</v>
      </c>
      <c r="C5264" s="5">
        <v>0</v>
      </c>
      <c r="D5264" s="5">
        <v>87650</v>
      </c>
      <c r="E5264" s="5">
        <v>130875</v>
      </c>
      <c r="F5264" s="4">
        <v>725</v>
      </c>
      <c r="G5264" s="5">
        <v>100</v>
      </c>
      <c r="H5264" s="5">
        <v>53200</v>
      </c>
      <c r="I5264" s="118">
        <f t="shared" si="484"/>
        <v>0.40649474689589304</v>
      </c>
      <c r="J5264" s="5">
        <v>65043</v>
      </c>
      <c r="K5264" s="22">
        <v>2377</v>
      </c>
      <c r="L5264" s="6">
        <v>2380</v>
      </c>
      <c r="M5264" s="125">
        <f t="shared" si="542"/>
        <v>3</v>
      </c>
      <c r="P5264" s="247">
        <v>18480</v>
      </c>
      <c r="Q5264" s="25">
        <f>169.35/1071</f>
        <v>0.15812324929971988</v>
      </c>
      <c r="W5264" s="285">
        <f t="shared" si="539"/>
        <v>2922.1176470588234</v>
      </c>
      <c r="X5264" s="446">
        <f t="shared" si="541"/>
        <v>7.7745056794278504</v>
      </c>
    </row>
    <row r="5265" spans="1:24" ht="15" customHeight="1">
      <c r="A5265" s="3">
        <v>43181</v>
      </c>
      <c r="B5265" s="9">
        <v>43175</v>
      </c>
      <c r="C5265" s="5">
        <v>0</v>
      </c>
      <c r="D5265" s="5">
        <v>87475</v>
      </c>
      <c r="E5265" s="5">
        <v>130650</v>
      </c>
      <c r="F5265" s="4">
        <v>0</v>
      </c>
      <c r="G5265" s="5">
        <v>225</v>
      </c>
      <c r="H5265" s="5">
        <v>52975</v>
      </c>
      <c r="I5265" s="118">
        <f t="shared" si="484"/>
        <v>0.40547263681592038</v>
      </c>
      <c r="J5265" s="5">
        <v>48425</v>
      </c>
      <c r="K5265" s="22">
        <v>2378</v>
      </c>
      <c r="L5265" s="6">
        <v>2381</v>
      </c>
      <c r="M5265" s="125">
        <f t="shared" si="542"/>
        <v>3</v>
      </c>
      <c r="P5265" s="247">
        <v>18750</v>
      </c>
      <c r="Q5265" s="25">
        <f>169.3/1069.2</f>
        <v>0.1583426861204639</v>
      </c>
      <c r="W5265" s="285">
        <f t="shared" si="539"/>
        <v>2968.9253647586979</v>
      </c>
      <c r="X5265" s="446">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18">
        <f t="shared" si="484"/>
        <v>0.40187273074718133</v>
      </c>
      <c r="J5266" s="5">
        <v>42531</v>
      </c>
      <c r="K5266" s="22">
        <v>2359.5</v>
      </c>
      <c r="L5266" s="6">
        <v>2350.5</v>
      </c>
      <c r="M5266" s="125">
        <f t="shared" si="542"/>
        <v>-9</v>
      </c>
      <c r="P5266" s="247">
        <v>18650</v>
      </c>
      <c r="Q5266" s="25">
        <f>170.6/1080.8</f>
        <v>0.15784603997039232</v>
      </c>
      <c r="W5266" s="285">
        <f t="shared" si="539"/>
        <v>2943.8286454478166</v>
      </c>
      <c r="X5266" s="446">
        <f t="shared" si="543"/>
        <v>7.9042169951260863</v>
      </c>
    </row>
    <row r="5267" spans="1:24" ht="15" customHeight="1">
      <c r="A5267" s="3">
        <v>43185</v>
      </c>
      <c r="B5267" s="9">
        <v>42875</v>
      </c>
      <c r="C5267" s="5">
        <v>0</v>
      </c>
      <c r="D5267" s="5">
        <v>87700</v>
      </c>
      <c r="E5267" s="5">
        <v>130575</v>
      </c>
      <c r="F5267" s="4">
        <v>0</v>
      </c>
      <c r="G5267" s="5">
        <v>250</v>
      </c>
      <c r="H5267" s="5">
        <v>52325</v>
      </c>
      <c r="I5267" s="118">
        <f t="shared" si="484"/>
        <v>0.40072755121577636</v>
      </c>
      <c r="J5267" s="5">
        <v>53756</v>
      </c>
      <c r="K5267" s="22">
        <v>2366.5</v>
      </c>
      <c r="L5267" s="6">
        <v>2365</v>
      </c>
      <c r="M5267" s="125">
        <f t="shared" si="542"/>
        <v>-1.5</v>
      </c>
      <c r="P5267" s="247">
        <v>18580</v>
      </c>
      <c r="Q5267" s="25">
        <f>171.35/1081.2</f>
        <v>0.15848131705512392</v>
      </c>
      <c r="W5267" s="285">
        <f t="shared" ref="W5267:W5268" si="544">(P5267*Q5267)*(1+U5267)</f>
        <v>2944.5828708842023</v>
      </c>
      <c r="X5267" s="446">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18">
        <f t="shared" si="484"/>
        <v>0.39946277820414428</v>
      </c>
      <c r="J5268" s="5">
        <v>47620</v>
      </c>
      <c r="K5268" s="22">
        <v>2397</v>
      </c>
      <c r="L5268" s="6">
        <v>2397</v>
      </c>
      <c r="M5268" s="125">
        <f t="shared" si="542"/>
        <v>0</v>
      </c>
      <c r="P5268" s="247">
        <v>18730</v>
      </c>
      <c r="Q5268" s="25">
        <f>171.3/1074</f>
        <v>0.15949720670391063</v>
      </c>
      <c r="W5268" s="285">
        <f t="shared" si="544"/>
        <v>2987.382681564246</v>
      </c>
      <c r="X5268" s="446">
        <f t="shared" si="545"/>
        <v>7.8139340842720069</v>
      </c>
    </row>
    <row r="5269" spans="1:24" ht="15" customHeight="1">
      <c r="A5269" s="3">
        <v>43187</v>
      </c>
      <c r="B5269" s="9">
        <v>42600</v>
      </c>
      <c r="C5269" s="5">
        <v>0</v>
      </c>
      <c r="D5269" s="5">
        <v>87200</v>
      </c>
      <c r="E5269" s="5">
        <v>129800</v>
      </c>
      <c r="F5269" s="4">
        <v>0</v>
      </c>
      <c r="G5269" s="5">
        <v>500</v>
      </c>
      <c r="H5269" s="5">
        <v>51550</v>
      </c>
      <c r="I5269" s="118">
        <f t="shared" si="484"/>
        <v>0.39714946070878276</v>
      </c>
      <c r="J5269" s="5">
        <v>47604</v>
      </c>
      <c r="K5269" s="22">
        <v>2403</v>
      </c>
      <c r="L5269" s="6">
        <v>2405</v>
      </c>
      <c r="M5269" s="125">
        <f t="shared" si="542"/>
        <v>2</v>
      </c>
      <c r="P5269" s="247">
        <v>18800</v>
      </c>
      <c r="Q5269" s="25">
        <f>170.61/1069.4</f>
        <v>0.15953805872451843</v>
      </c>
      <c r="W5269" s="285">
        <f t="shared" ref="W5269" si="546">(P5269*Q5269)*(1+U5269)</f>
        <v>2999.3155040209463</v>
      </c>
      <c r="X5269" s="446">
        <f t="shared" ref="X5269" si="547">P5269/K5269</f>
        <v>7.8235538909696212</v>
      </c>
    </row>
    <row r="5270" spans="1:24" ht="15" customHeight="1">
      <c r="A5270" s="3">
        <v>43188</v>
      </c>
      <c r="B5270" s="9">
        <v>42475</v>
      </c>
      <c r="C5270" s="5">
        <v>0</v>
      </c>
      <c r="D5270" s="5">
        <v>86800</v>
      </c>
      <c r="E5270" s="5">
        <v>129275</v>
      </c>
      <c r="F5270" s="4">
        <v>0</v>
      </c>
      <c r="G5270" s="5">
        <v>525</v>
      </c>
      <c r="H5270" s="5">
        <v>51025</v>
      </c>
      <c r="I5270" s="118">
        <f t="shared" si="484"/>
        <v>0.39470121833301103</v>
      </c>
      <c r="J5270" s="5">
        <v>41172</v>
      </c>
      <c r="K5270" s="22">
        <v>2411</v>
      </c>
      <c r="L5270" s="6">
        <v>2412</v>
      </c>
      <c r="M5270" s="125">
        <f t="shared" si="542"/>
        <v>1</v>
      </c>
      <c r="P5270" s="247">
        <v>18800</v>
      </c>
      <c r="Q5270" s="25">
        <f>169.68/1066.5</f>
        <v>0.15909985935302393</v>
      </c>
      <c r="W5270" s="285">
        <f t="shared" ref="W5270" si="548">(P5270*Q5270)*(1+U5270)</f>
        <v>2991.0773558368496</v>
      </c>
      <c r="X5270" s="446">
        <f t="shared" ref="X5270" si="549">P5270/K5270</f>
        <v>7.7975943591870589</v>
      </c>
    </row>
    <row r="5271" spans="1:24" ht="15" customHeight="1">
      <c r="A5271" s="3">
        <v>43189</v>
      </c>
      <c r="B5271" s="1318"/>
      <c r="C5271" s="1318"/>
      <c r="D5271" s="1318"/>
      <c r="E5271" s="1318"/>
      <c r="F5271" s="1318"/>
      <c r="G5271" s="1318"/>
      <c r="H5271" s="1318"/>
      <c r="I5271" s="1318"/>
      <c r="J5271" s="1318"/>
      <c r="K5271" s="1318"/>
      <c r="L5271" s="1318"/>
      <c r="M5271" s="1318"/>
      <c r="N5271" s="381">
        <f>AVERAGE(K5250:K5270)</f>
        <v>2397</v>
      </c>
      <c r="O5271" s="230">
        <f>AVERAGE(K5206:K5270)</f>
        <v>2522.6746031746034</v>
      </c>
      <c r="X5271" s="446"/>
    </row>
    <row r="5272" spans="1:24" ht="15" customHeight="1" thickBot="1">
      <c r="A5272" s="216"/>
      <c r="B5272" s="1330"/>
      <c r="C5272" s="1330"/>
      <c r="D5272" s="1330"/>
      <c r="E5272" s="216"/>
      <c r="F5272" s="407"/>
      <c r="G5272" s="164"/>
      <c r="H5272" s="164"/>
      <c r="I5272" s="166"/>
      <c r="J5272" s="166"/>
      <c r="K5272" s="166"/>
      <c r="L5272" s="167"/>
      <c r="M5272" s="168"/>
      <c r="N5272" s="169" t="s">
        <v>52</v>
      </c>
      <c r="O5272" s="183"/>
      <c r="P5272" s="180"/>
      <c r="Q5272" s="154"/>
      <c r="R5272" s="248"/>
      <c r="S5272" s="249"/>
      <c r="T5272" s="249"/>
      <c r="U5272" s="152"/>
      <c r="V5272" s="153">
        <f>AVERAGE(P5250:P5271)</f>
        <v>18671.904761904763</v>
      </c>
      <c r="W5272" s="295"/>
      <c r="X5272" s="447">
        <f>AVERAGE(X5252:X5271)</f>
        <v>7.7932066644375153</v>
      </c>
    </row>
    <row r="5273" spans="1:24" ht="15" customHeight="1">
      <c r="A5273" s="3">
        <v>43192</v>
      </c>
      <c r="B5273" s="1318"/>
      <c r="C5273" s="1318"/>
      <c r="D5273" s="1318"/>
      <c r="E5273" s="1318"/>
      <c r="F5273" s="1318"/>
      <c r="G5273" s="1318"/>
      <c r="H5273" s="1318"/>
      <c r="I5273" s="1318"/>
      <c r="J5273" s="1318"/>
      <c r="K5273" s="1318"/>
      <c r="L5273" s="1318"/>
      <c r="M5273" s="1318"/>
    </row>
    <row r="5274" spans="1:24" ht="15" customHeight="1">
      <c r="A5274" s="3">
        <v>43193</v>
      </c>
      <c r="B5274" s="9">
        <v>42475</v>
      </c>
      <c r="C5274" s="5">
        <v>0</v>
      </c>
      <c r="D5274" s="5">
        <v>86625</v>
      </c>
      <c r="E5274" s="5">
        <v>129100</v>
      </c>
      <c r="F5274" s="4">
        <v>0</v>
      </c>
      <c r="G5274" s="5">
        <v>175</v>
      </c>
      <c r="H5274" s="5">
        <v>50850</v>
      </c>
      <c r="I5274" s="118">
        <f t="shared" ref="I5274:I5339" si="550">H5274/E5274</f>
        <v>0.39388071262587143</v>
      </c>
      <c r="J5274" s="5">
        <v>53705</v>
      </c>
      <c r="K5274" s="22">
        <v>2400</v>
      </c>
      <c r="L5274" s="6">
        <v>2401</v>
      </c>
      <c r="M5274" s="125">
        <f t="shared" ref="M5274:M5275" si="551">L5274-K5274</f>
        <v>1</v>
      </c>
      <c r="P5274" s="247">
        <v>18830</v>
      </c>
      <c r="Q5274" s="25">
        <f>168.83/1058.1</f>
        <v>0.15955958794064837</v>
      </c>
      <c r="W5274" s="285">
        <f t="shared" ref="W5274:W5275" si="552">(P5274*Q5274)*(1+U5274)</f>
        <v>3004.5070409224086</v>
      </c>
      <c r="X5274" s="446">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18">
        <f t="shared" si="550"/>
        <v>0.39352838597171091</v>
      </c>
      <c r="J5275" s="5">
        <v>49558</v>
      </c>
      <c r="K5275" s="22">
        <v>2380</v>
      </c>
      <c r="L5275" s="6">
        <v>2380</v>
      </c>
      <c r="M5275" s="125">
        <f t="shared" si="551"/>
        <v>0</v>
      </c>
      <c r="P5275" s="247">
        <v>18750</v>
      </c>
      <c r="Q5275" s="25">
        <f>168.26/1057.6</f>
        <v>0.15909606656580938</v>
      </c>
      <c r="W5275" s="285">
        <f t="shared" si="552"/>
        <v>2983.0512481089258</v>
      </c>
      <c r="X5275" s="446">
        <f t="shared" si="553"/>
        <v>7.8781512605042021</v>
      </c>
    </row>
    <row r="5276" spans="1:24" ht="15" customHeight="1">
      <c r="A5276" s="3">
        <v>43195</v>
      </c>
      <c r="B5276" s="9">
        <v>42475</v>
      </c>
      <c r="C5276" s="5">
        <v>0</v>
      </c>
      <c r="D5276" s="5">
        <v>86675</v>
      </c>
      <c r="E5276" s="5">
        <v>129150</v>
      </c>
      <c r="F5276" s="4">
        <v>175</v>
      </c>
      <c r="G5276" s="5">
        <v>50</v>
      </c>
      <c r="H5276" s="5">
        <v>50725</v>
      </c>
      <c r="I5276" s="118">
        <f t="shared" si="550"/>
        <v>0.39276035617499033</v>
      </c>
      <c r="J5276" s="5">
        <v>50017</v>
      </c>
      <c r="K5276" s="22">
        <v>2383.5</v>
      </c>
      <c r="L5276" s="6">
        <v>2385</v>
      </c>
      <c r="M5276" s="125">
        <f t="shared" ref="M5276:M5338" si="554">L5276-K5276</f>
        <v>1.5</v>
      </c>
      <c r="P5276" s="1331" t="s">
        <v>58</v>
      </c>
      <c r="Q5276" s="25">
        <f>168.56/1059.5</f>
        <v>0.15909391222274658</v>
      </c>
      <c r="X5276" s="446"/>
    </row>
    <row r="5277" spans="1:24" ht="15" customHeight="1">
      <c r="A5277" s="3">
        <v>43196</v>
      </c>
      <c r="B5277" s="9">
        <v>42475</v>
      </c>
      <c r="C5277" s="5">
        <v>0</v>
      </c>
      <c r="D5277" s="5">
        <v>86750</v>
      </c>
      <c r="E5277" s="5">
        <v>129225</v>
      </c>
      <c r="F5277" s="4">
        <v>250</v>
      </c>
      <c r="G5277" s="5">
        <v>175</v>
      </c>
      <c r="H5277" s="5">
        <v>50550</v>
      </c>
      <c r="I5277" s="118">
        <f t="shared" si="550"/>
        <v>0.39117817759721418</v>
      </c>
      <c r="J5277" s="5">
        <v>43980</v>
      </c>
      <c r="K5277" s="22">
        <v>2358.5</v>
      </c>
      <c r="L5277" s="6">
        <v>2358</v>
      </c>
      <c r="M5277" s="125">
        <f t="shared" si="554"/>
        <v>-0.5</v>
      </c>
      <c r="P5277" s="1331"/>
      <c r="Q5277" s="25">
        <f>169.02/1066</f>
        <v>0.15855534709193247</v>
      </c>
      <c r="X5277" s="446"/>
    </row>
    <row r="5278" spans="1:24" ht="15" customHeight="1">
      <c r="A5278" s="3">
        <v>43199</v>
      </c>
      <c r="B5278" s="9">
        <v>42475</v>
      </c>
      <c r="C5278" s="5">
        <v>0</v>
      </c>
      <c r="D5278" s="5">
        <v>86700</v>
      </c>
      <c r="E5278" s="5">
        <v>129175</v>
      </c>
      <c r="F5278" s="4">
        <v>0</v>
      </c>
      <c r="G5278" s="5">
        <v>50</v>
      </c>
      <c r="H5278" s="5">
        <v>50500</v>
      </c>
      <c r="I5278" s="118">
        <f t="shared" si="550"/>
        <v>0.39094251983742984</v>
      </c>
      <c r="J5278" s="5">
        <v>68320</v>
      </c>
      <c r="K5278" s="22">
        <v>2397</v>
      </c>
      <c r="L5278" s="6">
        <v>2392.5</v>
      </c>
      <c r="M5278" s="125">
        <f t="shared" si="554"/>
        <v>-4.5</v>
      </c>
      <c r="P5278" s="247">
        <v>18650</v>
      </c>
      <c r="Q5278" s="25">
        <f>169.41/1067.5</f>
        <v>0.15869789227166275</v>
      </c>
      <c r="W5278" s="285">
        <f t="shared" ref="W5278" si="555">(P5278*Q5278)*(1+U5278)</f>
        <v>2959.7156908665102</v>
      </c>
      <c r="X5278" s="446">
        <f t="shared" ref="X5278" si="556">P5278/K5278</f>
        <v>7.7805590321234881</v>
      </c>
    </row>
    <row r="5279" spans="1:24" ht="15" customHeight="1">
      <c r="A5279" s="3">
        <v>43200</v>
      </c>
      <c r="B5279" s="9">
        <v>42475</v>
      </c>
      <c r="C5279" s="5">
        <v>0</v>
      </c>
      <c r="D5279" s="5">
        <v>86700</v>
      </c>
      <c r="E5279" s="5">
        <v>129175</v>
      </c>
      <c r="F5279" s="4">
        <v>0</v>
      </c>
      <c r="G5279" s="5">
        <v>0</v>
      </c>
      <c r="H5279" s="5">
        <v>50500</v>
      </c>
      <c r="I5279" s="118">
        <f t="shared" si="550"/>
        <v>0.39094251983742984</v>
      </c>
      <c r="J5279" s="5">
        <v>56504</v>
      </c>
      <c r="K5279" s="22">
        <v>2401</v>
      </c>
      <c r="L5279" s="6">
        <v>2402</v>
      </c>
      <c r="M5279" s="125">
        <f t="shared" si="554"/>
        <v>1</v>
      </c>
      <c r="P5279" s="247">
        <v>18580</v>
      </c>
      <c r="Q5279" s="25">
        <f>169.41/1067.7</f>
        <v>0.158668165214948</v>
      </c>
      <c r="W5279" s="285">
        <f t="shared" ref="W5279" si="557">(P5279*Q5279)*(1+U5279)</f>
        <v>2948.054509693734</v>
      </c>
      <c r="X5279" s="446">
        <f t="shared" ref="X5279" si="558">P5279/K5279</f>
        <v>7.738442315701791</v>
      </c>
    </row>
    <row r="5280" spans="1:24" ht="15" customHeight="1">
      <c r="A5280" s="3">
        <v>43201</v>
      </c>
      <c r="B5280" s="9">
        <v>42475</v>
      </c>
      <c r="C5280" s="5">
        <v>0</v>
      </c>
      <c r="D5280" s="5">
        <v>86625</v>
      </c>
      <c r="E5280" s="5">
        <v>129100</v>
      </c>
      <c r="F5280" s="4">
        <v>0</v>
      </c>
      <c r="G5280" s="5">
        <v>75</v>
      </c>
      <c r="H5280" s="5">
        <v>50425</v>
      </c>
      <c r="I5280" s="118">
        <f t="shared" si="550"/>
        <v>0.39058869093725795</v>
      </c>
      <c r="J5280" s="5">
        <v>63970</v>
      </c>
      <c r="K5280" s="22">
        <v>2388</v>
      </c>
      <c r="L5280" s="6">
        <v>2389</v>
      </c>
      <c r="M5280" s="125">
        <f t="shared" si="554"/>
        <v>1</v>
      </c>
      <c r="P5280" s="247">
        <v>18580</v>
      </c>
      <c r="Q5280" s="25">
        <f>169.91/1066.4</f>
        <v>0.15933045761440359</v>
      </c>
      <c r="W5280" s="285">
        <f t="shared" ref="W5280" si="559">(P5280*Q5280)*(1+U5280)</f>
        <v>2960.3599024756186</v>
      </c>
      <c r="X5280" s="446">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18">
        <f t="shared" si="550"/>
        <v>0.38971583220568334</v>
      </c>
      <c r="J5281" s="5">
        <v>69110</v>
      </c>
      <c r="K5281" s="22">
        <v>2333</v>
      </c>
      <c r="L5281" s="6">
        <v>2332</v>
      </c>
      <c r="M5281" s="125">
        <f t="shared" si="554"/>
        <v>-1</v>
      </c>
      <c r="P5281" s="247">
        <v>18580</v>
      </c>
      <c r="Q5281" s="25">
        <f>170.37/1068.7</f>
        <v>0.15941798446710956</v>
      </c>
      <c r="W5281" s="285">
        <f t="shared" ref="W5281" si="561">(P5281*Q5281)*(1+U5281)</f>
        <v>2961.9861513988958</v>
      </c>
      <c r="X5281" s="446">
        <f t="shared" ref="X5281" si="562">P5281/K5281</f>
        <v>7.9639948564080587</v>
      </c>
    </row>
    <row r="5282" spans="1:24" ht="15" customHeight="1">
      <c r="A5282" s="3">
        <v>43203</v>
      </c>
      <c r="B5282" s="9">
        <v>42475</v>
      </c>
      <c r="C5282" s="5">
        <v>0</v>
      </c>
      <c r="D5282" s="5">
        <v>86725</v>
      </c>
      <c r="E5282" s="5">
        <v>129200</v>
      </c>
      <c r="F5282" s="4">
        <v>0</v>
      </c>
      <c r="G5282" s="5">
        <v>125</v>
      </c>
      <c r="H5282" s="5">
        <v>50525</v>
      </c>
      <c r="I5282" s="118">
        <f t="shared" si="550"/>
        <v>0.39106037151702788</v>
      </c>
      <c r="J5282" s="5">
        <v>83836</v>
      </c>
      <c r="K5282" s="22">
        <v>2329</v>
      </c>
      <c r="L5282" s="6">
        <v>2328</v>
      </c>
      <c r="M5282" s="125">
        <f t="shared" si="554"/>
        <v>-1</v>
      </c>
      <c r="P5282" s="247">
        <v>18380</v>
      </c>
      <c r="Q5282" s="25">
        <f>170.27/1070</f>
        <v>0.15913084112149534</v>
      </c>
      <c r="W5282" s="285">
        <f t="shared" ref="W5282" si="563">(P5282*Q5282)*(1+U5282)</f>
        <v>2924.8248598130845</v>
      </c>
      <c r="X5282" s="446">
        <f t="shared" ref="X5282" si="564">P5282/K5282</f>
        <v>7.8917990553885788</v>
      </c>
    </row>
    <row r="5283" spans="1:24" ht="15" customHeight="1">
      <c r="A5283" s="3">
        <v>43206</v>
      </c>
      <c r="B5283" s="9">
        <v>42475</v>
      </c>
      <c r="C5283" s="5">
        <v>0</v>
      </c>
      <c r="D5283" s="5">
        <v>86675</v>
      </c>
      <c r="E5283" s="5">
        <v>129150</v>
      </c>
      <c r="F5283" s="4">
        <v>0</v>
      </c>
      <c r="G5283" s="5">
        <v>50</v>
      </c>
      <c r="H5283" s="5">
        <v>49675</v>
      </c>
      <c r="I5283" s="118">
        <f t="shared" si="550"/>
        <v>0.38463027487417734</v>
      </c>
      <c r="J5283" s="5">
        <v>55512</v>
      </c>
      <c r="K5283" s="22">
        <v>2341.5</v>
      </c>
      <c r="L5283" s="6">
        <v>2335</v>
      </c>
      <c r="M5283" s="125">
        <f t="shared" si="554"/>
        <v>-6.5</v>
      </c>
      <c r="P5283" s="247">
        <v>18270</v>
      </c>
      <c r="Q5283" s="25">
        <f>170.85/1073.1</f>
        <v>0.15921162985742243</v>
      </c>
      <c r="W5283" s="285">
        <f t="shared" ref="W5283" si="565">(P5283*Q5283)*(1+U5283)</f>
        <v>2908.7964774951079</v>
      </c>
      <c r="X5283" s="446">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18">
        <f t="shared" si="550"/>
        <v>0.36688562596599689</v>
      </c>
      <c r="J5284" s="5">
        <v>59568</v>
      </c>
      <c r="K5284" s="22">
        <v>2342</v>
      </c>
      <c r="L5284" s="6">
        <v>2345</v>
      </c>
      <c r="M5284" s="125">
        <f t="shared" si="554"/>
        <v>3</v>
      </c>
      <c r="P5284" s="247">
        <v>18380</v>
      </c>
      <c r="Q5284" s="25">
        <f>170.33/1068.4</f>
        <v>0.15942530887308123</v>
      </c>
      <c r="W5284" s="285">
        <f t="shared" ref="W5284" si="567">(P5284*Q5284)*(1+U5284)</f>
        <v>2930.2371770872332</v>
      </c>
      <c r="X5284" s="446">
        <f t="shared" ref="X5284" si="568">P5284/K5284</f>
        <v>7.8479931682322803</v>
      </c>
    </row>
    <row r="5285" spans="1:24" ht="15" customHeight="1">
      <c r="A5285" s="3">
        <v>43208</v>
      </c>
      <c r="B5285" s="9">
        <v>42475</v>
      </c>
      <c r="C5285" s="5">
        <v>0</v>
      </c>
      <c r="D5285" s="5">
        <v>86900</v>
      </c>
      <c r="E5285" s="5">
        <v>129375</v>
      </c>
      <c r="F5285" s="4">
        <v>0</v>
      </c>
      <c r="G5285" s="5">
        <v>25</v>
      </c>
      <c r="H5285" s="5">
        <v>47450</v>
      </c>
      <c r="I5285" s="118">
        <f t="shared" si="550"/>
        <v>0.36676328502415456</v>
      </c>
      <c r="J5285" s="5">
        <v>43988</v>
      </c>
      <c r="K5285" s="22">
        <v>2378</v>
      </c>
      <c r="L5285" s="6">
        <v>2379</v>
      </c>
      <c r="M5285" s="125">
        <f t="shared" si="554"/>
        <v>1</v>
      </c>
      <c r="P5285" s="247">
        <v>18290</v>
      </c>
      <c r="Q5285" s="25">
        <f>169.59/1066.5</f>
        <v>0.15901547116736992</v>
      </c>
      <c r="W5285" s="285">
        <f t="shared" ref="W5285" si="569">(P5285*Q5285)*(1+U5285)</f>
        <v>2908.3929676511957</v>
      </c>
      <c r="X5285" s="446">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18">
        <f t="shared" si="550"/>
        <v>0.36447876447876448</v>
      </c>
      <c r="J5286" s="5">
        <v>41789</v>
      </c>
      <c r="K5286" s="22">
        <v>2347</v>
      </c>
      <c r="L5286" s="6">
        <v>2351</v>
      </c>
      <c r="M5286" s="125">
        <f t="shared" si="554"/>
        <v>4</v>
      </c>
      <c r="P5286" s="247">
        <v>18500</v>
      </c>
      <c r="Q5286" s="25">
        <f>169.86/1063.5</f>
        <v>0.15971791255289142</v>
      </c>
      <c r="W5286" s="285">
        <f t="shared" ref="W5286" si="571">(P5286*Q5286)*(1+U5286)</f>
        <v>2954.7813822284911</v>
      </c>
      <c r="X5286" s="446">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18">
        <f t="shared" si="550"/>
        <v>0.41316793893129772</v>
      </c>
      <c r="J5287" s="5">
        <v>63303</v>
      </c>
      <c r="K5287" s="22">
        <v>2366</v>
      </c>
      <c r="L5287" s="6">
        <v>2373</v>
      </c>
      <c r="M5287" s="125">
        <f t="shared" si="554"/>
        <v>7</v>
      </c>
      <c r="P5287" s="247">
        <v>18460</v>
      </c>
      <c r="Q5287" s="25">
        <f>170.03/1067.3</f>
        <v>0.15930853555701302</v>
      </c>
      <c r="W5287" s="285">
        <f t="shared" ref="W5287" si="573">(P5287*Q5287)*(1+U5287)</f>
        <v>2940.8355663824605</v>
      </c>
      <c r="X5287" s="446">
        <f t="shared" ref="X5287" si="574">P5287/K5287</f>
        <v>7.802197802197802</v>
      </c>
    </row>
    <row r="5288" spans="1:24" ht="15" customHeight="1">
      <c r="A5288" s="3">
        <v>43213</v>
      </c>
      <c r="B5288" s="9">
        <v>42450</v>
      </c>
      <c r="C5288" s="5">
        <v>0</v>
      </c>
      <c r="D5288" s="5">
        <v>88500</v>
      </c>
      <c r="E5288" s="5">
        <v>130950</v>
      </c>
      <c r="F5288" s="4">
        <v>0</v>
      </c>
      <c r="G5288" s="5">
        <v>50</v>
      </c>
      <c r="H5288" s="5">
        <v>54075</v>
      </c>
      <c r="I5288" s="118">
        <f t="shared" si="550"/>
        <v>0.41294387170675828</v>
      </c>
      <c r="J5288" s="5">
        <v>46864</v>
      </c>
      <c r="K5288" s="22">
        <v>2348</v>
      </c>
      <c r="L5288" s="6">
        <v>2352</v>
      </c>
      <c r="M5288" s="125">
        <f t="shared" si="554"/>
        <v>4</v>
      </c>
      <c r="P5288" s="247">
        <v>18520</v>
      </c>
      <c r="Q5288" s="25">
        <f>169.89/1068.9</f>
        <v>0.15893909626719055</v>
      </c>
      <c r="W5288" s="285">
        <f t="shared" ref="W5288" si="575">(P5288*Q5288)*(1+U5288)</f>
        <v>2943.5520628683689</v>
      </c>
      <c r="X5288" s="446">
        <f t="shared" ref="X5288" si="576">P5288/K5288</f>
        <v>7.8875638841567293</v>
      </c>
    </row>
    <row r="5289" spans="1:24" ht="15" customHeight="1">
      <c r="A5289" s="3">
        <v>43214</v>
      </c>
      <c r="B5289" s="9">
        <v>42650</v>
      </c>
      <c r="C5289" s="5">
        <v>0</v>
      </c>
      <c r="D5289" s="5">
        <v>88500</v>
      </c>
      <c r="E5289" s="5">
        <v>131150</v>
      </c>
      <c r="F5289" s="4">
        <v>200</v>
      </c>
      <c r="G5289" s="5">
        <v>0</v>
      </c>
      <c r="H5289" s="5">
        <v>53125</v>
      </c>
      <c r="I5289" s="118">
        <f t="shared" si="550"/>
        <v>0.40507052992756387</v>
      </c>
      <c r="J5289" s="5">
        <v>47626</v>
      </c>
      <c r="K5289" s="22">
        <v>2348.5</v>
      </c>
      <c r="L5289" s="6">
        <v>2355</v>
      </c>
      <c r="M5289" s="125">
        <f t="shared" si="554"/>
        <v>6.5</v>
      </c>
      <c r="P5289" s="247">
        <v>18520</v>
      </c>
      <c r="Q5289" s="25">
        <f>170.56/1076.9</f>
        <v>0.15838053672578697</v>
      </c>
      <c r="W5289" s="285">
        <f t="shared" ref="W5289" si="577">(P5289*Q5289)*(1+U5289)</f>
        <v>2933.2075401615748</v>
      </c>
      <c r="X5289" s="446">
        <f t="shared" ref="X5289" si="578">P5289/K5289</f>
        <v>7.8858846071960826</v>
      </c>
    </row>
    <row r="5290" spans="1:24" ht="15" customHeight="1">
      <c r="A5290" s="3">
        <v>43215</v>
      </c>
      <c r="B5290" s="9">
        <v>42350</v>
      </c>
      <c r="C5290" s="5">
        <v>0</v>
      </c>
      <c r="D5290" s="5">
        <v>88500</v>
      </c>
      <c r="E5290" s="5">
        <v>130850</v>
      </c>
      <c r="F5290" s="4">
        <v>0</v>
      </c>
      <c r="G5290" s="5">
        <v>300</v>
      </c>
      <c r="H5290" s="5">
        <v>52850</v>
      </c>
      <c r="I5290" s="118">
        <f t="shared" si="550"/>
        <v>0.40389759266335501</v>
      </c>
      <c r="J5290" s="5">
        <v>49106</v>
      </c>
      <c r="K5290" s="22">
        <v>2325</v>
      </c>
      <c r="L5290" s="6">
        <v>2330</v>
      </c>
      <c r="M5290" s="125">
        <f t="shared" si="554"/>
        <v>5</v>
      </c>
      <c r="P5290" s="247">
        <v>18520</v>
      </c>
      <c r="Q5290" s="25">
        <f>171.07/1078.7</f>
        <v>0.15858904236581067</v>
      </c>
      <c r="W5290" s="285">
        <f t="shared" ref="W5290" si="579">(P5290*Q5290)*(1+U5290)</f>
        <v>2937.0690646148137</v>
      </c>
      <c r="X5290" s="446">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18">
        <f t="shared" si="550"/>
        <v>0.39907550077041604</v>
      </c>
      <c r="J5291" s="5">
        <v>39662</v>
      </c>
      <c r="K5291" s="22">
        <v>2300.5</v>
      </c>
      <c r="L5291" s="6">
        <v>2303</v>
      </c>
      <c r="M5291" s="125">
        <f t="shared" si="554"/>
        <v>2.5</v>
      </c>
      <c r="P5291" s="247">
        <v>18450</v>
      </c>
      <c r="Q5291" s="25">
        <f>170.69/1079.7</f>
        <v>0.15809021024358616</v>
      </c>
      <c r="W5291" s="285">
        <f t="shared" ref="W5291" si="581">(P5291*Q5291)*(1+U5291)</f>
        <v>2916.7643789941649</v>
      </c>
      <c r="X5291" s="446">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18">
        <f t="shared" si="550"/>
        <v>0.40119070482043401</v>
      </c>
      <c r="J5292" s="5">
        <v>43165</v>
      </c>
      <c r="K5292" s="22">
        <v>2336</v>
      </c>
      <c r="L5292" s="6">
        <v>2335</v>
      </c>
      <c r="M5292" s="125">
        <f t="shared" si="554"/>
        <v>-1</v>
      </c>
      <c r="P5292" s="247">
        <v>18450</v>
      </c>
      <c r="Q5292" s="25">
        <f>169.94/1076.2</f>
        <v>0.15790745214644117</v>
      </c>
      <c r="W5292" s="285">
        <f t="shared" ref="W5292" si="583">(P5292*Q5292)*(1+U5292)</f>
        <v>2913.3924921018397</v>
      </c>
      <c r="X5292" s="446">
        <f t="shared" ref="X5292" si="584">P5292/K5292</f>
        <v>7.8981164383561646</v>
      </c>
    </row>
    <row r="5293" spans="1:24" ht="15" customHeight="1">
      <c r="A5293" s="3">
        <v>43220</v>
      </c>
      <c r="B5293" s="9">
        <v>42500</v>
      </c>
      <c r="C5293" s="5">
        <v>0</v>
      </c>
      <c r="D5293" s="5">
        <v>88625</v>
      </c>
      <c r="E5293" s="5">
        <v>131125</v>
      </c>
      <c r="F5293" s="4">
        <v>950</v>
      </c>
      <c r="G5293" s="5">
        <v>0</v>
      </c>
      <c r="H5293" s="5">
        <v>52225</v>
      </c>
      <c r="I5293" s="118">
        <f t="shared" si="550"/>
        <v>0.39828408007626309</v>
      </c>
      <c r="J5293" s="5">
        <v>46413</v>
      </c>
      <c r="K5293" s="22">
        <v>2345</v>
      </c>
      <c r="L5293" s="6">
        <v>2340</v>
      </c>
      <c r="M5293" s="125">
        <f t="shared" si="554"/>
        <v>-5</v>
      </c>
      <c r="N5293" s="381">
        <f>AVERAGE(K5274:K5293)</f>
        <v>2357.375</v>
      </c>
      <c r="O5293" s="230">
        <f>AVERAGE(K5206:K5293)</f>
        <v>2482.8433734939758</v>
      </c>
      <c r="P5293" s="393" t="s">
        <v>49</v>
      </c>
    </row>
    <row r="5294" spans="1:24" ht="15" customHeight="1" thickBot="1">
      <c r="A5294" s="216"/>
      <c r="B5294" s="1330"/>
      <c r="C5294" s="1330"/>
      <c r="D5294" s="1330"/>
      <c r="E5294" s="216"/>
      <c r="F5294" s="407"/>
      <c r="G5294" s="164"/>
      <c r="H5294" s="164"/>
      <c r="I5294" s="166"/>
      <c r="J5294" s="166"/>
      <c r="K5294" s="166"/>
      <c r="L5294" s="167"/>
      <c r="M5294" s="168"/>
      <c r="N5294" s="169" t="s">
        <v>52</v>
      </c>
      <c r="O5294" s="183"/>
      <c r="P5294" s="180"/>
      <c r="Q5294" s="154"/>
      <c r="R5294" s="248"/>
      <c r="S5294" s="249"/>
      <c r="T5294" s="249"/>
      <c r="U5294" s="152"/>
      <c r="V5294" s="153">
        <f>AVERAGE(P5273:P5293)</f>
        <v>18512.352941176472</v>
      </c>
      <c r="W5294" s="295"/>
      <c r="X5294" s="447">
        <f>AVERAGE(X5274:X5293)</f>
        <v>7.8566543075123869</v>
      </c>
    </row>
    <row r="5295" spans="1:24" ht="15" customHeight="1">
      <c r="A5295" s="3">
        <v>43221</v>
      </c>
      <c r="B5295" s="9">
        <v>42075</v>
      </c>
      <c r="C5295" s="5">
        <v>0</v>
      </c>
      <c r="D5295" s="5">
        <v>88700</v>
      </c>
      <c r="E5295" s="5">
        <v>130775</v>
      </c>
      <c r="F5295" s="4">
        <v>150</v>
      </c>
      <c r="G5295" s="5">
        <v>500</v>
      </c>
      <c r="H5295" s="5">
        <v>51725</v>
      </c>
      <c r="I5295" s="118">
        <f t="shared" si="550"/>
        <v>0.39552666794112024</v>
      </c>
      <c r="J5295" s="5">
        <v>48763</v>
      </c>
      <c r="K5295" s="22">
        <v>2336</v>
      </c>
      <c r="L5295" s="6">
        <v>2335</v>
      </c>
      <c r="M5295" s="125">
        <f t="shared" si="554"/>
        <v>-1</v>
      </c>
      <c r="P5295" s="393" t="s">
        <v>49</v>
      </c>
    </row>
    <row r="5296" spans="1:24" ht="15" customHeight="1">
      <c r="A5296" s="3">
        <v>43222</v>
      </c>
      <c r="B5296" s="9">
        <v>42075</v>
      </c>
      <c r="C5296" s="5">
        <v>0</v>
      </c>
      <c r="D5296" s="5">
        <v>88650</v>
      </c>
      <c r="E5296" s="5">
        <v>130725</v>
      </c>
      <c r="F5296" s="4">
        <v>0</v>
      </c>
      <c r="G5296" s="5">
        <v>50</v>
      </c>
      <c r="H5296" s="5">
        <v>51675</v>
      </c>
      <c r="I5296" s="118">
        <f t="shared" si="550"/>
        <v>0.39529546758462419</v>
      </c>
      <c r="J5296" s="5">
        <v>40658</v>
      </c>
      <c r="K5296" s="22">
        <v>2320</v>
      </c>
      <c r="L5296" s="6">
        <v>2325</v>
      </c>
      <c r="M5296" s="125">
        <f t="shared" si="554"/>
        <v>5</v>
      </c>
      <c r="P5296" s="247">
        <v>18510</v>
      </c>
      <c r="Q5296" s="25">
        <f>169.04/1074.9</f>
        <v>0.1572611405712159</v>
      </c>
      <c r="W5296" s="285">
        <f t="shared" ref="W5296" si="585">(P5296*Q5296)*(1+U5296)</f>
        <v>2910.9037119732066</v>
      </c>
      <c r="X5296" s="446">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18">
        <f t="shared" si="550"/>
        <v>0.39213824534751235</v>
      </c>
      <c r="J5297" s="5">
        <v>61675</v>
      </c>
      <c r="K5297" s="22">
        <v>2279</v>
      </c>
      <c r="L5297" s="6">
        <v>2279</v>
      </c>
      <c r="M5297" s="125">
        <f t="shared" si="554"/>
        <v>0</v>
      </c>
      <c r="P5297" s="247">
        <v>18570</v>
      </c>
      <c r="Q5297" s="25">
        <f>169.07/1076.5</f>
        <v>0.15705527171388758</v>
      </c>
      <c r="W5297" s="285">
        <f t="shared" ref="W5297" si="587">(P5297*Q5297)*(1+U5297)</f>
        <v>2916.5163957268924</v>
      </c>
      <c r="X5297" s="446">
        <f t="shared" ref="X5297" si="588">P5297/K5297</f>
        <v>8.1483106625713031</v>
      </c>
    </row>
    <row r="5298" spans="1:24" ht="15" customHeight="1">
      <c r="A5298" s="3">
        <v>43224</v>
      </c>
      <c r="B5298" s="9">
        <v>43050</v>
      </c>
      <c r="C5298" s="5">
        <v>0</v>
      </c>
      <c r="D5298" s="5">
        <v>88550</v>
      </c>
      <c r="E5298" s="5">
        <v>131600</v>
      </c>
      <c r="F5298" s="4">
        <v>0</v>
      </c>
      <c r="G5298" s="5">
        <v>50</v>
      </c>
      <c r="H5298" s="5">
        <v>51575</v>
      </c>
      <c r="I5298" s="118">
        <f t="shared" si="550"/>
        <v>0.39190729483282677</v>
      </c>
      <c r="J5298" s="5">
        <v>53883</v>
      </c>
      <c r="K5298" s="22">
        <v>2274</v>
      </c>
      <c r="L5298" s="6">
        <v>2274</v>
      </c>
      <c r="M5298" s="125">
        <f t="shared" si="554"/>
        <v>0</v>
      </c>
      <c r="P5298" s="247">
        <v>18950</v>
      </c>
      <c r="Q5298" s="25">
        <f>169.71/1076.7</f>
        <v>0.15762050710504319</v>
      </c>
      <c r="W5298" s="285">
        <f>(P5298*Q5298)*(1+U5298)</f>
        <v>2986.9086096405686</v>
      </c>
      <c r="X5298" s="446">
        <f>P5298/K5298</f>
        <v>8.3333333333333339</v>
      </c>
    </row>
    <row r="5299" spans="1:24" ht="15" customHeight="1">
      <c r="A5299" s="3">
        <v>43227</v>
      </c>
      <c r="B5299" s="1318"/>
      <c r="C5299" s="1318"/>
      <c r="D5299" s="1318"/>
      <c r="E5299" s="1318"/>
      <c r="F5299" s="1318"/>
      <c r="G5299" s="1318"/>
      <c r="H5299" s="1318"/>
      <c r="I5299" s="1318"/>
      <c r="J5299" s="1318"/>
      <c r="K5299" s="1318"/>
      <c r="L5299" s="1318"/>
      <c r="M5299" s="1318"/>
      <c r="P5299" s="247"/>
      <c r="X5299" s="446"/>
    </row>
    <row r="5300" spans="1:24" ht="15" customHeight="1">
      <c r="A5300" s="3">
        <v>43228</v>
      </c>
      <c r="B5300" s="9">
        <v>43950</v>
      </c>
      <c r="C5300" s="5">
        <v>0</v>
      </c>
      <c r="D5300" s="5">
        <v>88550</v>
      </c>
      <c r="E5300" s="5">
        <v>132500</v>
      </c>
      <c r="F5300" s="4">
        <v>900</v>
      </c>
      <c r="G5300" s="5">
        <v>0</v>
      </c>
      <c r="H5300" s="5">
        <v>51575</v>
      </c>
      <c r="I5300" s="118">
        <f t="shared" si="550"/>
        <v>0.3892452830188679</v>
      </c>
      <c r="J5300" s="5">
        <v>58092</v>
      </c>
      <c r="K5300" s="22">
        <v>2301.5</v>
      </c>
      <c r="L5300" s="6">
        <v>2301</v>
      </c>
      <c r="M5300" s="125">
        <f t="shared" si="554"/>
        <v>-0.5</v>
      </c>
      <c r="P5300" s="247">
        <v>18950</v>
      </c>
      <c r="Q5300" s="25">
        <f>169.5/1078.2</f>
        <v>0.1572064552031163</v>
      </c>
      <c r="W5300" s="285">
        <f t="shared" ref="W5300:W5305" si="589">(P5300*Q5300)*(1+U5300)</f>
        <v>2979.0623260990537</v>
      </c>
      <c r="X5300" s="446">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18">
        <f t="shared" si="550"/>
        <v>0.38716395304808787</v>
      </c>
      <c r="J5301" s="5">
        <v>80290</v>
      </c>
      <c r="K5301" s="22">
        <v>2291</v>
      </c>
      <c r="L5301" s="6">
        <v>2299</v>
      </c>
      <c r="M5301" s="125">
        <f t="shared" si="554"/>
        <v>8</v>
      </c>
      <c r="P5301" s="247">
        <v>19000</v>
      </c>
      <c r="Q5301" s="25">
        <f>169.76/1081.3</f>
        <v>0.15699620826782576</v>
      </c>
      <c r="W5301" s="285">
        <f t="shared" si="589"/>
        <v>2982.9279570886893</v>
      </c>
      <c r="X5301" s="446">
        <f t="shared" si="590"/>
        <v>8.2933216935835876</v>
      </c>
    </row>
    <row r="5302" spans="1:24" ht="15" customHeight="1">
      <c r="A5302" s="3">
        <v>43230</v>
      </c>
      <c r="B5302" s="9">
        <v>43350</v>
      </c>
      <c r="C5302" s="5">
        <v>0</v>
      </c>
      <c r="D5302" s="5">
        <v>88450</v>
      </c>
      <c r="E5302" s="5">
        <v>131800</v>
      </c>
      <c r="F5302" s="4">
        <v>0</v>
      </c>
      <c r="G5302" s="5">
        <v>250</v>
      </c>
      <c r="H5302" s="5">
        <v>50900</v>
      </c>
      <c r="I5302" s="118">
        <f t="shared" si="550"/>
        <v>0.38619119878603947</v>
      </c>
      <c r="J5302" s="5">
        <v>85515</v>
      </c>
      <c r="K5302" s="22">
        <v>2300</v>
      </c>
      <c r="L5302" s="6">
        <v>2307</v>
      </c>
      <c r="M5302" s="125">
        <f t="shared" si="554"/>
        <v>7</v>
      </c>
      <c r="P5302" s="247">
        <v>19000</v>
      </c>
      <c r="Q5302" s="25">
        <f>169.22/1075.3</f>
        <v>0.15737003626894822</v>
      </c>
      <c r="W5302" s="285">
        <f t="shared" si="589"/>
        <v>2990.0306891100163</v>
      </c>
      <c r="X5302" s="446">
        <f t="shared" si="590"/>
        <v>8.2608695652173907</v>
      </c>
    </row>
    <row r="5303" spans="1:24" ht="15" customHeight="1">
      <c r="A5303" s="3">
        <v>43231</v>
      </c>
      <c r="B5303" s="9">
        <v>43350</v>
      </c>
      <c r="C5303" s="5">
        <v>0</v>
      </c>
      <c r="D5303" s="5">
        <v>88675</v>
      </c>
      <c r="E5303" s="5">
        <v>132025</v>
      </c>
      <c r="F5303" s="4">
        <v>250</v>
      </c>
      <c r="G5303" s="5">
        <v>25</v>
      </c>
      <c r="H5303" s="5">
        <v>50900</v>
      </c>
      <c r="I5303" s="118">
        <f t="shared" si="550"/>
        <v>0.38553304298428326</v>
      </c>
      <c r="J5303" s="5">
        <v>81363</v>
      </c>
      <c r="K5303" s="22">
        <v>2332</v>
      </c>
      <c r="L5303" s="6">
        <v>2340</v>
      </c>
      <c r="M5303" s="125">
        <f t="shared" si="554"/>
        <v>8</v>
      </c>
      <c r="P5303" s="247">
        <v>19130</v>
      </c>
      <c r="Q5303" s="25">
        <f>168.69/1068.6</f>
        <v>0.15786075238629985</v>
      </c>
      <c r="W5303" s="285">
        <f t="shared" si="589"/>
        <v>3019.8761931499162</v>
      </c>
      <c r="X5303" s="446">
        <f t="shared" si="590"/>
        <v>8.2032590051457976</v>
      </c>
    </row>
    <row r="5304" spans="1:24" ht="15" customHeight="1">
      <c r="A5304" s="3">
        <v>43234</v>
      </c>
      <c r="B5304" s="9">
        <v>42550</v>
      </c>
      <c r="C5304" s="5">
        <v>0</v>
      </c>
      <c r="D5304" s="5">
        <v>88675</v>
      </c>
      <c r="E5304" s="5">
        <v>131225</v>
      </c>
      <c r="F5304" s="4">
        <v>0</v>
      </c>
      <c r="G5304" s="5">
        <v>800</v>
      </c>
      <c r="H5304" s="5">
        <v>50175</v>
      </c>
      <c r="I5304" s="118">
        <f t="shared" si="550"/>
        <v>0.38235854448466372</v>
      </c>
      <c r="J5304" s="5">
        <v>70781</v>
      </c>
      <c r="K5304" s="22">
        <v>2380</v>
      </c>
      <c r="L5304" s="6">
        <v>2392</v>
      </c>
      <c r="M5304" s="125">
        <f t="shared" si="554"/>
        <v>12</v>
      </c>
      <c r="P5304" s="247">
        <v>19630</v>
      </c>
      <c r="Q5304" s="25">
        <f>168.42/1066.6</f>
        <v>0.15790361897618602</v>
      </c>
      <c r="W5304" s="285">
        <f t="shared" si="589"/>
        <v>3099.6480405025313</v>
      </c>
      <c r="X5304" s="446">
        <f t="shared" si="590"/>
        <v>8.2478991596638647</v>
      </c>
    </row>
    <row r="5305" spans="1:24" ht="15" customHeight="1">
      <c r="A5305" s="3">
        <v>43235</v>
      </c>
      <c r="B5305" s="9">
        <v>42550</v>
      </c>
      <c r="C5305" s="5">
        <v>0</v>
      </c>
      <c r="D5305" s="5">
        <v>88675</v>
      </c>
      <c r="E5305" s="5">
        <v>131225</v>
      </c>
      <c r="F5305" s="4">
        <v>0</v>
      </c>
      <c r="G5305" s="5">
        <v>0</v>
      </c>
      <c r="H5305" s="5">
        <v>50175</v>
      </c>
      <c r="I5305" s="118">
        <f t="shared" si="550"/>
        <v>0.38235854448466372</v>
      </c>
      <c r="J5305" s="5">
        <v>59580</v>
      </c>
      <c r="K5305" s="22">
        <v>2346</v>
      </c>
      <c r="L5305" s="6">
        <v>2359</v>
      </c>
      <c r="M5305" s="125">
        <f t="shared" si="554"/>
        <v>13</v>
      </c>
      <c r="P5305" s="247">
        <v>19470</v>
      </c>
      <c r="Q5305" s="25">
        <f>169.23/1072.6</f>
        <v>0.1577754987879918</v>
      </c>
      <c r="W5305" s="285">
        <f t="shared" si="589"/>
        <v>3071.8889614022005</v>
      </c>
      <c r="X5305" s="446">
        <f t="shared" si="590"/>
        <v>8.2992327365728897</v>
      </c>
    </row>
    <row r="5306" spans="1:24" ht="15" customHeight="1">
      <c r="A5306" s="3">
        <v>43236</v>
      </c>
      <c r="B5306" s="9">
        <v>41950</v>
      </c>
      <c r="C5306" s="5">
        <v>0</v>
      </c>
      <c r="D5306" s="5">
        <v>89875</v>
      </c>
      <c r="E5306" s="5">
        <v>131825</v>
      </c>
      <c r="F5306" s="4">
        <v>1200</v>
      </c>
      <c r="G5306" s="5">
        <v>600</v>
      </c>
      <c r="H5306" s="5">
        <v>50575</v>
      </c>
      <c r="I5306" s="118">
        <f t="shared" si="550"/>
        <v>0.38365256969467099</v>
      </c>
      <c r="J5306" s="5">
        <v>56708</v>
      </c>
      <c r="K5306" s="22">
        <v>2321</v>
      </c>
      <c r="L5306" s="6">
        <v>2335</v>
      </c>
      <c r="M5306" s="125">
        <f t="shared" si="554"/>
        <v>14</v>
      </c>
      <c r="P5306" s="247">
        <v>19400</v>
      </c>
      <c r="Q5306" s="25">
        <f>169.48/1078.7</f>
        <v>0.15711504588856956</v>
      </c>
      <c r="W5306" s="285">
        <f t="shared" ref="W5306" si="591">(P5306*Q5306)*(1+U5306)</f>
        <v>3048.0318902382496</v>
      </c>
      <c r="X5306" s="446">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18">
        <f t="shared" si="550"/>
        <v>0.38288202991857601</v>
      </c>
      <c r="J5307" s="5">
        <v>51377</v>
      </c>
      <c r="K5307" s="22">
        <v>2325</v>
      </c>
      <c r="L5307" s="6">
        <v>2341</v>
      </c>
      <c r="M5307" s="125">
        <f t="shared" si="554"/>
        <v>16</v>
      </c>
      <c r="P5307" s="247">
        <v>19420</v>
      </c>
      <c r="Q5307" s="25">
        <f>169.9/1079.3</f>
        <v>0.15741684425090338</v>
      </c>
      <c r="W5307" s="285">
        <f t="shared" ref="W5307" si="593">(P5307*Q5307)*(1+U5307)</f>
        <v>3057.0351153525435</v>
      </c>
      <c r="X5307" s="446">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18">
        <f t="shared" si="550"/>
        <v>0.30211254440082258</v>
      </c>
      <c r="J5308" s="5">
        <v>43080</v>
      </c>
      <c r="K5308" s="22">
        <v>2330.5</v>
      </c>
      <c r="L5308" s="6">
        <v>2350.5</v>
      </c>
      <c r="M5308" s="125">
        <f t="shared" si="554"/>
        <v>20</v>
      </c>
      <c r="P5308" s="247">
        <v>19550</v>
      </c>
      <c r="Q5308" s="25">
        <f>169.92/1080</f>
        <v>0.15733333333333333</v>
      </c>
      <c r="W5308" s="285">
        <f t="shared" ref="W5308:W5311" si="595">(P5308*Q5308)*(1+U5308)</f>
        <v>3075.8666666666663</v>
      </c>
      <c r="X5308" s="446">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18">
        <f t="shared" si="550"/>
        <v>0.29975614331269929</v>
      </c>
      <c r="J5309" s="5">
        <v>45664</v>
      </c>
      <c r="K5309" s="22">
        <v>2360</v>
      </c>
      <c r="L5309" s="6">
        <v>2367</v>
      </c>
      <c r="M5309" s="125">
        <f t="shared" si="554"/>
        <v>7</v>
      </c>
      <c r="P5309" s="247">
        <v>19750</v>
      </c>
      <c r="Q5309" s="25">
        <f>169.92/1080</f>
        <v>0.15733333333333333</v>
      </c>
      <c r="W5309" s="285">
        <f t="shared" si="595"/>
        <v>3107.333333333333</v>
      </c>
      <c r="X5309" s="446">
        <f t="shared" si="596"/>
        <v>8.3686440677966107</v>
      </c>
    </row>
    <row r="5310" spans="1:24" ht="15" customHeight="1">
      <c r="A5310" s="3">
        <v>43242</v>
      </c>
      <c r="B5310" s="9">
        <v>41500</v>
      </c>
      <c r="C5310" s="5">
        <v>0</v>
      </c>
      <c r="D5310" s="5">
        <v>91775</v>
      </c>
      <c r="E5310" s="5">
        <v>133275</v>
      </c>
      <c r="F5310" s="4">
        <v>0</v>
      </c>
      <c r="G5310" s="5">
        <v>0</v>
      </c>
      <c r="H5310" s="5">
        <v>39950</v>
      </c>
      <c r="I5310" s="118">
        <f t="shared" si="550"/>
        <v>0.29975614331269929</v>
      </c>
      <c r="J5310" s="5">
        <v>68423</v>
      </c>
      <c r="K5310" s="22">
        <v>2448</v>
      </c>
      <c r="L5310" s="6">
        <v>2458</v>
      </c>
      <c r="M5310" s="125">
        <f t="shared" si="554"/>
        <v>10</v>
      </c>
      <c r="P5310" s="247">
        <v>20160</v>
      </c>
      <c r="Q5310" s="25">
        <f>170.09/1083.8</f>
        <v>0.15693854954788708</v>
      </c>
      <c r="W5310" s="285">
        <f t="shared" si="595"/>
        <v>3163.8811588854037</v>
      </c>
      <c r="X5310" s="446">
        <f t="shared" si="596"/>
        <v>8.235294117647058</v>
      </c>
    </row>
    <row r="5311" spans="1:24" ht="15" customHeight="1">
      <c r="A5311" s="3">
        <v>43243</v>
      </c>
      <c r="B5311" s="9">
        <v>41525</v>
      </c>
      <c r="C5311" s="5">
        <v>0</v>
      </c>
      <c r="D5311" s="5">
        <v>91775</v>
      </c>
      <c r="E5311" s="5">
        <v>133300</v>
      </c>
      <c r="F5311" s="4">
        <v>50</v>
      </c>
      <c r="G5311" s="5">
        <v>25</v>
      </c>
      <c r="H5311" s="5">
        <v>40050</v>
      </c>
      <c r="I5311" s="118">
        <f t="shared" si="550"/>
        <v>0.30045011252813203</v>
      </c>
      <c r="J5311" s="5">
        <v>86686</v>
      </c>
      <c r="K5311" s="22">
        <v>2441</v>
      </c>
      <c r="L5311" s="6">
        <v>2450.5</v>
      </c>
      <c r="M5311" s="125">
        <f t="shared" si="554"/>
        <v>9.5</v>
      </c>
      <c r="P5311" s="247">
        <v>20070</v>
      </c>
      <c r="Q5311" s="25">
        <f>169.57/1078.8</f>
        <v>0.15718390804597701</v>
      </c>
      <c r="W5311" s="285">
        <f t="shared" si="595"/>
        <v>3154.6810344827586</v>
      </c>
      <c r="X5311" s="446">
        <f t="shared" si="596"/>
        <v>8.2220401474805413</v>
      </c>
    </row>
    <row r="5312" spans="1:24" ht="15" customHeight="1">
      <c r="A5312" s="3">
        <v>43244</v>
      </c>
      <c r="B5312" s="9">
        <v>41525</v>
      </c>
      <c r="C5312" s="5">
        <v>0</v>
      </c>
      <c r="D5312" s="5">
        <v>91775</v>
      </c>
      <c r="E5312" s="5">
        <v>133300</v>
      </c>
      <c r="F5312" s="4">
        <v>0</v>
      </c>
      <c r="G5312" s="5">
        <v>0</v>
      </c>
      <c r="H5312" s="5">
        <v>61300</v>
      </c>
      <c r="I5312" s="118">
        <f t="shared" si="550"/>
        <v>0.45986496624156037</v>
      </c>
      <c r="J5312" s="5">
        <v>56663</v>
      </c>
      <c r="K5312" s="22">
        <v>2502</v>
      </c>
      <c r="L5312" s="6">
        <v>2507</v>
      </c>
      <c r="M5312" s="125">
        <f t="shared" si="554"/>
        <v>5</v>
      </c>
      <c r="P5312" s="247">
        <v>20420</v>
      </c>
      <c r="Q5312" s="25">
        <f>169.11/1079.7</f>
        <v>0.1566268407891081</v>
      </c>
      <c r="W5312" s="285">
        <f t="shared" ref="W5312" si="597">(P5312*Q5312)*(1+U5312)</f>
        <v>3198.3200889135874</v>
      </c>
      <c r="X5312" s="446">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18">
        <f t="shared" si="550"/>
        <v>0.45502053004852555</v>
      </c>
      <c r="J5313" s="5">
        <v>62957</v>
      </c>
      <c r="K5313" s="22">
        <v>2465</v>
      </c>
      <c r="L5313" s="6">
        <v>2471</v>
      </c>
      <c r="M5313" s="125">
        <f t="shared" si="554"/>
        <v>6</v>
      </c>
      <c r="P5313" s="247">
        <v>20470</v>
      </c>
      <c r="Q5313" s="25">
        <f>169.01/1078.7</f>
        <v>0.15667933623806432</v>
      </c>
      <c r="W5313" s="285">
        <f t="shared" ref="W5313:W5315" si="599">(P5313*Q5313)*(1+U5313)</f>
        <v>3207.2260127931768</v>
      </c>
      <c r="X5313" s="446">
        <f t="shared" ref="X5313:X5315" si="600">P5313/K5313</f>
        <v>8.3042596348884388</v>
      </c>
    </row>
    <row r="5314" spans="1:24" ht="15" customHeight="1">
      <c r="A5314" s="3">
        <v>43248</v>
      </c>
      <c r="B5314" s="1318"/>
      <c r="C5314" s="1318"/>
      <c r="D5314" s="1318"/>
      <c r="E5314" s="1318"/>
      <c r="F5314" s="1318"/>
      <c r="G5314" s="1318"/>
      <c r="H5314" s="1318"/>
      <c r="I5314" s="1318"/>
      <c r="J5314" s="1318"/>
      <c r="K5314" s="1318"/>
      <c r="L5314" s="1318"/>
      <c r="M5314" s="1318"/>
    </row>
    <row r="5315" spans="1:24" ht="15" customHeight="1">
      <c r="A5315" s="3">
        <v>43249</v>
      </c>
      <c r="B5315" s="9">
        <v>42125</v>
      </c>
      <c r="C5315" s="5">
        <v>0</v>
      </c>
      <c r="D5315" s="5">
        <v>91925</v>
      </c>
      <c r="E5315" s="5">
        <v>134050</v>
      </c>
      <c r="F5315" s="4">
        <v>450</v>
      </c>
      <c r="G5315" s="5">
        <v>350</v>
      </c>
      <c r="H5315" s="5">
        <v>60600</v>
      </c>
      <c r="I5315" s="118">
        <f t="shared" si="550"/>
        <v>0.45207012308839983</v>
      </c>
      <c r="J5315" s="5">
        <v>60163</v>
      </c>
      <c r="K5315" s="22">
        <v>2423</v>
      </c>
      <c r="L5315" s="6">
        <v>2433</v>
      </c>
      <c r="M5315" s="125">
        <f t="shared" si="554"/>
        <v>10</v>
      </c>
      <c r="P5315" s="247">
        <v>20280</v>
      </c>
      <c r="Q5315" s="25">
        <f>167.96/1076.1</f>
        <v>0.15608214849921012</v>
      </c>
      <c r="W5315" s="285">
        <f t="shared" si="599"/>
        <v>3165.345971563981</v>
      </c>
      <c r="X5315" s="446">
        <f t="shared" si="600"/>
        <v>8.3697895171275274</v>
      </c>
    </row>
    <row r="5316" spans="1:24" ht="15" customHeight="1">
      <c r="A5316" s="3">
        <v>43250</v>
      </c>
      <c r="B5316" s="9">
        <v>42075</v>
      </c>
      <c r="C5316" s="5">
        <v>0</v>
      </c>
      <c r="D5316" s="5">
        <v>92125</v>
      </c>
      <c r="E5316" s="5">
        <v>134200</v>
      </c>
      <c r="F5316" s="4">
        <v>300</v>
      </c>
      <c r="G5316" s="5">
        <v>150</v>
      </c>
      <c r="H5316" s="5">
        <v>60450</v>
      </c>
      <c r="I5316" s="118">
        <f t="shared" si="550"/>
        <v>0.45044709388971682</v>
      </c>
      <c r="J5316" s="5">
        <v>46008</v>
      </c>
      <c r="K5316" s="22">
        <v>2421</v>
      </c>
      <c r="L5316" s="6">
        <v>2433</v>
      </c>
      <c r="M5316" s="125">
        <f t="shared" si="554"/>
        <v>12</v>
      </c>
      <c r="P5316" s="247">
        <v>20230</v>
      </c>
      <c r="Q5316" s="25">
        <f>167.96/1076.1</f>
        <v>0.15608214849921012</v>
      </c>
      <c r="W5316" s="285">
        <f t="shared" ref="W5316" si="601">(P5316*Q5316)*(1+U5316)</f>
        <v>3157.5418641390206</v>
      </c>
      <c r="X5316" s="446">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18">
        <f t="shared" si="550"/>
        <v>0.44683639086484461</v>
      </c>
      <c r="J5317" s="5">
        <v>50078</v>
      </c>
      <c r="K5317" s="22">
        <v>2445.5</v>
      </c>
      <c r="L5317" s="6">
        <v>2459</v>
      </c>
      <c r="M5317" s="125">
        <f t="shared" si="554"/>
        <v>13.5</v>
      </c>
      <c r="N5317" s="381">
        <f>AVERAGE(K5295:K5317)</f>
        <v>2363.8809523809523</v>
      </c>
      <c r="O5317" s="230">
        <f>AVERAGE(K5206:K5317)</f>
        <v>2458.8221153846152</v>
      </c>
      <c r="P5317" s="247">
        <v>20230</v>
      </c>
      <c r="Q5317" s="25">
        <f>167.99/1076.4</f>
        <v>0.15606651802303975</v>
      </c>
      <c r="W5317" s="285">
        <f t="shared" ref="W5317:W5319" si="603">(P5317*Q5317)*(1+U5317)</f>
        <v>3157.2256596060943</v>
      </c>
      <c r="X5317" s="446">
        <f t="shared" ref="X5317:X5319" si="604">P5317/K5317</f>
        <v>8.2723369454099362</v>
      </c>
    </row>
    <row r="5318" spans="1:24" ht="15" customHeight="1" thickBot="1">
      <c r="A5318" s="216"/>
      <c r="B5318" s="1330"/>
      <c r="C5318" s="1330"/>
      <c r="D5318" s="1330"/>
      <c r="E5318" s="216"/>
      <c r="F5318" s="407"/>
      <c r="G5318" s="164"/>
      <c r="H5318" s="164"/>
      <c r="I5318" s="166"/>
      <c r="J5318" s="166"/>
      <c r="K5318" s="166"/>
      <c r="L5318" s="167"/>
      <c r="M5318" s="168"/>
      <c r="N5318" s="169" t="s">
        <v>52</v>
      </c>
      <c r="O5318" s="183"/>
      <c r="P5318" s="180"/>
      <c r="Q5318" s="154"/>
      <c r="R5318" s="248"/>
      <c r="S5318" s="249"/>
      <c r="T5318" s="249"/>
      <c r="U5318" s="152"/>
      <c r="V5318" s="153">
        <f>AVERAGE(P5296:P5317)</f>
        <v>19559.5</v>
      </c>
      <c r="W5318" s="295"/>
      <c r="X5318" s="447">
        <f>AVERAGE(X5298:X5317)</f>
        <v>8.2923041491304126</v>
      </c>
    </row>
    <row r="5319" spans="1:24" ht="15" customHeight="1">
      <c r="A5319" s="3">
        <v>43252</v>
      </c>
      <c r="B5319" s="9">
        <v>41475</v>
      </c>
      <c r="C5319" s="5">
        <v>0</v>
      </c>
      <c r="D5319" s="5">
        <v>92000</v>
      </c>
      <c r="E5319" s="5">
        <v>133475</v>
      </c>
      <c r="F5319" s="4">
        <v>0</v>
      </c>
      <c r="G5319" s="5">
        <v>75</v>
      </c>
      <c r="H5319" s="5">
        <v>59600</v>
      </c>
      <c r="I5319" s="118">
        <f t="shared" si="550"/>
        <v>0.44652556658550291</v>
      </c>
      <c r="J5319" s="5">
        <v>51474</v>
      </c>
      <c r="K5319" s="22">
        <v>2430</v>
      </c>
      <c r="L5319" s="6">
        <v>2443</v>
      </c>
      <c r="M5319" s="125">
        <f t="shared" si="554"/>
        <v>13</v>
      </c>
      <c r="P5319" s="247">
        <v>20230</v>
      </c>
      <c r="Q5319" s="25">
        <f>167.99/1076.4</f>
        <v>0.15606651802303975</v>
      </c>
      <c r="W5319" s="285">
        <f t="shared" si="603"/>
        <v>3157.2256596060943</v>
      </c>
      <c r="X5319" s="446">
        <f t="shared" si="604"/>
        <v>8.3251028806584362</v>
      </c>
    </row>
    <row r="5320" spans="1:24" ht="15" customHeight="1">
      <c r="A5320" s="3">
        <v>43255</v>
      </c>
      <c r="B5320" s="9">
        <v>42275</v>
      </c>
      <c r="C5320" s="5">
        <v>0</v>
      </c>
      <c r="D5320" s="5">
        <v>91925</v>
      </c>
      <c r="E5320" s="5">
        <v>134200</v>
      </c>
      <c r="F5320" s="4">
        <v>975</v>
      </c>
      <c r="G5320" s="5">
        <v>250</v>
      </c>
      <c r="H5320" s="5">
        <v>59350</v>
      </c>
      <c r="I5320" s="118">
        <f t="shared" si="550"/>
        <v>0.44225037257824146</v>
      </c>
      <c r="J5320" s="5">
        <v>48577</v>
      </c>
      <c r="K5320" s="22">
        <v>2428</v>
      </c>
      <c r="L5320" s="6">
        <v>2438</v>
      </c>
      <c r="M5320" s="125">
        <f t="shared" si="554"/>
        <v>10</v>
      </c>
      <c r="P5320" s="247">
        <v>20230</v>
      </c>
      <c r="Q5320" s="25">
        <f>166.94/1070.9</f>
        <v>0.15588757120179286</v>
      </c>
      <c r="W5320" s="285">
        <f t="shared" ref="W5320" si="605">(P5320*Q5320)*(1+U5320)</f>
        <v>3153.6055654122697</v>
      </c>
      <c r="X5320" s="446">
        <f t="shared" ref="X5320" si="606">P5320/K5320</f>
        <v>8.3319604612850089</v>
      </c>
    </row>
    <row r="5321" spans="1:24" ht="15" customHeight="1">
      <c r="A5321" s="3">
        <v>43256</v>
      </c>
      <c r="B5321" s="9">
        <v>42150</v>
      </c>
      <c r="C5321" s="5">
        <v>0</v>
      </c>
      <c r="D5321" s="5">
        <v>91825</v>
      </c>
      <c r="E5321" s="5">
        <v>133975</v>
      </c>
      <c r="F5321" s="4">
        <v>0</v>
      </c>
      <c r="G5321" s="5">
        <v>225</v>
      </c>
      <c r="H5321" s="5">
        <v>59125</v>
      </c>
      <c r="I5321" s="118">
        <f t="shared" si="550"/>
        <v>0.44131367792498599</v>
      </c>
      <c r="J5321" s="5">
        <v>52181</v>
      </c>
      <c r="K5321" s="22">
        <v>2504</v>
      </c>
      <c r="L5321" s="6">
        <v>2512.5</v>
      </c>
      <c r="M5321" s="125">
        <f t="shared" si="554"/>
        <v>8.5</v>
      </c>
    </row>
    <row r="5322" spans="1:24" ht="15" customHeight="1">
      <c r="A5322" s="3">
        <v>43257</v>
      </c>
      <c r="B5322" s="9">
        <v>41450</v>
      </c>
      <c r="C5322" s="5">
        <v>0</v>
      </c>
      <c r="D5322" s="5">
        <v>91775</v>
      </c>
      <c r="E5322" s="5">
        <v>133225</v>
      </c>
      <c r="F5322" s="4">
        <v>0</v>
      </c>
      <c r="G5322" s="5">
        <v>750</v>
      </c>
      <c r="H5322" s="5">
        <v>58375</v>
      </c>
      <c r="I5322" s="118">
        <f t="shared" si="550"/>
        <v>0.4381685119159317</v>
      </c>
      <c r="J5322" s="5">
        <v>55309</v>
      </c>
      <c r="K5322" s="22">
        <v>2510.5</v>
      </c>
      <c r="L5322" s="6">
        <v>2517</v>
      </c>
      <c r="M5322" s="125">
        <f t="shared" si="554"/>
        <v>6.5</v>
      </c>
      <c r="P5322" s="247">
        <v>20770</v>
      </c>
      <c r="Q5322" s="25">
        <f>166.86/1069.6</f>
        <v>0.15600224382946898</v>
      </c>
      <c r="W5322" s="285">
        <f t="shared" ref="W5322" si="607">(P5322*Q5322)*(1+U5322)</f>
        <v>3240.1666043380706</v>
      </c>
      <c r="X5322" s="446">
        <f t="shared" ref="X5322" si="608">P5322/K5322</f>
        <v>8.2732523401712807</v>
      </c>
    </row>
    <row r="5323" spans="1:24" ht="15" customHeight="1">
      <c r="A5323" s="3">
        <v>43258</v>
      </c>
      <c r="B5323" s="9">
        <v>41450</v>
      </c>
      <c r="C5323" s="5">
        <v>0</v>
      </c>
      <c r="D5323" s="5">
        <v>91400</v>
      </c>
      <c r="E5323" s="5">
        <v>132850</v>
      </c>
      <c r="F5323" s="4">
        <v>0</v>
      </c>
      <c r="G5323" s="5">
        <v>375</v>
      </c>
      <c r="H5323" s="5">
        <v>58175</v>
      </c>
      <c r="I5323" s="118">
        <f t="shared" si="550"/>
        <v>0.43789988709070382</v>
      </c>
      <c r="J5323" s="5">
        <v>43565</v>
      </c>
      <c r="K5323" s="22">
        <v>2545</v>
      </c>
      <c r="L5323" s="6">
        <v>2551</v>
      </c>
      <c r="M5323" s="125">
        <f t="shared" si="554"/>
        <v>6</v>
      </c>
      <c r="P5323" s="247">
        <v>20770</v>
      </c>
      <c r="Q5323" s="25">
        <f>167.31/1067.9</f>
        <v>0.15667197303118269</v>
      </c>
      <c r="W5323" s="285">
        <f t="shared" ref="W5323" si="609">(P5323*Q5323)*(1+U5323)</f>
        <v>3254.0768798576646</v>
      </c>
      <c r="X5323" s="446">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18">
        <f t="shared" si="550"/>
        <v>0.33201655379984951</v>
      </c>
      <c r="J5324" s="5">
        <v>73025</v>
      </c>
      <c r="K5324" s="22">
        <v>2468</v>
      </c>
      <c r="L5324" s="6">
        <v>2476</v>
      </c>
      <c r="M5324" s="125">
        <f t="shared" si="554"/>
        <v>8</v>
      </c>
      <c r="P5324" s="247">
        <v>20600</v>
      </c>
      <c r="Q5324" s="25">
        <f>167.78/1073.2</f>
        <v>0.15633619083115916</v>
      </c>
      <c r="W5324" s="285">
        <f t="shared" ref="W5324" si="611">(P5324*Q5324)*(1+U5324)</f>
        <v>3220.5255311218784</v>
      </c>
      <c r="X5324" s="446">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18">
        <f t="shared" si="550"/>
        <v>0.32843691148775894</v>
      </c>
      <c r="J5325" s="5">
        <v>72757</v>
      </c>
      <c r="K5325" s="22">
        <v>2480</v>
      </c>
      <c r="L5325" s="6">
        <v>2488</v>
      </c>
      <c r="M5325" s="125">
        <f t="shared" si="554"/>
        <v>8</v>
      </c>
      <c r="P5325" s="247">
        <v>20750</v>
      </c>
      <c r="Q5325" s="25">
        <f>167.6/1073.5</f>
        <v>0.15612482533768049</v>
      </c>
      <c r="W5325" s="285">
        <f t="shared" ref="W5325" si="613">(P5325*Q5325)*(1+U5325)</f>
        <v>3239.5901257568703</v>
      </c>
      <c r="X5325" s="446">
        <f t="shared" ref="X5325" si="614">P5325/K5325</f>
        <v>8.366935483870968</v>
      </c>
    </row>
    <row r="5326" spans="1:24" ht="15" customHeight="1">
      <c r="A5326" s="3">
        <v>43263</v>
      </c>
      <c r="B5326" s="9">
        <v>41025</v>
      </c>
      <c r="C5326" s="5">
        <v>0</v>
      </c>
      <c r="D5326" s="5">
        <v>91600</v>
      </c>
      <c r="E5326" s="5">
        <v>132750</v>
      </c>
      <c r="F5326" s="4">
        <v>0</v>
      </c>
      <c r="G5326" s="5">
        <v>0</v>
      </c>
      <c r="H5326" s="5">
        <v>43600</v>
      </c>
      <c r="I5326" s="118">
        <f t="shared" si="550"/>
        <v>0.32843691148775894</v>
      </c>
      <c r="J5326" s="5">
        <v>59140</v>
      </c>
      <c r="K5326" s="22">
        <v>2458</v>
      </c>
      <c r="L5326" s="6">
        <v>2477</v>
      </c>
      <c r="M5326" s="125">
        <f t="shared" si="554"/>
        <v>19</v>
      </c>
      <c r="W5326" s="285">
        <f t="shared" ref="W5326" si="615">(P5326*Q5326)*(1+U5326)</f>
        <v>0</v>
      </c>
      <c r="X5326" s="446">
        <f t="shared" ref="X5326" si="616">P5326/K5326</f>
        <v>0</v>
      </c>
    </row>
    <row r="5327" spans="1:24" ht="15" customHeight="1">
      <c r="A5327" s="3">
        <v>43264</v>
      </c>
      <c r="B5327" s="9">
        <v>41025</v>
      </c>
      <c r="C5327" s="5">
        <v>0</v>
      </c>
      <c r="D5327" s="5">
        <v>91475</v>
      </c>
      <c r="E5327" s="5">
        <v>132625</v>
      </c>
      <c r="F5327" s="4">
        <v>0</v>
      </c>
      <c r="G5327" s="5">
        <v>125</v>
      </c>
      <c r="H5327" s="5">
        <v>43475</v>
      </c>
      <c r="I5327" s="118">
        <f t="shared" si="550"/>
        <v>0.32780395852968897</v>
      </c>
      <c r="J5327" s="5">
        <v>74225</v>
      </c>
      <c r="K5327" s="22">
        <v>2461</v>
      </c>
      <c r="L5327" s="6">
        <v>2471</v>
      </c>
      <c r="M5327" s="125">
        <f t="shared" si="554"/>
        <v>10</v>
      </c>
      <c r="P5327" s="247">
        <v>20650</v>
      </c>
      <c r="Q5327" s="25">
        <f>167.73/1075.1</f>
        <v>0.15601339410287415</v>
      </c>
      <c r="W5327" s="285">
        <f t="shared" ref="W5327" si="617">(P5327*Q5327)*(1+U5327)</f>
        <v>3221.6765882243512</v>
      </c>
      <c r="X5327" s="446">
        <f t="shared" ref="X5327" si="618">P5327/K5327</f>
        <v>8.3908980089394554</v>
      </c>
    </row>
    <row r="5328" spans="1:24" ht="15" customHeight="1">
      <c r="A5328" s="3">
        <v>43265</v>
      </c>
      <c r="B5328" s="9">
        <v>41025</v>
      </c>
      <c r="C5328" s="5">
        <v>0</v>
      </c>
      <c r="D5328" s="5">
        <v>91125</v>
      </c>
      <c r="E5328" s="5">
        <v>132275</v>
      </c>
      <c r="F5328" s="4">
        <v>0</v>
      </c>
      <c r="G5328" s="5">
        <v>350</v>
      </c>
      <c r="H5328" s="5">
        <v>45275</v>
      </c>
      <c r="I5328" s="118">
        <f t="shared" si="550"/>
        <v>0.34227934227934226</v>
      </c>
      <c r="J5328" s="5">
        <v>76275</v>
      </c>
      <c r="K5328" s="22">
        <v>2464</v>
      </c>
      <c r="L5328" s="6">
        <v>2474</v>
      </c>
      <c r="M5328" s="125">
        <f t="shared" si="554"/>
        <v>10</v>
      </c>
      <c r="P5328" s="247">
        <v>20580</v>
      </c>
      <c r="Q5328" s="25">
        <f>169.44/1082.5</f>
        <v>0.15652655889145498</v>
      </c>
      <c r="W5328" s="285">
        <f t="shared" ref="W5328" si="619">(P5328*Q5328)*(1+U5328)</f>
        <v>3221.3165819861433</v>
      </c>
      <c r="X5328" s="446">
        <f t="shared" ref="X5328" si="620">P5328/K5328</f>
        <v>8.3522727272727266</v>
      </c>
    </row>
    <row r="5329" spans="1:24" ht="15" customHeight="1">
      <c r="A5329" s="3">
        <v>43266</v>
      </c>
      <c r="B5329" s="9">
        <v>41025</v>
      </c>
      <c r="C5329" s="5">
        <v>0</v>
      </c>
      <c r="D5329" s="5">
        <v>90725</v>
      </c>
      <c r="E5329" s="5">
        <v>131875</v>
      </c>
      <c r="F5329" s="4">
        <v>0</v>
      </c>
      <c r="G5329" s="5">
        <v>400</v>
      </c>
      <c r="H5329" s="5">
        <v>40400</v>
      </c>
      <c r="I5329" s="118">
        <f t="shared" si="550"/>
        <v>0.30635071090047394</v>
      </c>
      <c r="J5329" s="5">
        <v>73549</v>
      </c>
      <c r="K5329" s="22">
        <v>2431</v>
      </c>
      <c r="L5329" s="6">
        <v>2442.5</v>
      </c>
      <c r="M5329" s="125">
        <f t="shared" si="554"/>
        <v>11.5</v>
      </c>
      <c r="P5329" s="247">
        <v>20420</v>
      </c>
      <c r="Q5329" s="25">
        <f>169.97/1091.4</f>
        <v>0.15573575224482314</v>
      </c>
      <c r="W5329" s="285">
        <f t="shared" ref="W5329" si="621">(P5329*Q5329)*(1+U5329)</f>
        <v>3180.1240608392886</v>
      </c>
      <c r="X5329" s="446">
        <f t="shared" ref="X5329" si="622">P5329/K5329</f>
        <v>8.3998354586589876</v>
      </c>
    </row>
    <row r="5330" spans="1:24" ht="15" customHeight="1">
      <c r="A5330" s="3">
        <v>43269</v>
      </c>
      <c r="B5330" s="9">
        <v>41025</v>
      </c>
      <c r="C5330" s="5">
        <v>0</v>
      </c>
      <c r="D5330" s="5">
        <v>90450</v>
      </c>
      <c r="E5330" s="5">
        <v>131600</v>
      </c>
      <c r="F5330" s="4">
        <v>0</v>
      </c>
      <c r="G5330" s="5">
        <v>275</v>
      </c>
      <c r="H5330" s="5">
        <v>45550</v>
      </c>
      <c r="I5330" s="118">
        <f t="shared" si="550"/>
        <v>0.34612462006079026</v>
      </c>
      <c r="J5330" s="5">
        <v>51681</v>
      </c>
      <c r="K5330" s="22">
        <v>2411.5</v>
      </c>
      <c r="L5330" s="6">
        <v>2434</v>
      </c>
      <c r="M5330" s="125">
        <f t="shared" si="554"/>
        <v>22.5</v>
      </c>
      <c r="P5330" s="247">
        <v>20420</v>
      </c>
      <c r="Q5330" s="25">
        <f>171.19/1104.4</f>
        <v>0.15500724375226366</v>
      </c>
      <c r="W5330" s="285">
        <f t="shared" ref="W5330" si="623">(P5330*Q5330)*(1+U5330)</f>
        <v>3165.247917421224</v>
      </c>
      <c r="X5330" s="446">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18">
        <f t="shared" si="550"/>
        <v>0.34372031160934829</v>
      </c>
      <c r="J5331" s="5">
        <v>55887</v>
      </c>
      <c r="K5331" s="22">
        <v>2402.5</v>
      </c>
      <c r="L5331" s="6">
        <v>2419.5</v>
      </c>
      <c r="M5331" s="125">
        <f t="shared" si="554"/>
        <v>17</v>
      </c>
      <c r="P5331" s="247">
        <v>20320</v>
      </c>
      <c r="Q5331" s="25">
        <f>171.2/1105.5</f>
        <v>0.15486205336951606</v>
      </c>
      <c r="W5331" s="285">
        <f t="shared" ref="W5331" si="625">(P5331*Q5331)*(1+U5331)</f>
        <v>3146.7969244685664</v>
      </c>
      <c r="X5331" s="446">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18">
        <f t="shared" si="550"/>
        <v>0.33578431372549017</v>
      </c>
      <c r="J5332" s="5">
        <v>52516</v>
      </c>
      <c r="K5332" s="22">
        <v>2397</v>
      </c>
      <c r="L5332" s="6">
        <v>2417</v>
      </c>
      <c r="M5332" s="125">
        <f t="shared" si="554"/>
        <v>20</v>
      </c>
      <c r="P5332" s="247">
        <v>20200</v>
      </c>
      <c r="Q5332" s="25">
        <f>171.16/1108</f>
        <v>0.15447653429602887</v>
      </c>
      <c r="W5332" s="285">
        <f t="shared" ref="W5332:W5334" si="627">(P5332*Q5332)*(1+U5332)</f>
        <v>3120.425992779783</v>
      </c>
      <c r="X5332" s="446">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18">
        <f t="shared" si="550"/>
        <v>0.33528301886792455</v>
      </c>
      <c r="J5333" s="5">
        <v>43950</v>
      </c>
      <c r="K5333" s="22">
        <v>2385</v>
      </c>
      <c r="L5333" s="6">
        <v>2399</v>
      </c>
      <c r="M5333" s="125">
        <f t="shared" si="554"/>
        <v>14</v>
      </c>
      <c r="P5333" s="247">
        <v>20200</v>
      </c>
      <c r="Q5333" s="25">
        <f>170.78/1109</f>
        <v>0.15399458972046889</v>
      </c>
      <c r="W5333" s="285">
        <f t="shared" si="627"/>
        <v>3110.6907123534716</v>
      </c>
      <c r="X5333" s="446">
        <f t="shared" si="628"/>
        <v>8.4696016771488463</v>
      </c>
    </row>
    <row r="5334" spans="1:24" ht="15" customHeight="1">
      <c r="A5334" s="3">
        <v>43273</v>
      </c>
      <c r="B5334" s="9">
        <v>41025</v>
      </c>
      <c r="C5334" s="5">
        <v>0</v>
      </c>
      <c r="D5334" s="5">
        <v>91275</v>
      </c>
      <c r="E5334" s="5">
        <v>132425</v>
      </c>
      <c r="F5334" s="4">
        <v>0</v>
      </c>
      <c r="G5334" s="5">
        <v>75</v>
      </c>
      <c r="H5334" s="5">
        <v>44350</v>
      </c>
      <c r="I5334" s="118">
        <f t="shared" si="550"/>
        <v>0.33490655087785537</v>
      </c>
      <c r="J5334" s="5">
        <v>43637</v>
      </c>
      <c r="K5334" s="22">
        <v>2389</v>
      </c>
      <c r="L5334" s="6">
        <v>2403</v>
      </c>
      <c r="M5334" s="125">
        <f t="shared" si="554"/>
        <v>14</v>
      </c>
      <c r="P5334" s="247">
        <v>20000</v>
      </c>
      <c r="Q5334" s="25">
        <f>170.43/1108.9</f>
        <v>0.1536928487690504</v>
      </c>
      <c r="W5334" s="285">
        <f t="shared" si="627"/>
        <v>3073.8569753810079</v>
      </c>
      <c r="X5334" s="446">
        <f t="shared" si="628"/>
        <v>8.3717036416910844</v>
      </c>
    </row>
    <row r="5335" spans="1:24" ht="15" customHeight="1">
      <c r="A5335" s="3">
        <v>43276</v>
      </c>
      <c r="B5335" s="9">
        <v>40850</v>
      </c>
      <c r="C5335" s="5">
        <v>0</v>
      </c>
      <c r="D5335" s="5">
        <v>91275</v>
      </c>
      <c r="E5335" s="5">
        <v>132250</v>
      </c>
      <c r="F5335" s="4">
        <v>0</v>
      </c>
      <c r="G5335" s="5">
        <v>175</v>
      </c>
      <c r="H5335" s="5">
        <v>44175</v>
      </c>
      <c r="I5335" s="118">
        <f t="shared" si="550"/>
        <v>0.33402646502835537</v>
      </c>
      <c r="J5335" s="5">
        <v>36887</v>
      </c>
      <c r="K5335" s="22">
        <v>2414</v>
      </c>
      <c r="L5335" s="6">
        <v>2427</v>
      </c>
      <c r="M5335" s="125">
        <f t="shared" si="554"/>
        <v>13</v>
      </c>
      <c r="P5335" s="247">
        <v>20120</v>
      </c>
      <c r="Q5335" s="25">
        <f>170.66/1116.1</f>
        <v>0.15290744556939342</v>
      </c>
      <c r="W5335" s="285">
        <f>(P5335*Q5335)*(1+U5335)</f>
        <v>3076.4978048561957</v>
      </c>
      <c r="X5335" s="446">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18">
        <f t="shared" si="550"/>
        <v>0.33074592957213178</v>
      </c>
      <c r="J5336" s="5">
        <v>43836</v>
      </c>
      <c r="K5336" s="22">
        <v>2408</v>
      </c>
      <c r="L5336" s="6">
        <v>2413</v>
      </c>
      <c r="M5336" s="125">
        <f t="shared" si="554"/>
        <v>5</v>
      </c>
      <c r="P5336" s="247">
        <v>20290</v>
      </c>
      <c r="Q5336" s="25">
        <f>170.1/1115.2</f>
        <v>0.1525286944045911</v>
      </c>
      <c r="W5336" s="285">
        <f>(P5336*Q5336)*(1+U5336)</f>
        <v>3094.8072094691533</v>
      </c>
      <c r="X5336" s="446">
        <f t="shared" si="629"/>
        <v>8.4260797342192699</v>
      </c>
    </row>
    <row r="5337" spans="1:24" ht="15" customHeight="1">
      <c r="A5337" s="3">
        <v>43278</v>
      </c>
      <c r="B5337" s="9">
        <v>40025</v>
      </c>
      <c r="C5337" s="5">
        <v>125</v>
      </c>
      <c r="D5337" s="5">
        <v>91650</v>
      </c>
      <c r="E5337" s="5">
        <f>SUM(B5337:D5337)</f>
        <v>131800</v>
      </c>
      <c r="F5337" s="4">
        <v>0</v>
      </c>
      <c r="G5337" s="5">
        <v>250</v>
      </c>
      <c r="H5337" s="5">
        <v>44675</v>
      </c>
      <c r="I5337" s="118">
        <f t="shared" si="550"/>
        <v>0.33896054628224581</v>
      </c>
      <c r="J5337" s="5">
        <v>52971</v>
      </c>
      <c r="K5337" s="22">
        <v>2430</v>
      </c>
      <c r="L5337" s="6">
        <v>2437</v>
      </c>
      <c r="M5337" s="125">
        <f t="shared" si="554"/>
        <v>7</v>
      </c>
      <c r="P5337" s="247">
        <v>20590</v>
      </c>
      <c r="Q5337" s="25">
        <f>169.36/1117.9</f>
        <v>0.15149834511136953</v>
      </c>
      <c r="W5337" s="285">
        <f>(P5337*Q5337)*(1+U5337)</f>
        <v>3119.3509258430986</v>
      </c>
      <c r="X5337" s="446">
        <f t="shared" si="629"/>
        <v>8.473251028806585</v>
      </c>
    </row>
    <row r="5338" spans="1:24" ht="15" customHeight="1">
      <c r="A5338" s="3">
        <v>43279</v>
      </c>
      <c r="B5338" s="9">
        <v>39925</v>
      </c>
      <c r="C5338" s="5">
        <v>125</v>
      </c>
      <c r="D5338" s="5">
        <v>91650</v>
      </c>
      <c r="E5338" s="5">
        <v>131700</v>
      </c>
      <c r="F5338" s="4">
        <v>0</v>
      </c>
      <c r="G5338" s="5">
        <v>100</v>
      </c>
      <c r="H5338" s="5">
        <v>44575</v>
      </c>
      <c r="I5338" s="118">
        <f t="shared" si="550"/>
        <v>0.33845861807137434</v>
      </c>
      <c r="J5338" s="5">
        <v>36997</v>
      </c>
      <c r="K5338" s="22">
        <v>2407</v>
      </c>
      <c r="L5338" s="6">
        <v>2414</v>
      </c>
      <c r="M5338" s="125">
        <f t="shared" si="554"/>
        <v>7</v>
      </c>
      <c r="P5338" s="247">
        <v>21170</v>
      </c>
      <c r="Q5338" s="25">
        <f>169.36/1117.9</f>
        <v>0.15149834511136953</v>
      </c>
      <c r="W5338" s="285">
        <f>(P5338*Q5338)*(1+U5338)</f>
        <v>3207.2199660076931</v>
      </c>
      <c r="X5338" s="446">
        <f t="shared" si="629"/>
        <v>8.7951807228915655</v>
      </c>
    </row>
    <row r="5339" spans="1:24" ht="15" customHeight="1">
      <c r="A5339" s="3">
        <v>43280</v>
      </c>
      <c r="B5339" s="9">
        <v>39925</v>
      </c>
      <c r="C5339" s="5">
        <v>125</v>
      </c>
      <c r="D5339" s="5">
        <v>91575</v>
      </c>
      <c r="E5339" s="5">
        <v>131625</v>
      </c>
      <c r="F5339" s="4">
        <v>0</v>
      </c>
      <c r="G5339" s="5">
        <v>75</v>
      </c>
      <c r="H5339" s="5">
        <v>44500</v>
      </c>
      <c r="I5339" s="118">
        <f t="shared" si="550"/>
        <v>0.33808167141500473</v>
      </c>
      <c r="J5339" s="5">
        <v>36799</v>
      </c>
      <c r="K5339" s="22">
        <v>2432</v>
      </c>
      <c r="L5339" s="6">
        <v>2436</v>
      </c>
      <c r="M5339" s="125">
        <f>L5339-K5339</f>
        <v>4</v>
      </c>
      <c r="N5339" s="381">
        <f>AVERAGE($K$5319:K5339)</f>
        <v>2440.7380952380954</v>
      </c>
      <c r="O5339" s="230">
        <f>AVERAGE($K$5206:K5339)</f>
        <v>2455.7840000000001</v>
      </c>
      <c r="P5339" s="247">
        <v>21190</v>
      </c>
      <c r="Q5339" s="25">
        <f>169.41/1121.7</f>
        <v>0.15102968708210751</v>
      </c>
      <c r="W5339" s="285">
        <f>(P5339*Q5339)*(1+U5339)</f>
        <v>3200.3190692698581</v>
      </c>
      <c r="X5339" s="446">
        <f>P5339/K5339</f>
        <v>8.7129934210526319</v>
      </c>
    </row>
    <row r="5340" spans="1:24" ht="15" customHeight="1" thickBot="1">
      <c r="A5340" s="216"/>
      <c r="B5340" s="1330"/>
      <c r="C5340" s="1330"/>
      <c r="D5340" s="1330"/>
      <c r="E5340" s="216"/>
      <c r="F5340" s="407"/>
      <c r="G5340" s="164"/>
      <c r="H5340" s="164"/>
      <c r="I5340" s="164"/>
      <c r="J5340" s="166"/>
      <c r="K5340" s="166"/>
      <c r="L5340" s="167"/>
      <c r="M5340" s="167"/>
      <c r="N5340" s="169" t="s">
        <v>52</v>
      </c>
      <c r="O5340" s="169"/>
      <c r="P5340" s="180"/>
      <c r="Q5340" s="154"/>
      <c r="R5340" s="248"/>
      <c r="S5340" s="249"/>
      <c r="T5340" s="249"/>
      <c r="U5340" s="152"/>
      <c r="V5340" s="153">
        <f>AVERAGE(P5319:P5339)</f>
        <v>20500</v>
      </c>
      <c r="W5340" s="153"/>
      <c r="X5340" s="447">
        <f>AVERAGE(X5319:X5339)</f>
        <v>7.9942268610100751</v>
      </c>
    </row>
    <row r="5341" spans="1:24" ht="15" customHeight="1">
      <c r="A5341" s="3">
        <v>43283</v>
      </c>
      <c r="B5341" s="9">
        <v>40125</v>
      </c>
      <c r="C5341" s="5">
        <v>125</v>
      </c>
      <c r="D5341" s="5">
        <v>91525</v>
      </c>
      <c r="E5341" s="5">
        <v>131775</v>
      </c>
      <c r="F5341" s="4">
        <v>200</v>
      </c>
      <c r="G5341" s="5">
        <v>50</v>
      </c>
      <c r="H5341" s="5">
        <v>44450</v>
      </c>
      <c r="I5341" s="118">
        <f t="shared" ref="I5341:I5380" si="630">H5341/E5341</f>
        <v>0.33731739707835323</v>
      </c>
      <c r="J5341" s="5">
        <v>53112</v>
      </c>
      <c r="K5341" s="22">
        <v>2398</v>
      </c>
      <c r="L5341" s="6">
        <v>2401</v>
      </c>
      <c r="M5341" s="125">
        <f t="shared" ref="M5341:M5380" si="631">L5341-K5341</f>
        <v>3</v>
      </c>
      <c r="P5341" s="247">
        <v>21140</v>
      </c>
      <c r="Q5341" s="25">
        <f>168.19/1117.4</f>
        <v>0.15051906210846608</v>
      </c>
      <c r="W5341" s="285">
        <f t="shared" ref="W5341:W5342" si="632">(P5341*Q5341)*(1+U5341)</f>
        <v>3181.9729729729729</v>
      </c>
      <c r="X5341" s="446">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18">
        <f t="shared" si="630"/>
        <v>0.33681412568824759</v>
      </c>
      <c r="J5342" s="5">
        <v>59469</v>
      </c>
      <c r="K5342" s="22">
        <v>2405</v>
      </c>
      <c r="L5342" s="6">
        <v>2404</v>
      </c>
      <c r="M5342" s="125">
        <f t="shared" si="631"/>
        <v>-1</v>
      </c>
      <c r="P5342" s="247">
        <v>21440</v>
      </c>
      <c r="Q5342" s="25">
        <f>167.03/1121.1</f>
        <v>0.14898760146284901</v>
      </c>
      <c r="W5342" s="285">
        <f t="shared" si="632"/>
        <v>3194.2941753634827</v>
      </c>
      <c r="X5342" s="446">
        <f t="shared" si="633"/>
        <v>8.9147609147609153</v>
      </c>
    </row>
    <row r="5343" spans="1:24" ht="15" customHeight="1">
      <c r="A5343" s="3">
        <v>43285</v>
      </c>
      <c r="B5343" s="9">
        <v>39725</v>
      </c>
      <c r="C5343" s="5">
        <v>0</v>
      </c>
      <c r="D5343" s="5">
        <v>91450</v>
      </c>
      <c r="E5343" s="5">
        <v>131175</v>
      </c>
      <c r="F5343" s="4">
        <v>0</v>
      </c>
      <c r="G5343" s="5">
        <v>500</v>
      </c>
      <c r="H5343" s="5">
        <v>43850</v>
      </c>
      <c r="I5343" s="118">
        <f t="shared" si="630"/>
        <v>0.3342862588145607</v>
      </c>
      <c r="J5343" s="5">
        <v>49643</v>
      </c>
      <c r="K5343" s="22">
        <v>2373</v>
      </c>
      <c r="L5343" s="6">
        <v>2376</v>
      </c>
      <c r="M5343" s="125">
        <f t="shared" si="631"/>
        <v>3</v>
      </c>
      <c r="P5343" s="247">
        <v>21020</v>
      </c>
      <c r="Q5343" s="25">
        <f>168.01/1115.3</f>
        <v>0.15064108311665023</v>
      </c>
      <c r="W5343" s="285">
        <f t="shared" ref="W5343" si="634">(P5343*Q5343)*(1+U5343)</f>
        <v>3166.4755671119879</v>
      </c>
      <c r="X5343" s="446">
        <f t="shared" si="633"/>
        <v>8.8579856721449648</v>
      </c>
    </row>
    <row r="5344" spans="1:24" ht="15" customHeight="1">
      <c r="A5344" s="3">
        <v>43286</v>
      </c>
      <c r="B5344" s="9">
        <v>39725</v>
      </c>
      <c r="C5344" s="5">
        <v>0</v>
      </c>
      <c r="D5344" s="5">
        <v>91450</v>
      </c>
      <c r="E5344" s="5">
        <v>131175</v>
      </c>
      <c r="F5344" s="4">
        <v>0</v>
      </c>
      <c r="G5344" s="5">
        <v>0</v>
      </c>
      <c r="H5344" s="5">
        <v>57600</v>
      </c>
      <c r="I5344" s="118">
        <f t="shared" si="630"/>
        <v>0.43910806174957118</v>
      </c>
      <c r="J5344" s="5">
        <v>46409</v>
      </c>
      <c r="K5344" s="22">
        <v>2373</v>
      </c>
      <c r="L5344" s="6">
        <v>2370</v>
      </c>
      <c r="M5344" s="125">
        <f t="shared" si="631"/>
        <v>-3</v>
      </c>
      <c r="P5344" s="247">
        <v>20750</v>
      </c>
      <c r="Q5344" s="25">
        <f>168.27/1118.4</f>
        <v>0.15045600858369099</v>
      </c>
      <c r="W5344" s="285">
        <f t="shared" ref="W5344:W5345" si="635">(P5344*Q5344)*(1+U5344)</f>
        <v>3121.9621781115879</v>
      </c>
      <c r="X5344" s="446">
        <f t="shared" si="633"/>
        <v>8.7442056468605145</v>
      </c>
    </row>
    <row r="5345" spans="1:24" ht="15" customHeight="1">
      <c r="A5345" s="3">
        <v>43287</v>
      </c>
      <c r="B5345" s="9">
        <v>39675</v>
      </c>
      <c r="C5345" s="5">
        <v>0</v>
      </c>
      <c r="D5345" s="5">
        <v>91450</v>
      </c>
      <c r="E5345" s="5">
        <v>131125</v>
      </c>
      <c r="F5345" s="4">
        <v>0</v>
      </c>
      <c r="G5345" s="5">
        <v>50</v>
      </c>
      <c r="H5345" s="5">
        <v>57550</v>
      </c>
      <c r="I5345" s="118">
        <f t="shared" si="630"/>
        <v>0.43889418493803622</v>
      </c>
      <c r="J5345" s="5">
        <v>51688</v>
      </c>
      <c r="K5345" s="22">
        <v>2321</v>
      </c>
      <c r="L5345" s="6">
        <v>2320</v>
      </c>
      <c r="M5345" s="125">
        <f t="shared" si="631"/>
        <v>-1</v>
      </c>
      <c r="P5345" s="247">
        <v>20700</v>
      </c>
      <c r="Q5345" s="25">
        <f>167.67/1117.8</f>
        <v>0.15</v>
      </c>
      <c r="W5345" s="285">
        <f t="shared" si="635"/>
        <v>3105</v>
      </c>
      <c r="X5345" s="446">
        <f t="shared" si="633"/>
        <v>8.9185695820766906</v>
      </c>
    </row>
    <row r="5346" spans="1:24" ht="15" customHeight="1">
      <c r="A5346" s="3">
        <v>43290</v>
      </c>
      <c r="B5346" s="9">
        <v>39150</v>
      </c>
      <c r="C5346" s="5">
        <v>0</v>
      </c>
      <c r="D5346" s="5">
        <v>91450</v>
      </c>
      <c r="E5346" s="5">
        <v>130600</v>
      </c>
      <c r="F5346" s="4">
        <v>0</v>
      </c>
      <c r="G5346" s="5">
        <v>525</v>
      </c>
      <c r="H5346" s="5">
        <v>65900</v>
      </c>
      <c r="I5346" s="118">
        <f t="shared" si="630"/>
        <v>0.50459418070444106</v>
      </c>
      <c r="J5346" s="5">
        <v>53797</v>
      </c>
      <c r="K5346" s="22">
        <v>2357</v>
      </c>
      <c r="L5346" s="6">
        <v>2364</v>
      </c>
      <c r="M5346" s="125">
        <f t="shared" si="631"/>
        <v>7</v>
      </c>
      <c r="P5346" s="247">
        <v>20680</v>
      </c>
      <c r="Q5346" s="25">
        <f>167.49/1112.3</f>
        <v>0.15057987952890409</v>
      </c>
      <c r="W5346" s="285">
        <f t="shared" ref="W5346" si="636">(P5346*Q5346)*(1+U5346)</f>
        <v>3113.9919086577365</v>
      </c>
      <c r="X5346" s="446">
        <f t="shared" si="633"/>
        <v>8.7738650827322875</v>
      </c>
    </row>
    <row r="5347" spans="1:24" ht="15" customHeight="1">
      <c r="A5347" s="3">
        <v>43291</v>
      </c>
      <c r="B5347" s="9">
        <v>38325</v>
      </c>
      <c r="C5347" s="5">
        <v>0</v>
      </c>
      <c r="D5347" s="5">
        <v>91450</v>
      </c>
      <c r="E5347" s="5">
        <v>129775</v>
      </c>
      <c r="F5347" s="4">
        <v>0</v>
      </c>
      <c r="G5347" s="5">
        <v>825</v>
      </c>
      <c r="H5347" s="5">
        <v>65100</v>
      </c>
      <c r="I5347" s="118">
        <f t="shared" si="630"/>
        <v>0.50163744943170874</v>
      </c>
      <c r="J5347" s="5">
        <v>66266</v>
      </c>
      <c r="K5347" s="22">
        <v>2283</v>
      </c>
      <c r="L5347" s="6">
        <v>2289</v>
      </c>
      <c r="M5347" s="125">
        <f t="shared" si="631"/>
        <v>6</v>
      </c>
      <c r="P5347" s="247">
        <v>20590</v>
      </c>
      <c r="Q5347" s="25">
        <f>168.46/1113.8</f>
        <v>0.15124797988866942</v>
      </c>
      <c r="W5347" s="285">
        <f t="shared" ref="W5347:W5360" si="637">(P5347*Q5347)*(1+U5347)</f>
        <v>3114.1959059077035</v>
      </c>
      <c r="X5347" s="446">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18">
        <f t="shared" si="630"/>
        <v>0.49433150899139955</v>
      </c>
      <c r="J5348" s="5">
        <v>75557</v>
      </c>
      <c r="K5348" s="22">
        <v>2244</v>
      </c>
      <c r="L5348" s="6">
        <v>2259</v>
      </c>
      <c r="M5348" s="125">
        <f t="shared" si="631"/>
        <v>15</v>
      </c>
      <c r="P5348" s="247">
        <v>20160</v>
      </c>
      <c r="Q5348" s="25">
        <f>167.78/1120.8</f>
        <v>0.14969664525339044</v>
      </c>
      <c r="W5348" s="285">
        <f t="shared" si="637"/>
        <v>3017.884368308351</v>
      </c>
      <c r="X5348" s="446">
        <f t="shared" si="638"/>
        <v>8.9839572192513373</v>
      </c>
    </row>
    <row r="5349" spans="1:24" ht="15" customHeight="1">
      <c r="A5349" s="3">
        <v>43293</v>
      </c>
      <c r="B5349" s="9">
        <v>35875</v>
      </c>
      <c r="C5349" s="5">
        <v>0</v>
      </c>
      <c r="D5349" s="5">
        <v>91425</v>
      </c>
      <c r="E5349" s="5">
        <v>127300</v>
      </c>
      <c r="F5349" s="4">
        <v>0</v>
      </c>
      <c r="G5349" s="5">
        <v>600</v>
      </c>
      <c r="H5349" s="5">
        <v>62725</v>
      </c>
      <c r="I5349" s="118">
        <f t="shared" si="630"/>
        <v>0.49273369992144539</v>
      </c>
      <c r="J5349" s="5">
        <v>91037</v>
      </c>
      <c r="K5349" s="22">
        <v>2140</v>
      </c>
      <c r="L5349" s="6">
        <v>2159</v>
      </c>
      <c r="M5349" s="125">
        <f t="shared" si="631"/>
        <v>19</v>
      </c>
      <c r="P5349" s="247">
        <v>19950</v>
      </c>
      <c r="Q5349" s="25">
        <f>167.98/1127.8</f>
        <v>0.14894484837737187</v>
      </c>
      <c r="W5349" s="285">
        <f t="shared" si="637"/>
        <v>2971.4497251285688</v>
      </c>
      <c r="X5349" s="446">
        <f t="shared" si="638"/>
        <v>9.3224299065420553</v>
      </c>
    </row>
    <row r="5350" spans="1:24" ht="15" customHeight="1">
      <c r="A5350" s="3">
        <v>43294</v>
      </c>
      <c r="B5350" s="9">
        <v>35875</v>
      </c>
      <c r="C5350" s="5">
        <v>0</v>
      </c>
      <c r="D5350" s="5">
        <v>91725</v>
      </c>
      <c r="E5350" s="5">
        <v>127600</v>
      </c>
      <c r="F5350" s="4">
        <v>300</v>
      </c>
      <c r="G5350" s="5">
        <v>0</v>
      </c>
      <c r="H5350" s="5">
        <v>62275</v>
      </c>
      <c r="I5350" s="118">
        <f t="shared" si="630"/>
        <v>0.48804858934169276</v>
      </c>
      <c r="J5350" s="5">
        <v>83622</v>
      </c>
      <c r="K5350" s="22">
        <v>2162</v>
      </c>
      <c r="L5350" s="6">
        <v>2182</v>
      </c>
      <c r="M5350" s="125">
        <f t="shared" si="631"/>
        <v>20</v>
      </c>
      <c r="P5350" s="247">
        <v>19900</v>
      </c>
      <c r="Q5350" s="25">
        <f>168.16/1123.4</f>
        <v>0.14968844578956736</v>
      </c>
      <c r="W5350" s="285">
        <f t="shared" si="637"/>
        <v>2978.8000712123903</v>
      </c>
      <c r="X5350" s="446">
        <f t="shared" si="638"/>
        <v>9.2044403330249764</v>
      </c>
    </row>
    <row r="5351" spans="1:24" ht="15" customHeight="1">
      <c r="A5351" s="3">
        <v>43297</v>
      </c>
      <c r="B5351" s="9">
        <v>35875</v>
      </c>
      <c r="C5351" s="5">
        <v>0</v>
      </c>
      <c r="D5351" s="5">
        <v>91725</v>
      </c>
      <c r="E5351" s="5">
        <v>127600</v>
      </c>
      <c r="F5351" s="4">
        <v>0</v>
      </c>
      <c r="G5351" s="5">
        <v>0</v>
      </c>
      <c r="H5351" s="5">
        <v>62825</v>
      </c>
      <c r="I5351" s="118">
        <f t="shared" si="630"/>
        <v>0.49235893416927901</v>
      </c>
      <c r="J5351" s="5">
        <v>65990</v>
      </c>
      <c r="K5351" s="22">
        <v>2183</v>
      </c>
      <c r="L5351" s="6">
        <v>2198</v>
      </c>
      <c r="M5351" s="125">
        <f t="shared" si="631"/>
        <v>15</v>
      </c>
      <c r="P5351" s="247">
        <v>19750</v>
      </c>
      <c r="Q5351" s="25">
        <f>168.26/1128.7</f>
        <v>0.14907415610879771</v>
      </c>
      <c r="W5351" s="285">
        <f t="shared" si="637"/>
        <v>2944.2145831487546</v>
      </c>
      <c r="X5351" s="446">
        <f t="shared" si="638"/>
        <v>9.047182775996335</v>
      </c>
    </row>
    <row r="5352" spans="1:24" ht="15" customHeight="1">
      <c r="A5352" s="3">
        <v>43298</v>
      </c>
      <c r="B5352" s="9">
        <v>35875</v>
      </c>
      <c r="C5352" s="5">
        <v>0</v>
      </c>
      <c r="D5352" s="5">
        <v>91725</v>
      </c>
      <c r="E5352" s="5">
        <v>127600</v>
      </c>
      <c r="F5352" s="4">
        <v>0</v>
      </c>
      <c r="G5352" s="5">
        <v>0</v>
      </c>
      <c r="H5352" s="5">
        <v>63325</v>
      </c>
      <c r="I5352" s="118">
        <f t="shared" si="630"/>
        <v>0.49627742946708464</v>
      </c>
      <c r="J5352" s="5">
        <v>62022</v>
      </c>
      <c r="K5352" s="22">
        <v>2164</v>
      </c>
      <c r="L5352" s="6">
        <v>2184</v>
      </c>
      <c r="M5352" s="125">
        <f t="shared" si="631"/>
        <v>20</v>
      </c>
      <c r="P5352" s="247">
        <v>19300</v>
      </c>
      <c r="Q5352" s="25">
        <f>168.06/1125.2</f>
        <v>0.1493601137575542</v>
      </c>
      <c r="W5352" s="285">
        <f t="shared" si="637"/>
        <v>2882.6501955207959</v>
      </c>
      <c r="X5352" s="446">
        <f t="shared" si="638"/>
        <v>8.9186691312384472</v>
      </c>
    </row>
    <row r="5353" spans="1:24" ht="15" customHeight="1">
      <c r="A5353" s="3">
        <v>43299</v>
      </c>
      <c r="B5353" s="9">
        <v>36950</v>
      </c>
      <c r="C5353" s="5">
        <v>0</v>
      </c>
      <c r="D5353" s="5">
        <v>91725</v>
      </c>
      <c r="E5353" s="5">
        <v>128675</v>
      </c>
      <c r="F5353" s="4">
        <v>1075</v>
      </c>
      <c r="G5353" s="5">
        <v>0</v>
      </c>
      <c r="H5353" s="5">
        <v>63325</v>
      </c>
      <c r="I5353" s="118">
        <f t="shared" si="630"/>
        <v>0.49213133864387021</v>
      </c>
      <c r="J5353" s="5">
        <v>52406</v>
      </c>
      <c r="K5353" s="22">
        <v>2118</v>
      </c>
      <c r="L5353" s="6">
        <v>2138</v>
      </c>
      <c r="M5353" s="125">
        <f t="shared" si="631"/>
        <v>20</v>
      </c>
      <c r="P5353" s="247">
        <v>19200</v>
      </c>
      <c r="Q5353" s="25">
        <f>167.8/1128.9</f>
        <v>0.14864026928868809</v>
      </c>
      <c r="W5353" s="285">
        <f t="shared" si="637"/>
        <v>2853.8931703428116</v>
      </c>
      <c r="X5353" s="446">
        <f t="shared" si="638"/>
        <v>9.0651558073654392</v>
      </c>
    </row>
    <row r="5354" spans="1:24" ht="15" customHeight="1">
      <c r="A5354" s="3">
        <v>43300</v>
      </c>
      <c r="B5354" s="9">
        <v>36850</v>
      </c>
      <c r="C5354" s="5">
        <v>0</v>
      </c>
      <c r="D5354" s="5">
        <v>91725</v>
      </c>
      <c r="E5354" s="5">
        <v>128575</v>
      </c>
      <c r="F5354" s="4">
        <v>0</v>
      </c>
      <c r="G5354" s="5">
        <v>100</v>
      </c>
      <c r="H5354" s="5">
        <v>63225</v>
      </c>
      <c r="I5354" s="118">
        <f t="shared" si="630"/>
        <v>0.49173634065720395</v>
      </c>
      <c r="J5354" s="5">
        <v>70295</v>
      </c>
      <c r="K5354" s="22">
        <v>2092.5</v>
      </c>
      <c r="L5354" s="6">
        <v>2108</v>
      </c>
      <c r="M5354" s="125">
        <f t="shared" si="631"/>
        <v>15.5</v>
      </c>
      <c r="P5354" s="247">
        <v>19350</v>
      </c>
      <c r="Q5354" s="25">
        <f>167.19/1131.2</f>
        <v>0.14779879773691654</v>
      </c>
      <c r="W5354" s="285">
        <f t="shared" si="637"/>
        <v>2859.9067362093351</v>
      </c>
      <c r="X5354" s="446">
        <f t="shared" si="638"/>
        <v>9.2473118279569899</v>
      </c>
    </row>
    <row r="5355" spans="1:24" ht="15" customHeight="1">
      <c r="A5355" s="3">
        <v>43301</v>
      </c>
      <c r="B5355" s="9">
        <v>36600</v>
      </c>
      <c r="C5355" s="5">
        <v>0</v>
      </c>
      <c r="D5355" s="5">
        <v>91675</v>
      </c>
      <c r="E5355" s="5">
        <v>128275</v>
      </c>
      <c r="F5355" s="4">
        <v>0</v>
      </c>
      <c r="G5355" s="5">
        <v>300</v>
      </c>
      <c r="H5355" s="5">
        <v>63475</v>
      </c>
      <c r="I5355" s="118">
        <f t="shared" si="630"/>
        <v>0.49483531475345938</v>
      </c>
      <c r="J5355" s="5">
        <v>41845</v>
      </c>
      <c r="K5355" s="22">
        <v>2100</v>
      </c>
      <c r="L5355" s="6">
        <v>2120.5</v>
      </c>
      <c r="M5355" s="125">
        <f t="shared" si="631"/>
        <v>20.5</v>
      </c>
      <c r="P5355" s="247">
        <v>19150</v>
      </c>
      <c r="Q5355" s="25">
        <f>166.71/1134.8</f>
        <v>0.14690694395488194</v>
      </c>
      <c r="W5355" s="285">
        <f t="shared" si="637"/>
        <v>2813.2679767359891</v>
      </c>
      <c r="X5355" s="446">
        <f t="shared" si="638"/>
        <v>9.1190476190476186</v>
      </c>
    </row>
    <row r="5356" spans="1:24" ht="15" customHeight="1">
      <c r="A5356" s="3">
        <v>43304</v>
      </c>
      <c r="B5356" s="9">
        <v>35700</v>
      </c>
      <c r="C5356" s="5">
        <v>0</v>
      </c>
      <c r="D5356" s="5">
        <v>91675</v>
      </c>
      <c r="E5356" s="5">
        <v>127375</v>
      </c>
      <c r="F5356" s="4">
        <v>0</v>
      </c>
      <c r="G5356" s="5">
        <v>900</v>
      </c>
      <c r="H5356" s="5">
        <v>62525</v>
      </c>
      <c r="I5356" s="118">
        <f t="shared" si="630"/>
        <v>0.49087340529931306</v>
      </c>
      <c r="J5356" s="5">
        <v>44903</v>
      </c>
      <c r="K5356" s="22">
        <v>2140</v>
      </c>
      <c r="L5356" s="6">
        <v>2160</v>
      </c>
      <c r="M5356" s="125">
        <f t="shared" si="631"/>
        <v>20</v>
      </c>
      <c r="P5356" s="247">
        <v>19150</v>
      </c>
      <c r="Q5356" s="25">
        <f>166.58/1128.5</f>
        <v>0.14761187416925123</v>
      </c>
      <c r="W5356" s="285">
        <f t="shared" si="637"/>
        <v>2826.767390341161</v>
      </c>
      <c r="X5356" s="446">
        <f t="shared" si="638"/>
        <v>8.9485981308411215</v>
      </c>
    </row>
    <row r="5357" spans="1:24" ht="15" customHeight="1">
      <c r="A5357" s="3">
        <v>43305</v>
      </c>
      <c r="B5357" s="9">
        <v>35700</v>
      </c>
      <c r="C5357" s="5">
        <v>0</v>
      </c>
      <c r="D5357" s="5">
        <v>91975</v>
      </c>
      <c r="E5357" s="5">
        <v>127675</v>
      </c>
      <c r="F5357" s="4">
        <v>300</v>
      </c>
      <c r="G5357" s="5">
        <v>0</v>
      </c>
      <c r="H5357" s="5">
        <v>63775</v>
      </c>
      <c r="I5357" s="118">
        <f t="shared" si="630"/>
        <v>0.49951047581750541</v>
      </c>
      <c r="J5357" s="5">
        <v>48420</v>
      </c>
      <c r="K5357" s="22">
        <v>2132.5</v>
      </c>
      <c r="L5357" s="6">
        <v>2154</v>
      </c>
      <c r="M5357" s="125">
        <f t="shared" si="631"/>
        <v>21.5</v>
      </c>
      <c r="P5357" s="247">
        <v>19100</v>
      </c>
      <c r="Q5357" s="25">
        <f>166.1/1135.2</f>
        <v>0.14631782945736432</v>
      </c>
      <c r="W5357" s="285">
        <f t="shared" si="637"/>
        <v>2794.6705426356584</v>
      </c>
      <c r="X5357" s="446">
        <f t="shared" si="638"/>
        <v>8.9566236811254392</v>
      </c>
    </row>
    <row r="5358" spans="1:24" ht="15" customHeight="1">
      <c r="A5358" s="3">
        <v>43306</v>
      </c>
      <c r="B5358" s="9">
        <v>35700</v>
      </c>
      <c r="C5358" s="5">
        <v>0</v>
      </c>
      <c r="D5358" s="5">
        <v>91900</v>
      </c>
      <c r="E5358" s="5">
        <v>127600</v>
      </c>
      <c r="F5358" s="4">
        <v>0</v>
      </c>
      <c r="G5358" s="5">
        <v>75</v>
      </c>
      <c r="H5358" s="5">
        <v>63900</v>
      </c>
      <c r="I5358" s="118">
        <f t="shared" si="630"/>
        <v>0.5007836990595611</v>
      </c>
      <c r="J5358" s="5">
        <v>43810</v>
      </c>
      <c r="K5358" s="22">
        <v>2132.5</v>
      </c>
      <c r="L5358" s="6">
        <v>2154</v>
      </c>
      <c r="M5358" s="125">
        <f t="shared" si="631"/>
        <v>21.5</v>
      </c>
      <c r="P5358" s="247">
        <v>19250</v>
      </c>
      <c r="Q5358" s="25">
        <f>165.52/1127.5</f>
        <v>0.14680266075388027</v>
      </c>
      <c r="W5358" s="285">
        <f t="shared" si="637"/>
        <v>2825.9512195121952</v>
      </c>
      <c r="X5358" s="446">
        <f t="shared" si="638"/>
        <v>9.0269636576787811</v>
      </c>
    </row>
    <row r="5359" spans="1:24" ht="15" customHeight="1">
      <c r="A5359" s="3">
        <v>43307</v>
      </c>
      <c r="B5359" s="9">
        <v>35300</v>
      </c>
      <c r="C5359" s="5">
        <v>0</v>
      </c>
      <c r="D5359" s="5">
        <v>92075</v>
      </c>
      <c r="E5359" s="5">
        <v>127375</v>
      </c>
      <c r="F5359" s="4">
        <v>175</v>
      </c>
      <c r="G5359" s="5">
        <v>400</v>
      </c>
      <c r="H5359" s="5">
        <v>63175</v>
      </c>
      <c r="I5359" s="118">
        <f t="shared" si="630"/>
        <v>0.4959764474975466</v>
      </c>
      <c r="J5359" s="5">
        <v>36080</v>
      </c>
      <c r="K5359" s="22">
        <v>2141</v>
      </c>
      <c r="L5359" s="6">
        <v>2158</v>
      </c>
      <c r="M5359" s="125">
        <f t="shared" si="631"/>
        <v>17</v>
      </c>
      <c r="P5359" s="247">
        <v>19250</v>
      </c>
      <c r="Q5359" s="25">
        <f>165.46/1119.6</f>
        <v>0.14778492318685246</v>
      </c>
      <c r="W5359" s="285">
        <f t="shared" si="637"/>
        <v>2844.8597713469098</v>
      </c>
      <c r="X5359" s="446">
        <f t="shared" si="638"/>
        <v>8.9911256422232597</v>
      </c>
    </row>
    <row r="5360" spans="1:24" ht="15" customHeight="1">
      <c r="A5360" s="3">
        <v>43308</v>
      </c>
      <c r="B5360" s="9">
        <v>35300</v>
      </c>
      <c r="C5360" s="5">
        <v>0</v>
      </c>
      <c r="D5360" s="5">
        <v>92050</v>
      </c>
      <c r="E5360" s="5">
        <v>127850</v>
      </c>
      <c r="F5360" s="4">
        <v>500</v>
      </c>
      <c r="G5360" s="5">
        <v>25</v>
      </c>
      <c r="H5360" s="5">
        <v>63150</v>
      </c>
      <c r="I5360" s="118">
        <f t="shared" si="630"/>
        <v>0.49393820883848261</v>
      </c>
      <c r="J5360" s="5">
        <v>36820</v>
      </c>
      <c r="K5360" s="22">
        <v>2137.5</v>
      </c>
      <c r="L5360" s="6">
        <v>2155</v>
      </c>
      <c r="M5360" s="125">
        <f t="shared" si="631"/>
        <v>17.5</v>
      </c>
      <c r="P5360" s="247">
        <v>19320</v>
      </c>
      <c r="Q5360" s="25">
        <f>164.48/1120</f>
        <v>0.14685714285714285</v>
      </c>
      <c r="W5360" s="285">
        <f t="shared" si="637"/>
        <v>2837.2799999999997</v>
      </c>
      <c r="X5360" s="446">
        <f t="shared" si="638"/>
        <v>9.0385964912280699</v>
      </c>
    </row>
    <row r="5361" spans="1:24" ht="15" customHeight="1">
      <c r="A5361" s="3">
        <v>43311</v>
      </c>
      <c r="B5361" s="9">
        <v>34800</v>
      </c>
      <c r="C5361" s="5">
        <v>0</v>
      </c>
      <c r="D5361" s="5">
        <v>92025</v>
      </c>
      <c r="E5361" s="5">
        <v>127325</v>
      </c>
      <c r="F5361" s="4">
        <v>0</v>
      </c>
      <c r="G5361" s="5">
        <v>525</v>
      </c>
      <c r="H5361" s="5">
        <v>62825</v>
      </c>
      <c r="I5361" s="118">
        <f t="shared" si="630"/>
        <v>0.49342234439426663</v>
      </c>
      <c r="J5361" s="5">
        <v>40954</v>
      </c>
      <c r="K5361" s="22">
        <v>2133</v>
      </c>
      <c r="L5361" s="6">
        <v>2145</v>
      </c>
      <c r="M5361" s="125">
        <f t="shared" si="631"/>
        <v>12</v>
      </c>
      <c r="P5361" s="247">
        <v>18920</v>
      </c>
      <c r="Q5361" s="25">
        <f>163.32/1116.7</f>
        <v>0.14625235067609921</v>
      </c>
      <c r="W5361" s="285">
        <f t="shared" ref="W5361" si="639">(P5361*Q5361)*(1+U5361)</f>
        <v>2767.094474791797</v>
      </c>
      <c r="X5361" s="446">
        <f t="shared" ref="X5361" si="640">P5361/K5361</f>
        <v>8.8701359587435533</v>
      </c>
    </row>
    <row r="5362" spans="1:24" ht="15" customHeight="1">
      <c r="A5362" s="3">
        <v>43312</v>
      </c>
      <c r="B5362" s="9">
        <v>34600</v>
      </c>
      <c r="C5362" s="5">
        <v>0</v>
      </c>
      <c r="D5362" s="5">
        <v>92025</v>
      </c>
      <c r="E5362" s="5">
        <v>127125</v>
      </c>
      <c r="F5362" s="4">
        <v>0</v>
      </c>
      <c r="G5362" s="5">
        <v>200</v>
      </c>
      <c r="H5362" s="5">
        <v>62625</v>
      </c>
      <c r="I5362" s="118">
        <f t="shared" si="630"/>
        <v>0.49262536873156343</v>
      </c>
      <c r="J5362" s="5">
        <v>44611</v>
      </c>
      <c r="K5362" s="22">
        <v>2154</v>
      </c>
      <c r="L5362" s="6">
        <v>2168</v>
      </c>
      <c r="M5362" s="125">
        <f t="shared" si="631"/>
        <v>14</v>
      </c>
      <c r="N5362" s="381">
        <f>AVERAGE($K$5341:K5362)</f>
        <v>2212.909090909091</v>
      </c>
      <c r="O5362" s="230">
        <f>AVERAGE($K$5206:K5362)</f>
        <v>2419.4353741496598</v>
      </c>
      <c r="P5362" s="247">
        <v>18710</v>
      </c>
      <c r="Q5362" s="25">
        <f>163.66/1117.9</f>
        <v>0.14639949906073887</v>
      </c>
      <c r="W5362" s="285">
        <f t="shared" ref="W5362" si="641">(P5362*Q5362)*(1+U5362)</f>
        <v>2739.1346274264242</v>
      </c>
      <c r="X5362" s="446">
        <f t="shared" ref="X5362" si="642">P5362/K5362</f>
        <v>8.6861652739090065</v>
      </c>
    </row>
    <row r="5363" spans="1:24" ht="15" customHeight="1" thickBot="1">
      <c r="A5363" s="216"/>
      <c r="B5363" s="394"/>
      <c r="C5363" s="394"/>
      <c r="D5363" s="394"/>
      <c r="E5363" s="216"/>
      <c r="F5363" s="407"/>
      <c r="G5363" s="164"/>
      <c r="H5363" s="164"/>
      <c r="I5363" s="164"/>
      <c r="J5363" s="166"/>
      <c r="K5363" s="166"/>
      <c r="L5363" s="167"/>
      <c r="M5363" s="167"/>
      <c r="N5363" s="169" t="s">
        <v>52</v>
      </c>
      <c r="O5363" s="169"/>
      <c r="P5363" s="180"/>
      <c r="Q5363" s="154"/>
      <c r="R5363" s="248"/>
      <c r="S5363" s="249"/>
      <c r="T5363" s="249"/>
      <c r="U5363" s="152"/>
      <c r="V5363" s="153">
        <f>AVERAGE(P5341:P5362)</f>
        <v>19853.636363636364</v>
      </c>
      <c r="W5363" s="153"/>
      <c r="X5363" s="447">
        <f>AVERAGE(X5342:X5362)</f>
        <v>8.9835535819596064</v>
      </c>
    </row>
    <row r="5364" spans="1:24" ht="15" customHeight="1">
      <c r="A5364" s="3">
        <v>43313</v>
      </c>
      <c r="B5364" s="9">
        <v>34500</v>
      </c>
      <c r="C5364" s="5">
        <v>0</v>
      </c>
      <c r="D5364" s="5">
        <v>92025</v>
      </c>
      <c r="E5364" s="5">
        <v>127025</v>
      </c>
      <c r="F5364" s="4">
        <v>25</v>
      </c>
      <c r="G5364" s="5">
        <v>125</v>
      </c>
      <c r="H5364" s="5">
        <v>62925</v>
      </c>
      <c r="I5364" s="118">
        <f t="shared" si="630"/>
        <v>0.49537492619563078</v>
      </c>
      <c r="J5364" s="5">
        <v>49932</v>
      </c>
      <c r="K5364" s="22">
        <v>2115.5</v>
      </c>
      <c r="L5364" s="6">
        <v>2127</v>
      </c>
      <c r="M5364" s="125">
        <f t="shared" si="631"/>
        <v>11.5</v>
      </c>
      <c r="P5364" s="247">
        <v>18560</v>
      </c>
      <c r="Q5364" s="25">
        <f>163.85/1119.3</f>
        <v>0.14638613419101223</v>
      </c>
      <c r="W5364" s="285">
        <f t="shared" ref="W5364" si="643">(P5364*Q5364)*(1+U5364)</f>
        <v>2716.926650585187</v>
      </c>
      <c r="X5364" s="446">
        <f t="shared" ref="X5364" si="644">P5364/K5364</f>
        <v>8.7733396360198537</v>
      </c>
    </row>
    <row r="5365" spans="1:24" ht="15" customHeight="1">
      <c r="A5365" s="3">
        <v>43314</v>
      </c>
      <c r="B5365" s="9">
        <v>34500</v>
      </c>
      <c r="C5365" s="5">
        <v>0</v>
      </c>
      <c r="D5365" s="5">
        <v>91950</v>
      </c>
      <c r="E5365" s="5">
        <v>126950</v>
      </c>
      <c r="F5365" s="4">
        <v>0</v>
      </c>
      <c r="G5365" s="5">
        <v>75</v>
      </c>
      <c r="H5365" s="5">
        <v>64825</v>
      </c>
      <c r="I5365" s="118">
        <f t="shared" si="630"/>
        <v>0.51063410791650254</v>
      </c>
      <c r="J5365" s="5">
        <v>52110</v>
      </c>
      <c r="K5365" s="22">
        <v>2143</v>
      </c>
      <c r="L5365" s="6">
        <v>2155</v>
      </c>
      <c r="M5365" s="125">
        <f t="shared" si="631"/>
        <v>12</v>
      </c>
      <c r="P5365" s="247">
        <v>18460</v>
      </c>
      <c r="Q5365" s="25">
        <f>164.44/1122.6</f>
        <v>0.14648138250489934</v>
      </c>
      <c r="W5365" s="285">
        <f t="shared" ref="W5365" si="645">(P5365*Q5365)*(1+U5365)</f>
        <v>2704.0463210404419</v>
      </c>
      <c r="X5365" s="446">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18">
        <f t="shared" si="630"/>
        <v>0.50428884899261917</v>
      </c>
      <c r="J5366" s="5">
        <v>46895</v>
      </c>
      <c r="K5366" s="22">
        <v>2136</v>
      </c>
      <c r="L5366" s="6">
        <v>2145</v>
      </c>
      <c r="M5366" s="125">
        <f t="shared" si="631"/>
        <v>9</v>
      </c>
      <c r="P5366" s="247">
        <v>18220</v>
      </c>
      <c r="Q5366" s="25">
        <f>163.88/1128.1</f>
        <v>0.14527080932541442</v>
      </c>
      <c r="W5366" s="285">
        <f t="shared" ref="W5366" si="647">(P5366*Q5366)*(1+U5366)</f>
        <v>2646.8341459090507</v>
      </c>
      <c r="X5366" s="446">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18">
        <f t="shared" si="630"/>
        <v>0.50964023057046315</v>
      </c>
      <c r="J5367" s="5">
        <v>46847</v>
      </c>
      <c r="K5367" s="22">
        <v>2073</v>
      </c>
      <c r="L5367" s="6">
        <v>2085</v>
      </c>
      <c r="M5367" s="125">
        <f t="shared" si="631"/>
        <v>12</v>
      </c>
      <c r="P5367" s="247">
        <v>18050</v>
      </c>
      <c r="Q5367" s="25">
        <f>164.22/1123.5</f>
        <v>0.14616822429906542</v>
      </c>
      <c r="W5367" s="285">
        <f t="shared" ref="W5367" si="649">(P5367*Q5367)*(1+U5367)</f>
        <v>2638.336448598131</v>
      </c>
      <c r="X5367" s="446">
        <f t="shared" ref="X5367" si="650">P5367/K5367</f>
        <v>8.7071876507477093</v>
      </c>
    </row>
    <row r="5368" spans="1:24" ht="15" customHeight="1">
      <c r="A5368" s="3">
        <v>43319</v>
      </c>
      <c r="B5368" s="9">
        <v>32950</v>
      </c>
      <c r="C5368" s="5">
        <v>0</v>
      </c>
      <c r="D5368" s="5">
        <v>91825</v>
      </c>
      <c r="E5368" s="5">
        <v>125775</v>
      </c>
      <c r="F5368" s="4">
        <v>0</v>
      </c>
      <c r="G5368" s="5">
        <v>0</v>
      </c>
      <c r="H5368" s="5">
        <v>64100</v>
      </c>
      <c r="I5368" s="118">
        <f t="shared" si="630"/>
        <v>0.50964023057046315</v>
      </c>
      <c r="J5368" s="5">
        <v>54813</v>
      </c>
      <c r="K5368" s="22">
        <v>2122.5</v>
      </c>
      <c r="L5368" s="6">
        <v>2135</v>
      </c>
      <c r="M5368" s="125">
        <f t="shared" si="631"/>
        <v>12.5</v>
      </c>
      <c r="P5368" s="247">
        <v>18050</v>
      </c>
      <c r="Q5368" s="25">
        <f>163.97/1125.7</f>
        <v>0.14566047792484677</v>
      </c>
      <c r="W5368" s="285">
        <f t="shared" ref="W5368" si="651">(P5368*Q5368)*(1+U5368)</f>
        <v>2629.1716265434843</v>
      </c>
      <c r="X5368" s="446">
        <f t="shared" ref="X5368" si="652">P5368/K5368</f>
        <v>8.5041224970553593</v>
      </c>
    </row>
    <row r="5369" spans="1:24" ht="15" customHeight="1">
      <c r="A5369" s="3">
        <v>43320</v>
      </c>
      <c r="B5369" s="9">
        <v>32425</v>
      </c>
      <c r="C5369" s="5">
        <v>0</v>
      </c>
      <c r="D5369" s="5">
        <v>91825</v>
      </c>
      <c r="E5369" s="5">
        <v>125125</v>
      </c>
      <c r="F5369" s="4">
        <v>0</v>
      </c>
      <c r="G5369" s="5">
        <v>650</v>
      </c>
      <c r="H5369" s="5">
        <v>63450</v>
      </c>
      <c r="I5369" s="118">
        <f t="shared" si="630"/>
        <v>0.50709290709290711</v>
      </c>
      <c r="J5369" s="5">
        <v>59113</v>
      </c>
      <c r="K5369" s="22">
        <v>2131</v>
      </c>
      <c r="L5369" s="6">
        <v>2146</v>
      </c>
      <c r="M5369" s="125">
        <f t="shared" si="631"/>
        <v>15</v>
      </c>
      <c r="P5369" s="247">
        <v>18250</v>
      </c>
      <c r="Q5369" s="25">
        <f>163.96/1118.8</f>
        <v>0.1465498748659278</v>
      </c>
      <c r="W5369" s="285">
        <f t="shared" ref="W5369:W5378" si="653">(P5369*Q5369)*(1+U5369)</f>
        <v>2674.5352163031821</v>
      </c>
      <c r="X5369" s="446">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18">
        <f t="shared" si="630"/>
        <v>0.50596803560590731</v>
      </c>
      <c r="J5370" s="5">
        <v>52871</v>
      </c>
      <c r="K5370" s="22">
        <v>2136.5</v>
      </c>
      <c r="L5370" s="6">
        <v>2156</v>
      </c>
      <c r="M5370" s="125">
        <f t="shared" si="631"/>
        <v>19.5</v>
      </c>
      <c r="P5370" s="247">
        <v>18350</v>
      </c>
      <c r="Q5370" s="25">
        <f>164.03/1123</f>
        <v>0.14606411398040961</v>
      </c>
      <c r="W5370" s="285">
        <f t="shared" si="653"/>
        <v>2680.2764915405164</v>
      </c>
      <c r="X5370" s="446">
        <f t="shared" si="654"/>
        <v>8.5888134799906393</v>
      </c>
    </row>
    <row r="5371" spans="1:24" ht="15" customHeight="1">
      <c r="A5371" s="3">
        <v>43322</v>
      </c>
      <c r="B5371" s="9">
        <v>30550</v>
      </c>
      <c r="C5371" s="5">
        <v>0</v>
      </c>
      <c r="D5371" s="5">
        <v>91625</v>
      </c>
      <c r="E5371" s="5">
        <v>123050</v>
      </c>
      <c r="F5371" s="4">
        <v>0</v>
      </c>
      <c r="G5371" s="5">
        <v>525</v>
      </c>
      <c r="H5371" s="5">
        <v>62000</v>
      </c>
      <c r="I5371" s="118">
        <f t="shared" si="630"/>
        <v>0.50386021942299875</v>
      </c>
      <c r="J5371" s="5">
        <v>72607</v>
      </c>
      <c r="K5371" s="22">
        <v>2092</v>
      </c>
      <c r="L5371" s="6">
        <v>2113</v>
      </c>
      <c r="M5371" s="125">
        <f t="shared" si="631"/>
        <v>21</v>
      </c>
      <c r="P5371" s="247">
        <v>18290</v>
      </c>
      <c r="Q5371" s="25">
        <f>164.36/1126.3</f>
        <v>0.14592914853946554</v>
      </c>
      <c r="W5371" s="285">
        <f t="shared" si="653"/>
        <v>2669.0441267868246</v>
      </c>
      <c r="X5371" s="446">
        <f t="shared" si="654"/>
        <v>8.7428298279158696</v>
      </c>
    </row>
    <row r="5372" spans="1:24" ht="15" customHeight="1">
      <c r="A5372" s="3">
        <v>43325</v>
      </c>
      <c r="B5372" s="9">
        <v>29400</v>
      </c>
      <c r="C5372" s="5">
        <v>0</v>
      </c>
      <c r="D5372" s="5">
        <v>91625</v>
      </c>
      <c r="E5372" s="5">
        <v>121900</v>
      </c>
      <c r="F5372" s="4">
        <v>0</v>
      </c>
      <c r="G5372" s="5">
        <v>1150</v>
      </c>
      <c r="H5372" s="5">
        <v>60850</v>
      </c>
      <c r="I5372" s="118">
        <f t="shared" si="630"/>
        <v>0.49917965545529125</v>
      </c>
      <c r="J5372" s="5">
        <v>70966</v>
      </c>
      <c r="K5372" s="22">
        <v>2070</v>
      </c>
      <c r="L5372" s="6">
        <v>2084</v>
      </c>
      <c r="M5372" s="125">
        <f t="shared" si="631"/>
        <v>14</v>
      </c>
      <c r="P5372" s="247">
        <v>18190</v>
      </c>
      <c r="Q5372" s="25">
        <f>164.78/1121.37</f>
        <v>0.14694525446551987</v>
      </c>
      <c r="W5372" s="285">
        <f t="shared" si="653"/>
        <v>2672.9341787278063</v>
      </c>
      <c r="X5372" s="446">
        <f t="shared" si="654"/>
        <v>8.7874396135265709</v>
      </c>
    </row>
    <row r="5373" spans="1:24" ht="15" customHeight="1">
      <c r="A5373" s="3">
        <v>43326</v>
      </c>
      <c r="B5373" s="9">
        <v>29175</v>
      </c>
      <c r="C5373" s="5">
        <v>0</v>
      </c>
      <c r="D5373" s="5">
        <v>91625</v>
      </c>
      <c r="E5373" s="5">
        <v>122175</v>
      </c>
      <c r="F5373" s="4">
        <v>0</v>
      </c>
      <c r="G5373" s="5">
        <v>225</v>
      </c>
      <c r="H5373" s="5">
        <v>60725</v>
      </c>
      <c r="I5373" s="118">
        <f t="shared" si="630"/>
        <v>0.49703294454675673</v>
      </c>
      <c r="J5373" s="5">
        <v>105746</v>
      </c>
      <c r="K5373" s="22">
        <v>2090</v>
      </c>
      <c r="L5373" s="6">
        <v>2112</v>
      </c>
      <c r="M5373" s="125">
        <f t="shared" si="631"/>
        <v>22</v>
      </c>
      <c r="P5373" s="247">
        <v>18120</v>
      </c>
      <c r="Q5373" s="25">
        <f>164.78/1133.7</f>
        <v>0.14534709358736878</v>
      </c>
      <c r="W5373" s="285">
        <f t="shared" si="653"/>
        <v>2633.689335803122</v>
      </c>
      <c r="X5373" s="446">
        <f t="shared" si="654"/>
        <v>8.669856459330143</v>
      </c>
    </row>
    <row r="5374" spans="1:24" ht="15" customHeight="1">
      <c r="A5374" s="3">
        <v>43327</v>
      </c>
      <c r="B5374" s="9">
        <v>32475</v>
      </c>
      <c r="C5374" s="5">
        <v>0</v>
      </c>
      <c r="D5374" s="5">
        <v>91575</v>
      </c>
      <c r="E5374" s="5">
        <v>125425</v>
      </c>
      <c r="F5374" s="4">
        <v>3300</v>
      </c>
      <c r="G5374" s="5">
        <v>50</v>
      </c>
      <c r="H5374" s="5">
        <v>60675</v>
      </c>
      <c r="I5374" s="118">
        <f t="shared" si="630"/>
        <v>0.48375523221048433</v>
      </c>
      <c r="J5374" s="5">
        <v>62307</v>
      </c>
      <c r="K5374" s="22">
        <v>1992</v>
      </c>
      <c r="L5374" s="6">
        <v>2011</v>
      </c>
      <c r="M5374" s="125">
        <f t="shared" si="631"/>
        <v>19</v>
      </c>
      <c r="P5374" s="247">
        <v>18120</v>
      </c>
      <c r="Q5374" s="25">
        <f>164.26/1132.1</f>
        <v>0.14509318964755763</v>
      </c>
      <c r="W5374" s="285">
        <f t="shared" si="653"/>
        <v>2629.0885964137442</v>
      </c>
      <c r="X5374" s="446">
        <f t="shared" si="654"/>
        <v>9.0963855421686741</v>
      </c>
    </row>
    <row r="5375" spans="1:24" ht="15" customHeight="1">
      <c r="A5375" s="3">
        <v>43328</v>
      </c>
      <c r="B5375" s="9">
        <v>32475</v>
      </c>
      <c r="C5375" s="5">
        <v>0</v>
      </c>
      <c r="D5375" s="5">
        <v>91550</v>
      </c>
      <c r="E5375" s="5">
        <v>125400</v>
      </c>
      <c r="F5375" s="4">
        <v>0</v>
      </c>
      <c r="G5375" s="5">
        <v>25</v>
      </c>
      <c r="H5375" s="5">
        <v>61250</v>
      </c>
      <c r="I5375" s="118">
        <f t="shared" si="630"/>
        <v>0.48843700159489634</v>
      </c>
      <c r="J5375" s="5">
        <v>66124</v>
      </c>
      <c r="K5375" s="22">
        <v>2002</v>
      </c>
      <c r="L5375" s="6">
        <v>2027</v>
      </c>
      <c r="M5375" s="125">
        <f t="shared" si="631"/>
        <v>25</v>
      </c>
      <c r="P5375" s="247">
        <v>17720</v>
      </c>
      <c r="Q5375" s="25">
        <f>163.53/1130.7</f>
        <v>0.1446272220748209</v>
      </c>
      <c r="W5375" s="285">
        <f t="shared" si="653"/>
        <v>2562.7943751658263</v>
      </c>
      <c r="X5375" s="446">
        <f t="shared" si="654"/>
        <v>8.8511488511488512</v>
      </c>
    </row>
    <row r="5376" spans="1:24" ht="15" customHeight="1">
      <c r="A5376" s="3">
        <v>43329</v>
      </c>
      <c r="B5376" s="9">
        <v>32475</v>
      </c>
      <c r="C5376" s="5">
        <v>0</v>
      </c>
      <c r="D5376" s="5">
        <v>91550</v>
      </c>
      <c r="E5376" s="5">
        <v>125400</v>
      </c>
      <c r="F5376" s="4">
        <v>0</v>
      </c>
      <c r="G5376" s="5">
        <v>0</v>
      </c>
      <c r="H5376" s="5">
        <v>61250</v>
      </c>
      <c r="I5376" s="118">
        <f t="shared" si="630"/>
        <v>0.48843700159489634</v>
      </c>
      <c r="J5376" s="5">
        <v>67639</v>
      </c>
      <c r="K5376" s="22">
        <v>1977</v>
      </c>
      <c r="L5376" s="6">
        <v>2002</v>
      </c>
      <c r="M5376" s="125">
        <f t="shared" si="631"/>
        <v>25</v>
      </c>
      <c r="P5376" s="247">
        <v>17670</v>
      </c>
      <c r="Q5376" s="25">
        <f>163.77/1125.6</f>
        <v>0.14549573560767592</v>
      </c>
      <c r="W5376" s="285">
        <f t="shared" si="653"/>
        <v>2570.9096481876336</v>
      </c>
      <c r="X5376" s="446">
        <f t="shared" si="654"/>
        <v>8.9377845220030352</v>
      </c>
    </row>
    <row r="5377" spans="1:24" ht="15" customHeight="1">
      <c r="A5377" s="3">
        <v>43332</v>
      </c>
      <c r="B5377" s="9">
        <v>32150</v>
      </c>
      <c r="C5377" s="5">
        <v>0</v>
      </c>
      <c r="D5377" s="5">
        <v>91850</v>
      </c>
      <c r="E5377" s="5">
        <v>125375</v>
      </c>
      <c r="F5377" s="4">
        <v>300</v>
      </c>
      <c r="G5377" s="5">
        <v>325</v>
      </c>
      <c r="H5377" s="5">
        <v>61525</v>
      </c>
      <c r="I5377" s="118">
        <f t="shared" si="630"/>
        <v>0.49072781655034897</v>
      </c>
      <c r="J5377" s="5">
        <v>53243</v>
      </c>
      <c r="K5377" s="22">
        <v>1997</v>
      </c>
      <c r="L5377" s="6">
        <v>2020</v>
      </c>
      <c r="M5377" s="125">
        <f t="shared" si="631"/>
        <v>23</v>
      </c>
      <c r="P5377" s="247">
        <v>17670</v>
      </c>
      <c r="Q5377" s="25">
        <f>163.88/1121.7</f>
        <v>0.14609967014353212</v>
      </c>
      <c r="W5377" s="285">
        <f t="shared" si="653"/>
        <v>2581.5811714362126</v>
      </c>
      <c r="X5377" s="446">
        <f t="shared" si="654"/>
        <v>8.8482724086129192</v>
      </c>
    </row>
    <row r="5378" spans="1:24" ht="15" customHeight="1">
      <c r="A5378" s="3">
        <v>43333</v>
      </c>
      <c r="B5378" s="9">
        <v>31850</v>
      </c>
      <c r="C5378" s="5">
        <v>0</v>
      </c>
      <c r="D5378" s="5">
        <v>91775</v>
      </c>
      <c r="E5378" s="5">
        <v>125500</v>
      </c>
      <c r="F5378" s="4">
        <v>0</v>
      </c>
      <c r="G5378" s="5">
        <v>375</v>
      </c>
      <c r="H5378" s="5">
        <v>61825</v>
      </c>
      <c r="I5378" s="118">
        <f t="shared" si="630"/>
        <v>0.49262948207171314</v>
      </c>
      <c r="J5378" s="5">
        <v>47904</v>
      </c>
      <c r="K5378" s="22">
        <v>1999</v>
      </c>
      <c r="L5378" s="6">
        <v>2018</v>
      </c>
      <c r="M5378" s="125">
        <f t="shared" si="631"/>
        <v>19</v>
      </c>
      <c r="P5378" s="247">
        <v>17670</v>
      </c>
      <c r="Q5378" s="25">
        <f>163.64/1118.2</f>
        <v>0.14634233589697726</v>
      </c>
      <c r="W5378" s="285">
        <f t="shared" si="653"/>
        <v>2585.8690752995881</v>
      </c>
      <c r="X5378" s="446">
        <f t="shared" si="654"/>
        <v>8.8394197098549281</v>
      </c>
    </row>
    <row r="5379" spans="1:24" ht="15" customHeight="1">
      <c r="A5379" s="3">
        <v>43334</v>
      </c>
      <c r="B5379" s="9">
        <v>33000</v>
      </c>
      <c r="C5379" s="5">
        <v>0</v>
      </c>
      <c r="D5379" s="5">
        <v>91750</v>
      </c>
      <c r="E5379" s="5">
        <v>126625</v>
      </c>
      <c r="F5379" s="4">
        <v>1150</v>
      </c>
      <c r="G5379" s="5">
        <v>25</v>
      </c>
      <c r="H5379" s="5">
        <v>63850</v>
      </c>
      <c r="I5379" s="118">
        <f t="shared" si="630"/>
        <v>0.50424481737413618</v>
      </c>
      <c r="J5379" s="5">
        <v>45639</v>
      </c>
      <c r="K5379" s="22">
        <v>1998</v>
      </c>
      <c r="L5379" s="6">
        <v>2020</v>
      </c>
      <c r="M5379" s="125">
        <f t="shared" si="631"/>
        <v>22</v>
      </c>
      <c r="P5379" s="247">
        <v>17725</v>
      </c>
      <c r="Q5379" s="25">
        <f>163.64/1118.7</f>
        <v>0.14627692857781352</v>
      </c>
      <c r="W5379" s="285">
        <f>(P5379*Q5379)*(1+U5379)</f>
        <v>2592.7585590417448</v>
      </c>
      <c r="X5379" s="446">
        <f t="shared" si="654"/>
        <v>8.8713713713713709</v>
      </c>
    </row>
    <row r="5380" spans="1:24" ht="15" customHeight="1">
      <c r="A5380" s="3">
        <v>43335</v>
      </c>
      <c r="B5380" s="9">
        <v>33000</v>
      </c>
      <c r="C5380" s="5">
        <v>0</v>
      </c>
      <c r="D5380" s="5">
        <v>91675</v>
      </c>
      <c r="E5380" s="5">
        <v>126550</v>
      </c>
      <c r="F5380" s="4">
        <v>0</v>
      </c>
      <c r="G5380" s="5">
        <v>75</v>
      </c>
      <c r="H5380" s="5">
        <v>63775</v>
      </c>
      <c r="I5380" s="118">
        <f t="shared" si="630"/>
        <v>0.50395100750691424</v>
      </c>
      <c r="J5380" s="5">
        <v>44308</v>
      </c>
      <c r="K5380" s="22">
        <v>2006</v>
      </c>
      <c r="L5380" s="6">
        <v>2025</v>
      </c>
      <c r="M5380" s="125">
        <f t="shared" si="631"/>
        <v>19</v>
      </c>
      <c r="P5380" s="247">
        <v>18000</v>
      </c>
      <c r="Q5380" s="25">
        <f>163.29/1120.8</f>
        <v>0.14569057815845823</v>
      </c>
      <c r="W5380" s="285">
        <f>(P5380*Q5380)*(1+U5380)</f>
        <v>2622.4304068522483</v>
      </c>
      <c r="X5380" s="446">
        <f t="shared" si="654"/>
        <v>8.9730807577268195</v>
      </c>
    </row>
    <row r="5381" spans="1:24" ht="15" customHeight="1">
      <c r="A5381" s="3">
        <v>43336</v>
      </c>
      <c r="B5381" s="9">
        <v>33300</v>
      </c>
      <c r="C5381" s="5">
        <v>0</v>
      </c>
      <c r="D5381" s="5">
        <v>91550</v>
      </c>
      <c r="E5381" s="5">
        <v>126725</v>
      </c>
      <c r="F5381" s="4">
        <v>300</v>
      </c>
      <c r="G5381" s="5">
        <v>125</v>
      </c>
      <c r="H5381" s="5">
        <v>64525</v>
      </c>
      <c r="I5381" s="118">
        <f>H5381/E5381</f>
        <v>0.50917340698362601</v>
      </c>
      <c r="J5381" s="5">
        <v>33338</v>
      </c>
      <c r="K5381" s="22">
        <v>2079</v>
      </c>
      <c r="L5381" s="6">
        <v>2092</v>
      </c>
      <c r="M5381" s="125">
        <f>L5381-K5381</f>
        <v>13</v>
      </c>
      <c r="P5381" s="247">
        <v>18275</v>
      </c>
      <c r="Q5381" s="25">
        <f>163.17/1121.8</f>
        <v>0.14545373506863968</v>
      </c>
      <c r="W5381" s="285">
        <f>(P5381*Q5381)*(1+U5381)</f>
        <v>2658.1670083793902</v>
      </c>
      <c r="X5381" s="446">
        <f t="shared" si="654"/>
        <v>8.7902837902837909</v>
      </c>
    </row>
    <row r="5382" spans="1:24" ht="15" customHeight="1">
      <c r="A5382" s="3">
        <v>43339</v>
      </c>
      <c r="B5382" s="1318"/>
      <c r="C5382" s="1318"/>
      <c r="D5382" s="1318"/>
      <c r="E5382" s="1318"/>
      <c r="F5382" s="1318"/>
      <c r="G5382" s="1318"/>
      <c r="H5382" s="1318"/>
      <c r="I5382" s="1318"/>
      <c r="J5382" s="1318"/>
      <c r="K5382" s="1318"/>
      <c r="L5382" s="1318"/>
      <c r="M5382" s="1318"/>
      <c r="X5382" s="446"/>
    </row>
    <row r="5383" spans="1:24" ht="15" customHeight="1">
      <c r="A5383" s="3">
        <v>43340</v>
      </c>
      <c r="B5383" s="9">
        <v>33100</v>
      </c>
      <c r="C5383" s="5">
        <v>0</v>
      </c>
      <c r="D5383" s="5">
        <v>91475</v>
      </c>
      <c r="E5383" s="5">
        <v>126450</v>
      </c>
      <c r="F5383" s="4">
        <v>0</v>
      </c>
      <c r="G5383" s="5">
        <v>275</v>
      </c>
      <c r="H5383" s="5">
        <v>64975</v>
      </c>
      <c r="I5383" s="118">
        <f>H5383/E5383</f>
        <v>0.51383946223803878</v>
      </c>
      <c r="J5383" s="5">
        <v>48384</v>
      </c>
      <c r="K5383" s="22">
        <v>2069</v>
      </c>
      <c r="L5383" s="6">
        <v>2087</v>
      </c>
      <c r="M5383" s="125">
        <f>L5383-K5383</f>
        <v>18</v>
      </c>
      <c r="P5383" s="247">
        <v>18665</v>
      </c>
      <c r="Q5383" s="25">
        <f>163.13/1110</f>
        <v>0.14696396396396397</v>
      </c>
      <c r="W5383" s="285">
        <f t="shared" ref="W5383" si="655">(P5383*Q5383)*(1+U5383)</f>
        <v>2743.0823873873874</v>
      </c>
      <c r="X5383" s="446">
        <f t="shared" si="654"/>
        <v>9.0212663122281302</v>
      </c>
    </row>
    <row r="5384" spans="1:24" ht="15" customHeight="1">
      <c r="A5384" s="3">
        <v>43341</v>
      </c>
      <c r="B5384" s="9">
        <v>32900</v>
      </c>
      <c r="C5384" s="5">
        <v>0</v>
      </c>
      <c r="D5384" s="5">
        <v>91450</v>
      </c>
      <c r="E5384" s="5">
        <v>126225</v>
      </c>
      <c r="F5384" s="4">
        <v>0</v>
      </c>
      <c r="G5384" s="5">
        <v>225</v>
      </c>
      <c r="H5384" s="5">
        <v>65050</v>
      </c>
      <c r="I5384" s="118">
        <f>H5384/E5384</f>
        <v>0.51534957417310356</v>
      </c>
      <c r="J5384" s="5">
        <v>52648</v>
      </c>
      <c r="K5384" s="22">
        <v>2065.5</v>
      </c>
      <c r="L5384" s="6">
        <v>2085</v>
      </c>
      <c r="M5384" s="125">
        <f>L5384-K5384</f>
        <v>19.5</v>
      </c>
      <c r="P5384" s="247">
        <v>18605</v>
      </c>
      <c r="Q5384" s="25">
        <f>162.85/1108.8</f>
        <v>0.14687049062049062</v>
      </c>
      <c r="W5384" s="285">
        <f t="shared" ref="W5384" si="656">(P5384*Q5384)*(1+U5384)</f>
        <v>2732.5254779942279</v>
      </c>
      <c r="X5384" s="446">
        <f t="shared" ref="X5384" si="657">P5384/K5384</f>
        <v>9.007504236262406</v>
      </c>
    </row>
    <row r="5385" spans="1:24" ht="15" customHeight="1">
      <c r="A5385" s="3">
        <v>43342</v>
      </c>
      <c r="B5385" s="9">
        <v>32900</v>
      </c>
      <c r="C5385" s="5">
        <v>0</v>
      </c>
      <c r="D5385" s="5">
        <v>91450</v>
      </c>
      <c r="E5385" s="5">
        <v>126225</v>
      </c>
      <c r="F5385" s="4">
        <v>0</v>
      </c>
      <c r="G5385" s="5">
        <v>0</v>
      </c>
      <c r="H5385" s="5">
        <v>64550</v>
      </c>
      <c r="I5385" s="118">
        <f>H5385/E5385</f>
        <v>0.51138839374133493</v>
      </c>
      <c r="J5385" s="5">
        <v>35527</v>
      </c>
      <c r="K5385" s="22">
        <v>2071</v>
      </c>
      <c r="L5385" s="6">
        <v>2084</v>
      </c>
      <c r="M5385" s="125">
        <f>L5385-K5385</f>
        <v>13</v>
      </c>
      <c r="P5385" s="247">
        <v>18950</v>
      </c>
      <c r="Q5385" s="25">
        <f>162.29/1108.8</f>
        <v>0.14636544011544012</v>
      </c>
      <c r="W5385" s="285">
        <f t="shared" ref="W5385:W5398" si="658">(P5385*Q5385)*(1+U5385)</f>
        <v>2773.6250901875901</v>
      </c>
      <c r="X5385" s="446">
        <f t="shared" ref="X5385" si="659">P5385/K5385</f>
        <v>9.1501690004828582</v>
      </c>
    </row>
    <row r="5386" spans="1:24" ht="15" customHeight="1">
      <c r="A5386" s="3">
        <v>43343</v>
      </c>
      <c r="B5386" s="9">
        <v>32850</v>
      </c>
      <c r="C5386" s="5">
        <v>0</v>
      </c>
      <c r="D5386" s="5">
        <v>91425</v>
      </c>
      <c r="E5386" s="5">
        <v>126150</v>
      </c>
      <c r="F5386" s="4">
        <v>0</v>
      </c>
      <c r="G5386" s="5">
        <v>75</v>
      </c>
      <c r="H5386" s="5">
        <v>66050</v>
      </c>
      <c r="I5386" s="118">
        <f>H5386/E5386</f>
        <v>0.5235830360681728</v>
      </c>
      <c r="J5386" s="5">
        <v>38491</v>
      </c>
      <c r="K5386" s="22">
        <v>2062</v>
      </c>
      <c r="L5386" s="6">
        <v>2075</v>
      </c>
      <c r="M5386" s="125">
        <f>L5386-K5386</f>
        <v>13</v>
      </c>
      <c r="N5386" s="381">
        <f>AVERAGE($K$5364:K5386)</f>
        <v>2064.8636363636365</v>
      </c>
      <c r="O5386" s="230">
        <f>AVERAGE($K$5206:K5386)</f>
        <v>2373.2781065088757</v>
      </c>
      <c r="P5386" s="247">
        <v>19010</v>
      </c>
      <c r="Q5386" s="25">
        <f>162.58/1113.3</f>
        <v>0.14603431240456302</v>
      </c>
      <c r="W5386" s="285">
        <f t="shared" si="658"/>
        <v>2776.1122788107432</v>
      </c>
      <c r="X5386" s="446">
        <f>P5386/K5386</f>
        <v>9.219204655674103</v>
      </c>
    </row>
    <row r="5387" spans="1:24" ht="15" customHeight="1" thickBot="1">
      <c r="A5387" s="216"/>
      <c r="B5387" s="394"/>
      <c r="C5387" s="394"/>
      <c r="D5387" s="394"/>
      <c r="E5387" s="216"/>
      <c r="F5387" s="407"/>
      <c r="G5387" s="164"/>
      <c r="H5387" s="164"/>
      <c r="I5387" s="164"/>
      <c r="J5387" s="166"/>
      <c r="K5387" s="166"/>
      <c r="L5387" s="167"/>
      <c r="M5387" s="167"/>
      <c r="N5387" s="169" t="s">
        <v>52</v>
      </c>
      <c r="O5387" s="169"/>
      <c r="P5387" s="180"/>
      <c r="Q5387" s="154"/>
      <c r="R5387" s="248"/>
      <c r="S5387" s="249"/>
      <c r="T5387" s="249"/>
      <c r="U5387" s="152"/>
      <c r="V5387" s="153">
        <f>AVERAGE(P5364:P5386)</f>
        <v>18210</v>
      </c>
      <c r="W5387" s="390"/>
      <c r="X5387" s="447">
        <f>AVERAGE(X5364:X5386)</f>
        <v>8.8221631680726684</v>
      </c>
    </row>
    <row r="5388" spans="1:24" ht="15" customHeight="1">
      <c r="A5388" s="3">
        <v>43346</v>
      </c>
      <c r="B5388" s="9">
        <v>31875</v>
      </c>
      <c r="C5388" s="5">
        <v>0</v>
      </c>
      <c r="D5388" s="5">
        <v>89300</v>
      </c>
      <c r="E5388" s="5">
        <v>122925</v>
      </c>
      <c r="F5388" s="4">
        <v>0</v>
      </c>
      <c r="G5388" s="5">
        <v>3100</v>
      </c>
      <c r="H5388" s="5">
        <v>63875</v>
      </c>
      <c r="I5388" s="118">
        <f t="shared" ref="I5388:I5406" si="660">H5388/E5388</f>
        <v>0.51962578808216398</v>
      </c>
      <c r="J5388" s="5">
        <v>41602</v>
      </c>
      <c r="K5388" s="22">
        <v>2101</v>
      </c>
      <c r="L5388" s="6">
        <v>2119</v>
      </c>
      <c r="M5388" s="125">
        <f t="shared" ref="M5388:M5406" si="661">L5388-K5388</f>
        <v>18</v>
      </c>
      <c r="P5388" s="247">
        <v>19250</v>
      </c>
      <c r="Q5388" s="25">
        <f>162.73/1101.38</f>
        <v>0.14775100328678564</v>
      </c>
      <c r="W5388" s="285">
        <f t="shared" si="658"/>
        <v>2844.2068132706236</v>
      </c>
      <c r="X5388" s="446">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18">
        <f t="shared" si="660"/>
        <v>0.5197867541521427</v>
      </c>
      <c r="J5389" s="5">
        <v>34877</v>
      </c>
      <c r="K5389" s="22">
        <v>2086</v>
      </c>
      <c r="L5389" s="6">
        <v>2102</v>
      </c>
      <c r="M5389" s="125">
        <f t="shared" si="661"/>
        <v>16</v>
      </c>
      <c r="P5389" s="247">
        <v>19450</v>
      </c>
      <c r="Q5389" s="25">
        <f>163.1/1114.2</f>
        <v>0.14638305510680308</v>
      </c>
      <c r="W5389" s="285">
        <f t="shared" si="658"/>
        <v>2847.1504218273199</v>
      </c>
      <c r="X5389" s="446">
        <f t="shared" si="662"/>
        <v>9.3240651965484176</v>
      </c>
    </row>
    <row r="5390" spans="1:24" ht="15" customHeight="1">
      <c r="A5390" s="3">
        <v>43348</v>
      </c>
      <c r="B5390" s="9">
        <v>30475</v>
      </c>
      <c r="C5390" s="5">
        <v>0</v>
      </c>
      <c r="D5390" s="5">
        <v>89275</v>
      </c>
      <c r="E5390" s="5">
        <v>121500</v>
      </c>
      <c r="F5390" s="4">
        <v>0</v>
      </c>
      <c r="G5390" s="5">
        <v>425</v>
      </c>
      <c r="H5390" s="5">
        <v>62950</v>
      </c>
      <c r="I5390" s="118">
        <f t="shared" si="660"/>
        <v>0.51810699588477371</v>
      </c>
      <c r="J5390" s="5">
        <v>55105</v>
      </c>
      <c r="K5390" s="22">
        <v>2067</v>
      </c>
      <c r="L5390" s="6">
        <v>2080</v>
      </c>
      <c r="M5390" s="125">
        <f t="shared" si="661"/>
        <v>13</v>
      </c>
      <c r="P5390" s="247">
        <v>19230</v>
      </c>
      <c r="Q5390" s="25">
        <f>162.97/1117.6</f>
        <v>0.14582140300644239</v>
      </c>
      <c r="W5390" s="285">
        <f t="shared" si="658"/>
        <v>2804.1455798138873</v>
      </c>
      <c r="X5390" s="446">
        <f t="shared" si="662"/>
        <v>9.3033381712627001</v>
      </c>
    </row>
    <row r="5391" spans="1:24" ht="15" customHeight="1">
      <c r="A5391" s="3">
        <v>43349</v>
      </c>
      <c r="B5391" s="9">
        <v>30650</v>
      </c>
      <c r="C5391" s="5">
        <v>0</v>
      </c>
      <c r="D5391" s="5">
        <v>89225</v>
      </c>
      <c r="E5391" s="5">
        <v>121625</v>
      </c>
      <c r="F5391" s="4">
        <v>175</v>
      </c>
      <c r="G5391" s="5">
        <v>50</v>
      </c>
      <c r="H5391" s="5">
        <v>62775</v>
      </c>
      <c r="I5391" s="118">
        <f t="shared" si="660"/>
        <v>0.51613566289825286</v>
      </c>
      <c r="J5391" s="5">
        <v>53534</v>
      </c>
      <c r="K5391" s="22">
        <v>2044</v>
      </c>
      <c r="L5391" s="6">
        <v>2061</v>
      </c>
      <c r="M5391" s="125">
        <f t="shared" si="661"/>
        <v>17</v>
      </c>
      <c r="P5391" s="247">
        <v>19115</v>
      </c>
      <c r="Q5391" s="25">
        <f>163.66/1121.2</f>
        <v>0.14596860506600071</v>
      </c>
      <c r="W5391" s="285">
        <f t="shared" si="658"/>
        <v>2790.1898858366035</v>
      </c>
      <c r="X5391" s="446">
        <f t="shared" si="662"/>
        <v>9.3517612524461846</v>
      </c>
    </row>
    <row r="5392" spans="1:24" ht="15" customHeight="1">
      <c r="A5392" s="3">
        <v>43350</v>
      </c>
      <c r="B5392" s="9">
        <v>30525</v>
      </c>
      <c r="C5392" s="5">
        <v>0</v>
      </c>
      <c r="D5392" s="5">
        <v>89125</v>
      </c>
      <c r="E5392" s="5">
        <v>121400</v>
      </c>
      <c r="F5392" s="4">
        <v>0</v>
      </c>
      <c r="G5392" s="5">
        <v>225</v>
      </c>
      <c r="H5392" s="5">
        <v>70025</v>
      </c>
      <c r="I5392" s="118">
        <f t="shared" si="660"/>
        <v>0.57681219110378912</v>
      </c>
      <c r="J5392" s="5">
        <v>59741</v>
      </c>
      <c r="K5392" s="22">
        <v>2036.5</v>
      </c>
      <c r="L5392" s="6">
        <v>2059.5</v>
      </c>
      <c r="M5392" s="125">
        <f t="shared" si="661"/>
        <v>23</v>
      </c>
      <c r="P5392" s="247">
        <v>19235</v>
      </c>
      <c r="Q5392" s="25">
        <f>164.12/1123.1</f>
        <v>0.14613124387855045</v>
      </c>
      <c r="W5392" s="285">
        <f t="shared" si="658"/>
        <v>2810.8344760039181</v>
      </c>
      <c r="X5392" s="446">
        <f t="shared" si="662"/>
        <v>9.44512644242573</v>
      </c>
    </row>
    <row r="5393" spans="1:24" ht="15" customHeight="1">
      <c r="A5393" s="3">
        <v>43353</v>
      </c>
      <c r="B5393" s="9">
        <v>29475</v>
      </c>
      <c r="C5393" s="5">
        <v>0</v>
      </c>
      <c r="D5393" s="5">
        <v>89275</v>
      </c>
      <c r="E5393" s="5">
        <v>120500</v>
      </c>
      <c r="F5393" s="4">
        <v>150</v>
      </c>
      <c r="G5393" s="5">
        <v>1050</v>
      </c>
      <c r="H5393" s="5">
        <v>69075</v>
      </c>
      <c r="I5393" s="118">
        <f t="shared" si="660"/>
        <v>0.57323651452282154</v>
      </c>
      <c r="J5393" s="5">
        <v>39555</v>
      </c>
      <c r="K5393" s="22">
        <v>2056</v>
      </c>
      <c r="L5393" s="6">
        <v>2077</v>
      </c>
      <c r="M5393" s="125">
        <f t="shared" si="661"/>
        <v>21</v>
      </c>
      <c r="P5393" s="247">
        <v>19485</v>
      </c>
      <c r="Q5393" s="25">
        <f>164.15/1128.1</f>
        <v>0.14551014980941407</v>
      </c>
      <c r="W5393" s="285">
        <f t="shared" si="658"/>
        <v>2835.265269036433</v>
      </c>
      <c r="X5393" s="446">
        <f t="shared" si="662"/>
        <v>9.4771400778210122</v>
      </c>
    </row>
    <row r="5394" spans="1:24" ht="15" customHeight="1">
      <c r="A5394" s="3">
        <v>43354</v>
      </c>
      <c r="B5394" s="9">
        <v>29275</v>
      </c>
      <c r="C5394" s="5">
        <v>0</v>
      </c>
      <c r="D5394" s="5">
        <v>89275</v>
      </c>
      <c r="E5394" s="5">
        <v>120300</v>
      </c>
      <c r="F5394" s="4">
        <v>0</v>
      </c>
      <c r="G5394" s="5">
        <v>200</v>
      </c>
      <c r="H5394" s="5">
        <v>68875</v>
      </c>
      <c r="I5394" s="118">
        <f t="shared" si="660"/>
        <v>0.57252701579384868</v>
      </c>
      <c r="J5394" s="5">
        <v>53353</v>
      </c>
      <c r="K5394" s="22">
        <v>1970</v>
      </c>
      <c r="L5394" s="6">
        <v>1992</v>
      </c>
      <c r="M5394" s="125">
        <f t="shared" si="661"/>
        <v>22</v>
      </c>
      <c r="P5394" s="247">
        <v>19205</v>
      </c>
      <c r="Q5394" s="25">
        <f>164.1/1126.8</f>
        <v>0.14563365282215124</v>
      </c>
      <c r="W5394" s="285">
        <f t="shared" si="658"/>
        <v>2796.8943024494147</v>
      </c>
      <c r="X5394" s="446">
        <f t="shared" si="662"/>
        <v>9.7487309644670059</v>
      </c>
    </row>
    <row r="5395" spans="1:24" ht="15" customHeight="1">
      <c r="A5395" s="3">
        <v>43355</v>
      </c>
      <c r="B5395" s="9">
        <v>29275</v>
      </c>
      <c r="C5395" s="5">
        <v>0</v>
      </c>
      <c r="D5395" s="5">
        <v>89275</v>
      </c>
      <c r="E5395" s="5">
        <v>120300</v>
      </c>
      <c r="F5395" s="4">
        <v>0</v>
      </c>
      <c r="G5395" s="5">
        <v>0</v>
      </c>
      <c r="H5395" s="5">
        <v>69075</v>
      </c>
      <c r="I5395" s="118">
        <f t="shared" si="660"/>
        <v>0.57418952618453867</v>
      </c>
      <c r="J5395" s="5">
        <v>60611</v>
      </c>
      <c r="K5395" s="22">
        <v>1982</v>
      </c>
      <c r="L5395" s="6">
        <v>2003</v>
      </c>
      <c r="M5395" s="125">
        <f t="shared" si="661"/>
        <v>21</v>
      </c>
      <c r="P5395" s="247"/>
      <c r="Q5395" s="25">
        <f>163.72/1127.3</f>
        <v>0.14523197019426951</v>
      </c>
      <c r="X5395" s="446"/>
    </row>
    <row r="5396" spans="1:24" ht="15" customHeight="1">
      <c r="A5396" s="3">
        <v>43356</v>
      </c>
      <c r="B5396" s="9">
        <v>28400</v>
      </c>
      <c r="C5396" s="5">
        <v>0</v>
      </c>
      <c r="D5396" s="5">
        <v>89275</v>
      </c>
      <c r="E5396" s="5">
        <v>119425</v>
      </c>
      <c r="F5396" s="4">
        <v>0</v>
      </c>
      <c r="G5396" s="5">
        <v>875</v>
      </c>
      <c r="H5396" s="5">
        <v>70250</v>
      </c>
      <c r="I5396" s="118">
        <f t="shared" si="660"/>
        <v>0.58823529411764708</v>
      </c>
      <c r="J5396" s="5">
        <v>59222</v>
      </c>
      <c r="K5396" s="22">
        <v>2042</v>
      </c>
      <c r="L5396" s="6">
        <v>2061</v>
      </c>
      <c r="M5396" s="125">
        <f t="shared" si="661"/>
        <v>19</v>
      </c>
      <c r="P5396" s="247">
        <v>19005</v>
      </c>
      <c r="Q5396" s="25">
        <f>163.67/1121.2</f>
        <v>0.1459775240813414</v>
      </c>
      <c r="W5396" s="285">
        <f t="shared" si="658"/>
        <v>2774.3028451658934</v>
      </c>
      <c r="X5396" s="446">
        <f t="shared" si="662"/>
        <v>9.3070519098922624</v>
      </c>
    </row>
    <row r="5397" spans="1:24" ht="15" customHeight="1">
      <c r="A5397" s="3">
        <v>43357</v>
      </c>
      <c r="B5397" s="9">
        <v>27900</v>
      </c>
      <c r="C5397" s="5">
        <v>0</v>
      </c>
      <c r="D5397" s="5">
        <v>89275</v>
      </c>
      <c r="E5397" s="5">
        <v>118925</v>
      </c>
      <c r="F5397" s="4">
        <v>0</v>
      </c>
      <c r="G5397" s="5">
        <v>500</v>
      </c>
      <c r="H5397" s="5">
        <v>69875</v>
      </c>
      <c r="I5397" s="118">
        <f t="shared" si="660"/>
        <v>0.58755518183729238</v>
      </c>
      <c r="J5397" s="5">
        <v>62878</v>
      </c>
      <c r="K5397" s="22">
        <v>2050</v>
      </c>
      <c r="L5397" s="6">
        <v>2061</v>
      </c>
      <c r="M5397" s="125">
        <f t="shared" si="661"/>
        <v>11</v>
      </c>
      <c r="P5397" s="247">
        <v>19040</v>
      </c>
      <c r="Q5397" s="25">
        <f>163.46/1119.2</f>
        <v>0.1460507505360972</v>
      </c>
      <c r="W5397" s="285">
        <f t="shared" si="658"/>
        <v>2780.8062902072907</v>
      </c>
      <c r="X5397" s="446">
        <f t="shared" si="662"/>
        <v>9.2878048780487799</v>
      </c>
    </row>
    <row r="5398" spans="1:24" ht="15" customHeight="1">
      <c r="A5398" s="3">
        <v>43360</v>
      </c>
      <c r="B5398" s="9">
        <v>27200</v>
      </c>
      <c r="C5398" s="5">
        <v>0</v>
      </c>
      <c r="D5398" s="5">
        <v>89275</v>
      </c>
      <c r="E5398" s="5">
        <v>118075</v>
      </c>
      <c r="F5398" s="4">
        <v>0</v>
      </c>
      <c r="G5398" s="5">
        <v>850</v>
      </c>
      <c r="H5398" s="5">
        <v>69400</v>
      </c>
      <c r="I5398" s="118">
        <f t="shared" si="660"/>
        <v>0.58776201566800768</v>
      </c>
      <c r="J5398" s="5">
        <v>74006</v>
      </c>
      <c r="K5398" s="22">
        <v>2040</v>
      </c>
      <c r="L5398" s="6">
        <v>2042</v>
      </c>
      <c r="M5398" s="125">
        <f t="shared" si="661"/>
        <v>2</v>
      </c>
      <c r="P5398" s="247">
        <v>18875</v>
      </c>
      <c r="Q5398" s="25">
        <f>163.88/1126.2</f>
        <v>0.14551589415734326</v>
      </c>
      <c r="W5398" s="285">
        <f t="shared" si="658"/>
        <v>2746.6125022198539</v>
      </c>
      <c r="X5398" s="446">
        <f t="shared" si="662"/>
        <v>9.2524509803921564</v>
      </c>
    </row>
    <row r="5399" spans="1:24" ht="15" customHeight="1">
      <c r="A5399" s="3">
        <v>43361</v>
      </c>
      <c r="B5399" s="9">
        <v>27200</v>
      </c>
      <c r="C5399" s="5">
        <v>0</v>
      </c>
      <c r="D5399" s="5">
        <v>89275</v>
      </c>
      <c r="E5399" s="5">
        <v>118075</v>
      </c>
      <c r="F5399" s="4">
        <v>0</v>
      </c>
      <c r="G5399" s="5">
        <v>0</v>
      </c>
      <c r="H5399" s="5">
        <v>69800</v>
      </c>
      <c r="I5399" s="118">
        <f t="shared" si="660"/>
        <v>0.59114969299174258</v>
      </c>
      <c r="J5399" s="5">
        <v>62574</v>
      </c>
      <c r="K5399" s="22">
        <v>2046</v>
      </c>
      <c r="L5399" s="6">
        <v>2054</v>
      </c>
      <c r="M5399" s="125">
        <f t="shared" si="661"/>
        <v>8</v>
      </c>
      <c r="P5399" s="247">
        <v>18805</v>
      </c>
      <c r="Q5399" s="25">
        <f>163.83/1126.3</f>
        <v>0.1454585811950635</v>
      </c>
      <c r="W5399" s="285">
        <f t="shared" ref="W5399:W5401" si="663">(P5399*Q5399)*(1+U5399)</f>
        <v>2735.3486193731692</v>
      </c>
      <c r="X5399" s="446">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18">
        <f t="shared" si="660"/>
        <v>0.42933049946865037</v>
      </c>
      <c r="J5400" s="5">
        <v>60095</v>
      </c>
      <c r="K5400" s="22">
        <v>2025</v>
      </c>
      <c r="L5400" s="6">
        <v>2041</v>
      </c>
      <c r="M5400" s="125">
        <f t="shared" si="661"/>
        <v>16</v>
      </c>
      <c r="P5400" s="247">
        <v>19025</v>
      </c>
      <c r="Q5400" s="25">
        <f>163.86/1123</f>
        <v>0.14591273374888691</v>
      </c>
      <c r="W5400" s="285">
        <f t="shared" si="663"/>
        <v>2775.9897595725733</v>
      </c>
      <c r="X5400" s="446">
        <f t="shared" si="664"/>
        <v>9.3950617283950617</v>
      </c>
    </row>
    <row r="5401" spans="1:24" ht="15" customHeight="1">
      <c r="A5401" s="3">
        <v>43363</v>
      </c>
      <c r="B5401" s="9">
        <v>26525</v>
      </c>
      <c r="C5401" s="5">
        <v>0</v>
      </c>
      <c r="D5401" s="5">
        <v>89050</v>
      </c>
      <c r="E5401" s="5">
        <v>117175</v>
      </c>
      <c r="F5401" s="4">
        <v>0</v>
      </c>
      <c r="G5401" s="5">
        <v>450</v>
      </c>
      <c r="H5401" s="5">
        <v>50050</v>
      </c>
      <c r="I5401" s="118">
        <f t="shared" si="660"/>
        <v>0.42713889481544698</v>
      </c>
      <c r="J5401" s="5">
        <v>56652</v>
      </c>
      <c r="K5401" s="22">
        <v>2003</v>
      </c>
      <c r="L5401" s="6">
        <v>2020</v>
      </c>
      <c r="M5401" s="125">
        <f t="shared" si="661"/>
        <v>17</v>
      </c>
      <c r="P5401" s="247">
        <v>19270</v>
      </c>
      <c r="Q5401" s="25">
        <f>163.36/1119.9</f>
        <v>0.14587016697919458</v>
      </c>
      <c r="W5401" s="285">
        <f t="shared" si="663"/>
        <v>2810.9181176890797</v>
      </c>
      <c r="X5401" s="446">
        <f t="shared" si="664"/>
        <v>9.6205691462805785</v>
      </c>
    </row>
    <row r="5402" spans="1:24" ht="15" customHeight="1">
      <c r="A5402" s="3">
        <v>43364</v>
      </c>
      <c r="B5402" s="9">
        <v>26525</v>
      </c>
      <c r="C5402" s="5">
        <v>0</v>
      </c>
      <c r="D5402" s="5">
        <v>88900</v>
      </c>
      <c r="E5402" s="5">
        <v>117025</v>
      </c>
      <c r="F5402" s="4">
        <v>0</v>
      </c>
      <c r="G5402" s="5">
        <v>150</v>
      </c>
      <c r="H5402" s="5">
        <v>49900</v>
      </c>
      <c r="I5402" s="118">
        <f t="shared" si="660"/>
        <v>0.42640461439863275</v>
      </c>
      <c r="J5402" s="5">
        <v>41780</v>
      </c>
      <c r="K5402" s="22">
        <v>1995.5</v>
      </c>
      <c r="L5402" s="6">
        <v>2008</v>
      </c>
      <c r="M5402" s="125">
        <f t="shared" si="661"/>
        <v>12.5</v>
      </c>
      <c r="P5402" s="247"/>
      <c r="Q5402" s="25">
        <f t="shared" ref="Q5402:Q5404" si="665">163.36/1119.9</f>
        <v>0.14587016697919458</v>
      </c>
      <c r="X5402" s="446"/>
    </row>
    <row r="5403" spans="1:24" ht="15" customHeight="1">
      <c r="A5403" s="3">
        <v>43367</v>
      </c>
      <c r="B5403" s="9">
        <v>26225</v>
      </c>
      <c r="C5403" s="5">
        <v>0</v>
      </c>
      <c r="D5403" s="5">
        <v>88775</v>
      </c>
      <c r="E5403" s="5">
        <v>116600</v>
      </c>
      <c r="F5403" s="4">
        <v>0</v>
      </c>
      <c r="G5403" s="5">
        <v>425</v>
      </c>
      <c r="H5403" s="5">
        <v>49625</v>
      </c>
      <c r="I5403" s="118">
        <f t="shared" si="660"/>
        <v>0.42560034305317324</v>
      </c>
      <c r="J5403" s="5">
        <v>49783</v>
      </c>
      <c r="K5403" s="22">
        <v>2029</v>
      </c>
      <c r="L5403" s="6">
        <v>2035</v>
      </c>
      <c r="M5403" s="125">
        <f t="shared" si="661"/>
        <v>6</v>
      </c>
      <c r="P5403" s="247"/>
      <c r="Q5403" s="25">
        <f t="shared" si="665"/>
        <v>0.14587016697919458</v>
      </c>
      <c r="X5403" s="446"/>
    </row>
    <row r="5404" spans="1:24" ht="15" customHeight="1">
      <c r="A5404" s="3">
        <v>43368</v>
      </c>
      <c r="B5404" s="9">
        <v>26025</v>
      </c>
      <c r="C5404" s="5">
        <v>0</v>
      </c>
      <c r="D5404" s="5">
        <v>88725</v>
      </c>
      <c r="E5404" s="5">
        <v>116350</v>
      </c>
      <c r="F5404" s="4">
        <v>0</v>
      </c>
      <c r="G5404" s="5">
        <v>250</v>
      </c>
      <c r="H5404" s="5">
        <v>50275</v>
      </c>
      <c r="I5404" s="118">
        <f t="shared" si="660"/>
        <v>0.43210141813493769</v>
      </c>
      <c r="J5404" s="5">
        <v>50389</v>
      </c>
      <c r="K5404" s="22">
        <v>2018</v>
      </c>
      <c r="L5404" s="6">
        <v>2029</v>
      </c>
      <c r="M5404" s="125">
        <f t="shared" si="661"/>
        <v>11</v>
      </c>
      <c r="P5404" s="247"/>
      <c r="Q5404" s="25">
        <f t="shared" si="665"/>
        <v>0.14587016697919458</v>
      </c>
      <c r="X5404" s="446"/>
    </row>
    <row r="5405" spans="1:24" ht="15" customHeight="1">
      <c r="A5405" s="3">
        <v>43369</v>
      </c>
      <c r="B5405" s="9">
        <v>26025</v>
      </c>
      <c r="C5405" s="5">
        <v>0</v>
      </c>
      <c r="D5405" s="5">
        <v>88600</v>
      </c>
      <c r="E5405" s="5">
        <v>116225</v>
      </c>
      <c r="F5405" s="4">
        <v>0</v>
      </c>
      <c r="G5405" s="5">
        <v>125</v>
      </c>
      <c r="H5405" s="5">
        <v>50150</v>
      </c>
      <c r="I5405" s="118">
        <f t="shared" si="660"/>
        <v>0.43149064314906432</v>
      </c>
      <c r="J5405" s="5">
        <v>50477</v>
      </c>
      <c r="K5405" s="22">
        <v>1996.5</v>
      </c>
      <c r="L5405" s="6">
        <v>2015</v>
      </c>
      <c r="M5405" s="125">
        <f t="shared" si="661"/>
        <v>18.5</v>
      </c>
      <c r="P5405" s="247">
        <v>18790</v>
      </c>
      <c r="Q5405" s="25">
        <f>163.34/1116.6</f>
        <v>0.146283360200609</v>
      </c>
      <c r="W5405" s="285">
        <f t="shared" ref="W5405" si="666">(P5405*Q5405)*(1+U5405)</f>
        <v>2748.664338169443</v>
      </c>
      <c r="X5405" s="446">
        <f t="shared" ref="X5405" si="667">P5405/K5405</f>
        <v>9.4114700726270968</v>
      </c>
    </row>
    <row r="5406" spans="1:24" ht="15" customHeight="1">
      <c r="A5406" s="3">
        <v>43370</v>
      </c>
      <c r="B5406" s="9">
        <v>25750</v>
      </c>
      <c r="C5406" s="5">
        <v>0</v>
      </c>
      <c r="D5406" s="5">
        <v>88950</v>
      </c>
      <c r="E5406" s="5">
        <v>116300</v>
      </c>
      <c r="F5406" s="4">
        <v>75</v>
      </c>
      <c r="G5406" s="5">
        <v>0</v>
      </c>
      <c r="H5406" s="5">
        <v>50875</v>
      </c>
      <c r="I5406" s="118">
        <f t="shared" si="660"/>
        <v>0.43744625967325879</v>
      </c>
      <c r="J5406" s="5">
        <v>66750</v>
      </c>
      <c r="K5406" s="22">
        <v>1975</v>
      </c>
      <c r="L5406" s="6">
        <v>1990</v>
      </c>
      <c r="M5406" s="125">
        <f t="shared" si="661"/>
        <v>15</v>
      </c>
      <c r="P5406" s="247">
        <v>18510</v>
      </c>
      <c r="Q5406" s="25">
        <f>161.78/1112.7</f>
        <v>0.14539408645636739</v>
      </c>
      <c r="W5406" s="285">
        <f t="shared" ref="W5406" si="668">(P5406*Q5406)*(1+U5406)</f>
        <v>2691.2445403073602</v>
      </c>
      <c r="X5406" s="446">
        <f t="shared" ref="X5406" si="669">P5406/K5406</f>
        <v>9.3721518987341774</v>
      </c>
    </row>
    <row r="5407" spans="1:24" ht="15" customHeight="1">
      <c r="A5407" s="3">
        <v>43371</v>
      </c>
      <c r="B5407" s="9">
        <v>25600</v>
      </c>
      <c r="C5407" s="5">
        <v>0</v>
      </c>
      <c r="D5407" s="5">
        <v>88875</v>
      </c>
      <c r="E5407" s="5">
        <v>116075</v>
      </c>
      <c r="F5407" s="4">
        <v>0</v>
      </c>
      <c r="G5407" s="5">
        <v>225</v>
      </c>
      <c r="H5407" s="5">
        <v>50650</v>
      </c>
      <c r="I5407" s="118">
        <f>H5407/E5407</f>
        <v>0.43635580443678657</v>
      </c>
      <c r="J5407" s="5">
        <v>51730</v>
      </c>
      <c r="K5407" s="22">
        <v>2002</v>
      </c>
      <c r="L5407" s="6">
        <v>2015.5</v>
      </c>
      <c r="M5407" s="125">
        <f>L5407-K5407</f>
        <v>13.5</v>
      </c>
      <c r="N5407" s="381">
        <f>AVERAGE(K5388:K5407)</f>
        <v>2028.2249999999999</v>
      </c>
      <c r="O5407" s="395">
        <f>AVERAGE($K$5206:K5407)</f>
        <v>2336.7645502645501</v>
      </c>
      <c r="P5407" s="247">
        <v>18600</v>
      </c>
      <c r="Q5407" s="25">
        <f>161.27/1110.2</f>
        <v>0.14526211493424609</v>
      </c>
      <c r="W5407" s="285">
        <f>(P5407*Q5407)*(1+U5407)</f>
        <v>2701.8753377769772</v>
      </c>
      <c r="X5407" s="446">
        <f t="shared" ref="X5407" si="670">P5407/K5407</f>
        <v>9.290709290709291</v>
      </c>
    </row>
    <row r="5408" spans="1:24" ht="15" customHeight="1" thickBot="1">
      <c r="A5408" s="216"/>
      <c r="B5408" s="394"/>
      <c r="C5408" s="394"/>
      <c r="D5408" s="394"/>
      <c r="E5408" s="216"/>
      <c r="F5408" s="407"/>
      <c r="G5408" s="164"/>
      <c r="H5408" s="164"/>
      <c r="I5408" s="164"/>
      <c r="J5408" s="166"/>
      <c r="K5408" s="166"/>
      <c r="L5408" s="167"/>
      <c r="M5408" s="167"/>
      <c r="N5408" s="169" t="s">
        <v>52</v>
      </c>
      <c r="O5408" s="169"/>
      <c r="P5408" s="180"/>
      <c r="Q5408" s="154"/>
      <c r="R5408" s="248"/>
      <c r="S5408" s="249"/>
      <c r="T5408" s="249"/>
      <c r="U5408" s="152"/>
      <c r="V5408" s="153">
        <f>AVERAGE(P5388:P5407)</f>
        <v>19055.625</v>
      </c>
      <c r="W5408" s="390"/>
      <c r="X5408" s="447">
        <f>AVERAGE(X5388:X5407)</f>
        <v>9.3713025168313955</v>
      </c>
    </row>
    <row r="5409" spans="1:24" ht="15" customHeight="1">
      <c r="A5409" s="3">
        <v>43374</v>
      </c>
      <c r="B5409" s="9">
        <v>25575</v>
      </c>
      <c r="C5409" s="5">
        <v>0</v>
      </c>
      <c r="D5409" s="5">
        <v>88525</v>
      </c>
      <c r="E5409" s="5">
        <v>115700</v>
      </c>
      <c r="F5409" s="4">
        <v>0</v>
      </c>
      <c r="G5409" s="5">
        <v>375</v>
      </c>
      <c r="H5409" s="5">
        <v>50400</v>
      </c>
      <c r="I5409" s="118">
        <f t="shared" ref="I5409:I5431" si="671">H5409/E5409</f>
        <v>0.43560933448573896</v>
      </c>
      <c r="J5409" s="5">
        <v>68741</v>
      </c>
      <c r="K5409" s="22">
        <v>2009</v>
      </c>
      <c r="L5409" s="6">
        <v>2024</v>
      </c>
      <c r="M5409" s="125">
        <f t="shared" ref="M5409:M5430" si="672">L5409-K5409</f>
        <v>15</v>
      </c>
      <c r="P5409" s="247"/>
      <c r="Q5409" s="25">
        <f>161.36/1110.9</f>
        <v>0.14525159780358268</v>
      </c>
      <c r="W5409" s="285">
        <f t="shared" ref="W5409:W5415" si="673">(P5409*Q5409)*(1+U5409)</f>
        <v>0</v>
      </c>
      <c r="X5409" s="446">
        <f t="shared" ref="X5409:X5415" si="674">P5409/K5409</f>
        <v>0</v>
      </c>
    </row>
    <row r="5410" spans="1:24" ht="15" customHeight="1">
      <c r="A5410" s="3">
        <v>43375</v>
      </c>
      <c r="B5410" s="9">
        <v>24925</v>
      </c>
      <c r="C5410" s="5">
        <v>0</v>
      </c>
      <c r="D5410" s="5">
        <v>88375</v>
      </c>
      <c r="E5410" s="5">
        <v>114900</v>
      </c>
      <c r="F5410" s="4">
        <v>0</v>
      </c>
      <c r="G5410" s="5">
        <v>800</v>
      </c>
      <c r="H5410" s="5">
        <v>49650</v>
      </c>
      <c r="I5410" s="118">
        <f t="shared" si="671"/>
        <v>0.43211488250652741</v>
      </c>
      <c r="J5410" s="5">
        <v>51930</v>
      </c>
      <c r="K5410" s="22">
        <v>2001</v>
      </c>
      <c r="L5410" s="6">
        <v>2026</v>
      </c>
      <c r="M5410" s="125">
        <f t="shared" si="672"/>
        <v>25</v>
      </c>
      <c r="P5410" s="247"/>
      <c r="Q5410" s="25">
        <v>0.14530000000000001</v>
      </c>
      <c r="W5410" s="285">
        <f t="shared" si="673"/>
        <v>0</v>
      </c>
      <c r="X5410" s="446">
        <f t="shared" si="674"/>
        <v>0</v>
      </c>
    </row>
    <row r="5411" spans="1:24" ht="15" customHeight="1">
      <c r="A5411" s="3">
        <v>43376</v>
      </c>
      <c r="B5411" s="9">
        <v>24700</v>
      </c>
      <c r="C5411" s="5">
        <v>0</v>
      </c>
      <c r="D5411" s="5">
        <v>88225</v>
      </c>
      <c r="E5411" s="5">
        <v>114525</v>
      </c>
      <c r="F5411" s="4">
        <v>0</v>
      </c>
      <c r="G5411" s="5">
        <v>375</v>
      </c>
      <c r="H5411" s="5">
        <v>49275</v>
      </c>
      <c r="I5411" s="118">
        <f t="shared" si="671"/>
        <v>0.43025540275049118</v>
      </c>
      <c r="J5411" s="5">
        <v>34489</v>
      </c>
      <c r="K5411" s="22">
        <v>2020.5</v>
      </c>
      <c r="L5411" s="6">
        <v>2043</v>
      </c>
      <c r="M5411" s="125">
        <f t="shared" si="672"/>
        <v>22.5</v>
      </c>
      <c r="P5411" s="247"/>
      <c r="Q5411" s="25">
        <f>162.13/1116.4</f>
        <v>0.14522572554639912</v>
      </c>
      <c r="W5411" s="285">
        <f t="shared" si="673"/>
        <v>0</v>
      </c>
      <c r="X5411" s="446">
        <f t="shared" si="674"/>
        <v>0</v>
      </c>
    </row>
    <row r="5412" spans="1:24" ht="15" customHeight="1">
      <c r="A5412" s="3">
        <v>43377</v>
      </c>
      <c r="B5412" s="9">
        <v>24650</v>
      </c>
      <c r="C5412" s="5">
        <v>0</v>
      </c>
      <c r="D5412" s="5">
        <v>87900</v>
      </c>
      <c r="E5412" s="5">
        <v>114600</v>
      </c>
      <c r="F5412" s="4">
        <v>75</v>
      </c>
      <c r="G5412" s="5">
        <v>0</v>
      </c>
      <c r="H5412" s="5">
        <v>48900</v>
      </c>
      <c r="I5412" s="118">
        <f t="shared" si="671"/>
        <v>0.42670157068062825</v>
      </c>
      <c r="J5412" s="5">
        <v>46520</v>
      </c>
      <c r="K5412" s="22">
        <v>2020</v>
      </c>
      <c r="L5412" s="6">
        <v>2040</v>
      </c>
      <c r="M5412" s="125">
        <f t="shared" si="672"/>
        <v>20</v>
      </c>
      <c r="P5412" s="247"/>
      <c r="Q5412" s="25">
        <f>163.46/1128.3</f>
        <v>0.14487281751307277</v>
      </c>
      <c r="W5412" s="285">
        <f t="shared" si="673"/>
        <v>0</v>
      </c>
      <c r="X5412" s="446">
        <f t="shared" si="674"/>
        <v>0</v>
      </c>
    </row>
    <row r="5413" spans="1:24" ht="15" customHeight="1">
      <c r="A5413" s="3">
        <v>43378</v>
      </c>
      <c r="B5413" s="9">
        <v>24450</v>
      </c>
      <c r="C5413" s="5">
        <v>0</v>
      </c>
      <c r="D5413" s="5">
        <v>87775</v>
      </c>
      <c r="E5413" s="5">
        <v>114275</v>
      </c>
      <c r="F5413" s="4">
        <v>0</v>
      </c>
      <c r="G5413" s="5">
        <v>325</v>
      </c>
      <c r="H5413" s="5">
        <v>48600</v>
      </c>
      <c r="I5413" s="118">
        <f t="shared" si="671"/>
        <v>0.42528987092539927</v>
      </c>
      <c r="J5413" s="5">
        <v>83972</v>
      </c>
      <c r="K5413" s="22">
        <v>1971</v>
      </c>
      <c r="L5413" s="6">
        <v>1992</v>
      </c>
      <c r="M5413" s="125">
        <f t="shared" si="672"/>
        <v>21</v>
      </c>
      <c r="P5413" s="247"/>
      <c r="Q5413" s="25">
        <f>163.91/1130.7</f>
        <v>0.14496329707260988</v>
      </c>
      <c r="W5413" s="285">
        <f t="shared" si="673"/>
        <v>0</v>
      </c>
      <c r="X5413" s="446">
        <f t="shared" si="674"/>
        <v>0</v>
      </c>
    </row>
    <row r="5414" spans="1:24" ht="15" customHeight="1">
      <c r="A5414" s="3">
        <v>43381</v>
      </c>
      <c r="B5414" s="9">
        <v>24450</v>
      </c>
      <c r="C5414" s="5">
        <v>0</v>
      </c>
      <c r="D5414" s="5">
        <v>87650</v>
      </c>
      <c r="E5414" s="5">
        <v>114150</v>
      </c>
      <c r="F5414" s="4">
        <v>0</v>
      </c>
      <c r="G5414" s="5">
        <v>125</v>
      </c>
      <c r="H5414" s="5">
        <v>48475</v>
      </c>
      <c r="I5414" s="118">
        <f t="shared" si="671"/>
        <v>0.42466053438458168</v>
      </c>
      <c r="J5414" s="5">
        <v>47600</v>
      </c>
      <c r="K5414" s="22">
        <v>1981</v>
      </c>
      <c r="L5414" s="6">
        <v>2000</v>
      </c>
      <c r="M5414" s="125">
        <f t="shared" si="672"/>
        <v>19</v>
      </c>
      <c r="P5414" s="247"/>
      <c r="Q5414" s="25">
        <f>Q5413</f>
        <v>0.14496329707260988</v>
      </c>
      <c r="W5414" s="285">
        <f t="shared" si="673"/>
        <v>0</v>
      </c>
      <c r="X5414" s="446">
        <f t="shared" si="674"/>
        <v>0</v>
      </c>
    </row>
    <row r="5415" spans="1:24" ht="15" customHeight="1">
      <c r="A5415" s="3">
        <v>43382</v>
      </c>
      <c r="B5415" s="9">
        <v>24450</v>
      </c>
      <c r="C5415" s="5">
        <v>0</v>
      </c>
      <c r="D5415" s="5">
        <v>89850</v>
      </c>
      <c r="E5415" s="5">
        <v>116350</v>
      </c>
      <c r="F5415" s="4">
        <v>2200</v>
      </c>
      <c r="G5415" s="5">
        <v>0</v>
      </c>
      <c r="H5415" s="5">
        <v>48275</v>
      </c>
      <c r="I5415" s="118">
        <f t="shared" si="671"/>
        <v>0.41491190373871939</v>
      </c>
      <c r="J5415" s="5">
        <v>48979</v>
      </c>
      <c r="K5415" s="22">
        <v>1934</v>
      </c>
      <c r="L5415" s="6">
        <v>1960</v>
      </c>
      <c r="M5415" s="125">
        <f t="shared" si="672"/>
        <v>26</v>
      </c>
      <c r="P5415" s="247">
        <v>18720</v>
      </c>
      <c r="Q5415" s="25">
        <f>163.92/1131.7</f>
        <v>0.14484403993991338</v>
      </c>
      <c r="W5415" s="285">
        <f t="shared" si="673"/>
        <v>2711.4804276751784</v>
      </c>
      <c r="X5415" s="446">
        <f t="shared" si="674"/>
        <v>9.679420889348501</v>
      </c>
    </row>
    <row r="5416" spans="1:24" ht="15" customHeight="1">
      <c r="A5416" s="3">
        <v>43383</v>
      </c>
      <c r="B5416" s="9">
        <v>24450</v>
      </c>
      <c r="C5416" s="5">
        <v>0</v>
      </c>
      <c r="D5416" s="5">
        <v>89725</v>
      </c>
      <c r="E5416" s="5">
        <v>116225</v>
      </c>
      <c r="F5416" s="4">
        <v>0</v>
      </c>
      <c r="G5416" s="5">
        <v>125</v>
      </c>
      <c r="H5416" s="5">
        <v>48375</v>
      </c>
      <c r="I5416" s="118">
        <f t="shared" si="671"/>
        <v>0.41621854162185418</v>
      </c>
      <c r="J5416" s="5">
        <v>76829</v>
      </c>
      <c r="K5416" s="22">
        <v>1915</v>
      </c>
      <c r="L5416" s="6">
        <v>1939</v>
      </c>
      <c r="M5416" s="125">
        <f t="shared" si="672"/>
        <v>24</v>
      </c>
      <c r="P5416" s="247">
        <v>18535</v>
      </c>
      <c r="Q5416" s="25">
        <f>163.62/1132.5</f>
        <v>0.14447682119205299</v>
      </c>
      <c r="W5416" s="285">
        <f t="shared" ref="W5416" si="675">(P5416*Q5416)*(1+U5416)</f>
        <v>2677.8778807947024</v>
      </c>
      <c r="X5416" s="446">
        <f t="shared" ref="X5416" si="676">P5416/K5416</f>
        <v>9.6788511749347261</v>
      </c>
    </row>
    <row r="5417" spans="1:24" ht="15" customHeight="1">
      <c r="A5417" s="3">
        <v>43384</v>
      </c>
      <c r="B5417" s="9">
        <v>24450</v>
      </c>
      <c r="C5417" s="5">
        <v>0</v>
      </c>
      <c r="D5417" s="5">
        <v>89625</v>
      </c>
      <c r="E5417" s="5">
        <v>116375</v>
      </c>
      <c r="F5417" s="4">
        <v>0</v>
      </c>
      <c r="G5417" s="5">
        <v>100</v>
      </c>
      <c r="H5417" s="5">
        <v>48475</v>
      </c>
      <c r="I5417" s="118">
        <f t="shared" si="671"/>
        <v>0.41654135338345866</v>
      </c>
      <c r="J5417" s="5">
        <v>95529</v>
      </c>
      <c r="K5417" s="22">
        <v>1909</v>
      </c>
      <c r="L5417" s="6">
        <v>1908</v>
      </c>
      <c r="M5417" s="125">
        <f t="shared" si="672"/>
        <v>-1</v>
      </c>
      <c r="P5417" s="247">
        <v>18405</v>
      </c>
      <c r="Q5417" s="25">
        <f>164.64/1142.5</f>
        <v>0.14410503282275711</v>
      </c>
      <c r="W5417" s="285">
        <f t="shared" ref="W5417:W5431" si="677">(P5417*Q5417)*(1+U5417)</f>
        <v>2652.2531291028445</v>
      </c>
      <c r="X5417" s="446">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18">
        <f t="shared" si="671"/>
        <v>0.41537800687285226</v>
      </c>
      <c r="J5418" s="5">
        <v>119565</v>
      </c>
      <c r="K5418" s="22">
        <v>2037</v>
      </c>
      <c r="L5418" s="6">
        <v>2030</v>
      </c>
      <c r="M5418" s="125">
        <f t="shared" si="672"/>
        <v>-7</v>
      </c>
      <c r="P5418" s="247">
        <v>18875</v>
      </c>
      <c r="Q5418" s="25">
        <f>164.43/1133.3</f>
        <v>0.14508956145768995</v>
      </c>
      <c r="W5418" s="285">
        <f t="shared" si="677"/>
        <v>2738.5654725138979</v>
      </c>
      <c r="X5418" s="446">
        <f t="shared" si="678"/>
        <v>9.266077565046638</v>
      </c>
    </row>
    <row r="5419" spans="1:24" ht="15" customHeight="1">
      <c r="A5419" s="3">
        <v>43388</v>
      </c>
      <c r="B5419" s="9">
        <v>24450</v>
      </c>
      <c r="C5419" s="5">
        <v>0</v>
      </c>
      <c r="D5419" s="5">
        <v>89550</v>
      </c>
      <c r="E5419" s="5">
        <v>116300</v>
      </c>
      <c r="F5419" s="4">
        <v>0</v>
      </c>
      <c r="G5419" s="5">
        <v>100</v>
      </c>
      <c r="H5419" s="5">
        <v>50800</v>
      </c>
      <c r="I5419" s="118">
        <f t="shared" si="671"/>
        <v>0.43680137575236455</v>
      </c>
      <c r="J5419" s="5">
        <v>113163</v>
      </c>
      <c r="K5419" s="22">
        <v>2091</v>
      </c>
      <c r="L5419" s="6">
        <v>2088</v>
      </c>
      <c r="M5419" s="125">
        <f t="shared" si="672"/>
        <v>-3</v>
      </c>
      <c r="P5419" s="247">
        <v>19125</v>
      </c>
      <c r="Q5419" s="25">
        <f>163.9/1133.4</f>
        <v>0.14460914063878594</v>
      </c>
      <c r="W5419" s="285">
        <f t="shared" si="677"/>
        <v>2765.6498147167808</v>
      </c>
      <c r="X5419" s="446">
        <f t="shared" si="678"/>
        <v>9.1463414634146343</v>
      </c>
    </row>
    <row r="5420" spans="1:24" ht="15" customHeight="1">
      <c r="A5420" s="3">
        <v>43389</v>
      </c>
      <c r="B5420" s="9">
        <v>24050</v>
      </c>
      <c r="C5420" s="5">
        <v>0</v>
      </c>
      <c r="D5420" s="5">
        <v>89425</v>
      </c>
      <c r="E5420" s="5">
        <v>115775</v>
      </c>
      <c r="F5420" s="4">
        <v>0</v>
      </c>
      <c r="G5420" s="5">
        <v>525</v>
      </c>
      <c r="H5420" s="5">
        <v>50725</v>
      </c>
      <c r="I5420" s="118">
        <f t="shared" si="671"/>
        <v>0.43813431224357591</v>
      </c>
      <c r="J5420" s="5">
        <v>102917</v>
      </c>
      <c r="K5420" s="22">
        <v>2079</v>
      </c>
      <c r="L5420" s="6">
        <v>2095</v>
      </c>
      <c r="M5420" s="125">
        <f t="shared" si="672"/>
        <v>16</v>
      </c>
      <c r="N5420" s="410"/>
      <c r="P5420" s="247">
        <v>19115</v>
      </c>
      <c r="Q5420" s="25">
        <f>162.99/1128.1</f>
        <v>0.14448187217445263</v>
      </c>
      <c r="W5420" s="285">
        <f t="shared" si="677"/>
        <v>2761.770986614662</v>
      </c>
      <c r="X5420" s="446">
        <f t="shared" si="678"/>
        <v>9.194324194324194</v>
      </c>
    </row>
    <row r="5421" spans="1:24" ht="15" customHeight="1">
      <c r="A5421" s="3">
        <v>43390</v>
      </c>
      <c r="B5421" s="9">
        <v>23925</v>
      </c>
      <c r="C5421" s="5">
        <v>0</v>
      </c>
      <c r="D5421" s="5">
        <v>89350</v>
      </c>
      <c r="E5421" s="5">
        <v>115875</v>
      </c>
      <c r="F5421" s="4">
        <v>100</v>
      </c>
      <c r="G5421" s="5">
        <v>0</v>
      </c>
      <c r="H5421" s="5">
        <v>50525</v>
      </c>
      <c r="I5421" s="118">
        <f t="shared" si="671"/>
        <v>0.43603020496224382</v>
      </c>
      <c r="J5421" s="5">
        <v>83851</v>
      </c>
      <c r="K5421" s="22">
        <v>2013</v>
      </c>
      <c r="L5421" s="6">
        <v>2027</v>
      </c>
      <c r="M5421" s="125">
        <f t="shared" si="672"/>
        <v>14</v>
      </c>
      <c r="P5421" s="247">
        <v>18970</v>
      </c>
      <c r="Q5421" s="25">
        <f>162.55/1125</f>
        <v>0.14448888888888889</v>
      </c>
      <c r="W5421" s="285">
        <f t="shared" si="677"/>
        <v>2740.9542222222221</v>
      </c>
      <c r="X5421" s="446">
        <f t="shared" si="678"/>
        <v>9.4237456532538495</v>
      </c>
    </row>
    <row r="5422" spans="1:24" ht="15" customHeight="1">
      <c r="A5422" s="3">
        <v>43391</v>
      </c>
      <c r="B5422" s="9">
        <v>23925</v>
      </c>
      <c r="C5422" s="5">
        <v>0</v>
      </c>
      <c r="D5422" s="5">
        <v>89200</v>
      </c>
      <c r="E5422" s="5">
        <v>115725</v>
      </c>
      <c r="F5422" s="4">
        <v>0</v>
      </c>
      <c r="G5422" s="5">
        <v>150</v>
      </c>
      <c r="H5422" s="5">
        <v>50475</v>
      </c>
      <c r="I5422" s="118">
        <f t="shared" si="671"/>
        <v>0.43616331821127674</v>
      </c>
      <c r="J5422" s="5"/>
      <c r="K5422" s="22">
        <v>1992</v>
      </c>
      <c r="L5422" s="6">
        <v>2012</v>
      </c>
      <c r="M5422" s="125">
        <f t="shared" si="672"/>
        <v>20</v>
      </c>
      <c r="P5422" s="247">
        <v>18855</v>
      </c>
      <c r="Q5422" s="25">
        <f>163.29/1132.6</f>
        <v>0.14417269998234153</v>
      </c>
      <c r="W5422" s="285">
        <f t="shared" si="677"/>
        <v>2718.3762581670494</v>
      </c>
      <c r="X5422" s="446">
        <f t="shared" si="678"/>
        <v>9.4653614457831328</v>
      </c>
    </row>
    <row r="5423" spans="1:24" ht="15" customHeight="1">
      <c r="A5423" s="3">
        <v>43392</v>
      </c>
      <c r="B5423" s="9">
        <v>23575</v>
      </c>
      <c r="C5423" s="5">
        <v>0</v>
      </c>
      <c r="D5423" s="5">
        <v>89050</v>
      </c>
      <c r="E5423" s="5">
        <v>115225</v>
      </c>
      <c r="F5423" s="4">
        <v>0</v>
      </c>
      <c r="G5423" s="5">
        <v>500</v>
      </c>
      <c r="H5423" s="5">
        <v>50100</v>
      </c>
      <c r="I5423" s="118">
        <f t="shared" si="671"/>
        <v>0.43480147537426772</v>
      </c>
      <c r="J5423" s="5">
        <v>52534</v>
      </c>
      <c r="K5423" s="22">
        <v>1966</v>
      </c>
      <c r="L5423" s="6">
        <v>1991.5</v>
      </c>
      <c r="M5423" s="125">
        <f t="shared" si="672"/>
        <v>25.5</v>
      </c>
      <c r="P5423" s="247">
        <v>18590</v>
      </c>
      <c r="Q5423" s="25">
        <f>163.41/1134.3</f>
        <v>0.14406241734990743</v>
      </c>
      <c r="W5423" s="285">
        <f t="shared" si="677"/>
        <v>2678.1203385347794</v>
      </c>
      <c r="X5423" s="446">
        <f t="shared" si="678"/>
        <v>9.4557477110885042</v>
      </c>
    </row>
    <row r="5424" spans="1:24" ht="15" customHeight="1">
      <c r="A5424" s="3">
        <v>43395</v>
      </c>
      <c r="B5424" s="9">
        <v>23000</v>
      </c>
      <c r="C5424" s="5">
        <v>0</v>
      </c>
      <c r="D5424" s="5">
        <v>88975</v>
      </c>
      <c r="E5424" s="5">
        <v>114575</v>
      </c>
      <c r="F5424" s="4">
        <v>0</v>
      </c>
      <c r="G5424" s="5">
        <v>650</v>
      </c>
      <c r="H5424" s="5">
        <v>49450</v>
      </c>
      <c r="I5424" s="118">
        <f t="shared" si="671"/>
        <v>0.43159502509273401</v>
      </c>
      <c r="J5424" s="5">
        <v>42961</v>
      </c>
      <c r="K5424" s="22">
        <v>1997</v>
      </c>
      <c r="L5424" s="6">
        <v>2017</v>
      </c>
      <c r="M5424" s="125">
        <f t="shared" si="672"/>
        <v>20</v>
      </c>
      <c r="N5424" s="410"/>
      <c r="P5424" s="247">
        <v>18645</v>
      </c>
      <c r="Q5424" s="25">
        <f>163.22/1130.9</f>
        <v>0.1443275267486073</v>
      </c>
      <c r="W5424" s="285">
        <f t="shared" si="677"/>
        <v>2690.9867362277832</v>
      </c>
      <c r="X5424" s="446">
        <f t="shared" si="678"/>
        <v>9.3365047571357032</v>
      </c>
    </row>
    <row r="5425" spans="1:24" ht="15" customHeight="1">
      <c r="A5425" s="3">
        <v>43396</v>
      </c>
      <c r="B5425" s="9">
        <v>22675</v>
      </c>
      <c r="C5425" s="5">
        <v>0</v>
      </c>
      <c r="D5425" s="5">
        <v>88825</v>
      </c>
      <c r="E5425" s="5">
        <v>114100</v>
      </c>
      <c r="F5425" s="4">
        <v>0</v>
      </c>
      <c r="G5425" s="5">
        <v>475</v>
      </c>
      <c r="H5425" s="5">
        <v>48975</v>
      </c>
      <c r="I5425" s="118">
        <f t="shared" si="671"/>
        <v>0.42922874671340927</v>
      </c>
      <c r="J5425" s="5">
        <v>37303</v>
      </c>
      <c r="K5425" s="22">
        <v>1995</v>
      </c>
      <c r="L5425" s="6">
        <v>2017</v>
      </c>
      <c r="M5425" s="125">
        <f t="shared" si="672"/>
        <v>22</v>
      </c>
      <c r="P5425" s="247">
        <v>18530</v>
      </c>
      <c r="Q5425" s="25">
        <f>163.51/1135.8</f>
        <v>0.14396020426131362</v>
      </c>
      <c r="W5425" s="285">
        <f t="shared" si="677"/>
        <v>2667.5825849621415</v>
      </c>
      <c r="X5425" s="446">
        <f t="shared" si="678"/>
        <v>9.2882205513784459</v>
      </c>
    </row>
    <row r="5426" spans="1:24" ht="15" customHeight="1">
      <c r="A5426" s="3">
        <v>43397</v>
      </c>
      <c r="B5426" s="9">
        <v>22025</v>
      </c>
      <c r="C5426" s="5">
        <v>0</v>
      </c>
      <c r="D5426" s="5">
        <v>88500</v>
      </c>
      <c r="E5426" s="5">
        <v>113125</v>
      </c>
      <c r="F5426" s="4">
        <v>0</v>
      </c>
      <c r="G5426" s="5">
        <v>975</v>
      </c>
      <c r="H5426" s="5">
        <v>48475</v>
      </c>
      <c r="I5426" s="118">
        <f t="shared" si="671"/>
        <v>0.4285082872928177</v>
      </c>
      <c r="J5426" s="5">
        <v>34182</v>
      </c>
      <c r="K5426" s="22">
        <v>2003.5</v>
      </c>
      <c r="L5426" s="6">
        <v>2022</v>
      </c>
      <c r="M5426" s="125">
        <f t="shared" si="672"/>
        <v>18.5</v>
      </c>
      <c r="P5426" s="247">
        <v>18470</v>
      </c>
      <c r="Q5426" s="25">
        <f>162.99/1132.2</f>
        <v>0.14395866454689984</v>
      </c>
      <c r="W5426" s="285">
        <f t="shared" si="677"/>
        <v>2658.91653418124</v>
      </c>
      <c r="X5426" s="446">
        <f t="shared" si="678"/>
        <v>9.2188669827801348</v>
      </c>
    </row>
    <row r="5427" spans="1:24" ht="15" customHeight="1">
      <c r="A5427" s="3">
        <v>43398</v>
      </c>
      <c r="B5427" s="9">
        <v>21725</v>
      </c>
      <c r="C5427" s="5">
        <v>0</v>
      </c>
      <c r="D5427" s="5">
        <v>88150</v>
      </c>
      <c r="E5427" s="5">
        <v>112475</v>
      </c>
      <c r="F5427" s="4">
        <v>0</v>
      </c>
      <c r="G5427" s="5">
        <v>650</v>
      </c>
      <c r="H5427" s="5">
        <v>47825</v>
      </c>
      <c r="I5427" s="118">
        <f t="shared" si="671"/>
        <v>0.42520560124472107</v>
      </c>
      <c r="J5427" s="5">
        <v>33042</v>
      </c>
      <c r="K5427" s="22">
        <v>1988</v>
      </c>
      <c r="L5427" s="6">
        <v>2010</v>
      </c>
      <c r="M5427" s="125">
        <f t="shared" si="672"/>
        <v>22</v>
      </c>
      <c r="N5427" s="410"/>
      <c r="P5427" s="247">
        <v>18575</v>
      </c>
      <c r="Q5427" s="25">
        <f>163.7/1138.5</f>
        <v>0.14378568291611768</v>
      </c>
      <c r="W5427" s="285">
        <f t="shared" si="677"/>
        <v>2670.8190601668857</v>
      </c>
      <c r="X5427" s="446">
        <f t="shared" si="678"/>
        <v>9.3435613682092562</v>
      </c>
    </row>
    <row r="5428" spans="1:24" ht="15" customHeight="1">
      <c r="A5428" s="3">
        <v>43399</v>
      </c>
      <c r="B5428" s="9">
        <v>21200</v>
      </c>
      <c r="C5428" s="5">
        <v>0</v>
      </c>
      <c r="D5428" s="5">
        <v>88075</v>
      </c>
      <c r="E5428" s="5">
        <v>111875</v>
      </c>
      <c r="F5428" s="4">
        <v>0</v>
      </c>
      <c r="G5428" s="5">
        <v>600</v>
      </c>
      <c r="H5428" s="5">
        <v>47325</v>
      </c>
      <c r="I5428" s="118">
        <f t="shared" si="671"/>
        <v>0.4230167597765363</v>
      </c>
      <c r="J5428" s="5">
        <v>40762</v>
      </c>
      <c r="K5428" s="22">
        <v>1982</v>
      </c>
      <c r="L5428" s="6">
        <v>1994</v>
      </c>
      <c r="M5428" s="125">
        <f t="shared" si="672"/>
        <v>12</v>
      </c>
      <c r="P5428" s="247">
        <v>18755</v>
      </c>
      <c r="Q5428" s="25">
        <f>163.81/1140.6</f>
        <v>0.14361739435384888</v>
      </c>
      <c r="W5428" s="285">
        <f t="shared" si="677"/>
        <v>2693.5442311064357</v>
      </c>
      <c r="X5428" s="446">
        <f t="shared" si="678"/>
        <v>9.4626639757820392</v>
      </c>
    </row>
    <row r="5429" spans="1:24" ht="15" customHeight="1">
      <c r="A5429" s="3">
        <v>43402</v>
      </c>
      <c r="B5429" s="9">
        <v>20900</v>
      </c>
      <c r="C5429" s="5">
        <v>0</v>
      </c>
      <c r="D5429" s="5">
        <v>88000</v>
      </c>
      <c r="E5429" s="5">
        <v>111500</v>
      </c>
      <c r="F5429" s="4">
        <v>0</v>
      </c>
      <c r="G5429" s="5">
        <v>375</v>
      </c>
      <c r="H5429" s="5">
        <v>46950</v>
      </c>
      <c r="I5429" s="118">
        <f t="shared" si="671"/>
        <v>0.42107623318385651</v>
      </c>
      <c r="J5429" s="5">
        <v>32796</v>
      </c>
      <c r="K5429" s="22">
        <v>1971.5</v>
      </c>
      <c r="L5429" s="6">
        <v>1984</v>
      </c>
      <c r="M5429" s="125">
        <f t="shared" si="672"/>
        <v>12.5</v>
      </c>
      <c r="N5429" s="410"/>
      <c r="P5429" s="247">
        <v>18875</v>
      </c>
      <c r="Q5429" s="25">
        <f>163.55/1138.6</f>
        <v>0.14364131389425613</v>
      </c>
      <c r="W5429" s="285">
        <f>(P5429*Q5429)*(1+U5429)</f>
        <v>2711.2297997540845</v>
      </c>
      <c r="X5429" s="446">
        <f t="shared" si="678"/>
        <v>9.5739284808521425</v>
      </c>
    </row>
    <row r="5430" spans="1:24" ht="15" customHeight="1">
      <c r="A5430" s="3">
        <v>43403</v>
      </c>
      <c r="B5430" s="9">
        <v>20600</v>
      </c>
      <c r="C5430" s="5">
        <v>0</v>
      </c>
      <c r="D5430" s="5">
        <v>87175</v>
      </c>
      <c r="E5430" s="5">
        <v>110375</v>
      </c>
      <c r="F5430" s="4">
        <v>0</v>
      </c>
      <c r="G5430" s="5">
        <v>1125</v>
      </c>
      <c r="H5430" s="5">
        <v>26750</v>
      </c>
      <c r="I5430" s="118">
        <f t="shared" si="671"/>
        <v>0.24235560588901472</v>
      </c>
      <c r="J5430" s="5">
        <v>42881</v>
      </c>
      <c r="K5430" s="22">
        <v>1916</v>
      </c>
      <c r="L5430" s="6">
        <v>1936.5</v>
      </c>
      <c r="M5430" s="125">
        <f t="shared" si="672"/>
        <v>20.5</v>
      </c>
      <c r="P5430" s="247">
        <v>18765</v>
      </c>
      <c r="Q5430" s="25">
        <f>163.59/1140.6</f>
        <v>0.14342451341399265</v>
      </c>
      <c r="W5430" s="285">
        <f t="shared" si="677"/>
        <v>2691.3609942135722</v>
      </c>
      <c r="X5430" s="446">
        <f t="shared" si="678"/>
        <v>9.7938413361169108</v>
      </c>
    </row>
    <row r="5431" spans="1:24" ht="15" customHeight="1">
      <c r="A5431" s="3">
        <v>43404</v>
      </c>
      <c r="B5431" s="9">
        <v>20675</v>
      </c>
      <c r="C5431" s="5">
        <v>0</v>
      </c>
      <c r="D5431" s="5">
        <v>89975</v>
      </c>
      <c r="E5431" s="5">
        <v>113250</v>
      </c>
      <c r="F5431" s="4">
        <v>2875</v>
      </c>
      <c r="G5431" s="5">
        <v>0</v>
      </c>
      <c r="H5431" s="5">
        <v>11800</v>
      </c>
      <c r="I5431" s="118">
        <f t="shared" si="671"/>
        <v>0.10419426048565121</v>
      </c>
      <c r="J5431" s="5">
        <v>47157</v>
      </c>
      <c r="K5431" s="22">
        <v>1867</v>
      </c>
      <c r="L5431" s="6">
        <v>1887</v>
      </c>
      <c r="M5431" s="125">
        <f>L5431-K5431</f>
        <v>20</v>
      </c>
      <c r="N5431" s="381">
        <f>AVERAGE($K$5409:K5431)</f>
        <v>1985.1521739130435</v>
      </c>
      <c r="O5431" s="395">
        <f>AVERAGE($K$5206:K5431)</f>
        <v>2298.617924528302</v>
      </c>
      <c r="P5431" s="247">
        <v>18645</v>
      </c>
      <c r="Q5431" s="25">
        <f>163.4/1139.2</f>
        <v>0.14343398876404495</v>
      </c>
      <c r="W5431" s="285">
        <f t="shared" si="677"/>
        <v>2674.3267205056181</v>
      </c>
      <c r="X5431" s="446">
        <f>P5431/K5431</f>
        <v>9.9866095340117838</v>
      </c>
    </row>
    <row r="5432" spans="1:24" ht="15" customHeight="1" thickBot="1">
      <c r="A5432" s="216"/>
      <c r="B5432" s="394"/>
      <c r="C5432" s="394"/>
      <c r="D5432" s="394"/>
      <c r="E5432" s="216"/>
      <c r="F5432" s="407"/>
      <c r="G5432" s="164"/>
      <c r="H5432" s="164"/>
      <c r="I5432" s="164"/>
      <c r="J5432" s="166"/>
      <c r="K5432" s="166"/>
      <c r="L5432" s="167"/>
      <c r="M5432" s="167"/>
      <c r="N5432" s="169" t="s">
        <v>52</v>
      </c>
      <c r="O5432" s="169"/>
      <c r="P5432" s="180"/>
      <c r="Q5432" s="154"/>
      <c r="R5432" s="248"/>
      <c r="S5432" s="249"/>
      <c r="T5432" s="249"/>
      <c r="U5432" s="152"/>
      <c r="V5432" s="153">
        <f>AVERAGE(P5409:P5431)</f>
        <v>18732.352941176472</v>
      </c>
      <c r="W5432" s="390"/>
      <c r="X5432" s="447">
        <f>AVERAGE(X5409:X5431)</f>
        <v>6.9980539335943304</v>
      </c>
    </row>
    <row r="5433" spans="1:24" ht="15" customHeight="1">
      <c r="A5433" s="3">
        <v>43405</v>
      </c>
      <c r="B5433" s="9">
        <v>20975</v>
      </c>
      <c r="C5433" s="5">
        <v>0</v>
      </c>
      <c r="D5433" s="5">
        <v>89975</v>
      </c>
      <c r="E5433" s="5">
        <v>113550</v>
      </c>
      <c r="F5433" s="4">
        <v>300</v>
      </c>
      <c r="G5433" s="5">
        <v>0</v>
      </c>
      <c r="H5433" s="5">
        <v>9275</v>
      </c>
      <c r="I5433" s="118">
        <f t="shared" ref="I5433:I5471" si="679">H5433/E5433</f>
        <v>8.1682078379568465E-2</v>
      </c>
      <c r="J5433" s="5">
        <v>70457</v>
      </c>
      <c r="K5433" s="22">
        <v>1933</v>
      </c>
      <c r="L5433" s="6">
        <v>1953.5</v>
      </c>
      <c r="M5433" s="125">
        <f t="shared" ref="M5433:M5454" si="680">L5433-K5433</f>
        <v>20.5</v>
      </c>
      <c r="P5433" s="247">
        <v>19010</v>
      </c>
      <c r="Q5433" s="25">
        <f>163.26/1138.8</f>
        <v>0.14336143308746049</v>
      </c>
      <c r="W5433" s="285">
        <f t="shared" ref="W5433:W5454" si="681">(P5433*Q5433)*(1+U5433)</f>
        <v>2725.300842992624</v>
      </c>
      <c r="X5433" s="446">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18">
        <f t="shared" si="679"/>
        <v>7.8322609274461955E-2</v>
      </c>
      <c r="J5434" s="5">
        <v>51851</v>
      </c>
      <c r="K5434" s="22">
        <v>1995</v>
      </c>
      <c r="L5434" s="6">
        <v>2012</v>
      </c>
      <c r="M5434" s="125">
        <f t="shared" si="680"/>
        <v>17</v>
      </c>
      <c r="N5434" s="410"/>
      <c r="P5434" s="247">
        <v>19000</v>
      </c>
      <c r="Q5434" s="25">
        <f>162.78/1125.5</f>
        <v>0.14462905375388715</v>
      </c>
      <c r="W5434" s="285">
        <f t="shared" si="681"/>
        <v>2747.9520213238561</v>
      </c>
      <c r="X5434" s="446">
        <f t="shared" si="682"/>
        <v>9.5238095238095237</v>
      </c>
    </row>
    <row r="5435" spans="1:24" ht="15" customHeight="1">
      <c r="A5435" s="3">
        <v>43409</v>
      </c>
      <c r="B5435" s="9">
        <v>20975</v>
      </c>
      <c r="C5435" s="5">
        <v>0</v>
      </c>
      <c r="D5435" s="5">
        <v>89025</v>
      </c>
      <c r="E5435" s="5">
        <v>112575</v>
      </c>
      <c r="F5435" s="4">
        <v>0</v>
      </c>
      <c r="G5435" s="5">
        <v>75</v>
      </c>
      <c r="H5435" s="5">
        <v>8875</v>
      </c>
      <c r="I5435" s="118">
        <f t="shared" si="679"/>
        <v>7.8836331334665777E-2</v>
      </c>
      <c r="J5435" s="5">
        <v>58467</v>
      </c>
      <c r="K5435" s="22">
        <v>1948.5</v>
      </c>
      <c r="L5435" s="6">
        <v>1980</v>
      </c>
      <c r="M5435" s="125">
        <f t="shared" si="680"/>
        <v>31.5</v>
      </c>
      <c r="P5435" s="247">
        <v>19055</v>
      </c>
      <c r="Q5435" s="25">
        <f>162.64/1122.7</f>
        <v>0.14486505745078826</v>
      </c>
      <c r="W5435" s="285">
        <f t="shared" si="681"/>
        <v>2760.4036697247702</v>
      </c>
      <c r="X5435" s="446">
        <f t="shared" si="682"/>
        <v>9.7793174236592257</v>
      </c>
    </row>
    <row r="5436" spans="1:24" ht="15" customHeight="1">
      <c r="A5436" s="3">
        <v>43410</v>
      </c>
      <c r="B5436" s="9">
        <v>20500</v>
      </c>
      <c r="C5436" s="5">
        <v>0</v>
      </c>
      <c r="D5436" s="5">
        <v>89025</v>
      </c>
      <c r="E5436" s="5">
        <v>112100</v>
      </c>
      <c r="F5436" s="4">
        <v>0</v>
      </c>
      <c r="G5436" s="5">
        <v>475</v>
      </c>
      <c r="H5436" s="5">
        <v>8800</v>
      </c>
      <c r="I5436" s="118">
        <f t="shared" si="679"/>
        <v>7.8501338090990191E-2</v>
      </c>
      <c r="J5436" s="5">
        <v>60878</v>
      </c>
      <c r="K5436" s="22">
        <v>1910</v>
      </c>
      <c r="L5436" s="6">
        <v>1940</v>
      </c>
      <c r="M5436" s="125">
        <f t="shared" si="680"/>
        <v>30</v>
      </c>
      <c r="P5436" s="247">
        <v>18680</v>
      </c>
      <c r="Q5436" s="25">
        <f>162.32/1122.5</f>
        <v>0.14460579064587972</v>
      </c>
      <c r="W5436" s="285">
        <f t="shared" si="681"/>
        <v>2701.2361692650334</v>
      </c>
      <c r="X5436" s="446">
        <f t="shared" si="682"/>
        <v>9.7801047120418847</v>
      </c>
    </row>
    <row r="5437" spans="1:24" ht="15" customHeight="1">
      <c r="A5437" s="3">
        <v>43411</v>
      </c>
      <c r="B5437" s="9">
        <v>20500</v>
      </c>
      <c r="C5437" s="5">
        <v>0</v>
      </c>
      <c r="D5437" s="5">
        <v>88900</v>
      </c>
      <c r="E5437" s="5">
        <v>111975</v>
      </c>
      <c r="F5437" s="4">
        <v>0</v>
      </c>
      <c r="G5437" s="5">
        <v>125</v>
      </c>
      <c r="H5437" s="5">
        <v>8675</v>
      </c>
      <c r="I5437" s="118">
        <f t="shared" si="679"/>
        <v>7.7472650145121683E-2</v>
      </c>
      <c r="J5437" s="5">
        <v>65732</v>
      </c>
      <c r="K5437" s="22">
        <v>1899</v>
      </c>
      <c r="L5437" s="6">
        <v>1922</v>
      </c>
      <c r="M5437" s="125">
        <f t="shared" si="680"/>
        <v>23</v>
      </c>
      <c r="P5437" s="247">
        <v>18540</v>
      </c>
      <c r="Q5437" s="25">
        <f>161.86/1120.9</f>
        <v>0.14440181996609866</v>
      </c>
      <c r="W5437" s="285">
        <f t="shared" si="681"/>
        <v>2677.2097421714693</v>
      </c>
      <c r="X5437" s="446">
        <f t="shared" si="682"/>
        <v>9.7630331753554511</v>
      </c>
    </row>
    <row r="5438" spans="1:24" ht="15" customHeight="1">
      <c r="A5438" s="3">
        <v>43412</v>
      </c>
      <c r="B5438" s="9">
        <v>20500</v>
      </c>
      <c r="C5438" s="5">
        <v>0</v>
      </c>
      <c r="D5438" s="5">
        <v>88800</v>
      </c>
      <c r="E5438" s="5">
        <v>111875</v>
      </c>
      <c r="F5438" s="4">
        <v>0</v>
      </c>
      <c r="G5438" s="5">
        <v>100</v>
      </c>
      <c r="H5438" s="5">
        <v>8575</v>
      </c>
      <c r="I5438" s="118">
        <f t="shared" si="679"/>
        <v>7.6648044692737435E-2</v>
      </c>
      <c r="J5438" s="5">
        <v>68249</v>
      </c>
      <c r="K5438" s="22">
        <v>1947</v>
      </c>
      <c r="L5438" s="6">
        <v>1970</v>
      </c>
      <c r="M5438" s="125">
        <f t="shared" si="680"/>
        <v>23</v>
      </c>
      <c r="P5438" s="247">
        <v>18590</v>
      </c>
      <c r="Q5438" s="25">
        <f>161.5/1118.4</f>
        <v>0.14440271816881259</v>
      </c>
      <c r="W5438" s="285">
        <f t="shared" si="681"/>
        <v>2684.4465307582259</v>
      </c>
      <c r="X5438" s="446">
        <f t="shared" si="682"/>
        <v>9.5480225988700571</v>
      </c>
    </row>
    <row r="5439" spans="1:24" ht="15" customHeight="1">
      <c r="A5439" s="3">
        <v>43413</v>
      </c>
      <c r="B5439" s="9">
        <v>20500</v>
      </c>
      <c r="C5439" s="5">
        <v>0</v>
      </c>
      <c r="D5439" s="5">
        <v>88650</v>
      </c>
      <c r="E5439" s="5">
        <v>111575</v>
      </c>
      <c r="F5439" s="4">
        <v>0</v>
      </c>
      <c r="G5439" s="5">
        <v>300</v>
      </c>
      <c r="H5439" s="5">
        <v>8375</v>
      </c>
      <c r="I5439" s="118">
        <f t="shared" si="679"/>
        <v>7.5061617745910816E-2</v>
      </c>
      <c r="J5439" s="5">
        <v>72080</v>
      </c>
      <c r="K5439" s="22">
        <v>1957</v>
      </c>
      <c r="L5439" s="6">
        <v>1982</v>
      </c>
      <c r="M5439" s="125">
        <f t="shared" si="680"/>
        <v>25</v>
      </c>
      <c r="P5439" s="247">
        <v>18850</v>
      </c>
      <c r="Q5439" s="25">
        <f>162.15/1125.7</f>
        <v>0.14404370613840278</v>
      </c>
      <c r="W5439" s="285">
        <f t="shared" si="681"/>
        <v>2715.2238607088925</v>
      </c>
      <c r="X5439" s="446">
        <f t="shared" si="682"/>
        <v>9.6320899335717929</v>
      </c>
    </row>
    <row r="5440" spans="1:24" ht="15" customHeight="1">
      <c r="A5440" s="3">
        <v>43416</v>
      </c>
      <c r="B5440" s="9">
        <v>20400</v>
      </c>
      <c r="C5440" s="5">
        <v>0</v>
      </c>
      <c r="D5440" s="5">
        <v>88500</v>
      </c>
      <c r="E5440" s="5">
        <v>111325</v>
      </c>
      <c r="F5440" s="4">
        <v>0</v>
      </c>
      <c r="G5440" s="5">
        <v>250</v>
      </c>
      <c r="H5440" s="5">
        <v>8875</v>
      </c>
      <c r="I5440" s="118">
        <f t="shared" si="679"/>
        <v>7.9721536043117006E-2</v>
      </c>
      <c r="J5440" s="5">
        <v>53232</v>
      </c>
      <c r="K5440" s="22">
        <v>1910</v>
      </c>
      <c r="L5440" s="6">
        <v>1932</v>
      </c>
      <c r="M5440" s="125">
        <f t="shared" si="680"/>
        <v>22</v>
      </c>
      <c r="P5440" s="247">
        <v>18680</v>
      </c>
      <c r="Q5440" s="25">
        <f>162.79/1132</f>
        <v>0.14380742049469963</v>
      </c>
      <c r="W5440" s="285">
        <f t="shared" si="681"/>
        <v>2686.322614840989</v>
      </c>
      <c r="X5440" s="446">
        <f t="shared" si="682"/>
        <v>9.7801047120418847</v>
      </c>
    </row>
    <row r="5441" spans="1:24" ht="15" customHeight="1">
      <c r="A5441" s="3">
        <v>43417</v>
      </c>
      <c r="B5441" s="9">
        <v>20100</v>
      </c>
      <c r="C5441" s="5">
        <v>0</v>
      </c>
      <c r="D5441" s="5">
        <v>88450</v>
      </c>
      <c r="E5441" s="5">
        <v>110975</v>
      </c>
      <c r="F5441" s="4">
        <v>0</v>
      </c>
      <c r="G5441" s="5">
        <v>350</v>
      </c>
      <c r="H5441" s="5">
        <v>8525</v>
      </c>
      <c r="I5441" s="118">
        <f t="shared" si="679"/>
        <v>7.6819103401667047E-2</v>
      </c>
      <c r="J5441" s="5">
        <v>54585</v>
      </c>
      <c r="K5441" s="22">
        <v>1908</v>
      </c>
      <c r="L5441" s="6">
        <v>1929</v>
      </c>
      <c r="M5441" s="125">
        <f t="shared" si="680"/>
        <v>21</v>
      </c>
      <c r="P5441" s="247">
        <v>18605</v>
      </c>
      <c r="Q5441" s="25">
        <f>163.16/1135.7</f>
        <v>0.14366470018490798</v>
      </c>
      <c r="W5441" s="285">
        <f t="shared" si="681"/>
        <v>2672.8817469402129</v>
      </c>
      <c r="X5441" s="446">
        <f t="shared" si="682"/>
        <v>9.7510482180293501</v>
      </c>
    </row>
    <row r="5442" spans="1:24" ht="15" customHeight="1">
      <c r="A5442" s="3">
        <v>43418</v>
      </c>
      <c r="B5442" s="9">
        <v>20100</v>
      </c>
      <c r="C5442" s="5">
        <v>0</v>
      </c>
      <c r="D5442" s="5">
        <v>88450</v>
      </c>
      <c r="E5442" s="5">
        <v>110975</v>
      </c>
      <c r="F5442" s="4">
        <v>0</v>
      </c>
      <c r="G5442" s="5">
        <v>0</v>
      </c>
      <c r="H5442" s="5">
        <v>8975</v>
      </c>
      <c r="I5442" s="118">
        <f t="shared" si="679"/>
        <v>8.0874070736652398E-2</v>
      </c>
      <c r="J5442" s="5">
        <v>70325</v>
      </c>
      <c r="K5442" s="22">
        <v>1918.5</v>
      </c>
      <c r="L5442" s="6">
        <v>1948</v>
      </c>
      <c r="M5442" s="125">
        <f t="shared" si="680"/>
        <v>29.5</v>
      </c>
      <c r="P5442" s="247">
        <v>18520</v>
      </c>
      <c r="Q5442" s="25">
        <f>162.96/1132.4</f>
        <v>0.14390674673260331</v>
      </c>
      <c r="W5442" s="285">
        <f t="shared" si="681"/>
        <v>2665.1529494878132</v>
      </c>
      <c r="X5442" s="446">
        <f t="shared" si="682"/>
        <v>9.653375032577534</v>
      </c>
    </row>
    <row r="5443" spans="1:24" ht="15" customHeight="1">
      <c r="A5443" s="3">
        <v>43419</v>
      </c>
      <c r="B5443" s="9">
        <v>20100</v>
      </c>
      <c r="C5443" s="5">
        <v>0</v>
      </c>
      <c r="D5443" s="5">
        <v>88375</v>
      </c>
      <c r="E5443" s="5">
        <v>110900</v>
      </c>
      <c r="F5443" s="4">
        <v>0</v>
      </c>
      <c r="G5443" s="5">
        <v>75</v>
      </c>
      <c r="H5443" s="5">
        <v>8900</v>
      </c>
      <c r="I5443" s="118">
        <f t="shared" si="679"/>
        <v>8.025247971145176E-2</v>
      </c>
      <c r="J5443" s="5">
        <v>57315</v>
      </c>
      <c r="K5443" s="22">
        <v>1943</v>
      </c>
      <c r="L5443" s="6">
        <v>1964.5</v>
      </c>
      <c r="M5443" s="125">
        <f t="shared" si="680"/>
        <v>21.5</v>
      </c>
      <c r="P5443" s="247">
        <v>18615</v>
      </c>
      <c r="Q5443" s="25">
        <f>162.96/1130.3</f>
        <v>0.14417411306732728</v>
      </c>
      <c r="W5443" s="285">
        <f t="shared" si="681"/>
        <v>2683.8011147482971</v>
      </c>
      <c r="X5443" s="446">
        <f t="shared" si="682"/>
        <v>9.5805455481214619</v>
      </c>
    </row>
    <row r="5444" spans="1:24" ht="15" customHeight="1">
      <c r="A5444" s="3">
        <v>43420</v>
      </c>
      <c r="B5444" s="9">
        <v>20100</v>
      </c>
      <c r="C5444" s="5">
        <v>0</v>
      </c>
      <c r="D5444" s="5">
        <v>88075</v>
      </c>
      <c r="E5444" s="5">
        <v>110575</v>
      </c>
      <c r="F5444" s="4">
        <v>0</v>
      </c>
      <c r="G5444" s="5">
        <v>300</v>
      </c>
      <c r="H5444" s="5">
        <v>9425</v>
      </c>
      <c r="I5444" s="118">
        <f t="shared" si="679"/>
        <v>8.5236264978521367E-2</v>
      </c>
      <c r="J5444" s="5">
        <v>57204</v>
      </c>
      <c r="K5444" s="22">
        <v>1960</v>
      </c>
      <c r="L5444" s="6">
        <v>1973</v>
      </c>
      <c r="M5444" s="125">
        <f t="shared" si="680"/>
        <v>13</v>
      </c>
      <c r="P5444" s="247">
        <v>18380</v>
      </c>
      <c r="Q5444" s="25">
        <f>162.86/1128.7</f>
        <v>0.14428989102507309</v>
      </c>
      <c r="W5444" s="285">
        <f t="shared" si="681"/>
        <v>2652.0481970408432</v>
      </c>
      <c r="X5444" s="446">
        <f t="shared" si="682"/>
        <v>9.3775510204081627</v>
      </c>
    </row>
    <row r="5445" spans="1:24" ht="15" customHeight="1">
      <c r="A5445" s="3">
        <v>43423</v>
      </c>
      <c r="B5445" s="9">
        <v>19950</v>
      </c>
      <c r="C5445" s="5">
        <v>0</v>
      </c>
      <c r="D5445" s="5">
        <v>87825</v>
      </c>
      <c r="E5445" s="5">
        <v>110175</v>
      </c>
      <c r="F5445" s="4">
        <v>0</v>
      </c>
      <c r="G5445" s="5">
        <v>400</v>
      </c>
      <c r="H5445" s="5">
        <v>9125</v>
      </c>
      <c r="I5445" s="118">
        <f t="shared" si="679"/>
        <v>8.282278193782619E-2</v>
      </c>
      <c r="J5445" s="5">
        <v>61793</v>
      </c>
      <c r="K5445" s="22">
        <v>2005</v>
      </c>
      <c r="L5445" s="6">
        <v>2017</v>
      </c>
      <c r="M5445" s="125">
        <f t="shared" si="680"/>
        <v>12</v>
      </c>
      <c r="P5445" s="247">
        <v>18575</v>
      </c>
      <c r="Q5445" s="25">
        <f>162.58/1127.4</f>
        <v>0.14420791200993435</v>
      </c>
      <c r="W5445" s="285">
        <f t="shared" si="681"/>
        <v>2678.6619655845307</v>
      </c>
      <c r="X5445" s="446">
        <f t="shared" si="682"/>
        <v>9.2643391521197014</v>
      </c>
    </row>
    <row r="5446" spans="1:24" ht="15" customHeight="1">
      <c r="A5446" s="3">
        <v>43424</v>
      </c>
      <c r="B5446" s="9">
        <v>19950</v>
      </c>
      <c r="C5446" s="5">
        <v>0</v>
      </c>
      <c r="D5446" s="5">
        <v>87600</v>
      </c>
      <c r="E5446" s="5">
        <v>109950</v>
      </c>
      <c r="F5446" s="4">
        <v>0</v>
      </c>
      <c r="G5446" s="5">
        <v>225</v>
      </c>
      <c r="H5446" s="5">
        <v>9125</v>
      </c>
      <c r="I5446" s="118">
        <f t="shared" si="679"/>
        <v>8.2992269213278763E-2</v>
      </c>
      <c r="J5446" s="5">
        <v>76133</v>
      </c>
      <c r="K5446" s="22">
        <v>1970</v>
      </c>
      <c r="L5446" s="6">
        <v>1996</v>
      </c>
      <c r="M5446" s="125">
        <f t="shared" si="680"/>
        <v>26</v>
      </c>
      <c r="P5446" s="247">
        <v>18605</v>
      </c>
      <c r="Q5446" s="25">
        <f>162.54/1127.5</f>
        <v>0.14415964523281596</v>
      </c>
      <c r="W5446" s="285">
        <f t="shared" si="681"/>
        <v>2682.0901995565409</v>
      </c>
      <c r="X5446" s="446">
        <f t="shared" si="682"/>
        <v>9.4441624365482237</v>
      </c>
    </row>
    <row r="5447" spans="1:24" ht="15" customHeight="1">
      <c r="A5447" s="3">
        <v>43425</v>
      </c>
      <c r="B5447" s="9">
        <v>19950</v>
      </c>
      <c r="C5447" s="5">
        <v>0</v>
      </c>
      <c r="D5447" s="5">
        <v>87075</v>
      </c>
      <c r="E5447" s="5">
        <v>109425</v>
      </c>
      <c r="F5447" s="4">
        <v>0</v>
      </c>
      <c r="G5447" s="5">
        <v>525</v>
      </c>
      <c r="H5447" s="5">
        <v>8700</v>
      </c>
      <c r="I5447" s="118">
        <f t="shared" si="679"/>
        <v>7.9506511309115832E-2</v>
      </c>
      <c r="J5447" s="5">
        <v>63607</v>
      </c>
      <c r="K5447" s="22">
        <v>1949</v>
      </c>
      <c r="L5447" s="6">
        <v>1977</v>
      </c>
      <c r="M5447" s="125">
        <f t="shared" si="680"/>
        <v>28</v>
      </c>
      <c r="P5447" s="247">
        <v>18505</v>
      </c>
      <c r="Q5447" s="25">
        <f>162.94/1131.3</f>
        <v>0.14402899319367099</v>
      </c>
      <c r="W5447" s="285">
        <f t="shared" si="681"/>
        <v>2665.2565190488817</v>
      </c>
      <c r="X5447" s="446">
        <f t="shared" si="682"/>
        <v>9.4946126218573621</v>
      </c>
    </row>
    <row r="5448" spans="1:24" ht="15" customHeight="1">
      <c r="A5448" s="3">
        <v>43426</v>
      </c>
      <c r="B5448" s="9">
        <v>19950</v>
      </c>
      <c r="C5448" s="5">
        <v>0</v>
      </c>
      <c r="D5448" s="5">
        <v>86425</v>
      </c>
      <c r="E5448" s="5">
        <v>108775</v>
      </c>
      <c r="F5448" s="4">
        <v>0</v>
      </c>
      <c r="G5448" s="5">
        <v>650</v>
      </c>
      <c r="H5448" s="5">
        <v>8050</v>
      </c>
      <c r="I5448" s="118">
        <f t="shared" si="679"/>
        <v>7.4005975637784424E-2</v>
      </c>
      <c r="J5448" s="5">
        <v>43339</v>
      </c>
      <c r="K5448" s="22">
        <v>1974</v>
      </c>
      <c r="L5448" s="6">
        <v>2000</v>
      </c>
      <c r="M5448" s="125">
        <f t="shared" si="680"/>
        <v>26</v>
      </c>
      <c r="P5448" s="247">
        <v>18605</v>
      </c>
      <c r="Q5448" s="25">
        <f>163.09/1129</f>
        <v>0.14445527015057574</v>
      </c>
      <c r="W5448" s="285">
        <f t="shared" si="681"/>
        <v>2687.5903011514615</v>
      </c>
      <c r="X5448" s="446">
        <f t="shared" si="682"/>
        <v>9.4250253292806487</v>
      </c>
    </row>
    <row r="5449" spans="1:24" ht="15" customHeight="1">
      <c r="A5449" s="3">
        <v>43427</v>
      </c>
      <c r="B5449" s="9">
        <v>22350</v>
      </c>
      <c r="C5449" s="5">
        <v>0</v>
      </c>
      <c r="D5449" s="5">
        <v>85825</v>
      </c>
      <c r="E5449" s="5">
        <v>108175</v>
      </c>
      <c r="F5449" s="4">
        <v>0</v>
      </c>
      <c r="G5449" s="5">
        <v>600</v>
      </c>
      <c r="H5449" s="5">
        <v>7450</v>
      </c>
      <c r="I5449" s="118">
        <f t="shared" si="679"/>
        <v>6.8869886757568749E-2</v>
      </c>
      <c r="J5449" s="5">
        <v>30800</v>
      </c>
      <c r="K5449" s="22">
        <v>1936</v>
      </c>
      <c r="L5449" s="6">
        <v>1963</v>
      </c>
      <c r="M5449" s="125">
        <f t="shared" si="680"/>
        <v>27</v>
      </c>
      <c r="P5449" s="247">
        <v>18790</v>
      </c>
      <c r="Q5449" s="25">
        <f>163.05/1130.5</f>
        <v>0.14422821760283061</v>
      </c>
      <c r="W5449" s="285">
        <f t="shared" si="681"/>
        <v>2710.0482087571872</v>
      </c>
      <c r="X5449" s="446">
        <f t="shared" si="682"/>
        <v>9.7055785123966949</v>
      </c>
    </row>
    <row r="5450" spans="1:24" ht="15" customHeight="1">
      <c r="A5450" s="3">
        <v>43430</v>
      </c>
      <c r="B5450" s="9">
        <v>22275</v>
      </c>
      <c r="C5450" s="5">
        <v>0</v>
      </c>
      <c r="D5450" s="5">
        <v>85400</v>
      </c>
      <c r="E5450" s="5">
        <v>107675</v>
      </c>
      <c r="F5450" s="4">
        <v>0</v>
      </c>
      <c r="G5450" s="5">
        <v>500</v>
      </c>
      <c r="H5450" s="5">
        <v>6950</v>
      </c>
      <c r="I5450" s="118">
        <f t="shared" si="679"/>
        <v>6.4546087764104948E-2</v>
      </c>
      <c r="J5450" s="5">
        <v>35654</v>
      </c>
      <c r="K5450" s="22">
        <v>1918.5</v>
      </c>
      <c r="L5450" s="6">
        <v>1943</v>
      </c>
      <c r="M5450" s="125">
        <f t="shared" si="680"/>
        <v>24.5</v>
      </c>
      <c r="P5450" s="247">
        <v>18610</v>
      </c>
      <c r="Q5450" s="25">
        <f>162.81/1129.9</f>
        <v>0.14409239755730593</v>
      </c>
      <c r="W5450" s="285">
        <f t="shared" si="681"/>
        <v>2681.5595185414636</v>
      </c>
      <c r="X5450" s="446">
        <f t="shared" si="682"/>
        <v>9.7002866823038829</v>
      </c>
    </row>
    <row r="5451" spans="1:24" ht="15" customHeight="1">
      <c r="A5451" s="3">
        <v>43431</v>
      </c>
      <c r="B5451" s="9">
        <v>21350</v>
      </c>
      <c r="C5451" s="5">
        <v>0</v>
      </c>
      <c r="D5451" s="5">
        <v>85075</v>
      </c>
      <c r="E5451" s="5">
        <v>106425</v>
      </c>
      <c r="F5451" s="4">
        <v>0</v>
      </c>
      <c r="G5451" s="5">
        <v>1250</v>
      </c>
      <c r="H5451" s="5">
        <v>5700</v>
      </c>
      <c r="I5451" s="118">
        <f t="shared" si="679"/>
        <v>5.3558844256518676E-2</v>
      </c>
      <c r="J5451" s="5">
        <v>55888</v>
      </c>
      <c r="K5451" s="22">
        <v>1906</v>
      </c>
      <c r="L5451" s="6">
        <v>1933</v>
      </c>
      <c r="M5451" s="125">
        <f t="shared" si="680"/>
        <v>27</v>
      </c>
      <c r="P5451" s="247">
        <v>18680</v>
      </c>
      <c r="Q5451" s="25">
        <f>162.66/1129.7</f>
        <v>0.14398512879525538</v>
      </c>
      <c r="W5451" s="285">
        <f t="shared" si="681"/>
        <v>2689.6422058953704</v>
      </c>
      <c r="X5451" s="446">
        <f t="shared" si="682"/>
        <v>9.8006295907660022</v>
      </c>
    </row>
    <row r="5452" spans="1:24" ht="15" customHeight="1">
      <c r="A5452" s="3">
        <v>43432</v>
      </c>
      <c r="B5452" s="9">
        <v>21350</v>
      </c>
      <c r="C5452" s="5">
        <v>0</v>
      </c>
      <c r="D5452" s="5">
        <v>84700</v>
      </c>
      <c r="E5452" s="5">
        <v>106050</v>
      </c>
      <c r="F5452" s="4">
        <v>0</v>
      </c>
      <c r="G5452" s="5">
        <v>375</v>
      </c>
      <c r="H5452" s="5">
        <v>6025</v>
      </c>
      <c r="I5452" s="118">
        <f t="shared" si="679"/>
        <v>5.6812824139556815E-2</v>
      </c>
      <c r="J5452" s="5">
        <v>54477</v>
      </c>
      <c r="K5452" s="22">
        <v>1907</v>
      </c>
      <c r="L5452" s="6">
        <v>1935</v>
      </c>
      <c r="M5452" s="125">
        <f t="shared" si="680"/>
        <v>28</v>
      </c>
      <c r="P5452" s="247">
        <v>18630</v>
      </c>
      <c r="Q5452" s="25">
        <f>162.46/1128.9</f>
        <v>0.14391000088581804</v>
      </c>
      <c r="W5452" s="285">
        <f t="shared" si="681"/>
        <v>2681.0433165027903</v>
      </c>
      <c r="X5452" s="446">
        <f t="shared" si="682"/>
        <v>9.7692711064499207</v>
      </c>
    </row>
    <row r="5453" spans="1:24" ht="15" customHeight="1">
      <c r="A5453" s="3">
        <v>43433</v>
      </c>
      <c r="B5453" s="9">
        <v>21250</v>
      </c>
      <c r="C5453" s="5">
        <v>0</v>
      </c>
      <c r="D5453" s="5">
        <v>84350</v>
      </c>
      <c r="E5453" s="5">
        <v>105600</v>
      </c>
      <c r="F5453" s="4">
        <v>0</v>
      </c>
      <c r="G5453" s="5">
        <v>450</v>
      </c>
      <c r="H5453" s="5">
        <v>5575</v>
      </c>
      <c r="I5453" s="118">
        <f t="shared" si="679"/>
        <v>5.2793560606060608E-2</v>
      </c>
      <c r="J5453" s="5">
        <v>47926</v>
      </c>
      <c r="K5453" s="22">
        <v>1932.5</v>
      </c>
      <c r="L5453" s="6">
        <v>1951</v>
      </c>
      <c r="M5453" s="125">
        <f t="shared" si="680"/>
        <v>18.5</v>
      </c>
      <c r="P5453" s="247">
        <v>18685</v>
      </c>
      <c r="Q5453" s="25">
        <f>161.73/1121.8</f>
        <v>0.14417008379390264</v>
      </c>
      <c r="W5453" s="285">
        <f t="shared" si="681"/>
        <v>2693.8180156890708</v>
      </c>
      <c r="X5453" s="446">
        <f t="shared" si="682"/>
        <v>9.6688227684346693</v>
      </c>
    </row>
    <row r="5454" spans="1:24" ht="15" customHeight="1">
      <c r="A5454" s="3">
        <v>43434</v>
      </c>
      <c r="B5454" s="9">
        <v>21100</v>
      </c>
      <c r="C5454" s="5">
        <v>0</v>
      </c>
      <c r="D5454" s="5">
        <v>84100</v>
      </c>
      <c r="E5454" s="5">
        <v>105200</v>
      </c>
      <c r="F5454" s="4">
        <v>0</v>
      </c>
      <c r="G5454" s="5">
        <v>400</v>
      </c>
      <c r="H5454" s="5">
        <v>9925</v>
      </c>
      <c r="I5454" s="118">
        <f t="shared" si="679"/>
        <v>9.4344106463878322E-2</v>
      </c>
      <c r="J5454" s="5">
        <v>58168</v>
      </c>
      <c r="K5454" s="22">
        <v>1956.5</v>
      </c>
      <c r="L5454" s="6">
        <v>1970</v>
      </c>
      <c r="M5454" s="125">
        <f t="shared" si="680"/>
        <v>13.5</v>
      </c>
      <c r="N5454" s="381">
        <f>AVERAGE($K$5433:K5454)</f>
        <v>1940.159090909091</v>
      </c>
      <c r="O5454" s="395">
        <f>AVERAGE($K$5206:K5454)</f>
        <v>2264.9166666666665</v>
      </c>
      <c r="P5454" s="247">
        <v>18640</v>
      </c>
      <c r="Q5454" s="25">
        <f>161.49/1120.3</f>
        <v>0.14414888869052933</v>
      </c>
      <c r="W5454" s="285">
        <f t="shared" si="681"/>
        <v>2686.9352851914668</v>
      </c>
      <c r="X5454" s="446">
        <f t="shared" si="682"/>
        <v>9.5272169690774344</v>
      </c>
    </row>
    <row r="5455" spans="1:24" ht="15" customHeight="1" thickBot="1">
      <c r="A5455" s="216"/>
      <c r="B5455" s="394"/>
      <c r="C5455" s="394"/>
      <c r="D5455" s="394"/>
      <c r="E5455" s="216"/>
      <c r="F5455" s="407"/>
      <c r="G5455" s="164"/>
      <c r="H5455" s="164"/>
      <c r="I5455" s="164"/>
      <c r="J5455" s="166"/>
      <c r="K5455" s="166"/>
      <c r="L5455" s="167"/>
      <c r="M5455" s="167"/>
      <c r="N5455" s="167"/>
      <c r="O5455" s="167"/>
      <c r="P5455" s="180"/>
      <c r="Q5455" s="154"/>
      <c r="R5455" s="248"/>
      <c r="S5455" s="249"/>
      <c r="T5455" s="249"/>
      <c r="U5455" s="152"/>
      <c r="V5455" s="153">
        <f>AVERAGE(P5433:P5454)</f>
        <v>18675</v>
      </c>
      <c r="W5455" s="390"/>
      <c r="X5455" s="447">
        <f>AVERAGE(X5433:X5454)</f>
        <v>9.6274273310893221</v>
      </c>
    </row>
    <row r="5456" spans="1:24" ht="15" customHeight="1">
      <c r="A5456" s="3">
        <v>43437</v>
      </c>
      <c r="B5456" s="9">
        <v>21075</v>
      </c>
      <c r="C5456" s="5">
        <v>0</v>
      </c>
      <c r="D5456" s="5">
        <v>84050</v>
      </c>
      <c r="E5456" s="5">
        <v>105125</v>
      </c>
      <c r="F5456" s="4">
        <v>0</v>
      </c>
      <c r="G5456" s="5">
        <v>75</v>
      </c>
      <c r="H5456" s="5">
        <v>15225</v>
      </c>
      <c r="I5456" s="118">
        <f t="shared" si="679"/>
        <v>0.14482758620689656</v>
      </c>
      <c r="J5456" s="5">
        <v>91582</v>
      </c>
      <c r="K5456" s="22">
        <v>1964.5</v>
      </c>
      <c r="L5456" s="6">
        <v>1976</v>
      </c>
      <c r="M5456" s="125">
        <f t="shared" ref="M5456:M5466" si="683">L5456-K5456</f>
        <v>11.5</v>
      </c>
      <c r="N5456" s="125"/>
      <c r="O5456" s="125"/>
      <c r="P5456" s="247">
        <v>18880</v>
      </c>
      <c r="Q5456" s="25">
        <f>161.02/1113.7</f>
        <v>0.14458112597647482</v>
      </c>
      <c r="W5456" s="285">
        <f t="shared" ref="W5456:W5470" si="684">(P5456*Q5456)*(1+U5456)</f>
        <v>2729.6916584358446</v>
      </c>
      <c r="X5456" s="446">
        <f t="shared" si="682"/>
        <v>9.6105879358615418</v>
      </c>
    </row>
    <row r="5457" spans="1:24" ht="15" customHeight="1">
      <c r="A5457" s="3">
        <v>43438</v>
      </c>
      <c r="B5457" s="9">
        <v>21025</v>
      </c>
      <c r="C5457" s="5">
        <v>0</v>
      </c>
      <c r="D5457" s="5">
        <v>83950</v>
      </c>
      <c r="E5457" s="5">
        <v>104975</v>
      </c>
      <c r="F5457" s="4">
        <v>0</v>
      </c>
      <c r="G5457" s="5">
        <v>150</v>
      </c>
      <c r="H5457" s="5">
        <v>15025</v>
      </c>
      <c r="I5457" s="118">
        <f t="shared" si="679"/>
        <v>0.14312931650392952</v>
      </c>
      <c r="J5457" s="5">
        <v>62863</v>
      </c>
      <c r="K5457" s="22">
        <v>1974</v>
      </c>
      <c r="L5457" s="6">
        <v>1987</v>
      </c>
      <c r="M5457" s="125">
        <f t="shared" si="683"/>
        <v>13</v>
      </c>
      <c r="N5457" s="125"/>
      <c r="O5457" s="125"/>
      <c r="P5457" s="247">
        <v>18775</v>
      </c>
      <c r="Q5457" s="25">
        <f>161.89/1109.8</f>
        <v>0.14587313029374663</v>
      </c>
      <c r="W5457" s="285">
        <f t="shared" si="684"/>
        <v>2738.768021265093</v>
      </c>
      <c r="X5457" s="446">
        <f t="shared" si="682"/>
        <v>9.5111448834853096</v>
      </c>
    </row>
    <row r="5458" spans="1:24" ht="15" customHeight="1">
      <c r="A5458" s="3">
        <v>43439</v>
      </c>
      <c r="B5458" s="9">
        <v>21000</v>
      </c>
      <c r="C5458" s="5">
        <v>0</v>
      </c>
      <c r="D5458" s="5">
        <v>83850</v>
      </c>
      <c r="E5458" s="5">
        <v>104850</v>
      </c>
      <c r="F5458" s="4">
        <v>0</v>
      </c>
      <c r="G5458" s="5">
        <v>125</v>
      </c>
      <c r="H5458" s="5">
        <v>15825</v>
      </c>
      <c r="I5458" s="118">
        <f t="shared" si="679"/>
        <v>0.15092989985693847</v>
      </c>
      <c r="J5458" s="5">
        <v>71402</v>
      </c>
      <c r="K5458" s="22">
        <v>1976</v>
      </c>
      <c r="L5458" s="6">
        <v>2002</v>
      </c>
      <c r="M5458" s="125">
        <f t="shared" si="683"/>
        <v>26</v>
      </c>
      <c r="N5458" s="125"/>
      <c r="O5458" s="125"/>
      <c r="P5458" s="247">
        <v>18805</v>
      </c>
      <c r="Q5458" s="25">
        <f>162.28/1113.6</f>
        <v>0.14572557471264369</v>
      </c>
      <c r="W5458" s="285">
        <f t="shared" si="684"/>
        <v>2740.3694324712646</v>
      </c>
      <c r="X5458" s="446">
        <f t="shared" si="682"/>
        <v>9.5167004048582999</v>
      </c>
    </row>
    <row r="5459" spans="1:24" ht="15" customHeight="1">
      <c r="A5459" s="3">
        <v>43440</v>
      </c>
      <c r="B5459" s="9">
        <v>21000</v>
      </c>
      <c r="C5459" s="5">
        <v>0</v>
      </c>
      <c r="D5459" s="5">
        <v>83550</v>
      </c>
      <c r="E5459" s="5">
        <v>104550</v>
      </c>
      <c r="F5459" s="4">
        <v>0</v>
      </c>
      <c r="G5459" s="5">
        <v>300</v>
      </c>
      <c r="H5459" s="5">
        <v>15650</v>
      </c>
      <c r="I5459" s="118">
        <f t="shared" si="679"/>
        <v>0.14968914395026303</v>
      </c>
      <c r="J5459" s="5">
        <v>36537</v>
      </c>
      <c r="K5459" s="22">
        <v>1947</v>
      </c>
      <c r="L5459" s="6">
        <v>1962</v>
      </c>
      <c r="M5459" s="125">
        <f t="shared" si="683"/>
        <v>15</v>
      </c>
      <c r="N5459" s="125"/>
      <c r="O5459" s="125"/>
      <c r="P5459" s="247">
        <v>18770</v>
      </c>
      <c r="Q5459" s="25">
        <f>162.47/1117.8</f>
        <v>0.14534800500984077</v>
      </c>
      <c r="W5459" s="285">
        <f t="shared" si="684"/>
        <v>2728.1820540347112</v>
      </c>
      <c r="X5459" s="446">
        <f t="shared" si="682"/>
        <v>9.6404725218284533</v>
      </c>
    </row>
    <row r="5460" spans="1:24" ht="15" customHeight="1">
      <c r="A5460" s="3">
        <v>43441</v>
      </c>
      <c r="B5460" s="9">
        <v>21000</v>
      </c>
      <c r="C5460" s="5">
        <v>0</v>
      </c>
      <c r="D5460" s="5">
        <v>83450</v>
      </c>
      <c r="E5460" s="5">
        <v>104450</v>
      </c>
      <c r="F5460" s="4">
        <v>0</v>
      </c>
      <c r="G5460" s="5">
        <v>100</v>
      </c>
      <c r="H5460" s="5">
        <v>15625</v>
      </c>
      <c r="I5460" s="118">
        <f t="shared" si="679"/>
        <v>0.14959310674964096</v>
      </c>
      <c r="J5460" s="5">
        <v>39025</v>
      </c>
      <c r="K5460" s="22">
        <v>1965</v>
      </c>
      <c r="L5460" s="6">
        <v>1980</v>
      </c>
      <c r="M5460" s="125">
        <f t="shared" si="683"/>
        <v>15</v>
      </c>
      <c r="N5460" s="125"/>
      <c r="O5460" s="125"/>
      <c r="P5460" s="247">
        <v>18740</v>
      </c>
      <c r="Q5460" s="25">
        <f>162.51/1118.2</f>
        <v>0.145331783223037</v>
      </c>
      <c r="W5460" s="285">
        <f t="shared" si="684"/>
        <v>2723.5176175997135</v>
      </c>
      <c r="X5460" s="446">
        <f t="shared" si="682"/>
        <v>9.5368956743002542</v>
      </c>
    </row>
    <row r="5461" spans="1:24" ht="15" customHeight="1">
      <c r="A5461" s="3">
        <v>43444</v>
      </c>
      <c r="B5461" s="9">
        <v>21000</v>
      </c>
      <c r="C5461" s="5">
        <v>0</v>
      </c>
      <c r="D5461" s="5">
        <v>83250</v>
      </c>
      <c r="E5461" s="5">
        <v>104250</v>
      </c>
      <c r="F5461" s="4">
        <v>0</v>
      </c>
      <c r="G5461" s="5">
        <v>200</v>
      </c>
      <c r="H5461" s="5">
        <v>15425</v>
      </c>
      <c r="I5461" s="118">
        <f t="shared" si="679"/>
        <v>0.14796163069544366</v>
      </c>
      <c r="J5461" s="5">
        <v>63655</v>
      </c>
      <c r="K5461" s="22">
        <v>1975.5</v>
      </c>
      <c r="L5461" s="6">
        <v>1993.5</v>
      </c>
      <c r="M5461" s="125">
        <f t="shared" si="683"/>
        <v>18</v>
      </c>
      <c r="N5461" s="125"/>
      <c r="O5461" s="125"/>
      <c r="P5461" s="247">
        <v>18750</v>
      </c>
      <c r="Q5461" s="25">
        <f>162.98/1124.7</f>
        <v>0.14490975371210099</v>
      </c>
      <c r="W5461" s="285">
        <f t="shared" si="684"/>
        <v>2717.0578821018935</v>
      </c>
      <c r="X5461" s="446">
        <f t="shared" si="682"/>
        <v>9.4912680334092627</v>
      </c>
    </row>
    <row r="5462" spans="1:24" ht="15" customHeight="1">
      <c r="A5462" s="3">
        <v>43445</v>
      </c>
      <c r="B5462" s="9">
        <v>21000</v>
      </c>
      <c r="C5462" s="5">
        <v>0</v>
      </c>
      <c r="D5462" s="5">
        <v>83150</v>
      </c>
      <c r="E5462" s="5">
        <v>104150</v>
      </c>
      <c r="F5462" s="4">
        <v>0</v>
      </c>
      <c r="G5462" s="5">
        <v>100</v>
      </c>
      <c r="H5462" s="5">
        <v>15325</v>
      </c>
      <c r="I5462" s="118">
        <f t="shared" si="679"/>
        <v>0.14714354296687471</v>
      </c>
      <c r="J5462" s="5">
        <v>52049</v>
      </c>
      <c r="K5462" s="22">
        <v>1969.5</v>
      </c>
      <c r="L5462" s="6">
        <v>1982</v>
      </c>
      <c r="M5462" s="125">
        <f t="shared" si="683"/>
        <v>12.5</v>
      </c>
      <c r="N5462" s="125"/>
      <c r="O5462" s="125"/>
      <c r="P5462" s="247">
        <v>18720</v>
      </c>
      <c r="Q5462" s="25">
        <f>163.49/1129.4</f>
        <v>0.14475827873207012</v>
      </c>
      <c r="W5462" s="285">
        <f t="shared" si="684"/>
        <v>2709.8749778643528</v>
      </c>
      <c r="X5462" s="446">
        <f t="shared" si="682"/>
        <v>9.5049504950495045</v>
      </c>
    </row>
    <row r="5463" spans="1:24" ht="15" customHeight="1">
      <c r="A5463" s="3">
        <v>43446</v>
      </c>
      <c r="B5463" s="9">
        <v>21000</v>
      </c>
      <c r="C5463" s="5">
        <v>0</v>
      </c>
      <c r="D5463" s="5">
        <v>86075</v>
      </c>
      <c r="E5463" s="5">
        <v>107075</v>
      </c>
      <c r="F5463" s="4">
        <v>2925</v>
      </c>
      <c r="G5463" s="5">
        <v>0</v>
      </c>
      <c r="H5463" s="5">
        <v>15450</v>
      </c>
      <c r="I5463" s="118">
        <f t="shared" si="679"/>
        <v>0.14429138454354423</v>
      </c>
      <c r="J5463" s="5">
        <v>65879</v>
      </c>
      <c r="K5463" s="22">
        <v>1965</v>
      </c>
      <c r="L5463" s="6">
        <v>1975.5</v>
      </c>
      <c r="M5463" s="125">
        <f t="shared" si="683"/>
        <v>10.5</v>
      </c>
      <c r="N5463" s="125"/>
      <c r="O5463" s="125"/>
      <c r="P5463" s="247">
        <v>18730</v>
      </c>
      <c r="Q5463" s="25">
        <f>163.78/1127.6</f>
        <v>0.14524654132671161</v>
      </c>
      <c r="W5463" s="285">
        <f t="shared" si="684"/>
        <v>2720.4677190493085</v>
      </c>
      <c r="X5463" s="446">
        <f t="shared" si="682"/>
        <v>9.5318066157760821</v>
      </c>
    </row>
    <row r="5464" spans="1:24" ht="15" customHeight="1">
      <c r="A5464" s="3">
        <v>43447</v>
      </c>
      <c r="B5464" s="9">
        <v>21000</v>
      </c>
      <c r="C5464" s="5">
        <v>0</v>
      </c>
      <c r="D5464" s="5">
        <v>85950</v>
      </c>
      <c r="E5464" s="5">
        <v>106950</v>
      </c>
      <c r="F5464" s="4">
        <v>0</v>
      </c>
      <c r="G5464" s="5">
        <v>125</v>
      </c>
      <c r="H5464" s="5">
        <v>15350</v>
      </c>
      <c r="I5464" s="118">
        <f t="shared" si="679"/>
        <v>0.14352501168770454</v>
      </c>
      <c r="J5464" s="5">
        <v>72111</v>
      </c>
      <c r="K5464" s="22">
        <v>1953</v>
      </c>
      <c r="L5464" s="6">
        <v>1962</v>
      </c>
      <c r="M5464" s="125">
        <f t="shared" si="683"/>
        <v>9</v>
      </c>
      <c r="N5464" s="125"/>
      <c r="O5464" s="125"/>
      <c r="P5464" s="247">
        <v>18720</v>
      </c>
      <c r="Q5464" s="25">
        <f>163.65/1124</f>
        <v>0.14559608540925267</v>
      </c>
      <c r="W5464" s="285">
        <f t="shared" si="684"/>
        <v>2725.5587188612099</v>
      </c>
      <c r="X5464" s="446">
        <f t="shared" si="682"/>
        <v>9.5852534562211975</v>
      </c>
    </row>
    <row r="5465" spans="1:24" ht="15" customHeight="1">
      <c r="A5465" s="3">
        <v>43448</v>
      </c>
      <c r="B5465" s="9">
        <v>20925</v>
      </c>
      <c r="C5465" s="5">
        <v>0</v>
      </c>
      <c r="D5465" s="5">
        <v>85875</v>
      </c>
      <c r="E5465" s="5">
        <v>106800</v>
      </c>
      <c r="F5465" s="4">
        <v>0</v>
      </c>
      <c r="G5465" s="5">
        <v>150</v>
      </c>
      <c r="H5465" s="5">
        <v>15200</v>
      </c>
      <c r="I5465" s="118">
        <f t="shared" si="679"/>
        <v>0.14232209737827714</v>
      </c>
      <c r="J5465" s="5">
        <v>68015</v>
      </c>
      <c r="K5465" s="22">
        <v>1927</v>
      </c>
      <c r="L5465" s="6">
        <v>1939</v>
      </c>
      <c r="M5465" s="125">
        <f t="shared" si="683"/>
        <v>12</v>
      </c>
      <c r="N5465" s="125"/>
      <c r="O5465" s="125"/>
      <c r="P5465" s="247">
        <v>18555</v>
      </c>
      <c r="Q5465" s="25">
        <f>164.05/1129.2</f>
        <v>0.14527984413744244</v>
      </c>
      <c r="W5465" s="285">
        <f t="shared" si="684"/>
        <v>2695.6675079702445</v>
      </c>
      <c r="X5465" s="446">
        <f t="shared" si="682"/>
        <v>9.6289569278671507</v>
      </c>
    </row>
    <row r="5466" spans="1:24" ht="15" customHeight="1">
      <c r="A5466" s="3">
        <v>43451</v>
      </c>
      <c r="B5466" s="9">
        <v>20850</v>
      </c>
      <c r="C5466" s="5">
        <v>0</v>
      </c>
      <c r="D5466" s="5">
        <v>86350</v>
      </c>
      <c r="E5466" s="5">
        <v>107200</v>
      </c>
      <c r="F5466" s="4">
        <v>400</v>
      </c>
      <c r="G5466" s="5">
        <v>0</v>
      </c>
      <c r="H5466" s="5">
        <v>14975</v>
      </c>
      <c r="I5466" s="118">
        <f t="shared" si="679"/>
        <v>0.13969216417910449</v>
      </c>
      <c r="J5466" s="5">
        <v>38949</v>
      </c>
      <c r="K5466" s="22">
        <v>1912</v>
      </c>
      <c r="L5466" s="6">
        <v>1925</v>
      </c>
      <c r="M5466" s="125">
        <f t="shared" si="683"/>
        <v>13</v>
      </c>
      <c r="N5466" s="125"/>
      <c r="O5466" s="125"/>
      <c r="P5466" s="247">
        <v>18430</v>
      </c>
      <c r="Q5466" s="25">
        <f>163.99/1131.6</f>
        <v>0.14491869918699188</v>
      </c>
      <c r="W5466" s="285">
        <f t="shared" si="684"/>
        <v>2670.8516260162605</v>
      </c>
      <c r="X5466" s="446">
        <f t="shared" si="682"/>
        <v>9.6391213389121333</v>
      </c>
    </row>
    <row r="5467" spans="1:24" ht="15" customHeight="1">
      <c r="A5467" s="3">
        <v>43452</v>
      </c>
      <c r="B5467" s="9">
        <v>20850</v>
      </c>
      <c r="C5467" s="5">
        <v>0</v>
      </c>
      <c r="D5467" s="5">
        <v>87925</v>
      </c>
      <c r="E5467" s="5">
        <v>108775</v>
      </c>
      <c r="F5467" s="4">
        <v>1575</v>
      </c>
      <c r="G5467" s="5">
        <v>0</v>
      </c>
      <c r="H5467" s="5">
        <v>16175</v>
      </c>
      <c r="I5467" s="118">
        <f t="shared" si="679"/>
        <v>0.14870144794300161</v>
      </c>
      <c r="J5467" s="5">
        <v>71248</v>
      </c>
      <c r="K5467" s="22">
        <v>1939</v>
      </c>
      <c r="L5467" s="6">
        <v>1941</v>
      </c>
      <c r="M5467" s="125">
        <f>L5467-K5467</f>
        <v>2</v>
      </c>
      <c r="N5467" s="125"/>
      <c r="O5467" s="125"/>
      <c r="P5467" s="247">
        <v>18360</v>
      </c>
      <c r="Q5467" s="25">
        <f>163.94/1129.9</f>
        <v>0.14509248606071332</v>
      </c>
      <c r="W5467" s="285">
        <f t="shared" si="684"/>
        <v>2663.8980440746964</v>
      </c>
      <c r="X5467" s="446">
        <f t="shared" si="682"/>
        <v>9.468798349664775</v>
      </c>
    </row>
    <row r="5468" spans="1:24" ht="15" customHeight="1">
      <c r="A5468" s="3">
        <v>43453</v>
      </c>
      <c r="B5468" s="9">
        <v>20850</v>
      </c>
      <c r="C5468" s="5">
        <v>0</v>
      </c>
      <c r="D5468" s="5">
        <v>87750</v>
      </c>
      <c r="E5468" s="5">
        <v>108600</v>
      </c>
      <c r="F5468" s="4">
        <v>0</v>
      </c>
      <c r="G5468" s="5">
        <v>175</v>
      </c>
      <c r="H5468" s="5">
        <v>16000</v>
      </c>
      <c r="I5468" s="118">
        <f t="shared" si="679"/>
        <v>0.14732965009208104</v>
      </c>
      <c r="J5468" s="5">
        <v>78200</v>
      </c>
      <c r="K5468" s="22">
        <v>1942</v>
      </c>
      <c r="L5468" s="6">
        <v>1953</v>
      </c>
      <c r="M5468" s="125">
        <f>L5468-K5468</f>
        <v>11</v>
      </c>
      <c r="N5468" s="125"/>
      <c r="O5468" s="125"/>
      <c r="P5468" s="247">
        <v>18510</v>
      </c>
      <c r="Q5468" s="25">
        <f>163.35/1125.1</f>
        <v>0.14518709448049064</v>
      </c>
      <c r="W5468" s="285">
        <f t="shared" si="684"/>
        <v>2687.4131188338815</v>
      </c>
      <c r="X5468" s="446">
        <f t="shared" si="682"/>
        <v>9.5314109165808443</v>
      </c>
    </row>
    <row r="5469" spans="1:24" ht="15" customHeight="1">
      <c r="A5469" s="3">
        <v>43454</v>
      </c>
      <c r="B5469" s="9">
        <v>20850</v>
      </c>
      <c r="C5469" s="5">
        <v>0</v>
      </c>
      <c r="D5469" s="5">
        <v>86775</v>
      </c>
      <c r="E5469" s="5">
        <v>107625</v>
      </c>
      <c r="F5469" s="4">
        <v>0</v>
      </c>
      <c r="G5469" s="5">
        <v>975</v>
      </c>
      <c r="H5469" s="5">
        <v>15050</v>
      </c>
      <c r="I5469" s="118">
        <f t="shared" si="679"/>
        <v>0.13983739837398373</v>
      </c>
      <c r="J5469" s="5">
        <v>49025</v>
      </c>
      <c r="K5469" s="22">
        <v>1961.5</v>
      </c>
      <c r="L5469" s="6">
        <v>1964</v>
      </c>
      <c r="M5469" s="125">
        <f>L5469-K5469</f>
        <v>2.5</v>
      </c>
      <c r="N5469" s="125"/>
      <c r="O5469" s="125"/>
      <c r="P5469" s="247">
        <v>18515</v>
      </c>
      <c r="Q5469" s="25">
        <f>163.44/1128.9</f>
        <v>0.14477810257773052</v>
      </c>
      <c r="W5469" s="285">
        <f t="shared" si="684"/>
        <v>2680.5665692266807</v>
      </c>
      <c r="X5469" s="446">
        <f t="shared" si="682"/>
        <v>9.4392046902880455</v>
      </c>
    </row>
    <row r="5470" spans="1:24" ht="15" customHeight="1">
      <c r="A5470" s="3">
        <v>43455</v>
      </c>
      <c r="B5470" s="9">
        <v>20850</v>
      </c>
      <c r="C5470" s="5">
        <v>0</v>
      </c>
      <c r="D5470" s="5">
        <v>86775</v>
      </c>
      <c r="E5470" s="5">
        <v>107625</v>
      </c>
      <c r="F5470" s="4">
        <v>0</v>
      </c>
      <c r="G5470" s="5">
        <v>0</v>
      </c>
      <c r="H5470" s="5">
        <v>13925</v>
      </c>
      <c r="I5470" s="118">
        <f t="shared" si="679"/>
        <v>0.12938443670150987</v>
      </c>
      <c r="J5470" s="5">
        <v>47431</v>
      </c>
      <c r="K5470" s="22">
        <v>1958</v>
      </c>
      <c r="L5470" s="6">
        <v>1963</v>
      </c>
      <c r="M5470" s="125">
        <f>L5470-K5470</f>
        <v>5</v>
      </c>
      <c r="N5470" s="125"/>
      <c r="O5470" s="125"/>
      <c r="P5470" s="247">
        <v>18485</v>
      </c>
      <c r="Q5470" s="25">
        <f>163/1123.9</f>
        <v>0.14503069668119939</v>
      </c>
      <c r="W5470" s="285">
        <f t="shared" si="684"/>
        <v>2680.8924281519708</v>
      </c>
      <c r="X5470" s="446">
        <f>P5470/K5470</f>
        <v>9.4407558733401427</v>
      </c>
    </row>
    <row r="5471" spans="1:24" ht="15" customHeight="1">
      <c r="A5471" s="3">
        <v>43458</v>
      </c>
      <c r="B5471" s="9">
        <v>20850</v>
      </c>
      <c r="C5471" s="5">
        <v>0</v>
      </c>
      <c r="D5471" s="5">
        <v>86725</v>
      </c>
      <c r="E5471" s="5">
        <v>107575</v>
      </c>
      <c r="F5471" s="4">
        <v>0</v>
      </c>
      <c r="G5471" s="5">
        <v>50</v>
      </c>
      <c r="H5471" s="5">
        <v>45025</v>
      </c>
      <c r="I5471" s="118">
        <f t="shared" si="679"/>
        <v>0.41854520102254239</v>
      </c>
      <c r="J5471" s="5">
        <v>52199</v>
      </c>
      <c r="K5471" s="22">
        <v>1976.5</v>
      </c>
      <c r="L5471" s="6">
        <v>1982</v>
      </c>
      <c r="M5471" s="125">
        <f>L5471-K5471</f>
        <v>5.5</v>
      </c>
      <c r="N5471" s="125"/>
      <c r="O5471" s="125"/>
      <c r="P5471" s="247"/>
      <c r="X5471" s="446"/>
    </row>
    <row r="5472" spans="1:24" ht="15" customHeight="1">
      <c r="A5472" s="3">
        <v>43459</v>
      </c>
      <c r="B5472" s="1318"/>
      <c r="C5472" s="1318"/>
      <c r="D5472" s="1318"/>
      <c r="E5472" s="1318"/>
      <c r="F5472" s="1318"/>
      <c r="G5472" s="1318"/>
      <c r="H5472" s="1318"/>
      <c r="I5472" s="1318"/>
      <c r="J5472" s="1318"/>
      <c r="K5472" s="1318"/>
      <c r="L5472" s="1318"/>
      <c r="M5472" s="1318"/>
      <c r="N5472" s="125"/>
      <c r="O5472" s="125"/>
      <c r="P5472" s="247">
        <v>18350</v>
      </c>
      <c r="Q5472" s="25">
        <f>162.82/1125.2</f>
        <v>0.14470316388197652</v>
      </c>
      <c r="W5472" s="285">
        <f>(P5472*Q5472)*(1+U5472)</f>
        <v>2655.3030572342691</v>
      </c>
      <c r="X5472" s="446"/>
    </row>
    <row r="5473" spans="1:24" ht="15" customHeight="1">
      <c r="A5473" s="3">
        <v>43460</v>
      </c>
      <c r="B5473" s="1318"/>
      <c r="C5473" s="1318"/>
      <c r="D5473" s="1318"/>
      <c r="E5473" s="1318"/>
      <c r="F5473" s="1318"/>
      <c r="G5473" s="1318"/>
      <c r="H5473" s="1318"/>
      <c r="I5473" s="1318"/>
      <c r="J5473" s="1318"/>
      <c r="K5473" s="1318"/>
      <c r="L5473" s="1318"/>
      <c r="M5473" s="1318"/>
      <c r="N5473" s="125"/>
      <c r="O5473" s="125"/>
      <c r="P5473" s="247">
        <v>18185</v>
      </c>
      <c r="Q5473" s="25">
        <f>163.2/1125.6</f>
        <v>0.14498933901918976</v>
      </c>
      <c r="W5473" s="285">
        <f>(P5473*Q5473)*(1+U5473)</f>
        <v>2636.6311300639659</v>
      </c>
      <c r="X5473" s="446"/>
    </row>
    <row r="5474" spans="1:24" ht="15" customHeight="1">
      <c r="A5474" s="3">
        <v>43461</v>
      </c>
      <c r="B5474" s="9">
        <v>20800</v>
      </c>
      <c r="C5474" s="5">
        <v>0</v>
      </c>
      <c r="D5474" s="5">
        <v>86675</v>
      </c>
      <c r="E5474" s="5">
        <v>107475</v>
      </c>
      <c r="F5474" s="4">
        <v>0</v>
      </c>
      <c r="G5474" s="5">
        <v>100</v>
      </c>
      <c r="H5474" s="5">
        <v>63600</v>
      </c>
      <c r="I5474" s="118">
        <f t="shared" ref="I5474:I5476" si="685">H5474/E5474</f>
        <v>0.59176552686671324</v>
      </c>
      <c r="J5474" s="5">
        <v>47947</v>
      </c>
      <c r="K5474" s="22">
        <v>1996.5</v>
      </c>
      <c r="L5474" s="6">
        <v>1992</v>
      </c>
      <c r="M5474" s="125">
        <f>L5474-K5474</f>
        <v>-4.5</v>
      </c>
      <c r="N5474" s="125"/>
      <c r="P5474" s="247">
        <v>18350</v>
      </c>
      <c r="Q5474" s="25">
        <f>162.6/1121.3</f>
        <v>0.14501025595291181</v>
      </c>
      <c r="W5474" s="285">
        <f>(P5474*Q5474)*(1+U5474)</f>
        <v>2660.9381967359318</v>
      </c>
      <c r="X5474" s="446">
        <f>P5474/K5474</f>
        <v>9.1910843976959686</v>
      </c>
    </row>
    <row r="5475" spans="1:24" ht="15" customHeight="1">
      <c r="A5475" s="3">
        <v>43462</v>
      </c>
      <c r="B5475" s="9">
        <v>20800</v>
      </c>
      <c r="C5475" s="5">
        <v>0</v>
      </c>
      <c r="D5475" s="5">
        <v>86675</v>
      </c>
      <c r="E5475" s="5">
        <v>107475</v>
      </c>
      <c r="F5475" s="4">
        <v>0</v>
      </c>
      <c r="G5475" s="5">
        <v>0</v>
      </c>
      <c r="H5475" s="5">
        <v>63600</v>
      </c>
      <c r="I5475" s="118">
        <f t="shared" si="685"/>
        <v>0.59176552686671324</v>
      </c>
      <c r="J5475" s="5">
        <v>71492</v>
      </c>
      <c r="K5475" s="22">
        <v>2033</v>
      </c>
      <c r="L5475" s="6">
        <v>2039</v>
      </c>
      <c r="M5475" s="125">
        <f>L5475-K5475</f>
        <v>6</v>
      </c>
      <c r="N5475" s="125"/>
      <c r="P5475" s="247">
        <v>18375</v>
      </c>
      <c r="Q5475" s="25">
        <f>162.76/1118.1</f>
        <v>0.14556837492174224</v>
      </c>
      <c r="W5475" s="285">
        <f>(P5475*Q5475)*(1+U5475)</f>
        <v>2674.8188891870136</v>
      </c>
      <c r="X5475" s="446">
        <f>P5475/K5475</f>
        <v>9.0383669454008846</v>
      </c>
    </row>
    <row r="5476" spans="1:24" ht="15" customHeight="1">
      <c r="A5476" s="3">
        <v>43465</v>
      </c>
      <c r="B5476" s="9">
        <v>20800</v>
      </c>
      <c r="C5476" s="5">
        <v>0</v>
      </c>
      <c r="D5476" s="5">
        <v>86650</v>
      </c>
      <c r="E5476" s="5">
        <v>107450</v>
      </c>
      <c r="F5476" s="4">
        <v>0</v>
      </c>
      <c r="G5476" s="5">
        <v>25</v>
      </c>
      <c r="H5476" s="5">
        <v>64050</v>
      </c>
      <c r="I5476" s="118">
        <f t="shared" si="685"/>
        <v>0.59609120521172643</v>
      </c>
      <c r="J5476" s="5">
        <v>63040</v>
      </c>
      <c r="K5476" s="22">
        <v>2009</v>
      </c>
      <c r="L5476" s="6">
        <v>2018</v>
      </c>
      <c r="M5476" s="125">
        <f>L5476-K5476</f>
        <v>9</v>
      </c>
      <c r="N5476" s="381">
        <f>AVERAGE($K$5456:K5476)</f>
        <v>1965.4736842105262</v>
      </c>
      <c r="O5476" s="395">
        <f>AVERAGE($K$5206:K5476)</f>
        <v>2242.4288537549405</v>
      </c>
      <c r="P5476" s="247"/>
      <c r="Q5476" s="25">
        <f>162.76/1118.1</f>
        <v>0.14556837492174224</v>
      </c>
      <c r="X5476" s="446"/>
    </row>
    <row r="5477" spans="1:24" ht="15" customHeight="1" thickBot="1">
      <c r="A5477" s="216"/>
      <c r="B5477" s="394"/>
      <c r="C5477" s="394"/>
      <c r="D5477" s="394"/>
      <c r="E5477" s="216"/>
      <c r="F5477" s="407"/>
      <c r="G5477" s="164"/>
      <c r="H5477" s="164"/>
      <c r="I5477" s="164"/>
      <c r="J5477" s="166"/>
      <c r="K5477" s="166"/>
      <c r="L5477" s="167"/>
      <c r="M5477" s="167"/>
      <c r="N5477" s="167"/>
      <c r="O5477" s="167"/>
      <c r="P5477" s="180"/>
      <c r="Q5477" s="154"/>
      <c r="R5477" s="248"/>
      <c r="S5477" s="249"/>
      <c r="T5477" s="249"/>
      <c r="U5477" s="152"/>
      <c r="V5477" s="153">
        <f>AVERAGE(P5456:P5476)</f>
        <v>18579.21052631579</v>
      </c>
      <c r="W5477" s="390"/>
      <c r="X5477" s="447">
        <f>AVERAGE(X5456:X5476)</f>
        <v>9.488634085914109</v>
      </c>
    </row>
    <row r="5478" spans="1:24" ht="15" customHeight="1">
      <c r="A5478" s="3">
        <v>43467</v>
      </c>
      <c r="B5478" s="9">
        <v>20725</v>
      </c>
      <c r="C5478" s="5">
        <v>0</v>
      </c>
      <c r="D5478" s="5">
        <v>86650</v>
      </c>
      <c r="E5478" s="5">
        <v>107375</v>
      </c>
      <c r="F5478" s="4">
        <v>0</v>
      </c>
      <c r="G5478" s="5">
        <v>75</v>
      </c>
      <c r="H5478" s="5">
        <v>63975</v>
      </c>
      <c r="I5478" s="118">
        <f t="shared" ref="I5478:I5557" si="686">H5478/E5478</f>
        <v>0.59580908032596047</v>
      </c>
      <c r="J5478" s="5">
        <v>51975</v>
      </c>
      <c r="K5478" s="22">
        <v>1975</v>
      </c>
      <c r="L5478" s="6">
        <v>1987</v>
      </c>
      <c r="M5478" s="125">
        <f t="shared" ref="M5478:M5487" si="687">L5478-K5478</f>
        <v>12</v>
      </c>
      <c r="N5478" s="125"/>
      <c r="P5478" s="247">
        <v>18490</v>
      </c>
      <c r="Q5478" s="25">
        <f>163.02/1119</f>
        <v>0.14568364611260054</v>
      </c>
      <c r="W5478" s="285">
        <f t="shared" ref="W5478:W5493" si="688">(P5478*Q5478)*(1+U5478)</f>
        <v>2693.6906166219842</v>
      </c>
      <c r="X5478" s="446">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18">
        <f t="shared" si="686"/>
        <v>0.59580908032596047</v>
      </c>
      <c r="J5479" s="5">
        <v>63371</v>
      </c>
      <c r="K5479" s="22">
        <v>1943</v>
      </c>
      <c r="L5479" s="6">
        <v>1952</v>
      </c>
      <c r="M5479" s="125">
        <f t="shared" si="687"/>
        <v>9</v>
      </c>
      <c r="N5479" s="125"/>
      <c r="P5479" s="247">
        <v>18400</v>
      </c>
      <c r="Q5479" s="25">
        <f>163.74/1127.5</f>
        <v>0.1452239467849224</v>
      </c>
      <c r="W5479" s="285">
        <f t="shared" si="688"/>
        <v>2672.120620842572</v>
      </c>
      <c r="X5479" s="446">
        <f t="shared" si="689"/>
        <v>9.4698919197117863</v>
      </c>
    </row>
    <row r="5480" spans="1:24" ht="15" customHeight="1">
      <c r="A5480" s="3">
        <v>43469</v>
      </c>
      <c r="B5480" s="9">
        <v>20725</v>
      </c>
      <c r="C5480" s="5">
        <v>0</v>
      </c>
      <c r="D5480" s="5">
        <v>86575</v>
      </c>
      <c r="E5480" s="5">
        <v>107300</v>
      </c>
      <c r="F5480" s="4">
        <v>0</v>
      </c>
      <c r="G5480" s="5">
        <v>75</v>
      </c>
      <c r="H5480" s="5">
        <v>63900</v>
      </c>
      <c r="I5480" s="118">
        <f t="shared" si="686"/>
        <v>0.59552656104380242</v>
      </c>
      <c r="J5480" s="5">
        <v>59641</v>
      </c>
      <c r="K5480" s="22">
        <v>1936</v>
      </c>
      <c r="L5480" s="6">
        <v>1950</v>
      </c>
      <c r="M5480" s="125">
        <f t="shared" si="687"/>
        <v>14</v>
      </c>
      <c r="N5480" s="125"/>
      <c r="P5480" s="247">
        <v>18175</v>
      </c>
      <c r="Q5480" s="25">
        <f>163.72/1125.2</f>
        <v>0.14550302168503376</v>
      </c>
      <c r="W5480" s="285">
        <f t="shared" si="688"/>
        <v>2644.5174191254887</v>
      </c>
      <c r="X5480" s="446">
        <f t="shared" si="689"/>
        <v>9.3879132231404956</v>
      </c>
    </row>
    <row r="5481" spans="1:24" ht="15" customHeight="1">
      <c r="A5481" s="3">
        <v>43472</v>
      </c>
      <c r="B5481" s="9">
        <v>20725</v>
      </c>
      <c r="C5481" s="5">
        <v>0</v>
      </c>
      <c r="D5481" s="5">
        <v>86325</v>
      </c>
      <c r="E5481" s="5">
        <v>107050</v>
      </c>
      <c r="F5481" s="4">
        <v>0</v>
      </c>
      <c r="G5481" s="5">
        <v>250</v>
      </c>
      <c r="H5481" s="5">
        <v>63775</v>
      </c>
      <c r="I5481" s="118">
        <f t="shared" si="686"/>
        <v>0.59574964969640354</v>
      </c>
      <c r="J5481" s="5">
        <v>57220</v>
      </c>
      <c r="K5481" s="22">
        <v>1934.5</v>
      </c>
      <c r="L5481" s="6">
        <v>1950</v>
      </c>
      <c r="M5481" s="125">
        <f t="shared" si="687"/>
        <v>15.5</v>
      </c>
      <c r="N5481" s="125"/>
      <c r="P5481" s="247">
        <v>18175</v>
      </c>
      <c r="Q5481" s="25">
        <f>163.21/1118</f>
        <v>0.14598389982110913</v>
      </c>
      <c r="W5481" s="285">
        <f t="shared" si="688"/>
        <v>2653.2573792486583</v>
      </c>
      <c r="X5481" s="446">
        <f t="shared" si="689"/>
        <v>9.3951925562160756</v>
      </c>
    </row>
    <row r="5482" spans="1:24" ht="15" customHeight="1">
      <c r="A5482" s="3">
        <v>43473</v>
      </c>
      <c r="B5482" s="9">
        <v>20725</v>
      </c>
      <c r="C5482" s="5">
        <v>0</v>
      </c>
      <c r="D5482" s="5">
        <v>86300</v>
      </c>
      <c r="E5482" s="5">
        <v>107025</v>
      </c>
      <c r="F5482" s="4">
        <v>0</v>
      </c>
      <c r="G5482" s="5">
        <v>25</v>
      </c>
      <c r="H5482" s="5">
        <v>63875</v>
      </c>
      <c r="I5482" s="118">
        <f t="shared" si="686"/>
        <v>0.59682317215603831</v>
      </c>
      <c r="J5482" s="5">
        <v>52342</v>
      </c>
      <c r="K5482" s="22">
        <v>1940</v>
      </c>
      <c r="L5482" s="6">
        <v>1952</v>
      </c>
      <c r="M5482" s="125">
        <f t="shared" si="687"/>
        <v>12</v>
      </c>
      <c r="N5482" s="125"/>
      <c r="P5482" s="247">
        <v>18125</v>
      </c>
      <c r="Q5482" s="25">
        <f>163.55/1121.7</f>
        <v>0.14580547383435857</v>
      </c>
      <c r="W5482" s="285">
        <f t="shared" si="688"/>
        <v>2642.724213247749</v>
      </c>
      <c r="X5482" s="446">
        <f t="shared" si="689"/>
        <v>9.3427835051546388</v>
      </c>
    </row>
    <row r="5483" spans="1:24" ht="15" customHeight="1">
      <c r="A5483" s="3">
        <v>43474</v>
      </c>
      <c r="B5483" s="9">
        <v>20225</v>
      </c>
      <c r="C5483" s="5">
        <v>0</v>
      </c>
      <c r="D5483" s="5">
        <v>86250</v>
      </c>
      <c r="E5483" s="5">
        <v>106475</v>
      </c>
      <c r="F5483" s="4">
        <v>0</v>
      </c>
      <c r="G5483" s="5">
        <v>550</v>
      </c>
      <c r="H5483" s="5">
        <v>65350</v>
      </c>
      <c r="I5483" s="118">
        <f t="shared" si="686"/>
        <v>0.61375909837990139</v>
      </c>
      <c r="J5483" s="5">
        <v>64794</v>
      </c>
      <c r="K5483" s="22">
        <v>1965.5</v>
      </c>
      <c r="L5483" s="6">
        <v>1978</v>
      </c>
      <c r="M5483" s="125">
        <f t="shared" si="687"/>
        <v>12.5</v>
      </c>
      <c r="N5483" s="125"/>
      <c r="P5483" s="247">
        <v>18175</v>
      </c>
      <c r="Q5483" s="25">
        <f>163.81/1121.6</f>
        <v>0.14605028530670472</v>
      </c>
      <c r="W5483" s="285">
        <f t="shared" si="688"/>
        <v>2654.4639354493584</v>
      </c>
      <c r="X5483" s="446">
        <f t="shared" si="689"/>
        <v>9.2470109386924442</v>
      </c>
    </row>
    <row r="5484" spans="1:24" ht="15" customHeight="1">
      <c r="A5484" s="3">
        <v>43475</v>
      </c>
      <c r="B5484" s="9">
        <v>20225</v>
      </c>
      <c r="C5484" s="5">
        <v>0</v>
      </c>
      <c r="D5484" s="5">
        <v>86375</v>
      </c>
      <c r="E5484" s="5">
        <v>106600</v>
      </c>
      <c r="F5484" s="4">
        <v>125</v>
      </c>
      <c r="G5484" s="5">
        <v>0</v>
      </c>
      <c r="H5484" s="5">
        <v>65025</v>
      </c>
      <c r="I5484" s="118">
        <f t="shared" si="686"/>
        <v>0.60999061913696062</v>
      </c>
      <c r="J5484" s="5">
        <v>53238</v>
      </c>
      <c r="K5484" s="22">
        <v>1960</v>
      </c>
      <c r="L5484" s="6">
        <v>1973</v>
      </c>
      <c r="M5484" s="125">
        <f t="shared" si="687"/>
        <v>13</v>
      </c>
      <c r="N5484" s="125"/>
      <c r="P5484" s="247">
        <v>18025</v>
      </c>
      <c r="Q5484" s="25">
        <f>164.6/1118.9</f>
        <v>0.14710876753954774</v>
      </c>
      <c r="W5484" s="285">
        <f t="shared" si="688"/>
        <v>2651.6355349003479</v>
      </c>
      <c r="X5484" s="446">
        <f t="shared" si="689"/>
        <v>9.1964285714285712</v>
      </c>
    </row>
    <row r="5485" spans="1:24" ht="15" customHeight="1">
      <c r="A5485" s="3">
        <v>43476</v>
      </c>
      <c r="B5485" s="9">
        <v>20225</v>
      </c>
      <c r="C5485" s="5">
        <v>0</v>
      </c>
      <c r="D5485" s="5">
        <v>84300</v>
      </c>
      <c r="E5485" s="5">
        <v>104525</v>
      </c>
      <c r="F5485" s="4">
        <v>0</v>
      </c>
      <c r="G5485" s="5">
        <v>2075</v>
      </c>
      <c r="H5485" s="5">
        <v>63100</v>
      </c>
      <c r="I5485" s="118">
        <f t="shared" si="686"/>
        <v>0.60368332934704616</v>
      </c>
      <c r="J5485" s="5">
        <v>61591</v>
      </c>
      <c r="K5485" s="22">
        <v>1961.5</v>
      </c>
      <c r="L5485" s="6">
        <v>1974</v>
      </c>
      <c r="M5485" s="125">
        <f t="shared" si="687"/>
        <v>12.5</v>
      </c>
      <c r="N5485" s="125"/>
      <c r="P5485" s="247">
        <v>17800</v>
      </c>
      <c r="Q5485" s="25">
        <f>165.36/1117.6</f>
        <v>0.14795991410164641</v>
      </c>
      <c r="W5485" s="285">
        <f t="shared" si="688"/>
        <v>2633.6864710093059</v>
      </c>
      <c r="X5485" s="446">
        <f t="shared" si="689"/>
        <v>9.0746877389752747</v>
      </c>
    </row>
    <row r="5486" spans="1:24" ht="15" customHeight="1">
      <c r="A5486" s="3">
        <v>43479</v>
      </c>
      <c r="B5486" s="9">
        <v>20225</v>
      </c>
      <c r="C5486" s="5">
        <v>0</v>
      </c>
      <c r="D5486" s="5">
        <v>84300</v>
      </c>
      <c r="E5486" s="5">
        <v>104525</v>
      </c>
      <c r="F5486" s="4">
        <v>0</v>
      </c>
      <c r="G5486" s="5">
        <v>0</v>
      </c>
      <c r="H5486" s="5">
        <v>63100</v>
      </c>
      <c r="I5486" s="118">
        <f t="shared" si="686"/>
        <v>0.60368332934704616</v>
      </c>
      <c r="J5486" s="5">
        <v>68448</v>
      </c>
      <c r="K5486" s="22">
        <v>1962</v>
      </c>
      <c r="L5486" s="6">
        <v>1976</v>
      </c>
      <c r="M5486" s="125">
        <f t="shared" si="687"/>
        <v>14</v>
      </c>
      <c r="N5486" s="125"/>
      <c r="P5486" s="247">
        <v>17800</v>
      </c>
      <c r="Q5486" s="25">
        <f>165.95/1121.4</f>
        <v>0.14798466202960583</v>
      </c>
      <c r="W5486" s="285">
        <f t="shared" si="688"/>
        <v>2634.1269841269836</v>
      </c>
      <c r="X5486" s="446">
        <f t="shared" si="689"/>
        <v>9.0723751274209992</v>
      </c>
    </row>
    <row r="5487" spans="1:24" ht="15" customHeight="1">
      <c r="A5487" s="3">
        <v>43480</v>
      </c>
      <c r="B5487" s="9">
        <v>20225</v>
      </c>
      <c r="C5487" s="5">
        <v>0</v>
      </c>
      <c r="D5487" s="5">
        <v>80475</v>
      </c>
      <c r="E5487" s="5">
        <v>100700</v>
      </c>
      <c r="F5487" s="4">
        <v>0</v>
      </c>
      <c r="G5487" s="5">
        <v>3825</v>
      </c>
      <c r="H5487" s="5">
        <v>59275</v>
      </c>
      <c r="I5487" s="118">
        <f t="shared" si="686"/>
        <v>0.58862959285004968</v>
      </c>
      <c r="J5487" s="5">
        <v>102335</v>
      </c>
      <c r="K5487" s="22">
        <v>1954</v>
      </c>
      <c r="L5487" s="6">
        <v>1971</v>
      </c>
      <c r="M5487" s="125">
        <f t="shared" si="687"/>
        <v>17</v>
      </c>
      <c r="N5487" s="125"/>
      <c r="P5487" s="247">
        <v>17800</v>
      </c>
      <c r="Q5487" s="25">
        <f>165.83/1120.1</f>
        <v>0.14804928131416839</v>
      </c>
      <c r="W5487" s="285">
        <f t="shared" si="688"/>
        <v>2635.2772073921974</v>
      </c>
      <c r="X5487" s="446">
        <f t="shared" si="689"/>
        <v>9.1095189355168884</v>
      </c>
    </row>
    <row r="5488" spans="1:24" ht="15" customHeight="1">
      <c r="A5488" s="3">
        <v>43481</v>
      </c>
      <c r="B5488" s="9">
        <v>19725</v>
      </c>
      <c r="C5488" s="5">
        <v>0</v>
      </c>
      <c r="D5488" s="5">
        <v>79100</v>
      </c>
      <c r="E5488" s="5">
        <v>98825</v>
      </c>
      <c r="F5488" s="4">
        <v>0</v>
      </c>
      <c r="G5488" s="5">
        <v>1875</v>
      </c>
      <c r="H5488" s="5">
        <v>57550</v>
      </c>
      <c r="I5488" s="118">
        <f t="shared" si="686"/>
        <v>0.58234252466481151</v>
      </c>
      <c r="J5488" s="5">
        <v>63629</v>
      </c>
      <c r="K5488" s="22">
        <v>1952.5</v>
      </c>
      <c r="L5488" s="6">
        <v>1970</v>
      </c>
      <c r="M5488" s="125">
        <f t="shared" ref="M5488:M5499" si="690">L5488-K5488</f>
        <v>17.5</v>
      </c>
      <c r="N5488" s="125"/>
      <c r="P5488" s="247">
        <v>17800</v>
      </c>
      <c r="Q5488" s="25">
        <f>165.61/1122</f>
        <v>0.14760249554367202</v>
      </c>
      <c r="W5488" s="285">
        <f t="shared" si="688"/>
        <v>2627.324420677362</v>
      </c>
      <c r="X5488" s="446">
        <f t="shared" si="689"/>
        <v>9.1165172855313692</v>
      </c>
    </row>
    <row r="5489" spans="1:24" ht="15" customHeight="1">
      <c r="A5489" s="3">
        <v>43482</v>
      </c>
      <c r="B5489" s="9">
        <v>19300</v>
      </c>
      <c r="C5489" s="5">
        <v>0</v>
      </c>
      <c r="D5489" s="5">
        <v>79100</v>
      </c>
      <c r="E5489" s="5">
        <v>98400</v>
      </c>
      <c r="F5489" s="4">
        <v>0</v>
      </c>
      <c r="G5489" s="5">
        <v>425</v>
      </c>
      <c r="H5489" s="5">
        <v>56700</v>
      </c>
      <c r="I5489" s="118">
        <f t="shared" si="686"/>
        <v>0.57621951219512191</v>
      </c>
      <c r="J5489" s="5">
        <v>43207</v>
      </c>
      <c r="K5489" s="22">
        <v>1948</v>
      </c>
      <c r="L5489" s="6">
        <v>1962</v>
      </c>
      <c r="M5489" s="125">
        <f t="shared" si="690"/>
        <v>14</v>
      </c>
      <c r="N5489" s="125"/>
      <c r="P5489" s="247">
        <v>17850</v>
      </c>
      <c r="Q5489" s="25">
        <f>165.67/1121.4</f>
        <v>0.14773497413946851</v>
      </c>
      <c r="W5489" s="285">
        <f t="shared" si="688"/>
        <v>2637.0692883895131</v>
      </c>
      <c r="X5489" s="446">
        <f t="shared" si="689"/>
        <v>9.1632443531827512</v>
      </c>
    </row>
    <row r="5490" spans="1:24" ht="15" customHeight="1">
      <c r="A5490" s="3">
        <v>43483</v>
      </c>
      <c r="B5490" s="9">
        <v>19275</v>
      </c>
      <c r="C5490" s="5">
        <v>0</v>
      </c>
      <c r="D5490" s="5">
        <v>73750</v>
      </c>
      <c r="E5490" s="5">
        <v>93025</v>
      </c>
      <c r="F5490" s="4">
        <v>0</v>
      </c>
      <c r="G5490" s="5">
        <v>5375</v>
      </c>
      <c r="H5490" s="5">
        <v>51325</v>
      </c>
      <c r="I5490" s="118">
        <f t="shared" si="686"/>
        <v>0.55173340499865631</v>
      </c>
      <c r="J5490" s="5">
        <v>36429</v>
      </c>
      <c r="K5490" s="22">
        <v>1972</v>
      </c>
      <c r="L5490" s="6">
        <v>1982</v>
      </c>
      <c r="M5490" s="125">
        <f t="shared" si="690"/>
        <v>10</v>
      </c>
      <c r="N5490" s="125"/>
      <c r="P5490" s="247">
        <v>17925</v>
      </c>
      <c r="Q5490" s="25">
        <f>165.29/1121.3</f>
        <v>0.1474092571122804</v>
      </c>
      <c r="W5490" s="285">
        <f t="shared" si="688"/>
        <v>2642.3109337376259</v>
      </c>
      <c r="X5490" s="446">
        <f t="shared" si="689"/>
        <v>9.0897565922920887</v>
      </c>
    </row>
    <row r="5491" spans="1:24" ht="15" customHeight="1">
      <c r="A5491" s="3">
        <v>43486</v>
      </c>
      <c r="B5491" s="9">
        <v>19275</v>
      </c>
      <c r="C5491" s="5">
        <v>0</v>
      </c>
      <c r="D5491" s="5">
        <v>72475</v>
      </c>
      <c r="E5491" s="5">
        <v>91750</v>
      </c>
      <c r="F5491" s="4">
        <v>0</v>
      </c>
      <c r="G5491" s="5">
        <v>1275</v>
      </c>
      <c r="H5491" s="5">
        <v>50550</v>
      </c>
      <c r="I5491" s="118">
        <f t="shared" si="686"/>
        <v>0.55095367847411447</v>
      </c>
      <c r="J5491" s="5">
        <v>53928</v>
      </c>
      <c r="K5491" s="22">
        <v>2003</v>
      </c>
      <c r="L5491" s="6">
        <v>2010</v>
      </c>
      <c r="M5491" s="125">
        <f t="shared" si="690"/>
        <v>7</v>
      </c>
      <c r="N5491" s="125"/>
      <c r="P5491" s="247">
        <v>17950</v>
      </c>
      <c r="Q5491" s="25">
        <f>165.66/1126.5</f>
        <v>0.14705725699067909</v>
      </c>
      <c r="W5491" s="285">
        <f t="shared" si="688"/>
        <v>2639.6777629826897</v>
      </c>
      <c r="X5491" s="446">
        <f t="shared" si="689"/>
        <v>8.9615576635047436</v>
      </c>
    </row>
    <row r="5492" spans="1:24" ht="15" customHeight="1">
      <c r="A5492" s="3">
        <v>43487</v>
      </c>
      <c r="B5492" s="9">
        <v>19275</v>
      </c>
      <c r="C5492" s="5">
        <v>0</v>
      </c>
      <c r="D5492" s="5">
        <v>69275</v>
      </c>
      <c r="E5492" s="5">
        <v>88550</v>
      </c>
      <c r="F5492" s="4">
        <v>0</v>
      </c>
      <c r="G5492" s="5">
        <v>3200</v>
      </c>
      <c r="H5492" s="5">
        <v>47350</v>
      </c>
      <c r="I5492" s="118">
        <f t="shared" si="686"/>
        <v>0.53472614342179559</v>
      </c>
      <c r="J5492" s="5">
        <v>26958</v>
      </c>
      <c r="K5492" s="22">
        <v>2002.5</v>
      </c>
      <c r="L5492" s="6">
        <v>2013</v>
      </c>
      <c r="M5492" s="125">
        <f t="shared" si="690"/>
        <v>10.5</v>
      </c>
      <c r="N5492" s="125"/>
      <c r="P5492" s="247">
        <v>17875</v>
      </c>
      <c r="Q5492" s="25">
        <f>165.92/1130.2</f>
        <v>0.14680587506635992</v>
      </c>
      <c r="W5492" s="285">
        <f t="shared" si="688"/>
        <v>2624.1550168111835</v>
      </c>
      <c r="X5492" s="446">
        <f t="shared" si="689"/>
        <v>8.9263420724094882</v>
      </c>
    </row>
    <row r="5493" spans="1:24" ht="15" customHeight="1">
      <c r="A5493" s="3">
        <v>43488</v>
      </c>
      <c r="B5493" s="9">
        <v>19275</v>
      </c>
      <c r="C5493" s="5">
        <v>0</v>
      </c>
      <c r="D5493" s="5">
        <v>67350</v>
      </c>
      <c r="E5493" s="5">
        <v>86625</v>
      </c>
      <c r="F5493" s="4">
        <v>0</v>
      </c>
      <c r="G5493" s="5">
        <v>1925</v>
      </c>
      <c r="H5493" s="5">
        <v>45425</v>
      </c>
      <c r="I5493" s="118">
        <f t="shared" si="686"/>
        <v>0.5243867243867244</v>
      </c>
      <c r="J5493" s="5">
        <v>47527</v>
      </c>
      <c r="K5493" s="22">
        <v>2011.5</v>
      </c>
      <c r="L5493" s="6">
        <v>2022</v>
      </c>
      <c r="M5493" s="125">
        <f t="shared" si="690"/>
        <v>10.5</v>
      </c>
      <c r="N5493" s="125"/>
      <c r="P5493" s="247">
        <v>17825</v>
      </c>
      <c r="Q5493" s="25">
        <f>165.85/1128.2</f>
        <v>0.14700407729126042</v>
      </c>
      <c r="W5493" s="285">
        <f t="shared" si="688"/>
        <v>2620.347677716717</v>
      </c>
      <c r="X5493" s="446">
        <f t="shared" si="689"/>
        <v>8.8615461098682573</v>
      </c>
    </row>
    <row r="5494" spans="1:24" ht="15" customHeight="1">
      <c r="A5494" s="3">
        <v>43489</v>
      </c>
      <c r="B5494" s="9">
        <v>19275</v>
      </c>
      <c r="C5494" s="5">
        <v>0</v>
      </c>
      <c r="D5494" s="5">
        <v>65925</v>
      </c>
      <c r="E5494" s="5">
        <v>85200</v>
      </c>
      <c r="F5494" s="4">
        <v>0</v>
      </c>
      <c r="G5494" s="5">
        <v>1425</v>
      </c>
      <c r="H5494" s="5">
        <v>44100</v>
      </c>
      <c r="I5494" s="118">
        <f t="shared" si="686"/>
        <v>0.51760563380281688</v>
      </c>
      <c r="J5494" s="5">
        <v>49679</v>
      </c>
      <c r="K5494" s="22">
        <v>2026.5</v>
      </c>
      <c r="L5494" s="6">
        <v>2033</v>
      </c>
      <c r="M5494" s="125">
        <f t="shared" si="690"/>
        <v>6.5</v>
      </c>
      <c r="N5494" s="125"/>
      <c r="P5494" s="247">
        <v>17875</v>
      </c>
      <c r="Q5494" s="25">
        <f>166.05/1128</f>
        <v>0.14720744680851064</v>
      </c>
      <c r="W5494" s="285">
        <f t="shared" ref="W5494:W5499" si="691">(P5494*Q5494)*(1+U5494)</f>
        <v>2631.3331117021276</v>
      </c>
      <c r="X5494" s="446">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18">
        <f t="shared" si="686"/>
        <v>0.5022597167821633</v>
      </c>
      <c r="J5495" s="5">
        <v>54244</v>
      </c>
      <c r="K5495" s="22">
        <v>2085</v>
      </c>
      <c r="L5495" s="6">
        <v>2088.5</v>
      </c>
      <c r="M5495" s="125">
        <f t="shared" si="690"/>
        <v>3.5</v>
      </c>
      <c r="N5495" s="125"/>
      <c r="P5495" s="247">
        <v>17900</v>
      </c>
      <c r="Q5495" s="25">
        <f>166.05/1128</f>
        <v>0.14720744680851064</v>
      </c>
      <c r="W5495" s="285">
        <f t="shared" si="691"/>
        <v>2635.0132978723404</v>
      </c>
      <c r="X5495" s="446">
        <f t="shared" si="692"/>
        <v>8.5851318944844124</v>
      </c>
    </row>
    <row r="5496" spans="1:24" ht="15" customHeight="1">
      <c r="A5496" s="3">
        <v>43493</v>
      </c>
      <c r="B5496" s="9">
        <v>19275</v>
      </c>
      <c r="C5496" s="5">
        <v>0</v>
      </c>
      <c r="D5496" s="5">
        <v>61950</v>
      </c>
      <c r="E5496" s="5">
        <v>81225</v>
      </c>
      <c r="F5496" s="4">
        <v>0</v>
      </c>
      <c r="G5496" s="5">
        <v>1750</v>
      </c>
      <c r="H5496" s="5">
        <v>40150</v>
      </c>
      <c r="I5496" s="118">
        <f t="shared" si="686"/>
        <v>0.49430594028931979</v>
      </c>
      <c r="J5496" s="5">
        <v>60761</v>
      </c>
      <c r="K5496" s="22">
        <v>2107.5</v>
      </c>
      <c r="L5496" s="6">
        <v>2113.5</v>
      </c>
      <c r="M5496" s="125">
        <f t="shared" si="690"/>
        <v>6</v>
      </c>
      <c r="N5496" s="125"/>
      <c r="P5496" s="247">
        <v>17900</v>
      </c>
      <c r="Q5496" s="25">
        <f>165.63/1116.9</f>
        <v>0.14829438624764973</v>
      </c>
      <c r="W5496" s="285">
        <f t="shared" si="691"/>
        <v>2654.4695138329303</v>
      </c>
      <c r="X5496" s="446">
        <f t="shared" si="692"/>
        <v>8.4934756820877819</v>
      </c>
    </row>
    <row r="5497" spans="1:24" ht="15" customHeight="1">
      <c r="A5497" s="3">
        <v>43494</v>
      </c>
      <c r="B5497" s="9">
        <v>19275</v>
      </c>
      <c r="C5497" s="5">
        <v>0</v>
      </c>
      <c r="D5497" s="5">
        <v>58850</v>
      </c>
      <c r="E5497" s="5">
        <v>78125</v>
      </c>
      <c r="F5497" s="4">
        <v>0</v>
      </c>
      <c r="G5497" s="5">
        <v>3100</v>
      </c>
      <c r="H5497" s="5">
        <v>37250</v>
      </c>
      <c r="I5497" s="118">
        <f t="shared" si="686"/>
        <v>0.4768</v>
      </c>
      <c r="J5497" s="5">
        <v>57972</v>
      </c>
      <c r="K5497" s="22">
        <v>2075.5</v>
      </c>
      <c r="L5497" s="6">
        <v>2088</v>
      </c>
      <c r="M5497" s="125">
        <f t="shared" si="690"/>
        <v>12.5</v>
      </c>
      <c r="P5497" s="247">
        <v>17775</v>
      </c>
      <c r="Q5497" s="25">
        <f>165.6/1118.1</f>
        <v>0.14810839817547627</v>
      </c>
      <c r="W5497" s="285">
        <f t="shared" si="691"/>
        <v>2632.6267775690908</v>
      </c>
      <c r="X5497" s="446">
        <f t="shared" si="692"/>
        <v>8.5642013972536741</v>
      </c>
    </row>
    <row r="5498" spans="1:24" ht="15" customHeight="1">
      <c r="A5498" s="3">
        <v>43495</v>
      </c>
      <c r="B5498" s="9">
        <v>19275</v>
      </c>
      <c r="C5498" s="5">
        <v>0</v>
      </c>
      <c r="D5498" s="5">
        <v>57475</v>
      </c>
      <c r="E5498" s="5">
        <v>76750</v>
      </c>
      <c r="F5498" s="4">
        <v>0</v>
      </c>
      <c r="G5498" s="5">
        <v>1375</v>
      </c>
      <c r="H5498" s="5">
        <v>35975</v>
      </c>
      <c r="I5498" s="118">
        <f t="shared" si="686"/>
        <v>0.46872964169381109</v>
      </c>
      <c r="J5498" s="5">
        <v>50958</v>
      </c>
      <c r="K5498" s="22">
        <v>2066</v>
      </c>
      <c r="L5498" s="6">
        <v>2082</v>
      </c>
      <c r="M5498" s="125">
        <f t="shared" si="690"/>
        <v>16</v>
      </c>
      <c r="P5498" s="247">
        <v>17600</v>
      </c>
      <c r="Q5498" s="25">
        <f>165.89/1117.2</f>
        <v>0.14848728965270316</v>
      </c>
      <c r="W5498" s="285">
        <f t="shared" si="691"/>
        <v>2613.3762978875757</v>
      </c>
      <c r="X5498" s="446">
        <f t="shared" si="692"/>
        <v>8.5188770571151977</v>
      </c>
    </row>
    <row r="5499" spans="1:24" ht="15" customHeight="1">
      <c r="A5499" s="3">
        <v>43496</v>
      </c>
      <c r="B5499" s="9">
        <v>19275</v>
      </c>
      <c r="C5499" s="5">
        <v>0</v>
      </c>
      <c r="D5499" s="5">
        <v>56175</v>
      </c>
      <c r="E5499" s="5">
        <v>75450</v>
      </c>
      <c r="F5499" s="4">
        <v>0</v>
      </c>
      <c r="G5499" s="5">
        <v>1300</v>
      </c>
      <c r="H5499" s="5">
        <v>34675</v>
      </c>
      <c r="I5499" s="118">
        <f t="shared" si="686"/>
        <v>0.45957587806494365</v>
      </c>
      <c r="J5499" s="5">
        <v>43818</v>
      </c>
      <c r="K5499" s="22">
        <v>2090</v>
      </c>
      <c r="L5499" s="6">
        <v>2100.5</v>
      </c>
      <c r="M5499" s="125">
        <f t="shared" si="690"/>
        <v>10.5</v>
      </c>
      <c r="N5499" s="381">
        <f>AVERAGE($K$5478:K5499)</f>
        <v>1994.159090909091</v>
      </c>
      <c r="O5499" s="395">
        <f>AVERAGE($K$5478:K5499)</f>
        <v>1994.159090909091</v>
      </c>
      <c r="P5499" s="247">
        <v>17550</v>
      </c>
      <c r="Q5499" s="25">
        <f>165.55/1111.6</f>
        <v>0.14892947103274562</v>
      </c>
      <c r="W5499" s="285">
        <f t="shared" si="691"/>
        <v>2613.7122166246854</v>
      </c>
      <c r="X5499" s="446">
        <f>P5499/K5499</f>
        <v>8.3971291866028714</v>
      </c>
    </row>
    <row r="5500" spans="1:24" ht="15" customHeight="1" thickBot="1">
      <c r="A5500" s="216"/>
      <c r="B5500" s="394"/>
      <c r="C5500" s="394"/>
      <c r="D5500" s="394"/>
      <c r="E5500" s="216"/>
      <c r="F5500" s="407"/>
      <c r="G5500" s="164"/>
      <c r="H5500" s="164"/>
      <c r="I5500" s="164"/>
      <c r="J5500" s="166"/>
      <c r="K5500" s="166"/>
      <c r="L5500" s="167"/>
      <c r="M5500" s="167"/>
      <c r="N5500" s="167"/>
      <c r="O5500" s="167"/>
      <c r="P5500" s="180"/>
      <c r="Q5500" s="154"/>
      <c r="R5500" s="248"/>
      <c r="S5500" s="249"/>
      <c r="T5500" s="249"/>
      <c r="U5500" s="152"/>
      <c r="V5500" s="153">
        <f>AVERAGE(P5478:P5499)</f>
        <v>17945</v>
      </c>
      <c r="W5500" s="390"/>
      <c r="X5500" s="447">
        <f>AVERAGE(X5478:X5499)</f>
        <v>9.0071015374236296</v>
      </c>
    </row>
    <row r="5501" spans="1:24" ht="15" customHeight="1">
      <c r="A5501" s="3">
        <v>43497</v>
      </c>
      <c r="B5501" s="9">
        <v>19275</v>
      </c>
      <c r="C5501" s="5">
        <v>0</v>
      </c>
      <c r="D5501" s="5">
        <v>53175</v>
      </c>
      <c r="E5501" s="5">
        <v>72450</v>
      </c>
      <c r="F5501" s="4">
        <v>0</v>
      </c>
      <c r="G5501" s="5">
        <v>3000</v>
      </c>
      <c r="H5501" s="5">
        <v>31675</v>
      </c>
      <c r="I5501" s="118">
        <f t="shared" si="686"/>
        <v>0.43719806763285024</v>
      </c>
      <c r="J5501" s="5">
        <v>43938</v>
      </c>
      <c r="K5501" s="22">
        <v>2093</v>
      </c>
      <c r="L5501" s="6">
        <v>2105.5</v>
      </c>
      <c r="M5501" s="125">
        <f t="shared" ref="M5501:M5509" si="693">L5501-K5501</f>
        <v>12.5</v>
      </c>
      <c r="N5501" s="247"/>
      <c r="O5501" s="247"/>
      <c r="P5501" s="247">
        <v>17475</v>
      </c>
      <c r="Q5501" s="25">
        <f>165.93/1119</f>
        <v>0.14828418230563004</v>
      </c>
      <c r="W5501" s="285">
        <f t="shared" ref="W5501:W5506" si="694">(P5501*Q5501)*(1+U5501)</f>
        <v>2591.266085790885</v>
      </c>
      <c r="X5501" s="446">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18">
        <f t="shared" si="686"/>
        <v>9.5818815331010457E-2</v>
      </c>
      <c r="J5502" s="5">
        <v>51291</v>
      </c>
      <c r="K5502" s="22">
        <v>2096</v>
      </c>
      <c r="L5502" s="6">
        <v>2113</v>
      </c>
      <c r="M5502" s="125">
        <f t="shared" si="693"/>
        <v>17</v>
      </c>
      <c r="O5502" s="247"/>
      <c r="P5502" s="247"/>
      <c r="Q5502" s="25">
        <f>165.93/1119</f>
        <v>0.14828418230563004</v>
      </c>
      <c r="W5502" s="285">
        <f t="shared" si="694"/>
        <v>0</v>
      </c>
      <c r="X5502" s="446">
        <f t="shared" si="695"/>
        <v>0</v>
      </c>
    </row>
    <row r="5503" spans="1:24" ht="15" customHeight="1">
      <c r="A5503" s="3">
        <v>43501</v>
      </c>
      <c r="B5503" s="9">
        <v>19275</v>
      </c>
      <c r="C5503" s="5">
        <v>0</v>
      </c>
      <c r="D5503" s="5">
        <v>50525</v>
      </c>
      <c r="E5503" s="5">
        <v>69800</v>
      </c>
      <c r="F5503" s="4">
        <v>0</v>
      </c>
      <c r="G5503" s="5">
        <v>1950</v>
      </c>
      <c r="H5503" s="5">
        <v>4925</v>
      </c>
      <c r="I5503" s="118">
        <f t="shared" si="686"/>
        <v>7.0558739255014324E-2</v>
      </c>
      <c r="J5503" s="5">
        <v>48432</v>
      </c>
      <c r="K5503" s="22">
        <v>2091</v>
      </c>
      <c r="L5503" s="6">
        <v>2114</v>
      </c>
      <c r="M5503" s="125">
        <f t="shared" si="693"/>
        <v>23</v>
      </c>
      <c r="O5503" s="247"/>
      <c r="P5503" s="247"/>
      <c r="Q5503" s="25">
        <f>165.93/1119</f>
        <v>0.14828418230563004</v>
      </c>
      <c r="W5503" s="285">
        <f t="shared" si="694"/>
        <v>0</v>
      </c>
      <c r="X5503" s="446">
        <f t="shared" si="695"/>
        <v>0</v>
      </c>
    </row>
    <row r="5504" spans="1:24" ht="15" customHeight="1">
      <c r="A5504" s="3">
        <v>43502</v>
      </c>
      <c r="B5504" s="9">
        <v>19275</v>
      </c>
      <c r="C5504" s="5">
        <v>0</v>
      </c>
      <c r="D5504" s="5">
        <v>50450</v>
      </c>
      <c r="E5504" s="5">
        <v>69725</v>
      </c>
      <c r="F5504" s="4">
        <v>0</v>
      </c>
      <c r="G5504" s="5">
        <v>75</v>
      </c>
      <c r="H5504" s="5">
        <v>4850</v>
      </c>
      <c r="I5504" s="118">
        <f t="shared" si="686"/>
        <v>6.9558981713875936E-2</v>
      </c>
      <c r="J5504" s="5">
        <v>38072</v>
      </c>
      <c r="K5504" s="22">
        <v>2080</v>
      </c>
      <c r="L5504" s="6">
        <v>2097</v>
      </c>
      <c r="M5504" s="125">
        <f t="shared" si="693"/>
        <v>17</v>
      </c>
      <c r="N5504" s="247"/>
      <c r="O5504" s="247"/>
      <c r="P5504" s="247"/>
      <c r="Q5504" s="25">
        <f>166.03/1126</f>
        <v>0.14745115452930729</v>
      </c>
      <c r="W5504" s="285">
        <f t="shared" si="694"/>
        <v>0</v>
      </c>
      <c r="X5504" s="446">
        <f t="shared" si="695"/>
        <v>0</v>
      </c>
    </row>
    <row r="5505" spans="1:24" ht="15" customHeight="1">
      <c r="A5505" s="3">
        <v>43503</v>
      </c>
      <c r="B5505" s="9">
        <v>19275</v>
      </c>
      <c r="C5505" s="5">
        <v>0</v>
      </c>
      <c r="D5505" s="5">
        <v>50425</v>
      </c>
      <c r="E5505" s="5">
        <v>69700</v>
      </c>
      <c r="F5505" s="4">
        <v>0</v>
      </c>
      <c r="G5505" s="5">
        <v>25</v>
      </c>
      <c r="H5505" s="5">
        <v>4825</v>
      </c>
      <c r="I5505" s="118">
        <f t="shared" si="686"/>
        <v>6.9225251076040176E-2</v>
      </c>
      <c r="J5505" s="5">
        <v>34482</v>
      </c>
      <c r="K5505" s="22">
        <v>2066</v>
      </c>
      <c r="L5505" s="6">
        <v>2085.5</v>
      </c>
      <c r="M5505" s="125">
        <f t="shared" si="693"/>
        <v>19.5</v>
      </c>
      <c r="N5505" s="125"/>
      <c r="O5505" s="247"/>
      <c r="P5505" s="247"/>
      <c r="Q5505" s="25">
        <f>165.78/1124.5</f>
        <v>0.1474255224544242</v>
      </c>
      <c r="W5505" s="285">
        <f t="shared" si="694"/>
        <v>0</v>
      </c>
      <c r="X5505" s="446">
        <f t="shared" si="695"/>
        <v>0</v>
      </c>
    </row>
    <row r="5506" spans="1:24" ht="15" customHeight="1">
      <c r="A5506" s="3">
        <v>43504</v>
      </c>
      <c r="B5506" s="9">
        <v>19275</v>
      </c>
      <c r="C5506" s="5">
        <v>0</v>
      </c>
      <c r="D5506" s="5">
        <v>47850</v>
      </c>
      <c r="E5506" s="5">
        <v>67125</v>
      </c>
      <c r="F5506" s="4">
        <v>0</v>
      </c>
      <c r="G5506" s="5">
        <v>2575</v>
      </c>
      <c r="H5506" s="5">
        <v>2250</v>
      </c>
      <c r="I5506" s="118">
        <f t="shared" si="686"/>
        <v>3.3519553072625698E-2</v>
      </c>
      <c r="J5506" s="5">
        <v>48003</v>
      </c>
      <c r="K5506" s="22">
        <v>2066</v>
      </c>
      <c r="L5506" s="6">
        <v>2085</v>
      </c>
      <c r="M5506" s="125">
        <f t="shared" si="693"/>
        <v>19</v>
      </c>
      <c r="N5506" s="125"/>
      <c r="O5506" s="247"/>
      <c r="P5506" s="247"/>
      <c r="Q5506" s="25">
        <f>165.5/1124.5</f>
        <v>0.14717652289906624</v>
      </c>
      <c r="W5506" s="285">
        <f t="shared" si="694"/>
        <v>0</v>
      </c>
      <c r="X5506" s="446">
        <f t="shared" si="695"/>
        <v>0</v>
      </c>
    </row>
    <row r="5507" spans="1:24" ht="15" customHeight="1">
      <c r="A5507" s="3">
        <v>43507</v>
      </c>
      <c r="B5507" s="9">
        <v>19275</v>
      </c>
      <c r="C5507" s="5">
        <v>0</v>
      </c>
      <c r="D5507" s="5">
        <v>47675</v>
      </c>
      <c r="E5507" s="5">
        <v>66950</v>
      </c>
      <c r="F5507" s="4">
        <v>0</v>
      </c>
      <c r="G5507" s="5">
        <v>175</v>
      </c>
      <c r="H5507" s="5">
        <v>2200</v>
      </c>
      <c r="I5507" s="118">
        <f t="shared" si="686"/>
        <v>3.2860343539955192E-2</v>
      </c>
      <c r="J5507" s="5">
        <v>50596</v>
      </c>
      <c r="K5507" s="22">
        <v>2050.5</v>
      </c>
      <c r="L5507" s="6">
        <v>2068</v>
      </c>
      <c r="M5507" s="125">
        <f t="shared" si="693"/>
        <v>17.5</v>
      </c>
      <c r="N5507" s="125"/>
      <c r="O5507" s="247"/>
      <c r="P5507" s="247">
        <v>17085</v>
      </c>
      <c r="Q5507" s="25">
        <f>165.8/1124.5</f>
        <v>0.14744330813694975</v>
      </c>
      <c r="W5507" s="285">
        <f t="shared" ref="W5507" si="696">(P5507*Q5507)*(1+U5507)</f>
        <v>2519.0689195197865</v>
      </c>
      <c r="X5507" s="446">
        <f t="shared" ref="X5507" si="697">P5507/K5507</f>
        <v>8.3321141185076808</v>
      </c>
    </row>
    <row r="5508" spans="1:24" ht="15" customHeight="1">
      <c r="A5508" s="3">
        <v>43508</v>
      </c>
      <c r="B5508" s="9">
        <v>19275</v>
      </c>
      <c r="C5508" s="5">
        <v>0</v>
      </c>
      <c r="D5508" s="5">
        <v>47650</v>
      </c>
      <c r="E5508" s="5">
        <v>66925</v>
      </c>
      <c r="F5508" s="4">
        <v>0</v>
      </c>
      <c r="G5508" s="5">
        <v>25</v>
      </c>
      <c r="H5508" s="5">
        <v>2225</v>
      </c>
      <c r="I5508" s="118">
        <f t="shared" si="686"/>
        <v>3.3246171087037729E-2</v>
      </c>
      <c r="J5508" s="5">
        <v>56973</v>
      </c>
      <c r="K5508" s="22">
        <v>2032</v>
      </c>
      <c r="L5508" s="6">
        <v>2048</v>
      </c>
      <c r="M5508" s="125">
        <f t="shared" si="693"/>
        <v>16</v>
      </c>
      <c r="N5508" s="125"/>
      <c r="O5508" s="247"/>
      <c r="P5508" s="247">
        <v>16905</v>
      </c>
      <c r="Q5508" s="25">
        <f>165.47/1124.6</f>
        <v>0.14713675973679533</v>
      </c>
      <c r="W5508" s="285">
        <f t="shared" ref="W5508" si="698">(P5508*Q5508)*(1+U5508)</f>
        <v>2487.3469233505248</v>
      </c>
      <c r="X5508" s="446">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18">
        <f t="shared" si="686"/>
        <v>3.224610822831727E-2</v>
      </c>
      <c r="J5509" s="5">
        <v>51066</v>
      </c>
      <c r="K5509" s="22">
        <v>2002</v>
      </c>
      <c r="L5509" s="6">
        <v>2015.5</v>
      </c>
      <c r="M5509" s="125">
        <f t="shared" si="693"/>
        <v>13.5</v>
      </c>
      <c r="N5509" s="125"/>
      <c r="O5509" s="247"/>
      <c r="P5509" s="247">
        <v>16690</v>
      </c>
      <c r="Q5509" s="25">
        <f>165.73/1121.7</f>
        <v>0.14774895248283854</v>
      </c>
      <c r="W5509" s="285">
        <f t="shared" ref="W5509:W5519" si="700">(P5509*Q5509)*(1+U5509)</f>
        <v>2465.9300169385751</v>
      </c>
      <c r="X5509" s="446">
        <f t="shared" si="699"/>
        <v>8.3366633366633369</v>
      </c>
    </row>
    <row r="5510" spans="1:24" ht="15" customHeight="1">
      <c r="A5510" s="3">
        <v>43510</v>
      </c>
      <c r="B5510" s="9">
        <v>19825</v>
      </c>
      <c r="C5510" s="5">
        <v>0</v>
      </c>
      <c r="D5510" s="5">
        <v>47575</v>
      </c>
      <c r="E5510" s="5">
        <v>67400</v>
      </c>
      <c r="F5510" s="4">
        <v>0</v>
      </c>
      <c r="G5510" s="5">
        <v>50</v>
      </c>
      <c r="H5510" s="5">
        <v>2325</v>
      </c>
      <c r="I5510" s="118">
        <f t="shared" si="686"/>
        <v>3.449554896142433E-2</v>
      </c>
      <c r="J5510" s="5">
        <v>74716</v>
      </c>
      <c r="K5510" s="22">
        <v>2033.5</v>
      </c>
      <c r="L5510" s="6">
        <v>2031</v>
      </c>
      <c r="M5510" s="125">
        <f t="shared" ref="M5510:M5542" si="701">L5510-K5510</f>
        <v>-2.5</v>
      </c>
      <c r="N5510" s="125"/>
      <c r="O5510" s="247"/>
      <c r="P5510" s="247">
        <v>16855</v>
      </c>
      <c r="Q5510" s="25">
        <f>166.06/1125</f>
        <v>0.1476088888888889</v>
      </c>
      <c r="W5510" s="285">
        <f t="shared" si="700"/>
        <v>2487.9478222222224</v>
      </c>
      <c r="X5510" s="446">
        <f t="shared" si="699"/>
        <v>8.2886648635357751</v>
      </c>
    </row>
    <row r="5511" spans="1:24" ht="15" customHeight="1">
      <c r="A5511" s="3">
        <v>43511</v>
      </c>
      <c r="B5511" s="9">
        <v>19825</v>
      </c>
      <c r="C5511" s="5">
        <v>0</v>
      </c>
      <c r="D5511" s="5">
        <v>47475</v>
      </c>
      <c r="E5511" s="5">
        <v>67300</v>
      </c>
      <c r="F5511" s="4">
        <v>0</v>
      </c>
      <c r="G5511" s="5">
        <v>100</v>
      </c>
      <c r="H5511" s="5">
        <v>2275</v>
      </c>
      <c r="I5511" s="118">
        <f t="shared" si="686"/>
        <v>3.3803863298662702E-2</v>
      </c>
      <c r="J5511" s="5">
        <v>57174</v>
      </c>
      <c r="K5511" s="22">
        <v>2068</v>
      </c>
      <c r="L5511" s="6">
        <v>2073</v>
      </c>
      <c r="M5511" s="125">
        <f t="shared" si="701"/>
        <v>5</v>
      </c>
      <c r="N5511" s="125"/>
      <c r="O5511" s="247"/>
      <c r="P5511" s="247">
        <v>16910</v>
      </c>
      <c r="Q5511" s="25">
        <f>166.18/1127.7</f>
        <v>0.14736188702669151</v>
      </c>
      <c r="W5511" s="285">
        <f t="shared" si="700"/>
        <v>2491.8895096213532</v>
      </c>
      <c r="X5511" s="446">
        <f t="shared" si="699"/>
        <v>8.1769825918762091</v>
      </c>
    </row>
    <row r="5512" spans="1:24" ht="15" customHeight="1">
      <c r="A5512" s="3">
        <v>43514</v>
      </c>
      <c r="B5512" s="9">
        <v>21925</v>
      </c>
      <c r="C5512" s="5">
        <v>0</v>
      </c>
      <c r="D5512" s="5">
        <v>47425</v>
      </c>
      <c r="E5512" s="5">
        <v>69350</v>
      </c>
      <c r="F5512" s="4">
        <v>2100</v>
      </c>
      <c r="G5512" s="5">
        <v>50</v>
      </c>
      <c r="H5512" s="5">
        <v>2325</v>
      </c>
      <c r="I5512" s="118">
        <f t="shared" si="686"/>
        <v>3.3525594808940157E-2</v>
      </c>
      <c r="J5512" s="5">
        <v>53718</v>
      </c>
      <c r="K5512" s="22">
        <v>2029</v>
      </c>
      <c r="L5512" s="6">
        <v>2043</v>
      </c>
      <c r="M5512" s="125">
        <f t="shared" si="701"/>
        <v>14</v>
      </c>
      <c r="N5512" s="125"/>
      <c r="O5512" s="247"/>
      <c r="P5512" s="247">
        <v>17060</v>
      </c>
      <c r="Q5512" s="25">
        <f>166.17/1124.7</f>
        <v>0.14774606561749798</v>
      </c>
      <c r="W5512" s="285">
        <f t="shared" si="700"/>
        <v>2520.5478794345154</v>
      </c>
      <c r="X5512" s="446">
        <f t="shared" si="699"/>
        <v>8.4080827994085752</v>
      </c>
    </row>
    <row r="5513" spans="1:24" ht="15" customHeight="1">
      <c r="A5513" s="3">
        <v>43515</v>
      </c>
      <c r="B5513" s="9">
        <v>21925</v>
      </c>
      <c r="C5513" s="5">
        <v>0</v>
      </c>
      <c r="D5513" s="5">
        <v>50375</v>
      </c>
      <c r="E5513" s="5">
        <v>72300</v>
      </c>
      <c r="F5513" s="4">
        <v>2950</v>
      </c>
      <c r="G5513" s="5">
        <v>0</v>
      </c>
      <c r="H5513" s="5">
        <v>2550</v>
      </c>
      <c r="I5513" s="118">
        <f t="shared" si="686"/>
        <v>3.5269709543568464E-2</v>
      </c>
      <c r="J5513" s="5">
        <v>54786</v>
      </c>
      <c r="K5513" s="22">
        <v>2009</v>
      </c>
      <c r="L5513" s="6">
        <v>2023</v>
      </c>
      <c r="M5513" s="125">
        <f t="shared" si="701"/>
        <v>14</v>
      </c>
      <c r="N5513" s="125"/>
      <c r="O5513" s="247"/>
      <c r="P5513" s="247">
        <v>16870</v>
      </c>
      <c r="Q5513" s="25">
        <f>166.32/1127.5</f>
        <v>0.14751219512195121</v>
      </c>
      <c r="W5513" s="285">
        <f t="shared" si="700"/>
        <v>2488.530731707317</v>
      </c>
      <c r="X5513" s="446">
        <f t="shared" si="699"/>
        <v>8.3972125435540068</v>
      </c>
    </row>
    <row r="5514" spans="1:24" ht="15" customHeight="1">
      <c r="A5514" s="3">
        <v>43516</v>
      </c>
      <c r="B5514" s="9">
        <v>22425</v>
      </c>
      <c r="C5514" s="5">
        <v>0</v>
      </c>
      <c r="D5514" s="5">
        <v>52100</v>
      </c>
      <c r="E5514" s="5">
        <v>74525</v>
      </c>
      <c r="F5514" s="4">
        <v>2225</v>
      </c>
      <c r="G5514" s="5">
        <v>0</v>
      </c>
      <c r="H5514" s="5">
        <v>1950</v>
      </c>
      <c r="I5514" s="118">
        <f t="shared" si="686"/>
        <v>2.6165716202616571E-2</v>
      </c>
      <c r="J5514" s="5">
        <v>64952</v>
      </c>
      <c r="K5514" s="22">
        <v>2025</v>
      </c>
      <c r="L5514" s="6">
        <v>2035</v>
      </c>
      <c r="M5514" s="125">
        <f t="shared" si="701"/>
        <v>10</v>
      </c>
      <c r="N5514" s="125"/>
      <c r="O5514" s="247"/>
      <c r="P5514" s="247">
        <v>16880</v>
      </c>
      <c r="Q5514" s="25">
        <f>166.84/1122.6</f>
        <v>0.14861927667913774</v>
      </c>
      <c r="W5514" s="285">
        <f t="shared" si="700"/>
        <v>2508.6933903438448</v>
      </c>
      <c r="X5514" s="446">
        <f t="shared" si="699"/>
        <v>8.3358024691358032</v>
      </c>
    </row>
    <row r="5515" spans="1:24" ht="15" customHeight="1">
      <c r="A5515" s="3">
        <v>43517</v>
      </c>
      <c r="B5515" s="9">
        <v>22325</v>
      </c>
      <c r="C5515" s="5">
        <v>0</v>
      </c>
      <c r="D5515" s="5">
        <v>54725</v>
      </c>
      <c r="E5515" s="5">
        <v>77050</v>
      </c>
      <c r="F5515" s="4">
        <v>2625</v>
      </c>
      <c r="G5515" s="5">
        <v>0</v>
      </c>
      <c r="H5515" s="5">
        <v>1825</v>
      </c>
      <c r="I5515" s="118">
        <f t="shared" si="686"/>
        <v>2.3685918234912395E-2</v>
      </c>
      <c r="J5515" s="5">
        <v>52221</v>
      </c>
      <c r="K5515" s="22">
        <v>2045</v>
      </c>
      <c r="L5515" s="6">
        <v>2050</v>
      </c>
      <c r="M5515" s="125">
        <f t="shared" si="701"/>
        <v>5</v>
      </c>
      <c r="N5515" s="125"/>
      <c r="O5515" s="247"/>
      <c r="P5515" s="247">
        <v>16840</v>
      </c>
      <c r="Q5515" s="25">
        <f>167.65/1124.4</f>
        <v>0.14910174315190322</v>
      </c>
      <c r="W5515" s="285">
        <f t="shared" si="700"/>
        <v>2510.8733546780504</v>
      </c>
      <c r="X5515" s="446">
        <f t="shared" si="699"/>
        <v>8.2347188264058673</v>
      </c>
    </row>
    <row r="5516" spans="1:24" ht="15" customHeight="1">
      <c r="A5516" s="3">
        <v>43518</v>
      </c>
      <c r="B5516" s="9">
        <v>22225</v>
      </c>
      <c r="C5516" s="5">
        <v>0</v>
      </c>
      <c r="D5516" s="5">
        <v>54600</v>
      </c>
      <c r="E5516" s="5">
        <v>76825</v>
      </c>
      <c r="F5516" s="4">
        <v>0</v>
      </c>
      <c r="G5516" s="5">
        <v>225</v>
      </c>
      <c r="H5516" s="5">
        <v>1600</v>
      </c>
      <c r="I5516" s="118">
        <f t="shared" si="686"/>
        <v>2.0826553856166611E-2</v>
      </c>
      <c r="J5516" s="5">
        <v>44312</v>
      </c>
      <c r="K5516" s="22">
        <v>2059</v>
      </c>
      <c r="L5516" s="6">
        <v>2070</v>
      </c>
      <c r="M5516" s="125">
        <f t="shared" si="701"/>
        <v>11</v>
      </c>
      <c r="N5516" s="125"/>
      <c r="O5516" s="247"/>
      <c r="P5516" s="247">
        <v>16980</v>
      </c>
      <c r="Q5516" s="25">
        <f>167.3/1125.7</f>
        <v>0.14861863729235142</v>
      </c>
      <c r="W5516" s="285">
        <f t="shared" si="700"/>
        <v>2523.5444612241272</v>
      </c>
      <c r="X5516" s="446">
        <f t="shared" si="699"/>
        <v>8.2467217095677512</v>
      </c>
    </row>
    <row r="5517" spans="1:24" ht="15" customHeight="1">
      <c r="A5517" s="3">
        <v>43521</v>
      </c>
      <c r="B5517" s="9">
        <v>22225</v>
      </c>
      <c r="C5517" s="5">
        <v>0</v>
      </c>
      <c r="D5517" s="5">
        <v>54550</v>
      </c>
      <c r="E5517" s="5">
        <v>76775</v>
      </c>
      <c r="F5517" s="4">
        <v>0</v>
      </c>
      <c r="G5517" s="5">
        <v>50</v>
      </c>
      <c r="H5517" s="5">
        <v>1550</v>
      </c>
      <c r="I5517" s="118">
        <f t="shared" si="686"/>
        <v>2.0188863562357537E-2</v>
      </c>
      <c r="J5517" s="5">
        <v>42665</v>
      </c>
      <c r="K5517" s="22">
        <v>2072.5</v>
      </c>
      <c r="L5517" s="6">
        <v>2082.5</v>
      </c>
      <c r="M5517" s="125">
        <f t="shared" si="701"/>
        <v>10</v>
      </c>
      <c r="N5517" s="125"/>
      <c r="O5517" s="247"/>
      <c r="P5517" s="247">
        <v>17110</v>
      </c>
      <c r="Q5517" s="25">
        <f>167.69/1120.8</f>
        <v>0.1496163454675232</v>
      </c>
      <c r="W5517" s="285">
        <f t="shared" si="700"/>
        <v>2559.9356709493218</v>
      </c>
      <c r="X5517" s="446">
        <f t="shared" si="699"/>
        <v>8.2557297949336554</v>
      </c>
    </row>
    <row r="5518" spans="1:24" ht="15" customHeight="1">
      <c r="A5518" s="3">
        <v>43522</v>
      </c>
      <c r="B5518" s="9">
        <v>22725</v>
      </c>
      <c r="C5518" s="5">
        <v>0</v>
      </c>
      <c r="D5518" s="5">
        <v>54500</v>
      </c>
      <c r="E5518" s="5">
        <v>77225</v>
      </c>
      <c r="F5518" s="4">
        <v>500</v>
      </c>
      <c r="G5518" s="5">
        <v>50</v>
      </c>
      <c r="H5518" s="5">
        <v>1600</v>
      </c>
      <c r="I5518" s="118">
        <f t="shared" si="686"/>
        <v>2.0718679184202008E-2</v>
      </c>
      <c r="J5518" s="5">
        <v>50220</v>
      </c>
      <c r="K5518" s="22">
        <v>2063</v>
      </c>
      <c r="L5518" s="6">
        <v>2075.5</v>
      </c>
      <c r="M5518" s="125">
        <f t="shared" si="701"/>
        <v>12.5</v>
      </c>
      <c r="N5518" s="125"/>
      <c r="O5518" s="247"/>
      <c r="P5518" s="247">
        <v>17055</v>
      </c>
      <c r="Q5518" s="25">
        <f>167.11/1118.3</f>
        <v>0.14943217383528573</v>
      </c>
      <c r="W5518" s="285">
        <f t="shared" si="700"/>
        <v>2548.5657247607983</v>
      </c>
      <c r="X5518" s="446">
        <f t="shared" si="699"/>
        <v>8.2670867668444021</v>
      </c>
    </row>
    <row r="5519" spans="1:24" ht="15" customHeight="1">
      <c r="A5519" s="3">
        <v>43523</v>
      </c>
      <c r="B5519" s="9">
        <v>22725</v>
      </c>
      <c r="C5519" s="5">
        <v>0</v>
      </c>
      <c r="D5519" s="5">
        <v>54425</v>
      </c>
      <c r="E5519" s="5">
        <v>77150</v>
      </c>
      <c r="F5519" s="4">
        <v>0</v>
      </c>
      <c r="G5519" s="5">
        <v>75</v>
      </c>
      <c r="H5519" s="5">
        <v>16025</v>
      </c>
      <c r="I5519" s="118">
        <f t="shared" si="686"/>
        <v>0.20771224886584574</v>
      </c>
      <c r="J5519" s="5">
        <v>49302</v>
      </c>
      <c r="K5519" s="22">
        <v>2107</v>
      </c>
      <c r="L5519" s="6">
        <v>2116</v>
      </c>
      <c r="M5519" s="125">
        <f t="shared" si="701"/>
        <v>9</v>
      </c>
      <c r="N5519" s="125"/>
      <c r="O5519" s="247"/>
      <c r="P5519" s="247">
        <v>17115</v>
      </c>
      <c r="Q5519" s="25">
        <f>167.14/1117.8</f>
        <v>0.14952585435677224</v>
      </c>
      <c r="W5519" s="285">
        <f t="shared" si="700"/>
        <v>2559.1349973161568</v>
      </c>
      <c r="X5519" s="446">
        <f t="shared" si="699"/>
        <v>8.1229235880398676</v>
      </c>
    </row>
    <row r="5520" spans="1:24" ht="15" customHeight="1">
      <c r="A5520" s="3">
        <v>43524</v>
      </c>
      <c r="B5520" s="9">
        <v>22725</v>
      </c>
      <c r="C5520" s="5">
        <v>0</v>
      </c>
      <c r="D5520" s="5">
        <v>54325</v>
      </c>
      <c r="E5520" s="5">
        <v>77050</v>
      </c>
      <c r="F5520" s="4">
        <v>0</v>
      </c>
      <c r="G5520" s="5">
        <v>100</v>
      </c>
      <c r="H5520" s="5">
        <v>32900</v>
      </c>
      <c r="I5520" s="118">
        <f t="shared" si="686"/>
        <v>0.42699545749513301</v>
      </c>
      <c r="J5520" s="5">
        <v>70226</v>
      </c>
      <c r="K5520" s="22">
        <v>2154</v>
      </c>
      <c r="L5520" s="6">
        <v>2163</v>
      </c>
      <c r="M5520" s="125">
        <f t="shared" si="701"/>
        <v>9</v>
      </c>
      <c r="N5520" s="381">
        <f>AVERAGE($K$5501:K5520)</f>
        <v>2062.0749999999998</v>
      </c>
      <c r="O5520" s="395">
        <f>AVERAGE($K$5478:K5520)</f>
        <v>2026.5</v>
      </c>
      <c r="P5520" s="247">
        <v>17335</v>
      </c>
      <c r="Q5520" s="25">
        <f>167.14/1117.8</f>
        <v>0.14952585435677224</v>
      </c>
      <c r="W5520" s="285">
        <f t="shared" ref="W5520" si="702">(P5520*Q5520)*(1+U5520)</f>
        <v>2592.0306852746467</v>
      </c>
      <c r="X5520" s="446">
        <f t="shared" ref="X5520" si="703">P5520/K5520</f>
        <v>8.0478180129990715</v>
      </c>
    </row>
    <row r="5521" spans="1:24" ht="15" customHeight="1" thickBot="1">
      <c r="A5521" s="216"/>
      <c r="B5521" s="394"/>
      <c r="C5521" s="394"/>
      <c r="D5521" s="394"/>
      <c r="E5521" s="216"/>
      <c r="F5521" s="407"/>
      <c r="G5521" s="164"/>
      <c r="H5521" s="164"/>
      <c r="I5521" s="164"/>
      <c r="J5521" s="166"/>
      <c r="K5521" s="166"/>
      <c r="L5521" s="167"/>
      <c r="M5521" s="167"/>
      <c r="N5521" s="167"/>
      <c r="O5521" s="167"/>
      <c r="P5521" s="180"/>
      <c r="Q5521" s="154"/>
      <c r="R5521" s="248"/>
      <c r="S5521" s="249"/>
      <c r="T5521" s="249"/>
      <c r="U5521" s="152"/>
      <c r="V5521" s="153">
        <f>AVERAGE(P5499:P5520)</f>
        <v>17044.6875</v>
      </c>
      <c r="W5521" s="390"/>
      <c r="X5521" s="447">
        <f>AVERAGE(X5499:X5520)</f>
        <v>6.4328818793406359</v>
      </c>
    </row>
    <row r="5522" spans="1:24" ht="15" customHeight="1">
      <c r="A5522" s="3">
        <v>43525</v>
      </c>
      <c r="B5522" s="9">
        <v>22625</v>
      </c>
      <c r="C5522" s="5">
        <v>0</v>
      </c>
      <c r="D5522" s="5">
        <v>54250</v>
      </c>
      <c r="E5522" s="5">
        <v>76875</v>
      </c>
      <c r="F5522" s="4">
        <v>0</v>
      </c>
      <c r="G5522" s="5">
        <v>175</v>
      </c>
      <c r="H5522" s="5">
        <v>32725</v>
      </c>
      <c r="I5522" s="118">
        <f t="shared" si="686"/>
        <v>0.42569105691056913</v>
      </c>
      <c r="J5522" s="5">
        <v>85188</v>
      </c>
      <c r="K5522" s="22">
        <v>2152.5</v>
      </c>
      <c r="L5522" s="6">
        <v>2165</v>
      </c>
      <c r="M5522" s="125">
        <f t="shared" si="701"/>
        <v>12.5</v>
      </c>
      <c r="N5522" s="6"/>
      <c r="O5522" s="125"/>
      <c r="P5522" s="247">
        <v>17595</v>
      </c>
      <c r="Q5522" s="25">
        <f>167.49/1119.9</f>
        <v>0.14955799624966515</v>
      </c>
      <c r="W5522" s="285">
        <f t="shared" ref="W5522:W5523" si="704">(P5522*Q5522)*(1+U5522)</f>
        <v>2631.4729440128581</v>
      </c>
      <c r="X5522" s="446">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18">
        <f t="shared" si="686"/>
        <v>0.4247557003257329</v>
      </c>
      <c r="J5523" s="5">
        <v>45389</v>
      </c>
      <c r="K5523" s="22">
        <v>2109</v>
      </c>
      <c r="L5523" s="6">
        <v>2125</v>
      </c>
      <c r="M5523" s="125">
        <f t="shared" si="701"/>
        <v>16</v>
      </c>
      <c r="N5523" s="6"/>
      <c r="O5523" s="125"/>
      <c r="P5523" s="247">
        <v>17670</v>
      </c>
      <c r="Q5523" s="25">
        <f>168/1125</f>
        <v>0.14933333333333335</v>
      </c>
      <c r="W5523" s="285">
        <f t="shared" si="704"/>
        <v>2638.7200000000003</v>
      </c>
      <c r="X5523" s="446">
        <f t="shared" si="705"/>
        <v>8.378378378378379</v>
      </c>
    </row>
    <row r="5524" spans="1:24" ht="15" customHeight="1">
      <c r="A5524" s="3">
        <v>43529</v>
      </c>
      <c r="B5524" s="9">
        <v>22625</v>
      </c>
      <c r="C5524" s="5">
        <v>0</v>
      </c>
      <c r="D5524" s="5">
        <v>54100</v>
      </c>
      <c r="E5524" s="5">
        <v>76725</v>
      </c>
      <c r="F5524" s="4">
        <v>0</v>
      </c>
      <c r="G5524" s="5">
        <v>25</v>
      </c>
      <c r="H5524" s="5">
        <v>32625</v>
      </c>
      <c r="I5524" s="118">
        <f t="shared" si="686"/>
        <v>0.42521994134897362</v>
      </c>
      <c r="J5524" s="5">
        <v>45669</v>
      </c>
      <c r="K5524" s="22">
        <v>2091</v>
      </c>
      <c r="L5524" s="6">
        <v>2112.5</v>
      </c>
      <c r="M5524" s="125">
        <f t="shared" si="701"/>
        <v>21.5</v>
      </c>
      <c r="N5524" s="6"/>
      <c r="O5524" s="125"/>
      <c r="P5524" s="247">
        <v>17570</v>
      </c>
      <c r="Q5524" s="25">
        <f>167.89/1125.8</f>
        <v>0.14912950790548943</v>
      </c>
      <c r="W5524" s="285">
        <f t="shared" ref="W5524:W5542" si="706">(P5524*Q5524)*(1+U5524)</f>
        <v>2620.2054538994494</v>
      </c>
      <c r="X5524" s="446">
        <f t="shared" si="705"/>
        <v>8.4026781444285028</v>
      </c>
    </row>
    <row r="5525" spans="1:24" ht="15" customHeight="1">
      <c r="A5525" s="3">
        <v>43530</v>
      </c>
      <c r="B5525" s="9">
        <v>22625</v>
      </c>
      <c r="C5525" s="5">
        <v>0</v>
      </c>
      <c r="D5525" s="5">
        <v>54050</v>
      </c>
      <c r="E5525" s="5">
        <v>76675</v>
      </c>
      <c r="F5525" s="4">
        <v>0</v>
      </c>
      <c r="G5525" s="5">
        <v>50</v>
      </c>
      <c r="H5525" s="5">
        <v>32000</v>
      </c>
      <c r="I5525" s="118">
        <f t="shared" si="686"/>
        <v>0.41734594065862407</v>
      </c>
      <c r="J5525" s="5">
        <v>60014</v>
      </c>
      <c r="K5525" s="22">
        <v>2090.5</v>
      </c>
      <c r="L5525" s="6">
        <v>2104</v>
      </c>
      <c r="M5525" s="125">
        <f t="shared" si="701"/>
        <v>13.5</v>
      </c>
      <c r="N5525" s="6"/>
      <c r="O5525" s="125"/>
      <c r="P5525" s="247">
        <v>17550</v>
      </c>
      <c r="Q5525" s="25">
        <f>167.93/1127.8</f>
        <v>0.14890051427558079</v>
      </c>
      <c r="W5525" s="285">
        <f t="shared" si="706"/>
        <v>2613.2040255364427</v>
      </c>
      <c r="X5525" s="446">
        <f t="shared" si="705"/>
        <v>8.3951207845013158</v>
      </c>
    </row>
    <row r="5526" spans="1:24" ht="15" customHeight="1">
      <c r="A5526" s="3">
        <v>43531</v>
      </c>
      <c r="B5526" s="9">
        <v>22625</v>
      </c>
      <c r="C5526" s="5">
        <v>0</v>
      </c>
      <c r="D5526" s="5">
        <v>54050</v>
      </c>
      <c r="E5526" s="5">
        <v>76675</v>
      </c>
      <c r="F5526" s="4">
        <v>0</v>
      </c>
      <c r="G5526" s="5">
        <v>0</v>
      </c>
      <c r="H5526" s="5">
        <v>32000</v>
      </c>
      <c r="I5526" s="118">
        <f t="shared" si="686"/>
        <v>0.41734594065862407</v>
      </c>
      <c r="J5526" s="5">
        <v>43550</v>
      </c>
      <c r="K5526" s="22">
        <v>2096</v>
      </c>
      <c r="L5526" s="6">
        <v>2114</v>
      </c>
      <c r="M5526" s="125">
        <f t="shared" si="701"/>
        <v>18</v>
      </c>
      <c r="N5526" s="6"/>
      <c r="O5526" s="125"/>
      <c r="P5526" s="247">
        <v>17525</v>
      </c>
      <c r="Q5526" s="25">
        <f>167.91/1128.3</f>
        <v>0.14881680404147835</v>
      </c>
      <c r="W5526" s="285">
        <f t="shared" si="706"/>
        <v>2608.0144908269081</v>
      </c>
      <c r="X5526" s="446">
        <f t="shared" si="705"/>
        <v>8.3611641221374047</v>
      </c>
    </row>
    <row r="5527" spans="1:24" ht="15" customHeight="1">
      <c r="A5527" s="3">
        <v>43532</v>
      </c>
      <c r="B5527" s="9">
        <v>22525</v>
      </c>
      <c r="C5527" s="5">
        <v>0</v>
      </c>
      <c r="D5527" s="5">
        <v>54000</v>
      </c>
      <c r="E5527" s="5">
        <v>76525</v>
      </c>
      <c r="F5527" s="4">
        <v>0</v>
      </c>
      <c r="G5527" s="5">
        <v>150</v>
      </c>
      <c r="H5527" s="5">
        <v>31950</v>
      </c>
      <c r="I5527" s="118">
        <f t="shared" si="686"/>
        <v>0.41751061744527934</v>
      </c>
      <c r="J5527" s="5">
        <v>61402</v>
      </c>
      <c r="K5527" s="22">
        <v>2072</v>
      </c>
      <c r="L5527" s="6">
        <v>2092</v>
      </c>
      <c r="M5527" s="125">
        <f t="shared" si="701"/>
        <v>20</v>
      </c>
      <c r="N5527" s="6"/>
      <c r="O5527" s="125"/>
      <c r="P5527" s="247">
        <v>17500</v>
      </c>
      <c r="Q5527" s="25">
        <f>168.35/1134</f>
        <v>0.14845679012345678</v>
      </c>
      <c r="W5527" s="285">
        <f t="shared" si="706"/>
        <v>2597.9938271604938</v>
      </c>
      <c r="X5527" s="446">
        <f t="shared" si="705"/>
        <v>8.4459459459459456</v>
      </c>
    </row>
    <row r="5528" spans="1:24" ht="15" customHeight="1">
      <c r="A5528" s="3">
        <v>43535</v>
      </c>
      <c r="B5528" s="9">
        <v>22525</v>
      </c>
      <c r="C5528" s="5">
        <v>0</v>
      </c>
      <c r="D5528" s="5">
        <v>53925</v>
      </c>
      <c r="E5528" s="5">
        <v>76450</v>
      </c>
      <c r="F5528" s="4">
        <v>0</v>
      </c>
      <c r="G5528" s="5">
        <v>75</v>
      </c>
      <c r="H5528" s="5">
        <v>24050</v>
      </c>
      <c r="I5528" s="118">
        <f t="shared" si="686"/>
        <v>0.31458469587965993</v>
      </c>
      <c r="J5528" s="5">
        <v>54163</v>
      </c>
      <c r="K5528" s="22">
        <v>2081</v>
      </c>
      <c r="L5528" s="6">
        <v>2096</v>
      </c>
      <c r="M5528" s="125">
        <f t="shared" si="701"/>
        <v>15</v>
      </c>
      <c r="N5528" s="6"/>
      <c r="O5528" s="125"/>
      <c r="P5528" s="247">
        <v>17470</v>
      </c>
      <c r="Q5528" s="25">
        <f>168.47/1134.5</f>
        <v>0.14849713530189509</v>
      </c>
      <c r="W5528" s="285">
        <f t="shared" si="706"/>
        <v>2594.2449537241073</v>
      </c>
      <c r="X5528" s="446">
        <f t="shared" si="705"/>
        <v>8.3950024026910146</v>
      </c>
    </row>
    <row r="5529" spans="1:24" ht="15" customHeight="1">
      <c r="A5529" s="3">
        <v>43536</v>
      </c>
      <c r="B5529" s="9">
        <v>22525</v>
      </c>
      <c r="C5529" s="5">
        <v>0</v>
      </c>
      <c r="D5529" s="5">
        <v>54175</v>
      </c>
      <c r="E5529" s="5">
        <v>76700</v>
      </c>
      <c r="F5529" s="4">
        <v>250</v>
      </c>
      <c r="G5529" s="5">
        <v>0</v>
      </c>
      <c r="H5529" s="5">
        <v>7150</v>
      </c>
      <c r="I5529" s="118">
        <f t="shared" si="686"/>
        <v>9.3220338983050849E-2</v>
      </c>
      <c r="J5529" s="5">
        <v>63023</v>
      </c>
      <c r="K5529" s="22">
        <v>2070</v>
      </c>
      <c r="L5529" s="6">
        <v>2091</v>
      </c>
      <c r="M5529" s="125">
        <f t="shared" si="701"/>
        <v>21</v>
      </c>
      <c r="N5529" s="6"/>
      <c r="O5529" s="125"/>
      <c r="P5529" s="247">
        <v>17470</v>
      </c>
      <c r="Q5529" s="25">
        <f>167.89/1128.7</f>
        <v>0.14874634535306103</v>
      </c>
      <c r="W5529" s="285">
        <f t="shared" si="706"/>
        <v>2598.5986533179762</v>
      </c>
      <c r="X5529" s="446">
        <f t="shared" si="705"/>
        <v>8.4396135265700476</v>
      </c>
    </row>
    <row r="5530" spans="1:24" ht="15" customHeight="1">
      <c r="A5530" s="3">
        <v>43537</v>
      </c>
      <c r="B5530" s="9">
        <v>22525</v>
      </c>
      <c r="C5530" s="5">
        <v>0</v>
      </c>
      <c r="D5530" s="5">
        <v>55325</v>
      </c>
      <c r="E5530" s="5">
        <v>77850</v>
      </c>
      <c r="F5530" s="4">
        <v>1150</v>
      </c>
      <c r="G5530" s="5">
        <v>0</v>
      </c>
      <c r="H5530" s="5">
        <v>1700</v>
      </c>
      <c r="I5530" s="118">
        <f t="shared" si="686"/>
        <v>2.1836865767501604E-2</v>
      </c>
      <c r="J5530" s="5">
        <v>59912</v>
      </c>
      <c r="K5530" s="22">
        <v>2105.5</v>
      </c>
      <c r="L5530" s="6">
        <v>2117</v>
      </c>
      <c r="M5530" s="125">
        <f t="shared" si="701"/>
        <v>11.5</v>
      </c>
      <c r="N5530" s="6"/>
      <c r="O5530" s="125"/>
      <c r="P5530" s="247">
        <v>17565</v>
      </c>
      <c r="Q5530" s="25">
        <f>168.58/1131.5</f>
        <v>0.14898806893504199</v>
      </c>
      <c r="W5530" s="285">
        <f t="shared" si="706"/>
        <v>2616.9754308440124</v>
      </c>
      <c r="X5530" s="446">
        <f t="shared" si="705"/>
        <v>8.3424364758964611</v>
      </c>
    </row>
    <row r="5531" spans="1:24" ht="15" customHeight="1">
      <c r="A5531" s="3">
        <v>43538</v>
      </c>
      <c r="B5531" s="9">
        <v>22525</v>
      </c>
      <c r="C5531" s="5">
        <v>0</v>
      </c>
      <c r="D5531" s="5">
        <v>55325</v>
      </c>
      <c r="E5531" s="5">
        <v>77850</v>
      </c>
      <c r="F5531" s="4">
        <v>0</v>
      </c>
      <c r="G5531" s="5">
        <v>0</v>
      </c>
      <c r="H5531" s="5">
        <v>1700</v>
      </c>
      <c r="I5531" s="118">
        <f t="shared" si="686"/>
        <v>2.1836865767501604E-2</v>
      </c>
      <c r="J5531" s="5">
        <v>57368</v>
      </c>
      <c r="K5531" s="22">
        <v>2111</v>
      </c>
      <c r="L5531" s="6">
        <v>2121.5</v>
      </c>
      <c r="M5531" s="125">
        <f t="shared" si="701"/>
        <v>10.5</v>
      </c>
      <c r="N5531" s="6"/>
      <c r="O5531" s="125"/>
      <c r="P5531" s="247">
        <v>17440</v>
      </c>
      <c r="Q5531" s="25">
        <f>168.62/1132.7</f>
        <v>0.14886554250904918</v>
      </c>
      <c r="W5531" s="285">
        <f t="shared" si="706"/>
        <v>2596.2150613578178</v>
      </c>
      <c r="X5531" s="446">
        <f t="shared" si="705"/>
        <v>8.2614874467077222</v>
      </c>
    </row>
    <row r="5532" spans="1:24" ht="15" customHeight="1">
      <c r="A5532" s="3">
        <v>43539</v>
      </c>
      <c r="B5532" s="9">
        <v>22525</v>
      </c>
      <c r="C5532" s="5">
        <v>0</v>
      </c>
      <c r="D5532" s="5">
        <v>55250</v>
      </c>
      <c r="E5532" s="5">
        <v>77775</v>
      </c>
      <c r="F5532" s="4">
        <v>0</v>
      </c>
      <c r="G5532" s="5">
        <v>75</v>
      </c>
      <c r="H5532" s="5">
        <v>2025</v>
      </c>
      <c r="I5532" s="118">
        <f t="shared" si="686"/>
        <v>2.6036644165863067E-2</v>
      </c>
      <c r="J5532" s="5">
        <v>48203</v>
      </c>
      <c r="K5532" s="22">
        <v>2053.5</v>
      </c>
      <c r="L5532" s="6">
        <v>2076</v>
      </c>
      <c r="M5532" s="125">
        <f t="shared" si="701"/>
        <v>22.5</v>
      </c>
      <c r="N5532" s="6"/>
      <c r="O5532" s="125"/>
      <c r="P5532" s="247">
        <v>17455</v>
      </c>
      <c r="Q5532" s="25">
        <f>169.05/1136.1</f>
        <v>0.14879852125693163</v>
      </c>
      <c r="W5532" s="285">
        <f t="shared" si="706"/>
        <v>2597.2781885397417</v>
      </c>
      <c r="X5532" s="446">
        <f t="shared" si="705"/>
        <v>8.5001217433649874</v>
      </c>
    </row>
    <row r="5533" spans="1:24" ht="15" customHeight="1">
      <c r="A5533" s="3">
        <v>43542</v>
      </c>
      <c r="B5533" s="9">
        <v>22525</v>
      </c>
      <c r="C5533" s="5">
        <v>0</v>
      </c>
      <c r="D5533" s="5">
        <v>55075</v>
      </c>
      <c r="E5533" s="5">
        <v>77600</v>
      </c>
      <c r="F5533" s="4">
        <v>0</v>
      </c>
      <c r="G5533" s="5">
        <v>175</v>
      </c>
      <c r="H5533" s="5">
        <v>1850</v>
      </c>
      <c r="I5533" s="118">
        <f t="shared" si="686"/>
        <v>2.3840206185567009E-2</v>
      </c>
      <c r="J5533" s="5">
        <v>38360</v>
      </c>
      <c r="K5533" s="22">
        <v>2028</v>
      </c>
      <c r="L5533" s="6">
        <v>2045.5</v>
      </c>
      <c r="M5533" s="125">
        <f t="shared" si="701"/>
        <v>17.5</v>
      </c>
      <c r="P5533" s="247">
        <v>17445</v>
      </c>
      <c r="Q5533" s="25">
        <f>168.4/1132</f>
        <v>0.14876325088339223</v>
      </c>
      <c r="W5533" s="285">
        <f t="shared" si="706"/>
        <v>2595.1749116607775</v>
      </c>
      <c r="X5533" s="446">
        <f t="shared" si="705"/>
        <v>8.6020710059171606</v>
      </c>
    </row>
    <row r="5534" spans="1:24" ht="15" customHeight="1">
      <c r="A5534" s="3">
        <v>43543</v>
      </c>
      <c r="B5534" s="9">
        <v>22525</v>
      </c>
      <c r="D5534" s="5">
        <v>55150</v>
      </c>
      <c r="E5534" s="5">
        <v>77675</v>
      </c>
      <c r="F5534" s="4">
        <v>350</v>
      </c>
      <c r="G5534" s="5">
        <v>275</v>
      </c>
      <c r="H5534" s="5">
        <v>1775</v>
      </c>
      <c r="I5534" s="118">
        <f t="shared" si="686"/>
        <v>2.2851625362085612E-2</v>
      </c>
      <c r="J5534" s="5">
        <v>57627</v>
      </c>
      <c r="K5534" s="22">
        <v>2017.5</v>
      </c>
      <c r="L5534" s="6">
        <v>2038</v>
      </c>
      <c r="M5534" s="125">
        <f t="shared" si="701"/>
        <v>20.5</v>
      </c>
      <c r="P5534" s="247">
        <v>17220</v>
      </c>
      <c r="Q5534" s="25">
        <f>168.3/1130.9</f>
        <v>0.14881952427270315</v>
      </c>
      <c r="W5534" s="285">
        <f t="shared" si="706"/>
        <v>2562.6722079759484</v>
      </c>
      <c r="X5534" s="446">
        <f t="shared" si="705"/>
        <v>8.5353159851301115</v>
      </c>
    </row>
    <row r="5535" spans="1:24" ht="15" customHeight="1">
      <c r="A5535" s="3">
        <v>43544</v>
      </c>
      <c r="B5535" s="9">
        <v>22525</v>
      </c>
      <c r="C5535" s="5">
        <v>0</v>
      </c>
      <c r="D5535" s="5">
        <v>55475</v>
      </c>
      <c r="E5535" s="5">
        <v>78000</v>
      </c>
      <c r="F5535" s="4">
        <v>325</v>
      </c>
      <c r="G5535" s="5">
        <v>0</v>
      </c>
      <c r="H5535" s="5">
        <v>1675</v>
      </c>
      <c r="I5535" s="118">
        <f t="shared" si="686"/>
        <v>2.1474358974358974E-2</v>
      </c>
      <c r="J5535" s="5">
        <v>68480</v>
      </c>
      <c r="K5535" s="22">
        <v>2013.5</v>
      </c>
      <c r="L5535" s="6">
        <v>2036</v>
      </c>
      <c r="M5535" s="125">
        <f t="shared" si="701"/>
        <v>22.5</v>
      </c>
      <c r="P5535" s="247">
        <v>17210</v>
      </c>
      <c r="Q5535" s="25">
        <f>168.24/1130.4</f>
        <v>0.14883227176220806</v>
      </c>
      <c r="W5535" s="285">
        <f t="shared" si="706"/>
        <v>2561.4033970276009</v>
      </c>
      <c r="X5535" s="446">
        <f t="shared" si="705"/>
        <v>8.5473056866153456</v>
      </c>
    </row>
    <row r="5536" spans="1:24" ht="15" customHeight="1">
      <c r="A5536" s="3">
        <v>43545</v>
      </c>
      <c r="B5536" s="9">
        <v>22525</v>
      </c>
      <c r="C5536" s="5">
        <v>0</v>
      </c>
      <c r="D5536" s="5">
        <v>55400</v>
      </c>
      <c r="E5536" s="5">
        <v>77925</v>
      </c>
      <c r="F5536" s="4">
        <v>0</v>
      </c>
      <c r="G5536" s="5">
        <v>75</v>
      </c>
      <c r="H5536" s="5">
        <v>1600</v>
      </c>
      <c r="I5536" s="118">
        <f t="shared" si="686"/>
        <v>2.0532563362207251E-2</v>
      </c>
      <c r="J5536" s="5">
        <v>61329</v>
      </c>
      <c r="K5536" s="22">
        <v>2035.5</v>
      </c>
      <c r="L5536" s="6">
        <v>2055</v>
      </c>
      <c r="M5536" s="125">
        <f t="shared" si="701"/>
        <v>19.5</v>
      </c>
      <c r="P5536" s="247">
        <v>17225</v>
      </c>
      <c r="Q5536" s="25">
        <f>168.48/1125.8</f>
        <v>0.14965357967667436</v>
      </c>
      <c r="W5536" s="285">
        <f t="shared" si="706"/>
        <v>2577.782909930716</v>
      </c>
      <c r="X5536" s="446">
        <f t="shared" si="705"/>
        <v>8.4622942765905176</v>
      </c>
    </row>
    <row r="5537" spans="1:24" ht="15" customHeight="1">
      <c r="A5537" s="3">
        <v>43546</v>
      </c>
      <c r="B5537" s="9">
        <v>22525</v>
      </c>
      <c r="C5537" s="5">
        <v>0</v>
      </c>
      <c r="D5537" s="5">
        <v>55750</v>
      </c>
      <c r="E5537" s="5">
        <v>78275</v>
      </c>
      <c r="F5537" s="4">
        <v>350</v>
      </c>
      <c r="G5537" s="5">
        <v>0</v>
      </c>
      <c r="H5537" s="5">
        <v>2125</v>
      </c>
      <c r="I5537" s="118">
        <f t="shared" si="686"/>
        <v>2.7147876077930375E-2</v>
      </c>
      <c r="J5537" s="5">
        <v>46694</v>
      </c>
      <c r="K5537" s="22">
        <v>2020</v>
      </c>
      <c r="L5537" s="6">
        <v>2040</v>
      </c>
      <c r="M5537" s="125">
        <f t="shared" si="701"/>
        <v>20</v>
      </c>
      <c r="P5537" s="247">
        <v>17250</v>
      </c>
      <c r="Q5537" s="25">
        <f>168.5/1129.8</f>
        <v>0.1491414409630023</v>
      </c>
      <c r="W5537" s="285">
        <f t="shared" si="706"/>
        <v>2572.6898566117898</v>
      </c>
      <c r="X5537" s="446">
        <f t="shared" si="705"/>
        <v>8.5396039603960396</v>
      </c>
    </row>
    <row r="5538" spans="1:24" ht="15" customHeight="1">
      <c r="A5538" s="3">
        <v>43549</v>
      </c>
      <c r="B5538" s="9">
        <v>22625</v>
      </c>
      <c r="C5538" s="5">
        <v>0</v>
      </c>
      <c r="D5538" s="5">
        <v>56750</v>
      </c>
      <c r="E5538" s="5">
        <v>79375</v>
      </c>
      <c r="F5538" s="4">
        <v>1100</v>
      </c>
      <c r="G5538" s="5">
        <v>0</v>
      </c>
      <c r="H5538" s="5">
        <v>2100</v>
      </c>
      <c r="I5538" s="118">
        <f t="shared" si="686"/>
        <v>2.6456692913385826E-2</v>
      </c>
      <c r="J5538" s="5">
        <v>39559</v>
      </c>
      <c r="K5538" s="22">
        <v>2007.5</v>
      </c>
      <c r="L5538" s="6">
        <v>2027.5</v>
      </c>
      <c r="M5538" s="125">
        <f t="shared" si="701"/>
        <v>20</v>
      </c>
      <c r="P5538" s="247">
        <v>17190</v>
      </c>
      <c r="Q5538" s="25">
        <f>168.89/1134.9</f>
        <v>0.14881487355714157</v>
      </c>
      <c r="W5538" s="285">
        <f t="shared" si="706"/>
        <v>2558.1276764472636</v>
      </c>
      <c r="X5538" s="446">
        <f t="shared" si="705"/>
        <v>8.5628891656288921</v>
      </c>
    </row>
    <row r="5539" spans="1:24" ht="15" customHeight="1">
      <c r="A5539" s="3">
        <v>43550</v>
      </c>
      <c r="B5539" s="9">
        <v>22375</v>
      </c>
      <c r="C5539" s="5">
        <v>0</v>
      </c>
      <c r="D5539" s="5">
        <v>57050</v>
      </c>
      <c r="E5539" s="5">
        <v>79425</v>
      </c>
      <c r="F5539" s="4">
        <v>300</v>
      </c>
      <c r="G5539" s="5">
        <v>250</v>
      </c>
      <c r="H5539" s="5">
        <v>1850</v>
      </c>
      <c r="I5539" s="118">
        <f t="shared" si="686"/>
        <v>2.3292414227258421E-2</v>
      </c>
      <c r="J5539" s="5">
        <v>38886</v>
      </c>
      <c r="K5539" s="22">
        <v>1982</v>
      </c>
      <c r="L5539" s="6">
        <v>2002</v>
      </c>
      <c r="M5539" s="125">
        <f t="shared" si="701"/>
        <v>20</v>
      </c>
      <c r="P5539" s="247">
        <v>17155</v>
      </c>
      <c r="Q5539" s="25">
        <f>168.59/1132.1</f>
        <v>0.14891794011129761</v>
      </c>
      <c r="W5539" s="285">
        <f t="shared" si="706"/>
        <v>2554.6872626093104</v>
      </c>
      <c r="X5539" s="446">
        <f t="shared" si="705"/>
        <v>8.6553985872855694</v>
      </c>
    </row>
    <row r="5540" spans="1:24" ht="15" customHeight="1">
      <c r="A5540" s="3">
        <v>43551</v>
      </c>
      <c r="B5540" s="9">
        <v>22225</v>
      </c>
      <c r="C5540" s="5">
        <v>0</v>
      </c>
      <c r="D5540" s="5">
        <v>57025</v>
      </c>
      <c r="E5540" s="5">
        <v>79250</v>
      </c>
      <c r="F5540" s="4">
        <v>0</v>
      </c>
      <c r="G5540" s="5">
        <v>175</v>
      </c>
      <c r="H5540" s="5">
        <v>1675</v>
      </c>
      <c r="I5540" s="118">
        <f t="shared" si="686"/>
        <v>2.1135646687697161E-2</v>
      </c>
      <c r="J5540" s="5">
        <v>58756</v>
      </c>
      <c r="K5540" s="22">
        <v>1978</v>
      </c>
      <c r="L5540" s="6">
        <v>1986.5</v>
      </c>
      <c r="M5540" s="125">
        <f t="shared" si="701"/>
        <v>8.5</v>
      </c>
      <c r="P5540" s="247">
        <v>17155</v>
      </c>
      <c r="Q5540" s="25">
        <f>168.78/1134.7</f>
        <v>0.14874416145236627</v>
      </c>
      <c r="W5540" s="285">
        <f t="shared" si="706"/>
        <v>2551.7060897153433</v>
      </c>
      <c r="X5540" s="446">
        <f t="shared" si="705"/>
        <v>8.6729019211324569</v>
      </c>
    </row>
    <row r="5541" spans="1:24" ht="15" customHeight="1">
      <c r="A5541" s="3">
        <v>43552</v>
      </c>
      <c r="B5541" s="9">
        <v>22225</v>
      </c>
      <c r="C5541" s="5">
        <v>0</v>
      </c>
      <c r="D5541" s="5">
        <v>56750</v>
      </c>
      <c r="E5541" s="5">
        <v>78975</v>
      </c>
      <c r="F5541" s="4">
        <v>0</v>
      </c>
      <c r="G5541" s="5">
        <v>275</v>
      </c>
      <c r="H5541" s="5">
        <v>1550</v>
      </c>
      <c r="I5541" s="118">
        <f t="shared" si="686"/>
        <v>1.9626464070908515E-2</v>
      </c>
      <c r="J5541" s="5">
        <v>47199</v>
      </c>
      <c r="K5541" s="22">
        <v>2010</v>
      </c>
      <c r="L5541" s="6">
        <v>2024</v>
      </c>
      <c r="M5541" s="125">
        <f t="shared" si="701"/>
        <v>14</v>
      </c>
      <c r="P5541" s="247">
        <v>17095</v>
      </c>
      <c r="Q5541" s="25">
        <f>168.74/1137.8</f>
        <v>0.14830374406749869</v>
      </c>
      <c r="W5541" s="285">
        <f t="shared" si="706"/>
        <v>2535.2525048338903</v>
      </c>
      <c r="X5541" s="446">
        <f t="shared" si="705"/>
        <v>8.5049751243781095</v>
      </c>
    </row>
    <row r="5542" spans="1:24" ht="15" customHeight="1">
      <c r="A5542" s="3">
        <v>43553</v>
      </c>
      <c r="B5542" s="9">
        <v>22225</v>
      </c>
      <c r="C5542" s="5">
        <v>0</v>
      </c>
      <c r="D5542" s="5">
        <v>56525</v>
      </c>
      <c r="E5542" s="5">
        <v>78750</v>
      </c>
      <c r="F5542" s="4">
        <v>0</v>
      </c>
      <c r="G5542" s="5">
        <v>225</v>
      </c>
      <c r="H5542" s="5">
        <v>1350</v>
      </c>
      <c r="I5542" s="118">
        <f t="shared" si="686"/>
        <v>1.7142857142857144E-2</v>
      </c>
      <c r="J5542" s="5">
        <v>35050</v>
      </c>
      <c r="K5542" s="22">
        <v>2022</v>
      </c>
      <c r="L5542" s="6">
        <v>2032.5</v>
      </c>
      <c r="M5542" s="125">
        <f t="shared" si="701"/>
        <v>10.5</v>
      </c>
      <c r="N5542" s="381">
        <f>AVERAGE($K$5522:K5542)</f>
        <v>2054.5714285714284</v>
      </c>
      <c r="O5542" s="395">
        <f>AVERAGE($K$5478:K5542)</f>
        <v>2035.8571428571429</v>
      </c>
      <c r="P5542" s="247">
        <v>17025</v>
      </c>
      <c r="Q5542" s="25">
        <f>168.69/1136.1</f>
        <v>0.14848164774227621</v>
      </c>
      <c r="W5542" s="285">
        <f t="shared" si="706"/>
        <v>2527.9000528122524</v>
      </c>
      <c r="X5542" s="446">
        <f t="shared" si="705"/>
        <v>8.4198813056379826</v>
      </c>
    </row>
    <row r="5543" spans="1:24" ht="15" customHeight="1" thickBot="1">
      <c r="A5543" s="216"/>
      <c r="B5543" s="394"/>
      <c r="C5543" s="394"/>
      <c r="D5543" s="394"/>
      <c r="E5543" s="216"/>
      <c r="F5543" s="407"/>
      <c r="G5543" s="164"/>
      <c r="H5543" s="164"/>
      <c r="I5543" s="164"/>
      <c r="J5543" s="166"/>
      <c r="K5543" s="166"/>
      <c r="L5543" s="167"/>
      <c r="M5543" s="167"/>
      <c r="N5543" s="167"/>
      <c r="O5543" s="167"/>
      <c r="P5543" s="180"/>
      <c r="Q5543" s="154"/>
      <c r="R5543" s="248"/>
      <c r="S5543" s="249"/>
      <c r="T5543" s="249"/>
      <c r="U5543" s="152"/>
      <c r="V5543" s="153">
        <f>AVERAGE(P5522:P5542)</f>
        <v>17370.476190476191</v>
      </c>
      <c r="W5543" s="390"/>
      <c r="X5543" s="447">
        <f>AVERAGE(X5522:X5542)</f>
        <v>8.457085810343262</v>
      </c>
    </row>
    <row r="5544" spans="1:24" ht="15" customHeight="1">
      <c r="A5544" s="29">
        <v>43556</v>
      </c>
      <c r="B5544" s="9">
        <v>22225</v>
      </c>
      <c r="C5544" s="5">
        <v>0</v>
      </c>
      <c r="D5544" s="5">
        <v>56525</v>
      </c>
      <c r="E5544" s="5">
        <v>78750</v>
      </c>
      <c r="F5544" s="4">
        <v>0</v>
      </c>
      <c r="G5544" s="5">
        <v>0</v>
      </c>
      <c r="H5544" s="5">
        <v>1400</v>
      </c>
      <c r="I5544" s="118">
        <f t="shared" si="686"/>
        <v>1.7777777777777778E-2</v>
      </c>
      <c r="J5544" s="5">
        <v>48984</v>
      </c>
      <c r="K5544" s="22">
        <v>2022</v>
      </c>
      <c r="L5544" s="6">
        <v>2035</v>
      </c>
      <c r="M5544" s="125">
        <f t="shared" ref="M5544:M5557" si="707">L5544-K5544</f>
        <v>13</v>
      </c>
      <c r="P5544" s="247">
        <v>16955</v>
      </c>
      <c r="Q5544" s="25">
        <f>168.74/1132.7</f>
        <v>0.14897148406462435</v>
      </c>
      <c r="W5544" s="285">
        <f t="shared" ref="W5544:W5557" si="708">(P5544*Q5544)*(1+U5544)</f>
        <v>2525.8115123157058</v>
      </c>
      <c r="X5544" s="446">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18">
        <f t="shared" si="686"/>
        <v>1.9365079365079366E-2</v>
      </c>
      <c r="J5545" s="5">
        <v>44286</v>
      </c>
      <c r="K5545" s="22">
        <v>1974</v>
      </c>
      <c r="L5545" s="6">
        <v>1999.5</v>
      </c>
      <c r="M5545" s="125">
        <f t="shared" si="707"/>
        <v>25.5</v>
      </c>
      <c r="P5545" s="247">
        <v>16895</v>
      </c>
      <c r="Q5545" s="25">
        <f>168.97/1135.8</f>
        <v>0.14876738862475788</v>
      </c>
      <c r="W5545" s="285">
        <f t="shared" si="708"/>
        <v>2513.4250308152846</v>
      </c>
      <c r="X5545" s="446">
        <f t="shared" si="709"/>
        <v>8.5587639311043571</v>
      </c>
    </row>
    <row r="5546" spans="1:24" ht="15" customHeight="1">
      <c r="A5546" s="3">
        <v>43558</v>
      </c>
      <c r="B5546" s="9">
        <v>22225</v>
      </c>
      <c r="C5546" s="5">
        <v>0</v>
      </c>
      <c r="D5546" s="5">
        <v>56525</v>
      </c>
      <c r="E5546" s="5">
        <v>78750</v>
      </c>
      <c r="F5546" s="4">
        <v>0</v>
      </c>
      <c r="G5546" s="5">
        <v>0</v>
      </c>
      <c r="H5546" s="5">
        <v>1525</v>
      </c>
      <c r="I5546" s="118">
        <f t="shared" si="686"/>
        <v>1.9365079365079366E-2</v>
      </c>
      <c r="J5546" s="5">
        <v>75559</v>
      </c>
      <c r="K5546" s="22">
        <v>1985</v>
      </c>
      <c r="L5546" s="6">
        <v>2006</v>
      </c>
      <c r="M5546" s="125">
        <f t="shared" si="707"/>
        <v>21</v>
      </c>
      <c r="P5546" s="247">
        <v>16880</v>
      </c>
      <c r="Q5546" s="25">
        <f>168.96/1134.9</f>
        <v>0.14887655300026434</v>
      </c>
      <c r="W5546" s="285">
        <f t="shared" si="708"/>
        <v>2513.0362146444622</v>
      </c>
      <c r="X5546" s="446">
        <f t="shared" si="709"/>
        <v>8.5037783375314859</v>
      </c>
    </row>
    <row r="5547" spans="1:24" ht="15" customHeight="1">
      <c r="A5547" s="3">
        <v>43559</v>
      </c>
      <c r="B5547" s="9">
        <v>22225</v>
      </c>
      <c r="C5547" s="5">
        <v>0</v>
      </c>
      <c r="D5547" s="5">
        <v>56525</v>
      </c>
      <c r="E5547" s="5">
        <v>78750</v>
      </c>
      <c r="F5547" s="4">
        <v>0</v>
      </c>
      <c r="G5547" s="5">
        <v>0</v>
      </c>
      <c r="H5547" s="5">
        <v>1725</v>
      </c>
      <c r="I5547" s="118">
        <f t="shared" si="686"/>
        <v>2.1904761904761906E-2</v>
      </c>
      <c r="J5547" s="5">
        <v>44441</v>
      </c>
      <c r="K5547" s="22">
        <v>1988</v>
      </c>
      <c r="L5547" s="6">
        <v>2006.5</v>
      </c>
      <c r="M5547" s="125">
        <f t="shared" si="707"/>
        <v>18.5</v>
      </c>
      <c r="P5547" s="247">
        <v>16955</v>
      </c>
      <c r="Q5547" s="25">
        <f>169/1135.5</f>
        <v>0.14883311316600617</v>
      </c>
      <c r="W5547" s="285">
        <f t="shared" si="708"/>
        <v>2523.4654337296347</v>
      </c>
      <c r="X5547" s="446">
        <f t="shared" si="709"/>
        <v>8.5286720321931586</v>
      </c>
    </row>
    <row r="5548" spans="1:24" ht="15" customHeight="1">
      <c r="A5548" s="3">
        <v>43560</v>
      </c>
      <c r="B5548" s="9">
        <v>22220</v>
      </c>
      <c r="C5548" s="5">
        <v>0</v>
      </c>
      <c r="D5548" s="5">
        <v>56525</v>
      </c>
      <c r="E5548" s="5">
        <v>78725</v>
      </c>
      <c r="F5548" s="4">
        <v>0</v>
      </c>
      <c r="G5548" s="5">
        <v>25</v>
      </c>
      <c r="H5548" s="5">
        <v>3850</v>
      </c>
      <c r="I5548" s="118">
        <f t="shared" si="686"/>
        <v>4.8904414099714195E-2</v>
      </c>
      <c r="J5548" s="5">
        <v>35731</v>
      </c>
      <c r="K5548" s="22">
        <v>1973</v>
      </c>
      <c r="L5548" s="6">
        <v>1993</v>
      </c>
      <c r="M5548" s="125">
        <f t="shared" si="707"/>
        <v>20</v>
      </c>
      <c r="P5548" s="247"/>
      <c r="Q5548" s="25">
        <f>169.27/1136.4</f>
        <v>0.1489528335093277</v>
      </c>
      <c r="W5548" s="285">
        <f t="shared" si="708"/>
        <v>0</v>
      </c>
      <c r="X5548" s="446"/>
    </row>
    <row r="5549" spans="1:24" ht="15" customHeight="1">
      <c r="A5549" s="3">
        <v>43563</v>
      </c>
      <c r="B5549" s="9">
        <v>22200</v>
      </c>
      <c r="C5549" s="5">
        <v>0</v>
      </c>
      <c r="D5549" s="5">
        <v>56475</v>
      </c>
      <c r="E5549" s="5">
        <v>78675</v>
      </c>
      <c r="F5549" s="4">
        <v>0</v>
      </c>
      <c r="G5549" s="5">
        <v>50</v>
      </c>
      <c r="H5549" s="5">
        <v>3800</v>
      </c>
      <c r="I5549" s="118">
        <f t="shared" si="686"/>
        <v>4.8299968223705116E-2</v>
      </c>
      <c r="J5549" s="5">
        <v>53709</v>
      </c>
      <c r="K5549" s="22">
        <v>1980</v>
      </c>
      <c r="L5549" s="6">
        <v>2001</v>
      </c>
      <c r="M5549" s="125">
        <f t="shared" si="707"/>
        <v>21</v>
      </c>
      <c r="P5549" s="247">
        <v>16995</v>
      </c>
      <c r="Q5549" s="25">
        <f>169.76/1141.4</f>
        <v>0.1487296302786052</v>
      </c>
      <c r="W5549" s="285">
        <f t="shared" si="708"/>
        <v>2527.6600665848955</v>
      </c>
      <c r="X5549" s="446">
        <f t="shared" si="709"/>
        <v>8.5833333333333339</v>
      </c>
    </row>
    <row r="5550" spans="1:24" ht="15" customHeight="1">
      <c r="A5550" s="3">
        <v>43564</v>
      </c>
      <c r="B5550" s="9">
        <v>22200</v>
      </c>
      <c r="C5550" s="5">
        <v>0</v>
      </c>
      <c r="D5550" s="5">
        <v>56450</v>
      </c>
      <c r="E5550" s="5">
        <v>78650</v>
      </c>
      <c r="F5550" s="4">
        <v>0</v>
      </c>
      <c r="G5550" s="5">
        <v>25</v>
      </c>
      <c r="H5550" s="5">
        <v>4775</v>
      </c>
      <c r="I5550" s="118">
        <f t="shared" si="686"/>
        <v>6.0712015257469804E-2</v>
      </c>
      <c r="J5550" s="5">
        <v>50565</v>
      </c>
      <c r="K5550" s="22">
        <v>1977.5</v>
      </c>
      <c r="L5550" s="6">
        <v>1999</v>
      </c>
      <c r="M5550" s="125">
        <f t="shared" si="707"/>
        <v>21.5</v>
      </c>
      <c r="P5550" s="247">
        <v>17005</v>
      </c>
      <c r="Q5550" s="25">
        <f>170.06/1142.8</f>
        <v>0.14880994049702487</v>
      </c>
      <c r="W5550" s="285">
        <f t="shared" si="708"/>
        <v>2530.5130381519079</v>
      </c>
      <c r="X5550" s="446">
        <f t="shared" si="709"/>
        <v>8.5992414664981034</v>
      </c>
    </row>
    <row r="5551" spans="1:24" ht="15" customHeight="1">
      <c r="A5551" s="3">
        <v>43565</v>
      </c>
      <c r="B5551" s="9">
        <v>22200</v>
      </c>
      <c r="C5551" s="5">
        <v>0</v>
      </c>
      <c r="D5551" s="5">
        <v>55925</v>
      </c>
      <c r="E5551" s="5">
        <v>78125</v>
      </c>
      <c r="F5551" s="4">
        <v>0</v>
      </c>
      <c r="G5551" s="5">
        <v>525</v>
      </c>
      <c r="H5551" s="5">
        <v>4500</v>
      </c>
      <c r="I5551" s="118">
        <f t="shared" si="686"/>
        <v>5.7599999999999998E-2</v>
      </c>
      <c r="J5551" s="5">
        <v>90840</v>
      </c>
      <c r="K5551" s="22">
        <v>1956</v>
      </c>
      <c r="L5551" s="6">
        <v>1974</v>
      </c>
      <c r="M5551" s="125">
        <f t="shared" si="707"/>
        <v>18</v>
      </c>
      <c r="P5551" s="247">
        <v>16885</v>
      </c>
      <c r="Q5551" s="25">
        <f>169.89/1141.2</f>
        <v>0.14886961093585699</v>
      </c>
      <c r="W5551" s="285">
        <f t="shared" si="708"/>
        <v>2513.6633806519453</v>
      </c>
      <c r="X5551" s="446">
        <f t="shared" si="709"/>
        <v>8.6324130879345606</v>
      </c>
    </row>
    <row r="5552" spans="1:24" ht="15" customHeight="1">
      <c r="A5552" s="3">
        <v>43566</v>
      </c>
      <c r="B5552" s="9">
        <v>22175</v>
      </c>
      <c r="C5552" s="5">
        <v>0</v>
      </c>
      <c r="D5552" s="5">
        <v>55225</v>
      </c>
      <c r="E5552" s="5">
        <v>77400</v>
      </c>
      <c r="F5552" s="4">
        <v>0</v>
      </c>
      <c r="G5552" s="5">
        <v>725</v>
      </c>
      <c r="H5552" s="5">
        <v>3875</v>
      </c>
      <c r="I5552" s="118">
        <f t="shared" si="686"/>
        <v>5.0064599483204138E-2</v>
      </c>
      <c r="J5552" s="5">
        <v>71265</v>
      </c>
      <c r="K5552" s="22">
        <v>1942</v>
      </c>
      <c r="L5552" s="6">
        <v>1958</v>
      </c>
      <c r="M5552" s="125">
        <f t="shared" si="707"/>
        <v>16</v>
      </c>
      <c r="P5552" s="247">
        <v>16640</v>
      </c>
      <c r="Q5552" s="25">
        <f>169.61/1139.2</f>
        <v>0.14888518258426967</v>
      </c>
      <c r="W5552" s="285">
        <f t="shared" si="708"/>
        <v>2477.4494382022472</v>
      </c>
      <c r="X5552" s="446">
        <f t="shared" si="709"/>
        <v>8.5684860968074155</v>
      </c>
    </row>
    <row r="5553" spans="1:24" ht="15" customHeight="1">
      <c r="A5553" s="3">
        <v>43567</v>
      </c>
      <c r="B5553" s="9">
        <v>22175</v>
      </c>
      <c r="C5553" s="5">
        <v>0</v>
      </c>
      <c r="D5553" s="5">
        <v>54175</v>
      </c>
      <c r="E5553" s="5">
        <v>76350</v>
      </c>
      <c r="F5553" s="4">
        <v>75</v>
      </c>
      <c r="G5553" s="5">
        <v>1125</v>
      </c>
      <c r="H5553" s="5">
        <v>2750</v>
      </c>
      <c r="I5553" s="118">
        <f t="shared" si="686"/>
        <v>3.6018336607727568E-2</v>
      </c>
      <c r="J5553" s="5">
        <v>80290</v>
      </c>
      <c r="K5553" s="22">
        <v>1910</v>
      </c>
      <c r="L5553" s="6">
        <v>1926.5</v>
      </c>
      <c r="M5553" s="125">
        <f t="shared" si="707"/>
        <v>16.5</v>
      </c>
      <c r="P5553" s="247">
        <v>16495</v>
      </c>
      <c r="Q5553" s="25">
        <f>169.48/1140.5</f>
        <v>0.14860149057430949</v>
      </c>
      <c r="W5553" s="285">
        <f t="shared" si="708"/>
        <v>2451.1815870232349</v>
      </c>
      <c r="X5553" s="446">
        <f t="shared" si="709"/>
        <v>8.6361256544502609</v>
      </c>
    </row>
    <row r="5554" spans="1:24" ht="15" customHeight="1">
      <c r="A5554" s="3">
        <v>43570</v>
      </c>
      <c r="B5554" s="9">
        <v>22175</v>
      </c>
      <c r="C5554" s="5">
        <v>0</v>
      </c>
      <c r="D5554" s="5">
        <v>53475</v>
      </c>
      <c r="E5554" s="5">
        <v>75650</v>
      </c>
      <c r="F5554" s="4">
        <v>0</v>
      </c>
      <c r="G5554" s="5">
        <v>700</v>
      </c>
      <c r="H5554" s="5">
        <v>2050</v>
      </c>
      <c r="I5554" s="118">
        <f t="shared" si="686"/>
        <v>2.7098479841374753E-2</v>
      </c>
      <c r="J5554" s="5">
        <v>53611</v>
      </c>
      <c r="K5554" s="22">
        <v>1932</v>
      </c>
      <c r="L5554" s="6">
        <v>1949</v>
      </c>
      <c r="M5554" s="125">
        <f t="shared" si="707"/>
        <v>17</v>
      </c>
      <c r="P5554" s="247">
        <v>16530</v>
      </c>
      <c r="Q5554" s="25">
        <f>168.96/1133.9</f>
        <v>0.14900784901666814</v>
      </c>
      <c r="W5554" s="285">
        <f t="shared" si="708"/>
        <v>2463.0997442455241</v>
      </c>
      <c r="X5554" s="446">
        <f t="shared" si="709"/>
        <v>8.5559006211180133</v>
      </c>
    </row>
    <row r="5555" spans="1:24" ht="15" customHeight="1">
      <c r="A5555" s="3">
        <v>43571</v>
      </c>
      <c r="B5555" s="9">
        <v>22175</v>
      </c>
      <c r="C5555" s="5">
        <v>0</v>
      </c>
      <c r="D5555" s="5">
        <v>53275</v>
      </c>
      <c r="E5555" s="5">
        <v>75450</v>
      </c>
      <c r="F5555" s="4">
        <v>0</v>
      </c>
      <c r="G5555" s="5">
        <v>200</v>
      </c>
      <c r="H5555" s="5">
        <v>1850</v>
      </c>
      <c r="I5555" s="118">
        <f t="shared" si="686"/>
        <v>2.4519549370444003E-2</v>
      </c>
      <c r="J5555" s="5">
        <v>60515</v>
      </c>
      <c r="K5555" s="22">
        <v>1942.5</v>
      </c>
      <c r="L5555" s="6">
        <v>1961.5</v>
      </c>
      <c r="M5555" s="125">
        <f t="shared" si="707"/>
        <v>19</v>
      </c>
      <c r="P5555" s="247">
        <v>16630</v>
      </c>
      <c r="Q5555" s="25">
        <f>169.26/1135.7</f>
        <v>0.14903583692876637</v>
      </c>
      <c r="W5555" s="285">
        <f t="shared" si="708"/>
        <v>2478.4659681253847</v>
      </c>
      <c r="X5555" s="446">
        <f t="shared" si="709"/>
        <v>8.5611325611325615</v>
      </c>
    </row>
    <row r="5556" spans="1:24" ht="15" customHeight="1">
      <c r="A5556" s="3">
        <v>43572</v>
      </c>
      <c r="B5556" s="9">
        <v>22175</v>
      </c>
      <c r="C5556" s="5">
        <v>0</v>
      </c>
      <c r="D5556" s="5">
        <v>53025</v>
      </c>
      <c r="E5556" s="5">
        <v>75200</v>
      </c>
      <c r="F5556" s="4">
        <v>0</v>
      </c>
      <c r="G5556" s="5">
        <v>250</v>
      </c>
      <c r="H5556" s="5">
        <v>2350</v>
      </c>
      <c r="I5556" s="118">
        <f t="shared" si="686"/>
        <v>3.125E-2</v>
      </c>
      <c r="J5556" s="5">
        <v>61892</v>
      </c>
      <c r="K5556" s="22">
        <v>1930</v>
      </c>
      <c r="L5556" s="6">
        <v>1950</v>
      </c>
      <c r="M5556" s="125">
        <f t="shared" si="707"/>
        <v>20</v>
      </c>
      <c r="P5556" s="247">
        <v>16670</v>
      </c>
      <c r="Q5556" s="25">
        <f>169.49/1136.1</f>
        <v>0.14918581110817711</v>
      </c>
      <c r="W5556" s="285">
        <f t="shared" si="708"/>
        <v>2486.9274711733124</v>
      </c>
      <c r="X5556" s="446">
        <f t="shared" si="709"/>
        <v>8.6373056994818658</v>
      </c>
    </row>
    <row r="5557" spans="1:24" ht="15" customHeight="1">
      <c r="A5557" s="3">
        <v>43573</v>
      </c>
      <c r="B5557" s="9">
        <v>22175</v>
      </c>
      <c r="C5557" s="5">
        <v>0</v>
      </c>
      <c r="D5557" s="5">
        <v>52750</v>
      </c>
      <c r="E5557" s="5">
        <v>74925</v>
      </c>
      <c r="F5557" s="4">
        <v>0</v>
      </c>
      <c r="G5557" s="5">
        <v>275</v>
      </c>
      <c r="H5557" s="5">
        <v>2275</v>
      </c>
      <c r="I5557" s="118">
        <f t="shared" si="686"/>
        <v>3.0363697030363696E-2</v>
      </c>
      <c r="J5557" s="5">
        <v>51074</v>
      </c>
      <c r="K5557" s="22">
        <v>1919</v>
      </c>
      <c r="L5557" s="6">
        <v>1939</v>
      </c>
      <c r="M5557" s="125">
        <f t="shared" si="707"/>
        <v>20</v>
      </c>
      <c r="P5557" s="247">
        <v>16555</v>
      </c>
      <c r="Q5557" s="25">
        <f>169.84/1136.2</f>
        <v>0.14948072522443231</v>
      </c>
      <c r="W5557" s="285">
        <f t="shared" si="708"/>
        <v>2474.6534060904769</v>
      </c>
      <c r="X5557" s="446">
        <f t="shared" si="709"/>
        <v>8.6268890046899429</v>
      </c>
    </row>
    <row r="5558" spans="1:24" ht="15" customHeight="1">
      <c r="A5558" s="3">
        <v>43574</v>
      </c>
      <c r="B5558" s="1318"/>
      <c r="C5558" s="1318"/>
      <c r="D5558" s="1318"/>
      <c r="E5558" s="1318"/>
      <c r="F5558" s="1318"/>
      <c r="G5558" s="1318"/>
      <c r="H5558" s="1318"/>
      <c r="I5558" s="1318"/>
      <c r="J5558" s="1318"/>
      <c r="K5558" s="1318"/>
      <c r="L5558" s="1318"/>
      <c r="M5558" s="1318"/>
      <c r="P5558" s="247"/>
      <c r="X5558" s="446"/>
    </row>
    <row r="5559" spans="1:24" ht="15" customHeight="1">
      <c r="A5559" s="3">
        <v>43577</v>
      </c>
      <c r="B5559" s="1318"/>
      <c r="C5559" s="1318"/>
      <c r="D5559" s="1318"/>
      <c r="E5559" s="1318"/>
      <c r="F5559" s="1318"/>
      <c r="G5559" s="1318"/>
      <c r="H5559" s="1318"/>
      <c r="I5559" s="1318"/>
      <c r="J5559" s="1318"/>
      <c r="K5559" s="1318"/>
      <c r="L5559" s="1318"/>
      <c r="M5559" s="1318"/>
      <c r="P5559" s="247">
        <v>16525</v>
      </c>
      <c r="X5559" s="446"/>
    </row>
    <row r="5560" spans="1:24" ht="15" customHeight="1">
      <c r="A5560" s="3">
        <v>43578</v>
      </c>
      <c r="B5560" s="9">
        <v>22175</v>
      </c>
      <c r="C5560" s="5">
        <v>0</v>
      </c>
      <c r="D5560" s="5">
        <v>52475</v>
      </c>
      <c r="E5560" s="5">
        <v>74650</v>
      </c>
      <c r="F5560" s="4">
        <v>0</v>
      </c>
      <c r="G5560" s="5">
        <v>275</v>
      </c>
      <c r="H5560" s="5">
        <v>2000</v>
      </c>
      <c r="I5560" s="118">
        <f t="shared" ref="I5560:I5619" si="710">H5560/E5560</f>
        <v>2.6791694574681849E-2</v>
      </c>
      <c r="J5560" s="5">
        <v>51704</v>
      </c>
      <c r="K5560" s="22">
        <v>1927</v>
      </c>
      <c r="L5560" s="6">
        <v>1946</v>
      </c>
      <c r="M5560" s="125">
        <f t="shared" ref="M5560:M5584" si="711">L5560-K5560</f>
        <v>19</v>
      </c>
      <c r="P5560" s="247">
        <v>16500</v>
      </c>
      <c r="Q5560" s="25">
        <f>169.84/1141.1</f>
        <v>0.14883883971606346</v>
      </c>
      <c r="W5560" s="285">
        <f t="shared" ref="W5560" si="712">(P5560*Q5560)*(1+U5560)</f>
        <v>2455.8408553150471</v>
      </c>
      <c r="X5560" s="446">
        <f t="shared" ref="X5560" si="713">P5560/K5560</f>
        <v>8.562532433834976</v>
      </c>
    </row>
    <row r="5561" spans="1:24" ht="15" customHeight="1">
      <c r="A5561" s="3">
        <v>43579</v>
      </c>
      <c r="B5561" s="9">
        <v>22175</v>
      </c>
      <c r="C5561" s="5">
        <v>0</v>
      </c>
      <c r="D5561" s="5">
        <v>52875</v>
      </c>
      <c r="E5561" s="5">
        <v>75050</v>
      </c>
      <c r="F5561" s="4">
        <v>400</v>
      </c>
      <c r="G5561" s="5">
        <v>0</v>
      </c>
      <c r="H5561" s="5">
        <v>1800</v>
      </c>
      <c r="I5561" s="118">
        <f t="shared" si="710"/>
        <v>2.3984010659560292E-2</v>
      </c>
      <c r="J5561" s="5">
        <v>61618</v>
      </c>
      <c r="K5561" s="22">
        <v>1905</v>
      </c>
      <c r="L5561" s="6">
        <v>1925</v>
      </c>
      <c r="M5561" s="125">
        <f t="shared" si="711"/>
        <v>20</v>
      </c>
      <c r="P5561" s="247">
        <v>16480</v>
      </c>
      <c r="Q5561" s="25">
        <f>170.65/1146.9</f>
        <v>0.14879239689598045</v>
      </c>
      <c r="W5561" s="285">
        <f t="shared" ref="W5561" si="714">(P5561*Q5561)*(1+U5561)</f>
        <v>2452.0987008457578</v>
      </c>
      <c r="X5561" s="446">
        <f t="shared" ref="X5561" si="715">P5561/K5561</f>
        <v>8.6509186351706031</v>
      </c>
    </row>
    <row r="5562" spans="1:24" ht="15" customHeight="1">
      <c r="A5562" s="3">
        <v>43580</v>
      </c>
      <c r="B5562" s="9">
        <v>22175</v>
      </c>
      <c r="C5562" s="5">
        <v>0</v>
      </c>
      <c r="D5562" s="5">
        <v>52775</v>
      </c>
      <c r="E5562" s="5">
        <v>74950</v>
      </c>
      <c r="F5562" s="4">
        <v>0</v>
      </c>
      <c r="G5562" s="5">
        <v>100</v>
      </c>
      <c r="H5562" s="5">
        <v>1700</v>
      </c>
      <c r="I5562" s="118">
        <f t="shared" si="710"/>
        <v>2.2681787858572382E-2</v>
      </c>
      <c r="J5562" s="5">
        <v>69548</v>
      </c>
      <c r="K5562" s="22">
        <v>1902</v>
      </c>
      <c r="L5562" s="6">
        <v>1918</v>
      </c>
      <c r="M5562" s="125">
        <f t="shared" si="711"/>
        <v>16</v>
      </c>
      <c r="P5562" s="247">
        <v>16580</v>
      </c>
      <c r="Q5562" s="25">
        <f>171.88/1158.7</f>
        <v>0.14833865538966082</v>
      </c>
      <c r="W5562" s="285">
        <f t="shared" ref="W5562" si="716">(P5562*Q5562)*(1+U5562)</f>
        <v>2459.4549063605764</v>
      </c>
      <c r="X5562" s="446">
        <f t="shared" ref="X5562" si="717">P5562/K5562</f>
        <v>8.7171398527865414</v>
      </c>
    </row>
    <row r="5563" spans="1:24" ht="15" customHeight="1">
      <c r="A5563" s="3">
        <v>43581</v>
      </c>
      <c r="B5563" s="9">
        <v>22175</v>
      </c>
      <c r="C5563" s="5">
        <v>0</v>
      </c>
      <c r="D5563" s="5">
        <v>52575</v>
      </c>
      <c r="E5563" s="5">
        <v>74750</v>
      </c>
      <c r="F5563" s="4">
        <v>0</v>
      </c>
      <c r="G5563" s="5">
        <v>200</v>
      </c>
      <c r="H5563" s="5">
        <v>1500</v>
      </c>
      <c r="I5563" s="118">
        <f t="shared" si="710"/>
        <v>2.0066889632107024E-2</v>
      </c>
      <c r="J5563" s="5">
        <v>47984</v>
      </c>
      <c r="K5563" s="22">
        <v>1924</v>
      </c>
      <c r="L5563" s="6">
        <v>1937</v>
      </c>
      <c r="M5563" s="125">
        <f t="shared" si="711"/>
        <v>13</v>
      </c>
      <c r="P5563" s="247">
        <v>16640</v>
      </c>
      <c r="Q5563" s="25">
        <f>172.2/1159.7</f>
        <v>0.14848667758903164</v>
      </c>
      <c r="W5563" s="285">
        <f t="shared" ref="W5563:W5565" si="718">(P5563*Q5563)*(1+U5563)</f>
        <v>2470.8183150814866</v>
      </c>
      <c r="X5563" s="446">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18">
        <f t="shared" si="710"/>
        <v>1.9745649263721552E-2</v>
      </c>
      <c r="J5564" s="5">
        <v>69872</v>
      </c>
      <c r="K5564" s="22">
        <v>1947</v>
      </c>
      <c r="L5564" s="6">
        <v>1964</v>
      </c>
      <c r="M5564" s="125">
        <f t="shared" si="711"/>
        <v>17</v>
      </c>
      <c r="P5564" s="247">
        <v>16780</v>
      </c>
      <c r="Q5564" s="25">
        <f>171.93/1158.2</f>
        <v>0.14844586427214643</v>
      </c>
      <c r="W5564" s="285">
        <f t="shared" si="718"/>
        <v>2490.9216024866168</v>
      </c>
      <c r="X5564" s="446">
        <f t="shared" si="719"/>
        <v>8.6183872624550588</v>
      </c>
    </row>
    <row r="5565" spans="1:24" ht="15" customHeight="1">
      <c r="A5565" s="3">
        <v>43585</v>
      </c>
      <c r="B5565" s="9">
        <v>22075</v>
      </c>
      <c r="C5565" s="5">
        <v>0</v>
      </c>
      <c r="D5565" s="5">
        <v>52375</v>
      </c>
      <c r="E5565" s="5">
        <v>74450</v>
      </c>
      <c r="F5565" s="4">
        <v>0</v>
      </c>
      <c r="G5565" s="5">
        <v>250</v>
      </c>
      <c r="H5565" s="5">
        <v>1225</v>
      </c>
      <c r="I5565" s="118">
        <f t="shared" si="710"/>
        <v>1.6453995970449966E-2</v>
      </c>
      <c r="J5565" s="5">
        <v>46796</v>
      </c>
      <c r="K5565" s="22">
        <v>1941</v>
      </c>
      <c r="L5565" s="6">
        <v>1960.5</v>
      </c>
      <c r="M5565" s="125">
        <f t="shared" si="711"/>
        <v>19.5</v>
      </c>
      <c r="N5565" s="381">
        <f>AVERAGE($K$5544:K5565)</f>
        <v>1948.85</v>
      </c>
      <c r="O5565" s="395">
        <f>AVERAGE($K$5478:K5565)</f>
        <v>2014.8915662650602</v>
      </c>
      <c r="P5565" s="247">
        <v>16770</v>
      </c>
      <c r="Q5565" s="25">
        <f>171.93/1158.2</f>
        <v>0.14844586427214643</v>
      </c>
      <c r="W5565" s="285">
        <f t="shared" si="718"/>
        <v>2489.4371438438957</v>
      </c>
      <c r="X5565" s="446">
        <f t="shared" si="719"/>
        <v>8.6398763523956728</v>
      </c>
    </row>
    <row r="5566" spans="1:24" ht="15" customHeight="1" thickBot="1">
      <c r="A5566" s="216"/>
      <c r="B5566" s="394"/>
      <c r="C5566" s="394"/>
      <c r="D5566" s="394"/>
      <c r="E5566" s="216"/>
      <c r="F5566" s="407"/>
      <c r="G5566" s="164"/>
      <c r="H5566" s="164"/>
      <c r="I5566" s="164"/>
      <c r="J5566" s="166"/>
      <c r="K5566" s="166"/>
      <c r="L5566" s="167"/>
      <c r="M5566" s="167"/>
      <c r="N5566" s="167"/>
      <c r="O5566" s="167"/>
      <c r="P5566" s="180"/>
      <c r="Q5566" s="154"/>
      <c r="R5566" s="248"/>
      <c r="S5566" s="249"/>
      <c r="T5566" s="249"/>
      <c r="U5566" s="152"/>
      <c r="V5566" s="153">
        <f>AVERAGE(P5545:P5565)</f>
        <v>16705.78947368421</v>
      </c>
      <c r="W5566" s="390"/>
      <c r="X5566" s="447">
        <f>AVERAGE(X5545:X5565)</f>
        <v>8.6016413895314745</v>
      </c>
    </row>
    <row r="5567" spans="1:24" ht="15" customHeight="1">
      <c r="A5567" s="3">
        <v>43586</v>
      </c>
      <c r="B5567" s="9">
        <v>22075</v>
      </c>
      <c r="C5567" s="5">
        <v>0</v>
      </c>
      <c r="D5567" s="5">
        <v>52350</v>
      </c>
      <c r="E5567" s="5">
        <v>74425</v>
      </c>
      <c r="F5567" s="4">
        <v>0</v>
      </c>
      <c r="G5567" s="5">
        <v>25</v>
      </c>
      <c r="H5567" s="5">
        <v>1500</v>
      </c>
      <c r="I5567" s="118">
        <f t="shared" si="710"/>
        <v>2.0154517971111858E-2</v>
      </c>
      <c r="J5567" s="5">
        <v>79697</v>
      </c>
      <c r="K5567" s="22">
        <v>1885.5</v>
      </c>
      <c r="L5567" s="6">
        <v>1904</v>
      </c>
      <c r="M5567" s="125">
        <f t="shared" si="711"/>
        <v>18.5</v>
      </c>
      <c r="Q5567" s="25">
        <f>172.49/1163.8</f>
        <v>0.14821275133184397</v>
      </c>
      <c r="W5567" s="285">
        <f t="shared" ref="W5567:W5584" si="720">(P5567*Q5567)*(1+U5567)</f>
        <v>0</v>
      </c>
      <c r="X5567" s="446"/>
    </row>
    <row r="5568" spans="1:24" ht="15" customHeight="1">
      <c r="A5568" s="3">
        <v>43587</v>
      </c>
      <c r="B5568" s="9">
        <v>22075</v>
      </c>
      <c r="C5568" s="5">
        <v>0</v>
      </c>
      <c r="D5568" s="5">
        <v>52350</v>
      </c>
      <c r="E5568" s="5">
        <v>74425</v>
      </c>
      <c r="F5568" s="4">
        <v>0</v>
      </c>
      <c r="G5568" s="5">
        <v>0</v>
      </c>
      <c r="H5568" s="5">
        <v>1500</v>
      </c>
      <c r="I5568" s="118">
        <f t="shared" si="710"/>
        <v>2.0154517971111858E-2</v>
      </c>
      <c r="J5568" s="5">
        <v>83398</v>
      </c>
      <c r="K5568" s="22">
        <v>1859</v>
      </c>
      <c r="L5568" s="6">
        <v>1871</v>
      </c>
      <c r="M5568" s="125">
        <f t="shared" si="711"/>
        <v>12</v>
      </c>
      <c r="Q5568" s="25">
        <f>172.75/1163.9</f>
        <v>0.14842340407251481</v>
      </c>
      <c r="W5568" s="285">
        <f t="shared" si="720"/>
        <v>0</v>
      </c>
    </row>
    <row r="5569" spans="1:24" ht="15" customHeight="1">
      <c r="A5569" s="3">
        <v>43588</v>
      </c>
      <c r="B5569" s="9">
        <v>22075</v>
      </c>
      <c r="C5569" s="5">
        <v>0</v>
      </c>
      <c r="D5569" s="5">
        <v>52325</v>
      </c>
      <c r="E5569" s="5">
        <v>74400</v>
      </c>
      <c r="F5569" s="4">
        <v>0</v>
      </c>
      <c r="G5569" s="5">
        <v>25</v>
      </c>
      <c r="H5569" s="5">
        <v>2700</v>
      </c>
      <c r="I5569" s="118">
        <f t="shared" si="710"/>
        <v>3.6290322580645164E-2</v>
      </c>
      <c r="J5569" s="5">
        <v>51328</v>
      </c>
      <c r="K5569" s="22">
        <v>1880</v>
      </c>
      <c r="L5569" s="6">
        <v>1894</v>
      </c>
      <c r="M5569" s="125">
        <f t="shared" si="711"/>
        <v>14</v>
      </c>
      <c r="Q5569" s="25">
        <f>172.75/1163.9</f>
        <v>0.14842340407251481</v>
      </c>
      <c r="W5569" s="285">
        <f t="shared" si="720"/>
        <v>0</v>
      </c>
    </row>
    <row r="5570" spans="1:24" ht="15" customHeight="1">
      <c r="A5570" s="3">
        <v>43591</v>
      </c>
      <c r="B5570" s="1318"/>
      <c r="C5570" s="1318"/>
      <c r="D5570" s="1318"/>
      <c r="E5570" s="1318"/>
      <c r="F5570" s="1318"/>
      <c r="G5570" s="1318"/>
      <c r="H5570" s="1318"/>
      <c r="I5570" s="1318"/>
      <c r="J5570" s="1318"/>
      <c r="K5570" s="1318"/>
      <c r="L5570" s="1318"/>
      <c r="M5570" s="1318"/>
      <c r="P5570" s="247">
        <v>16445</v>
      </c>
      <c r="Q5570" s="25">
        <f>173.48/1169.4</f>
        <v>0.14834958098170001</v>
      </c>
      <c r="W5570" s="285">
        <f t="shared" si="720"/>
        <v>2439.6088592440565</v>
      </c>
    </row>
    <row r="5571" spans="1:24" ht="15" customHeight="1">
      <c r="A5571" s="3">
        <v>43592</v>
      </c>
      <c r="B5571" s="9">
        <v>21950</v>
      </c>
      <c r="C5571" s="5">
        <v>0</v>
      </c>
      <c r="D5571" s="5">
        <v>52300</v>
      </c>
      <c r="E5571" s="5">
        <v>74250</v>
      </c>
      <c r="F5571" s="4">
        <v>0</v>
      </c>
      <c r="G5571" s="5">
        <v>150</v>
      </c>
      <c r="H5571" s="5">
        <v>2500</v>
      </c>
      <c r="I5571" s="118">
        <f t="shared" si="710"/>
        <v>3.3670033670033669E-2</v>
      </c>
      <c r="J5571" s="5">
        <v>53150</v>
      </c>
      <c r="K5571" s="22">
        <v>1867</v>
      </c>
      <c r="L5571" s="6">
        <v>1878</v>
      </c>
      <c r="M5571" s="125">
        <f t="shared" si="711"/>
        <v>11</v>
      </c>
      <c r="P5571" s="247">
        <v>16440</v>
      </c>
      <c r="Q5571" s="25">
        <f>173.48/1169.4</f>
        <v>0.14834958098170001</v>
      </c>
      <c r="W5571" s="285">
        <f t="shared" si="720"/>
        <v>2438.8671113391483</v>
      </c>
      <c r="X5571" s="446">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18">
        <f t="shared" si="710"/>
        <v>3.638814016172507E-2</v>
      </c>
      <c r="J5572" s="5">
        <v>73680</v>
      </c>
      <c r="K5572" s="22">
        <v>1860</v>
      </c>
      <c r="L5572" s="6">
        <v>1868</v>
      </c>
      <c r="M5572" s="125">
        <f t="shared" si="711"/>
        <v>8</v>
      </c>
      <c r="P5572" s="247">
        <v>16450</v>
      </c>
      <c r="Q5572" s="25">
        <f>172.32/1169.9</f>
        <v>0.14729464056756986</v>
      </c>
      <c r="W5572" s="285">
        <f t="shared" si="720"/>
        <v>2422.9968373365241</v>
      </c>
      <c r="X5572" s="446">
        <f t="shared" si="721"/>
        <v>8.844086021505376</v>
      </c>
    </row>
    <row r="5573" spans="1:24" ht="15" customHeight="1">
      <c r="A5573" s="3">
        <v>43594</v>
      </c>
      <c r="B5573" s="9">
        <v>21950</v>
      </c>
      <c r="C5573" s="5">
        <v>0</v>
      </c>
      <c r="D5573" s="5">
        <v>52125</v>
      </c>
      <c r="E5573" s="5">
        <v>74075</v>
      </c>
      <c r="F5573" s="4">
        <v>0</v>
      </c>
      <c r="G5573" s="5">
        <v>125</v>
      </c>
      <c r="H5573" s="5">
        <v>2575</v>
      </c>
      <c r="I5573" s="118">
        <f t="shared" si="710"/>
        <v>3.4762065474181571E-2</v>
      </c>
      <c r="J5573" s="5">
        <v>67229</v>
      </c>
      <c r="K5573" s="22">
        <v>1855</v>
      </c>
      <c r="L5573" s="6">
        <v>1866</v>
      </c>
      <c r="M5573" s="125">
        <f t="shared" si="711"/>
        <v>11</v>
      </c>
      <c r="P5573" s="247">
        <v>16310</v>
      </c>
      <c r="Q5573" s="25">
        <f>172.19/1175.8</f>
        <v>0.14644497363497194</v>
      </c>
      <c r="W5573" s="285">
        <f t="shared" si="720"/>
        <v>2388.5175199863925</v>
      </c>
      <c r="X5573" s="446">
        <f t="shared" si="721"/>
        <v>8.7924528301886795</v>
      </c>
    </row>
    <row r="5574" spans="1:24" ht="15" customHeight="1">
      <c r="A5574" s="3">
        <v>43595</v>
      </c>
      <c r="B5574" s="9">
        <v>21950</v>
      </c>
      <c r="C5574" s="5">
        <v>0</v>
      </c>
      <c r="D5574" s="5">
        <v>51975</v>
      </c>
      <c r="E5574" s="5">
        <v>73925</v>
      </c>
      <c r="F5574" s="4">
        <v>0</v>
      </c>
      <c r="G5574" s="5">
        <v>150</v>
      </c>
      <c r="H5574" s="5">
        <v>2725</v>
      </c>
      <c r="I5574" s="118">
        <f t="shared" si="710"/>
        <v>3.68616841393304E-2</v>
      </c>
      <c r="J5574" s="5">
        <v>56763</v>
      </c>
      <c r="K5574" s="22">
        <v>1823</v>
      </c>
      <c r="L5574" s="6">
        <v>1836</v>
      </c>
      <c r="M5574" s="125">
        <f t="shared" si="711"/>
        <v>13</v>
      </c>
      <c r="P5574" s="247">
        <v>16285</v>
      </c>
      <c r="Q5574" s="25">
        <f>172.36/1178.1</f>
        <v>0.14630336983278161</v>
      </c>
      <c r="W5574" s="285">
        <f t="shared" si="720"/>
        <v>2382.5503777268486</v>
      </c>
      <c r="X5574" s="446">
        <f t="shared" si="721"/>
        <v>8.933077345035656</v>
      </c>
    </row>
    <row r="5575" spans="1:24" ht="15" customHeight="1">
      <c r="A5575" s="3">
        <v>43598</v>
      </c>
      <c r="B5575" s="9">
        <v>21950</v>
      </c>
      <c r="C5575" s="5">
        <v>0</v>
      </c>
      <c r="D5575" s="5">
        <v>51850</v>
      </c>
      <c r="E5575" s="5">
        <v>73800</v>
      </c>
      <c r="F5575" s="4">
        <v>0</v>
      </c>
      <c r="G5575" s="5">
        <v>125</v>
      </c>
      <c r="H5575" s="5">
        <v>3350</v>
      </c>
      <c r="I5575" s="118">
        <f t="shared" si="710"/>
        <v>4.5392953929539293E-2</v>
      </c>
      <c r="J5575" s="5">
        <v>70435</v>
      </c>
      <c r="K5575" s="22">
        <v>1785</v>
      </c>
      <c r="L5575" s="6">
        <v>1803</v>
      </c>
      <c r="M5575" s="125">
        <f t="shared" si="711"/>
        <v>18</v>
      </c>
      <c r="P5575" s="247">
        <v>16140</v>
      </c>
      <c r="Q5575" s="25">
        <f>171.84/1183.1</f>
        <v>0.14524554137435552</v>
      </c>
      <c r="W5575" s="285">
        <f t="shared" si="720"/>
        <v>2344.2630377820983</v>
      </c>
      <c r="X5575" s="446">
        <f t="shared" si="721"/>
        <v>9.0420168067226889</v>
      </c>
    </row>
    <row r="5576" spans="1:24" ht="15" customHeight="1">
      <c r="A5576" s="3">
        <v>43599</v>
      </c>
      <c r="B5576" s="9">
        <v>21850</v>
      </c>
      <c r="C5576" s="5">
        <v>0</v>
      </c>
      <c r="D5576" s="5">
        <v>51750</v>
      </c>
      <c r="E5576" s="5">
        <v>73600</v>
      </c>
      <c r="F5576" s="4">
        <v>0</v>
      </c>
      <c r="G5576" s="5">
        <v>200</v>
      </c>
      <c r="H5576" s="5">
        <v>3225</v>
      </c>
      <c r="I5576" s="118">
        <f t="shared" si="710"/>
        <v>4.3817934782608696E-2</v>
      </c>
      <c r="J5576" s="5">
        <v>69692</v>
      </c>
      <c r="K5576" s="22">
        <v>1768</v>
      </c>
      <c r="L5576" s="6">
        <v>1788</v>
      </c>
      <c r="M5576" s="125">
        <f t="shared" si="711"/>
        <v>20</v>
      </c>
      <c r="P5576" s="247">
        <v>15915</v>
      </c>
      <c r="Q5576" s="25">
        <f>172.14/1187</f>
        <v>0.14502106149957875</v>
      </c>
      <c r="W5576" s="285">
        <f t="shared" si="720"/>
        <v>2308.0101937657955</v>
      </c>
      <c r="X5576" s="446">
        <f t="shared" si="721"/>
        <v>9.0016968325791851</v>
      </c>
    </row>
    <row r="5577" spans="1:24" ht="15" customHeight="1">
      <c r="A5577" s="3">
        <v>43600</v>
      </c>
      <c r="B5577" s="9">
        <v>21700</v>
      </c>
      <c r="C5577" s="5">
        <v>0</v>
      </c>
      <c r="D5577" s="5">
        <v>52000</v>
      </c>
      <c r="E5577" s="5">
        <v>73700</v>
      </c>
      <c r="F5577" s="4">
        <v>100</v>
      </c>
      <c r="G5577" s="5">
        <v>0</v>
      </c>
      <c r="H5577" s="5">
        <v>3000</v>
      </c>
      <c r="I5577" s="118">
        <f t="shared" si="710"/>
        <v>4.0705563093622797E-2</v>
      </c>
      <c r="J5577" s="5">
        <v>49047</v>
      </c>
      <c r="K5577" s="22">
        <v>1780</v>
      </c>
      <c r="L5577" s="6">
        <v>1798</v>
      </c>
      <c r="M5577" s="125">
        <f t="shared" si="711"/>
        <v>18</v>
      </c>
      <c r="P5577" s="247">
        <v>16110</v>
      </c>
      <c r="Q5577" s="25">
        <f>172.23/1189.4</f>
        <v>0.14480410290902973</v>
      </c>
      <c r="W5577" s="285">
        <f t="shared" si="720"/>
        <v>2332.7940978644688</v>
      </c>
      <c r="X5577" s="446">
        <f t="shared" si="721"/>
        <v>9.0505617977528097</v>
      </c>
    </row>
    <row r="5578" spans="1:24" ht="15" customHeight="1">
      <c r="A5578" s="3">
        <v>43601</v>
      </c>
      <c r="B5578" s="9">
        <v>21600</v>
      </c>
      <c r="C5578" s="5">
        <v>0</v>
      </c>
      <c r="D5578" s="5">
        <v>51900</v>
      </c>
      <c r="E5578" s="5">
        <v>73500</v>
      </c>
      <c r="F5578" s="4">
        <v>0</v>
      </c>
      <c r="G5578" s="5">
        <v>200</v>
      </c>
      <c r="H5578" s="5">
        <v>3100</v>
      </c>
      <c r="I5578" s="118">
        <f t="shared" si="710"/>
        <v>4.2176870748299317E-2</v>
      </c>
      <c r="J5578" s="5">
        <v>42279</v>
      </c>
      <c r="K5578" s="22">
        <v>1826</v>
      </c>
      <c r="L5578" s="6">
        <v>1835.5</v>
      </c>
      <c r="M5578" s="125">
        <f t="shared" si="711"/>
        <v>9.5</v>
      </c>
      <c r="P5578" s="247">
        <v>16235</v>
      </c>
      <c r="Q5578" s="25">
        <f>172.07/1189.8</f>
        <v>0.14462094469658765</v>
      </c>
      <c r="W5578" s="285">
        <f t="shared" si="720"/>
        <v>2347.9210371491004</v>
      </c>
      <c r="X5578" s="446">
        <f t="shared" si="721"/>
        <v>8.8910186199342824</v>
      </c>
    </row>
    <row r="5579" spans="1:24" ht="15" customHeight="1">
      <c r="A5579" s="3">
        <v>43602</v>
      </c>
      <c r="B5579" s="9">
        <v>21600</v>
      </c>
      <c r="C5579" s="5">
        <v>0</v>
      </c>
      <c r="D5579" s="5">
        <v>51800</v>
      </c>
      <c r="E5579" s="5">
        <v>73400</v>
      </c>
      <c r="F5579" s="4">
        <v>0</v>
      </c>
      <c r="G5579" s="5">
        <v>100</v>
      </c>
      <c r="H5579" s="5">
        <v>4400</v>
      </c>
      <c r="I5579" s="118">
        <f t="shared" si="710"/>
        <v>5.9945504087193457E-2</v>
      </c>
      <c r="J5579" s="5">
        <v>48911</v>
      </c>
      <c r="K5579" s="22">
        <v>1809</v>
      </c>
      <c r="L5579" s="6">
        <v>1824</v>
      </c>
      <c r="M5579" s="125">
        <f t="shared" si="711"/>
        <v>15</v>
      </c>
      <c r="P5579" s="247">
        <v>16275</v>
      </c>
      <c r="Q5579" s="25">
        <f>171.99/1192.7</f>
        <v>0.14420223023392303</v>
      </c>
      <c r="W5579" s="285">
        <f t="shared" si="720"/>
        <v>2346.8912970570973</v>
      </c>
      <c r="X5579" s="446">
        <f t="shared" si="721"/>
        <v>8.996683250414593</v>
      </c>
    </row>
    <row r="5580" spans="1:24" ht="15" customHeight="1">
      <c r="A5580" s="3">
        <v>43605</v>
      </c>
      <c r="B5580" s="9">
        <v>21600</v>
      </c>
      <c r="C5580" s="5">
        <v>0</v>
      </c>
      <c r="D5580" s="5">
        <v>51700</v>
      </c>
      <c r="E5580" s="5">
        <v>73300</v>
      </c>
      <c r="F5580" s="4">
        <v>0</v>
      </c>
      <c r="G5580" s="5">
        <v>100</v>
      </c>
      <c r="H5580" s="5">
        <v>4700</v>
      </c>
      <c r="I5580" s="118">
        <f t="shared" si="710"/>
        <v>6.4120054570259211E-2</v>
      </c>
      <c r="J5580" s="5">
        <v>30650</v>
      </c>
      <c r="K5580" s="22">
        <v>1797</v>
      </c>
      <c r="L5580" s="6">
        <v>1810</v>
      </c>
      <c r="M5580" s="125">
        <f t="shared" si="711"/>
        <v>13</v>
      </c>
      <c r="P5580" s="247">
        <v>16235</v>
      </c>
      <c r="Q5580" s="25">
        <f>172.04/1192.9</f>
        <v>0.14421996814485705</v>
      </c>
      <c r="W5580" s="285">
        <f t="shared" si="720"/>
        <v>2341.4111828317541</v>
      </c>
      <c r="X5580" s="446">
        <f t="shared" si="721"/>
        <v>9.034501947690595</v>
      </c>
    </row>
    <row r="5581" spans="1:24" ht="15" customHeight="1">
      <c r="A5581" s="3">
        <v>43606</v>
      </c>
      <c r="B5581" s="9">
        <v>21600</v>
      </c>
      <c r="C5581" s="5">
        <v>0</v>
      </c>
      <c r="D5581" s="5">
        <v>51675</v>
      </c>
      <c r="E5581" s="5">
        <v>73275</v>
      </c>
      <c r="F5581" s="4">
        <v>0</v>
      </c>
      <c r="G5581" s="5">
        <v>25</v>
      </c>
      <c r="H5581" s="5">
        <v>7325</v>
      </c>
      <c r="I5581" s="118">
        <f t="shared" si="710"/>
        <v>9.9965881951552371E-2</v>
      </c>
      <c r="J5581" s="5">
        <v>30104</v>
      </c>
      <c r="K5581" s="22">
        <v>1795.5</v>
      </c>
      <c r="L5581" s="6">
        <v>1813</v>
      </c>
      <c r="M5581" s="125">
        <f t="shared" si="711"/>
        <v>17.5</v>
      </c>
      <c r="P5581" s="247">
        <v>16015</v>
      </c>
      <c r="Q5581" s="25">
        <f>172.22/1193.3</f>
        <v>0.14432246710801977</v>
      </c>
      <c r="W5581" s="285">
        <f t="shared" si="720"/>
        <v>2311.3243107349367</v>
      </c>
      <c r="X5581" s="446">
        <f t="shared" si="721"/>
        <v>8.9195210247841832</v>
      </c>
    </row>
    <row r="5582" spans="1:24" ht="15" customHeight="1">
      <c r="A5582" s="3">
        <v>43607</v>
      </c>
      <c r="B5582" s="9">
        <v>21600</v>
      </c>
      <c r="C5582" s="5">
        <v>0</v>
      </c>
      <c r="D5582" s="5">
        <v>51425</v>
      </c>
      <c r="E5582" s="5">
        <v>73025</v>
      </c>
      <c r="F5582" s="4">
        <v>0</v>
      </c>
      <c r="G5582" s="5">
        <v>250</v>
      </c>
      <c r="H5582" s="5">
        <v>7525</v>
      </c>
      <c r="I5582" s="118">
        <f t="shared" si="710"/>
        <v>0.1030469017459774</v>
      </c>
      <c r="J5582" s="5">
        <v>49522</v>
      </c>
      <c r="K5582" s="22">
        <v>1787</v>
      </c>
      <c r="L5582" s="6">
        <v>1804</v>
      </c>
      <c r="M5582" s="125">
        <f t="shared" si="711"/>
        <v>17</v>
      </c>
      <c r="P5582" s="247">
        <v>16205</v>
      </c>
      <c r="Q5582" s="25">
        <f>172.33/1194.6</f>
        <v>0.14425749204754731</v>
      </c>
      <c r="W5582" s="285">
        <f t="shared" si="720"/>
        <v>2337.6926586305044</v>
      </c>
      <c r="X5582" s="446">
        <f t="shared" si="721"/>
        <v>9.0682708449916056</v>
      </c>
    </row>
    <row r="5583" spans="1:24" ht="15" customHeight="1">
      <c r="A5583" s="3">
        <v>43608</v>
      </c>
      <c r="B5583" s="9">
        <v>21600</v>
      </c>
      <c r="C5583" s="5">
        <v>0</v>
      </c>
      <c r="D5583" s="5">
        <v>51175</v>
      </c>
      <c r="E5583" s="5">
        <v>72775</v>
      </c>
      <c r="F5583" s="4">
        <v>0</v>
      </c>
      <c r="G5583" s="5">
        <v>250</v>
      </c>
      <c r="H5583" s="5">
        <v>7475</v>
      </c>
      <c r="I5583" s="118">
        <f t="shared" si="710"/>
        <v>0.10271384403984885</v>
      </c>
      <c r="J5583" s="5">
        <v>55539</v>
      </c>
      <c r="K5583" s="22">
        <v>1781</v>
      </c>
      <c r="L5583" s="6">
        <v>1794</v>
      </c>
      <c r="M5583" s="125">
        <f t="shared" si="711"/>
        <v>13</v>
      </c>
      <c r="P5583" s="247">
        <v>16255</v>
      </c>
      <c r="Q5583" s="25">
        <f>171.1/1191.2</f>
        <v>0.14363666890530558</v>
      </c>
      <c r="W5583" s="285">
        <f t="shared" si="720"/>
        <v>2334.8140530557421</v>
      </c>
      <c r="X5583" s="446">
        <f t="shared" si="721"/>
        <v>9.1268950028074123</v>
      </c>
    </row>
    <row r="5584" spans="1:24" ht="15" customHeight="1">
      <c r="A5584" s="3">
        <v>43609</v>
      </c>
      <c r="B5584" s="9">
        <v>21600</v>
      </c>
      <c r="C5584" s="5">
        <v>0</v>
      </c>
      <c r="D5584" s="5">
        <v>50875</v>
      </c>
      <c r="E5584" s="5">
        <v>72475</v>
      </c>
      <c r="F5584" s="4">
        <v>0</v>
      </c>
      <c r="G5584" s="5">
        <v>300</v>
      </c>
      <c r="H5584" s="5">
        <v>7175</v>
      </c>
      <c r="I5584" s="118">
        <f t="shared" si="710"/>
        <v>9.8999655053466709E-2</v>
      </c>
      <c r="J5584" s="5">
        <v>38845</v>
      </c>
      <c r="K5584" s="22">
        <v>1816.5</v>
      </c>
      <c r="L5584" s="6">
        <v>1830</v>
      </c>
      <c r="M5584" s="125">
        <f t="shared" si="711"/>
        <v>13.5</v>
      </c>
      <c r="P5584" s="247">
        <v>16385</v>
      </c>
      <c r="Q5584" s="25">
        <f>171.74/1189.6</f>
        <v>0.14436785474108946</v>
      </c>
      <c r="W5584" s="285">
        <f t="shared" si="720"/>
        <v>2365.4672999327508</v>
      </c>
      <c r="X5584" s="446">
        <f t="shared" si="721"/>
        <v>9.0200935865675742</v>
      </c>
    </row>
    <row r="5585" spans="1:24" ht="15" customHeight="1">
      <c r="A5585" s="3">
        <v>43612</v>
      </c>
      <c r="B5585" s="1318"/>
      <c r="C5585" s="1318"/>
      <c r="D5585" s="1318"/>
      <c r="E5585" s="1318"/>
      <c r="F5585" s="1318"/>
      <c r="G5585" s="1318"/>
      <c r="H5585" s="1318"/>
      <c r="I5585" s="1318"/>
      <c r="J5585" s="1318"/>
      <c r="K5585" s="1318"/>
      <c r="L5585" s="1318"/>
      <c r="M5585" s="1318"/>
      <c r="P5585" s="247">
        <v>16365</v>
      </c>
      <c r="Q5585" s="25">
        <f>171.37/1184.1</f>
        <v>0.14472595219998313</v>
      </c>
      <c r="W5585" s="285">
        <f t="shared" ref="W5585" si="722">(P5585*Q5585)*(1+U5585)</f>
        <v>2368.4402077527238</v>
      </c>
      <c r="X5585" s="446"/>
    </row>
    <row r="5586" spans="1:24" ht="15" customHeight="1">
      <c r="A5586" s="3">
        <v>43613</v>
      </c>
      <c r="B5586" s="9">
        <v>21250</v>
      </c>
      <c r="C5586" s="5">
        <v>0</v>
      </c>
      <c r="D5586" s="5">
        <v>50425</v>
      </c>
      <c r="E5586" s="5">
        <v>71675</v>
      </c>
      <c r="F5586" s="4">
        <v>0</v>
      </c>
      <c r="G5586" s="5">
        <v>800</v>
      </c>
      <c r="H5586" s="5">
        <v>6675</v>
      </c>
      <c r="I5586" s="118">
        <f t="shared" si="710"/>
        <v>9.3128705964422742E-2</v>
      </c>
      <c r="J5586" s="5">
        <v>44712</v>
      </c>
      <c r="K5586" s="22">
        <v>1809</v>
      </c>
      <c r="L5586" s="6">
        <v>1825</v>
      </c>
      <c r="M5586" s="125">
        <f t="shared" ref="M5586:M5589" si="723">L5586-K5586</f>
        <v>16</v>
      </c>
      <c r="P5586" s="247">
        <v>16235</v>
      </c>
      <c r="Q5586" s="25">
        <f>171.76/1187.6</f>
        <v>0.14462782081508926</v>
      </c>
      <c r="W5586" s="285">
        <f t="shared" ref="W5586:W5589" si="724">(P5586*Q5586)*(1+U5586)</f>
        <v>2348.0326709329743</v>
      </c>
      <c r="X5586" s="446">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18">
        <f t="shared" si="710"/>
        <v>8.3627381792519412E-2</v>
      </c>
      <c r="J5587" s="5">
        <v>58553</v>
      </c>
      <c r="K5587" s="22">
        <v>1798</v>
      </c>
      <c r="L5587" s="6">
        <v>1810</v>
      </c>
      <c r="M5587" s="125">
        <f t="shared" si="723"/>
        <v>12</v>
      </c>
      <c r="P5587" s="247">
        <v>16180</v>
      </c>
      <c r="Q5587" s="25">
        <f>172.29/1193.1</f>
        <v>0.14440533065124467</v>
      </c>
      <c r="W5587" s="285">
        <f t="shared" si="724"/>
        <v>2336.4782499371386</v>
      </c>
      <c r="X5587" s="446">
        <f t="shared" si="725"/>
        <v>8.9988876529477189</v>
      </c>
    </row>
    <row r="5588" spans="1:24" ht="15" customHeight="1">
      <c r="A5588" s="3">
        <v>43615</v>
      </c>
      <c r="B5588" s="9">
        <v>21100</v>
      </c>
      <c r="C5588" s="5">
        <v>0</v>
      </c>
      <c r="D5588" s="5">
        <v>49250</v>
      </c>
      <c r="E5588" s="5">
        <v>70350</v>
      </c>
      <c r="F5588" s="4">
        <v>0</v>
      </c>
      <c r="G5588" s="5">
        <v>500</v>
      </c>
      <c r="H5588" s="5">
        <v>5850</v>
      </c>
      <c r="I5588" s="118">
        <f t="shared" si="710"/>
        <v>8.3155650319829424E-2</v>
      </c>
      <c r="J5588" s="5">
        <v>54237</v>
      </c>
      <c r="K5588" s="22">
        <v>1797.5</v>
      </c>
      <c r="L5588" s="6">
        <v>1812.5</v>
      </c>
      <c r="M5588" s="125">
        <f t="shared" si="723"/>
        <v>15</v>
      </c>
      <c r="P5588" s="247">
        <v>16325</v>
      </c>
      <c r="Q5588" s="25">
        <f>171.77/1190</f>
        <v>0.14434453781512607</v>
      </c>
      <c r="W5588" s="285">
        <f t="shared" si="724"/>
        <v>2356.424579831933</v>
      </c>
      <c r="X5588" s="446">
        <f t="shared" si="725"/>
        <v>9.0820584144645338</v>
      </c>
    </row>
    <row r="5589" spans="1:24" ht="15" customHeight="1">
      <c r="A5589" s="3">
        <v>43616</v>
      </c>
      <c r="B5589" s="9">
        <v>20700</v>
      </c>
      <c r="C5589" s="5">
        <v>0</v>
      </c>
      <c r="D5589" s="5">
        <v>49000</v>
      </c>
      <c r="E5589" s="5">
        <v>69700</v>
      </c>
      <c r="F5589" s="4">
        <v>0</v>
      </c>
      <c r="G5589" s="5">
        <v>650</v>
      </c>
      <c r="H5589" s="5">
        <v>7625</v>
      </c>
      <c r="I5589" s="118">
        <f t="shared" si="710"/>
        <v>0.10939741750358679</v>
      </c>
      <c r="J5589" s="5">
        <v>44055</v>
      </c>
      <c r="K5589" s="22">
        <v>1782.5</v>
      </c>
      <c r="L5589" s="6">
        <v>1799.5</v>
      </c>
      <c r="M5589" s="125">
        <f t="shared" si="723"/>
        <v>17</v>
      </c>
      <c r="N5589" s="381">
        <f>AVERAGE($K$5567:K5589)</f>
        <v>1817.2142857142858</v>
      </c>
      <c r="O5589" s="395">
        <f>AVERAGE($K$5478:K5589)</f>
        <v>1974.9759615384614</v>
      </c>
      <c r="P5589" s="247">
        <v>16215</v>
      </c>
      <c r="Q5589" s="25">
        <f>171.75/1191.2</f>
        <v>0.14418233713901948</v>
      </c>
      <c r="W5589" s="285">
        <f t="shared" si="724"/>
        <v>2337.9165967092008</v>
      </c>
      <c r="X5589" s="446">
        <f t="shared" si="725"/>
        <v>9.0967741935483879</v>
      </c>
    </row>
    <row r="5590" spans="1:24" ht="15" customHeight="1" thickBot="1">
      <c r="A5590" s="216"/>
      <c r="B5590" s="394"/>
      <c r="C5590" s="394"/>
      <c r="D5590" s="394"/>
      <c r="E5590" s="216"/>
      <c r="F5590" s="407"/>
      <c r="G5590" s="164"/>
      <c r="H5590" s="164"/>
      <c r="I5590" s="164"/>
      <c r="J5590" s="166"/>
      <c r="K5590" s="166"/>
      <c r="L5590" s="167"/>
      <c r="M5590" s="167"/>
      <c r="N5590" s="167"/>
      <c r="O5590" s="167"/>
      <c r="P5590" s="180"/>
      <c r="Q5590" s="154"/>
      <c r="R5590" s="248"/>
      <c r="S5590" s="249"/>
      <c r="T5590" s="249"/>
      <c r="U5590" s="152"/>
      <c r="V5590" s="153">
        <f>AVERAGE(P5567:P5589)</f>
        <v>16251</v>
      </c>
      <c r="W5590" s="390"/>
      <c r="X5590" s="447">
        <f>AVERAGE(X5567:X5589)</f>
        <v>8.9821521217943499</v>
      </c>
    </row>
    <row r="5591" spans="1:24" ht="15" customHeight="1">
      <c r="A5591" s="3">
        <v>43619</v>
      </c>
      <c r="B5591" s="9">
        <v>20600</v>
      </c>
      <c r="C5591" s="5">
        <v>0</v>
      </c>
      <c r="D5591" s="5">
        <v>48800</v>
      </c>
      <c r="E5591" s="5">
        <v>69400</v>
      </c>
      <c r="F5591" s="4">
        <v>0</v>
      </c>
      <c r="G5591" s="5">
        <v>300</v>
      </c>
      <c r="H5591" s="5">
        <v>7525</v>
      </c>
      <c r="I5591" s="118">
        <f t="shared" si="710"/>
        <v>0.10842939481268012</v>
      </c>
      <c r="J5591" s="5">
        <v>61619</v>
      </c>
      <c r="K5591" s="22">
        <v>1791</v>
      </c>
      <c r="L5591" s="6">
        <v>1799</v>
      </c>
      <c r="M5591" s="125">
        <f t="shared" ref="M5591:M5594" si="726">L5591-K5591</f>
        <v>8</v>
      </c>
      <c r="P5591" s="247">
        <v>16195</v>
      </c>
      <c r="Q5591" s="25">
        <f>170.6/1183</f>
        <v>0.14420963651732882</v>
      </c>
      <c r="W5591" s="285">
        <f t="shared" ref="W5591:W5603" si="727">(P5591*Q5591)*(1+U5591)</f>
        <v>2335.4750633981403</v>
      </c>
      <c r="X5591" s="446">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18">
        <f t="shared" si="710"/>
        <v>0.10850757029560201</v>
      </c>
      <c r="J5592" s="5">
        <v>72623</v>
      </c>
      <c r="K5592" s="22">
        <v>1834</v>
      </c>
      <c r="L5592" s="6">
        <v>1836</v>
      </c>
      <c r="M5592" s="125">
        <f t="shared" si="726"/>
        <v>2</v>
      </c>
      <c r="P5592" s="247">
        <v>16075</v>
      </c>
      <c r="Q5592" s="25">
        <f>170.77/1181.5</f>
        <v>0.1445366060093102</v>
      </c>
      <c r="W5592" s="285">
        <f t="shared" si="727"/>
        <v>2323.4259415996617</v>
      </c>
      <c r="X5592" s="446">
        <f t="shared" si="728"/>
        <v>8.7649945474372952</v>
      </c>
    </row>
    <row r="5593" spans="1:24" ht="15" customHeight="1">
      <c r="A5593" s="3">
        <v>43621</v>
      </c>
      <c r="B5593" s="9">
        <v>19150</v>
      </c>
      <c r="C5593" s="5">
        <v>0</v>
      </c>
      <c r="D5593" s="5">
        <v>48725</v>
      </c>
      <c r="E5593" s="5">
        <v>67875</v>
      </c>
      <c r="F5593" s="4">
        <v>0</v>
      </c>
      <c r="G5593" s="5">
        <v>1475</v>
      </c>
      <c r="H5593" s="5">
        <v>6825</v>
      </c>
      <c r="I5593" s="118">
        <f t="shared" si="710"/>
        <v>0.10055248618784531</v>
      </c>
      <c r="J5593" s="5">
        <v>84050</v>
      </c>
      <c r="K5593" s="22">
        <v>1881.5</v>
      </c>
      <c r="L5593" s="6">
        <v>1865.5</v>
      </c>
      <c r="M5593" s="125">
        <f t="shared" si="726"/>
        <v>-16</v>
      </c>
      <c r="P5593" s="247">
        <v>16105</v>
      </c>
      <c r="Q5593" s="25">
        <f>170.77/1181.5</f>
        <v>0.1445366060093102</v>
      </c>
      <c r="W5593" s="285">
        <f t="shared" si="727"/>
        <v>2327.762039779941</v>
      </c>
      <c r="X5593" s="446">
        <f t="shared" si="728"/>
        <v>8.5596598458676585</v>
      </c>
    </row>
    <row r="5594" spans="1:24" ht="15" customHeight="1">
      <c r="A5594" s="3">
        <v>43622</v>
      </c>
      <c r="B5594" s="9">
        <v>17875</v>
      </c>
      <c r="C5594" s="5">
        <v>0</v>
      </c>
      <c r="D5594" s="5">
        <v>48675</v>
      </c>
      <c r="E5594" s="5">
        <v>66550</v>
      </c>
      <c r="F5594" s="4">
        <v>0</v>
      </c>
      <c r="G5594" s="5">
        <f>E5593-E5594</f>
        <v>1325</v>
      </c>
      <c r="H5594" s="5">
        <v>5600</v>
      </c>
      <c r="I5594" s="118">
        <f t="shared" si="710"/>
        <v>8.414725770097671E-2</v>
      </c>
      <c r="J5594" s="5">
        <v>71451</v>
      </c>
      <c r="K5594" s="22">
        <v>1945</v>
      </c>
      <c r="L5594" s="6">
        <v>1904</v>
      </c>
      <c r="M5594" s="125">
        <f t="shared" si="726"/>
        <v>-41</v>
      </c>
      <c r="P5594" s="247">
        <v>16105</v>
      </c>
      <c r="Q5594" s="25">
        <f>170.35/1179.8</f>
        <v>0.1443888794710968</v>
      </c>
      <c r="W5594" s="285">
        <f t="shared" si="727"/>
        <v>2325.382903882014</v>
      </c>
      <c r="X5594" s="446">
        <f t="shared" si="728"/>
        <v>8.2802056555269932</v>
      </c>
    </row>
    <row r="5595" spans="1:24" ht="15" customHeight="1">
      <c r="A5595" s="3">
        <v>43623</v>
      </c>
      <c r="B5595" s="9">
        <v>17875</v>
      </c>
      <c r="C5595" s="5">
        <v>0</v>
      </c>
      <c r="D5595" s="5">
        <v>48650</v>
      </c>
      <c r="E5595" s="5">
        <v>66525</v>
      </c>
      <c r="F5595" s="4">
        <v>0</v>
      </c>
      <c r="G5595" s="5">
        <v>25</v>
      </c>
      <c r="H5595" s="5">
        <v>3725</v>
      </c>
      <c r="I5595" s="118">
        <f t="shared" si="710"/>
        <v>5.5993987222848554E-2</v>
      </c>
      <c r="J5595" s="5">
        <v>89439</v>
      </c>
      <c r="K5595" s="22">
        <v>1837</v>
      </c>
      <c r="L5595" s="6">
        <v>1840</v>
      </c>
      <c r="M5595" s="125">
        <f t="shared" ref="M5595:M5610" si="729">L5595-K5595</f>
        <v>3</v>
      </c>
      <c r="P5595" s="247">
        <v>16105</v>
      </c>
      <c r="Q5595" s="25">
        <f>170.09/1179.5</f>
        <v>0.14420517168291649</v>
      </c>
      <c r="W5595" s="285">
        <f t="shared" si="727"/>
        <v>2322.4242899533701</v>
      </c>
      <c r="X5595" s="446">
        <f t="shared" si="728"/>
        <v>8.7670114316820911</v>
      </c>
    </row>
    <row r="5596" spans="1:24" ht="15" customHeight="1">
      <c r="A5596" s="3">
        <v>43626</v>
      </c>
      <c r="B5596" s="9">
        <v>18775</v>
      </c>
      <c r="C5596" s="5">
        <v>0</v>
      </c>
      <c r="D5596" s="5">
        <v>48525</v>
      </c>
      <c r="E5596" s="5">
        <v>67300</v>
      </c>
      <c r="F5596" s="4">
        <v>900</v>
      </c>
      <c r="G5596" s="5">
        <v>125</v>
      </c>
      <c r="H5596" s="5">
        <v>2375</v>
      </c>
      <c r="I5596" s="118">
        <f t="shared" si="710"/>
        <v>3.5289747399702823E-2</v>
      </c>
      <c r="J5596" s="5">
        <v>84005</v>
      </c>
      <c r="K5596" s="22">
        <v>1888</v>
      </c>
      <c r="L5596" s="6">
        <v>1865</v>
      </c>
      <c r="M5596" s="125">
        <f t="shared" si="729"/>
        <v>-23</v>
      </c>
      <c r="P5596" s="247">
        <v>16235</v>
      </c>
      <c r="Q5596" s="25">
        <f>170.22/1184</f>
        <v>0.1437668918918919</v>
      </c>
      <c r="W5596" s="285">
        <f t="shared" si="727"/>
        <v>2334.0554898648652</v>
      </c>
      <c r="X5596" s="446">
        <f t="shared" si="728"/>
        <v>8.5990466101694913</v>
      </c>
    </row>
    <row r="5597" spans="1:24" ht="15" customHeight="1">
      <c r="A5597" s="3">
        <v>43627</v>
      </c>
      <c r="B5597" s="9">
        <v>18975</v>
      </c>
      <c r="C5597" s="5">
        <v>0</v>
      </c>
      <c r="D5597" s="5">
        <v>48500</v>
      </c>
      <c r="E5597" s="5">
        <v>67475</v>
      </c>
      <c r="F5597" s="4">
        <v>200</v>
      </c>
      <c r="G5597" s="5">
        <v>25</v>
      </c>
      <c r="H5597" s="5">
        <v>2325</v>
      </c>
      <c r="I5597" s="118">
        <f t="shared" si="710"/>
        <v>3.4457206372730642E-2</v>
      </c>
      <c r="J5597" s="5">
        <v>72558</v>
      </c>
      <c r="K5597" s="22">
        <v>1949</v>
      </c>
      <c r="L5597" s="6">
        <v>1905.5</v>
      </c>
      <c r="M5597" s="125">
        <f t="shared" si="729"/>
        <v>-43.5</v>
      </c>
      <c r="P5597" s="247">
        <v>16225</v>
      </c>
      <c r="Q5597" s="25">
        <f>170.47/1181.7</f>
        <v>0.14425827198104424</v>
      </c>
      <c r="W5597" s="285">
        <f t="shared" si="727"/>
        <v>2340.5904628924427</v>
      </c>
      <c r="X5597" s="446">
        <f t="shared" si="728"/>
        <v>8.3247819394561322</v>
      </c>
    </row>
    <row r="5598" spans="1:24" ht="15" customHeight="1">
      <c r="A5598" s="3">
        <v>43628</v>
      </c>
      <c r="B5598" s="9">
        <v>19825</v>
      </c>
      <c r="C5598" s="5">
        <v>0</v>
      </c>
      <c r="D5598" s="5">
        <v>48375</v>
      </c>
      <c r="E5598" s="5">
        <v>68200</v>
      </c>
      <c r="F5598" s="4">
        <v>850</v>
      </c>
      <c r="G5598" s="5">
        <v>125</v>
      </c>
      <c r="H5598" s="5">
        <v>1800</v>
      </c>
      <c r="I5598" s="118">
        <f t="shared" si="710"/>
        <v>2.6392961876832845E-2</v>
      </c>
      <c r="J5598" s="5">
        <v>80519</v>
      </c>
      <c r="K5598" s="22">
        <v>1918</v>
      </c>
      <c r="L5598" s="6">
        <v>1883.5</v>
      </c>
      <c r="M5598" s="125">
        <f t="shared" si="729"/>
        <v>-34.5</v>
      </c>
      <c r="P5598" s="247">
        <v>16080</v>
      </c>
      <c r="Q5598" s="25">
        <f>170.61/1181.7</f>
        <v>0.14437674536684439</v>
      </c>
      <c r="W5598" s="285">
        <f t="shared" si="727"/>
        <v>2321.578065498858</v>
      </c>
      <c r="X5598" s="446">
        <f t="shared" si="728"/>
        <v>8.3837330552659015</v>
      </c>
    </row>
    <row r="5599" spans="1:24" ht="15" customHeight="1">
      <c r="A5599" s="3">
        <v>43629</v>
      </c>
      <c r="B5599" s="9">
        <v>19800</v>
      </c>
      <c r="C5599" s="5">
        <v>0</v>
      </c>
      <c r="D5599" s="5">
        <v>48275</v>
      </c>
      <c r="E5599" s="5">
        <v>68075</v>
      </c>
      <c r="F5599" s="4">
        <v>0</v>
      </c>
      <c r="G5599" s="5">
        <v>125</v>
      </c>
      <c r="H5599" s="5">
        <v>1675</v>
      </c>
      <c r="I5599" s="118">
        <f t="shared" si="710"/>
        <v>2.4605214836577304E-2</v>
      </c>
      <c r="J5599" s="5">
        <v>55920</v>
      </c>
      <c r="K5599" s="22">
        <v>1903</v>
      </c>
      <c r="L5599" s="6">
        <v>1894.5</v>
      </c>
      <c r="M5599" s="125">
        <f t="shared" si="729"/>
        <v>-8.5</v>
      </c>
      <c r="P5599" s="247">
        <v>16110</v>
      </c>
      <c r="Q5599" s="25">
        <f>171.09/1184.7</f>
        <v>0.14441630792605722</v>
      </c>
      <c r="W5599" s="285">
        <f t="shared" si="727"/>
        <v>2326.546720688782</v>
      </c>
      <c r="X5599" s="446">
        <f t="shared" si="728"/>
        <v>8.4655806621124547</v>
      </c>
    </row>
    <row r="5600" spans="1:24" ht="15" customHeight="1">
      <c r="A5600" s="3">
        <v>43630</v>
      </c>
      <c r="B5600" s="9">
        <v>19800</v>
      </c>
      <c r="C5600" s="5">
        <v>0</v>
      </c>
      <c r="D5600" s="5">
        <v>48150</v>
      </c>
      <c r="E5600" s="5">
        <v>67950</v>
      </c>
      <c r="F5600" s="4">
        <v>0</v>
      </c>
      <c r="G5600" s="5">
        <v>125</v>
      </c>
      <c r="H5600" s="5">
        <v>1800</v>
      </c>
      <c r="I5600" s="118">
        <f t="shared" si="710"/>
        <v>2.6490066225165563E-2</v>
      </c>
      <c r="J5600" s="5">
        <v>54376</v>
      </c>
      <c r="K5600" s="22">
        <v>1882</v>
      </c>
      <c r="L5600" s="6">
        <v>1876.5</v>
      </c>
      <c r="M5600" s="125">
        <f t="shared" si="729"/>
        <v>-5.5</v>
      </c>
      <c r="P5600" s="247">
        <v>16170</v>
      </c>
      <c r="Q5600" s="25">
        <f>170.74/1184</f>
        <v>0.1442060810810811</v>
      </c>
      <c r="W5600" s="285">
        <f t="shared" si="727"/>
        <v>2331.8123310810815</v>
      </c>
      <c r="X5600" s="446">
        <f t="shared" si="728"/>
        <v>8.5919234856535596</v>
      </c>
    </row>
    <row r="5601" spans="1:24" ht="15" customHeight="1">
      <c r="A5601" s="3">
        <v>43633</v>
      </c>
      <c r="B5601" s="9">
        <v>20050</v>
      </c>
      <c r="C5601" s="5">
        <v>0</v>
      </c>
      <c r="D5601" s="5">
        <v>48075</v>
      </c>
      <c r="E5601" s="5">
        <v>68125</v>
      </c>
      <c r="F5601" s="4">
        <v>250</v>
      </c>
      <c r="G5601" s="5">
        <v>75</v>
      </c>
      <c r="H5601" s="5">
        <v>3925</v>
      </c>
      <c r="I5601" s="118">
        <f t="shared" si="710"/>
        <v>5.7614678899082568E-2</v>
      </c>
      <c r="J5601" s="5">
        <v>37015</v>
      </c>
      <c r="K5601" s="22">
        <v>1873.5</v>
      </c>
      <c r="L5601" s="6">
        <v>1871.5</v>
      </c>
      <c r="M5601" s="125">
        <f t="shared" si="729"/>
        <v>-2</v>
      </c>
      <c r="P5601" s="247">
        <v>16065</v>
      </c>
      <c r="Q5601" s="25">
        <f>171.15/1186.3</f>
        <v>0.14427210654977662</v>
      </c>
      <c r="W5601" s="285">
        <f t="shared" si="727"/>
        <v>2317.7313917221613</v>
      </c>
      <c r="X5601" s="446">
        <f t="shared" si="728"/>
        <v>8.5748598879103284</v>
      </c>
    </row>
    <row r="5602" spans="1:24" ht="15" customHeight="1">
      <c r="A5602" s="3">
        <v>43634</v>
      </c>
      <c r="B5602" s="9">
        <v>19900</v>
      </c>
      <c r="C5602" s="5">
        <v>0</v>
      </c>
      <c r="D5602" s="5">
        <v>47975</v>
      </c>
      <c r="E5602" s="5">
        <v>67875</v>
      </c>
      <c r="F5602" s="4">
        <v>0</v>
      </c>
      <c r="G5602" s="5">
        <v>250</v>
      </c>
      <c r="H5602" s="5">
        <v>3675</v>
      </c>
      <c r="I5602" s="118">
        <f t="shared" si="710"/>
        <v>5.4143646408839778E-2</v>
      </c>
      <c r="J5602" s="5">
        <v>65225</v>
      </c>
      <c r="K5602" s="22">
        <v>1886</v>
      </c>
      <c r="L5602" s="6">
        <v>1892</v>
      </c>
      <c r="M5602" s="125">
        <f t="shared" si="729"/>
        <v>6</v>
      </c>
      <c r="P5602" s="247">
        <v>16175</v>
      </c>
      <c r="Q5602" s="25">
        <f>170.88/1185</f>
        <v>0.14420253164556962</v>
      </c>
      <c r="W5602" s="285">
        <f t="shared" si="727"/>
        <v>2332.4759493670886</v>
      </c>
      <c r="X5602" s="446">
        <f t="shared" si="728"/>
        <v>8.5763520678685055</v>
      </c>
    </row>
    <row r="5603" spans="1:24" ht="15" customHeight="1">
      <c r="A5603" s="3">
        <v>43635</v>
      </c>
      <c r="B5603" s="9">
        <v>19775</v>
      </c>
      <c r="C5603" s="5">
        <v>0</v>
      </c>
      <c r="D5603" s="5">
        <v>47950</v>
      </c>
      <c r="E5603" s="5">
        <v>67725</v>
      </c>
      <c r="F5603" s="4">
        <v>0</v>
      </c>
      <c r="G5603" s="5">
        <v>150</v>
      </c>
      <c r="H5603" s="5">
        <v>18550</v>
      </c>
      <c r="I5603" s="118">
        <f t="shared" si="710"/>
        <v>0.27390180878552972</v>
      </c>
      <c r="J5603" s="5">
        <v>51558</v>
      </c>
      <c r="K5603" s="22">
        <v>1897</v>
      </c>
      <c r="L5603" s="6">
        <v>1898</v>
      </c>
      <c r="M5603" s="125">
        <f t="shared" si="729"/>
        <v>1</v>
      </c>
      <c r="P5603" s="247">
        <v>16195</v>
      </c>
      <c r="Q5603" s="25">
        <f>170.4/1177</f>
        <v>0.1447748513169074</v>
      </c>
      <c r="W5603" s="285">
        <f t="shared" si="727"/>
        <v>2344.6287170773153</v>
      </c>
      <c r="X5603" s="446">
        <f t="shared" si="728"/>
        <v>8.537163943068002</v>
      </c>
    </row>
    <row r="5604" spans="1:24" ht="15" customHeight="1">
      <c r="A5604" s="3">
        <v>43636</v>
      </c>
      <c r="B5604" s="9">
        <v>19700</v>
      </c>
      <c r="C5604" s="5">
        <v>0</v>
      </c>
      <c r="D5604" s="5">
        <v>47875</v>
      </c>
      <c r="E5604" s="5">
        <v>67575</v>
      </c>
      <c r="F5604" s="4">
        <v>0</v>
      </c>
      <c r="G5604" s="5">
        <v>150</v>
      </c>
      <c r="H5604" s="5">
        <v>20900</v>
      </c>
      <c r="I5604" s="118">
        <f t="shared" si="710"/>
        <v>0.30928597854236034</v>
      </c>
      <c r="J5604" s="5">
        <v>57437</v>
      </c>
      <c r="K5604" s="22">
        <v>1916</v>
      </c>
      <c r="L5604" s="6">
        <v>1921</v>
      </c>
      <c r="M5604" s="125">
        <f t="shared" si="729"/>
        <v>5</v>
      </c>
      <c r="P5604" s="247"/>
      <c r="Q5604" s="25">
        <f>169.62/1167.7</f>
        <v>0.14525991264879679</v>
      </c>
      <c r="W5604" s="285">
        <f t="shared" ref="W5604:W5610" si="730">(P5604*Q5604)*(1+U5604)</f>
        <v>0</v>
      </c>
      <c r="X5604" s="446"/>
    </row>
    <row r="5605" spans="1:24" ht="15" customHeight="1">
      <c r="A5605" s="3">
        <v>43637</v>
      </c>
      <c r="B5605" s="9">
        <v>19600</v>
      </c>
      <c r="C5605" s="5">
        <v>0</v>
      </c>
      <c r="D5605" s="5">
        <v>47775</v>
      </c>
      <c r="E5605" s="5">
        <v>67375</v>
      </c>
      <c r="F5605" s="4">
        <v>0</v>
      </c>
      <c r="G5605" s="5">
        <v>200</v>
      </c>
      <c r="H5605" s="5">
        <v>20700</v>
      </c>
      <c r="I5605" s="118">
        <f t="shared" si="710"/>
        <v>0.30723562152133582</v>
      </c>
      <c r="J5605" s="5">
        <v>38636</v>
      </c>
      <c r="K5605" s="22">
        <v>1894</v>
      </c>
      <c r="L5605" s="6">
        <v>1897.5</v>
      </c>
      <c r="M5605" s="125">
        <f t="shared" si="729"/>
        <v>3.5</v>
      </c>
      <c r="P5605" s="247"/>
      <c r="Q5605" s="25">
        <f>169.47/1162</f>
        <v>0.14584337349397591</v>
      </c>
      <c r="W5605" s="285">
        <f t="shared" si="730"/>
        <v>0</v>
      </c>
      <c r="X5605" s="446"/>
    </row>
    <row r="5606" spans="1:24" ht="15" customHeight="1">
      <c r="A5606" s="3">
        <v>43640</v>
      </c>
      <c r="B5606" s="9">
        <v>19600</v>
      </c>
      <c r="C5606" s="5">
        <v>0</v>
      </c>
      <c r="D5606" s="5">
        <v>47750</v>
      </c>
      <c r="E5606" s="5">
        <v>67350</v>
      </c>
      <c r="F5606" s="4">
        <v>0</v>
      </c>
      <c r="G5606" s="5">
        <v>25</v>
      </c>
      <c r="H5606" s="5">
        <v>20975</v>
      </c>
      <c r="I5606" s="118">
        <f t="shared" si="710"/>
        <v>0.31143281365998515</v>
      </c>
      <c r="J5606" s="5">
        <v>34271</v>
      </c>
      <c r="K5606" s="22">
        <v>1887.5</v>
      </c>
      <c r="L5606" s="6">
        <v>1897</v>
      </c>
      <c r="M5606" s="125">
        <f t="shared" si="729"/>
        <v>9.5</v>
      </c>
      <c r="P5606" s="247">
        <v>16000</v>
      </c>
      <c r="Q5606" s="25">
        <f>168.36/1157.9</f>
        <v>0.14540115726746697</v>
      </c>
      <c r="W5606" s="285">
        <f t="shared" si="730"/>
        <v>2326.4185162794715</v>
      </c>
      <c r="X5606" s="446">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18">
        <f t="shared" si="710"/>
        <v>0.31700074239049741</v>
      </c>
      <c r="J5607" s="5">
        <v>42639</v>
      </c>
      <c r="K5607" s="22">
        <v>1901.5</v>
      </c>
      <c r="L5607" s="6">
        <v>1909.5</v>
      </c>
      <c r="M5607" s="125">
        <f t="shared" si="729"/>
        <v>8</v>
      </c>
      <c r="P5607" s="247">
        <v>16200</v>
      </c>
      <c r="Q5607" s="25">
        <f>167.85/1154.7</f>
        <v>0.14536243180046765</v>
      </c>
      <c r="W5607" s="285">
        <f t="shared" si="730"/>
        <v>2354.8713951675759</v>
      </c>
      <c r="X5607" s="446">
        <f t="shared" si="731"/>
        <v>8.5195897975282673</v>
      </c>
    </row>
    <row r="5608" spans="1:24" ht="15" customHeight="1">
      <c r="A5608" s="3">
        <v>43642</v>
      </c>
      <c r="B5608" s="9">
        <v>19425</v>
      </c>
      <c r="C5608" s="5">
        <v>0</v>
      </c>
      <c r="D5608" s="5">
        <v>47725</v>
      </c>
      <c r="E5608" s="5">
        <v>67150</v>
      </c>
      <c r="F5608" s="4">
        <v>0</v>
      </c>
      <c r="G5608" s="5">
        <v>200</v>
      </c>
      <c r="H5608" s="5">
        <v>21300</v>
      </c>
      <c r="I5608" s="118">
        <f t="shared" si="710"/>
        <v>0.31720029784065523</v>
      </c>
      <c r="J5608" s="5">
        <v>40986</v>
      </c>
      <c r="K5608" s="22">
        <v>1919.5</v>
      </c>
      <c r="L5608" s="6">
        <v>1930</v>
      </c>
      <c r="M5608" s="125">
        <f t="shared" si="729"/>
        <v>10.5</v>
      </c>
      <c r="P5608" s="247">
        <v>16200</v>
      </c>
      <c r="Q5608" s="25">
        <f>168.21/1158.2</f>
        <v>0.14523398376791574</v>
      </c>
      <c r="W5608" s="285">
        <f t="shared" si="730"/>
        <v>2352.790537040235</v>
      </c>
      <c r="X5608" s="446">
        <f t="shared" si="731"/>
        <v>8.43969783797864</v>
      </c>
    </row>
    <row r="5609" spans="1:24" ht="15" customHeight="1">
      <c r="A5609" s="3">
        <v>43643</v>
      </c>
      <c r="B5609" s="9">
        <v>19125</v>
      </c>
      <c r="C5609" s="5">
        <v>0</v>
      </c>
      <c r="D5609" s="5">
        <v>47525</v>
      </c>
      <c r="E5609" s="5">
        <v>66650</v>
      </c>
      <c r="F5609" s="4">
        <v>0</v>
      </c>
      <c r="G5609" s="5">
        <v>500</v>
      </c>
      <c r="H5609" s="5">
        <v>21000</v>
      </c>
      <c r="I5609" s="118">
        <f t="shared" si="710"/>
        <v>0.3150787696924231</v>
      </c>
      <c r="J5609" s="5">
        <v>48638</v>
      </c>
      <c r="K5609" s="22">
        <v>1912.5</v>
      </c>
      <c r="L5609" s="6">
        <v>1927</v>
      </c>
      <c r="M5609" s="125">
        <f t="shared" si="729"/>
        <v>14.5</v>
      </c>
      <c r="P5609" s="247">
        <v>16095</v>
      </c>
      <c r="Q5609" s="25">
        <f>168.08/1156.8</f>
        <v>0.14529737206085755</v>
      </c>
      <c r="W5609" s="285">
        <f t="shared" si="730"/>
        <v>2338.5612033195021</v>
      </c>
      <c r="X5609" s="446">
        <f t="shared" si="731"/>
        <v>8.4156862745098042</v>
      </c>
    </row>
    <row r="5610" spans="1:24" ht="15" customHeight="1">
      <c r="A5610" s="3">
        <v>43644</v>
      </c>
      <c r="B5610" s="9">
        <v>19125</v>
      </c>
      <c r="C5610" s="5">
        <v>0</v>
      </c>
      <c r="D5610" s="5">
        <v>47050</v>
      </c>
      <c r="E5610" s="5">
        <v>66175</v>
      </c>
      <c r="F5610" s="4">
        <v>0</v>
      </c>
      <c r="G5610" s="5">
        <v>475</v>
      </c>
      <c r="H5610" s="5">
        <v>20525</v>
      </c>
      <c r="I5610" s="118">
        <f t="shared" si="710"/>
        <v>0.31016244805440119</v>
      </c>
      <c r="J5610" s="5">
        <v>48127</v>
      </c>
      <c r="K5610" s="22">
        <v>1914</v>
      </c>
      <c r="L5610" s="6">
        <v>1927</v>
      </c>
      <c r="M5610" s="125">
        <f t="shared" si="729"/>
        <v>13</v>
      </c>
      <c r="N5610" s="381">
        <f>AVERAGE($K$5591:K5610)</f>
        <v>1891.5</v>
      </c>
      <c r="O5610" s="395">
        <f>AVERAGE($K$5478:K5610)</f>
        <v>1961.5120967741937</v>
      </c>
      <c r="P5610" s="247">
        <v>16000</v>
      </c>
      <c r="Q5610" s="25">
        <f>168.31/1156.4</f>
        <v>0.14554652369422344</v>
      </c>
      <c r="W5610" s="285">
        <f t="shared" si="730"/>
        <v>2328.7443791075752</v>
      </c>
      <c r="X5610" s="446">
        <f t="shared" si="731"/>
        <v>8.3594566353187041</v>
      </c>
    </row>
    <row r="5611" spans="1:24" ht="15" customHeight="1" thickBot="1">
      <c r="A5611" s="216"/>
      <c r="B5611" s="394"/>
      <c r="C5611" s="394"/>
      <c r="D5611" s="394"/>
      <c r="E5611" s="216"/>
      <c r="F5611" s="407"/>
      <c r="G5611" s="164"/>
      <c r="H5611" s="164"/>
      <c r="I5611" s="164"/>
      <c r="J5611" s="166"/>
      <c r="K5611" s="166"/>
      <c r="L5611" s="167"/>
      <c r="M5611" s="167"/>
      <c r="N5611" s="167"/>
      <c r="O5611" s="167"/>
      <c r="P5611" s="180"/>
      <c r="Q5611" s="154"/>
      <c r="R5611" s="248"/>
      <c r="S5611" s="249"/>
      <c r="T5611" s="249"/>
      <c r="U5611" s="152"/>
      <c r="V5611" s="153">
        <f>AVERAGE(P5591:P5610)</f>
        <v>16129.722222222223</v>
      </c>
      <c r="W5611" s="390"/>
      <c r="X5611" s="447">
        <f>AVERAGE(X5591:X5610)</f>
        <v>8.5377221813111106</v>
      </c>
    </row>
    <row r="5612" spans="1:24" ht="15" customHeight="1">
      <c r="A5612" s="3">
        <v>43647</v>
      </c>
      <c r="B5612" s="9">
        <v>19050</v>
      </c>
      <c r="C5612" s="5">
        <v>0</v>
      </c>
      <c r="D5612" s="5">
        <v>46700</v>
      </c>
      <c r="E5612" s="5">
        <v>65750</v>
      </c>
      <c r="F5612" s="4">
        <v>0</v>
      </c>
      <c r="G5612" s="5">
        <v>425</v>
      </c>
      <c r="H5612" s="5">
        <v>21100</v>
      </c>
      <c r="I5612" s="118">
        <f t="shared" si="710"/>
        <v>0.32091254752851711</v>
      </c>
      <c r="J5612" s="5">
        <v>52298</v>
      </c>
      <c r="K5612" s="22">
        <v>1922.5</v>
      </c>
      <c r="L5612" s="6">
        <v>1934.5</v>
      </c>
      <c r="M5612" s="125">
        <f t="shared" ref="M5612:M5634" si="732">L5612-K5612</f>
        <v>12</v>
      </c>
      <c r="N5612" s="247"/>
      <c r="O5612" s="247"/>
      <c r="P5612" s="247">
        <v>16075</v>
      </c>
      <c r="Q5612" s="25">
        <f>169.05/1155.4</f>
        <v>0.14631296520685477</v>
      </c>
      <c r="W5612" s="285">
        <f t="shared" ref="W5612:W5620" si="733">(P5612*Q5612)*(1+U5612)</f>
        <v>2351.9809157001905</v>
      </c>
      <c r="X5612" s="446">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18">
        <f t="shared" si="710"/>
        <v>0.30852713178294572</v>
      </c>
      <c r="J5613" s="5">
        <v>60823</v>
      </c>
      <c r="K5613" s="22">
        <v>1877</v>
      </c>
      <c r="L5613" s="6">
        <v>1895</v>
      </c>
      <c r="M5613" s="125">
        <f t="shared" si="732"/>
        <v>18</v>
      </c>
      <c r="P5613" s="247">
        <v>16150</v>
      </c>
      <c r="Q5613" s="25">
        <f>169.86/1164.8</f>
        <v>0.1458276098901099</v>
      </c>
      <c r="W5613" s="285">
        <f t="shared" si="733"/>
        <v>2355.1158997252751</v>
      </c>
      <c r="X5613" s="446">
        <f t="shared" si="734"/>
        <v>8.6041555673947787</v>
      </c>
    </row>
    <row r="5614" spans="1:24" ht="15" customHeight="1">
      <c r="A5614" s="3">
        <v>43649</v>
      </c>
      <c r="B5614" s="9">
        <v>18800</v>
      </c>
      <c r="C5614" s="5">
        <v>0</v>
      </c>
      <c r="D5614" s="5">
        <v>45450</v>
      </c>
      <c r="E5614" s="5">
        <v>64250</v>
      </c>
      <c r="F5614" s="4">
        <v>0</v>
      </c>
      <c r="G5614" s="5">
        <v>250</v>
      </c>
      <c r="H5614" s="5">
        <v>21400</v>
      </c>
      <c r="I5614" s="118">
        <f t="shared" si="710"/>
        <v>0.33307392996108948</v>
      </c>
      <c r="J5614" s="5">
        <v>58653</v>
      </c>
      <c r="K5614" s="22">
        <v>1874</v>
      </c>
      <c r="L5614" s="6">
        <v>1885</v>
      </c>
      <c r="M5614" s="125">
        <f t="shared" si="732"/>
        <v>11</v>
      </c>
      <c r="P5614" s="247">
        <v>16025</v>
      </c>
      <c r="Q5614" s="25">
        <f>169.99/1170.4</f>
        <v>0.14524094326725906</v>
      </c>
      <c r="R5614" s="402">
        <v>1164.8</v>
      </c>
      <c r="U5614" s="401"/>
      <c r="V5614" s="402"/>
      <c r="W5614" s="285">
        <f t="shared" si="733"/>
        <v>2327.4861158578265</v>
      </c>
      <c r="X5614" s="446">
        <f t="shared" si="734"/>
        <v>8.5512273212379935</v>
      </c>
    </row>
    <row r="5615" spans="1:24" ht="15" customHeight="1">
      <c r="A5615" s="3">
        <v>43650</v>
      </c>
      <c r="B5615" s="9">
        <v>19100</v>
      </c>
      <c r="C5615" s="5">
        <v>0</v>
      </c>
      <c r="D5615" s="5">
        <v>45225</v>
      </c>
      <c r="E5615" s="5">
        <v>64325</v>
      </c>
      <c r="F5615" s="4">
        <v>300</v>
      </c>
      <c r="G5615" s="5">
        <v>225</v>
      </c>
      <c r="H5615" s="5">
        <v>21275</v>
      </c>
      <c r="I5615" s="118">
        <f t="shared" si="710"/>
        <v>0.33074232413525068</v>
      </c>
      <c r="J5615" s="5">
        <v>50297</v>
      </c>
      <c r="K5615" s="22">
        <v>1875.5</v>
      </c>
      <c r="L5615" s="6">
        <v>1890</v>
      </c>
      <c r="M5615" s="125">
        <f t="shared" si="732"/>
        <v>14.5</v>
      </c>
      <c r="P5615" s="247">
        <v>16000</v>
      </c>
      <c r="Q5615" s="25">
        <f>170.17/1169.2</f>
        <v>0.14554396168320216</v>
      </c>
      <c r="W5615" s="285">
        <f t="shared" si="733"/>
        <v>2328.7033869312345</v>
      </c>
      <c r="X5615" s="446">
        <f t="shared" si="734"/>
        <v>8.5310583844308177</v>
      </c>
    </row>
    <row r="5616" spans="1:24" ht="15" customHeight="1">
      <c r="A5616" s="3">
        <v>43651</v>
      </c>
      <c r="B5616" s="9">
        <v>19025</v>
      </c>
      <c r="C5616" s="5">
        <v>0</v>
      </c>
      <c r="D5616" s="5">
        <v>45025</v>
      </c>
      <c r="E5616" s="5">
        <f>B5616+D5616</f>
        <v>64050</v>
      </c>
      <c r="F5616" s="4" t="s">
        <v>59</v>
      </c>
      <c r="G5616" s="5">
        <v>275</v>
      </c>
      <c r="H5616" s="5">
        <v>21000</v>
      </c>
      <c r="I5616" s="118">
        <f t="shared" si="710"/>
        <v>0.32786885245901637</v>
      </c>
      <c r="J5616" s="5">
        <v>38395</v>
      </c>
      <c r="K5616" s="22">
        <v>1863</v>
      </c>
      <c r="L5616" s="6">
        <v>1871</v>
      </c>
      <c r="M5616" s="125">
        <f t="shared" si="732"/>
        <v>8</v>
      </c>
      <c r="P5616" s="247">
        <v>15975</v>
      </c>
      <c r="Q5616" s="25">
        <f>170.1/1170.4</f>
        <v>0.14533492822966507</v>
      </c>
      <c r="W5616" s="285">
        <f t="shared" si="733"/>
        <v>2321.7254784688994</v>
      </c>
      <c r="X5616" s="446">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18">
        <f t="shared" si="710"/>
        <v>0.377795213809337</v>
      </c>
      <c r="J5617" s="5">
        <v>48764</v>
      </c>
      <c r="K5617" s="22">
        <v>1884</v>
      </c>
      <c r="L5617" s="6">
        <v>1898</v>
      </c>
      <c r="M5617" s="125">
        <f t="shared" si="732"/>
        <v>14</v>
      </c>
      <c r="P5617" s="247">
        <v>15975</v>
      </c>
      <c r="Q5617" s="25">
        <f>171.04/1178.5</f>
        <v>0.14513364446330079</v>
      </c>
      <c r="W5617" s="285">
        <f t="shared" si="733"/>
        <v>2318.5099703012302</v>
      </c>
      <c r="X5617" s="446">
        <f t="shared" si="734"/>
        <v>8.4792993630573257</v>
      </c>
    </row>
    <row r="5618" spans="1:24" ht="15" customHeight="1">
      <c r="A5618" s="3">
        <v>43655</v>
      </c>
      <c r="B5618" s="9">
        <v>19025</v>
      </c>
      <c r="C5618" s="5">
        <v>0</v>
      </c>
      <c r="D5618" s="5">
        <v>44625</v>
      </c>
      <c r="E5618" s="5">
        <f t="shared" si="735"/>
        <v>63650</v>
      </c>
      <c r="F5618" s="4">
        <v>0</v>
      </c>
      <c r="G5618" s="5">
        <v>75</v>
      </c>
      <c r="H5618" s="5">
        <v>27000</v>
      </c>
      <c r="I5618" s="118">
        <f t="shared" si="710"/>
        <v>0.42419481539670073</v>
      </c>
      <c r="J5618" s="5">
        <v>64995</v>
      </c>
      <c r="K5618" s="22">
        <v>1901.5</v>
      </c>
      <c r="L5618" s="6">
        <v>1907.5</v>
      </c>
      <c r="M5618" s="125">
        <f t="shared" si="732"/>
        <v>6</v>
      </c>
      <c r="P5618" s="247">
        <v>15850</v>
      </c>
      <c r="Q5618" s="25">
        <f>171.32/1179.9</f>
        <v>0.14519874565641155</v>
      </c>
      <c r="W5618" s="285">
        <f t="shared" si="733"/>
        <v>2301.4001186541232</v>
      </c>
      <c r="X5618" s="446">
        <f t="shared" si="734"/>
        <v>8.3355245858532729</v>
      </c>
    </row>
    <row r="5619" spans="1:24" ht="15" customHeight="1">
      <c r="A5619" s="3">
        <v>43656</v>
      </c>
      <c r="B5619" s="9">
        <v>19025</v>
      </c>
      <c r="C5619" s="5">
        <v>0</v>
      </c>
      <c r="D5619" s="5">
        <v>44525</v>
      </c>
      <c r="E5619" s="5">
        <f t="shared" si="735"/>
        <v>63550</v>
      </c>
      <c r="F5619" s="4">
        <v>0</v>
      </c>
      <c r="G5619" s="5">
        <v>100</v>
      </c>
      <c r="H5619" s="5">
        <v>26900</v>
      </c>
      <c r="I5619" s="118">
        <f t="shared" si="710"/>
        <v>0.42328874901652241</v>
      </c>
      <c r="J5619" s="5">
        <v>87123</v>
      </c>
      <c r="K5619" s="22">
        <v>1955</v>
      </c>
      <c r="L5619" s="6">
        <v>1943.5</v>
      </c>
      <c r="M5619" s="125">
        <f t="shared" si="732"/>
        <v>-11.5</v>
      </c>
      <c r="P5619" s="247">
        <v>15850</v>
      </c>
      <c r="Q5619" s="25">
        <f>171.5/1181.4</f>
        <v>0.14516675131200268</v>
      </c>
      <c r="W5619" s="285">
        <f t="shared" si="733"/>
        <v>2300.8930082952425</v>
      </c>
      <c r="X5619" s="446">
        <f t="shared" si="734"/>
        <v>8.1074168797953963</v>
      </c>
    </row>
    <row r="5620" spans="1:24" ht="15" customHeight="1">
      <c r="A5620" s="3">
        <v>43657</v>
      </c>
      <c r="B5620" s="9">
        <v>19025</v>
      </c>
      <c r="C5620" s="5">
        <v>0</v>
      </c>
      <c r="D5620" s="5">
        <v>46325</v>
      </c>
      <c r="E5620" s="5">
        <f t="shared" si="735"/>
        <v>65350</v>
      </c>
      <c r="F5620" s="4">
        <v>1800</v>
      </c>
      <c r="G5620" s="4">
        <v>0</v>
      </c>
      <c r="H5620" s="5">
        <v>14325</v>
      </c>
      <c r="I5620" s="118">
        <f t="shared" ref="I5620:I5711" si="736">H5620/E5620</f>
        <v>0.21920428462127009</v>
      </c>
      <c r="J5620" s="5">
        <v>78993</v>
      </c>
      <c r="K5620" s="22">
        <v>1950</v>
      </c>
      <c r="L5620" s="6">
        <v>1953.5</v>
      </c>
      <c r="M5620" s="125">
        <f t="shared" si="732"/>
        <v>3.5</v>
      </c>
      <c r="P5620" s="247">
        <v>16050</v>
      </c>
      <c r="Q5620" s="25">
        <f>170.67/1173.8</f>
        <v>0.14539955699437723</v>
      </c>
      <c r="W5620" s="285">
        <f t="shared" si="733"/>
        <v>2333.6628897597548</v>
      </c>
      <c r="X5620" s="446">
        <f t="shared" si="734"/>
        <v>8.2307692307692299</v>
      </c>
    </row>
    <row r="5621" spans="1:24" ht="15" customHeight="1">
      <c r="A5621" s="3">
        <v>43658</v>
      </c>
      <c r="B5621" s="9">
        <v>18450</v>
      </c>
      <c r="C5621" s="5">
        <v>0</v>
      </c>
      <c r="D5621" s="5">
        <v>46325</v>
      </c>
      <c r="E5621" s="5">
        <f t="shared" si="735"/>
        <v>64775</v>
      </c>
      <c r="F5621" s="4">
        <v>0</v>
      </c>
      <c r="G5621" s="5">
        <v>575</v>
      </c>
      <c r="H5621" s="5">
        <v>13875</v>
      </c>
      <c r="I5621" s="118">
        <f t="shared" si="736"/>
        <v>0.21420301042068698</v>
      </c>
      <c r="J5621" s="5">
        <v>115196</v>
      </c>
      <c r="K5621" s="22">
        <v>1972</v>
      </c>
      <c r="L5621" s="6">
        <v>1976</v>
      </c>
      <c r="M5621" s="125">
        <f t="shared" si="732"/>
        <v>4</v>
      </c>
      <c r="P5621" s="247">
        <v>16050</v>
      </c>
      <c r="Q5621" s="25">
        <f>171.17/1177.3</f>
        <v>0.14539199864095811</v>
      </c>
      <c r="W5621" s="285">
        <f t="shared" ref="W5621:W5634" si="737">(P5621*Q5621)*(1+U5621)</f>
        <v>2333.5415781873776</v>
      </c>
      <c r="X5621" s="446">
        <f t="shared" si="734"/>
        <v>8.1389452332657193</v>
      </c>
    </row>
    <row r="5622" spans="1:24" ht="15" customHeight="1">
      <c r="A5622" s="3">
        <v>43661</v>
      </c>
      <c r="B5622" s="9">
        <v>18225</v>
      </c>
      <c r="C5622" s="5">
        <v>0</v>
      </c>
      <c r="D5622" s="5">
        <v>46325</v>
      </c>
      <c r="E5622" s="5">
        <f t="shared" si="735"/>
        <v>64550</v>
      </c>
      <c r="F5622" s="4">
        <v>0</v>
      </c>
      <c r="G5622" s="5">
        <v>225</v>
      </c>
      <c r="H5622" s="5">
        <v>13850</v>
      </c>
      <c r="I5622" s="118">
        <f t="shared" si="736"/>
        <v>0.21456235476374902</v>
      </c>
      <c r="J5622" s="5">
        <v>58049</v>
      </c>
      <c r="K5622" s="22">
        <v>1974.5</v>
      </c>
      <c r="L5622" s="6">
        <v>1979.5</v>
      </c>
      <c r="M5622" s="125">
        <f t="shared" si="732"/>
        <v>5</v>
      </c>
      <c r="P5622" s="247">
        <v>16000</v>
      </c>
      <c r="Q5622" s="25">
        <f>171.4/1179.2</f>
        <v>0.14535278154681139</v>
      </c>
      <c r="W5622" s="285">
        <f t="shared" si="737"/>
        <v>2325.6445047489824</v>
      </c>
      <c r="X5622" s="446">
        <f t="shared" si="734"/>
        <v>8.1033172955178525</v>
      </c>
    </row>
    <row r="5623" spans="1:24" ht="15" customHeight="1">
      <c r="A5623" s="3">
        <v>43662</v>
      </c>
      <c r="B5623" s="9">
        <v>17600</v>
      </c>
      <c r="C5623" s="5">
        <v>0</v>
      </c>
      <c r="D5623" s="5">
        <v>46075</v>
      </c>
      <c r="E5623" s="5">
        <f t="shared" si="735"/>
        <v>63675</v>
      </c>
      <c r="F5623" s="4">
        <v>0</v>
      </c>
      <c r="G5623" s="5">
        <v>875</v>
      </c>
      <c r="H5623" s="5">
        <v>13400</v>
      </c>
      <c r="I5623" s="118">
        <f t="shared" si="736"/>
        <v>0.21044365920691008</v>
      </c>
      <c r="J5623" s="5">
        <v>60711</v>
      </c>
      <c r="K5623" s="22">
        <v>1977.5</v>
      </c>
      <c r="L5623" s="6">
        <v>1987</v>
      </c>
      <c r="M5623" s="125">
        <f t="shared" si="732"/>
        <v>9.5</v>
      </c>
      <c r="P5623" s="247">
        <v>16125</v>
      </c>
      <c r="Q5623" s="25">
        <f>171.39/1178.5</f>
        <v>0.14543063215952481</v>
      </c>
      <c r="W5623" s="285">
        <f t="shared" si="737"/>
        <v>2345.0689435723375</v>
      </c>
      <c r="X5623" s="446">
        <f t="shared" si="734"/>
        <v>8.1542351453855879</v>
      </c>
    </row>
    <row r="5624" spans="1:24" ht="15" customHeight="1">
      <c r="A5624" s="3">
        <v>43663</v>
      </c>
      <c r="B5624" s="9">
        <v>17175</v>
      </c>
      <c r="C5624" s="5">
        <v>0</v>
      </c>
      <c r="D5624" s="5">
        <v>45900</v>
      </c>
      <c r="E5624" s="5">
        <f t="shared" si="735"/>
        <v>63075</v>
      </c>
      <c r="F5624" s="4">
        <v>0</v>
      </c>
      <c r="G5624" s="5">
        <v>600</v>
      </c>
      <c r="H5624" s="5">
        <v>12975</v>
      </c>
      <c r="I5624" s="118">
        <f t="shared" si="736"/>
        <v>0.2057074910820452</v>
      </c>
      <c r="J5624" s="5">
        <v>73699</v>
      </c>
      <c r="K5624" s="22">
        <v>1977.5</v>
      </c>
      <c r="L5624" s="6">
        <v>1987</v>
      </c>
      <c r="M5624" s="125">
        <f t="shared" si="732"/>
        <v>9.5</v>
      </c>
      <c r="P5624" s="247">
        <v>16250</v>
      </c>
      <c r="Q5624" s="25">
        <f>171.43/1180.4</f>
        <v>0.14523043036258895</v>
      </c>
      <c r="W5624" s="285">
        <f t="shared" si="737"/>
        <v>2359.9944933920706</v>
      </c>
      <c r="X5624" s="446">
        <f t="shared" si="734"/>
        <v>8.2174462705436149</v>
      </c>
    </row>
    <row r="5625" spans="1:24" ht="15" customHeight="1">
      <c r="A5625" s="3">
        <v>43664</v>
      </c>
      <c r="B5625" s="9">
        <v>16650</v>
      </c>
      <c r="C5625" s="5">
        <v>0</v>
      </c>
      <c r="D5625" s="5">
        <v>45650</v>
      </c>
      <c r="E5625" s="5">
        <v>62300</v>
      </c>
      <c r="F5625" s="4">
        <v>0</v>
      </c>
      <c r="G5625" s="5">
        <v>775</v>
      </c>
      <c r="H5625" s="5">
        <v>12975</v>
      </c>
      <c r="I5625" s="118">
        <f t="shared" si="736"/>
        <v>0.20826645264847513</v>
      </c>
      <c r="J5625" s="5">
        <v>71834</v>
      </c>
      <c r="K5625" s="22">
        <v>2020</v>
      </c>
      <c r="L5625" s="6">
        <v>2020</v>
      </c>
      <c r="M5625" s="125">
        <f t="shared" si="732"/>
        <v>0</v>
      </c>
      <c r="P5625" s="247">
        <v>16350</v>
      </c>
      <c r="Q5625" s="25">
        <f>171.27/1179.5</f>
        <v>0.14520559559135227</v>
      </c>
      <c r="W5625" s="285">
        <f t="shared" si="737"/>
        <v>2374.1114879186093</v>
      </c>
      <c r="X5625" s="446">
        <f t="shared" si="734"/>
        <v>8.0940594059405946</v>
      </c>
    </row>
    <row r="5626" spans="1:24" ht="15" customHeight="1">
      <c r="A5626" s="3">
        <v>43665</v>
      </c>
      <c r="B5626" s="9">
        <v>15975</v>
      </c>
      <c r="C5626" s="5">
        <v>0</v>
      </c>
      <c r="D5626" s="5">
        <v>45400</v>
      </c>
      <c r="E5626" s="5">
        <v>61375</v>
      </c>
      <c r="F5626" s="4">
        <v>0</v>
      </c>
      <c r="G5626" s="5">
        <v>925</v>
      </c>
      <c r="H5626" s="5">
        <v>12950</v>
      </c>
      <c r="I5626" s="118">
        <f t="shared" si="736"/>
        <v>0.21099796334012219</v>
      </c>
      <c r="J5626" s="5">
        <v>75770</v>
      </c>
      <c r="K5626" s="22">
        <v>2071.5</v>
      </c>
      <c r="L5626" s="6">
        <v>2077</v>
      </c>
      <c r="M5626" s="125">
        <f t="shared" si="732"/>
        <v>5.5</v>
      </c>
      <c r="P5626" s="247">
        <v>16475</v>
      </c>
      <c r="Q5626" s="25">
        <f>170.64/1173.4</f>
        <v>0.14542355547980226</v>
      </c>
      <c r="W5626" s="285">
        <f t="shared" si="737"/>
        <v>2395.8530765297423</v>
      </c>
      <c r="X5626" s="446">
        <f t="shared" si="734"/>
        <v>7.9531740284817767</v>
      </c>
    </row>
    <row r="5627" spans="1:24" ht="15" customHeight="1">
      <c r="A5627" s="3">
        <v>43668</v>
      </c>
      <c r="B5627" s="9">
        <v>15950</v>
      </c>
      <c r="C5627" s="5">
        <v>0</v>
      </c>
      <c r="D5627" s="5">
        <v>44925</v>
      </c>
      <c r="E5627" s="5">
        <v>60875</v>
      </c>
      <c r="F5627" s="4">
        <v>0</v>
      </c>
      <c r="G5627" s="5">
        <v>500</v>
      </c>
      <c r="H5627" s="5">
        <v>12450</v>
      </c>
      <c r="I5627" s="118">
        <f t="shared" si="736"/>
        <v>0.20451745379876796</v>
      </c>
      <c r="J5627" s="5">
        <v>70953</v>
      </c>
      <c r="K5627" s="22">
        <v>2001</v>
      </c>
      <c r="L5627" s="6">
        <v>2007</v>
      </c>
      <c r="M5627" s="125">
        <f t="shared" si="732"/>
        <v>6</v>
      </c>
      <c r="P5627" s="247">
        <v>16425</v>
      </c>
      <c r="Q5627" s="25">
        <f>171.08/1177.6</f>
        <v>0.14527853260869567</v>
      </c>
      <c r="W5627" s="285">
        <f t="shared" si="737"/>
        <v>2386.1998980978265</v>
      </c>
      <c r="X5627" s="446">
        <f t="shared" si="734"/>
        <v>8.2083958020989503</v>
      </c>
    </row>
    <row r="5628" spans="1:24" ht="15" customHeight="1">
      <c r="A5628" s="3">
        <v>43669</v>
      </c>
      <c r="B5628" s="9">
        <v>15850</v>
      </c>
      <c r="C5628" s="5">
        <v>0</v>
      </c>
      <c r="D5628" s="5">
        <v>42750</v>
      </c>
      <c r="E5628" s="5">
        <v>58600</v>
      </c>
      <c r="F5628" s="4">
        <v>0</v>
      </c>
      <c r="G5628" s="5">
        <v>2275</v>
      </c>
      <c r="H5628" s="5">
        <v>10275</v>
      </c>
      <c r="I5628" s="118">
        <f t="shared" si="736"/>
        <v>0.17534129692832764</v>
      </c>
      <c r="J5628" s="5">
        <v>42250</v>
      </c>
      <c r="K5628" s="22">
        <v>2024.5</v>
      </c>
      <c r="L5628" s="6">
        <v>2025</v>
      </c>
      <c r="M5628" s="125">
        <f t="shared" si="732"/>
        <v>0.5</v>
      </c>
      <c r="P5628" s="247">
        <v>16375</v>
      </c>
      <c r="Q5628" s="25">
        <f>171.19/1178.4</f>
        <v>0.14527325186693821</v>
      </c>
      <c r="W5628" s="285">
        <f t="shared" si="737"/>
        <v>2378.8494993211129</v>
      </c>
      <c r="X5628" s="446">
        <f t="shared" si="734"/>
        <v>8.088416893060014</v>
      </c>
    </row>
    <row r="5629" spans="1:24" ht="15" customHeight="1">
      <c r="A5629" s="3">
        <v>43670</v>
      </c>
      <c r="B5629" s="9">
        <v>14975</v>
      </c>
      <c r="C5629" s="5">
        <v>0</v>
      </c>
      <c r="D5629" s="5">
        <v>42450</v>
      </c>
      <c r="E5629" s="5">
        <v>57425</v>
      </c>
      <c r="F5629" s="4">
        <v>0</v>
      </c>
      <c r="G5629" s="5">
        <v>1175</v>
      </c>
      <c r="H5629" s="5">
        <v>11200</v>
      </c>
      <c r="I5629" s="118">
        <f t="shared" si="736"/>
        <v>0.19503700478885502</v>
      </c>
      <c r="J5629" s="5">
        <v>52090</v>
      </c>
      <c r="K5629" s="22">
        <v>2068</v>
      </c>
      <c r="L5629" s="6">
        <v>2062.5</v>
      </c>
      <c r="M5629" s="125">
        <f t="shared" si="732"/>
        <v>-5.5</v>
      </c>
      <c r="P5629" s="247">
        <v>16400</v>
      </c>
      <c r="Q5629" s="25">
        <f>171.11/1178.2</f>
        <v>0.14523001188253268</v>
      </c>
      <c r="W5629" s="285">
        <f t="shared" si="737"/>
        <v>2381.7721948735361</v>
      </c>
      <c r="X5629" s="446">
        <f t="shared" si="734"/>
        <v>7.9303675048355897</v>
      </c>
    </row>
    <row r="5630" spans="1:24" ht="15" customHeight="1">
      <c r="A5630" s="3">
        <v>43671</v>
      </c>
      <c r="B5630" s="9">
        <v>14375</v>
      </c>
      <c r="C5630" s="5">
        <v>0</v>
      </c>
      <c r="D5630" s="5">
        <v>41725</v>
      </c>
      <c r="E5630" s="5">
        <v>56100</v>
      </c>
      <c r="F5630" s="4">
        <v>0</v>
      </c>
      <c r="G5630" s="5">
        <v>1325</v>
      </c>
      <c r="H5630" s="5">
        <v>9875</v>
      </c>
      <c r="I5630" s="118">
        <f t="shared" si="736"/>
        <v>0.17602495543672014</v>
      </c>
      <c r="J5630" s="5">
        <v>53538</v>
      </c>
      <c r="K5630" s="22">
        <v>2123.5</v>
      </c>
      <c r="L5630" s="6">
        <v>2111</v>
      </c>
      <c r="M5630" s="125">
        <f t="shared" si="732"/>
        <v>-12.5</v>
      </c>
      <c r="P5630" s="247">
        <v>16575</v>
      </c>
      <c r="Q5630" s="25">
        <f>171.56/1179.8</f>
        <v>0.1454144770300051</v>
      </c>
      <c r="W5630" s="285">
        <f t="shared" si="737"/>
        <v>2410.2449567723343</v>
      </c>
      <c r="X5630" s="446">
        <f t="shared" si="734"/>
        <v>7.8055097716034849</v>
      </c>
    </row>
    <row r="5631" spans="1:24" ht="15" customHeight="1">
      <c r="A5631" s="3">
        <v>43672</v>
      </c>
      <c r="B5631" s="9">
        <v>14025</v>
      </c>
      <c r="C5631" s="5">
        <v>0</v>
      </c>
      <c r="D5631" s="5">
        <v>41450</v>
      </c>
      <c r="E5631" s="5">
        <v>55475</v>
      </c>
      <c r="F5631" s="4">
        <v>0</v>
      </c>
      <c r="G5631" s="5">
        <v>625</v>
      </c>
      <c r="H5631" s="5">
        <v>9250</v>
      </c>
      <c r="I5631" s="118">
        <f t="shared" si="736"/>
        <v>0.16674177557458314</v>
      </c>
      <c r="J5631" s="5">
        <v>56511</v>
      </c>
      <c r="K5631" s="22">
        <v>2075</v>
      </c>
      <c r="L5631" s="6">
        <v>2074.5</v>
      </c>
      <c r="M5631" s="125">
        <f t="shared" si="732"/>
        <v>-0.5</v>
      </c>
      <c r="P5631" s="247">
        <v>16700</v>
      </c>
      <c r="Q5631" s="25">
        <f>172.17/1184.2</f>
        <v>0.14538929234926531</v>
      </c>
      <c r="W5631" s="285">
        <f t="shared" si="737"/>
        <v>2428.0011822327306</v>
      </c>
      <c r="X5631" s="446">
        <f t="shared" si="734"/>
        <v>8.0481927710843379</v>
      </c>
    </row>
    <row r="5632" spans="1:24" ht="15" customHeight="1">
      <c r="A5632" s="3">
        <v>43675</v>
      </c>
      <c r="B5632" s="9">
        <v>13650</v>
      </c>
      <c r="C5632" s="5">
        <v>0</v>
      </c>
      <c r="D5632" s="5">
        <v>41825</v>
      </c>
      <c r="E5632" s="5">
        <v>55475</v>
      </c>
      <c r="F5632" s="4">
        <v>375</v>
      </c>
      <c r="G5632" s="5">
        <v>375</v>
      </c>
      <c r="H5632" s="5">
        <v>8800</v>
      </c>
      <c r="I5632" s="118">
        <f t="shared" si="736"/>
        <v>0.15863001351960343</v>
      </c>
      <c r="J5632" s="5">
        <v>59484</v>
      </c>
      <c r="K5632" s="22">
        <v>2030</v>
      </c>
      <c r="L5632" s="6">
        <v>2035</v>
      </c>
      <c r="M5632" s="125">
        <f t="shared" si="732"/>
        <v>5</v>
      </c>
      <c r="P5632" s="247">
        <v>16625</v>
      </c>
      <c r="Q5632" s="25">
        <f>171.79/1183.4</f>
        <v>0.14516646949467635</v>
      </c>
      <c r="W5632" s="285">
        <f t="shared" si="737"/>
        <v>2413.3925553489944</v>
      </c>
      <c r="X5632" s="446">
        <f t="shared" si="734"/>
        <v>8.1896551724137936</v>
      </c>
    </row>
    <row r="5633" spans="1:24" ht="15" customHeight="1">
      <c r="A5633" s="3">
        <v>43676</v>
      </c>
      <c r="B5633" s="9">
        <v>16000</v>
      </c>
      <c r="C5633" s="5">
        <v>0</v>
      </c>
      <c r="D5633" s="5">
        <v>51325</v>
      </c>
      <c r="E5633" s="5">
        <v>67325</v>
      </c>
      <c r="F5633" s="4">
        <v>12250</v>
      </c>
      <c r="G5633" s="5">
        <v>400</v>
      </c>
      <c r="H5633" s="5">
        <v>8400</v>
      </c>
      <c r="I5633" s="118">
        <f t="shared" si="736"/>
        <v>0.12476791682138878</v>
      </c>
      <c r="J5633" s="5">
        <v>52305</v>
      </c>
      <c r="K5633" s="22">
        <v>2003</v>
      </c>
      <c r="L5633" s="6">
        <v>2010</v>
      </c>
      <c r="M5633" s="125">
        <f t="shared" si="732"/>
        <v>7</v>
      </c>
      <c r="P5633" s="247">
        <v>16625</v>
      </c>
      <c r="Q5633" s="25">
        <f>171.57/1182</f>
        <v>0.14515228426395937</v>
      </c>
      <c r="W5633" s="285">
        <f t="shared" si="737"/>
        <v>2413.1567258883247</v>
      </c>
      <c r="X5633" s="446">
        <f t="shared" si="734"/>
        <v>8.3000499251123312</v>
      </c>
    </row>
    <row r="5634" spans="1:24" ht="15" customHeight="1">
      <c r="A5634" s="3">
        <v>43677</v>
      </c>
      <c r="B5634" s="9">
        <v>28325</v>
      </c>
      <c r="C5634" s="5">
        <v>0</v>
      </c>
      <c r="D5634" s="5">
        <v>50725</v>
      </c>
      <c r="E5634" s="5">
        <v>79050</v>
      </c>
      <c r="F5634" s="4">
        <v>12325</v>
      </c>
      <c r="G5634" s="5">
        <v>600</v>
      </c>
      <c r="H5634" s="5">
        <v>11225</v>
      </c>
      <c r="I5634" s="118">
        <f t="shared" si="736"/>
        <v>0.14199873497786211</v>
      </c>
      <c r="J5634" s="5">
        <v>62393</v>
      </c>
      <c r="K5634" s="22">
        <v>1982</v>
      </c>
      <c r="L5634" s="6">
        <v>1991</v>
      </c>
      <c r="M5634" s="125">
        <f t="shared" si="732"/>
        <v>9</v>
      </c>
      <c r="N5634" s="381">
        <f>AVERAGE($K$5612:K5634)</f>
        <v>1974.0217391304348</v>
      </c>
      <c r="O5634" s="395">
        <f>AVERAGE($K$5478:K5634)</f>
        <v>1963.4693877551019</v>
      </c>
      <c r="P5634" s="247">
        <v>16475</v>
      </c>
      <c r="Q5634" s="25">
        <f>171.49/1181.9</f>
        <v>0.14509687790845249</v>
      </c>
      <c r="W5634" s="285">
        <f t="shared" si="737"/>
        <v>2390.471063541755</v>
      </c>
      <c r="X5634" s="446">
        <f t="shared" si="734"/>
        <v>8.3123107971745718</v>
      </c>
    </row>
    <row r="5635" spans="1:24" ht="15" customHeight="1" thickBot="1">
      <c r="A5635" s="216"/>
      <c r="B5635" s="394"/>
      <c r="C5635" s="394"/>
      <c r="D5635" s="394"/>
      <c r="E5635" s="216"/>
      <c r="F5635" s="407"/>
      <c r="G5635" s="164"/>
      <c r="H5635" s="164"/>
      <c r="I5635" s="164"/>
      <c r="J5635" s="166"/>
      <c r="K5635" s="166"/>
      <c r="L5635" s="167"/>
      <c r="M5635" s="167"/>
      <c r="N5635" s="167"/>
      <c r="O5635" s="167"/>
      <c r="P5635" s="180"/>
      <c r="Q5635" s="154"/>
      <c r="R5635" s="248"/>
      <c r="S5635" s="249"/>
      <c r="T5635" s="249"/>
      <c r="U5635" s="152"/>
      <c r="V5635" s="153">
        <f>AVERAGE(P5612:P5634)</f>
        <v>16234.782608695652</v>
      </c>
      <c r="W5635" s="390"/>
      <c r="X5635" s="447">
        <f>AVERAGE(X5612:X5634)</f>
        <v>8.2313006534193889</v>
      </c>
    </row>
    <row r="5636" spans="1:24" ht="15" customHeight="1">
      <c r="A5636" s="3">
        <v>43678</v>
      </c>
      <c r="B5636" s="9">
        <v>27850</v>
      </c>
      <c r="C5636" s="5">
        <v>0</v>
      </c>
      <c r="D5636" s="5">
        <v>50650</v>
      </c>
      <c r="E5636" s="5">
        <v>78500</v>
      </c>
      <c r="F5636" s="4">
        <v>0</v>
      </c>
      <c r="G5636" s="5">
        <v>550</v>
      </c>
      <c r="H5636" s="5">
        <v>10675</v>
      </c>
      <c r="I5636" s="118">
        <f t="shared" si="736"/>
        <v>0.13598726114649681</v>
      </c>
      <c r="J5636" s="5">
        <v>75252</v>
      </c>
      <c r="K5636" s="22">
        <v>1974</v>
      </c>
      <c r="L5636" s="6">
        <v>1986</v>
      </c>
      <c r="M5636" s="125">
        <f t="shared" ref="M5636:M5690" si="738">L5636-K5636</f>
        <v>12</v>
      </c>
      <c r="P5636" s="247">
        <v>16350</v>
      </c>
      <c r="Q5636" s="25">
        <f>171.93/1188.5</f>
        <v>0.1446613378207825</v>
      </c>
      <c r="W5636" s="285">
        <f t="shared" ref="W5636:W5650" si="739">(P5636*Q5636)*(1+U5636)</f>
        <v>2365.2128733697937</v>
      </c>
      <c r="X5636" s="446">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18">
        <f t="shared" si="736"/>
        <v>0.11742313323572474</v>
      </c>
      <c r="J5637" s="5">
        <v>46639</v>
      </c>
      <c r="K5637" s="22">
        <v>1950.5</v>
      </c>
      <c r="L5637" s="6">
        <v>1962</v>
      </c>
      <c r="M5637" s="125">
        <f t="shared" si="738"/>
        <v>11.5</v>
      </c>
      <c r="P5637" s="247">
        <v>16275</v>
      </c>
      <c r="Q5637" s="25">
        <f>171.75/1194.8</f>
        <v>0.14374790759959827</v>
      </c>
      <c r="W5637" s="285">
        <f t="shared" si="739"/>
        <v>2339.4971961834617</v>
      </c>
      <c r="X5637" s="446">
        <f t="shared" si="740"/>
        <v>8.3440143552935151</v>
      </c>
    </row>
    <row r="5638" spans="1:24" ht="15" customHeight="1">
      <c r="A5638" s="3">
        <v>43682</v>
      </c>
      <c r="B5638" s="9">
        <v>34050</v>
      </c>
      <c r="C5638" s="5">
        <v>0</v>
      </c>
      <c r="D5638" s="5">
        <v>51275</v>
      </c>
      <c r="E5638" s="5">
        <v>85325</v>
      </c>
      <c r="F5638" s="4">
        <v>0</v>
      </c>
      <c r="G5638" s="5">
        <v>50</v>
      </c>
      <c r="H5638" s="5">
        <v>10025</v>
      </c>
      <c r="I5638" s="118">
        <f t="shared" si="736"/>
        <v>0.11749194257251684</v>
      </c>
      <c r="J5638" s="5">
        <v>58945</v>
      </c>
      <c r="K5638" s="22">
        <v>1939</v>
      </c>
      <c r="L5638" s="6">
        <v>1942</v>
      </c>
      <c r="M5638" s="125">
        <f t="shared" si="738"/>
        <v>3</v>
      </c>
      <c r="P5638" s="247">
        <v>16175</v>
      </c>
      <c r="Q5638" s="25">
        <f>171.52/1211.8</f>
        <v>0.14154150849975244</v>
      </c>
      <c r="W5638" s="285">
        <f t="shared" si="739"/>
        <v>2289.4338999834958</v>
      </c>
      <c r="X5638" s="446">
        <f t="shared" si="740"/>
        <v>8.341928829293451</v>
      </c>
    </row>
    <row r="5639" spans="1:24" ht="15" customHeight="1">
      <c r="A5639" s="3">
        <v>43683</v>
      </c>
      <c r="B5639" s="9">
        <v>33950</v>
      </c>
      <c r="C5639" s="5">
        <v>0</v>
      </c>
      <c r="D5639" s="5">
        <v>51250</v>
      </c>
      <c r="E5639" s="5">
        <v>85200</v>
      </c>
      <c r="F5639" s="4">
        <v>0</v>
      </c>
      <c r="G5639" s="5">
        <v>125</v>
      </c>
      <c r="H5639" s="5">
        <v>9900</v>
      </c>
      <c r="I5639" s="118">
        <f t="shared" si="736"/>
        <v>0.11619718309859155</v>
      </c>
      <c r="J5639" s="5">
        <v>83912</v>
      </c>
      <c r="K5639" s="22">
        <v>2007</v>
      </c>
      <c r="L5639" s="6">
        <v>2001</v>
      </c>
      <c r="M5639" s="125">
        <f t="shared" si="738"/>
        <v>-6</v>
      </c>
      <c r="P5639" s="247">
        <v>16225</v>
      </c>
      <c r="Q5639" s="25">
        <f>171.42/1214.3</f>
        <v>0.14116775096763567</v>
      </c>
      <c r="W5639" s="285">
        <f t="shared" si="739"/>
        <v>2290.4467594498888</v>
      </c>
      <c r="X5639" s="446">
        <f t="shared" si="740"/>
        <v>8.0842052815146985</v>
      </c>
    </row>
    <row r="5640" spans="1:24" ht="15" customHeight="1">
      <c r="A5640" s="3">
        <v>43684</v>
      </c>
      <c r="B5640" s="9">
        <v>33525</v>
      </c>
      <c r="C5640" s="5">
        <v>0</v>
      </c>
      <c r="D5640" s="5">
        <v>51250</v>
      </c>
      <c r="E5640" s="5">
        <v>84775</v>
      </c>
      <c r="F5640" s="4">
        <v>0</v>
      </c>
      <c r="G5640" s="5">
        <v>425</v>
      </c>
      <c r="H5640" s="5">
        <v>10100</v>
      </c>
      <c r="I5640" s="118">
        <f t="shared" si="736"/>
        <v>0.11913889708050722</v>
      </c>
      <c r="J5640" s="5">
        <v>99460</v>
      </c>
      <c r="K5640" s="22">
        <v>2004.5</v>
      </c>
      <c r="L5640" s="6">
        <v>1995.5</v>
      </c>
      <c r="M5640" s="125">
        <f t="shared" si="738"/>
        <v>-9</v>
      </c>
      <c r="P5640" s="247">
        <v>16425</v>
      </c>
      <c r="Q5640" s="25">
        <f>171.42/1214.3</f>
        <v>0.14116775096763567</v>
      </c>
      <c r="W5640" s="285">
        <f t="shared" si="739"/>
        <v>2318.680309643416</v>
      </c>
      <c r="X5640" s="446">
        <f t="shared" si="740"/>
        <v>8.1940633574457475</v>
      </c>
    </row>
    <row r="5641" spans="1:24" ht="15" customHeight="1">
      <c r="A5641" s="3">
        <v>43685</v>
      </c>
      <c r="B5641" s="9">
        <v>33350</v>
      </c>
      <c r="C5641" s="5">
        <v>0</v>
      </c>
      <c r="D5641" s="5">
        <v>50650</v>
      </c>
      <c r="E5641" s="5">
        <v>84000</v>
      </c>
      <c r="F5641" s="4">
        <v>0</v>
      </c>
      <c r="G5641" s="5">
        <v>775</v>
      </c>
      <c r="H5641" s="5">
        <v>7375</v>
      </c>
      <c r="I5641" s="118">
        <f t="shared" si="736"/>
        <v>8.7797619047619041E-2</v>
      </c>
      <c r="J5641" s="5">
        <v>110197</v>
      </c>
      <c r="K5641" s="22">
        <v>2070</v>
      </c>
      <c r="L5641" s="6">
        <v>2056</v>
      </c>
      <c r="M5641" s="125">
        <f t="shared" si="738"/>
        <v>-14</v>
      </c>
      <c r="P5641" s="247">
        <v>16625</v>
      </c>
      <c r="Q5641" s="25">
        <f>171.28/1211.3</f>
        <v>0.14140179971930983</v>
      </c>
      <c r="W5641" s="285">
        <f t="shared" si="739"/>
        <v>2350.8049203335258</v>
      </c>
      <c r="X5641" s="446">
        <f t="shared" si="740"/>
        <v>8.0314009661835755</v>
      </c>
    </row>
    <row r="5642" spans="1:24" ht="15" customHeight="1">
      <c r="A5642" s="3">
        <v>43686</v>
      </c>
      <c r="B5642" s="9">
        <v>33250</v>
      </c>
      <c r="C5642" s="5">
        <v>0</v>
      </c>
      <c r="D5642" s="5">
        <v>50025</v>
      </c>
      <c r="E5642" s="5">
        <v>83275</v>
      </c>
      <c r="F5642" s="4">
        <v>0</v>
      </c>
      <c r="G5642" s="5">
        <v>725</v>
      </c>
      <c r="H5642" s="5">
        <v>6825</v>
      </c>
      <c r="I5642" s="118">
        <f t="shared" si="736"/>
        <v>8.1957370159111378E-2</v>
      </c>
      <c r="J5642" s="5">
        <v>72404</v>
      </c>
      <c r="K5642" s="22">
        <v>2086</v>
      </c>
      <c r="L5642" s="6">
        <v>2069</v>
      </c>
      <c r="M5642" s="125">
        <f t="shared" si="738"/>
        <v>-17</v>
      </c>
      <c r="P5642" s="247">
        <v>16700</v>
      </c>
      <c r="Q5642" s="25">
        <f>170.94/1209.7</f>
        <v>0.14130776225510455</v>
      </c>
      <c r="W5642" s="285">
        <f t="shared" si="739"/>
        <v>2359.8396296602459</v>
      </c>
      <c r="X5642" s="446">
        <f t="shared" si="740"/>
        <v>8.0057526366251199</v>
      </c>
    </row>
    <row r="5643" spans="1:24" ht="15" customHeight="1">
      <c r="A5643" s="3">
        <v>43689</v>
      </c>
      <c r="B5643" s="9">
        <v>35150</v>
      </c>
      <c r="C5643" s="5">
        <v>0</v>
      </c>
      <c r="D5643" s="5">
        <v>49325</v>
      </c>
      <c r="E5643" s="5">
        <v>82475</v>
      </c>
      <c r="F5643" s="4">
        <v>0</v>
      </c>
      <c r="G5643" s="5">
        <v>800</v>
      </c>
      <c r="H5643" s="5">
        <v>31325</v>
      </c>
      <c r="I5643" s="118">
        <f t="shared" si="736"/>
        <v>0.37981206426189756</v>
      </c>
      <c r="J5643" s="5">
        <v>66347</v>
      </c>
      <c r="K5643" s="22">
        <v>2103.5</v>
      </c>
      <c r="L5643" s="6">
        <v>2085</v>
      </c>
      <c r="M5643" s="125">
        <f t="shared" si="738"/>
        <v>-18.5</v>
      </c>
      <c r="P5643" s="247">
        <v>16850</v>
      </c>
      <c r="Q5643" s="25">
        <f>171.37/1215.6</f>
        <v>0.14097564988483055</v>
      </c>
      <c r="W5643" s="285">
        <f t="shared" si="739"/>
        <v>2375.4397005593946</v>
      </c>
      <c r="X5643" s="446">
        <f t="shared" si="740"/>
        <v>8.0104587592108398</v>
      </c>
    </row>
    <row r="5644" spans="1:24" ht="15" customHeight="1">
      <c r="A5644" s="3">
        <v>43690</v>
      </c>
      <c r="B5644" s="9">
        <v>33150</v>
      </c>
      <c r="C5644" s="5">
        <v>0</v>
      </c>
      <c r="D5644" s="5">
        <v>48425</v>
      </c>
      <c r="E5644" s="5">
        <v>81575</v>
      </c>
      <c r="F5644" s="4">
        <v>0</v>
      </c>
      <c r="G5644" s="5">
        <v>900</v>
      </c>
      <c r="H5644" s="5">
        <v>5325</v>
      </c>
      <c r="I5644" s="118">
        <f t="shared" si="736"/>
        <v>6.5277352129941776E-2</v>
      </c>
      <c r="J5644" s="5">
        <v>52959</v>
      </c>
      <c r="K5644" s="22">
        <v>2044</v>
      </c>
      <c r="L5644" s="6">
        <v>2040.5</v>
      </c>
      <c r="M5644" s="125">
        <f t="shared" si="738"/>
        <v>-3.5</v>
      </c>
      <c r="P5644" s="247">
        <v>16675</v>
      </c>
      <c r="Q5644" s="25">
        <f>171.71/1218.9</f>
        <v>0.14087291820493889</v>
      </c>
      <c r="W5644" s="285">
        <f t="shared" si="739"/>
        <v>2349.0559110673557</v>
      </c>
      <c r="X5644" s="446">
        <f t="shared" si="740"/>
        <v>8.15802348336595</v>
      </c>
    </row>
    <row r="5645" spans="1:24" ht="15" customHeight="1">
      <c r="A5645" s="3">
        <v>43691</v>
      </c>
      <c r="B5645" s="9">
        <v>33150</v>
      </c>
      <c r="C5645" s="5">
        <v>0</v>
      </c>
      <c r="D5645" s="5">
        <v>48425</v>
      </c>
      <c r="E5645" s="5">
        <v>81575</v>
      </c>
      <c r="F5645" s="4">
        <v>0</v>
      </c>
      <c r="G5645" s="5">
        <v>0</v>
      </c>
      <c r="H5645" s="5">
        <v>5625</v>
      </c>
      <c r="I5645" s="118">
        <f t="shared" si="736"/>
        <v>6.895494943303708E-2</v>
      </c>
      <c r="J5645" s="5">
        <v>55888</v>
      </c>
      <c r="K5645" s="22">
        <v>2040.5</v>
      </c>
      <c r="L5645" s="6">
        <v>2037</v>
      </c>
      <c r="M5645" s="125">
        <f t="shared" si="738"/>
        <v>-3.5</v>
      </c>
      <c r="P5645" s="247">
        <v>16625</v>
      </c>
      <c r="W5645" s="285">
        <f>(P5645*Q5644)*(1+U5645)</f>
        <v>2342.0122651571091</v>
      </c>
      <c r="X5645" s="446">
        <f t="shared" si="740"/>
        <v>8.1475128644939971</v>
      </c>
    </row>
    <row r="5646" spans="1:24" ht="15" customHeight="1">
      <c r="A5646" s="3">
        <v>43692</v>
      </c>
      <c r="B5646" s="9">
        <v>33150</v>
      </c>
      <c r="C5646" s="5">
        <v>0</v>
      </c>
      <c r="D5646" s="5">
        <v>48425</v>
      </c>
      <c r="E5646" s="5">
        <v>81575</v>
      </c>
      <c r="F5646" s="4">
        <v>0</v>
      </c>
      <c r="G5646" s="5">
        <v>0</v>
      </c>
      <c r="H5646" s="5">
        <v>6625</v>
      </c>
      <c r="I5646" s="118">
        <f t="shared" si="736"/>
        <v>8.1213607110021457E-2</v>
      </c>
      <c r="J5646" s="5">
        <v>43712</v>
      </c>
      <c r="K5646" s="22">
        <v>2045</v>
      </c>
      <c r="L5646" s="6">
        <v>2040</v>
      </c>
      <c r="M5646" s="125">
        <f t="shared" si="738"/>
        <v>-5</v>
      </c>
      <c r="P5646" s="247">
        <v>16500</v>
      </c>
      <c r="Q5646" s="25">
        <f>172.31/1211.7</f>
        <v>0.14220516629528762</v>
      </c>
      <c r="W5646" s="285">
        <f t="shared" si="739"/>
        <v>2346.3852438722456</v>
      </c>
      <c r="X5646" s="446">
        <f t="shared" si="740"/>
        <v>8.0684596577017107</v>
      </c>
    </row>
    <row r="5647" spans="1:24" ht="15" customHeight="1">
      <c r="A5647" s="3">
        <v>43693</v>
      </c>
      <c r="B5647" s="9">
        <v>32900</v>
      </c>
      <c r="C5647" s="5">
        <v>0</v>
      </c>
      <c r="D5647" s="5">
        <v>48425</v>
      </c>
      <c r="E5647" s="5">
        <v>81325</v>
      </c>
      <c r="F5647" s="4">
        <v>0</v>
      </c>
      <c r="G5647" s="5">
        <v>250</v>
      </c>
      <c r="H5647" s="5">
        <v>6375</v>
      </c>
      <c r="I5647" s="118">
        <f t="shared" si="736"/>
        <v>7.8389179219182287E-2</v>
      </c>
      <c r="J5647" s="5">
        <v>28589</v>
      </c>
      <c r="K5647" s="22">
        <v>2050</v>
      </c>
      <c r="L5647" s="6">
        <v>2047</v>
      </c>
      <c r="M5647" s="125">
        <f t="shared" si="738"/>
        <v>-3</v>
      </c>
      <c r="P5647" s="247">
        <v>16625</v>
      </c>
      <c r="Q5647" s="25">
        <f>172.14/1213.3</f>
        <v>0.14187752410780516</v>
      </c>
      <c r="W5647" s="285">
        <f t="shared" si="739"/>
        <v>2358.7138382922608</v>
      </c>
      <c r="X5647" s="446">
        <f t="shared" si="740"/>
        <v>8.1097560975609753</v>
      </c>
    </row>
    <row r="5648" spans="1:24" ht="15" customHeight="1">
      <c r="A5648" s="3">
        <v>43696</v>
      </c>
      <c r="B5648" s="9">
        <v>32275</v>
      </c>
      <c r="C5648" s="5">
        <v>0</v>
      </c>
      <c r="D5648" s="5">
        <v>48025</v>
      </c>
      <c r="E5648" s="5">
        <v>80300</v>
      </c>
      <c r="F5648" s="4">
        <v>0</v>
      </c>
      <c r="G5648" s="5">
        <v>1025</v>
      </c>
      <c r="H5648" s="5">
        <v>5350</v>
      </c>
      <c r="I5648" s="118">
        <f t="shared" si="736"/>
        <v>6.6625155666251559E-2</v>
      </c>
      <c r="J5648" s="5">
        <v>28395</v>
      </c>
      <c r="K5648" s="22">
        <v>2031.5</v>
      </c>
      <c r="L5648" s="6">
        <v>2039</v>
      </c>
      <c r="M5648" s="125">
        <f t="shared" si="738"/>
        <v>7.5</v>
      </c>
      <c r="P5648" s="247">
        <v>16625</v>
      </c>
      <c r="Q5648" s="25">
        <f>171.72/1210.7</f>
        <v>0.14183530189146773</v>
      </c>
      <c r="W5648" s="285">
        <f t="shared" si="739"/>
        <v>2358.0118939456511</v>
      </c>
      <c r="X5648" s="446">
        <f t="shared" si="740"/>
        <v>8.1836081713019944</v>
      </c>
    </row>
    <row r="5649" spans="1:24" ht="15" customHeight="1">
      <c r="A5649" s="3">
        <v>43697</v>
      </c>
      <c r="B5649" s="9">
        <v>32275</v>
      </c>
      <c r="C5649" s="5">
        <v>0</v>
      </c>
      <c r="D5649" s="5">
        <v>47975</v>
      </c>
      <c r="E5649" s="5">
        <v>80250</v>
      </c>
      <c r="F5649" s="4">
        <v>0</v>
      </c>
      <c r="G5649" s="5">
        <v>50</v>
      </c>
      <c r="H5649" s="5">
        <v>5300</v>
      </c>
      <c r="I5649" s="118">
        <f t="shared" si="736"/>
        <v>6.6043613707165105E-2</v>
      </c>
      <c r="J5649" s="5">
        <v>48813</v>
      </c>
      <c r="K5649" s="22">
        <v>2046</v>
      </c>
      <c r="L5649" s="6">
        <v>2049</v>
      </c>
      <c r="M5649" s="125">
        <f t="shared" si="738"/>
        <v>3</v>
      </c>
      <c r="P5649" s="247">
        <v>16700</v>
      </c>
      <c r="Q5649" s="25">
        <f>171.13/1210.2</f>
        <v>0.14140637911089074</v>
      </c>
      <c r="W5649" s="285">
        <f t="shared" si="739"/>
        <v>2361.4865311518752</v>
      </c>
      <c r="X5649" s="446">
        <f t="shared" si="740"/>
        <v>8.1622678396871944</v>
      </c>
    </row>
    <row r="5650" spans="1:24" ht="15" customHeight="1">
      <c r="A5650" s="3">
        <v>43698</v>
      </c>
      <c r="B5650" s="9">
        <v>32275</v>
      </c>
      <c r="C5650" s="5">
        <v>0</v>
      </c>
      <c r="D5650" s="5">
        <v>47500</v>
      </c>
      <c r="E5650" s="5">
        <v>79775</v>
      </c>
      <c r="F5650" s="4">
        <v>0</v>
      </c>
      <c r="G5650" s="5">
        <v>475</v>
      </c>
      <c r="H5650" s="5">
        <v>4925</v>
      </c>
      <c r="I5650" s="118">
        <f t="shared" si="736"/>
        <v>6.17361328737073E-2</v>
      </c>
      <c r="J5650" s="5">
        <v>40906</v>
      </c>
      <c r="K5650" s="22">
        <v>2085</v>
      </c>
      <c r="L5650" s="6">
        <v>2090</v>
      </c>
      <c r="M5650" s="125">
        <f t="shared" si="738"/>
        <v>5</v>
      </c>
      <c r="P5650" s="247">
        <v>16875</v>
      </c>
      <c r="Q5650" s="25">
        <f>170.24/1204</f>
        <v>0.14139534883720931</v>
      </c>
      <c r="W5650" s="285">
        <f t="shared" si="739"/>
        <v>2386.046511627907</v>
      </c>
      <c r="X5650" s="446">
        <f t="shared" si="740"/>
        <v>8.0935251798561154</v>
      </c>
    </row>
    <row r="5651" spans="1:24" ht="15" customHeight="1">
      <c r="A5651" s="3">
        <v>43699</v>
      </c>
      <c r="B5651" s="9">
        <v>32150</v>
      </c>
      <c r="C5651" s="5">
        <v>0</v>
      </c>
      <c r="D5651" s="5">
        <v>47250</v>
      </c>
      <c r="E5651" s="5">
        <v>79400</v>
      </c>
      <c r="F5651" s="4">
        <v>0</v>
      </c>
      <c r="G5651" s="5">
        <v>375</v>
      </c>
      <c r="H5651" s="5">
        <v>5125</v>
      </c>
      <c r="I5651" s="118">
        <f t="shared" si="736"/>
        <v>6.4546599496221657E-2</v>
      </c>
      <c r="J5651" s="5">
        <v>62001</v>
      </c>
      <c r="K5651" s="22">
        <v>2068</v>
      </c>
      <c r="L5651" s="6">
        <v>2065.5</v>
      </c>
      <c r="M5651" s="125">
        <f t="shared" si="738"/>
        <v>-2.5</v>
      </c>
      <c r="P5651" s="247">
        <v>16875</v>
      </c>
      <c r="Q5651" s="25">
        <f>170.23/1205.1</f>
        <v>0.14125798688905486</v>
      </c>
      <c r="W5651" s="285">
        <f t="shared" ref="W5651:W5679" si="741">(P5651*Q5651)*(1+U5651)</f>
        <v>2383.7285287528007</v>
      </c>
      <c r="X5651" s="446">
        <f t="shared" si="740"/>
        <v>8.1600580270793035</v>
      </c>
    </row>
    <row r="5652" spans="1:24" ht="15" customHeight="1">
      <c r="A5652" s="3">
        <v>43700</v>
      </c>
      <c r="B5652" s="9">
        <v>31775</v>
      </c>
      <c r="C5652" s="5">
        <v>0</v>
      </c>
      <c r="D5652" s="5">
        <v>47025</v>
      </c>
      <c r="E5652" s="5">
        <v>78800</v>
      </c>
      <c r="F5652" s="4">
        <v>0</v>
      </c>
      <c r="G5652" s="5">
        <v>600</v>
      </c>
      <c r="H5652" s="5">
        <v>4525</v>
      </c>
      <c r="I5652" s="118">
        <f t="shared" si="736"/>
        <v>5.7423857868020303E-2</v>
      </c>
      <c r="J5652" s="5">
        <v>43772</v>
      </c>
      <c r="K5652" s="22">
        <v>2082.5</v>
      </c>
      <c r="L5652" s="6">
        <v>2082.5</v>
      </c>
      <c r="M5652" s="125">
        <f t="shared" si="738"/>
        <v>0</v>
      </c>
      <c r="P5652" s="247">
        <v>16875</v>
      </c>
      <c r="Q5652" s="25">
        <f>170.86/1212.2</f>
        <v>0.1409503382280152</v>
      </c>
      <c r="W5652" s="285">
        <f t="shared" si="741"/>
        <v>2378.5369575977566</v>
      </c>
      <c r="X5652" s="446">
        <f t="shared" si="740"/>
        <v>8.1032412965186076</v>
      </c>
    </row>
    <row r="5653" spans="1:24" ht="15" customHeight="1">
      <c r="A5653" s="3">
        <v>43703</v>
      </c>
      <c r="B5653" s="1318"/>
      <c r="C5653" s="1318"/>
      <c r="D5653" s="1318"/>
      <c r="E5653" s="1318"/>
      <c r="F5653" s="1318"/>
      <c r="G5653" s="1318"/>
      <c r="H5653" s="1318"/>
      <c r="I5653" s="1318"/>
      <c r="J5653" s="1318"/>
      <c r="K5653" s="1318"/>
      <c r="L5653" s="1318"/>
      <c r="M5653" s="1318"/>
      <c r="P5653" s="247">
        <v>16850</v>
      </c>
      <c r="Q5653" s="25">
        <f>169.98/1218.2</f>
        <v>0.13953373830241339</v>
      </c>
      <c r="W5653" s="285">
        <f t="shared" si="741"/>
        <v>2351.1434903956656</v>
      </c>
      <c r="X5653" s="446"/>
    </row>
    <row r="5654" spans="1:24" ht="15" customHeight="1">
      <c r="A5654" s="3">
        <v>43704</v>
      </c>
      <c r="B5654" s="9">
        <v>31775</v>
      </c>
      <c r="C5654" s="5">
        <v>0</v>
      </c>
      <c r="D5654" s="5">
        <v>46775</v>
      </c>
      <c r="E5654" s="5">
        <v>78550</v>
      </c>
      <c r="F5654" s="4">
        <v>0</v>
      </c>
      <c r="G5654" s="5">
        <v>250</v>
      </c>
      <c r="H5654" s="5">
        <v>4675</v>
      </c>
      <c r="I5654" s="118">
        <f t="shared" si="736"/>
        <v>5.9516231699554424E-2</v>
      </c>
      <c r="J5654" s="5">
        <v>41234</v>
      </c>
      <c r="K5654" s="22">
        <v>2095.5</v>
      </c>
      <c r="L5654" s="6">
        <v>2094</v>
      </c>
      <c r="M5654" s="125">
        <f t="shared" si="738"/>
        <v>-1.5</v>
      </c>
      <c r="P5654" s="247">
        <v>17025</v>
      </c>
      <c r="Q5654" s="25">
        <f>169.2/1213.1</f>
        <v>0.13947737202209215</v>
      </c>
      <c r="W5654" s="285">
        <f t="shared" si="741"/>
        <v>2374.6022586761187</v>
      </c>
      <c r="X5654" s="446">
        <f t="shared" si="740"/>
        <v>8.1245526127415886</v>
      </c>
    </row>
    <row r="5655" spans="1:24" ht="15" customHeight="1">
      <c r="A5655" s="3">
        <v>43705</v>
      </c>
      <c r="B5655" s="9">
        <v>31675</v>
      </c>
      <c r="C5655" s="5">
        <v>0</v>
      </c>
      <c r="D5655" s="5">
        <v>46650</v>
      </c>
      <c r="E5655" s="5">
        <v>78325</v>
      </c>
      <c r="F5655" s="4">
        <v>0</v>
      </c>
      <c r="G5655" s="5">
        <v>225</v>
      </c>
      <c r="H5655" s="5">
        <v>5450</v>
      </c>
      <c r="I5655" s="118">
        <f t="shared" si="736"/>
        <v>6.9581870411745933E-2</v>
      </c>
      <c r="J5655" s="5">
        <v>53322</v>
      </c>
      <c r="K5655" s="22">
        <v>2084</v>
      </c>
      <c r="L5655" s="6">
        <v>2086</v>
      </c>
      <c r="M5655" s="125">
        <f t="shared" si="738"/>
        <v>2</v>
      </c>
      <c r="P5655" s="247">
        <v>17175</v>
      </c>
      <c r="Q5655" s="25">
        <f>169.36/1213.5</f>
        <v>0.13956324680675733</v>
      </c>
      <c r="W5655" s="285">
        <f t="shared" si="741"/>
        <v>2396.9987639060573</v>
      </c>
      <c r="X5655" s="446">
        <f t="shared" si="740"/>
        <v>8.2413627639155465</v>
      </c>
    </row>
    <row r="5656" spans="1:24" ht="15" customHeight="1">
      <c r="A5656" s="3">
        <v>43706</v>
      </c>
      <c r="B5656" s="9">
        <v>31575</v>
      </c>
      <c r="C5656" s="5">
        <v>0</v>
      </c>
      <c r="D5656" s="5">
        <v>46650</v>
      </c>
      <c r="E5656" s="5">
        <v>78225</v>
      </c>
      <c r="F5656" s="4">
        <v>0</v>
      </c>
      <c r="G5656" s="5">
        <v>100</v>
      </c>
      <c r="H5656" s="5">
        <v>6450</v>
      </c>
      <c r="I5656" s="118">
        <f t="shared" si="736"/>
        <v>8.2454458293384464E-2</v>
      </c>
      <c r="J5656" s="5">
        <v>52694</v>
      </c>
      <c r="K5656" s="22">
        <v>2061.5</v>
      </c>
      <c r="L5656" s="6">
        <v>2064</v>
      </c>
      <c r="M5656" s="125">
        <f t="shared" si="738"/>
        <v>2.5</v>
      </c>
      <c r="P5656" s="247">
        <v>17150</v>
      </c>
      <c r="Q5656" s="25">
        <f>169.48/1215.2</f>
        <v>0.13946675444371295</v>
      </c>
      <c r="W5656" s="285">
        <f t="shared" si="741"/>
        <v>2391.8548387096771</v>
      </c>
      <c r="X5656" s="446">
        <f t="shared" si="740"/>
        <v>8.3191850594227503</v>
      </c>
    </row>
    <row r="5657" spans="1:24" ht="15" customHeight="1">
      <c r="A5657" s="3">
        <v>43707</v>
      </c>
      <c r="B5657" s="9">
        <v>31175</v>
      </c>
      <c r="C5657" s="5">
        <v>0</v>
      </c>
      <c r="D5657" s="5">
        <v>46650</v>
      </c>
      <c r="E5657" s="5">
        <v>77825</v>
      </c>
      <c r="F5657" s="4">
        <v>0</v>
      </c>
      <c r="G5657" s="5">
        <v>400</v>
      </c>
      <c r="H5657" s="5">
        <v>6050</v>
      </c>
      <c r="I5657" s="118">
        <f t="shared" si="736"/>
        <v>7.7738515901060068E-2</v>
      </c>
      <c r="J5657" s="5">
        <v>43470</v>
      </c>
      <c r="K5657" s="22">
        <v>2039</v>
      </c>
      <c r="L5657" s="6">
        <v>2043</v>
      </c>
      <c r="M5657" s="125">
        <f t="shared" si="738"/>
        <v>4</v>
      </c>
      <c r="N5657" s="381">
        <f>AVERAGE($K$5636:K5657)</f>
        <v>2043.1904761904761</v>
      </c>
      <c r="O5657" s="395">
        <f>AVERAGE($K$5478:K5657)</f>
        <v>1973.4345238095239</v>
      </c>
      <c r="P5657" s="247">
        <v>17150</v>
      </c>
      <c r="Q5657" s="25">
        <f>168.99/1209.6</f>
        <v>0.1397073412698413</v>
      </c>
      <c r="W5657" s="285">
        <f t="shared" si="741"/>
        <v>2395.9809027777783</v>
      </c>
      <c r="X5657" s="446">
        <f t="shared" si="740"/>
        <v>8.4109857773418337</v>
      </c>
    </row>
    <row r="5658" spans="1:24" ht="15" customHeight="1" thickBot="1">
      <c r="A5658" s="216"/>
      <c r="B5658" s="394"/>
      <c r="C5658" s="394"/>
      <c r="D5658" s="394"/>
      <c r="E5658" s="216"/>
      <c r="F5658" s="407"/>
      <c r="G5658" s="164"/>
      <c r="H5658" s="164"/>
      <c r="I5658" s="164"/>
      <c r="J5658" s="166"/>
      <c r="K5658" s="166"/>
      <c r="L5658" s="167"/>
      <c r="M5658" s="167"/>
      <c r="N5658" s="167"/>
      <c r="O5658" s="167"/>
      <c r="P5658" s="180"/>
      <c r="Q5658" s="154"/>
      <c r="R5658" s="248"/>
      <c r="S5658" s="249"/>
      <c r="T5658" s="249"/>
      <c r="U5658" s="152"/>
      <c r="V5658" s="153">
        <f>AVERAGE(P5636:P5657)</f>
        <v>16697.727272727272</v>
      </c>
      <c r="W5658" s="390"/>
      <c r="X5658" s="447">
        <f>AVERAGE(X5636:X5657)</f>
        <v>8.1703351327900453</v>
      </c>
    </row>
    <row r="5659" spans="1:24" ht="15" customHeight="1">
      <c r="A5659" s="3">
        <v>43710</v>
      </c>
      <c r="B5659" s="9">
        <v>30875</v>
      </c>
      <c r="C5659" s="5">
        <v>0</v>
      </c>
      <c r="D5659" s="5">
        <v>46650</v>
      </c>
      <c r="E5659" s="5">
        <v>77525</v>
      </c>
      <c r="F5659" s="4">
        <v>0</v>
      </c>
      <c r="G5659" s="5">
        <v>300</v>
      </c>
      <c r="H5659" s="5">
        <v>5850</v>
      </c>
      <c r="I5659" s="118">
        <f t="shared" si="736"/>
        <v>7.545952918413415E-2</v>
      </c>
      <c r="J5659" s="5">
        <v>37635</v>
      </c>
      <c r="K5659" s="22">
        <v>2020</v>
      </c>
      <c r="L5659" s="6">
        <v>2020.5</v>
      </c>
      <c r="M5659" s="125">
        <f>L5659-K5659</f>
        <v>0.5</v>
      </c>
      <c r="P5659" s="247">
        <v>17125</v>
      </c>
      <c r="Q5659" s="25">
        <f>169/1211.9</f>
        <v>0.13945044970707152</v>
      </c>
      <c r="W5659" s="285">
        <f t="shared" si="741"/>
        <v>2388.0889512335998</v>
      </c>
      <c r="X5659" s="446">
        <f t="shared" si="740"/>
        <v>8.477722772277227</v>
      </c>
    </row>
    <row r="5660" spans="1:24" ht="15" customHeight="1">
      <c r="A5660" s="3">
        <v>43711</v>
      </c>
      <c r="B5660" s="9">
        <v>30475</v>
      </c>
      <c r="C5660" s="5">
        <v>0</v>
      </c>
      <c r="D5660" s="5">
        <v>46625</v>
      </c>
      <c r="E5660" s="5">
        <v>77100</v>
      </c>
      <c r="F5660" s="4">
        <v>0</v>
      </c>
      <c r="G5660" s="5">
        <v>425</v>
      </c>
      <c r="H5660" s="5">
        <v>5425</v>
      </c>
      <c r="I5660" s="118">
        <f t="shared" si="736"/>
        <v>7.0363164721141375E-2</v>
      </c>
      <c r="J5660" s="5">
        <v>38072</v>
      </c>
      <c r="K5660" s="22">
        <v>1996</v>
      </c>
      <c r="L5660" s="6">
        <v>1998</v>
      </c>
      <c r="M5660" s="125">
        <f t="shared" si="738"/>
        <v>2</v>
      </c>
      <c r="P5660" s="247">
        <v>17275</v>
      </c>
      <c r="Q5660" s="25">
        <f>169.12/1215.2</f>
        <v>0.1391705069124424</v>
      </c>
      <c r="W5660" s="285">
        <f t="shared" si="741"/>
        <v>2404.1705069124423</v>
      </c>
      <c r="X5660" s="446">
        <f t="shared" si="740"/>
        <v>8.6548096192384776</v>
      </c>
    </row>
    <row r="5661" spans="1:24" ht="15" customHeight="1">
      <c r="A5661" s="3">
        <v>43712</v>
      </c>
      <c r="B5661" s="9">
        <v>30475</v>
      </c>
      <c r="C5661" s="5">
        <v>0</v>
      </c>
      <c r="D5661" s="5">
        <v>46625</v>
      </c>
      <c r="E5661" s="5">
        <v>77100</v>
      </c>
      <c r="F5661" s="4">
        <v>0</v>
      </c>
      <c r="G5661" s="5">
        <v>0</v>
      </c>
      <c r="H5661" s="5">
        <v>5425</v>
      </c>
      <c r="I5661" s="118">
        <f t="shared" si="736"/>
        <v>7.0363164721141375E-2</v>
      </c>
      <c r="J5661" s="5">
        <v>68061</v>
      </c>
      <c r="K5661" s="22">
        <v>2030</v>
      </c>
      <c r="L5661" s="6">
        <v>2030</v>
      </c>
      <c r="M5661" s="125">
        <f t="shared" si="738"/>
        <v>0</v>
      </c>
      <c r="P5661" s="247">
        <v>17200</v>
      </c>
      <c r="Q5661" s="25">
        <f>168.72/1209.7</f>
        <v>0.13947259651153177</v>
      </c>
      <c r="W5661" s="285">
        <f t="shared" si="741"/>
        <v>2398.9286599983466</v>
      </c>
      <c r="X5661" s="446">
        <f t="shared" si="740"/>
        <v>8.4729064039408861</v>
      </c>
    </row>
    <row r="5662" spans="1:24" ht="15" customHeight="1">
      <c r="A5662" s="3">
        <v>43713</v>
      </c>
      <c r="B5662" s="9">
        <v>30050</v>
      </c>
      <c r="C5662" s="5">
        <v>0</v>
      </c>
      <c r="D5662" s="5">
        <v>46575</v>
      </c>
      <c r="E5662" s="5">
        <v>76625</v>
      </c>
      <c r="F5662" s="4">
        <v>0</v>
      </c>
      <c r="G5662" s="5">
        <v>475</v>
      </c>
      <c r="H5662" s="5">
        <v>4950</v>
      </c>
      <c r="I5662" s="118">
        <f t="shared" si="736"/>
        <v>6.4600326264274061E-2</v>
      </c>
      <c r="J5662" s="5">
        <v>71759</v>
      </c>
      <c r="K5662" s="22">
        <v>2065</v>
      </c>
      <c r="L5662" s="6">
        <v>2066</v>
      </c>
      <c r="M5662" s="125">
        <f t="shared" si="738"/>
        <v>1</v>
      </c>
      <c r="P5662" s="247">
        <v>17150</v>
      </c>
      <c r="Q5662" s="25">
        <f>168.01/1199.6</f>
        <v>0.14005501833944647</v>
      </c>
      <c r="W5662" s="285">
        <f t="shared" si="741"/>
        <v>2401.9435645215071</v>
      </c>
      <c r="X5662" s="446">
        <f t="shared" si="740"/>
        <v>8.3050847457627111</v>
      </c>
    </row>
    <row r="5663" spans="1:24" ht="15" customHeight="1">
      <c r="A5663" s="3">
        <v>43714</v>
      </c>
      <c r="B5663" s="9">
        <v>30050</v>
      </c>
      <c r="C5663" s="5">
        <v>0</v>
      </c>
      <c r="D5663" s="5">
        <v>46525</v>
      </c>
      <c r="E5663" s="5">
        <v>76575</v>
      </c>
      <c r="F5663" s="4">
        <v>0</v>
      </c>
      <c r="G5663" s="5">
        <v>50</v>
      </c>
      <c r="H5663" s="5">
        <v>5400</v>
      </c>
      <c r="I5663" s="118">
        <f t="shared" si="736"/>
        <v>7.0519098922624882E-2</v>
      </c>
      <c r="J5663" s="5">
        <v>59203</v>
      </c>
      <c r="K5663" s="22">
        <v>2036</v>
      </c>
      <c r="L5663" s="6">
        <v>2034</v>
      </c>
      <c r="M5663" s="125">
        <f t="shared" si="738"/>
        <v>-2</v>
      </c>
      <c r="P5663" s="247">
        <v>17375</v>
      </c>
      <c r="Q5663" s="25">
        <f>167.49/1196.9</f>
        <v>0.1399365026317988</v>
      </c>
      <c r="W5663" s="285">
        <f t="shared" si="741"/>
        <v>2431.3967332275042</v>
      </c>
      <c r="X5663" s="446">
        <f t="shared" si="740"/>
        <v>8.533889980353635</v>
      </c>
    </row>
    <row r="5664" spans="1:24" ht="15" customHeight="1">
      <c r="A5664" s="3">
        <v>43717</v>
      </c>
      <c r="B5664" s="9">
        <v>30050</v>
      </c>
      <c r="C5664" s="5">
        <v>0</v>
      </c>
      <c r="D5664" s="5">
        <v>46475</v>
      </c>
      <c r="E5664" s="5">
        <v>76525</v>
      </c>
      <c r="F5664" s="4">
        <v>0</v>
      </c>
      <c r="G5664" s="5">
        <v>50</v>
      </c>
      <c r="H5664" s="5">
        <v>5525</v>
      </c>
      <c r="I5664" s="118">
        <f t="shared" si="736"/>
        <v>7.2198627899379295E-2</v>
      </c>
      <c r="J5664" s="5">
        <v>45859</v>
      </c>
      <c r="K5664" s="22">
        <v>2085</v>
      </c>
      <c r="L5664" s="6">
        <v>2075.5</v>
      </c>
      <c r="M5664" s="125">
        <f t="shared" si="738"/>
        <v>-9.5</v>
      </c>
      <c r="P5664" s="247">
        <v>17350</v>
      </c>
      <c r="Q5664" s="25">
        <f>167.44/1192.4</f>
        <v>0.14042267695404226</v>
      </c>
      <c r="W5664" s="285">
        <f t="shared" si="741"/>
        <v>2436.333445152633</v>
      </c>
      <c r="X5664" s="446">
        <f t="shared" si="740"/>
        <v>8.3213429256594722</v>
      </c>
    </row>
    <row r="5665" spans="1:24" ht="15" customHeight="1">
      <c r="A5665" s="3">
        <v>43718</v>
      </c>
      <c r="B5665" s="9">
        <v>30050</v>
      </c>
      <c r="C5665" s="5">
        <v>0</v>
      </c>
      <c r="D5665" s="5">
        <v>46350</v>
      </c>
      <c r="E5665" s="5">
        <v>76400</v>
      </c>
      <c r="F5665" s="4">
        <v>0</v>
      </c>
      <c r="G5665" s="5">
        <v>125</v>
      </c>
      <c r="H5665" s="5">
        <v>6450</v>
      </c>
      <c r="I5665" s="118">
        <f t="shared" si="736"/>
        <v>8.4424083769633507E-2</v>
      </c>
      <c r="J5665" s="5">
        <v>98909</v>
      </c>
      <c r="K5665" s="22">
        <v>2104</v>
      </c>
      <c r="L5665" s="6">
        <v>2100</v>
      </c>
      <c r="M5665" s="125">
        <f t="shared" si="738"/>
        <v>-4</v>
      </c>
      <c r="P5665" s="247">
        <v>17350</v>
      </c>
      <c r="Q5665" s="25">
        <f>167.58/1191.9</f>
        <v>0.14059904354392147</v>
      </c>
      <c r="W5665" s="285">
        <f t="shared" si="741"/>
        <v>2439.3934054870374</v>
      </c>
      <c r="X5665" s="446">
        <f t="shared" si="740"/>
        <v>8.2461977186311781</v>
      </c>
    </row>
    <row r="5666" spans="1:24" ht="15" customHeight="1">
      <c r="A5666" s="3">
        <v>43719</v>
      </c>
      <c r="B5666" s="9">
        <v>30050</v>
      </c>
      <c r="C5666" s="5">
        <v>0</v>
      </c>
      <c r="D5666" s="5">
        <v>46150</v>
      </c>
      <c r="E5666" s="5">
        <v>76200</v>
      </c>
      <c r="F5666" s="4">
        <v>0</v>
      </c>
      <c r="G5666" s="5">
        <v>200</v>
      </c>
      <c r="H5666" s="5">
        <v>6250</v>
      </c>
      <c r="I5666" s="118">
        <f t="shared" si="736"/>
        <v>8.2020997375328086E-2</v>
      </c>
      <c r="J5666" s="5">
        <v>115302</v>
      </c>
      <c r="K5666" s="22">
        <v>2102</v>
      </c>
      <c r="L5666" s="6">
        <v>2106</v>
      </c>
      <c r="M5666" s="125">
        <f t="shared" si="738"/>
        <v>4</v>
      </c>
      <c r="P5666" s="247">
        <v>17275</v>
      </c>
      <c r="Q5666" s="25">
        <f t="shared" ref="Q5666:Q5667" si="742">167.58/1191.9</f>
        <v>0.14059904354392147</v>
      </c>
      <c r="W5666" s="285">
        <f t="shared" si="741"/>
        <v>2428.8484772212432</v>
      </c>
      <c r="X5666" s="446">
        <f t="shared" si="740"/>
        <v>8.2183634633682203</v>
      </c>
    </row>
    <row r="5667" spans="1:24" ht="15" customHeight="1">
      <c r="A5667" s="3">
        <v>43720</v>
      </c>
      <c r="B5667" s="9">
        <v>29925</v>
      </c>
      <c r="C5667" s="5">
        <v>0</v>
      </c>
      <c r="D5667" s="5">
        <v>46150</v>
      </c>
      <c r="E5667" s="5">
        <v>76075</v>
      </c>
      <c r="F5667" s="4">
        <v>0</v>
      </c>
      <c r="G5667" s="5">
        <v>125</v>
      </c>
      <c r="H5667" s="5">
        <v>6150</v>
      </c>
      <c r="I5667" s="118">
        <f t="shared" si="736"/>
        <v>8.0841275057509043E-2</v>
      </c>
      <c r="J5667" s="5">
        <v>71712</v>
      </c>
      <c r="K5667" s="22">
        <v>2086</v>
      </c>
      <c r="L5667" s="6">
        <v>2089</v>
      </c>
      <c r="M5667" s="125">
        <f t="shared" si="738"/>
        <v>3</v>
      </c>
      <c r="P5667" s="247">
        <v>17350</v>
      </c>
      <c r="Q5667" s="25">
        <f t="shared" si="742"/>
        <v>0.14059904354392147</v>
      </c>
      <c r="W5667" s="285">
        <f t="shared" si="741"/>
        <v>2439.3934054870374</v>
      </c>
      <c r="X5667" s="446">
        <f t="shared" si="740"/>
        <v>8.3173537871524452</v>
      </c>
    </row>
    <row r="5668" spans="1:24" ht="15" customHeight="1">
      <c r="A5668" s="3">
        <v>43721</v>
      </c>
      <c r="B5668" s="9">
        <v>29775</v>
      </c>
      <c r="C5668" s="5">
        <v>0</v>
      </c>
      <c r="D5668" s="5">
        <v>45875</v>
      </c>
      <c r="E5668" s="5">
        <v>75650</v>
      </c>
      <c r="F5668" s="4">
        <v>0</v>
      </c>
      <c r="G5668" s="5">
        <v>425</v>
      </c>
      <c r="H5668" s="5">
        <v>5825</v>
      </c>
      <c r="I5668" s="118">
        <f t="shared" si="736"/>
        <v>7.699933906146729E-2</v>
      </c>
      <c r="J5668" s="5">
        <v>118165</v>
      </c>
      <c r="K5668" s="22">
        <v>2094</v>
      </c>
      <c r="L5668" s="6">
        <v>2105</v>
      </c>
      <c r="M5668" s="125">
        <f t="shared" si="738"/>
        <v>11</v>
      </c>
      <c r="P5668" s="247"/>
      <c r="Q5668" s="25">
        <f>167.56/1191.4</f>
        <v>0.14064126238039282</v>
      </c>
      <c r="X5668" s="446"/>
    </row>
    <row r="5669" spans="1:24" ht="15" customHeight="1">
      <c r="A5669" s="3">
        <v>43724</v>
      </c>
      <c r="B5669" s="9">
        <v>29775</v>
      </c>
      <c r="C5669" s="5">
        <v>0</v>
      </c>
      <c r="D5669" s="5">
        <v>45775</v>
      </c>
      <c r="E5669" s="5">
        <v>75550</v>
      </c>
      <c r="F5669" s="4">
        <v>0</v>
      </c>
      <c r="G5669" s="5">
        <v>100</v>
      </c>
      <c r="H5669" s="5">
        <v>4175</v>
      </c>
      <c r="I5669" s="118">
        <f t="shared" si="736"/>
        <v>5.526141628060887E-2</v>
      </c>
      <c r="J5669" s="5">
        <v>66420</v>
      </c>
      <c r="K5669" s="22">
        <v>2104</v>
      </c>
      <c r="L5669" s="6">
        <v>2114</v>
      </c>
      <c r="M5669" s="125">
        <f t="shared" si="738"/>
        <v>10</v>
      </c>
      <c r="P5669" s="247">
        <v>17300</v>
      </c>
      <c r="Q5669" s="25">
        <f>167.56/1184</f>
        <v>0.14152027027027028</v>
      </c>
      <c r="W5669" s="285">
        <f t="shared" si="741"/>
        <v>2448.3006756756758</v>
      </c>
      <c r="X5669" s="446">
        <f t="shared" si="740"/>
        <v>8.2224334600760454</v>
      </c>
    </row>
    <row r="5670" spans="1:24" ht="15" customHeight="1">
      <c r="A5670" s="3">
        <v>43725</v>
      </c>
      <c r="B5670" s="9">
        <v>29475</v>
      </c>
      <c r="C5670" s="5">
        <v>0</v>
      </c>
      <c r="D5670" s="5">
        <v>46075</v>
      </c>
      <c r="E5670" s="5">
        <v>75550</v>
      </c>
      <c r="F5670" s="4">
        <v>300</v>
      </c>
      <c r="G5670" s="5">
        <v>300</v>
      </c>
      <c r="H5670" s="5">
        <v>8175</v>
      </c>
      <c r="I5670" s="118">
        <f t="shared" si="736"/>
        <v>0.10820648577101258</v>
      </c>
      <c r="J5670" s="5">
        <v>54740</v>
      </c>
      <c r="K5670" s="22">
        <v>2056</v>
      </c>
      <c r="L5670" s="6">
        <v>2069</v>
      </c>
      <c r="M5670" s="125">
        <f t="shared" si="738"/>
        <v>13</v>
      </c>
      <c r="P5670" s="247">
        <v>17000</v>
      </c>
      <c r="Q5670" s="25">
        <f>167.92/1188.3</f>
        <v>0.14131111672136665</v>
      </c>
      <c r="W5670" s="285">
        <f t="shared" si="741"/>
        <v>2402.288984263233</v>
      </c>
      <c r="X5670" s="446">
        <f t="shared" si="740"/>
        <v>8.2684824902723744</v>
      </c>
    </row>
    <row r="5671" spans="1:24" ht="15" customHeight="1">
      <c r="A5671" s="3">
        <v>43726</v>
      </c>
      <c r="B5671" s="9">
        <v>29225</v>
      </c>
      <c r="C5671" s="5">
        <v>0</v>
      </c>
      <c r="D5671" s="5">
        <v>45900</v>
      </c>
      <c r="E5671" s="5">
        <v>75125</v>
      </c>
      <c r="F5671" s="4">
        <v>0</v>
      </c>
      <c r="G5671" s="5">
        <v>425</v>
      </c>
      <c r="H5671" s="5">
        <v>7750</v>
      </c>
      <c r="I5671" s="118">
        <f t="shared" si="736"/>
        <v>0.10316139767054909</v>
      </c>
      <c r="J5671" s="5">
        <v>54932</v>
      </c>
      <c r="K5671" s="22">
        <v>2054</v>
      </c>
      <c r="L5671" s="6">
        <v>2067</v>
      </c>
      <c r="M5671" s="125">
        <f t="shared" si="738"/>
        <v>13</v>
      </c>
      <c r="P5671" s="247">
        <v>16775</v>
      </c>
      <c r="Q5671" s="25">
        <f>168.08/1190.5</f>
        <v>0.14118437631247377</v>
      </c>
      <c r="W5671" s="285">
        <f t="shared" si="741"/>
        <v>2368.3679126417474</v>
      </c>
      <c r="X5671" s="446">
        <f t="shared" si="740"/>
        <v>8.166991236611489</v>
      </c>
    </row>
    <row r="5672" spans="1:24" ht="15" customHeight="1">
      <c r="A5672" s="3">
        <v>43727</v>
      </c>
      <c r="B5672" s="9">
        <v>28975</v>
      </c>
      <c r="C5672" s="5">
        <v>0</v>
      </c>
      <c r="D5672" s="5">
        <v>45700</v>
      </c>
      <c r="E5672" s="5">
        <v>74675</v>
      </c>
      <c r="F5672" s="4">
        <v>0</v>
      </c>
      <c r="G5672" s="5">
        <v>450</v>
      </c>
      <c r="H5672" s="5">
        <v>7300</v>
      </c>
      <c r="I5672" s="118">
        <f t="shared" si="736"/>
        <v>9.7756946769333775E-2</v>
      </c>
      <c r="J5672" s="5">
        <v>46013</v>
      </c>
      <c r="K5672" s="22">
        <v>2079</v>
      </c>
      <c r="L5672" s="6">
        <v>2092</v>
      </c>
      <c r="M5672" s="125">
        <f t="shared" si="738"/>
        <v>13</v>
      </c>
      <c r="P5672" s="247">
        <v>16825</v>
      </c>
      <c r="Q5672" s="25">
        <f>168.43/1195.1</f>
        <v>0.140933813070036</v>
      </c>
      <c r="W5672" s="285">
        <f t="shared" si="741"/>
        <v>2371.2114049033557</v>
      </c>
      <c r="X5672" s="446">
        <f t="shared" si="740"/>
        <v>8.0928330928330929</v>
      </c>
    </row>
    <row r="5673" spans="1:24" ht="15" customHeight="1">
      <c r="A5673" s="3">
        <v>43728</v>
      </c>
      <c r="B5673" s="9">
        <v>28525</v>
      </c>
      <c r="C5673" s="5">
        <v>0</v>
      </c>
      <c r="D5673" s="5">
        <v>45425</v>
      </c>
      <c r="E5673" s="5">
        <v>73950</v>
      </c>
      <c r="F5673" s="4">
        <v>0</v>
      </c>
      <c r="G5673" s="5">
        <v>725</v>
      </c>
      <c r="H5673" s="5">
        <v>6825</v>
      </c>
      <c r="I5673" s="118">
        <f t="shared" si="736"/>
        <v>9.2292089249492906E-2</v>
      </c>
      <c r="J5673" s="5">
        <v>46044</v>
      </c>
      <c r="K5673" s="22">
        <v>2107</v>
      </c>
      <c r="L5673" s="6">
        <v>2115</v>
      </c>
      <c r="M5673" s="125">
        <f t="shared" si="738"/>
        <v>8</v>
      </c>
      <c r="P5673" s="247">
        <v>16875</v>
      </c>
      <c r="Q5673" s="25">
        <f>168.2/1191.1</f>
        <v>0.14121400386197633</v>
      </c>
      <c r="W5673" s="285">
        <f t="shared" si="741"/>
        <v>2382.9863151708505</v>
      </c>
      <c r="X5673" s="446">
        <f t="shared" si="740"/>
        <v>8.0090175605125768</v>
      </c>
    </row>
    <row r="5674" spans="1:24" ht="15" customHeight="1">
      <c r="A5674" s="3">
        <v>43731</v>
      </c>
      <c r="B5674" s="9">
        <v>28425</v>
      </c>
      <c r="C5674" s="5">
        <v>0</v>
      </c>
      <c r="D5674" s="5">
        <v>45325</v>
      </c>
      <c r="E5674" s="5">
        <v>73750</v>
      </c>
      <c r="F5674" s="4">
        <v>0</v>
      </c>
      <c r="G5674" s="5">
        <v>200</v>
      </c>
      <c r="H5674" s="5">
        <v>6650</v>
      </c>
      <c r="I5674" s="118">
        <f t="shared" si="736"/>
        <v>9.0169491525423723E-2</v>
      </c>
      <c r="J5674" s="5">
        <v>46419</v>
      </c>
      <c r="K5674" s="22">
        <v>2086</v>
      </c>
      <c r="L5674" s="6">
        <v>2100</v>
      </c>
      <c r="M5674" s="125">
        <f t="shared" si="738"/>
        <v>14</v>
      </c>
      <c r="P5674" s="247">
        <v>16950</v>
      </c>
      <c r="Q5674" s="25">
        <f>167.89/1193.1</f>
        <v>0.14071745872097896</v>
      </c>
      <c r="W5674" s="285">
        <f t="shared" si="741"/>
        <v>2385.1609253205934</v>
      </c>
      <c r="X5674" s="446">
        <f t="shared" si="740"/>
        <v>8.1255992329817825</v>
      </c>
    </row>
    <row r="5675" spans="1:24" ht="15" customHeight="1">
      <c r="A5675" s="3">
        <v>43732</v>
      </c>
      <c r="B5675" s="9">
        <v>27825</v>
      </c>
      <c r="C5675" s="5">
        <v>0</v>
      </c>
      <c r="D5675" s="5">
        <v>45500</v>
      </c>
      <c r="E5675" s="5">
        <v>73325</v>
      </c>
      <c r="F5675" s="4">
        <v>175</v>
      </c>
      <c r="G5675" s="5">
        <v>600</v>
      </c>
      <c r="H5675" s="5">
        <v>6125</v>
      </c>
      <c r="I5675" s="118">
        <f t="shared" si="736"/>
        <v>8.3532219570405727E-2</v>
      </c>
      <c r="J5675" s="5">
        <v>64896</v>
      </c>
      <c r="K5675" s="22">
        <v>2054.5</v>
      </c>
      <c r="L5675" s="6">
        <v>2069</v>
      </c>
      <c r="M5675" s="125">
        <f t="shared" si="738"/>
        <v>14.5</v>
      </c>
      <c r="P5675" s="247">
        <v>16800</v>
      </c>
      <c r="Q5675" s="25">
        <f>167.93/1194</f>
        <v>0.14064489112227807</v>
      </c>
      <c r="W5675" s="285">
        <f t="shared" si="741"/>
        <v>2362.8341708542716</v>
      </c>
      <c r="X5675" s="446">
        <f t="shared" si="740"/>
        <v>8.1771720613287897</v>
      </c>
    </row>
    <row r="5676" spans="1:24" ht="15" customHeight="1">
      <c r="A5676" s="3">
        <v>43733</v>
      </c>
      <c r="B5676" s="9">
        <v>27725</v>
      </c>
      <c r="C5676" s="5">
        <v>0</v>
      </c>
      <c r="D5676" s="5">
        <v>45475</v>
      </c>
      <c r="E5676" s="5">
        <v>73200</v>
      </c>
      <c r="G5676" s="5">
        <v>125</v>
      </c>
      <c r="H5676" s="5">
        <v>6000</v>
      </c>
      <c r="I5676" s="118">
        <f t="shared" si="736"/>
        <v>8.1967213114754092E-2</v>
      </c>
      <c r="J5676" s="5">
        <v>76799</v>
      </c>
      <c r="K5676" s="22">
        <v>2067.5</v>
      </c>
      <c r="L5676" s="6">
        <v>2075.5</v>
      </c>
      <c r="M5676" s="125">
        <f t="shared" si="738"/>
        <v>8</v>
      </c>
      <c r="P5676" s="247">
        <v>16900</v>
      </c>
      <c r="Q5676" s="25">
        <f>168.46/1198.3</f>
        <v>0.14058249186347327</v>
      </c>
      <c r="W5676" s="285">
        <f t="shared" si="741"/>
        <v>2375.8441124926981</v>
      </c>
      <c r="X5676" s="446">
        <f t="shared" si="740"/>
        <v>8.1741233373639659</v>
      </c>
    </row>
    <row r="5677" spans="1:24" ht="15" customHeight="1">
      <c r="A5677" s="3">
        <v>43734</v>
      </c>
      <c r="B5677" s="9">
        <v>27625</v>
      </c>
      <c r="C5677" s="5">
        <v>0</v>
      </c>
      <c r="D5677" s="5">
        <v>42675</v>
      </c>
      <c r="E5677" s="5">
        <v>70300</v>
      </c>
      <c r="F5677" s="4">
        <v>0</v>
      </c>
      <c r="G5677" s="5">
        <v>2900</v>
      </c>
      <c r="H5677" s="5">
        <v>2800</v>
      </c>
      <c r="I5677" s="118">
        <f t="shared" si="736"/>
        <v>3.9829302987197723E-2</v>
      </c>
      <c r="J5677" s="5">
        <v>56848</v>
      </c>
      <c r="K5677" s="22">
        <v>2109</v>
      </c>
      <c r="L5677" s="6">
        <v>2117</v>
      </c>
      <c r="M5677" s="125">
        <f t="shared" si="738"/>
        <v>8</v>
      </c>
      <c r="P5677" s="247">
        <v>16925</v>
      </c>
      <c r="Q5677" s="25">
        <f>168.35/1199.1</f>
        <v>0.14039696438995913</v>
      </c>
      <c r="W5677" s="285">
        <f t="shared" si="741"/>
        <v>2376.2186223000585</v>
      </c>
      <c r="X5677" s="446">
        <f t="shared" si="740"/>
        <v>8.0251303935514464</v>
      </c>
    </row>
    <row r="5678" spans="1:24" ht="15" customHeight="1">
      <c r="A5678" s="3">
        <v>43735</v>
      </c>
      <c r="B5678" s="9">
        <v>27525</v>
      </c>
      <c r="C5678" s="5">
        <v>0</v>
      </c>
      <c r="D5678" s="5">
        <v>42475</v>
      </c>
      <c r="E5678" s="5">
        <v>70000</v>
      </c>
      <c r="F5678" s="4">
        <v>0</v>
      </c>
      <c r="G5678" s="5">
        <v>300</v>
      </c>
      <c r="H5678" s="5">
        <v>2625</v>
      </c>
      <c r="I5678" s="118">
        <f t="shared" si="736"/>
        <v>3.7499999999999999E-2</v>
      </c>
      <c r="J5678" s="5">
        <v>53137</v>
      </c>
      <c r="K5678" s="22">
        <v>2068</v>
      </c>
      <c r="L5678" s="6">
        <v>2077</v>
      </c>
      <c r="M5678" s="125">
        <f t="shared" si="738"/>
        <v>9</v>
      </c>
      <c r="P5678" s="247">
        <v>16900</v>
      </c>
      <c r="Q5678" s="25">
        <f>168.52/1201.3</f>
        <v>0.1402813618579872</v>
      </c>
      <c r="W5678" s="285">
        <f t="shared" si="741"/>
        <v>2370.7550153999837</v>
      </c>
      <c r="X5678" s="446">
        <f t="shared" si="740"/>
        <v>8.1721470019342366</v>
      </c>
    </row>
    <row r="5679" spans="1:24" ht="15" customHeight="1">
      <c r="A5679" s="3">
        <v>43738</v>
      </c>
      <c r="B5679" s="9">
        <v>27425</v>
      </c>
      <c r="C5679" s="5">
        <v>0</v>
      </c>
      <c r="D5679" s="5">
        <v>42225</v>
      </c>
      <c r="E5679" s="5">
        <v>69650</v>
      </c>
      <c r="F5679" s="4">
        <v>0</v>
      </c>
      <c r="G5679" s="5">
        <v>350</v>
      </c>
      <c r="H5679" s="5">
        <v>2275</v>
      </c>
      <c r="I5679" s="118">
        <f t="shared" si="736"/>
        <v>3.2663316582914576E-2</v>
      </c>
      <c r="J5679" s="5">
        <v>42834</v>
      </c>
      <c r="K5679" s="22">
        <v>2085</v>
      </c>
      <c r="L5679" s="6">
        <v>2095</v>
      </c>
      <c r="M5679" s="125">
        <f t="shared" si="738"/>
        <v>10</v>
      </c>
      <c r="N5679" s="381">
        <f>AVERAGE($K$5659:K5679)</f>
        <v>2070.8571428571427</v>
      </c>
      <c r="O5679" s="395">
        <f>AVERAGE($K$5478:K5679)</f>
        <v>1984.2592592592594</v>
      </c>
      <c r="P5679" s="247">
        <v>17000</v>
      </c>
      <c r="Q5679" s="25">
        <f>168.33/1199.2</f>
        <v>0.14036857905270181</v>
      </c>
      <c r="W5679" s="285">
        <f t="shared" si="741"/>
        <v>2386.2658438959306</v>
      </c>
      <c r="X5679" s="446">
        <f t="shared" si="740"/>
        <v>8.1534772182254205</v>
      </c>
    </row>
    <row r="5680" spans="1:24" ht="15" customHeight="1" thickBot="1">
      <c r="A5680" s="216"/>
      <c r="B5680" s="394"/>
      <c r="C5680" s="394"/>
      <c r="D5680" s="394"/>
      <c r="E5680" s="216"/>
      <c r="F5680" s="407"/>
      <c r="G5680" s="164"/>
      <c r="H5680" s="164"/>
      <c r="I5680" s="164"/>
      <c r="J5680" s="166"/>
      <c r="K5680" s="166"/>
      <c r="L5680" s="167"/>
      <c r="M5680" s="167"/>
      <c r="N5680" s="167"/>
      <c r="O5680" s="167"/>
      <c r="P5680" s="180"/>
      <c r="Q5680" s="154"/>
      <c r="R5680" s="248"/>
      <c r="S5680" s="249"/>
      <c r="T5680" s="249"/>
      <c r="U5680" s="152"/>
      <c r="V5680" s="153">
        <f>AVERAGE(P5659:P5679)</f>
        <v>17085</v>
      </c>
      <c r="W5680" s="390"/>
      <c r="X5680" s="447">
        <f>AVERAGE(X5659:X5679)</f>
        <v>8.2567539251037729</v>
      </c>
    </row>
    <row r="5681" spans="1:24" ht="15" customHeight="1">
      <c r="A5681" s="3">
        <v>43739</v>
      </c>
      <c r="B5681" s="9">
        <v>27425</v>
      </c>
      <c r="C5681" s="5">
        <v>0</v>
      </c>
      <c r="D5681" s="5">
        <v>42075</v>
      </c>
      <c r="E5681" s="5">
        <v>69500</v>
      </c>
      <c r="F5681" s="4">
        <v>0</v>
      </c>
      <c r="G5681" s="5">
        <v>150</v>
      </c>
      <c r="H5681" s="5">
        <v>2125</v>
      </c>
      <c r="I5681" s="118">
        <f t="shared" si="736"/>
        <v>3.0575539568345324E-2</v>
      </c>
      <c r="J5681" s="5">
        <v>67962</v>
      </c>
      <c r="K5681" s="22">
        <v>2114</v>
      </c>
      <c r="L5681" s="6">
        <v>2122</v>
      </c>
      <c r="M5681" s="125">
        <f t="shared" si="738"/>
        <v>8</v>
      </c>
      <c r="P5681" s="247"/>
      <c r="Q5681" s="25">
        <f>167.75/1198.2</f>
        <v>0.14000166917042228</v>
      </c>
      <c r="W5681" s="285">
        <f t="shared" ref="W5681:W5743" si="743">(P5681*Q5681)*(1+U5681)</f>
        <v>0</v>
      </c>
      <c r="X5681" s="446"/>
    </row>
    <row r="5682" spans="1:24" ht="15" customHeight="1">
      <c r="A5682" s="3">
        <v>43740</v>
      </c>
      <c r="B5682" s="9">
        <v>27425</v>
      </c>
      <c r="C5682" s="5">
        <v>0</v>
      </c>
      <c r="D5682" s="5">
        <v>41925</v>
      </c>
      <c r="E5682" s="5">
        <v>69350</v>
      </c>
      <c r="F5682" s="4">
        <v>0</v>
      </c>
      <c r="G5682" s="5">
        <v>150</v>
      </c>
      <c r="H5682" s="5">
        <v>1975</v>
      </c>
      <c r="I5682" s="118">
        <f t="shared" si="736"/>
        <v>2.8478731074260993E-2</v>
      </c>
      <c r="J5682" s="5">
        <v>98532</v>
      </c>
      <c r="K5682" s="22">
        <v>2077</v>
      </c>
      <c r="L5682" s="6">
        <v>2090</v>
      </c>
      <c r="M5682" s="125">
        <f t="shared" si="738"/>
        <v>13</v>
      </c>
      <c r="P5682" s="247"/>
      <c r="W5682" s="285">
        <f t="shared" si="743"/>
        <v>0</v>
      </c>
      <c r="X5682" s="446"/>
    </row>
    <row r="5683" spans="1:24" ht="15" customHeight="1">
      <c r="A5683" s="3">
        <v>43741</v>
      </c>
      <c r="B5683" s="9">
        <v>27425</v>
      </c>
      <c r="C5683" s="5">
        <v>0</v>
      </c>
      <c r="D5683" s="5">
        <v>41800</v>
      </c>
      <c r="E5683" s="5">
        <v>69225</v>
      </c>
      <c r="F5683" s="4">
        <v>0</v>
      </c>
      <c r="G5683" s="5">
        <v>125</v>
      </c>
      <c r="H5683" s="5">
        <v>1850</v>
      </c>
      <c r="I5683" s="118">
        <f t="shared" si="736"/>
        <v>2.6724449259660527E-2</v>
      </c>
      <c r="J5683" s="5">
        <v>66686</v>
      </c>
      <c r="K5683" s="22">
        <v>2096</v>
      </c>
      <c r="L5683" s="6">
        <v>2106</v>
      </c>
      <c r="M5683" s="125">
        <f t="shared" si="738"/>
        <v>10</v>
      </c>
      <c r="P5683" s="247"/>
      <c r="Q5683" s="25">
        <f>168.39/1203.7</f>
        <v>0.13989366121126526</v>
      </c>
      <c r="W5683" s="285">
        <f t="shared" si="743"/>
        <v>0</v>
      </c>
      <c r="X5683" s="446"/>
    </row>
    <row r="5684" spans="1:24" ht="15" customHeight="1">
      <c r="A5684" s="3">
        <v>43742</v>
      </c>
      <c r="B5684" s="9">
        <v>27425</v>
      </c>
      <c r="C5684" s="5">
        <v>0</v>
      </c>
      <c r="D5684" s="5">
        <v>41750</v>
      </c>
      <c r="E5684" s="5">
        <v>69175</v>
      </c>
      <c r="F5684" s="4">
        <v>0</v>
      </c>
      <c r="G5684" s="5">
        <v>50</v>
      </c>
      <c r="H5684" s="5">
        <v>2000</v>
      </c>
      <c r="I5684" s="118">
        <f t="shared" si="736"/>
        <v>2.8912179255511383E-2</v>
      </c>
      <c r="J5684" s="5">
        <v>46394</v>
      </c>
      <c r="K5684" s="22">
        <v>2148</v>
      </c>
      <c r="L5684" s="6">
        <v>2143</v>
      </c>
      <c r="M5684" s="125">
        <f t="shared" si="738"/>
        <v>-5</v>
      </c>
      <c r="P5684" s="247"/>
      <c r="Q5684" s="25">
        <f>167.99/1197</f>
        <v>0.14034252297410194</v>
      </c>
      <c r="W5684" s="285">
        <f t="shared" si="743"/>
        <v>0</v>
      </c>
      <c r="X5684" s="446"/>
    </row>
    <row r="5685" spans="1:24" ht="15" customHeight="1">
      <c r="A5685" s="3">
        <v>43745</v>
      </c>
      <c r="B5685" s="9">
        <v>27425</v>
      </c>
      <c r="C5685" s="5">
        <v>0</v>
      </c>
      <c r="D5685" s="5">
        <v>41675</v>
      </c>
      <c r="E5685" s="5">
        <v>69100</v>
      </c>
      <c r="F5685" s="4">
        <v>0</v>
      </c>
      <c r="G5685" s="5">
        <v>75</v>
      </c>
      <c r="H5685" s="5">
        <v>1925</v>
      </c>
      <c r="I5685" s="118">
        <f t="shared" si="736"/>
        <v>2.7858176555716353E-2</v>
      </c>
      <c r="J5685" s="5">
        <v>54985</v>
      </c>
      <c r="K5685" s="22">
        <v>2188</v>
      </c>
      <c r="L5685" s="6">
        <v>2181</v>
      </c>
      <c r="M5685" s="125">
        <f t="shared" si="738"/>
        <v>-7</v>
      </c>
      <c r="P5685" s="247"/>
      <c r="Q5685" s="25">
        <f>167.76/1196.5</f>
        <v>0.14020894274968657</v>
      </c>
      <c r="W5685" s="285">
        <f t="shared" si="743"/>
        <v>0</v>
      </c>
      <c r="X5685" s="446"/>
    </row>
    <row r="5686" spans="1:24" ht="15" customHeight="1">
      <c r="A5686" s="3">
        <v>43746</v>
      </c>
      <c r="B5686" s="9">
        <v>27425</v>
      </c>
      <c r="C5686" s="5">
        <v>0</v>
      </c>
      <c r="D5686" s="5">
        <v>41650</v>
      </c>
      <c r="E5686" s="5">
        <v>69075</v>
      </c>
      <c r="F5686" s="4">
        <v>0</v>
      </c>
      <c r="G5686" s="5">
        <v>25</v>
      </c>
      <c r="H5686" s="5">
        <v>1900</v>
      </c>
      <c r="I5686" s="118">
        <f t="shared" si="736"/>
        <v>2.7506333695258775E-2</v>
      </c>
      <c r="J5686" s="5">
        <v>98578</v>
      </c>
      <c r="K5686" s="22">
        <v>2177</v>
      </c>
      <c r="L5686" s="6">
        <v>2178</v>
      </c>
      <c r="M5686" s="125">
        <f t="shared" si="738"/>
        <v>1</v>
      </c>
      <c r="P5686" s="247">
        <v>17125</v>
      </c>
      <c r="Q5686" s="25">
        <f>167.76/1196.5</f>
        <v>0.14020894274968657</v>
      </c>
      <c r="W5686" s="285">
        <f t="shared" si="743"/>
        <v>2401.0781445883827</v>
      </c>
      <c r="X5686" s="446">
        <f t="shared" si="740"/>
        <v>7.8663298116674323</v>
      </c>
    </row>
    <row r="5687" spans="1:24" ht="15" customHeight="1">
      <c r="A5687" s="3">
        <v>43747</v>
      </c>
      <c r="B5687" s="9">
        <v>27425</v>
      </c>
      <c r="C5687" s="5">
        <v>0</v>
      </c>
      <c r="D5687" s="5">
        <v>41625</v>
      </c>
      <c r="E5687" s="5">
        <v>69050</v>
      </c>
      <c r="F5687" s="4">
        <v>0</v>
      </c>
      <c r="G5687" s="5">
        <v>25</v>
      </c>
      <c r="H5687" s="5">
        <v>2425</v>
      </c>
      <c r="I5687" s="118">
        <f t="shared" si="736"/>
        <v>3.5119478638667635E-2</v>
      </c>
      <c r="J5687" s="5">
        <v>107694</v>
      </c>
      <c r="K5687" s="22">
        <v>2129</v>
      </c>
      <c r="L5687" s="6">
        <v>2133</v>
      </c>
      <c r="M5687" s="125">
        <f t="shared" si="738"/>
        <v>4</v>
      </c>
      <c r="P5687" s="247">
        <v>16950</v>
      </c>
      <c r="Q5687" s="25">
        <f>167.64/1194.7</f>
        <v>0.14031974554281407</v>
      </c>
      <c r="W5687" s="285">
        <f t="shared" si="743"/>
        <v>2378.4196869506986</v>
      </c>
      <c r="X5687" s="446">
        <f t="shared" si="740"/>
        <v>7.9614842649131043</v>
      </c>
    </row>
    <row r="5688" spans="1:24" ht="15" customHeight="1">
      <c r="A5688" s="3">
        <v>43748</v>
      </c>
      <c r="B5688" s="9">
        <v>27425</v>
      </c>
      <c r="C5688" s="5">
        <v>0</v>
      </c>
      <c r="D5688" s="5">
        <v>41525</v>
      </c>
      <c r="E5688" s="5">
        <v>68950</v>
      </c>
      <c r="F5688" s="4">
        <v>0</v>
      </c>
      <c r="G5688" s="5">
        <v>100</v>
      </c>
      <c r="H5688" s="5">
        <v>2350</v>
      </c>
      <c r="I5688" s="118">
        <f t="shared" si="736"/>
        <v>3.4082668600435101E-2</v>
      </c>
      <c r="J5688" s="5">
        <v>87496</v>
      </c>
      <c r="K5688" s="22">
        <v>2162</v>
      </c>
      <c r="L5688" s="6">
        <v>2167</v>
      </c>
      <c r="M5688" s="125">
        <f t="shared" si="738"/>
        <v>5</v>
      </c>
      <c r="P5688" s="247">
        <v>16900</v>
      </c>
      <c r="Q5688" s="25">
        <f>167.87/1196.1</f>
        <v>0.14034779700693922</v>
      </c>
      <c r="W5688" s="285">
        <f t="shared" si="743"/>
        <v>2371.8777694172727</v>
      </c>
      <c r="X5688" s="446">
        <f t="shared" si="740"/>
        <v>7.8168362627197041</v>
      </c>
    </row>
    <row r="5689" spans="1:24" ht="15" customHeight="1">
      <c r="A5689" s="3">
        <v>43749</v>
      </c>
      <c r="B5689" s="9">
        <v>27425</v>
      </c>
      <c r="C5689" s="5">
        <v>0</v>
      </c>
      <c r="D5689" s="5">
        <v>41500</v>
      </c>
      <c r="E5689" s="5">
        <v>68925</v>
      </c>
      <c r="F5689" s="4">
        <v>0</v>
      </c>
      <c r="G5689" s="5">
        <v>25</v>
      </c>
      <c r="H5689" s="5">
        <v>2325</v>
      </c>
      <c r="I5689" s="118">
        <f t="shared" si="736"/>
        <v>3.3732317736670292E-2</v>
      </c>
      <c r="J5689" s="5">
        <v>118370</v>
      </c>
      <c r="K5689" s="22">
        <v>2177</v>
      </c>
      <c r="L5689" s="6">
        <v>2180</v>
      </c>
      <c r="M5689" s="125">
        <f t="shared" si="738"/>
        <v>3</v>
      </c>
      <c r="P5689" s="247">
        <v>16850</v>
      </c>
      <c r="Q5689" s="25">
        <f>167.47/1189.3</f>
        <v>0.1408139241570672</v>
      </c>
      <c r="W5689" s="285">
        <f t="shared" si="743"/>
        <v>2372.7146220465825</v>
      </c>
      <c r="X5689" s="446">
        <f t="shared" si="740"/>
        <v>7.7400091869545244</v>
      </c>
    </row>
    <row r="5690" spans="1:24" ht="15" customHeight="1">
      <c r="A5690" s="3">
        <v>43752</v>
      </c>
      <c r="B5690" s="9">
        <v>27425</v>
      </c>
      <c r="C5690" s="5">
        <v>0</v>
      </c>
      <c r="D5690" s="5">
        <v>41425</v>
      </c>
      <c r="E5690" s="5">
        <v>68850</v>
      </c>
      <c r="F5690" s="4">
        <v>0</v>
      </c>
      <c r="G5690" s="5">
        <v>75</v>
      </c>
      <c r="H5690" s="5">
        <v>2250</v>
      </c>
      <c r="I5690" s="118">
        <f t="shared" si="736"/>
        <v>3.2679738562091505E-2</v>
      </c>
      <c r="J5690" s="5"/>
      <c r="K5690" s="22">
        <v>2129</v>
      </c>
      <c r="L5690" s="6">
        <v>2134</v>
      </c>
      <c r="M5690" s="125">
        <f t="shared" si="738"/>
        <v>5</v>
      </c>
      <c r="P5690" s="247">
        <v>16850</v>
      </c>
      <c r="Q5690" s="25">
        <f>167.52/1183.7</f>
        <v>0.14152234518881474</v>
      </c>
      <c r="W5690" s="285">
        <f t="shared" si="743"/>
        <v>2384.6515164315283</v>
      </c>
      <c r="X5690" s="446">
        <f t="shared" si="740"/>
        <v>7.9145138562705499</v>
      </c>
    </row>
    <row r="5691" spans="1:24" ht="15" customHeight="1">
      <c r="A5691" s="3">
        <v>43753</v>
      </c>
      <c r="B5691" s="9">
        <v>27425</v>
      </c>
      <c r="C5691" s="5">
        <v>0</v>
      </c>
      <c r="D5691" s="5">
        <v>41725</v>
      </c>
      <c r="E5691" s="5">
        <v>69150</v>
      </c>
      <c r="F5691" s="4">
        <v>300</v>
      </c>
      <c r="G5691" s="5">
        <v>0</v>
      </c>
      <c r="H5691" s="5">
        <v>2350</v>
      </c>
      <c r="I5691" s="118">
        <f t="shared" si="736"/>
        <v>3.3984092552422268E-2</v>
      </c>
      <c r="J5691" s="5"/>
      <c r="K5691" s="22">
        <v>2144</v>
      </c>
      <c r="L5691" s="6">
        <v>2148</v>
      </c>
      <c r="M5691" s="125">
        <f t="shared" ref="M5691:M5729" si="744">L5691-K5691</f>
        <v>4</v>
      </c>
      <c r="P5691" s="247">
        <v>16825</v>
      </c>
      <c r="Q5691" s="25">
        <f>167.38/1184.1</f>
        <v>0.14135630436618529</v>
      </c>
      <c r="W5691" s="285">
        <f t="shared" si="743"/>
        <v>2378.3198209610678</v>
      </c>
      <c r="X5691" s="446">
        <f t="shared" si="740"/>
        <v>7.8474813432835822</v>
      </c>
    </row>
    <row r="5692" spans="1:24" ht="15" customHeight="1">
      <c r="A5692" s="3">
        <v>43754</v>
      </c>
      <c r="B5692" s="9">
        <v>27425</v>
      </c>
      <c r="C5692" s="5">
        <v>0</v>
      </c>
      <c r="D5692" s="5">
        <v>41725</v>
      </c>
      <c r="E5692" s="5">
        <v>69150</v>
      </c>
      <c r="F5692" s="4">
        <v>0</v>
      </c>
      <c r="G5692" s="5">
        <v>0</v>
      </c>
      <c r="H5692" s="5">
        <v>3400</v>
      </c>
      <c r="I5692" s="118">
        <f t="shared" si="736"/>
        <v>4.9168474331164135E-2</v>
      </c>
      <c r="J5692" s="5">
        <v>58918</v>
      </c>
      <c r="K5692" s="22">
        <v>2173</v>
      </c>
      <c r="L5692" s="6">
        <v>2164</v>
      </c>
      <c r="M5692" s="125">
        <f t="shared" si="744"/>
        <v>-9</v>
      </c>
      <c r="P5692" s="247">
        <v>16850</v>
      </c>
      <c r="Q5692" s="25">
        <f>167.22/1187</f>
        <v>0.14087615838247683</v>
      </c>
      <c r="W5692" s="285">
        <f t="shared" si="743"/>
        <v>2373.7632687447344</v>
      </c>
      <c r="X5692" s="446">
        <f t="shared" si="740"/>
        <v>7.7542567878508972</v>
      </c>
    </row>
    <row r="5693" spans="1:24" ht="15" customHeight="1">
      <c r="A5693" s="3">
        <v>43755</v>
      </c>
      <c r="B5693" s="9">
        <v>27425</v>
      </c>
      <c r="C5693" s="5">
        <v>0</v>
      </c>
      <c r="D5693" s="5">
        <v>41725</v>
      </c>
      <c r="E5693" s="5">
        <v>69150</v>
      </c>
      <c r="F5693" s="4">
        <v>0</v>
      </c>
      <c r="G5693" s="5">
        <v>0</v>
      </c>
      <c r="H5693" s="5">
        <v>3450</v>
      </c>
      <c r="I5693" s="118">
        <f t="shared" si="736"/>
        <v>4.9891540130151846E-2</v>
      </c>
      <c r="J5693" s="5"/>
      <c r="K5693" s="22">
        <v>2190</v>
      </c>
      <c r="L5693" s="6">
        <v>2176.5</v>
      </c>
      <c r="M5693" s="125">
        <f t="shared" si="744"/>
        <v>-13.5</v>
      </c>
      <c r="P5693" s="247">
        <v>17000</v>
      </c>
      <c r="Q5693" s="25">
        <f>167.05/1186.6</f>
        <v>0.14078038092027645</v>
      </c>
      <c r="W5693" s="285">
        <f t="shared" si="743"/>
        <v>2393.2664756446998</v>
      </c>
      <c r="X5693" s="446">
        <f t="shared" si="740"/>
        <v>7.762557077625571</v>
      </c>
    </row>
    <row r="5694" spans="1:24" ht="15" customHeight="1">
      <c r="A5694" s="3">
        <v>43756</v>
      </c>
      <c r="B5694" s="9">
        <v>27425</v>
      </c>
      <c r="C5694" s="5">
        <v>0</v>
      </c>
      <c r="D5694" s="5">
        <v>41700</v>
      </c>
      <c r="E5694" s="5">
        <v>69125</v>
      </c>
      <c r="F5694" s="4">
        <v>0</v>
      </c>
      <c r="G5694" s="5">
        <v>25</v>
      </c>
      <c r="H5694" s="5">
        <v>3475</v>
      </c>
      <c r="I5694" s="118">
        <f t="shared" si="736"/>
        <v>5.0271247739602169E-2</v>
      </c>
      <c r="J5694" s="5"/>
      <c r="K5694" s="22">
        <v>2211</v>
      </c>
      <c r="L5694" s="6">
        <v>2194</v>
      </c>
      <c r="M5694" s="125">
        <f t="shared" si="744"/>
        <v>-17</v>
      </c>
      <c r="P5694" s="247">
        <v>17025</v>
      </c>
      <c r="Q5694" s="25">
        <f>166.78/1180.5</f>
        <v>0.14127911901736553</v>
      </c>
      <c r="W5694" s="285">
        <f t="shared" si="743"/>
        <v>2405.2770012706483</v>
      </c>
      <c r="X5694" s="446">
        <f t="shared" si="740"/>
        <v>7.700135685210312</v>
      </c>
    </row>
    <row r="5695" spans="1:24" ht="15" customHeight="1">
      <c r="A5695" s="3">
        <v>43759</v>
      </c>
      <c r="B5695" s="9">
        <v>27400</v>
      </c>
      <c r="C5695" s="5">
        <v>0</v>
      </c>
      <c r="D5695" s="5">
        <v>41400</v>
      </c>
      <c r="E5695" s="5">
        <v>68800</v>
      </c>
      <c r="F5695" s="4">
        <v>0</v>
      </c>
      <c r="G5695" s="5">
        <v>325</v>
      </c>
      <c r="H5695" s="5">
        <v>3150</v>
      </c>
      <c r="I5695" s="118">
        <f t="shared" si="736"/>
        <v>4.5784883720930231E-2</v>
      </c>
      <c r="J5695" s="5"/>
      <c r="K5695" s="22">
        <v>2202</v>
      </c>
      <c r="L5695" s="6">
        <v>2185.5</v>
      </c>
      <c r="M5695" s="125">
        <f t="shared" si="744"/>
        <v>-16.5</v>
      </c>
      <c r="P5695" s="247">
        <v>16975</v>
      </c>
      <c r="Q5695" s="25">
        <f>166.15/1175.4</f>
        <v>0.14135613408201464</v>
      </c>
      <c r="W5695" s="285">
        <f t="shared" si="743"/>
        <v>2399.5203760421987</v>
      </c>
      <c r="X5695" s="446">
        <f t="shared" si="740"/>
        <v>7.7089009990917345</v>
      </c>
    </row>
    <row r="5696" spans="1:24" ht="15" customHeight="1">
      <c r="A5696" s="3">
        <v>43760</v>
      </c>
      <c r="B5696" s="9">
        <v>27400</v>
      </c>
      <c r="C5696" s="5">
        <v>0</v>
      </c>
      <c r="D5696" s="5">
        <v>41625</v>
      </c>
      <c r="E5696" s="5">
        <v>69025</v>
      </c>
      <c r="F5696" s="4">
        <v>300</v>
      </c>
      <c r="G5696" s="5">
        <v>75</v>
      </c>
      <c r="H5696" s="5">
        <v>3075</v>
      </c>
      <c r="I5696" s="118">
        <f t="shared" si="736"/>
        <v>4.4549076421586384E-2</v>
      </c>
      <c r="J5696" s="5"/>
      <c r="K5696" s="22">
        <v>2235</v>
      </c>
      <c r="L5696" s="6">
        <v>2217</v>
      </c>
      <c r="M5696" s="125">
        <f t="shared" si="744"/>
        <v>-18</v>
      </c>
      <c r="P5696" s="247">
        <v>16875</v>
      </c>
      <c r="Q5696" s="25">
        <f>165.57/1171.4</f>
        <v>0.14134369130954411</v>
      </c>
      <c r="W5696" s="285">
        <f t="shared" si="743"/>
        <v>2385.1747908485568</v>
      </c>
      <c r="X5696" s="446">
        <f t="shared" si="740"/>
        <v>7.550335570469799</v>
      </c>
    </row>
    <row r="5697" spans="1:24" ht="15" customHeight="1">
      <c r="A5697" s="3">
        <v>43761</v>
      </c>
      <c r="B5697" s="9">
        <v>27400</v>
      </c>
      <c r="C5697" s="5">
        <v>0</v>
      </c>
      <c r="D5697" s="5">
        <v>41900</v>
      </c>
      <c r="E5697" s="5">
        <v>69300</v>
      </c>
      <c r="F5697" s="4">
        <v>300</v>
      </c>
      <c r="G5697" s="5">
        <v>25</v>
      </c>
      <c r="H5697" s="5">
        <v>3050</v>
      </c>
      <c r="I5697" s="118">
        <f t="shared" si="736"/>
        <v>4.4011544011544008E-2</v>
      </c>
      <c r="J5697" s="5"/>
      <c r="K5697" s="22">
        <v>2236</v>
      </c>
      <c r="L5697" s="6">
        <v>2216.5</v>
      </c>
      <c r="M5697" s="125">
        <f t="shared" si="744"/>
        <v>-19.5</v>
      </c>
      <c r="P5697" s="247">
        <v>16700</v>
      </c>
      <c r="Q5697" s="25">
        <f>165.79/1173.7</f>
        <v>0.14125415353156684</v>
      </c>
      <c r="W5697" s="285">
        <f t="shared" si="743"/>
        <v>2358.9443639771662</v>
      </c>
      <c r="X5697" s="446">
        <f t="shared" si="740"/>
        <v>7.4686940966010731</v>
      </c>
    </row>
    <row r="5698" spans="1:24" ht="15" customHeight="1">
      <c r="A5698" s="3">
        <v>43762</v>
      </c>
      <c r="B5698" s="9">
        <v>27400</v>
      </c>
      <c r="C5698" s="5">
        <v>0</v>
      </c>
      <c r="D5698" s="5">
        <v>41850</v>
      </c>
      <c r="E5698" s="5">
        <v>69250</v>
      </c>
      <c r="F5698" s="4">
        <v>0</v>
      </c>
      <c r="G5698" s="5">
        <v>50</v>
      </c>
      <c r="H5698" s="5">
        <v>3000</v>
      </c>
      <c r="I5698" s="118">
        <f t="shared" si="736"/>
        <v>4.3321299638989168E-2</v>
      </c>
      <c r="J5698" s="5">
        <v>39186</v>
      </c>
      <c r="K5698" s="22">
        <v>2242</v>
      </c>
      <c r="L5698" s="6">
        <v>2223.5</v>
      </c>
      <c r="M5698" s="125">
        <f t="shared" si="744"/>
        <v>-18.5</v>
      </c>
      <c r="P5698" s="247">
        <v>16650</v>
      </c>
      <c r="Q5698" s="25">
        <f>165.7/1171</f>
        <v>0.14150298889837745</v>
      </c>
      <c r="W5698" s="285">
        <f t="shared" si="743"/>
        <v>2356.0247651579848</v>
      </c>
      <c r="X5698" s="446">
        <f t="shared" si="740"/>
        <v>7.4264049955396967</v>
      </c>
    </row>
    <row r="5699" spans="1:24" ht="15" customHeight="1">
      <c r="A5699" s="3">
        <v>43763</v>
      </c>
      <c r="B5699" s="9">
        <v>27400</v>
      </c>
      <c r="C5699" s="5">
        <v>0</v>
      </c>
      <c r="D5699" s="5">
        <v>41850</v>
      </c>
      <c r="E5699" s="5">
        <v>69250</v>
      </c>
      <c r="F5699" s="4">
        <v>0</v>
      </c>
      <c r="G5699" s="5">
        <v>0</v>
      </c>
      <c r="H5699" s="5">
        <v>3400</v>
      </c>
      <c r="I5699" s="118">
        <f t="shared" si="736"/>
        <v>4.9097472924187723E-2</v>
      </c>
      <c r="J5699" s="5">
        <v>50539</v>
      </c>
      <c r="K5699" s="22">
        <v>2244.5</v>
      </c>
      <c r="L5699" s="6">
        <v>2228</v>
      </c>
      <c r="M5699" s="125">
        <f t="shared" si="744"/>
        <v>-16.5</v>
      </c>
      <c r="P5699" s="247">
        <v>16650</v>
      </c>
      <c r="Q5699" s="25">
        <f>166.03/1174.2</f>
        <v>0.14139839890989608</v>
      </c>
      <c r="W5699" s="285">
        <f t="shared" si="743"/>
        <v>2354.2833418497698</v>
      </c>
      <c r="X5699" s="446">
        <f t="shared" si="740"/>
        <v>7.418133214524393</v>
      </c>
    </row>
    <row r="5700" spans="1:24" ht="15" customHeight="1">
      <c r="A5700" s="3">
        <v>43766</v>
      </c>
      <c r="B5700" s="9">
        <v>27400</v>
      </c>
      <c r="C5700" s="5">
        <v>0</v>
      </c>
      <c r="D5700" s="5">
        <v>42150</v>
      </c>
      <c r="E5700" s="5">
        <v>69550</v>
      </c>
      <c r="F5700" s="4">
        <v>300</v>
      </c>
      <c r="G5700" s="5">
        <v>0</v>
      </c>
      <c r="H5700" s="5">
        <v>3400</v>
      </c>
      <c r="I5700" s="118">
        <f t="shared" si="736"/>
        <v>4.8885693745506831E-2</v>
      </c>
      <c r="J5700" s="5"/>
      <c r="K5700" s="22">
        <v>2232</v>
      </c>
      <c r="L5700" s="6">
        <v>2207.5</v>
      </c>
      <c r="M5700" s="125">
        <f t="shared" si="744"/>
        <v>-24.5</v>
      </c>
      <c r="P5700" s="247">
        <v>16675</v>
      </c>
      <c r="Q5700" s="25">
        <f>165.66/1169.6</f>
        <v>0.14163816689466485</v>
      </c>
      <c r="W5700" s="285">
        <f t="shared" si="743"/>
        <v>2361.8164329685364</v>
      </c>
      <c r="X5700" s="446">
        <f t="shared" si="740"/>
        <v>7.4708781362007173</v>
      </c>
    </row>
    <row r="5701" spans="1:24" ht="15" customHeight="1">
      <c r="A5701" s="3">
        <v>43767</v>
      </c>
      <c r="B5701" s="9">
        <v>27400</v>
      </c>
      <c r="C5701" s="5">
        <v>0</v>
      </c>
      <c r="D5701" s="5">
        <v>42400</v>
      </c>
      <c r="E5701" s="5">
        <v>69800</v>
      </c>
      <c r="F5701" s="4">
        <v>300</v>
      </c>
      <c r="G5701" s="5">
        <v>50</v>
      </c>
      <c r="H5701" s="5">
        <v>3725</v>
      </c>
      <c r="I5701" s="118">
        <f t="shared" si="736"/>
        <v>5.3366762177650427E-2</v>
      </c>
      <c r="J5701" s="5"/>
      <c r="K5701" s="22">
        <v>2267</v>
      </c>
      <c r="L5701" s="6">
        <v>2242</v>
      </c>
      <c r="M5701" s="125">
        <f t="shared" si="744"/>
        <v>-25</v>
      </c>
      <c r="P5701" s="247">
        <v>16675</v>
      </c>
      <c r="Q5701" s="25">
        <f>165.29/1166.5</f>
        <v>0.14169738534076295</v>
      </c>
      <c r="W5701" s="285">
        <f t="shared" si="743"/>
        <v>2362.8039005572223</v>
      </c>
      <c r="X5701" s="446">
        <f t="shared" si="740"/>
        <v>7.3555359505955007</v>
      </c>
    </row>
    <row r="5702" spans="1:24" ht="15" customHeight="1">
      <c r="A5702" s="3">
        <v>43768</v>
      </c>
      <c r="B5702" s="9">
        <v>27400</v>
      </c>
      <c r="C5702" s="5">
        <v>0</v>
      </c>
      <c r="D5702" s="5">
        <v>42700</v>
      </c>
      <c r="E5702" s="5">
        <v>70100</v>
      </c>
      <c r="F5702" s="4">
        <v>300</v>
      </c>
      <c r="G5702" s="5">
        <v>0</v>
      </c>
      <c r="H5702" s="5">
        <v>3725</v>
      </c>
      <c r="I5702" s="118">
        <f t="shared" si="736"/>
        <v>5.3138373751783166E-2</v>
      </c>
      <c r="J5702" s="5">
        <v>45273</v>
      </c>
      <c r="K5702" s="22">
        <v>2255.5</v>
      </c>
      <c r="L5702" s="6">
        <v>2232</v>
      </c>
      <c r="M5702" s="125">
        <f t="shared" si="744"/>
        <v>-23.5</v>
      </c>
      <c r="P5702" s="247">
        <v>16675</v>
      </c>
      <c r="Q5702" s="25">
        <f>165.45/1168.4</f>
        <v>0.14160390277302293</v>
      </c>
      <c r="W5702" s="285">
        <f t="shared" si="743"/>
        <v>2361.2450787401572</v>
      </c>
      <c r="X5702" s="446">
        <f t="shared" si="740"/>
        <v>7.3930392374196412</v>
      </c>
    </row>
    <row r="5703" spans="1:24" ht="15" customHeight="1">
      <c r="A5703" s="3">
        <v>43769</v>
      </c>
      <c r="B5703" s="9">
        <v>27400</v>
      </c>
      <c r="C5703" s="5">
        <v>0</v>
      </c>
      <c r="D5703" s="5">
        <v>42700</v>
      </c>
      <c r="E5703" s="5">
        <v>70100</v>
      </c>
      <c r="F5703" s="4">
        <v>0</v>
      </c>
      <c r="G5703" s="5">
        <v>0</v>
      </c>
      <c r="H5703" s="5">
        <v>3975</v>
      </c>
      <c r="I5703" s="118">
        <f t="shared" si="736"/>
        <v>5.6704707560627676E-2</v>
      </c>
      <c r="J5703" s="5"/>
      <c r="K5703" s="22">
        <v>2210</v>
      </c>
      <c r="L5703" s="6">
        <v>2192</v>
      </c>
      <c r="M5703" s="125">
        <f t="shared" si="744"/>
        <v>-18</v>
      </c>
      <c r="N5703" s="381">
        <f>AVERAGE($K$5681:K5703)</f>
        <v>2184.304347826087</v>
      </c>
      <c r="O5703" s="395">
        <f>AVERAGE($K$5478:K5703)</f>
        <v>2005.9622641509434</v>
      </c>
      <c r="P5703" s="247">
        <v>16550</v>
      </c>
      <c r="Q5703" s="25">
        <f>164.93/1161.7</f>
        <v>0.14197297064646638</v>
      </c>
      <c r="W5703" s="285">
        <f t="shared" si="743"/>
        <v>2349.6526641990185</v>
      </c>
      <c r="X5703" s="446">
        <f t="shared" si="740"/>
        <v>7.4886877828054299</v>
      </c>
    </row>
    <row r="5704" spans="1:24" ht="15" customHeight="1" thickBot="1">
      <c r="A5704" s="216"/>
      <c r="B5704" s="394"/>
      <c r="C5704" s="394"/>
      <c r="D5704" s="394"/>
      <c r="E5704" s="216"/>
      <c r="F5704" s="407"/>
      <c r="G5704" s="164"/>
      <c r="H5704" s="164"/>
      <c r="I5704" s="164"/>
      <c r="J5704" s="166"/>
      <c r="K5704" s="166"/>
      <c r="L5704" s="167"/>
      <c r="M5704" s="167"/>
      <c r="N5704" s="167"/>
      <c r="O5704" s="167"/>
      <c r="P5704" s="180"/>
      <c r="Q5704" s="154"/>
      <c r="R5704" s="248"/>
      <c r="S5704" s="249"/>
      <c r="T5704" s="249"/>
      <c r="U5704" s="152"/>
      <c r="V5704" s="153">
        <f>AVERAGE(P5681:P5703)</f>
        <v>16822.222222222223</v>
      </c>
      <c r="W5704" s="390"/>
      <c r="X5704" s="447">
        <f>AVERAGE(X5681:X5703)</f>
        <v>7.6469007922079824</v>
      </c>
    </row>
    <row r="5705" spans="1:24" ht="15" customHeight="1">
      <c r="A5705" s="3">
        <v>43770</v>
      </c>
      <c r="B5705" s="9">
        <v>27400</v>
      </c>
      <c r="C5705" s="5">
        <v>0</v>
      </c>
      <c r="D5705" s="5">
        <v>42675</v>
      </c>
      <c r="E5705" s="5">
        <v>70075</v>
      </c>
      <c r="F5705" s="4">
        <v>0</v>
      </c>
      <c r="G5705" s="5">
        <v>25</v>
      </c>
      <c r="H5705" s="5">
        <v>3950</v>
      </c>
      <c r="I5705" s="118">
        <f t="shared" si="736"/>
        <v>5.6368176953264362E-2</v>
      </c>
      <c r="J5705" s="5">
        <v>53330</v>
      </c>
      <c r="K5705" s="22">
        <v>2176</v>
      </c>
      <c r="L5705" s="6">
        <v>2165</v>
      </c>
      <c r="M5705" s="125">
        <f t="shared" si="744"/>
        <v>-11</v>
      </c>
      <c r="P5705" s="247">
        <v>16525</v>
      </c>
      <c r="Q5705" s="25">
        <f>165.61/1167.6</f>
        <v>0.14183795820486469</v>
      </c>
      <c r="W5705" s="285">
        <f t="shared" si="743"/>
        <v>2343.8722593353891</v>
      </c>
      <c r="X5705" s="446">
        <f t="shared" si="740"/>
        <v>7.594209558823529</v>
      </c>
    </row>
    <row r="5706" spans="1:24" ht="15" customHeight="1">
      <c r="A5706" s="3">
        <v>43773</v>
      </c>
      <c r="B5706" s="9">
        <v>27400</v>
      </c>
      <c r="C5706" s="5">
        <v>0</v>
      </c>
      <c r="D5706" s="5">
        <v>42675</v>
      </c>
      <c r="E5706" s="5">
        <v>70075</v>
      </c>
      <c r="F5706" s="4">
        <v>0</v>
      </c>
      <c r="G5706" s="5">
        <v>0</v>
      </c>
      <c r="H5706" s="5">
        <v>6050</v>
      </c>
      <c r="I5706" s="118">
        <f t="shared" si="736"/>
        <v>8.6336068498037821E-2</v>
      </c>
      <c r="J5706" s="5">
        <v>41390</v>
      </c>
      <c r="K5706" s="22">
        <v>2176</v>
      </c>
      <c r="L5706" s="6">
        <v>2165</v>
      </c>
      <c r="M5706" s="125">
        <f t="shared" si="744"/>
        <v>-11</v>
      </c>
      <c r="P5706" s="247">
        <v>16500</v>
      </c>
      <c r="Q5706" s="25">
        <f>165.08/1160.4</f>
        <v>0.14226128921061704</v>
      </c>
      <c r="W5706" s="285">
        <f t="shared" si="743"/>
        <v>2347.3112719751812</v>
      </c>
      <c r="X5706" s="446">
        <f t="shared" si="740"/>
        <v>7.5827205882352944</v>
      </c>
    </row>
    <row r="5707" spans="1:24" ht="15" customHeight="1">
      <c r="A5707" s="3">
        <v>43774</v>
      </c>
      <c r="B5707" s="9">
        <v>27400</v>
      </c>
      <c r="C5707" s="5">
        <v>0</v>
      </c>
      <c r="D5707" s="5">
        <v>42675</v>
      </c>
      <c r="E5707" s="5">
        <v>70075</v>
      </c>
      <c r="F5707" s="4">
        <v>0</v>
      </c>
      <c r="G5707" s="5">
        <v>0</v>
      </c>
      <c r="H5707" s="5">
        <v>6050</v>
      </c>
      <c r="I5707" s="118">
        <f t="shared" si="736"/>
        <v>8.6336068498037821E-2</v>
      </c>
      <c r="J5707" s="5">
        <v>51968</v>
      </c>
      <c r="K5707" s="22">
        <v>2173</v>
      </c>
      <c r="L5707" s="6">
        <v>2165</v>
      </c>
      <c r="M5707" s="125">
        <f t="shared" si="744"/>
        <v>-8</v>
      </c>
      <c r="P5707" s="247">
        <v>16450</v>
      </c>
      <c r="Q5707" s="25">
        <f>165.23/1160.1</f>
        <v>0.14242737695026292</v>
      </c>
      <c r="W5707" s="285">
        <f t="shared" si="743"/>
        <v>2342.9303508318249</v>
      </c>
      <c r="X5707" s="446">
        <f t="shared" si="740"/>
        <v>7.5701794753796596</v>
      </c>
    </row>
    <row r="5708" spans="1:24" ht="15" customHeight="1">
      <c r="A5708" s="3">
        <v>43775</v>
      </c>
      <c r="B5708" s="9">
        <v>27400</v>
      </c>
      <c r="C5708" s="5">
        <v>0</v>
      </c>
      <c r="D5708" s="5">
        <v>42600</v>
      </c>
      <c r="E5708" s="5">
        <v>70000</v>
      </c>
      <c r="F5708" s="4">
        <v>0</v>
      </c>
      <c r="G5708" s="5">
        <v>75</v>
      </c>
      <c r="H5708" s="5">
        <v>6225</v>
      </c>
      <c r="I5708" s="118">
        <f t="shared" si="736"/>
        <v>8.8928571428571426E-2</v>
      </c>
      <c r="J5708" s="5">
        <v>47251</v>
      </c>
      <c r="K5708" s="22">
        <v>2138</v>
      </c>
      <c r="L5708" s="6">
        <v>2132</v>
      </c>
      <c r="M5708" s="125">
        <f t="shared" si="744"/>
        <v>-6</v>
      </c>
      <c r="P5708" s="247">
        <v>16350</v>
      </c>
      <c r="Q5708" s="25">
        <f>165.5/1157.5</f>
        <v>0.1429805615550756</v>
      </c>
      <c r="W5708" s="285">
        <f t="shared" si="743"/>
        <v>2337.732181425486</v>
      </c>
      <c r="X5708" s="446">
        <f t="shared" si="740"/>
        <v>7.6473339569691303</v>
      </c>
    </row>
    <row r="5709" spans="1:24" ht="15" customHeight="1">
      <c r="A5709" s="3">
        <v>43776</v>
      </c>
      <c r="B5709" s="9">
        <v>27400</v>
      </c>
      <c r="C5709" s="5">
        <v>0</v>
      </c>
      <c r="D5709" s="5">
        <v>42550</v>
      </c>
      <c r="E5709" s="5">
        <v>69950</v>
      </c>
      <c r="F5709" s="4">
        <v>0</v>
      </c>
      <c r="G5709" s="5">
        <v>50</v>
      </c>
      <c r="H5709" s="5">
        <v>6175</v>
      </c>
      <c r="I5709" s="118">
        <f t="shared" si="736"/>
        <v>8.8277340957827022E-2</v>
      </c>
      <c r="J5709" s="5">
        <v>64884</v>
      </c>
      <c r="K5709" s="22">
        <v>2105</v>
      </c>
      <c r="L5709" s="6">
        <v>2104</v>
      </c>
      <c r="M5709" s="125">
        <f t="shared" si="744"/>
        <v>-1</v>
      </c>
      <c r="P5709" s="247">
        <v>16250</v>
      </c>
      <c r="Q5709" s="25">
        <f>165.41/1160.6</f>
        <v>0.1425211097708082</v>
      </c>
      <c r="W5709" s="285">
        <f t="shared" si="743"/>
        <v>2315.9680337756331</v>
      </c>
      <c r="X5709" s="446">
        <f t="shared" si="740"/>
        <v>7.7197149643705467</v>
      </c>
    </row>
    <row r="5710" spans="1:24" ht="15" customHeight="1">
      <c r="A5710" s="3">
        <v>43777</v>
      </c>
      <c r="B5710" s="9">
        <v>27200</v>
      </c>
      <c r="C5710" s="5">
        <v>0</v>
      </c>
      <c r="D5710" s="5">
        <v>42400</v>
      </c>
      <c r="E5710" s="5">
        <v>69600</v>
      </c>
      <c r="F5710" s="4">
        <v>0</v>
      </c>
      <c r="G5710" s="5">
        <v>350</v>
      </c>
      <c r="H5710" s="5">
        <v>5875</v>
      </c>
      <c r="I5710" s="118">
        <f t="shared" si="736"/>
        <v>8.441091954022989E-2</v>
      </c>
      <c r="J5710" s="5">
        <v>64469</v>
      </c>
      <c r="K5710" s="22">
        <v>2101</v>
      </c>
      <c r="L5710" s="6">
        <v>2090.5</v>
      </c>
      <c r="M5710" s="125">
        <f t="shared" si="744"/>
        <v>-10.5</v>
      </c>
      <c r="P5710" s="247">
        <v>16200</v>
      </c>
      <c r="Q5710" s="25">
        <f>165.63/1156.1</f>
        <v>0.14326615344693366</v>
      </c>
      <c r="W5710" s="285">
        <f t="shared" si="743"/>
        <v>2320.9116858403254</v>
      </c>
      <c r="X5710" s="446">
        <f t="shared" si="740"/>
        <v>7.7106139933365068</v>
      </c>
    </row>
    <row r="5711" spans="1:24" ht="15" customHeight="1">
      <c r="A5711" s="3">
        <v>43780</v>
      </c>
      <c r="B5711" s="9">
        <v>27200</v>
      </c>
      <c r="C5711" s="5">
        <v>0</v>
      </c>
      <c r="D5711" s="5">
        <v>41750</v>
      </c>
      <c r="E5711" s="5">
        <v>68950</v>
      </c>
      <c r="F5711" s="4">
        <v>0</v>
      </c>
      <c r="G5711" s="5">
        <v>650</v>
      </c>
      <c r="H5711" s="5">
        <v>5425</v>
      </c>
      <c r="I5711" s="118">
        <f t="shared" si="736"/>
        <v>7.8680203045685279E-2</v>
      </c>
      <c r="J5711" s="5">
        <v>52845</v>
      </c>
      <c r="K5711" s="22">
        <v>2115</v>
      </c>
      <c r="L5711" s="6">
        <v>2111</v>
      </c>
      <c r="M5711" s="125">
        <f t="shared" si="744"/>
        <v>-4</v>
      </c>
      <c r="P5711" s="247">
        <v>16100</v>
      </c>
      <c r="Q5711" s="25">
        <f>165.93/1161.3</f>
        <v>0.14288297597520022</v>
      </c>
      <c r="W5711" s="285">
        <f t="shared" si="743"/>
        <v>2300.4159132007235</v>
      </c>
      <c r="X5711" s="446">
        <f t="shared" si="740"/>
        <v>7.6122931442080377</v>
      </c>
    </row>
    <row r="5712" spans="1:24" ht="15" customHeight="1">
      <c r="A5712" s="3">
        <v>43781</v>
      </c>
      <c r="B5712" s="9">
        <v>27100</v>
      </c>
      <c r="C5712" s="5">
        <v>0</v>
      </c>
      <c r="D5712" s="5">
        <v>40925</v>
      </c>
      <c r="E5712" s="5">
        <v>68025</v>
      </c>
      <c r="F5712" s="4">
        <v>150</v>
      </c>
      <c r="G5712" s="5">
        <v>1075</v>
      </c>
      <c r="H5712" s="5">
        <v>4450</v>
      </c>
      <c r="I5712" s="118">
        <f t="shared" ref="I5712:I5743" si="745">H5712/E5712</f>
        <v>6.5417126056596844E-2</v>
      </c>
      <c r="J5712" s="5">
        <v>53205</v>
      </c>
      <c r="K5712" s="22">
        <v>2078.5</v>
      </c>
      <c r="L5712" s="6">
        <v>2079</v>
      </c>
      <c r="M5712" s="125">
        <f t="shared" si="744"/>
        <v>0.5</v>
      </c>
      <c r="P5712" s="247">
        <v>15850</v>
      </c>
      <c r="Q5712" s="25">
        <f>166.18/1163.5</f>
        <v>0.14282767511817793</v>
      </c>
      <c r="W5712" s="285">
        <f t="shared" si="743"/>
        <v>2263.81865062312</v>
      </c>
      <c r="X5712" s="446">
        <f t="shared" si="740"/>
        <v>7.6256916045224923</v>
      </c>
    </row>
    <row r="5713" spans="1:24" ht="15" customHeight="1">
      <c r="A5713" s="3">
        <v>43782</v>
      </c>
      <c r="B5713" s="9">
        <v>27100</v>
      </c>
      <c r="C5713" s="5">
        <v>0</v>
      </c>
      <c r="D5713" s="5">
        <v>40175</v>
      </c>
      <c r="E5713" s="5">
        <v>67275</v>
      </c>
      <c r="F5713" s="4">
        <v>0</v>
      </c>
      <c r="G5713" s="5">
        <v>750</v>
      </c>
      <c r="H5713" s="5">
        <v>3700</v>
      </c>
      <c r="I5713" s="118">
        <f t="shared" si="745"/>
        <v>5.4998141954663696E-2</v>
      </c>
      <c r="J5713" s="5">
        <v>59986</v>
      </c>
      <c r="K5713" s="22">
        <v>2037</v>
      </c>
      <c r="L5713" s="6">
        <v>2037</v>
      </c>
      <c r="M5713" s="125">
        <f t="shared" si="744"/>
        <v>0</v>
      </c>
      <c r="P5713" s="247">
        <v>15875</v>
      </c>
      <c r="Q5713" s="25">
        <f>166.32/1167.6</f>
        <v>0.14244604316546763</v>
      </c>
      <c r="W5713" s="285">
        <f t="shared" si="743"/>
        <v>2261.3309352517986</v>
      </c>
      <c r="X5713" s="446">
        <f t="shared" si="740"/>
        <v>7.7933235149729994</v>
      </c>
    </row>
    <row r="5714" spans="1:24" ht="15" customHeight="1">
      <c r="A5714" s="3">
        <v>43783</v>
      </c>
      <c r="B5714" s="9">
        <v>26950</v>
      </c>
      <c r="C5714" s="5">
        <v>0</v>
      </c>
      <c r="D5714" s="5">
        <v>40100</v>
      </c>
      <c r="E5714" s="5">
        <v>67050</v>
      </c>
      <c r="F5714" s="4">
        <v>0</v>
      </c>
      <c r="G5714" s="5">
        <v>225</v>
      </c>
      <c r="H5714" s="5">
        <v>3500</v>
      </c>
      <c r="I5714" s="118">
        <f t="shared" si="745"/>
        <v>5.219985085756898E-2</v>
      </c>
      <c r="J5714" s="5">
        <v>60286</v>
      </c>
      <c r="K5714" s="22">
        <v>2023.5</v>
      </c>
      <c r="L5714" s="6">
        <v>2028</v>
      </c>
      <c r="M5714" s="125">
        <f t="shared" si="744"/>
        <v>4.5</v>
      </c>
      <c r="P5714" s="247">
        <v>15775</v>
      </c>
      <c r="Q5714" s="25">
        <f>166.67/1170.4</f>
        <v>0.14240430622009567</v>
      </c>
      <c r="W5714" s="285">
        <f t="shared" si="743"/>
        <v>2246.4279306220092</v>
      </c>
      <c r="X5714" s="446">
        <f t="shared" si="740"/>
        <v>7.7958981961947122</v>
      </c>
    </row>
    <row r="5715" spans="1:24" ht="15" customHeight="1">
      <c r="A5715" s="3">
        <v>43784</v>
      </c>
      <c r="B5715" s="9">
        <v>26800</v>
      </c>
      <c r="C5715" s="5">
        <v>0</v>
      </c>
      <c r="D5715" s="5">
        <v>40050</v>
      </c>
      <c r="E5715" s="5">
        <v>66850</v>
      </c>
      <c r="F5715" s="4">
        <v>0</v>
      </c>
      <c r="G5715" s="5">
        <v>200</v>
      </c>
      <c r="H5715" s="5">
        <v>3300</v>
      </c>
      <c r="I5715" s="118">
        <f t="shared" si="745"/>
        <v>4.93642483171279E-2</v>
      </c>
      <c r="J5715" s="5">
        <v>127447</v>
      </c>
      <c r="K5715" s="22">
        <v>2004</v>
      </c>
      <c r="L5715" s="6">
        <v>2009</v>
      </c>
      <c r="M5715" s="125">
        <f t="shared" si="744"/>
        <v>5</v>
      </c>
      <c r="P5715" s="247">
        <v>15800</v>
      </c>
      <c r="Q5715" s="25">
        <f>166.36/1166.3</f>
        <v>0.14263911515047589</v>
      </c>
      <c r="W5715" s="285">
        <f t="shared" si="743"/>
        <v>2253.6980193775189</v>
      </c>
      <c r="X5715" s="446">
        <f t="shared" si="740"/>
        <v>7.8842315369261478</v>
      </c>
    </row>
    <row r="5716" spans="1:24" ht="15" customHeight="1">
      <c r="A5716" s="3">
        <v>43787</v>
      </c>
      <c r="B5716" s="9">
        <v>26750</v>
      </c>
      <c r="C5716" s="5">
        <v>0</v>
      </c>
      <c r="D5716" s="5">
        <v>40000</v>
      </c>
      <c r="E5716" s="5">
        <v>66750</v>
      </c>
      <c r="F5716" s="4">
        <v>0</v>
      </c>
      <c r="G5716" s="5">
        <v>100</v>
      </c>
      <c r="H5716" s="5">
        <v>2675</v>
      </c>
      <c r="I5716" s="118">
        <f t="shared" si="745"/>
        <v>4.0074906367041196E-2</v>
      </c>
      <c r="J5716" s="5">
        <v>63885</v>
      </c>
      <c r="K5716" s="22">
        <v>1976</v>
      </c>
      <c r="L5716" s="6">
        <v>1991</v>
      </c>
      <c r="M5716" s="125">
        <f t="shared" si="744"/>
        <v>15</v>
      </c>
      <c r="P5716" s="247">
        <v>15900</v>
      </c>
      <c r="Q5716" s="25">
        <f>166.16/1167.1</f>
        <v>0.1423699768657356</v>
      </c>
      <c r="W5716" s="285">
        <f t="shared" si="743"/>
        <v>2263.6826321651961</v>
      </c>
      <c r="X5716" s="446">
        <f t="shared" si="740"/>
        <v>8.0465587044534406</v>
      </c>
    </row>
    <row r="5717" spans="1:24" ht="15" customHeight="1">
      <c r="A5717" s="3">
        <v>43788</v>
      </c>
      <c r="B5717" s="9">
        <v>26750</v>
      </c>
      <c r="C5717" s="5">
        <v>0</v>
      </c>
      <c r="D5717" s="5">
        <v>40275</v>
      </c>
      <c r="E5717" s="5">
        <v>67025</v>
      </c>
      <c r="F5717" s="4">
        <v>300</v>
      </c>
      <c r="G5717" s="5">
        <v>25</v>
      </c>
      <c r="H5717" s="5">
        <v>2650</v>
      </c>
      <c r="I5717" s="118">
        <f t="shared" si="745"/>
        <v>3.9537486012681838E-2</v>
      </c>
      <c r="J5717" s="5">
        <v>67826</v>
      </c>
      <c r="K5717" s="22">
        <v>1967.5</v>
      </c>
      <c r="L5717" s="6">
        <v>1978</v>
      </c>
      <c r="M5717" s="125">
        <f t="shared" si="744"/>
        <v>10.5</v>
      </c>
      <c r="P5717" s="247">
        <v>15750</v>
      </c>
      <c r="Q5717" s="25">
        <f>166.25/1168.6</f>
        <v>0.14226424781790178</v>
      </c>
      <c r="W5717" s="285">
        <f t="shared" si="743"/>
        <v>2240.6619031319533</v>
      </c>
      <c r="X5717" s="446">
        <f t="shared" si="740"/>
        <v>8.0050825921219815</v>
      </c>
    </row>
    <row r="5718" spans="1:24" ht="15" customHeight="1">
      <c r="A5718" s="3">
        <v>43789</v>
      </c>
      <c r="B5718" s="9">
        <v>26750</v>
      </c>
      <c r="C5718" s="5">
        <v>0</v>
      </c>
      <c r="D5718" s="5">
        <v>40525</v>
      </c>
      <c r="E5718" s="5">
        <v>67275</v>
      </c>
      <c r="F5718" s="4">
        <v>300</v>
      </c>
      <c r="G5718" s="5">
        <v>50</v>
      </c>
      <c r="H5718" s="5">
        <v>2600</v>
      </c>
      <c r="I5718" s="118">
        <f t="shared" si="745"/>
        <v>3.864734299516908E-2</v>
      </c>
      <c r="J5718" s="5">
        <v>66667</v>
      </c>
      <c r="K5718" s="22">
        <v>1997</v>
      </c>
      <c r="L5718" s="6">
        <v>2000.5</v>
      </c>
      <c r="M5718" s="125">
        <f t="shared" si="744"/>
        <v>3.5</v>
      </c>
      <c r="P5718" s="247">
        <v>15800</v>
      </c>
      <c r="Q5718" s="25">
        <f>166.37/1170.1</f>
        <v>0.14218442868130932</v>
      </c>
      <c r="W5718" s="285">
        <f t="shared" si="743"/>
        <v>2246.5139731646873</v>
      </c>
      <c r="X5718" s="446">
        <f t="shared" si="740"/>
        <v>7.9118678017025541</v>
      </c>
    </row>
    <row r="5719" spans="1:24" ht="15" customHeight="1">
      <c r="A5719" s="3">
        <v>43790</v>
      </c>
      <c r="B5719" s="9">
        <v>26650</v>
      </c>
      <c r="C5719" s="5">
        <v>0</v>
      </c>
      <c r="D5719" s="5">
        <v>40475</v>
      </c>
      <c r="E5719" s="5">
        <v>67125</v>
      </c>
      <c r="F5719" s="4">
        <v>0</v>
      </c>
      <c r="G5719" s="5">
        <v>150</v>
      </c>
      <c r="H5719" s="5">
        <v>2450</v>
      </c>
      <c r="I5719" s="118">
        <f t="shared" si="745"/>
        <v>3.6499068901303541E-2</v>
      </c>
      <c r="J5719" s="5">
        <v>40811</v>
      </c>
      <c r="K5719" s="22">
        <v>1972.5</v>
      </c>
      <c r="L5719" s="6">
        <v>1982</v>
      </c>
      <c r="M5719" s="125">
        <f t="shared" si="744"/>
        <v>9.5</v>
      </c>
      <c r="P5719" s="247">
        <v>15600</v>
      </c>
      <c r="Q5719" s="25">
        <f>167.05/1176.5</f>
        <v>0.14198895027624311</v>
      </c>
      <c r="W5719" s="285">
        <f t="shared" si="743"/>
        <v>2215.0276243093926</v>
      </c>
      <c r="X5719" s="446">
        <f t="shared" si="740"/>
        <v>7.9087452471482891</v>
      </c>
    </row>
    <row r="5720" spans="1:24" ht="15" customHeight="1">
      <c r="A5720" s="3">
        <v>43791</v>
      </c>
      <c r="B5720" s="9">
        <v>26650</v>
      </c>
      <c r="C5720" s="5">
        <v>0</v>
      </c>
      <c r="D5720" s="5">
        <v>40475</v>
      </c>
      <c r="E5720" s="5">
        <v>67125</v>
      </c>
      <c r="F5720" s="4">
        <v>0</v>
      </c>
      <c r="G5720" s="5">
        <v>0</v>
      </c>
      <c r="H5720" s="5">
        <v>2650</v>
      </c>
      <c r="I5720" s="118">
        <f t="shared" si="745"/>
        <v>3.9478584729981378E-2</v>
      </c>
      <c r="J5720" s="5">
        <v>37118</v>
      </c>
      <c r="K5720" s="22">
        <v>1958</v>
      </c>
      <c r="L5720" s="6">
        <v>1966</v>
      </c>
      <c r="M5720" s="125">
        <f t="shared" si="744"/>
        <v>8</v>
      </c>
      <c r="P5720" s="247">
        <v>15725</v>
      </c>
      <c r="Q5720" s="25">
        <f>167.47/1177.8</f>
        <v>0.14218882662591273</v>
      </c>
      <c r="W5720" s="285">
        <f t="shared" si="743"/>
        <v>2235.9192986924777</v>
      </c>
      <c r="X5720" s="446">
        <f t="shared" si="740"/>
        <v>8.0311542390194077</v>
      </c>
    </row>
    <row r="5721" spans="1:24" ht="15" customHeight="1">
      <c r="A5721" s="3">
        <v>43794</v>
      </c>
      <c r="B5721" s="9">
        <v>26650</v>
      </c>
      <c r="C5721" s="5">
        <v>0</v>
      </c>
      <c r="D5721" s="5">
        <v>40450</v>
      </c>
      <c r="E5721" s="5">
        <v>67100</v>
      </c>
      <c r="F5721" s="4">
        <v>0</v>
      </c>
      <c r="G5721" s="5">
        <v>25</v>
      </c>
      <c r="H5721" s="5">
        <v>2625</v>
      </c>
      <c r="I5721" s="118">
        <f t="shared" si="745"/>
        <v>3.9120715350223545E-2</v>
      </c>
      <c r="J5721" s="5">
        <v>35333</v>
      </c>
      <c r="K5721" s="22">
        <v>1945</v>
      </c>
      <c r="L5721" s="6">
        <v>1959</v>
      </c>
      <c r="M5721" s="125">
        <f t="shared" si="744"/>
        <v>14</v>
      </c>
      <c r="P5721" s="247">
        <v>15750</v>
      </c>
      <c r="Q5721" s="25">
        <f>167.22/1176.2</f>
        <v>0.14216969903077709</v>
      </c>
      <c r="W5721" s="285">
        <f t="shared" si="743"/>
        <v>2239.172759734739</v>
      </c>
      <c r="X5721" s="446">
        <f t="shared" si="740"/>
        <v>8.0976863753213362</v>
      </c>
    </row>
    <row r="5722" spans="1:24" ht="15" customHeight="1">
      <c r="A5722" s="3">
        <v>43795</v>
      </c>
      <c r="B5722" s="9">
        <v>26650</v>
      </c>
      <c r="C5722" s="5">
        <v>0</v>
      </c>
      <c r="D5722" s="5">
        <v>40725</v>
      </c>
      <c r="E5722" s="5">
        <v>67375</v>
      </c>
      <c r="F5722" s="4">
        <v>300</v>
      </c>
      <c r="G5722" s="5">
        <v>25</v>
      </c>
      <c r="H5722" s="5">
        <v>2600</v>
      </c>
      <c r="I5722" s="118">
        <f t="shared" si="745"/>
        <v>3.8589981447124305E-2</v>
      </c>
      <c r="J5722" s="5">
        <v>40369</v>
      </c>
      <c r="K5722" s="22">
        <v>1908</v>
      </c>
      <c r="L5722" s="6">
        <v>1920.5</v>
      </c>
      <c r="M5722" s="125">
        <f t="shared" si="744"/>
        <v>12.5</v>
      </c>
      <c r="P5722" s="247">
        <v>15575</v>
      </c>
      <c r="Q5722" s="25">
        <f>167.25/1174.4</f>
        <v>0.14241314713896458</v>
      </c>
      <c r="W5722" s="285">
        <f t="shared" si="743"/>
        <v>2218.0847666893733</v>
      </c>
      <c r="X5722" s="446">
        <f t="shared" si="740"/>
        <v>8.1629979035639408</v>
      </c>
    </row>
    <row r="5723" spans="1:24" ht="15" customHeight="1">
      <c r="A5723" s="3">
        <v>43796</v>
      </c>
      <c r="B5723" s="9">
        <v>26650</v>
      </c>
      <c r="C5723" s="5">
        <v>0</v>
      </c>
      <c r="D5723" s="5">
        <v>40725</v>
      </c>
      <c r="E5723" s="5">
        <v>67375</v>
      </c>
      <c r="F5723" s="4">
        <v>0</v>
      </c>
      <c r="G5723" s="5">
        <v>0</v>
      </c>
      <c r="H5723" s="5">
        <v>2600</v>
      </c>
      <c r="I5723" s="118">
        <f t="shared" si="745"/>
        <v>3.8589981447124305E-2</v>
      </c>
      <c r="J5723" s="5">
        <v>48090</v>
      </c>
      <c r="K5723" s="22">
        <v>1946</v>
      </c>
      <c r="L5723" s="6">
        <v>1960</v>
      </c>
      <c r="M5723" s="125">
        <f t="shared" si="744"/>
        <v>14</v>
      </c>
      <c r="P5723" s="247">
        <v>15550</v>
      </c>
      <c r="Q5723" s="25">
        <f>167.46/1176</f>
        <v>0.14239795918367348</v>
      </c>
      <c r="W5723" s="285">
        <f t="shared" si="743"/>
        <v>2214.2882653061229</v>
      </c>
      <c r="X5723" s="446">
        <f t="shared" si="740"/>
        <v>7.9907502569373072</v>
      </c>
    </row>
    <row r="5724" spans="1:24" ht="15" customHeight="1">
      <c r="A5724" s="3">
        <v>43797</v>
      </c>
      <c r="B5724" s="9">
        <v>26650</v>
      </c>
      <c r="C5724" s="5">
        <v>0</v>
      </c>
      <c r="D5724" s="5">
        <v>40725</v>
      </c>
      <c r="E5724" s="5">
        <v>67625</v>
      </c>
      <c r="F5724" s="4">
        <v>0</v>
      </c>
      <c r="G5724" s="5">
        <v>350</v>
      </c>
      <c r="H5724" s="5">
        <v>2625</v>
      </c>
      <c r="I5724" s="118">
        <f t="shared" si="745"/>
        <v>3.8817005545286505E-2</v>
      </c>
      <c r="J5724" s="5">
        <v>27307</v>
      </c>
      <c r="K5724" s="22">
        <v>1926</v>
      </c>
      <c r="L5724" s="6">
        <v>1943</v>
      </c>
      <c r="M5724" s="125">
        <f t="shared" si="744"/>
        <v>17</v>
      </c>
      <c r="P5724" s="247">
        <v>15650</v>
      </c>
      <c r="Q5724" s="25">
        <f>166.27/1167.45</f>
        <v>0.1424215169814553</v>
      </c>
      <c r="W5724" s="285">
        <f t="shared" si="743"/>
        <v>2228.8967407597756</v>
      </c>
      <c r="X5724" s="446">
        <f t="shared" si="740"/>
        <v>8.1256490134994817</v>
      </c>
    </row>
    <row r="5725" spans="1:24" ht="15" customHeight="1">
      <c r="A5725" s="3">
        <v>43798</v>
      </c>
      <c r="B5725" s="9">
        <v>26650</v>
      </c>
      <c r="C5725" s="5">
        <v>0</v>
      </c>
      <c r="D5725" s="5">
        <v>40975</v>
      </c>
      <c r="E5725" s="5">
        <v>67150</v>
      </c>
      <c r="F5725" s="4">
        <v>250</v>
      </c>
      <c r="G5725" s="5">
        <v>0</v>
      </c>
      <c r="H5725" s="5">
        <v>2150</v>
      </c>
      <c r="I5725" s="118">
        <f t="shared" si="745"/>
        <v>3.2017870439314963E-2</v>
      </c>
      <c r="J5725" s="5">
        <v>25878</v>
      </c>
      <c r="K5725" s="22">
        <v>1947</v>
      </c>
      <c r="L5725" s="6">
        <v>1959</v>
      </c>
      <c r="M5725" s="125">
        <f t="shared" si="744"/>
        <v>12</v>
      </c>
      <c r="N5725" s="381">
        <f>AVERAGE($K$5705:K5725)</f>
        <v>2031.9047619047619</v>
      </c>
      <c r="O5725" s="395">
        <f>AVERAGE($K$5478:K5725)</f>
        <v>2008.3004291845493</v>
      </c>
      <c r="P5725" s="247">
        <v>15675</v>
      </c>
      <c r="Q5725" s="25">
        <f>167.84/1180.3</f>
        <v>0.14220113530458359</v>
      </c>
      <c r="W5725" s="285">
        <f t="shared" si="743"/>
        <v>2229.0027958993478</v>
      </c>
      <c r="X5725" s="446">
        <f t="shared" si="740"/>
        <v>8.0508474576271194</v>
      </c>
    </row>
    <row r="5726" spans="1:24" ht="15" customHeight="1" thickBot="1">
      <c r="A5726" s="216"/>
      <c r="B5726" s="394"/>
      <c r="C5726" s="394"/>
      <c r="D5726" s="394"/>
      <c r="E5726" s="216"/>
      <c r="F5726" s="407"/>
      <c r="G5726" s="164"/>
      <c r="H5726" s="164"/>
      <c r="I5726" s="164"/>
      <c r="J5726" s="166"/>
      <c r="K5726" s="166"/>
      <c r="L5726" s="167"/>
      <c r="M5726" s="167"/>
      <c r="N5726" s="167"/>
      <c r="O5726" s="167"/>
      <c r="P5726" s="180"/>
      <c r="Q5726" s="154"/>
      <c r="R5726" s="248"/>
      <c r="S5726" s="249"/>
      <c r="T5726" s="249"/>
      <c r="U5726" s="152"/>
      <c r="V5726" s="153">
        <f>AVERAGE(P5705:P5725)</f>
        <v>15935.714285714286</v>
      </c>
      <c r="W5726" s="390"/>
      <c r="X5726" s="447">
        <f>AVERAGE(X5705:X5725)</f>
        <v>7.8508357202539951</v>
      </c>
    </row>
    <row r="5727" spans="1:24" ht="15" customHeight="1">
      <c r="A5727" s="3">
        <v>43801</v>
      </c>
      <c r="B5727" s="9">
        <v>26250</v>
      </c>
      <c r="C5727" s="5">
        <v>0</v>
      </c>
      <c r="D5727" s="5">
        <v>40900</v>
      </c>
      <c r="E5727" s="5">
        <v>67125</v>
      </c>
      <c r="F5727" s="4">
        <v>0</v>
      </c>
      <c r="G5727" s="5">
        <v>25</v>
      </c>
      <c r="H5727" s="5">
        <v>2125</v>
      </c>
      <c r="I5727" s="118">
        <f t="shared" si="745"/>
        <v>3.165735567970205E-2</v>
      </c>
      <c r="J5727" s="5">
        <v>38335</v>
      </c>
      <c r="K5727" s="22">
        <v>1912</v>
      </c>
      <c r="L5727" s="6">
        <v>1926</v>
      </c>
      <c r="M5727" s="125">
        <f t="shared" si="744"/>
        <v>14</v>
      </c>
      <c r="P5727" s="247">
        <v>15500</v>
      </c>
      <c r="Q5727" s="25">
        <f>167.95/1180.4</f>
        <v>0.14228227719417144</v>
      </c>
      <c r="W5727" s="285">
        <f t="shared" si="743"/>
        <v>2205.3752965096573</v>
      </c>
      <c r="X5727" s="446">
        <f t="shared" si="740"/>
        <v>8.1066945606694567</v>
      </c>
    </row>
    <row r="5728" spans="1:24" ht="15" customHeight="1">
      <c r="A5728" s="3">
        <v>43802</v>
      </c>
      <c r="B5728" s="9">
        <v>26250</v>
      </c>
      <c r="C5728" s="5">
        <v>0</v>
      </c>
      <c r="D5728" s="5">
        <v>40875</v>
      </c>
      <c r="E5728" s="5">
        <v>67125</v>
      </c>
      <c r="F5728" s="4">
        <v>0</v>
      </c>
      <c r="G5728" s="5">
        <v>0</v>
      </c>
      <c r="H5728" s="5">
        <v>2275</v>
      </c>
      <c r="I5728" s="118">
        <f t="shared" si="745"/>
        <v>3.3891992551210427E-2</v>
      </c>
      <c r="J5728" s="5">
        <v>56950</v>
      </c>
      <c r="K5728" s="22">
        <v>1883.5</v>
      </c>
      <c r="L5728" s="6">
        <v>1899</v>
      </c>
      <c r="M5728" s="125">
        <f t="shared" si="744"/>
        <v>15.5</v>
      </c>
      <c r="P5728" s="247">
        <v>15350</v>
      </c>
      <c r="Q5728" s="25">
        <f>168.56/1186.2</f>
        <v>0.14210082616759401</v>
      </c>
      <c r="W5728" s="285">
        <f t="shared" si="743"/>
        <v>2181.247681672568</v>
      </c>
      <c r="X5728" s="446">
        <f t="shared" si="740"/>
        <v>8.1497212636049898</v>
      </c>
    </row>
    <row r="5729" spans="1:24" ht="15" customHeight="1">
      <c r="A5729" s="3">
        <v>43803</v>
      </c>
      <c r="B5729" s="9">
        <v>26250</v>
      </c>
      <c r="C5729" s="5">
        <v>0</v>
      </c>
      <c r="D5729" s="5">
        <v>40875</v>
      </c>
      <c r="E5729" s="5">
        <v>67125</v>
      </c>
      <c r="F5729" s="4">
        <v>0</v>
      </c>
      <c r="G5729" s="5">
        <v>0</v>
      </c>
      <c r="H5729" s="5">
        <v>2325</v>
      </c>
      <c r="I5729" s="118">
        <f t="shared" si="745"/>
        <v>3.4636871508379886E-2</v>
      </c>
      <c r="J5729" s="5">
        <v>50486</v>
      </c>
      <c r="K5729" s="22">
        <v>1900</v>
      </c>
      <c r="L5729" s="6">
        <v>1917</v>
      </c>
      <c r="M5729" s="125">
        <f t="shared" si="744"/>
        <v>17</v>
      </c>
      <c r="P5729" s="247">
        <v>15275</v>
      </c>
      <c r="Q5729" s="25">
        <f>168.83/1193.7</f>
        <v>0.14143419619669934</v>
      </c>
      <c r="W5729" s="285">
        <f t="shared" si="743"/>
        <v>2160.4073469045825</v>
      </c>
      <c r="X5729" s="446">
        <f t="shared" si="740"/>
        <v>8.0394736842105257</v>
      </c>
    </row>
    <row r="5730" spans="1:24" ht="15" customHeight="1">
      <c r="A5730" s="3">
        <v>43804</v>
      </c>
      <c r="B5730" s="9">
        <v>26250</v>
      </c>
      <c r="C5730" s="5">
        <v>0</v>
      </c>
      <c r="D5730" s="5">
        <v>40875</v>
      </c>
      <c r="E5730" s="5">
        <v>67125</v>
      </c>
      <c r="F5730" s="4">
        <v>0</v>
      </c>
      <c r="G5730" s="5">
        <v>0</v>
      </c>
      <c r="H5730" s="5">
        <v>2325</v>
      </c>
      <c r="I5730" s="118">
        <f t="shared" si="745"/>
        <v>3.4636871508379886E-2</v>
      </c>
      <c r="J5730" s="5">
        <v>53278</v>
      </c>
      <c r="K5730" s="22">
        <v>1893</v>
      </c>
      <c r="L5730" s="6">
        <v>1906</v>
      </c>
      <c r="M5730" s="125">
        <f t="shared" ref="M5730:M5742" si="746">L5730-K5730</f>
        <v>13</v>
      </c>
      <c r="P5730" s="247">
        <v>15325</v>
      </c>
      <c r="Q5730" s="25">
        <f>168.82/1190.2</f>
        <v>0.14184170727608805</v>
      </c>
      <c r="W5730" s="285">
        <f t="shared" si="743"/>
        <v>2173.7241640060493</v>
      </c>
      <c r="X5730" s="446">
        <f t="shared" si="740"/>
        <v>8.0956154252509247</v>
      </c>
    </row>
    <row r="5731" spans="1:24" ht="15" customHeight="1">
      <c r="A5731" s="3">
        <v>43805</v>
      </c>
      <c r="B5731" s="9">
        <v>26250</v>
      </c>
      <c r="C5731" s="5">
        <v>0</v>
      </c>
      <c r="D5731" s="5">
        <v>40875</v>
      </c>
      <c r="E5731" s="5">
        <v>67125</v>
      </c>
      <c r="F5731" s="4">
        <v>0</v>
      </c>
      <c r="G5731" s="5">
        <v>0</v>
      </c>
      <c r="H5731" s="5">
        <v>2325</v>
      </c>
      <c r="I5731" s="118">
        <f t="shared" si="745"/>
        <v>3.4636871508379886E-2</v>
      </c>
      <c r="J5731" s="5">
        <v>62068</v>
      </c>
      <c r="K5731" s="22">
        <v>1881</v>
      </c>
      <c r="L5731" s="6">
        <v>1899</v>
      </c>
      <c r="M5731" s="125">
        <f t="shared" si="746"/>
        <v>18</v>
      </c>
      <c r="P5731" s="247">
        <v>15325</v>
      </c>
      <c r="Q5731" s="25">
        <f>168.88/1189.7</f>
        <v>0.14195175254265779</v>
      </c>
      <c r="W5731" s="285">
        <f t="shared" si="743"/>
        <v>2175.4106077162305</v>
      </c>
      <c r="X5731" s="446">
        <f t="shared" si="740"/>
        <v>8.1472620946305163</v>
      </c>
    </row>
    <row r="5732" spans="1:24" ht="15" customHeight="1">
      <c r="A5732" s="3">
        <v>43808</v>
      </c>
      <c r="B5732" s="9">
        <v>26250</v>
      </c>
      <c r="C5732" s="5">
        <v>0</v>
      </c>
      <c r="D5732" s="5">
        <v>40875</v>
      </c>
      <c r="E5732" s="5">
        <v>67125</v>
      </c>
      <c r="F5732" s="4">
        <v>0</v>
      </c>
      <c r="G5732" s="5">
        <v>0</v>
      </c>
      <c r="H5732" s="5">
        <v>2425</v>
      </c>
      <c r="I5732" s="118">
        <f t="shared" si="745"/>
        <v>3.6126629422718805E-2</v>
      </c>
      <c r="J5732" s="5">
        <v>62068</v>
      </c>
      <c r="K5732" s="22">
        <v>1866</v>
      </c>
      <c r="L5732" s="6">
        <v>1880</v>
      </c>
      <c r="M5732" s="125">
        <f t="shared" si="746"/>
        <v>14</v>
      </c>
      <c r="P5732" s="247">
        <v>15400</v>
      </c>
      <c r="Q5732" s="25">
        <f>169.11/1189.3</f>
        <v>0.14219288657193307</v>
      </c>
      <c r="W5732" s="285">
        <f t="shared" si="743"/>
        <v>2189.7704532077692</v>
      </c>
      <c r="X5732" s="446">
        <f t="shared" si="740"/>
        <v>8.2529474812433019</v>
      </c>
    </row>
    <row r="5733" spans="1:24" ht="15" customHeight="1">
      <c r="A5733" s="3">
        <v>43809</v>
      </c>
      <c r="B5733" s="9">
        <v>26250</v>
      </c>
      <c r="C5733" s="5">
        <v>0</v>
      </c>
      <c r="D5733" s="5">
        <v>41150</v>
      </c>
      <c r="E5733" s="5">
        <v>67400</v>
      </c>
      <c r="F5733" s="4">
        <v>275</v>
      </c>
      <c r="G5733" s="5">
        <v>0</v>
      </c>
      <c r="H5733" s="5">
        <v>2400</v>
      </c>
      <c r="I5733" s="118">
        <f t="shared" si="745"/>
        <v>3.5608308605341248E-2</v>
      </c>
      <c r="J5733" s="5">
        <v>59087</v>
      </c>
      <c r="K5733" s="22">
        <v>1893</v>
      </c>
      <c r="L5733" s="6">
        <v>1908</v>
      </c>
      <c r="M5733" s="125">
        <f t="shared" si="746"/>
        <v>15</v>
      </c>
      <c r="P5733" s="247">
        <v>15450</v>
      </c>
      <c r="Q5733" s="25">
        <f>169.45/1192</f>
        <v>0.14215604026845638</v>
      </c>
      <c r="W5733" s="285">
        <f t="shared" si="743"/>
        <v>2196.3108221476509</v>
      </c>
      <c r="X5733" s="446">
        <f t="shared" si="740"/>
        <v>8.1616481774960388</v>
      </c>
    </row>
    <row r="5734" spans="1:24" ht="15" customHeight="1">
      <c r="A5734" s="3">
        <v>43810</v>
      </c>
      <c r="B5734" s="9">
        <v>26250</v>
      </c>
      <c r="C5734" s="5">
        <v>0</v>
      </c>
      <c r="D5734" s="5">
        <v>41150</v>
      </c>
      <c r="E5734" s="5">
        <v>67400</v>
      </c>
      <c r="F5734" s="4">
        <v>0</v>
      </c>
      <c r="G5734" s="5">
        <v>0</v>
      </c>
      <c r="H5734" s="5">
        <v>2400</v>
      </c>
      <c r="I5734" s="118">
        <f t="shared" si="745"/>
        <v>3.5608308605341248E-2</v>
      </c>
      <c r="J5734" s="5">
        <v>58926</v>
      </c>
      <c r="K5734" s="22">
        <v>1903</v>
      </c>
      <c r="L5734" s="6">
        <v>1917</v>
      </c>
      <c r="M5734" s="125">
        <f t="shared" si="746"/>
        <v>14</v>
      </c>
      <c r="P5734" s="247">
        <v>15525</v>
      </c>
      <c r="Q5734" s="25">
        <f>169.64/1193.3</f>
        <v>0.1421603955417749</v>
      </c>
      <c r="W5734" s="285">
        <f t="shared" si="743"/>
        <v>2207.0401407860554</v>
      </c>
      <c r="X5734" s="446">
        <f t="shared" si="740"/>
        <v>8.1581713084603251</v>
      </c>
    </row>
    <row r="5735" spans="1:24" ht="15" customHeight="1">
      <c r="A5735" s="3">
        <v>43811</v>
      </c>
      <c r="B5735" s="9">
        <v>26250</v>
      </c>
      <c r="C5735" s="5">
        <v>0</v>
      </c>
      <c r="D5735" s="5">
        <v>41125</v>
      </c>
      <c r="E5735" s="5">
        <v>67375</v>
      </c>
      <c r="F5735" s="4">
        <v>0</v>
      </c>
      <c r="G5735" s="5">
        <v>25</v>
      </c>
      <c r="H5735" s="5">
        <v>2800</v>
      </c>
      <c r="I5735" s="118">
        <f t="shared" si="745"/>
        <v>4.1558441558441558E-2</v>
      </c>
      <c r="J5735" s="5">
        <v>44778</v>
      </c>
      <c r="K5735" s="22">
        <v>1920</v>
      </c>
      <c r="L5735" s="6">
        <v>1932</v>
      </c>
      <c r="M5735" s="125">
        <f t="shared" si="746"/>
        <v>12</v>
      </c>
      <c r="P5735" s="247">
        <v>15500</v>
      </c>
      <c r="Q5735" s="25">
        <f>169.12/1188.6</f>
        <v>0.14228504122497057</v>
      </c>
      <c r="W5735" s="285">
        <f t="shared" si="743"/>
        <v>2205.4181389870437</v>
      </c>
      <c r="X5735" s="446">
        <f t="shared" si="740"/>
        <v>8.0729166666666661</v>
      </c>
    </row>
    <row r="5736" spans="1:24" ht="15" customHeight="1">
      <c r="A5736" s="3">
        <v>43812</v>
      </c>
      <c r="B5736" s="9">
        <v>26250</v>
      </c>
      <c r="C5736" s="5">
        <v>0</v>
      </c>
      <c r="D5736" s="5">
        <v>41075</v>
      </c>
      <c r="E5736" s="5">
        <v>67325</v>
      </c>
      <c r="F5736" s="4">
        <v>0</v>
      </c>
      <c r="G5736" s="5">
        <v>50</v>
      </c>
      <c r="H5736" s="5">
        <v>2750</v>
      </c>
      <c r="I5736" s="118">
        <f t="shared" si="745"/>
        <v>4.0846639435573713E-2</v>
      </c>
      <c r="J5736" s="5">
        <v>54256</v>
      </c>
      <c r="K5736" s="22">
        <v>1934</v>
      </c>
      <c r="L5736" s="6">
        <v>1955</v>
      </c>
      <c r="M5736" s="125">
        <f t="shared" si="746"/>
        <v>21</v>
      </c>
      <c r="P5736" s="247">
        <v>15475</v>
      </c>
      <c r="Q5736" s="25">
        <f>168.14/1171.7</f>
        <v>0.14350089613382264</v>
      </c>
      <c r="W5736" s="285">
        <f t="shared" si="743"/>
        <v>2220.6763676709052</v>
      </c>
      <c r="X5736" s="446">
        <f t="shared" si="740"/>
        <v>8.0015511892450881</v>
      </c>
    </row>
    <row r="5737" spans="1:24" ht="15" customHeight="1">
      <c r="A5737" s="3">
        <v>43815</v>
      </c>
      <c r="B5737" s="4">
        <v>26250</v>
      </c>
      <c r="C5737" s="5">
        <v>0</v>
      </c>
      <c r="D5737" s="5">
        <v>41025</v>
      </c>
      <c r="E5737" s="5">
        <v>67275</v>
      </c>
      <c r="G5737" s="5">
        <v>50</v>
      </c>
      <c r="H5737" s="5">
        <v>2925</v>
      </c>
      <c r="I5737" s="118">
        <f t="shared" si="745"/>
        <v>4.3478260869565216E-2</v>
      </c>
      <c r="J5737" s="5">
        <v>48653</v>
      </c>
      <c r="K5737" s="22">
        <v>1873.5</v>
      </c>
      <c r="L5737" s="6">
        <v>1898</v>
      </c>
      <c r="M5737" s="125">
        <f t="shared" si="746"/>
        <v>24.5</v>
      </c>
      <c r="P5737" s="247">
        <v>15400</v>
      </c>
      <c r="Q5737" s="25">
        <f>167.54/1172.9</f>
        <v>0.14284252706965639</v>
      </c>
      <c r="W5737" s="285">
        <f t="shared" si="743"/>
        <v>2199.7749168727082</v>
      </c>
      <c r="X5737" s="446">
        <f t="shared" si="740"/>
        <v>8.2199092607419271</v>
      </c>
    </row>
    <row r="5738" spans="1:24" ht="15" customHeight="1">
      <c r="A5738" s="3">
        <v>43816</v>
      </c>
      <c r="B5738" s="4">
        <v>26250</v>
      </c>
      <c r="C5738" s="5">
        <v>0</v>
      </c>
      <c r="D5738" s="5">
        <v>41225</v>
      </c>
      <c r="E5738" s="5">
        <v>67475</v>
      </c>
      <c r="F5738" s="4">
        <v>200</v>
      </c>
      <c r="G5738" s="5">
        <v>0</v>
      </c>
      <c r="H5738" s="5">
        <v>3425</v>
      </c>
      <c r="I5738" s="118">
        <f>H5738/E5738</f>
        <v>5.0759540570581699E-2</v>
      </c>
      <c r="J5738" s="5">
        <v>47699</v>
      </c>
      <c r="K5738" s="22">
        <v>1873</v>
      </c>
      <c r="L5738" s="6">
        <v>1893</v>
      </c>
      <c r="M5738" s="125">
        <f t="shared" si="746"/>
        <v>20</v>
      </c>
      <c r="P5738" s="247">
        <v>15200</v>
      </c>
      <c r="Q5738" s="25">
        <f>166.78/1166.7</f>
        <v>0.14295020142281648</v>
      </c>
      <c r="W5738" s="285">
        <f t="shared" si="743"/>
        <v>2172.8430616268106</v>
      </c>
      <c r="X5738" s="446">
        <f t="shared" si="740"/>
        <v>8.1153230112119594</v>
      </c>
    </row>
    <row r="5739" spans="1:24" ht="15" customHeight="1">
      <c r="A5739" s="3">
        <v>43817</v>
      </c>
      <c r="B5739" s="4">
        <v>26250</v>
      </c>
      <c r="C5739" s="5">
        <v>0</v>
      </c>
      <c r="D5739" s="5">
        <v>41100</v>
      </c>
      <c r="E5739" s="5">
        <v>67350</v>
      </c>
      <c r="F5739" s="4">
        <v>0</v>
      </c>
      <c r="G5739" s="5">
        <v>125</v>
      </c>
      <c r="H5739" s="5">
        <v>3300</v>
      </c>
      <c r="I5739" s="118">
        <f t="shared" si="745"/>
        <v>4.8997772828507792E-2</v>
      </c>
      <c r="J5739" s="5">
        <v>41823</v>
      </c>
      <c r="K5739" s="22">
        <v>1872</v>
      </c>
      <c r="L5739" s="6">
        <v>1892</v>
      </c>
      <c r="M5739" s="125">
        <f t="shared" si="746"/>
        <v>20</v>
      </c>
      <c r="P5739" s="247">
        <v>15025</v>
      </c>
      <c r="Q5739" s="25">
        <f>166.4/1165.3</f>
        <v>0.14279584656311681</v>
      </c>
      <c r="W5739" s="285">
        <f t="shared" si="743"/>
        <v>2145.50759461083</v>
      </c>
      <c r="X5739" s="446">
        <f t="shared" si="740"/>
        <v>8.0261752136752129</v>
      </c>
    </row>
    <row r="5740" spans="1:24" ht="15" customHeight="1">
      <c r="A5740" s="3">
        <v>43818</v>
      </c>
      <c r="B5740" s="4">
        <v>26150</v>
      </c>
      <c r="C5740" s="5">
        <v>0</v>
      </c>
      <c r="D5740" s="5">
        <v>41100</v>
      </c>
      <c r="E5740" s="5">
        <v>67250</v>
      </c>
      <c r="F5740" s="4">
        <v>0</v>
      </c>
      <c r="G5740" s="5">
        <v>100</v>
      </c>
      <c r="H5740" s="5">
        <v>3300</v>
      </c>
      <c r="I5740" s="118">
        <f t="shared" si="745"/>
        <v>4.9070631970260223E-2</v>
      </c>
      <c r="J5740" s="5">
        <v>40324</v>
      </c>
      <c r="K5740" s="22">
        <v>1896.5</v>
      </c>
      <c r="L5740" s="6">
        <v>1921</v>
      </c>
      <c r="M5740" s="125">
        <f t="shared" si="746"/>
        <v>24.5</v>
      </c>
      <c r="P5740" s="247">
        <v>15125</v>
      </c>
      <c r="Q5740" s="25">
        <f>166.4/1165.3</f>
        <v>0.14279584656311681</v>
      </c>
      <c r="W5740" s="285">
        <f t="shared" si="743"/>
        <v>2159.7871792671417</v>
      </c>
      <c r="X5740" s="446">
        <f t="shared" si="740"/>
        <v>7.9752175059319796</v>
      </c>
    </row>
    <row r="5741" spans="1:24" ht="15" customHeight="1">
      <c r="A5741" s="3">
        <v>43819</v>
      </c>
      <c r="B5741" s="4">
        <v>26150</v>
      </c>
      <c r="C5741" s="5">
        <v>0</v>
      </c>
      <c r="D5741" s="5">
        <v>41025</v>
      </c>
      <c r="E5741" s="5">
        <v>67175</v>
      </c>
      <c r="F5741" s="4">
        <v>0</v>
      </c>
      <c r="G5741" s="5">
        <v>75</v>
      </c>
      <c r="H5741" s="5">
        <v>3225</v>
      </c>
      <c r="I5741" s="118">
        <f t="shared" si="745"/>
        <v>4.8008931894305919E-2</v>
      </c>
      <c r="J5741" s="5">
        <v>37005</v>
      </c>
      <c r="K5741" s="22">
        <v>1909</v>
      </c>
      <c r="L5741" s="6">
        <v>1928</v>
      </c>
      <c r="M5741" s="125">
        <f t="shared" si="746"/>
        <v>19</v>
      </c>
      <c r="P5741" s="247">
        <v>15150</v>
      </c>
      <c r="Q5741" s="25">
        <f>166.14/1162.6</f>
        <v>0.14290383622914157</v>
      </c>
      <c r="W5741" s="285">
        <f t="shared" si="743"/>
        <v>2164.993118871495</v>
      </c>
      <c r="X5741" s="446">
        <f t="shared" si="740"/>
        <v>7.936092194866422</v>
      </c>
    </row>
    <row r="5742" spans="1:24" ht="15" customHeight="1">
      <c r="A5742" s="3">
        <v>43822</v>
      </c>
      <c r="B5742" s="4">
        <v>26150</v>
      </c>
      <c r="C5742" s="5">
        <v>0</v>
      </c>
      <c r="D5742" s="5">
        <v>40825</v>
      </c>
      <c r="E5742" s="5">
        <v>66975</v>
      </c>
      <c r="F5742" s="4">
        <v>0</v>
      </c>
      <c r="G5742" s="5">
        <v>200</v>
      </c>
      <c r="H5742" s="5">
        <v>3100</v>
      </c>
      <c r="I5742" s="118">
        <f t="shared" si="745"/>
        <v>4.6285927584919749E-2</v>
      </c>
      <c r="J5742" s="5">
        <v>28667</v>
      </c>
      <c r="K5742" s="22">
        <v>1905</v>
      </c>
      <c r="L5742" s="6">
        <v>1918</v>
      </c>
      <c r="M5742" s="125">
        <f t="shared" si="746"/>
        <v>13</v>
      </c>
      <c r="P5742" s="247">
        <v>15025</v>
      </c>
      <c r="Q5742" s="25">
        <f>165.8/1161.7</f>
        <v>0.14272187311698373</v>
      </c>
      <c r="W5742" s="285">
        <f t="shared" si="743"/>
        <v>2144.3961435826805</v>
      </c>
      <c r="X5742" s="446">
        <f t="shared" si="740"/>
        <v>7.8871391076115485</v>
      </c>
    </row>
    <row r="5743" spans="1:24" ht="15" customHeight="1">
      <c r="A5743" s="3">
        <v>43823</v>
      </c>
      <c r="B5743" s="4">
        <v>26150</v>
      </c>
      <c r="C5743" s="5">
        <v>0</v>
      </c>
      <c r="D5743" s="5">
        <v>40825</v>
      </c>
      <c r="E5743" s="5">
        <v>66725</v>
      </c>
      <c r="F5743" s="4">
        <v>0</v>
      </c>
      <c r="G5743" s="5">
        <v>200</v>
      </c>
      <c r="H5743" s="5">
        <v>2850</v>
      </c>
      <c r="I5743" s="118">
        <f t="shared" si="745"/>
        <v>4.2712626451854627E-2</v>
      </c>
      <c r="J5743" s="5">
        <v>28667</v>
      </c>
      <c r="K5743" s="22">
        <v>1905</v>
      </c>
      <c r="L5743" s="6">
        <v>1923</v>
      </c>
      <c r="M5743" s="125">
        <f t="shared" ref="M5743" si="747">L5743-K5743</f>
        <v>18</v>
      </c>
      <c r="P5743" s="247">
        <v>15200</v>
      </c>
      <c r="Q5743" s="25">
        <f>166.01/1163.7</f>
        <v>0.14265704219300507</v>
      </c>
      <c r="W5743" s="285">
        <f t="shared" si="743"/>
        <v>2168.3870413336772</v>
      </c>
      <c r="X5743" s="446">
        <f t="shared" si="740"/>
        <v>7.9790026246719163</v>
      </c>
    </row>
    <row r="5744" spans="1:24" ht="15" customHeight="1">
      <c r="A5744" s="3">
        <v>43824</v>
      </c>
      <c r="B5744" s="1333" t="s">
        <v>60</v>
      </c>
      <c r="C5744" s="1318"/>
      <c r="D5744" s="1318"/>
      <c r="E5744" s="1318"/>
      <c r="F5744" s="1318"/>
      <c r="G5744" s="1318"/>
      <c r="H5744" s="1318"/>
      <c r="I5744" s="1318"/>
      <c r="J5744" s="1318"/>
      <c r="K5744" s="1318"/>
      <c r="L5744" s="1318"/>
      <c r="M5744" s="1318"/>
      <c r="O5744" s="125"/>
      <c r="P5744" s="247">
        <v>15200</v>
      </c>
      <c r="Q5744" s="25">
        <f>166.01/1163.7</f>
        <v>0.14265704219300507</v>
      </c>
      <c r="W5744" s="285">
        <f>(P5744*Q5744)*(1+U5744)</f>
        <v>2168.3870413336772</v>
      </c>
      <c r="X5744" s="446"/>
    </row>
    <row r="5745" spans="1:24" ht="15" customHeight="1">
      <c r="A5745" s="3">
        <v>43825</v>
      </c>
      <c r="B5745" s="1318"/>
      <c r="C5745" s="1318"/>
      <c r="D5745" s="1318"/>
      <c r="E5745" s="1318"/>
      <c r="F5745" s="1318"/>
      <c r="G5745" s="1318"/>
      <c r="H5745" s="1318"/>
      <c r="I5745" s="1318"/>
      <c r="J5745" s="1318"/>
      <c r="K5745" s="1318"/>
      <c r="L5745" s="1318"/>
      <c r="M5745" s="1318"/>
      <c r="N5745" s="125"/>
      <c r="O5745" s="125"/>
      <c r="P5745" s="247">
        <v>15200</v>
      </c>
      <c r="Q5745" s="25">
        <f>166.09/1161.2</f>
        <v>0.14303306923871856</v>
      </c>
      <c r="W5745" s="285">
        <f>(P5745*Q5745)*(1+U5745)</f>
        <v>2174.1026524285221</v>
      </c>
      <c r="X5745" s="446"/>
    </row>
    <row r="5746" spans="1:24" ht="15" customHeight="1">
      <c r="A5746" s="3">
        <v>43826</v>
      </c>
      <c r="B5746" s="4">
        <v>26100</v>
      </c>
      <c r="C5746" s="5">
        <v>0</v>
      </c>
      <c r="D5746" s="5">
        <v>40475</v>
      </c>
      <c r="E5746" s="5">
        <v>66575</v>
      </c>
      <c r="F5746" s="4">
        <v>0</v>
      </c>
      <c r="G5746" s="5">
        <v>150</v>
      </c>
      <c r="H5746" s="5">
        <v>5375</v>
      </c>
      <c r="I5746" s="118">
        <f t="shared" ref="I5746:I5748" si="748">H5746/E5746</f>
        <v>8.0736012016522724E-2</v>
      </c>
      <c r="J5746" s="5">
        <v>25756</v>
      </c>
      <c r="K5746" s="22">
        <v>1910</v>
      </c>
      <c r="L5746" s="6">
        <v>1925</v>
      </c>
      <c r="M5746" s="125">
        <f t="shared" ref="M5746:M5748" si="749">L5746-K5746</f>
        <v>15</v>
      </c>
      <c r="P5746" s="247">
        <v>15200</v>
      </c>
      <c r="Q5746" s="25">
        <f>165.87/1160.9</f>
        <v>0.14288052373158755</v>
      </c>
      <c r="W5746" s="285">
        <f>(P5746*Q5746)*(1+U5746)</f>
        <v>2171.7839607201308</v>
      </c>
      <c r="X5746" s="446">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18">
        <f t="shared" si="748"/>
        <v>7.6605332331956447E-2</v>
      </c>
      <c r="J5747" s="5">
        <v>29140</v>
      </c>
      <c r="K5747" s="22">
        <v>1932</v>
      </c>
      <c r="L5747" s="6">
        <v>1942</v>
      </c>
      <c r="M5747" s="125">
        <f t="shared" si="749"/>
        <v>10</v>
      </c>
      <c r="P5747" s="247">
        <v>15200</v>
      </c>
      <c r="Q5747" s="25">
        <f>165.74/1157.8</f>
        <v>0.14315080324753846</v>
      </c>
      <c r="W5747" s="285">
        <f>(P5747*Q5747)*(1+U5747)</f>
        <v>2175.8922093625847</v>
      </c>
      <c r="X5747" s="446">
        <f t="shared" si="750"/>
        <v>7.8674948240165632</v>
      </c>
    </row>
    <row r="5748" spans="1:24" ht="15" customHeight="1">
      <c r="A5748" s="3">
        <v>43830</v>
      </c>
      <c r="B5748" s="4">
        <v>26050</v>
      </c>
      <c r="C5748" s="5">
        <v>0</v>
      </c>
      <c r="D5748" s="5">
        <v>40525</v>
      </c>
      <c r="E5748" s="5">
        <v>66325</v>
      </c>
      <c r="F5748" s="4">
        <v>0</v>
      </c>
      <c r="G5748" s="5">
        <v>200</v>
      </c>
      <c r="H5748" s="5">
        <v>4900</v>
      </c>
      <c r="I5748" s="118">
        <f t="shared" si="748"/>
        <v>7.3878627968337732E-2</v>
      </c>
      <c r="J5748" s="5">
        <v>29140</v>
      </c>
      <c r="K5748" s="22">
        <v>1923.5</v>
      </c>
      <c r="L5748" s="6">
        <v>1937</v>
      </c>
      <c r="M5748" s="125">
        <f t="shared" si="749"/>
        <v>13.5</v>
      </c>
      <c r="N5748" s="381">
        <f>AVERAGE($K$5727:K5748)</f>
        <v>1899.25</v>
      </c>
      <c r="O5748" s="395">
        <f>AVERAGE($K$5478:K5748)</f>
        <v>1999.6798418972332</v>
      </c>
      <c r="P5748" s="247">
        <v>15100</v>
      </c>
      <c r="Q5748" s="25">
        <f>165.74/1157.8</f>
        <v>0.14315080324753846</v>
      </c>
      <c r="W5748" s="285">
        <f>(P5748*Q5748)*(1+U5748)</f>
        <v>2161.5771290378307</v>
      </c>
      <c r="X5748" s="446">
        <f t="shared" si="750"/>
        <v>7.8502729399532107</v>
      </c>
    </row>
    <row r="5749" spans="1:24" ht="15" customHeight="1" thickBot="1">
      <c r="A5749" s="216"/>
      <c r="B5749" s="394"/>
      <c r="C5749" s="394"/>
      <c r="D5749" s="394"/>
      <c r="E5749" s="216"/>
      <c r="F5749" s="407"/>
      <c r="G5749" s="164"/>
      <c r="H5749" s="164"/>
      <c r="I5749" s="164"/>
      <c r="J5749" s="166"/>
      <c r="K5749" s="166"/>
      <c r="L5749" s="167"/>
      <c r="M5749" s="167"/>
      <c r="N5749" s="167"/>
      <c r="O5749" s="167"/>
      <c r="P5749" s="180"/>
      <c r="Q5749" s="154"/>
      <c r="R5749" s="248"/>
      <c r="S5749" s="249"/>
      <c r="T5749" s="249"/>
      <c r="U5749" s="152"/>
      <c r="V5749" s="153">
        <f>AVERAGE(P5727:P5748)</f>
        <v>15279.545454545454</v>
      </c>
      <c r="W5749" s="390"/>
      <c r="X5749" s="447">
        <f>AVERAGE(X5727:X5748)</f>
        <v>8.0500371858702344</v>
      </c>
    </row>
    <row r="5750" spans="1:24" ht="15" customHeight="1">
      <c r="A5750" s="3">
        <v>43832</v>
      </c>
      <c r="B5750" s="4">
        <v>26050</v>
      </c>
      <c r="C5750" s="5">
        <v>0</v>
      </c>
      <c r="D5750" s="5">
        <v>40150</v>
      </c>
      <c r="E5750" s="5">
        <v>66200</v>
      </c>
      <c r="F5750" s="4">
        <v>0</v>
      </c>
      <c r="G5750" s="5">
        <v>125</v>
      </c>
      <c r="H5750" s="5">
        <v>4775</v>
      </c>
      <c r="I5750" s="118">
        <f t="shared" ref="I5750:I5771" si="751">H5750/E5750</f>
        <v>7.2129909365558909E-2</v>
      </c>
      <c r="J5750" s="5">
        <v>32755</v>
      </c>
      <c r="K5750" s="22">
        <v>1904</v>
      </c>
      <c r="L5750" s="6">
        <v>1915</v>
      </c>
      <c r="M5750" s="125">
        <f t="shared" ref="M5750:M5757" si="752">L5750-K5750</f>
        <v>11</v>
      </c>
      <c r="P5750" s="247">
        <v>15025</v>
      </c>
      <c r="Q5750" s="25">
        <f>166.12/1156.9</f>
        <v>0.14359063013224996</v>
      </c>
      <c r="W5750" s="285">
        <f t="shared" ref="W5750:W5761" si="753">(P5750*Q5750)*(1+U5750)</f>
        <v>2157.4492177370557</v>
      </c>
      <c r="X5750" s="446">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18">
        <f t="shared" si="751"/>
        <v>7.0726172465960663E-2</v>
      </c>
      <c r="J5751" s="5">
        <v>44761</v>
      </c>
      <c r="K5751" s="22">
        <v>1889.5</v>
      </c>
      <c r="L5751" s="6">
        <v>1903</v>
      </c>
      <c r="M5751" s="125">
        <f t="shared" si="752"/>
        <v>13.5</v>
      </c>
      <c r="N5751" s="125"/>
      <c r="O5751" s="125"/>
      <c r="P5751" s="247">
        <v>14950</v>
      </c>
      <c r="Q5751" s="25">
        <f>166.65/1162.7</f>
        <v>0.14333017975402082</v>
      </c>
      <c r="W5751" s="285">
        <f t="shared" si="753"/>
        <v>2142.7861873226111</v>
      </c>
      <c r="X5751" s="446">
        <f t="shared" si="754"/>
        <v>7.9121460703889914</v>
      </c>
    </row>
    <row r="5752" spans="1:24" ht="15" customHeight="1">
      <c r="A5752" s="3">
        <v>43836</v>
      </c>
      <c r="B5752" s="4">
        <v>26050</v>
      </c>
      <c r="C5752" s="5">
        <v>0</v>
      </c>
      <c r="D5752" s="5">
        <v>40475</v>
      </c>
      <c r="E5752" s="5">
        <v>66525</v>
      </c>
      <c r="F5752" s="4">
        <v>425</v>
      </c>
      <c r="G5752" s="5">
        <v>0</v>
      </c>
      <c r="H5752" s="5">
        <v>4675</v>
      </c>
      <c r="I5752" s="118">
        <f t="shared" si="751"/>
        <v>7.0274332957534755E-2</v>
      </c>
      <c r="J5752" s="5"/>
      <c r="K5752" s="22">
        <v>1900</v>
      </c>
      <c r="L5752" s="6">
        <v>1910</v>
      </c>
      <c r="M5752" s="125">
        <f t="shared" si="752"/>
        <v>10</v>
      </c>
      <c r="P5752" s="247">
        <v>14775</v>
      </c>
      <c r="Q5752" s="25">
        <f>167.76/1169.6</f>
        <v>0.14343365253077975</v>
      </c>
      <c r="W5752" s="285">
        <f t="shared" si="753"/>
        <v>2119.2322161422708</v>
      </c>
      <c r="X5752" s="446">
        <f t="shared" si="754"/>
        <v>7.7763157894736841</v>
      </c>
    </row>
    <row r="5753" spans="1:24" ht="15" customHeight="1">
      <c r="A5753" s="3">
        <v>43837</v>
      </c>
      <c r="B5753" s="4">
        <v>26050</v>
      </c>
      <c r="C5753" s="5">
        <v>0</v>
      </c>
      <c r="D5753" s="5">
        <v>40475</v>
      </c>
      <c r="E5753" s="5">
        <v>66525</v>
      </c>
      <c r="F5753" s="4">
        <v>0</v>
      </c>
      <c r="G5753" s="5">
        <v>0</v>
      </c>
      <c r="H5753" s="5">
        <v>4675</v>
      </c>
      <c r="I5753" s="118">
        <f t="shared" si="751"/>
        <v>7.0274332957534755E-2</v>
      </c>
      <c r="J5753" s="5"/>
      <c r="K5753" s="22">
        <v>1905</v>
      </c>
      <c r="L5753" s="6">
        <v>1923</v>
      </c>
      <c r="M5753" s="125">
        <f t="shared" si="752"/>
        <v>18</v>
      </c>
      <c r="P5753" s="247">
        <v>14825</v>
      </c>
      <c r="Q5753" s="25">
        <f>167.53/1165.3</f>
        <v>0.14376555393460913</v>
      </c>
      <c r="W5753" s="285">
        <f t="shared" si="753"/>
        <v>2131.3243370805803</v>
      </c>
      <c r="X5753" s="446">
        <f t="shared" si="754"/>
        <v>7.7821522309711284</v>
      </c>
    </row>
    <row r="5754" spans="1:24" ht="15" customHeight="1">
      <c r="A5754" s="3">
        <v>43838</v>
      </c>
      <c r="B5754" s="4">
        <v>26050</v>
      </c>
      <c r="C5754" s="5">
        <v>0</v>
      </c>
      <c r="D5754" s="5">
        <v>40475</v>
      </c>
      <c r="E5754" s="5">
        <v>66525</v>
      </c>
      <c r="F5754" s="4">
        <v>0</v>
      </c>
      <c r="G5754" s="5">
        <v>0</v>
      </c>
      <c r="H5754" s="5">
        <v>7900</v>
      </c>
      <c r="I5754" s="118">
        <f t="shared" si="751"/>
        <v>0.11875234874107478</v>
      </c>
      <c r="J5754" s="5">
        <v>49532</v>
      </c>
      <c r="K5754" s="22">
        <v>1908.5</v>
      </c>
      <c r="L5754" s="6">
        <v>1925.5</v>
      </c>
      <c r="M5754" s="125">
        <f t="shared" si="752"/>
        <v>17</v>
      </c>
      <c r="P5754" s="247">
        <v>14900</v>
      </c>
      <c r="Q5754" s="25">
        <f>168.73/1174.1</f>
        <v>0.14371007580274253</v>
      </c>
      <c r="W5754" s="285">
        <f t="shared" si="753"/>
        <v>2141.2801294608639</v>
      </c>
      <c r="X5754" s="446">
        <f t="shared" si="754"/>
        <v>7.8071784123657322</v>
      </c>
    </row>
    <row r="5755" spans="1:24" ht="15" customHeight="1">
      <c r="A5755" s="3">
        <v>43839</v>
      </c>
      <c r="B5755" s="4">
        <v>26050</v>
      </c>
      <c r="C5755" s="5">
        <v>0</v>
      </c>
      <c r="D5755" s="5">
        <v>40475</v>
      </c>
      <c r="E5755" s="5">
        <v>66525</v>
      </c>
      <c r="F5755" s="4">
        <v>0</v>
      </c>
      <c r="G5755" s="5">
        <v>0</v>
      </c>
      <c r="H5755" s="5">
        <v>7900</v>
      </c>
      <c r="I5755" s="118">
        <f t="shared" si="751"/>
        <v>0.11875234874107478</v>
      </c>
      <c r="J5755" s="5"/>
      <c r="K5755" s="22">
        <v>1902</v>
      </c>
      <c r="L5755" s="6">
        <v>1912</v>
      </c>
      <c r="M5755" s="125">
        <f t="shared" si="752"/>
        <v>10</v>
      </c>
      <c r="P5755" s="247">
        <v>15000</v>
      </c>
      <c r="Q5755" s="25">
        <f>167.5/1160</f>
        <v>0.14439655172413793</v>
      </c>
      <c r="W5755" s="285">
        <f t="shared" si="753"/>
        <v>2165.9482758620688</v>
      </c>
      <c r="X5755" s="446">
        <f t="shared" si="754"/>
        <v>7.8864353312302837</v>
      </c>
    </row>
    <row r="5756" spans="1:24" ht="15" customHeight="1">
      <c r="A5756" s="3">
        <v>43840</v>
      </c>
      <c r="B5756" s="4">
        <v>26000</v>
      </c>
      <c r="C5756" s="5">
        <v>0</v>
      </c>
      <c r="D5756" s="5">
        <v>40475</v>
      </c>
      <c r="E5756" s="5">
        <v>66475</v>
      </c>
      <c r="F5756" s="4">
        <v>0</v>
      </c>
      <c r="G5756" s="5">
        <v>50</v>
      </c>
      <c r="H5756" s="5">
        <v>7875</v>
      </c>
      <c r="I5756" s="118">
        <f t="shared" si="751"/>
        <v>0.11846558856713051</v>
      </c>
      <c r="J5756" s="5">
        <v>62193</v>
      </c>
      <c r="K5756" s="22">
        <v>1922</v>
      </c>
      <c r="L5756" s="6">
        <v>1938.5</v>
      </c>
      <c r="M5756" s="125">
        <f t="shared" si="752"/>
        <v>16.5</v>
      </c>
      <c r="P5756" s="247">
        <v>15000</v>
      </c>
      <c r="Q5756" s="25">
        <f>167.61/1161.1</f>
        <v>0.14435449143054002</v>
      </c>
      <c r="W5756" s="285">
        <f t="shared" si="753"/>
        <v>2165.3173714581003</v>
      </c>
      <c r="X5756" s="446">
        <f t="shared" si="754"/>
        <v>7.8043704474505722</v>
      </c>
    </row>
    <row r="5757" spans="1:24" ht="15" customHeight="1">
      <c r="A5757" s="3">
        <v>43843</v>
      </c>
      <c r="B5757" s="4">
        <v>26000</v>
      </c>
      <c r="C5757" s="5">
        <v>0</v>
      </c>
      <c r="D5757" s="5">
        <v>40475</v>
      </c>
      <c r="E5757" s="5">
        <v>66475</v>
      </c>
      <c r="F5757" s="4">
        <v>0</v>
      </c>
      <c r="G5757" s="5">
        <v>0</v>
      </c>
      <c r="H5757" s="5">
        <v>7875</v>
      </c>
      <c r="I5757" s="118">
        <f t="shared" si="751"/>
        <v>0.11846558856713051</v>
      </c>
      <c r="J5757" s="5">
        <v>58232</v>
      </c>
      <c r="K5757" s="22">
        <v>1891.5</v>
      </c>
      <c r="L5757" s="6">
        <v>1913</v>
      </c>
      <c r="M5757" s="125">
        <f t="shared" si="752"/>
        <v>21.5</v>
      </c>
      <c r="P5757" s="247">
        <v>15000</v>
      </c>
      <c r="Q5757" s="25">
        <f>167.37/1155.7</f>
        <v>0.1448213204118716</v>
      </c>
      <c r="W5757" s="285">
        <f t="shared" si="753"/>
        <v>2172.319806178074</v>
      </c>
      <c r="X5757" s="446">
        <f t="shared" si="754"/>
        <v>7.9302141157811263</v>
      </c>
    </row>
    <row r="5758" spans="1:24" ht="15" customHeight="1">
      <c r="A5758" s="3">
        <v>43844</v>
      </c>
      <c r="B5758" s="4">
        <v>26000</v>
      </c>
      <c r="C5758" s="5">
        <v>0</v>
      </c>
      <c r="D5758" s="5">
        <v>40475</v>
      </c>
      <c r="E5758" s="5">
        <v>66475</v>
      </c>
      <c r="F5758" s="4">
        <v>0</v>
      </c>
      <c r="G5758" s="5">
        <v>0</v>
      </c>
      <c r="H5758" s="5">
        <v>12875</v>
      </c>
      <c r="I5758" s="118">
        <f t="shared" si="751"/>
        <v>0.19368183527641972</v>
      </c>
      <c r="J5758" s="5">
        <v>81175</v>
      </c>
      <c r="K5758" s="22">
        <v>1897</v>
      </c>
      <c r="L5758" s="6">
        <v>1914</v>
      </c>
      <c r="M5758" s="125">
        <f t="shared" ref="M5758:M5761" si="755">L5758-K5758</f>
        <v>17</v>
      </c>
      <c r="P5758" s="247">
        <v>14850</v>
      </c>
      <c r="Q5758" s="25">
        <f>167.71/1153.1</f>
        <v>0.14544271962535774</v>
      </c>
      <c r="W5758" s="285">
        <f t="shared" si="753"/>
        <v>2159.8243864365622</v>
      </c>
      <c r="X5758" s="446">
        <f t="shared" si="754"/>
        <v>7.8281497100685291</v>
      </c>
    </row>
    <row r="5759" spans="1:24" ht="15" customHeight="1">
      <c r="A5759" s="3">
        <v>43845</v>
      </c>
      <c r="B5759" s="4">
        <v>26000</v>
      </c>
      <c r="C5759" s="5">
        <v>0</v>
      </c>
      <c r="D5759" s="5">
        <v>40450</v>
      </c>
      <c r="E5759" s="5">
        <v>66450</v>
      </c>
      <c r="F5759" s="4">
        <v>0</v>
      </c>
      <c r="G5759" s="5">
        <v>25</v>
      </c>
      <c r="H5759" s="5">
        <v>12850</v>
      </c>
      <c r="I5759" s="118">
        <f t="shared" si="751"/>
        <v>0.19337848006019565</v>
      </c>
      <c r="J5759" s="5">
        <v>70375</v>
      </c>
      <c r="K5759" s="22">
        <v>1960.5</v>
      </c>
      <c r="L5759" s="6">
        <v>1964</v>
      </c>
      <c r="M5759" s="125">
        <f t="shared" si="755"/>
        <v>3.5</v>
      </c>
      <c r="P5759" s="247">
        <v>15000</v>
      </c>
      <c r="Q5759" s="25">
        <f>168/1158.8</f>
        <v>0.14497756299620299</v>
      </c>
      <c r="W5759" s="285">
        <f t="shared" si="753"/>
        <v>2174.6634449430449</v>
      </c>
      <c r="X5759" s="446">
        <f t="shared" si="754"/>
        <v>7.6511094108645752</v>
      </c>
    </row>
    <row r="5760" spans="1:24" ht="15" customHeight="1">
      <c r="A5760" s="3">
        <v>43846</v>
      </c>
      <c r="B5760" s="4">
        <v>26000</v>
      </c>
      <c r="C5760" s="5">
        <v>0</v>
      </c>
      <c r="D5760" s="5">
        <v>40375</v>
      </c>
      <c r="E5760" s="5">
        <v>66375</v>
      </c>
      <c r="F5760" s="4">
        <v>0</v>
      </c>
      <c r="G5760" s="5">
        <v>75</v>
      </c>
      <c r="H5760" s="5">
        <v>12825</v>
      </c>
      <c r="I5760" s="118">
        <f t="shared" si="751"/>
        <v>0.19322033898305085</v>
      </c>
      <c r="J5760" s="5">
        <v>73330</v>
      </c>
      <c r="K5760" s="22">
        <v>2027</v>
      </c>
      <c r="L5760" s="6">
        <v>2027</v>
      </c>
      <c r="M5760" s="125">
        <f t="shared" si="755"/>
        <v>0</v>
      </c>
      <c r="P5760" s="247">
        <v>15150</v>
      </c>
      <c r="Q5760" s="25">
        <f>168/1158.8</f>
        <v>0.14497756299620299</v>
      </c>
      <c r="W5760" s="285">
        <f t="shared" si="753"/>
        <v>2196.4100793924754</v>
      </c>
      <c r="X5760" s="446">
        <f t="shared" si="754"/>
        <v>7.4740996546620622</v>
      </c>
    </row>
    <row r="5761" spans="1:24" ht="15" customHeight="1">
      <c r="A5761" s="3">
        <v>43847</v>
      </c>
      <c r="B5761" s="4">
        <v>26000</v>
      </c>
      <c r="C5761" s="5">
        <v>0</v>
      </c>
      <c r="D5761" s="5">
        <v>40250</v>
      </c>
      <c r="E5761" s="5">
        <v>66250</v>
      </c>
      <c r="F5761" s="4">
        <v>0</v>
      </c>
      <c r="G5761" s="5">
        <v>125</v>
      </c>
      <c r="H5761" s="5">
        <v>7700</v>
      </c>
      <c r="I5761" s="118">
        <f t="shared" si="751"/>
        <v>0.11622641509433962</v>
      </c>
      <c r="J5761" s="5">
        <v>63218</v>
      </c>
      <c r="K5761" s="22">
        <v>1977</v>
      </c>
      <c r="L5761" s="6">
        <v>1978</v>
      </c>
      <c r="M5761" s="125">
        <f t="shared" si="755"/>
        <v>1</v>
      </c>
      <c r="P5761" s="247">
        <v>15125</v>
      </c>
      <c r="Q5761" s="25">
        <f>168.58/1158.8</f>
        <v>0.1454780807732137</v>
      </c>
      <c r="W5761" s="285">
        <f t="shared" si="753"/>
        <v>2200.3559716948571</v>
      </c>
      <c r="X5761" s="446">
        <f t="shared" si="754"/>
        <v>7.6504805260495701</v>
      </c>
    </row>
    <row r="5762" spans="1:24" ht="15" customHeight="1">
      <c r="A5762" s="3">
        <v>43850</v>
      </c>
      <c r="B5762" s="4">
        <v>26000</v>
      </c>
      <c r="C5762" s="5">
        <v>0</v>
      </c>
      <c r="D5762" s="5">
        <v>40250</v>
      </c>
      <c r="E5762" s="5">
        <v>66250</v>
      </c>
      <c r="F5762" s="4">
        <v>0</v>
      </c>
      <c r="G5762" s="5">
        <v>0</v>
      </c>
      <c r="H5762" s="5">
        <v>7700</v>
      </c>
      <c r="I5762" s="118">
        <f t="shared" si="751"/>
        <v>0.11622641509433962</v>
      </c>
      <c r="J5762" s="5">
        <v>40781</v>
      </c>
      <c r="K5762" s="22">
        <v>1982</v>
      </c>
      <c r="L5762" s="6">
        <v>1990</v>
      </c>
      <c r="M5762" s="125">
        <f t="shared" ref="M5762" si="756">L5762-K5762</f>
        <v>8</v>
      </c>
      <c r="P5762" s="247">
        <v>15225</v>
      </c>
      <c r="Q5762" s="25">
        <f>168.94/1158.8</f>
        <v>0.14578874697963412</v>
      </c>
      <c r="W5762" s="285">
        <f t="shared" ref="W5762:W5768" si="757">(P5762*Q5762)*(1+U5762)</f>
        <v>2219.6336727649295</v>
      </c>
      <c r="X5762" s="446">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18">
        <f t="shared" si="751"/>
        <v>0.11622641509433962</v>
      </c>
      <c r="J5763" s="5">
        <v>33332</v>
      </c>
      <c r="K5763" s="22">
        <v>1952</v>
      </c>
      <c r="L5763" s="6">
        <v>1965</v>
      </c>
      <c r="M5763" s="125">
        <f t="shared" ref="M5763" si="759">L5763-K5763</f>
        <v>13</v>
      </c>
      <c r="P5763" s="247">
        <v>15150</v>
      </c>
      <c r="Q5763" s="25">
        <f>167.71/1161.13</f>
        <v>0.14443688475881253</v>
      </c>
      <c r="W5763" s="285">
        <f t="shared" si="757"/>
        <v>2188.21880409601</v>
      </c>
      <c r="X5763" s="446">
        <f t="shared" si="758"/>
        <v>7.7612704918032787</v>
      </c>
    </row>
    <row r="5764" spans="1:24" ht="15" customHeight="1">
      <c r="A5764" s="3">
        <v>43852</v>
      </c>
      <c r="B5764" s="4">
        <v>26000</v>
      </c>
      <c r="C5764" s="5">
        <v>0</v>
      </c>
      <c r="D5764" s="5">
        <v>40200</v>
      </c>
      <c r="E5764" s="5">
        <v>66200</v>
      </c>
      <c r="F5764" s="4">
        <v>0</v>
      </c>
      <c r="G5764" s="5">
        <v>50</v>
      </c>
      <c r="H5764" s="5">
        <v>7650</v>
      </c>
      <c r="I5764" s="118">
        <f t="shared" si="751"/>
        <v>0.11555891238670694</v>
      </c>
      <c r="J5764" s="5">
        <v>41606</v>
      </c>
      <c r="K5764" s="22">
        <v>1974</v>
      </c>
      <c r="L5764" s="6">
        <v>1967</v>
      </c>
      <c r="M5764" s="125">
        <f t="shared" ref="M5764" si="760">L5764-K5764</f>
        <v>-7</v>
      </c>
      <c r="P5764" s="247">
        <v>15050</v>
      </c>
      <c r="Q5764" s="25">
        <f>168.69/1165.1</f>
        <v>0.14478585529139132</v>
      </c>
      <c r="W5764" s="285">
        <f t="shared" si="757"/>
        <v>2179.0271221354392</v>
      </c>
      <c r="X5764" s="446">
        <f t="shared" si="758"/>
        <v>7.624113475177305</v>
      </c>
    </row>
    <row r="5765" spans="1:24" ht="15" customHeight="1">
      <c r="A5765" s="3">
        <v>43853</v>
      </c>
      <c r="B5765" s="4">
        <v>26000</v>
      </c>
      <c r="C5765" s="5">
        <v>0</v>
      </c>
      <c r="D5765" s="5">
        <v>40200</v>
      </c>
      <c r="E5765" s="5">
        <v>66200</v>
      </c>
      <c r="F5765" s="4">
        <v>0</v>
      </c>
      <c r="G5765" s="5">
        <v>0</v>
      </c>
      <c r="H5765" s="5">
        <v>10100</v>
      </c>
      <c r="I5765" s="118">
        <f t="shared" si="751"/>
        <v>0.15256797583081572</v>
      </c>
      <c r="J5765" s="5">
        <v>52160</v>
      </c>
      <c r="K5765" s="22">
        <v>1989</v>
      </c>
      <c r="L5765" s="6">
        <v>1988</v>
      </c>
      <c r="M5765" s="125">
        <f t="shared" ref="M5765:M5767" si="761">L5765-K5765</f>
        <v>-1</v>
      </c>
      <c r="P5765" s="247"/>
      <c r="W5765" s="285">
        <f t="shared" si="757"/>
        <v>0</v>
      </c>
      <c r="X5765" s="446"/>
    </row>
    <row r="5766" spans="1:24" ht="15" customHeight="1">
      <c r="A5766" s="3">
        <v>43854</v>
      </c>
      <c r="B5766" s="4">
        <v>26000</v>
      </c>
      <c r="C5766" s="5">
        <v>0</v>
      </c>
      <c r="D5766" s="5">
        <v>40200</v>
      </c>
      <c r="E5766" s="5">
        <v>66200</v>
      </c>
      <c r="F5766" s="4">
        <v>0</v>
      </c>
      <c r="G5766" s="5">
        <v>0</v>
      </c>
      <c r="H5766" s="5">
        <v>10100</v>
      </c>
      <c r="I5766" s="118">
        <f t="shared" si="751"/>
        <v>0.15256797583081572</v>
      </c>
      <c r="J5766" s="5">
        <v>35327</v>
      </c>
      <c r="K5766" s="22">
        <v>1960</v>
      </c>
      <c r="L5766" s="6">
        <v>1960</v>
      </c>
      <c r="M5766" s="125">
        <f t="shared" si="761"/>
        <v>0</v>
      </c>
      <c r="P5766" s="247"/>
      <c r="W5766" s="285">
        <f t="shared" si="757"/>
        <v>0</v>
      </c>
      <c r="X5766" s="446"/>
    </row>
    <row r="5767" spans="1:24" ht="15" customHeight="1">
      <c r="A5767" s="3">
        <v>43857</v>
      </c>
      <c r="B5767" s="4">
        <v>26000</v>
      </c>
      <c r="C5767" s="5">
        <v>0</v>
      </c>
      <c r="D5767" s="5">
        <v>40200</v>
      </c>
      <c r="E5767" s="5">
        <v>66200</v>
      </c>
      <c r="F5767" s="4">
        <v>0</v>
      </c>
      <c r="G5767" s="5">
        <v>0</v>
      </c>
      <c r="H5767" s="5">
        <v>15275</v>
      </c>
      <c r="I5767" s="118">
        <f t="shared" si="751"/>
        <v>0.23074018126888218</v>
      </c>
      <c r="J5767" s="5">
        <v>35274</v>
      </c>
      <c r="K5767" s="22">
        <v>1901</v>
      </c>
      <c r="L5767" s="6">
        <v>1880</v>
      </c>
      <c r="M5767" s="125">
        <f t="shared" si="761"/>
        <v>-21</v>
      </c>
      <c r="P5767" s="247"/>
      <c r="Q5767" s="25">
        <f>168.65/1167.2</f>
        <v>0.1444910897875257</v>
      </c>
      <c r="W5767" s="285">
        <f t="shared" si="757"/>
        <v>0</v>
      </c>
      <c r="X5767" s="446"/>
    </row>
    <row r="5768" spans="1:24" ht="15" customHeight="1">
      <c r="A5768" s="3">
        <v>43858</v>
      </c>
      <c r="B5768" s="4">
        <v>26000</v>
      </c>
      <c r="C5768" s="5">
        <v>0</v>
      </c>
      <c r="D5768" s="5">
        <v>40800</v>
      </c>
      <c r="E5768" s="5">
        <v>66800</v>
      </c>
      <c r="F5768" s="4">
        <v>600</v>
      </c>
      <c r="G5768" s="5">
        <v>0</v>
      </c>
      <c r="H5768" s="5">
        <v>15275</v>
      </c>
      <c r="I5768" s="118">
        <f t="shared" si="751"/>
        <v>0.22866766467065869</v>
      </c>
      <c r="J5768" s="5">
        <v>48459</v>
      </c>
      <c r="K5768" s="22">
        <v>1915</v>
      </c>
      <c r="L5768" s="6">
        <v>1899</v>
      </c>
      <c r="M5768" s="125">
        <f t="shared" ref="M5768" si="762">L5768-K5768</f>
        <v>-16</v>
      </c>
      <c r="P5768" s="247"/>
      <c r="Q5768" s="25">
        <f>168.71/1176.7</f>
        <v>0.14337554176935496</v>
      </c>
      <c r="W5768" s="285">
        <f t="shared" si="757"/>
        <v>0</v>
      </c>
      <c r="X5768" s="446"/>
    </row>
    <row r="5769" spans="1:24" ht="15" customHeight="1">
      <c r="A5769" s="3">
        <v>43859</v>
      </c>
      <c r="B5769" s="4">
        <v>26000</v>
      </c>
      <c r="C5769" s="5">
        <v>0</v>
      </c>
      <c r="D5769" s="5">
        <v>40800</v>
      </c>
      <c r="E5769" s="5">
        <v>66800</v>
      </c>
      <c r="F5769" s="4">
        <v>0</v>
      </c>
      <c r="G5769" s="5">
        <v>0</v>
      </c>
      <c r="H5769" s="5">
        <v>15950</v>
      </c>
      <c r="I5769" s="118">
        <f t="shared" si="751"/>
        <v>0.23877245508982037</v>
      </c>
      <c r="J5769" s="5">
        <v>43524</v>
      </c>
      <c r="K5769" s="22">
        <v>1886</v>
      </c>
      <c r="L5769" s="6">
        <v>1881</v>
      </c>
      <c r="M5769" s="125">
        <f t="shared" ref="M5769" si="763">L5769-K5769</f>
        <v>-5</v>
      </c>
      <c r="P5769" s="247"/>
      <c r="Q5769" s="25">
        <f>169/1176</f>
        <v>0.14370748299319727</v>
      </c>
      <c r="W5769" s="285">
        <f t="shared" ref="W5769" si="764">(P5769*Q5769)*(1+U5769)</f>
        <v>0</v>
      </c>
      <c r="X5769" s="446"/>
    </row>
    <row r="5770" spans="1:24" ht="15" customHeight="1">
      <c r="A5770" s="3">
        <v>43860</v>
      </c>
      <c r="B5770" s="4">
        <v>26000</v>
      </c>
      <c r="C5770" s="5">
        <v>0</v>
      </c>
      <c r="D5770" s="5">
        <v>40800</v>
      </c>
      <c r="E5770" s="5">
        <v>66800</v>
      </c>
      <c r="F5770" s="4">
        <v>0</v>
      </c>
      <c r="G5770" s="5">
        <v>0</v>
      </c>
      <c r="H5770" s="5">
        <v>15950</v>
      </c>
      <c r="I5770" s="118">
        <f t="shared" si="751"/>
        <v>0.23877245508982037</v>
      </c>
      <c r="J5770" s="5">
        <v>53459</v>
      </c>
      <c r="K5770" s="22">
        <v>1836</v>
      </c>
      <c r="L5770" s="6">
        <v>1827</v>
      </c>
      <c r="M5770" s="125">
        <f t="shared" ref="M5770" si="765">L5770-K5770</f>
        <v>-9</v>
      </c>
      <c r="P5770" s="247"/>
      <c r="Q5770" s="25">
        <f>169.55/1183.5</f>
        <v>0.1432615124630334</v>
      </c>
      <c r="W5770" s="285">
        <f t="shared" ref="W5770" si="766">(P5770*Q5770)*(1+U5770)</f>
        <v>0</v>
      </c>
      <c r="X5770" s="446"/>
    </row>
    <row r="5771" spans="1:24" ht="15" customHeight="1">
      <c r="A5771" s="3">
        <v>43861</v>
      </c>
      <c r="B5771" s="4">
        <v>26000</v>
      </c>
      <c r="C5771" s="5">
        <v>0</v>
      </c>
      <c r="D5771" s="5">
        <v>40800</v>
      </c>
      <c r="E5771" s="5">
        <v>66800</v>
      </c>
      <c r="F5771" s="4">
        <v>0</v>
      </c>
      <c r="G5771" s="5">
        <v>0</v>
      </c>
      <c r="H5771" s="5">
        <v>15950</v>
      </c>
      <c r="I5771" s="118">
        <f t="shared" si="751"/>
        <v>0.23877245508982037</v>
      </c>
      <c r="J5771" s="5">
        <v>42401</v>
      </c>
      <c r="K5771" s="22">
        <v>1874.5</v>
      </c>
      <c r="L5771" s="6">
        <v>1852</v>
      </c>
      <c r="M5771" s="125">
        <f t="shared" ref="M5771" si="767">L5771-K5771</f>
        <v>-22.5</v>
      </c>
      <c r="N5771" s="381">
        <f>AVERAGE($K$5750:K5771)</f>
        <v>1925.159090909091</v>
      </c>
      <c r="O5771" s="395">
        <f>AVERAGE($K$5750:K5771)</f>
        <v>1925.159090909091</v>
      </c>
      <c r="P5771" s="247"/>
      <c r="Q5771" s="25">
        <f>170.06/1187.8</f>
        <v>0.14317225122074423</v>
      </c>
      <c r="W5771" s="285">
        <f t="shared" ref="W5771:W5773" si="768">(P5771*Q5771)*(1+U5771)</f>
        <v>0</v>
      </c>
      <c r="X5771" s="446"/>
    </row>
    <row r="5772" spans="1:24" ht="15" customHeight="1" thickBot="1">
      <c r="A5772" s="216"/>
      <c r="B5772" s="394"/>
      <c r="C5772" s="394"/>
      <c r="D5772" s="394"/>
      <c r="E5772" s="216"/>
      <c r="F5772" s="407"/>
      <c r="G5772" s="164"/>
      <c r="H5772" s="164"/>
      <c r="I5772" s="164"/>
      <c r="J5772" s="166"/>
      <c r="K5772" s="166"/>
      <c r="L5772" s="167"/>
      <c r="M5772" s="167"/>
      <c r="N5772" s="167"/>
      <c r="O5772" s="167"/>
      <c r="P5772" s="180"/>
      <c r="Q5772" s="154"/>
      <c r="R5772" s="248"/>
      <c r="S5772" s="249"/>
      <c r="T5772" s="249"/>
      <c r="U5772" s="152"/>
      <c r="V5772" s="153">
        <f>AVERAGE(P5750:P5771)</f>
        <v>15001.666666666666</v>
      </c>
      <c r="W5772" s="390"/>
      <c r="X5772" s="447">
        <f>AVERAGE(X5750:X5771)</f>
        <v>7.764063459420238</v>
      </c>
    </row>
    <row r="5773" spans="1:24" ht="15" customHeight="1">
      <c r="A5773" s="3">
        <v>43864</v>
      </c>
      <c r="B5773" s="4">
        <v>26000</v>
      </c>
      <c r="C5773" s="5">
        <v>0</v>
      </c>
      <c r="D5773" s="5">
        <v>40800</v>
      </c>
      <c r="E5773" s="5">
        <v>66800</v>
      </c>
      <c r="F5773" s="4">
        <v>0</v>
      </c>
      <c r="G5773" s="5">
        <v>0</v>
      </c>
      <c r="H5773" s="5">
        <v>15950</v>
      </c>
      <c r="I5773" s="118">
        <f t="shared" ref="I5773" si="769">H5773/E5773</f>
        <v>0.23877245508982037</v>
      </c>
      <c r="J5773" s="5">
        <v>46058</v>
      </c>
      <c r="K5773" s="22">
        <v>1879</v>
      </c>
      <c r="L5773" s="6">
        <v>1860</v>
      </c>
      <c r="M5773" s="125">
        <f t="shared" ref="M5773" si="770">L5773-K5773</f>
        <v>-19</v>
      </c>
      <c r="P5773" s="247">
        <v>14350</v>
      </c>
      <c r="Q5773" s="25">
        <f>170.61/1196</f>
        <v>0.1426505016722408</v>
      </c>
      <c r="W5773" s="285">
        <f t="shared" si="768"/>
        <v>2047.0346989966556</v>
      </c>
      <c r="X5773" s="446">
        <f t="shared" ref="X5773" si="771">P5773/K5773</f>
        <v>7.6370409792442793</v>
      </c>
    </row>
    <row r="5774" spans="1:24" ht="15" customHeight="1">
      <c r="A5774" s="3">
        <v>43865</v>
      </c>
      <c r="B5774" s="4">
        <v>26000</v>
      </c>
      <c r="C5774" s="5">
        <v>0</v>
      </c>
      <c r="D5774" s="5">
        <v>40800</v>
      </c>
      <c r="E5774" s="5">
        <v>66800</v>
      </c>
      <c r="F5774" s="4">
        <v>0</v>
      </c>
      <c r="G5774" s="5">
        <v>0</v>
      </c>
      <c r="H5774" s="5">
        <v>15950</v>
      </c>
      <c r="I5774" s="118">
        <f t="shared" ref="I5774:I5781" si="772">H5774/E5774</f>
        <v>0.23877245508982037</v>
      </c>
      <c r="J5774" s="5">
        <v>52147</v>
      </c>
      <c r="K5774" s="22">
        <v>1854.5</v>
      </c>
      <c r="L5774" s="6">
        <v>1844</v>
      </c>
      <c r="M5774" s="125">
        <f t="shared" ref="M5774" si="773">L5774-K5774</f>
        <v>-10.5</v>
      </c>
      <c r="P5774" s="247">
        <v>14350</v>
      </c>
      <c r="Q5774" s="25">
        <f>169.72/1189.4</f>
        <v>0.14269379519085251</v>
      </c>
      <c r="W5774" s="285">
        <f t="shared" ref="W5774" si="774">(P5774*Q5774)*(1+U5774)</f>
        <v>2047.6559609887336</v>
      </c>
      <c r="X5774" s="446">
        <f t="shared" ref="X5774" si="775">P5774/K5774</f>
        <v>7.7379347533027767</v>
      </c>
    </row>
    <row r="5775" spans="1:24" ht="15" customHeight="1">
      <c r="A5775" s="3">
        <v>43866</v>
      </c>
      <c r="B5775" s="4">
        <v>26000</v>
      </c>
      <c r="C5775" s="5">
        <v>0</v>
      </c>
      <c r="D5775" s="5">
        <v>40750</v>
      </c>
      <c r="E5775" s="5">
        <v>66750</v>
      </c>
      <c r="F5775" s="4">
        <v>0</v>
      </c>
      <c r="G5775" s="5">
        <v>50</v>
      </c>
      <c r="H5775" s="5">
        <v>16000</v>
      </c>
      <c r="I5775" s="118">
        <f t="shared" si="772"/>
        <v>0.23970037453183521</v>
      </c>
      <c r="J5775" s="5">
        <v>44441</v>
      </c>
      <c r="K5775" s="22">
        <v>1843.5</v>
      </c>
      <c r="L5775" s="6">
        <v>1835</v>
      </c>
      <c r="M5775" s="125">
        <f t="shared" ref="M5775" si="776">L5775-K5775</f>
        <v>-8.5</v>
      </c>
      <c r="P5775" s="247">
        <v>14350</v>
      </c>
      <c r="Q5775" s="25">
        <f>169.77/1188.5</f>
        <v>0.14284392090870845</v>
      </c>
      <c r="W5775" s="285">
        <f t="shared" ref="W5775" si="777">(P5775*Q5775)*(1+U5775)</f>
        <v>2049.8102650399665</v>
      </c>
      <c r="X5775" s="446">
        <f t="shared" ref="X5775" si="778">P5775/K5775</f>
        <v>7.7841063195009497</v>
      </c>
    </row>
    <row r="5776" spans="1:24" ht="15" customHeight="1">
      <c r="A5776" s="3">
        <v>43867</v>
      </c>
      <c r="B5776" s="4">
        <v>26000</v>
      </c>
      <c r="C5776" s="5">
        <v>0</v>
      </c>
      <c r="D5776" s="5">
        <v>40725</v>
      </c>
      <c r="E5776" s="5">
        <v>66725</v>
      </c>
      <c r="F5776" s="4">
        <v>0</v>
      </c>
      <c r="G5776" s="5">
        <v>25</v>
      </c>
      <c r="H5776" s="5">
        <v>8225</v>
      </c>
      <c r="I5776" s="118">
        <f t="shared" si="772"/>
        <v>0.12326714125140502</v>
      </c>
      <c r="J5776" s="5">
        <v>39551</v>
      </c>
      <c r="K5776" s="22">
        <v>1844</v>
      </c>
      <c r="L5776" s="6">
        <v>1830</v>
      </c>
      <c r="M5776" s="125">
        <f t="shared" ref="M5776" si="779">L5776-K5776</f>
        <v>-14</v>
      </c>
      <c r="P5776" s="247">
        <v>14200</v>
      </c>
      <c r="Q5776" s="25">
        <f>169.55/1181.4</f>
        <v>0.14351616725918401</v>
      </c>
      <c r="W5776" s="285">
        <f t="shared" ref="W5776:W5782" si="780">(P5776*Q5776)*(1+U5776)</f>
        <v>2037.9295750804129</v>
      </c>
      <c r="X5776" s="446">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18">
        <f t="shared" si="772"/>
        <v>0.12088323353293413</v>
      </c>
      <c r="J5777" s="5">
        <v>43182</v>
      </c>
      <c r="K5777" s="22">
        <v>1835</v>
      </c>
      <c r="L5777" s="6">
        <v>1824</v>
      </c>
      <c r="M5777" s="125">
        <f t="shared" ref="M5777" si="782">L5777-K5777</f>
        <v>-11</v>
      </c>
      <c r="P5777" s="247">
        <v>14200</v>
      </c>
      <c r="Q5777" s="25">
        <f>170.06/1187.2</f>
        <v>0.14324460916442047</v>
      </c>
      <c r="W5777" s="285">
        <f t="shared" si="780"/>
        <v>2034.0734501347706</v>
      </c>
      <c r="X5777" s="446">
        <f t="shared" si="781"/>
        <v>7.73841961852861</v>
      </c>
    </row>
    <row r="5778" spans="1:24" ht="15" customHeight="1">
      <c r="A5778" s="3">
        <v>43871</v>
      </c>
      <c r="B5778" s="4">
        <v>26000</v>
      </c>
      <c r="C5778" s="5">
        <v>0</v>
      </c>
      <c r="D5778" s="5">
        <v>40800</v>
      </c>
      <c r="E5778" s="5">
        <v>66800</v>
      </c>
      <c r="F5778" s="4">
        <v>0</v>
      </c>
      <c r="G5778" s="5">
        <v>0</v>
      </c>
      <c r="H5778" s="5">
        <v>8075</v>
      </c>
      <c r="I5778" s="118">
        <f t="shared" si="772"/>
        <v>0.12088323353293413</v>
      </c>
      <c r="J5778" s="5">
        <v>58758</v>
      </c>
      <c r="K5778" s="22">
        <v>1810</v>
      </c>
      <c r="L5778" s="6">
        <v>1806.5</v>
      </c>
      <c r="M5778" s="125">
        <f t="shared" ref="M5778:M5779" si="783">L5778-K5778</f>
        <v>-3.5</v>
      </c>
      <c r="P5778" s="247">
        <v>14000</v>
      </c>
      <c r="Q5778" s="25">
        <f>170.01/1189.8</f>
        <v>0.14288956127080182</v>
      </c>
      <c r="W5778" s="285">
        <f t="shared" si="780"/>
        <v>2000.4538577912256</v>
      </c>
      <c r="X5778" s="446">
        <f t="shared" si="781"/>
        <v>7.7348066298342539</v>
      </c>
    </row>
    <row r="5779" spans="1:24" ht="15" customHeight="1">
      <c r="A5779" s="3">
        <v>43872</v>
      </c>
      <c r="B5779" s="4">
        <v>26000</v>
      </c>
      <c r="C5779" s="5">
        <v>0</v>
      </c>
      <c r="D5779" s="5">
        <v>40800</v>
      </c>
      <c r="E5779" s="5">
        <v>66800</v>
      </c>
      <c r="F5779" s="4">
        <v>0</v>
      </c>
      <c r="G5779" s="5">
        <v>0</v>
      </c>
      <c r="H5779" s="5">
        <v>8075</v>
      </c>
      <c r="I5779" s="118">
        <f t="shared" si="772"/>
        <v>0.12088323353293413</v>
      </c>
      <c r="J5779" s="5">
        <v>52504</v>
      </c>
      <c r="K5779" s="22">
        <v>1820</v>
      </c>
      <c r="L5779" s="6">
        <v>1810</v>
      </c>
      <c r="M5779" s="125">
        <f t="shared" si="783"/>
        <v>-10</v>
      </c>
      <c r="P5779" s="247">
        <v>14025</v>
      </c>
      <c r="Q5779" s="25">
        <f>169.63/1184.14</f>
        <v>0.14325164254226694</v>
      </c>
      <c r="W5779" s="285">
        <f t="shared" si="780"/>
        <v>2009.1042866552939</v>
      </c>
      <c r="X5779" s="446">
        <f t="shared" si="781"/>
        <v>7.7060439560439562</v>
      </c>
    </row>
    <row r="5780" spans="1:24" ht="15" customHeight="1">
      <c r="A5780" s="3">
        <v>43873</v>
      </c>
      <c r="B5780" s="4">
        <v>26000</v>
      </c>
      <c r="C5780" s="5">
        <v>0</v>
      </c>
      <c r="D5780" s="5">
        <v>40800</v>
      </c>
      <c r="E5780" s="5">
        <v>66800</v>
      </c>
      <c r="F5780" s="4">
        <v>0</v>
      </c>
      <c r="G5780" s="5">
        <v>0</v>
      </c>
      <c r="H5780" s="5">
        <v>8075</v>
      </c>
      <c r="I5780" s="118">
        <f t="shared" si="772"/>
        <v>0.12088323353293413</v>
      </c>
      <c r="J5780" s="5">
        <v>81117</v>
      </c>
      <c r="K5780" s="22">
        <v>1861</v>
      </c>
      <c r="L5780" s="6">
        <v>1845.5</v>
      </c>
      <c r="M5780" s="125">
        <f t="shared" ref="M5780" si="784">L5780-K5780</f>
        <v>-15.5</v>
      </c>
      <c r="P5780" s="247">
        <v>14125</v>
      </c>
      <c r="Q5780" s="25">
        <f>169.29/1179.8</f>
        <v>0.14349042210544161</v>
      </c>
      <c r="W5780" s="285">
        <f t="shared" si="780"/>
        <v>2026.8022122393627</v>
      </c>
      <c r="X5780" s="446">
        <f t="shared" si="781"/>
        <v>7.5900053734551314</v>
      </c>
    </row>
    <row r="5781" spans="1:24" ht="15" customHeight="1">
      <c r="A5781" s="3">
        <v>43874</v>
      </c>
      <c r="B5781" s="4">
        <v>26000</v>
      </c>
      <c r="C5781" s="5">
        <v>0</v>
      </c>
      <c r="D5781" s="5">
        <v>40750</v>
      </c>
      <c r="E5781" s="5">
        <v>66750</v>
      </c>
      <c r="F5781" s="4">
        <v>0</v>
      </c>
      <c r="G5781" s="5">
        <v>50</v>
      </c>
      <c r="H5781" s="5">
        <v>8025</v>
      </c>
      <c r="I5781" s="118">
        <f t="shared" si="772"/>
        <v>0.12022471910112359</v>
      </c>
      <c r="J5781" s="5">
        <v>57244</v>
      </c>
      <c r="K5781" s="22">
        <v>1877</v>
      </c>
      <c r="L5781" s="6">
        <v>1864</v>
      </c>
      <c r="M5781" s="125">
        <f t="shared" ref="M5781" si="785">L5781-K5781</f>
        <v>-13</v>
      </c>
      <c r="P5781" s="247">
        <v>14125</v>
      </c>
      <c r="Q5781" s="25">
        <f>169.09/1181.5</f>
        <v>0.14311468472281</v>
      </c>
      <c r="W5781" s="285">
        <f t="shared" si="780"/>
        <v>2021.4949217096912</v>
      </c>
      <c r="X5781" s="446">
        <f t="shared" si="781"/>
        <v>7.5253063399041027</v>
      </c>
    </row>
    <row r="5782" spans="1:24" ht="15" customHeight="1">
      <c r="A5782" s="3">
        <v>43875</v>
      </c>
      <c r="B5782" s="4">
        <v>26000</v>
      </c>
      <c r="C5782" s="5">
        <v>0</v>
      </c>
      <c r="D5782" s="5">
        <v>40750</v>
      </c>
      <c r="E5782" s="5">
        <v>66750</v>
      </c>
      <c r="F5782" s="4">
        <v>0</v>
      </c>
      <c r="G5782" s="5">
        <v>50</v>
      </c>
      <c r="H5782" s="5">
        <v>8025</v>
      </c>
      <c r="I5782" s="118">
        <f t="shared" ref="I5782:I5785" si="786">H5782/E5782</f>
        <v>0.12022471910112359</v>
      </c>
      <c r="J5782" s="5">
        <v>49974</v>
      </c>
      <c r="K5782" s="22">
        <v>1875</v>
      </c>
      <c r="L5782" s="6">
        <v>1861.5</v>
      </c>
      <c r="M5782" s="125">
        <f t="shared" ref="M5782" si="787">L5782-K5782</f>
        <v>-13.5</v>
      </c>
      <c r="P5782" s="247">
        <v>14200</v>
      </c>
      <c r="Q5782" s="25">
        <f>169.42/1183.5</f>
        <v>0.1431516687790452</v>
      </c>
      <c r="W5782" s="285">
        <f t="shared" si="780"/>
        <v>2032.7536966624418</v>
      </c>
      <c r="X5782" s="446">
        <f t="shared" si="781"/>
        <v>7.5733333333333333</v>
      </c>
    </row>
    <row r="5783" spans="1:24" ht="15" customHeight="1">
      <c r="A5783" s="3">
        <v>43878</v>
      </c>
      <c r="B5783" s="4">
        <v>26000</v>
      </c>
      <c r="C5783" s="5">
        <v>0</v>
      </c>
      <c r="D5783" s="5">
        <v>40725</v>
      </c>
      <c r="E5783" s="5">
        <v>66725</v>
      </c>
      <c r="F5783" s="4">
        <v>0</v>
      </c>
      <c r="G5783" s="5">
        <v>25</v>
      </c>
      <c r="H5783" s="5">
        <v>8050</v>
      </c>
      <c r="I5783" s="118">
        <f t="shared" si="786"/>
        <v>0.1206444361183964</v>
      </c>
      <c r="J5783" s="5">
        <v>38153</v>
      </c>
      <c r="K5783" s="22">
        <v>1911</v>
      </c>
      <c r="L5783" s="6">
        <v>1881</v>
      </c>
      <c r="M5783" s="125">
        <f t="shared" ref="M5783" si="788">L5783-K5783</f>
        <v>-30</v>
      </c>
      <c r="P5783" s="247">
        <v>14250</v>
      </c>
      <c r="Q5783" s="25">
        <f>169.36/1182.2</f>
        <v>0.14325833192353241</v>
      </c>
      <c r="W5783" s="285">
        <f t="shared" ref="W5783:W5792" si="789">(P5783*Q5783)*(1+U5783)</f>
        <v>2041.4312299103367</v>
      </c>
      <c r="X5783" s="446">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18">
        <f t="shared" si="786"/>
        <v>0.12326714125140502</v>
      </c>
      <c r="J5784" s="5">
        <v>50931</v>
      </c>
      <c r="K5784" s="22">
        <v>1901</v>
      </c>
      <c r="L5784" s="6">
        <v>1848</v>
      </c>
      <c r="M5784" s="125">
        <f t="shared" ref="M5784" si="791">L5784-K5784</f>
        <v>-53</v>
      </c>
      <c r="P5784" s="247">
        <v>14325</v>
      </c>
      <c r="Q5784" s="25">
        <f>169.88/1188.1</f>
        <v>0.14298459725612322</v>
      </c>
      <c r="W5784" s="285">
        <f t="shared" si="789"/>
        <v>2048.2543556939654</v>
      </c>
      <c r="X5784" s="446">
        <f t="shared" si="790"/>
        <v>7.5355076275644395</v>
      </c>
    </row>
    <row r="5785" spans="1:24" ht="15" customHeight="1">
      <c r="A5785" s="3">
        <v>43880</v>
      </c>
      <c r="B5785" s="4">
        <v>26000</v>
      </c>
      <c r="C5785" s="5">
        <v>0</v>
      </c>
      <c r="D5785" s="5">
        <v>40725</v>
      </c>
      <c r="E5785" s="5">
        <v>66725</v>
      </c>
      <c r="F5785" s="4">
        <v>0</v>
      </c>
      <c r="G5785" s="5">
        <v>0</v>
      </c>
      <c r="H5785" s="5">
        <v>2500</v>
      </c>
      <c r="I5785" s="118">
        <f t="shared" si="786"/>
        <v>3.7467216185837392E-2</v>
      </c>
      <c r="J5785" s="5">
        <v>60332</v>
      </c>
      <c r="K5785" s="22">
        <v>1920</v>
      </c>
      <c r="L5785" s="6">
        <v>1878</v>
      </c>
      <c r="M5785" s="125">
        <f t="shared" ref="M5785" si="792">L5785-K5785</f>
        <v>-42</v>
      </c>
      <c r="P5785" s="247">
        <v>14425</v>
      </c>
      <c r="Q5785" s="25">
        <f>169.88/1190.8</f>
        <v>0.14266039637218678</v>
      </c>
      <c r="W5785" s="285">
        <f t="shared" si="789"/>
        <v>2057.8762176687942</v>
      </c>
      <c r="X5785" s="446">
        <f t="shared" si="790"/>
        <v>7.513020833333333</v>
      </c>
    </row>
    <row r="5786" spans="1:24" ht="15" customHeight="1">
      <c r="A5786" s="3">
        <v>43881</v>
      </c>
      <c r="B5786" s="4">
        <v>26000</v>
      </c>
      <c r="C5786" s="5">
        <v>0</v>
      </c>
      <c r="D5786" s="5">
        <v>40725</v>
      </c>
      <c r="E5786" s="5">
        <v>66725</v>
      </c>
      <c r="F5786" s="4">
        <v>0</v>
      </c>
      <c r="G5786" s="5">
        <v>0</v>
      </c>
      <c r="H5786" s="5">
        <v>2500</v>
      </c>
      <c r="I5786" s="118">
        <f t="shared" ref="I5786:I5792" si="793">H5786/E5786</f>
        <v>3.7467216185837392E-2</v>
      </c>
      <c r="J5786" s="5">
        <v>53617</v>
      </c>
      <c r="K5786" s="22">
        <v>1939</v>
      </c>
      <c r="L5786" s="6">
        <v>1863</v>
      </c>
      <c r="M5786" s="125">
        <f t="shared" ref="M5786" si="794">L5786-K5786</f>
        <v>-76</v>
      </c>
      <c r="P5786" s="247">
        <v>14450</v>
      </c>
      <c r="Q5786" s="25">
        <f>170.36/1197</f>
        <v>0.14232247284878866</v>
      </c>
      <c r="W5786" s="285">
        <f t="shared" si="789"/>
        <v>2056.5597326649959</v>
      </c>
      <c r="X5786" s="446">
        <f t="shared" si="790"/>
        <v>7.452294997421351</v>
      </c>
    </row>
    <row r="5787" spans="1:24" ht="15" customHeight="1">
      <c r="A5787" s="3">
        <v>43882</v>
      </c>
      <c r="B5787" s="4">
        <v>25875</v>
      </c>
      <c r="C5787" s="5">
        <v>0</v>
      </c>
      <c r="D5787" s="5">
        <v>40975</v>
      </c>
      <c r="E5787" s="5">
        <v>66850</v>
      </c>
      <c r="F5787" s="4">
        <v>250</v>
      </c>
      <c r="G5787" s="5">
        <v>125</v>
      </c>
      <c r="H5787" s="5">
        <v>2375</v>
      </c>
      <c r="I5787" s="118">
        <f t="shared" si="793"/>
        <v>3.5527299925205681E-2</v>
      </c>
      <c r="J5787" s="5">
        <v>52234</v>
      </c>
      <c r="K5787" s="22">
        <v>1881</v>
      </c>
      <c r="L5787" s="6">
        <v>1839</v>
      </c>
      <c r="M5787" s="125">
        <f t="shared" ref="M5787" si="795">L5787-K5787</f>
        <v>-42</v>
      </c>
      <c r="P5787" s="247">
        <v>14450</v>
      </c>
      <c r="Q5787" s="25">
        <f>171.2/1205.6</f>
        <v>0.14200398142003981</v>
      </c>
      <c r="W5787" s="285">
        <f t="shared" si="789"/>
        <v>2051.9575315195752</v>
      </c>
      <c r="X5787" s="446">
        <f t="shared" si="790"/>
        <v>7.6820839978734714</v>
      </c>
    </row>
    <row r="5788" spans="1:24" ht="15" customHeight="1">
      <c r="A5788" s="3">
        <v>43885</v>
      </c>
      <c r="B5788" s="4">
        <v>25800</v>
      </c>
      <c r="C5788" s="5">
        <v>0</v>
      </c>
      <c r="D5788" s="5">
        <v>40975</v>
      </c>
      <c r="E5788" s="5">
        <v>66775</v>
      </c>
      <c r="F5788" s="4">
        <v>0</v>
      </c>
      <c r="G5788" s="5">
        <v>75</v>
      </c>
      <c r="H5788" s="5">
        <v>2300</v>
      </c>
      <c r="I5788" s="118">
        <f t="shared" si="793"/>
        <v>3.4444028453762633E-2</v>
      </c>
      <c r="J5788" s="5">
        <v>62963</v>
      </c>
      <c r="K5788" s="22">
        <v>1864</v>
      </c>
      <c r="L5788" s="6">
        <v>1820</v>
      </c>
      <c r="M5788" s="125">
        <f t="shared" ref="M5788" si="796">L5788-K5788</f>
        <v>-44</v>
      </c>
      <c r="P5788" s="247">
        <v>14450</v>
      </c>
      <c r="Q5788" s="25">
        <f>172.99/1217.7</f>
        <v>0.14206290547753964</v>
      </c>
      <c r="W5788" s="285">
        <f t="shared" si="789"/>
        <v>2052.8089841504479</v>
      </c>
      <c r="X5788" s="446">
        <f t="shared" si="790"/>
        <v>7.7521459227467808</v>
      </c>
    </row>
    <row r="5789" spans="1:24" ht="15" customHeight="1">
      <c r="A5789" s="3">
        <v>43886</v>
      </c>
      <c r="B5789" s="4">
        <v>25750</v>
      </c>
      <c r="C5789" s="5">
        <v>0</v>
      </c>
      <c r="D5789" s="5">
        <v>41825</v>
      </c>
      <c r="E5789" s="5">
        <v>67575</v>
      </c>
      <c r="F5789" s="4">
        <v>850</v>
      </c>
      <c r="G5789" s="5">
        <v>50</v>
      </c>
      <c r="H5789" s="5">
        <v>2250</v>
      </c>
      <c r="I5789" s="118">
        <f t="shared" si="793"/>
        <v>3.3296337402885685E-2</v>
      </c>
      <c r="J5789" s="5">
        <v>41478</v>
      </c>
      <c r="K5789" s="22">
        <v>1922</v>
      </c>
      <c r="L5789" s="6">
        <v>1846</v>
      </c>
      <c r="M5789" s="125">
        <f t="shared" ref="M5789" si="797">L5789-K5789</f>
        <v>-76</v>
      </c>
      <c r="P5789" s="247">
        <v>14450</v>
      </c>
      <c r="Q5789" s="25">
        <f>172.66/1212.7</f>
        <v>0.14237651521398531</v>
      </c>
      <c r="W5789" s="285">
        <f t="shared" si="789"/>
        <v>2057.3406448420878</v>
      </c>
      <c r="X5789" s="446">
        <f t="shared" si="790"/>
        <v>7.5182101977107179</v>
      </c>
    </row>
    <row r="5790" spans="1:24" ht="15" customHeight="1">
      <c r="A5790" s="3">
        <v>43887</v>
      </c>
      <c r="B5790" s="4">
        <v>25750</v>
      </c>
      <c r="C5790" s="5">
        <v>0</v>
      </c>
      <c r="D5790" s="5">
        <v>41900</v>
      </c>
      <c r="E5790" s="5">
        <v>67650</v>
      </c>
      <c r="F5790" s="4">
        <v>75</v>
      </c>
      <c r="G5790" s="5">
        <v>0</v>
      </c>
      <c r="H5790" s="5">
        <v>2175</v>
      </c>
      <c r="I5790" s="118">
        <f t="shared" si="793"/>
        <v>3.2150776053215077E-2</v>
      </c>
      <c r="J5790" s="5">
        <v>44382</v>
      </c>
      <c r="K5790" s="22">
        <v>1870</v>
      </c>
      <c r="L5790" s="6">
        <v>1840</v>
      </c>
      <c r="M5790" s="125">
        <f t="shared" ref="M5790" si="798">L5790-K5790</f>
        <v>-30</v>
      </c>
      <c r="P5790" s="247">
        <v>14475</v>
      </c>
      <c r="Q5790" s="25">
        <f>173.04/1216.8</f>
        <v>0.14220907297830374</v>
      </c>
      <c r="W5790" s="285">
        <f t="shared" si="789"/>
        <v>2058.4763313609465</v>
      </c>
      <c r="X5790" s="446">
        <f t="shared" si="790"/>
        <v>7.7406417112299462</v>
      </c>
    </row>
    <row r="5791" spans="1:24" ht="15" customHeight="1">
      <c r="A5791" s="3">
        <v>43888</v>
      </c>
      <c r="B5791" s="4">
        <v>25750</v>
      </c>
      <c r="C5791" s="5">
        <v>0</v>
      </c>
      <c r="D5791" s="5">
        <v>41800</v>
      </c>
      <c r="E5791" s="5">
        <v>67550</v>
      </c>
      <c r="F5791" s="4">
        <v>0</v>
      </c>
      <c r="G5791" s="5">
        <v>100</v>
      </c>
      <c r="H5791" s="5">
        <v>2075</v>
      </c>
      <c r="I5791" s="118">
        <f t="shared" si="793"/>
        <v>3.0717986676535899E-2</v>
      </c>
      <c r="J5791" s="5">
        <v>45803</v>
      </c>
      <c r="K5791" s="22">
        <v>1870</v>
      </c>
      <c r="L5791" s="6">
        <v>1827</v>
      </c>
      <c r="M5791" s="125">
        <f t="shared" ref="M5791" si="799">L5791-K5791</f>
        <v>-43</v>
      </c>
      <c r="P5791" s="247">
        <v>14450</v>
      </c>
      <c r="Q5791" s="25">
        <f>173.08/1215.9</f>
        <v>0.14234723250267292</v>
      </c>
      <c r="W5791" s="285">
        <f t="shared" si="789"/>
        <v>2056.9175096636236</v>
      </c>
      <c r="X5791" s="446">
        <f t="shared" si="790"/>
        <v>7.7272727272727275</v>
      </c>
    </row>
    <row r="5792" spans="1:24" ht="15" customHeight="1">
      <c r="A5792" s="3">
        <v>43889</v>
      </c>
      <c r="B5792" s="4">
        <v>25750</v>
      </c>
      <c r="C5792" s="5">
        <v>0</v>
      </c>
      <c r="D5792" s="5">
        <v>42050</v>
      </c>
      <c r="E5792" s="5">
        <v>67800</v>
      </c>
      <c r="F5792" s="4">
        <v>250</v>
      </c>
      <c r="G5792" s="5">
        <v>0</v>
      </c>
      <c r="H5792" s="5">
        <v>2075</v>
      </c>
      <c r="I5792" s="118">
        <f t="shared" si="793"/>
        <v>3.0604719764011801E-2</v>
      </c>
      <c r="J5792" s="5">
        <v>40092</v>
      </c>
      <c r="K5792" s="22">
        <v>1869</v>
      </c>
      <c r="L5792" s="6">
        <v>1820</v>
      </c>
      <c r="M5792" s="125">
        <f t="shared" ref="M5792" si="800">L5792-K5792</f>
        <v>-49</v>
      </c>
      <c r="N5792" s="381">
        <f>AVERAGE($K$5773:K5792)</f>
        <v>1872.3</v>
      </c>
      <c r="O5792" s="395">
        <f>AVERAGE($K$5750:K5792)</f>
        <v>1899.9880952380952</v>
      </c>
      <c r="P5792" s="247">
        <v>14450</v>
      </c>
      <c r="Q5792" s="25">
        <f>173.26/1215.3</f>
        <v>0.14256562165720399</v>
      </c>
      <c r="W5792" s="285">
        <f t="shared" si="789"/>
        <v>2060.0732329465977</v>
      </c>
      <c r="X5792" s="446">
        <f t="shared" si="790"/>
        <v>7.7314071696094171</v>
      </c>
    </row>
    <row r="5793" spans="1:24" ht="15" customHeight="1" thickBot="1">
      <c r="A5793" s="216"/>
      <c r="B5793" s="394"/>
      <c r="C5793" s="394"/>
      <c r="D5793" s="394"/>
      <c r="E5793" s="216"/>
      <c r="F5793" s="407"/>
      <c r="G5793" s="164"/>
      <c r="H5793" s="164"/>
      <c r="I5793" s="164"/>
      <c r="J5793" s="166"/>
      <c r="K5793" s="166"/>
      <c r="L5793" s="167"/>
      <c r="M5793" s="167"/>
      <c r="N5793" s="167"/>
      <c r="O5793" s="167"/>
      <c r="P5793" s="180"/>
      <c r="Q5793" s="154"/>
      <c r="R5793" s="248"/>
      <c r="S5793" s="249"/>
      <c r="T5793" s="249"/>
      <c r="U5793" s="152"/>
      <c r="V5793" s="153">
        <f>AVERAGE(P5773:P5792)</f>
        <v>14305</v>
      </c>
      <c r="W5793" s="390"/>
      <c r="X5793" s="447">
        <f>AVERAGE(X5773:X5792)</f>
        <v>7.6418531066264492</v>
      </c>
    </row>
    <row r="5794" spans="1:24" ht="15" customHeight="1">
      <c r="A5794" s="3">
        <v>43892</v>
      </c>
      <c r="B5794" s="4">
        <v>25750</v>
      </c>
      <c r="C5794" s="5">
        <v>0</v>
      </c>
      <c r="D5794" s="5">
        <v>42350</v>
      </c>
      <c r="E5794" s="5">
        <v>68100</v>
      </c>
      <c r="F5794" s="4">
        <v>300</v>
      </c>
      <c r="G5794" s="5">
        <v>0</v>
      </c>
      <c r="H5794" s="5">
        <v>8400</v>
      </c>
      <c r="I5794" s="118">
        <f t="shared" ref="I5794:I5815" si="801">H5794/E5794</f>
        <v>0.12334801762114538</v>
      </c>
      <c r="J5794" s="5">
        <v>60756</v>
      </c>
      <c r="K5794" s="22">
        <v>1905</v>
      </c>
      <c r="L5794" s="6">
        <v>1865</v>
      </c>
      <c r="M5794" s="125">
        <f t="shared" ref="M5794" si="802">L5794-K5794</f>
        <v>-40</v>
      </c>
      <c r="P5794" s="247">
        <v>14500</v>
      </c>
      <c r="Q5794" s="25">
        <f>171.78/1200.3</f>
        <v>0.14311422144463884</v>
      </c>
      <c r="W5794" s="285">
        <f t="shared" ref="W5794:W5815" si="803">(P5794*Q5794)*(1+U5794)</f>
        <v>2075.1562109472634</v>
      </c>
      <c r="X5794" s="446">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18">
        <f t="shared" si="801"/>
        <v>0.17462632154575283</v>
      </c>
      <c r="J5795" s="5">
        <v>55638</v>
      </c>
      <c r="K5795" s="22">
        <v>1900</v>
      </c>
      <c r="L5795" s="6">
        <v>1848</v>
      </c>
      <c r="M5795" s="125">
        <f t="shared" ref="M5795" si="805">L5795-K5795</f>
        <v>-52</v>
      </c>
      <c r="P5795" s="247">
        <v>14575</v>
      </c>
      <c r="Q5795" s="25">
        <f>170.95/1191.4</f>
        <v>0.14348665435621955</v>
      </c>
      <c r="W5795" s="285">
        <f t="shared" si="803"/>
        <v>2091.3179872419</v>
      </c>
      <c r="X5795" s="446">
        <f t="shared" si="804"/>
        <v>7.6710526315789478</v>
      </c>
    </row>
    <row r="5796" spans="1:24" ht="15" customHeight="1">
      <c r="A5796" s="3">
        <v>43894</v>
      </c>
      <c r="B5796" s="4">
        <v>26000</v>
      </c>
      <c r="C5796" s="5">
        <v>0</v>
      </c>
      <c r="D5796" s="5">
        <v>43225</v>
      </c>
      <c r="E5796" s="5">
        <v>69225</v>
      </c>
      <c r="F5796" s="4">
        <v>650</v>
      </c>
      <c r="G5796" s="5">
        <v>0</v>
      </c>
      <c r="H5796" s="5">
        <v>12250</v>
      </c>
      <c r="I5796" s="118">
        <f t="shared" si="801"/>
        <v>0.17695919104369809</v>
      </c>
      <c r="J5796" s="5">
        <v>44355</v>
      </c>
      <c r="K5796" s="22">
        <v>1887</v>
      </c>
      <c r="L5796" s="6">
        <v>1841</v>
      </c>
      <c r="M5796" s="125">
        <f t="shared" ref="M5796" si="806">L5796-K5796</f>
        <v>-46</v>
      </c>
      <c r="P5796" s="247">
        <v>14475</v>
      </c>
      <c r="Q5796" s="25">
        <f>170.99/1186.4</f>
        <v>0.14412508428860418</v>
      </c>
      <c r="W5796" s="285">
        <f t="shared" si="803"/>
        <v>2086.2105950775453</v>
      </c>
      <c r="X5796" s="446">
        <f t="shared" si="804"/>
        <v>7.6709062003179653</v>
      </c>
    </row>
    <row r="5797" spans="1:24" ht="15" customHeight="1">
      <c r="A5797" s="3">
        <v>43895</v>
      </c>
      <c r="B5797" s="4">
        <v>26000</v>
      </c>
      <c r="C5797" s="5">
        <v>0</v>
      </c>
      <c r="D5797" s="5">
        <v>43575</v>
      </c>
      <c r="E5797" s="5">
        <v>69575</v>
      </c>
      <c r="F5797" s="4">
        <v>350</v>
      </c>
      <c r="G5797" s="5">
        <v>0</v>
      </c>
      <c r="H5797" s="5">
        <v>12250</v>
      </c>
      <c r="I5797" s="118">
        <f t="shared" si="801"/>
        <v>0.1760689902982393</v>
      </c>
      <c r="J5797" s="5">
        <v>44034</v>
      </c>
      <c r="K5797" s="22">
        <v>1860</v>
      </c>
      <c r="L5797" s="6">
        <v>1826</v>
      </c>
      <c r="M5797" s="125">
        <f t="shared" ref="M5797" si="807">L5797-K5797</f>
        <v>-34</v>
      </c>
      <c r="P5797" s="247">
        <v>14375</v>
      </c>
      <c r="Q5797" s="25">
        <f>170.72/1185</f>
        <v>0.14406751054852321</v>
      </c>
      <c r="W5797" s="285">
        <f t="shared" si="803"/>
        <v>2070.9704641350213</v>
      </c>
      <c r="X5797" s="446">
        <f t="shared" si="804"/>
        <v>7.728494623655914</v>
      </c>
    </row>
    <row r="5798" spans="1:24" ht="15" customHeight="1">
      <c r="A5798" s="3">
        <v>43896</v>
      </c>
      <c r="B5798" s="4">
        <v>26000</v>
      </c>
      <c r="C5798" s="5">
        <v>0</v>
      </c>
      <c r="D5798" s="5">
        <v>43775</v>
      </c>
      <c r="E5798" s="5">
        <v>69775</v>
      </c>
      <c r="F5798" s="4">
        <v>200</v>
      </c>
      <c r="G5798" s="5">
        <v>0</v>
      </c>
      <c r="H5798" s="5">
        <v>12650</v>
      </c>
      <c r="I5798" s="118">
        <f t="shared" si="801"/>
        <v>0.18129702615549981</v>
      </c>
      <c r="J5798" s="5">
        <v>42028</v>
      </c>
      <c r="K5798" s="22">
        <v>1880</v>
      </c>
      <c r="L5798" s="6">
        <v>1843</v>
      </c>
      <c r="M5798" s="125">
        <f t="shared" ref="M5798" si="808">L5798-K5798</f>
        <v>-37</v>
      </c>
      <c r="P5798" s="247">
        <v>14375</v>
      </c>
      <c r="Q5798" s="25">
        <f>171.24/1191.4</f>
        <v>0.14373006546919589</v>
      </c>
      <c r="W5798" s="285">
        <f t="shared" si="803"/>
        <v>2066.1196911196912</v>
      </c>
      <c r="X5798" s="446">
        <f t="shared" si="804"/>
        <v>7.6462765957446805</v>
      </c>
    </row>
    <row r="5799" spans="1:24" ht="15" customHeight="1">
      <c r="A5799" s="3">
        <v>43899</v>
      </c>
      <c r="B5799" s="4">
        <v>26000</v>
      </c>
      <c r="C5799" s="5">
        <v>0</v>
      </c>
      <c r="D5799" s="5">
        <v>44025</v>
      </c>
      <c r="E5799" s="5">
        <v>70025</v>
      </c>
      <c r="F5799" s="4">
        <v>250</v>
      </c>
      <c r="G5799" s="5">
        <v>0</v>
      </c>
      <c r="H5799" s="5">
        <v>13350</v>
      </c>
      <c r="I5799" s="118">
        <f t="shared" si="801"/>
        <v>0.19064619778650482</v>
      </c>
      <c r="J5799" s="5">
        <v>51728</v>
      </c>
      <c r="K5799" s="22">
        <v>1849.5</v>
      </c>
      <c r="L5799" s="6">
        <v>1818</v>
      </c>
      <c r="M5799" s="125">
        <f t="shared" ref="M5799" si="809">L5799-K5799</f>
        <v>-31.5</v>
      </c>
      <c r="P5799" s="247">
        <v>14375</v>
      </c>
      <c r="Q5799" s="25">
        <f>173.46/1201.4</f>
        <v>0.14438155485267187</v>
      </c>
      <c r="W5799" s="285">
        <f t="shared" si="803"/>
        <v>2075.4848510071583</v>
      </c>
      <c r="X5799" s="446">
        <f t="shared" si="804"/>
        <v>7.7723709110570427</v>
      </c>
    </row>
    <row r="5800" spans="1:24" ht="15" customHeight="1">
      <c r="A5800" s="3">
        <v>43900</v>
      </c>
      <c r="B5800" s="4">
        <v>26000</v>
      </c>
      <c r="C5800" s="5">
        <v>0</v>
      </c>
      <c r="D5800" s="5">
        <v>44175</v>
      </c>
      <c r="E5800" s="5">
        <v>70175</v>
      </c>
      <c r="F5800" s="4">
        <v>150</v>
      </c>
      <c r="G5800" s="5">
        <v>0</v>
      </c>
      <c r="H5800" s="5">
        <v>13350</v>
      </c>
      <c r="I5800" s="118">
        <f t="shared" si="801"/>
        <v>0.19023868899180621</v>
      </c>
      <c r="J5800" s="5">
        <v>47383</v>
      </c>
      <c r="K5800" s="22">
        <v>1859.5</v>
      </c>
      <c r="L5800" s="6">
        <v>1837</v>
      </c>
      <c r="M5800" s="125">
        <f t="shared" ref="M5800" si="810">L5800-K5800</f>
        <v>-22.5</v>
      </c>
      <c r="P5800" s="247">
        <v>14475</v>
      </c>
      <c r="Q5800" s="25">
        <f>172.39/1196.7</f>
        <v>0.1440544831620289</v>
      </c>
      <c r="W5800" s="285">
        <f t="shared" si="803"/>
        <v>2085.1886437703683</v>
      </c>
      <c r="X5800" s="446">
        <f t="shared" si="804"/>
        <v>7.7843506318902929</v>
      </c>
    </row>
    <row r="5801" spans="1:24" ht="15" customHeight="1">
      <c r="A5801" s="3">
        <v>43901</v>
      </c>
      <c r="B5801" s="4">
        <v>26000</v>
      </c>
      <c r="C5801" s="5">
        <v>0</v>
      </c>
      <c r="D5801" s="5">
        <v>44300</v>
      </c>
      <c r="E5801" s="5">
        <v>70300</v>
      </c>
      <c r="F5801" s="4">
        <v>125</v>
      </c>
      <c r="G5801" s="5">
        <v>0</v>
      </c>
      <c r="H5801" s="5">
        <v>14650</v>
      </c>
      <c r="I5801" s="118">
        <f t="shared" si="801"/>
        <v>0.20839260312944524</v>
      </c>
      <c r="J5801" s="5">
        <v>67514</v>
      </c>
      <c r="K5801" s="22">
        <v>1813</v>
      </c>
      <c r="L5801" s="6">
        <v>1797</v>
      </c>
      <c r="M5801" s="125">
        <f t="shared" ref="M5801" si="811">L5801-K5801</f>
        <v>-16</v>
      </c>
      <c r="P5801" s="247">
        <v>14475</v>
      </c>
      <c r="Q5801" s="25">
        <f>171.43/1192.8</f>
        <v>0.14372065727699532</v>
      </c>
      <c r="W5801" s="285">
        <f t="shared" si="803"/>
        <v>2080.3565140845071</v>
      </c>
      <c r="X5801" s="446">
        <f t="shared" si="804"/>
        <v>7.9840044125758407</v>
      </c>
    </row>
    <row r="5802" spans="1:24" ht="15" customHeight="1">
      <c r="A5802" s="3">
        <v>43902</v>
      </c>
      <c r="B5802" s="4">
        <v>26000</v>
      </c>
      <c r="C5802" s="5">
        <v>0</v>
      </c>
      <c r="D5802" s="5">
        <v>44575</v>
      </c>
      <c r="E5802" s="5">
        <v>70575</v>
      </c>
      <c r="F5802" s="4">
        <v>275</v>
      </c>
      <c r="G5802" s="5">
        <v>0</v>
      </c>
      <c r="H5802" s="5">
        <v>14625</v>
      </c>
      <c r="I5802" s="118">
        <f t="shared" si="801"/>
        <v>0.20722635494155153</v>
      </c>
      <c r="J5802" s="5">
        <v>76816</v>
      </c>
      <c r="K5802" s="22">
        <v>1749</v>
      </c>
      <c r="L5802" s="6">
        <v>1745</v>
      </c>
      <c r="M5802" s="125">
        <f t="shared" ref="M5802" si="812">L5802-K5802</f>
        <v>-4</v>
      </c>
      <c r="P5802" s="247">
        <v>14350</v>
      </c>
      <c r="Q5802" s="25">
        <f>172.41/1202</f>
        <v>0.1434359400998336</v>
      </c>
      <c r="W5802" s="285">
        <f t="shared" si="803"/>
        <v>2058.3057404326123</v>
      </c>
      <c r="X5802" s="446">
        <f t="shared" si="804"/>
        <v>8.204688393367638</v>
      </c>
    </row>
    <row r="5803" spans="1:24" ht="15" customHeight="1">
      <c r="A5803" s="3">
        <v>43903</v>
      </c>
      <c r="B5803" s="4">
        <v>26000</v>
      </c>
      <c r="C5803" s="5">
        <v>0</v>
      </c>
      <c r="D5803" s="5">
        <v>44575</v>
      </c>
      <c r="E5803" s="5">
        <v>70575</v>
      </c>
      <c r="F5803" s="4">
        <v>0</v>
      </c>
      <c r="G5803" s="5">
        <v>0</v>
      </c>
      <c r="H5803" s="5">
        <v>14450</v>
      </c>
      <c r="I5803" s="118">
        <f t="shared" si="801"/>
        <v>0.20474672334396032</v>
      </c>
      <c r="J5803" s="5">
        <v>65946</v>
      </c>
      <c r="K5803" s="22">
        <v>1781</v>
      </c>
      <c r="L5803" s="6">
        <v>1787</v>
      </c>
      <c r="M5803" s="125">
        <f t="shared" ref="M5803" si="813">L5803-K5803</f>
        <v>6</v>
      </c>
      <c r="P5803" s="247">
        <v>14250</v>
      </c>
      <c r="Q5803" s="25">
        <f>174.28/1222.2</f>
        <v>0.14259531991490754</v>
      </c>
      <c r="W5803" s="285">
        <f t="shared" si="803"/>
        <v>2031.9833087874324</v>
      </c>
      <c r="X5803" s="446">
        <f t="shared" si="804"/>
        <v>8.0011229646266138</v>
      </c>
    </row>
    <row r="5804" spans="1:24" ht="15" customHeight="1">
      <c r="A5804" s="3">
        <v>43906</v>
      </c>
      <c r="B5804" s="4">
        <v>26000</v>
      </c>
      <c r="C5804" s="5">
        <v>0</v>
      </c>
      <c r="D5804" s="5">
        <v>44475</v>
      </c>
      <c r="E5804" s="5">
        <v>70475</v>
      </c>
      <c r="F5804" s="4">
        <v>0</v>
      </c>
      <c r="G5804" s="5">
        <v>100</v>
      </c>
      <c r="H5804" s="5">
        <v>14700</v>
      </c>
      <c r="I5804" s="118">
        <f t="shared" si="801"/>
        <v>0.20858460446967009</v>
      </c>
      <c r="J5804" s="5">
        <v>61722</v>
      </c>
      <c r="K5804" s="22">
        <v>1685</v>
      </c>
      <c r="L5804" s="6">
        <v>1717</v>
      </c>
      <c r="M5804" s="125">
        <f t="shared" ref="M5804:M5805" si="814">L5804-K5804</f>
        <v>32</v>
      </c>
      <c r="P5804" s="247">
        <v>14225</v>
      </c>
      <c r="Q5804" s="25">
        <f>174.18/1219.6</f>
        <v>0.14281731715316498</v>
      </c>
      <c r="W5804" s="285">
        <f t="shared" si="803"/>
        <v>2031.5763365037719</v>
      </c>
      <c r="X5804" s="446">
        <f t="shared" si="804"/>
        <v>8.4421364985163212</v>
      </c>
    </row>
    <row r="5805" spans="1:24" ht="15" customHeight="1">
      <c r="A5805" s="3">
        <v>43907</v>
      </c>
      <c r="B5805" s="4">
        <v>26000</v>
      </c>
      <c r="C5805" s="5">
        <v>0</v>
      </c>
      <c r="D5805" s="5">
        <v>44850</v>
      </c>
      <c r="E5805" s="5">
        <v>70850</v>
      </c>
      <c r="F5805" s="4">
        <v>375</v>
      </c>
      <c r="G5805" s="5">
        <v>0</v>
      </c>
      <c r="H5805" s="5">
        <v>14625</v>
      </c>
      <c r="I5805" s="118">
        <f t="shared" si="801"/>
        <v>0.20642201834862386</v>
      </c>
      <c r="J5805" s="5">
        <v>70665</v>
      </c>
      <c r="K5805" s="22">
        <v>1693</v>
      </c>
      <c r="L5805" s="6">
        <v>1710</v>
      </c>
      <c r="M5805" s="125">
        <f t="shared" si="814"/>
        <v>17</v>
      </c>
      <c r="P5805" s="247">
        <v>14200</v>
      </c>
      <c r="Q5805" s="25">
        <f>177.35/1241.2</f>
        <v>0.14288591685465676</v>
      </c>
      <c r="W5805" s="285">
        <f t="shared" si="803"/>
        <v>2028.9800193361261</v>
      </c>
      <c r="X5805" s="446">
        <f t="shared" si="804"/>
        <v>8.3874778499704661</v>
      </c>
    </row>
    <row r="5806" spans="1:24" ht="15" customHeight="1">
      <c r="A5806" s="3">
        <v>43908</v>
      </c>
      <c r="B5806" s="4">
        <v>26250</v>
      </c>
      <c r="C5806" s="5">
        <v>0</v>
      </c>
      <c r="D5806" s="5">
        <v>44875</v>
      </c>
      <c r="E5806" s="5">
        <v>71125</v>
      </c>
      <c r="F5806" s="4">
        <v>275</v>
      </c>
      <c r="G5806" s="5">
        <v>0</v>
      </c>
      <c r="H5806" s="5">
        <v>14875</v>
      </c>
      <c r="I5806" s="118">
        <f t="shared" si="801"/>
        <v>0.20913884007029876</v>
      </c>
      <c r="J5806" s="5">
        <v>78806</v>
      </c>
      <c r="K5806" s="22">
        <v>1616</v>
      </c>
      <c r="L5806" s="6">
        <v>1630</v>
      </c>
      <c r="M5806" s="125">
        <f t="shared" ref="M5806" si="815">L5806-K5806</f>
        <v>14</v>
      </c>
      <c r="P5806" s="247">
        <v>13775</v>
      </c>
      <c r="Q5806" s="25">
        <f>176.1/1237.8</f>
        <v>0.14226854095976732</v>
      </c>
      <c r="W5806" s="285">
        <f t="shared" si="803"/>
        <v>1959.7491517207948</v>
      </c>
      <c r="X5806" s="446">
        <f t="shared" si="804"/>
        <v>8.5241336633663369</v>
      </c>
    </row>
    <row r="5807" spans="1:24" ht="15" customHeight="1">
      <c r="A5807" s="3">
        <v>43909</v>
      </c>
      <c r="B5807" s="4">
        <v>26250</v>
      </c>
      <c r="C5807" s="5">
        <v>0</v>
      </c>
      <c r="D5807" s="5">
        <v>44700</v>
      </c>
      <c r="E5807" s="5">
        <v>70950</v>
      </c>
      <c r="F5807" s="4">
        <v>0</v>
      </c>
      <c r="G5807" s="5">
        <v>175</v>
      </c>
      <c r="H5807" s="5">
        <v>15175</v>
      </c>
      <c r="I5807" s="118">
        <f t="shared" si="801"/>
        <v>0.21388301620859759</v>
      </c>
      <c r="J5807" s="5">
        <v>76260</v>
      </c>
      <c r="K5807" s="22">
        <v>1661</v>
      </c>
      <c r="L5807" s="6">
        <v>1676</v>
      </c>
      <c r="M5807" s="125">
        <f t="shared" ref="M5807" si="816">L5807-K5807</f>
        <v>15</v>
      </c>
      <c r="P5807" s="247">
        <v>13075</v>
      </c>
      <c r="Q5807" s="25">
        <f>180.44/1280.1</f>
        <v>0.14095773767674402</v>
      </c>
      <c r="W5807" s="285">
        <f t="shared" si="803"/>
        <v>1843.022420123428</v>
      </c>
      <c r="X5807" s="446">
        <f t="shared" si="804"/>
        <v>7.8717639975918123</v>
      </c>
    </row>
    <row r="5808" spans="1:24" ht="15" customHeight="1">
      <c r="A5808" s="3">
        <v>43910</v>
      </c>
      <c r="B5808" s="4">
        <v>26250</v>
      </c>
      <c r="C5808" s="5">
        <v>0</v>
      </c>
      <c r="D5808" s="5">
        <v>44750</v>
      </c>
      <c r="E5808" s="5">
        <v>71000</v>
      </c>
      <c r="F5808" s="4">
        <v>50</v>
      </c>
      <c r="G5808" s="5">
        <v>0</v>
      </c>
      <c r="H5808" s="5">
        <v>15075</v>
      </c>
      <c r="I5808" s="118">
        <f t="shared" si="801"/>
        <v>0.21232394366197183</v>
      </c>
      <c r="J5808" s="5">
        <v>56743</v>
      </c>
      <c r="K5808" s="22">
        <v>1673.5</v>
      </c>
      <c r="L5808" s="6">
        <v>1687</v>
      </c>
      <c r="M5808" s="125">
        <f t="shared" ref="M5808" si="817">L5808-K5808</f>
        <v>13.5</v>
      </c>
      <c r="P5808" s="247">
        <v>13400</v>
      </c>
      <c r="Q5808" s="25">
        <f>176.51/1254.1</f>
        <v>0.14074635196555299</v>
      </c>
      <c r="W5808" s="285">
        <f t="shared" si="803"/>
        <v>1886.0011163384102</v>
      </c>
      <c r="X5808" s="446">
        <f t="shared" si="804"/>
        <v>8.0071706005377958</v>
      </c>
    </row>
    <row r="5809" spans="1:24" ht="15" customHeight="1">
      <c r="A5809" s="3">
        <v>43913</v>
      </c>
      <c r="B5809" s="4">
        <v>26250</v>
      </c>
      <c r="C5809" s="5">
        <v>0</v>
      </c>
      <c r="D5809" s="5">
        <v>44600</v>
      </c>
      <c r="E5809" s="5">
        <v>70850</v>
      </c>
      <c r="F5809" s="4">
        <v>0</v>
      </c>
      <c r="G5809" s="5">
        <v>150</v>
      </c>
      <c r="H5809" s="5">
        <v>15050</v>
      </c>
      <c r="I5809" s="118">
        <f t="shared" si="801"/>
        <v>0.21242060691601977</v>
      </c>
      <c r="J5809" s="5">
        <v>50491</v>
      </c>
      <c r="K5809" s="22">
        <v>1608.5</v>
      </c>
      <c r="L5809" s="6">
        <v>1628.5</v>
      </c>
      <c r="M5809" s="125">
        <f t="shared" ref="M5809" si="818">L5809-K5809</f>
        <v>20</v>
      </c>
      <c r="P5809" s="247">
        <v>13375</v>
      </c>
      <c r="Q5809" s="25">
        <f>179.26/1274.6</f>
        <v>0.14064020084732465</v>
      </c>
      <c r="W5809" s="285">
        <f t="shared" si="803"/>
        <v>1881.0626863329671</v>
      </c>
      <c r="X5809" s="446">
        <f t="shared" si="804"/>
        <v>8.315200497357786</v>
      </c>
    </row>
    <row r="5810" spans="1:24" ht="15" customHeight="1">
      <c r="A5810" s="3">
        <v>43914</v>
      </c>
      <c r="B5810" s="4">
        <v>26250</v>
      </c>
      <c r="C5810" s="5">
        <v>0</v>
      </c>
      <c r="D5810" s="5">
        <v>45075</v>
      </c>
      <c r="E5810" s="5">
        <v>71325</v>
      </c>
      <c r="F5810" s="4">
        <v>475</v>
      </c>
      <c r="G5810" s="5">
        <v>0</v>
      </c>
      <c r="H5810" s="5">
        <v>14925</v>
      </c>
      <c r="I5810" s="118">
        <f t="shared" si="801"/>
        <v>0.2092534174553102</v>
      </c>
      <c r="J5810" s="5">
        <v>45325</v>
      </c>
      <c r="K5810" s="22">
        <v>1617</v>
      </c>
      <c r="L5810" s="6">
        <v>1637</v>
      </c>
      <c r="M5810" s="125">
        <f t="shared" ref="M5810" si="819">L5810-K5810</f>
        <v>20</v>
      </c>
      <c r="P5810" s="247">
        <v>13600</v>
      </c>
      <c r="Q5810" s="25">
        <f>176.86/1256</f>
        <v>0.14081210191082805</v>
      </c>
      <c r="W5810" s="285">
        <f t="shared" si="803"/>
        <v>1915.0445859872614</v>
      </c>
      <c r="X5810" s="446">
        <f t="shared" si="804"/>
        <v>8.4106369820655527</v>
      </c>
    </row>
    <row r="5811" spans="1:24" ht="15" customHeight="1">
      <c r="A5811" s="3">
        <v>43915</v>
      </c>
      <c r="B5811" s="4">
        <v>26250</v>
      </c>
      <c r="C5811" s="5">
        <v>0</v>
      </c>
      <c r="D5811" s="5">
        <v>44900</v>
      </c>
      <c r="E5811" s="5">
        <v>71150</v>
      </c>
      <c r="F5811" s="4">
        <v>0</v>
      </c>
      <c r="G5811" s="5">
        <v>175</v>
      </c>
      <c r="H5811" s="5">
        <v>15225</v>
      </c>
      <c r="I5811" s="118">
        <f t="shared" si="801"/>
        <v>0.2139845397048489</v>
      </c>
      <c r="J5811" s="5">
        <v>32243</v>
      </c>
      <c r="K5811" s="22">
        <v>1589</v>
      </c>
      <c r="L5811" s="6">
        <v>1607</v>
      </c>
      <c r="M5811" s="125">
        <f t="shared" ref="M5811:M5812" si="820">L5811-K5811</f>
        <v>18</v>
      </c>
      <c r="P5811" s="247">
        <v>13600</v>
      </c>
      <c r="Q5811" s="25">
        <f>173.76/1230.7</f>
        <v>0.14118794182172745</v>
      </c>
      <c r="W5811" s="285">
        <f t="shared" si="803"/>
        <v>1920.1560087754933</v>
      </c>
      <c r="X5811" s="446">
        <f t="shared" si="804"/>
        <v>8.5588420390182502</v>
      </c>
    </row>
    <row r="5812" spans="1:24" ht="15" customHeight="1">
      <c r="A5812" s="3">
        <v>43916</v>
      </c>
      <c r="B5812" s="4">
        <v>26250</v>
      </c>
      <c r="C5812" s="5">
        <v>0</v>
      </c>
      <c r="D5812" s="5">
        <v>44875</v>
      </c>
      <c r="E5812" s="5">
        <v>71125</v>
      </c>
      <c r="F5812" s="4">
        <v>0</v>
      </c>
      <c r="G5812" s="5">
        <v>25</v>
      </c>
      <c r="H5812" s="5">
        <v>15425</v>
      </c>
      <c r="I5812" s="118">
        <f t="shared" si="801"/>
        <v>0.21687170474516695</v>
      </c>
      <c r="J5812" s="5">
        <v>42726</v>
      </c>
      <c r="K5812" s="22">
        <v>1659</v>
      </c>
      <c r="L5812" s="6">
        <v>1667.5</v>
      </c>
      <c r="M5812" s="125">
        <f t="shared" si="820"/>
        <v>8.5</v>
      </c>
      <c r="P5812" s="247">
        <v>13825</v>
      </c>
      <c r="Q5812" s="25">
        <f>172.23/1227.9</f>
        <v>0.14026386513559735</v>
      </c>
      <c r="W5812" s="285">
        <f t="shared" si="803"/>
        <v>1939.1479354996334</v>
      </c>
      <c r="X5812" s="446">
        <f t="shared" si="804"/>
        <v>8.3333333333333339</v>
      </c>
    </row>
    <row r="5813" spans="1:24" ht="15" customHeight="1">
      <c r="A5813" s="3">
        <v>43917</v>
      </c>
      <c r="B5813" s="4">
        <v>26250</v>
      </c>
      <c r="C5813" s="5">
        <v>0</v>
      </c>
      <c r="D5813" s="5">
        <v>44875</v>
      </c>
      <c r="E5813" s="5">
        <v>71125</v>
      </c>
      <c r="F5813" s="4">
        <v>0</v>
      </c>
      <c r="G5813" s="5">
        <v>0</v>
      </c>
      <c r="H5813" s="5">
        <v>15675</v>
      </c>
      <c r="I5813" s="118">
        <f t="shared" si="801"/>
        <v>0.22038664323374341</v>
      </c>
      <c r="J5813" s="5">
        <v>39583</v>
      </c>
      <c r="K5813" s="22">
        <v>1690</v>
      </c>
      <c r="L5813" s="6">
        <v>1700</v>
      </c>
      <c r="M5813" s="125">
        <f t="shared" ref="M5813" si="821">L5813-K5813</f>
        <v>10</v>
      </c>
      <c r="P5813" s="247">
        <v>13950</v>
      </c>
      <c r="Q5813" s="25">
        <f>171.1/1212.4</f>
        <v>0.14112504124051467</v>
      </c>
      <c r="W5813" s="285">
        <f t="shared" si="803"/>
        <v>1968.6943253051797</v>
      </c>
      <c r="X5813" s="446">
        <f t="shared" si="804"/>
        <v>8.2544378698224854</v>
      </c>
    </row>
    <row r="5814" spans="1:24" ht="15" customHeight="1">
      <c r="A5814" s="3">
        <v>43920</v>
      </c>
      <c r="B5814" s="4">
        <v>26250</v>
      </c>
      <c r="C5814" s="5">
        <v>0</v>
      </c>
      <c r="D5814" s="5">
        <v>44875</v>
      </c>
      <c r="E5814" s="5">
        <v>71125</v>
      </c>
      <c r="F5814" s="4">
        <v>0</v>
      </c>
      <c r="G5814" s="5">
        <v>0</v>
      </c>
      <c r="H5814" s="5">
        <v>17675</v>
      </c>
      <c r="I5814" s="118">
        <f t="shared" si="801"/>
        <v>0.248506151142355</v>
      </c>
      <c r="J5814" s="5">
        <v>40718</v>
      </c>
      <c r="K5814" s="22">
        <v>1694</v>
      </c>
      <c r="L5814" s="6">
        <v>1701.5</v>
      </c>
      <c r="M5814" s="125">
        <f t="shared" ref="M5814" si="822">L5814-K5814</f>
        <v>7.5</v>
      </c>
      <c r="P5814" s="247">
        <v>13950</v>
      </c>
      <c r="Q5814" s="25">
        <f>172.43/1222.6</f>
        <v>0.14103549811876331</v>
      </c>
      <c r="W5814" s="285">
        <f t="shared" si="803"/>
        <v>1967.4451987567481</v>
      </c>
      <c r="X5814" s="446">
        <f t="shared" si="804"/>
        <v>8.2349468713105072</v>
      </c>
    </row>
    <row r="5815" spans="1:24" ht="15" customHeight="1">
      <c r="A5815" s="3">
        <v>43921</v>
      </c>
      <c r="B5815" s="4">
        <v>26250</v>
      </c>
      <c r="C5815" s="5">
        <v>0</v>
      </c>
      <c r="D5815" s="5">
        <v>44875</v>
      </c>
      <c r="E5815" s="5">
        <v>71125</v>
      </c>
      <c r="F5815" s="4">
        <v>0</v>
      </c>
      <c r="G5815" s="5">
        <v>0</v>
      </c>
      <c r="H5815" s="5">
        <v>17875</v>
      </c>
      <c r="I5815" s="118">
        <f t="shared" si="801"/>
        <v>0.25131810193321619</v>
      </c>
      <c r="J5815" s="5">
        <v>36469</v>
      </c>
      <c r="K5815" s="22">
        <v>1712</v>
      </c>
      <c r="L5815" s="6">
        <v>1718.5</v>
      </c>
      <c r="M5815" s="125">
        <f t="shared" ref="M5815" si="823">L5815-K5815</f>
        <v>6.5</v>
      </c>
      <c r="N5815" s="381">
        <f>AVERAGE($K$5794:K5815)</f>
        <v>1744.6363636363637</v>
      </c>
      <c r="O5815" s="395">
        <f>AVERAGE($K$5750:K5815)</f>
        <v>1846.5859375</v>
      </c>
      <c r="P5815" s="247">
        <v>14100</v>
      </c>
      <c r="Q5815" s="25">
        <f>171.96/1220</f>
        <v>0.14095081967213116</v>
      </c>
      <c r="W5815" s="285">
        <f t="shared" si="803"/>
        <v>1987.4065573770495</v>
      </c>
      <c r="X5815" s="446">
        <f t="shared" si="804"/>
        <v>8.2359813084112155</v>
      </c>
    </row>
    <row r="5816" spans="1:24" ht="15" customHeight="1" thickBot="1">
      <c r="A5816" s="216"/>
      <c r="B5816" s="394"/>
      <c r="C5816" s="394"/>
      <c r="D5816" s="394"/>
      <c r="E5816" s="216"/>
      <c r="F5816" s="407"/>
      <c r="G5816" s="164"/>
      <c r="H5816" s="164"/>
      <c r="I5816" s="164"/>
      <c r="J5816" s="166"/>
      <c r="K5816" s="166"/>
      <c r="L5816" s="167"/>
      <c r="M5816" s="167"/>
      <c r="N5816" s="167"/>
      <c r="O5816" s="167"/>
      <c r="P5816" s="180"/>
      <c r="Q5816" s="154"/>
      <c r="R5816" s="248"/>
      <c r="S5816" s="249"/>
      <c r="T5816" s="249"/>
      <c r="U5816" s="152"/>
      <c r="V5816" s="153">
        <f>AVERAGE(P5794:P5815)</f>
        <v>14059.09090909091</v>
      </c>
      <c r="W5816" s="390"/>
      <c r="X5816" s="447">
        <f>AVERAGE(X5794:X5815)</f>
        <v>8.0750398832976042</v>
      </c>
    </row>
    <row r="5817" spans="1:24" ht="15" customHeight="1">
      <c r="A5817" s="3">
        <v>43922</v>
      </c>
      <c r="B5817" s="4">
        <v>26250</v>
      </c>
      <c r="C5817" s="5">
        <v>0</v>
      </c>
      <c r="D5817" s="5">
        <v>44650</v>
      </c>
      <c r="E5817" s="5">
        <v>70900</v>
      </c>
      <c r="F5817" s="4">
        <v>0</v>
      </c>
      <c r="G5817" s="5">
        <v>225</v>
      </c>
      <c r="H5817" s="5">
        <v>18225</v>
      </c>
      <c r="I5817" s="118">
        <f t="shared" ref="I5817:I5823" si="824">H5817/E5817</f>
        <v>0.25705218617771508</v>
      </c>
      <c r="J5817" s="5">
        <v>39347</v>
      </c>
      <c r="K5817" s="22">
        <v>1692.5</v>
      </c>
      <c r="L5817" s="6">
        <v>1702.5</v>
      </c>
      <c r="M5817" s="125">
        <f t="shared" ref="M5817" si="825">L5817-K5817</f>
        <v>10</v>
      </c>
      <c r="P5817" s="247">
        <v>14100</v>
      </c>
      <c r="Q5817" s="25">
        <f>172.01/1222.2</f>
        <v>0.14073801341842579</v>
      </c>
      <c r="W5817" s="285">
        <f t="shared" ref="W5817:W5828" si="826">(P5817*Q5817)*(1+U5817)</f>
        <v>1984.4059891998036</v>
      </c>
      <c r="X5817" s="446">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18">
        <f t="shared" si="824"/>
        <v>0.25166258312915646</v>
      </c>
      <c r="J5818" s="5">
        <v>37023</v>
      </c>
      <c r="K5818" s="22">
        <v>1684.5</v>
      </c>
      <c r="L5818" s="6">
        <v>1696</v>
      </c>
      <c r="M5818" s="125">
        <f t="shared" ref="M5818" si="828">L5818-K5818</f>
        <v>11.5</v>
      </c>
      <c r="P5818" s="247">
        <v>13950</v>
      </c>
      <c r="Q5818" s="25">
        <f>173.67/1237.6</f>
        <v>0.14032805429864253</v>
      </c>
      <c r="W5818" s="285">
        <f t="shared" si="826"/>
        <v>1957.5763574660634</v>
      </c>
      <c r="X5818" s="446">
        <f t="shared" si="827"/>
        <v>8.2813891362422076</v>
      </c>
    </row>
    <row r="5819" spans="1:24" ht="15" customHeight="1">
      <c r="A5819" s="3">
        <v>43924</v>
      </c>
      <c r="B5819" s="4">
        <v>26750</v>
      </c>
      <c r="C5819" s="5">
        <v>0</v>
      </c>
      <c r="D5819" s="5">
        <v>44675</v>
      </c>
      <c r="E5819" s="5">
        <v>71425</v>
      </c>
      <c r="F5819" s="4">
        <v>0</v>
      </c>
      <c r="G5819" s="5">
        <v>0</v>
      </c>
      <c r="H5819" s="5">
        <v>17750</v>
      </c>
      <c r="I5819" s="118">
        <f t="shared" si="824"/>
        <v>0.24851242562128106</v>
      </c>
      <c r="J5819" s="5">
        <v>33497</v>
      </c>
      <c r="K5819" s="22">
        <v>1661</v>
      </c>
      <c r="L5819" s="6">
        <v>1674</v>
      </c>
      <c r="M5819" s="125">
        <f t="shared" ref="M5819" si="829">L5819-K5819</f>
        <v>13</v>
      </c>
      <c r="P5819" s="247">
        <v>13975</v>
      </c>
      <c r="Q5819" s="25">
        <f>173.18/1229.8</f>
        <v>0.14081964547080827</v>
      </c>
      <c r="W5819" s="285">
        <f t="shared" si="826"/>
        <v>1967.9545454545457</v>
      </c>
      <c r="X5819" s="446">
        <f t="shared" si="827"/>
        <v>8.4136062612883808</v>
      </c>
    </row>
    <row r="5820" spans="1:24" ht="15" customHeight="1">
      <c r="A5820" s="3">
        <v>43927</v>
      </c>
      <c r="B5820" s="4">
        <v>26750</v>
      </c>
      <c r="C5820" s="5">
        <v>0</v>
      </c>
      <c r="D5820" s="5">
        <v>44925</v>
      </c>
      <c r="E5820" s="5">
        <v>71675</v>
      </c>
      <c r="F5820" s="4">
        <v>250</v>
      </c>
      <c r="G5820" s="5">
        <v>0</v>
      </c>
      <c r="H5820" s="5">
        <v>17500</v>
      </c>
      <c r="I5820" s="118">
        <f t="shared" si="824"/>
        <v>0.24415765608650156</v>
      </c>
      <c r="J5820" s="5">
        <v>29452</v>
      </c>
      <c r="K5820" s="22">
        <v>1629.5</v>
      </c>
      <c r="L5820" s="6">
        <v>1643.5</v>
      </c>
      <c r="M5820" s="125">
        <f t="shared" ref="M5820" si="830">L5820-K5820</f>
        <v>14</v>
      </c>
      <c r="P5820" s="247"/>
      <c r="Q5820" s="25">
        <f>173.54/1233.4</f>
        <v>0.14070050267553103</v>
      </c>
      <c r="X5820" s="446"/>
    </row>
    <row r="5821" spans="1:24" ht="15" customHeight="1">
      <c r="A5821" s="3">
        <v>43928</v>
      </c>
      <c r="B5821" s="4">
        <v>26750</v>
      </c>
      <c r="C5821" s="5">
        <v>0</v>
      </c>
      <c r="D5821" s="5">
        <v>44800</v>
      </c>
      <c r="E5821" s="5">
        <v>71550</v>
      </c>
      <c r="F5821" s="4">
        <v>0</v>
      </c>
      <c r="G5821" s="5">
        <v>125</v>
      </c>
      <c r="H5821" s="5">
        <v>17375</v>
      </c>
      <c r="I5821" s="118">
        <f t="shared" si="824"/>
        <v>0.24283717679944095</v>
      </c>
      <c r="J5821" s="5">
        <v>29960</v>
      </c>
      <c r="K5821" s="22">
        <v>1692.5</v>
      </c>
      <c r="L5821" s="6">
        <v>1707</v>
      </c>
      <c r="M5821" s="125">
        <f t="shared" ref="M5821" si="831">L5821-K5821</f>
        <v>14.5</v>
      </c>
      <c r="P5821" s="247">
        <v>14050</v>
      </c>
      <c r="Q5821" s="25">
        <f>172.42/1222.4</f>
        <v>0.14105039267015704</v>
      </c>
      <c r="W5821" s="285">
        <f t="shared" si="826"/>
        <v>1981.7580170157064</v>
      </c>
      <c r="X5821" s="446">
        <f t="shared" si="827"/>
        <v>8.3013293943870021</v>
      </c>
    </row>
    <row r="5822" spans="1:24" ht="15" customHeight="1">
      <c r="A5822" s="3">
        <v>43929</v>
      </c>
      <c r="B5822" s="4">
        <v>26750</v>
      </c>
      <c r="C5822" s="5">
        <v>0</v>
      </c>
      <c r="D5822" s="5">
        <v>44800</v>
      </c>
      <c r="E5822" s="5">
        <v>71550</v>
      </c>
      <c r="F5822" s="4">
        <v>0</v>
      </c>
      <c r="G5822" s="5">
        <v>0</v>
      </c>
      <c r="H5822" s="5">
        <v>17375</v>
      </c>
      <c r="I5822" s="118">
        <f t="shared" si="824"/>
        <v>0.24283717679944095</v>
      </c>
      <c r="J5822" s="5">
        <v>39278</v>
      </c>
      <c r="K5822" s="22">
        <v>1698</v>
      </c>
      <c r="L5822" s="6">
        <v>1713</v>
      </c>
      <c r="M5822" s="125">
        <f t="shared" ref="M5822" si="832">L5822-K5822</f>
        <v>15</v>
      </c>
      <c r="P5822" s="247">
        <v>13975</v>
      </c>
      <c r="Q5822" s="25">
        <f>172.45/1219.7</f>
        <v>0.14138722636713943</v>
      </c>
      <c r="W5822" s="285">
        <f t="shared" si="826"/>
        <v>1975.8864884807736</v>
      </c>
      <c r="X5822" s="446">
        <f t="shared" si="827"/>
        <v>8.230270906949352</v>
      </c>
    </row>
    <row r="5823" spans="1:24" ht="15" customHeight="1">
      <c r="A5823" s="3">
        <v>43930</v>
      </c>
      <c r="B5823" s="4">
        <v>26750</v>
      </c>
      <c r="C5823" s="5">
        <v>125</v>
      </c>
      <c r="D5823" s="5">
        <v>44800</v>
      </c>
      <c r="E5823" s="5">
        <v>71675</v>
      </c>
      <c r="F5823" s="4">
        <v>125</v>
      </c>
      <c r="G5823" s="5">
        <v>0</v>
      </c>
      <c r="H5823" s="5">
        <v>17375</v>
      </c>
      <c r="I5823" s="118">
        <f t="shared" si="824"/>
        <v>0.24241367282874085</v>
      </c>
      <c r="J5823" s="5">
        <v>44212</v>
      </c>
      <c r="K5823" s="22">
        <v>1684.5</v>
      </c>
      <c r="L5823" s="6">
        <v>1704</v>
      </c>
      <c r="M5823" s="125">
        <f t="shared" ref="M5823" si="833">L5823-K5823</f>
        <v>19.5</v>
      </c>
      <c r="P5823" s="247">
        <v>13975</v>
      </c>
      <c r="Q5823" s="25">
        <f>171.95/1216.4</f>
        <v>0.14135975008220977</v>
      </c>
      <c r="W5823" s="285">
        <f t="shared" si="826"/>
        <v>1975.5025073988816</v>
      </c>
      <c r="X5823" s="446">
        <f t="shared" si="827"/>
        <v>8.2962303354111011</v>
      </c>
    </row>
    <row r="5824" spans="1:24" ht="15" customHeight="1">
      <c r="A5824" s="3">
        <v>43931</v>
      </c>
      <c r="B5824" s="1318" t="s">
        <v>61</v>
      </c>
      <c r="C5824" s="1318"/>
      <c r="D5824" s="1318"/>
      <c r="E5824" s="1318"/>
      <c r="F5824" s="1318"/>
      <c r="G5824" s="1318"/>
      <c r="H5824" s="1318"/>
      <c r="I5824" s="1318"/>
      <c r="J5824" s="1318"/>
      <c r="K5824" s="1318"/>
      <c r="L5824" s="1318"/>
      <c r="M5824" s="1318"/>
      <c r="P5824" s="247">
        <v>14050</v>
      </c>
      <c r="Q5824" s="25">
        <f>172.07/1212.3</f>
        <v>0.14193681431988781</v>
      </c>
      <c r="W5824" s="285">
        <f t="shared" si="826"/>
        <v>1994.2122411944238</v>
      </c>
      <c r="X5824" s="446"/>
    </row>
    <row r="5825" spans="1:24" ht="15" customHeight="1">
      <c r="A5825" s="3">
        <v>43934</v>
      </c>
      <c r="B5825" s="1318"/>
      <c r="C5825" s="1318"/>
      <c r="D5825" s="1318"/>
      <c r="E5825" s="1318"/>
      <c r="F5825" s="1318"/>
      <c r="G5825" s="1318"/>
      <c r="H5825" s="1318"/>
      <c r="I5825" s="1318"/>
      <c r="J5825" s="1318"/>
      <c r="K5825" s="1318"/>
      <c r="L5825" s="1318"/>
      <c r="M5825" s="1318"/>
      <c r="P5825" s="247">
        <v>14050</v>
      </c>
      <c r="Q5825" s="25">
        <f>172.75/1218.7</f>
        <v>0.14174940510379913</v>
      </c>
      <c r="W5825" s="285">
        <f t="shared" si="826"/>
        <v>1991.5791417083778</v>
      </c>
      <c r="X5825" s="446"/>
    </row>
    <row r="5826" spans="1:24" ht="15" customHeight="1">
      <c r="A5826" s="3">
        <v>43935</v>
      </c>
      <c r="B5826" s="4">
        <v>26750</v>
      </c>
      <c r="C5826" s="5">
        <v>125</v>
      </c>
      <c r="D5826" s="5">
        <v>45100</v>
      </c>
      <c r="E5826" s="5">
        <v>71975</v>
      </c>
      <c r="F5826" s="4">
        <v>300</v>
      </c>
      <c r="G5826" s="5">
        <v>0</v>
      </c>
      <c r="H5826" s="5">
        <v>17350</v>
      </c>
      <c r="I5826" s="118">
        <f t="shared" ref="I5826:I5868" si="834">H5826/E5826</f>
        <v>0.24105592219520666</v>
      </c>
      <c r="J5826" s="5">
        <v>56117</v>
      </c>
      <c r="K5826" s="22">
        <v>1685</v>
      </c>
      <c r="L5826" s="6">
        <v>1707.5</v>
      </c>
      <c r="M5826" s="125">
        <f t="shared" ref="M5826:M5827" si="835">L5826-K5826</f>
        <v>22.5</v>
      </c>
      <c r="P5826" s="247">
        <v>14200</v>
      </c>
      <c r="X5826" s="446">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18">
        <f t="shared" si="834"/>
        <v>0.23482758620689656</v>
      </c>
      <c r="J5827" s="5">
        <v>70486</v>
      </c>
      <c r="K5827" s="22">
        <v>1664</v>
      </c>
      <c r="L5827" s="6">
        <v>1686.5</v>
      </c>
      <c r="M5827" s="125">
        <f t="shared" si="835"/>
        <v>22.5</v>
      </c>
      <c r="P5827" s="247">
        <v>14050</v>
      </c>
      <c r="Q5827" s="25">
        <f>172.6/1216.7</f>
        <v>0.14185912714720145</v>
      </c>
      <c r="W5827" s="285">
        <f t="shared" si="826"/>
        <v>1993.1207364181803</v>
      </c>
      <c r="X5827" s="446">
        <f t="shared" si="836"/>
        <v>8.443509615384615</v>
      </c>
    </row>
    <row r="5828" spans="1:24" ht="15" customHeight="1">
      <c r="A5828" s="3">
        <v>43937</v>
      </c>
      <c r="B5828" s="4">
        <v>26300</v>
      </c>
      <c r="C5828" s="5">
        <v>1175</v>
      </c>
      <c r="D5828" s="5">
        <v>45025</v>
      </c>
      <c r="E5828" s="5">
        <v>72500</v>
      </c>
      <c r="F5828" s="4">
        <v>0</v>
      </c>
      <c r="G5828" s="5">
        <v>0</v>
      </c>
      <c r="H5828" s="5">
        <v>17250</v>
      </c>
      <c r="I5828" s="118">
        <f t="shared" si="834"/>
        <v>0.23793103448275862</v>
      </c>
      <c r="J5828" s="5">
        <v>47571</v>
      </c>
      <c r="K5828" s="22">
        <v>1675</v>
      </c>
      <c r="L5828" s="6">
        <v>1693</v>
      </c>
      <c r="M5828" s="125">
        <f t="shared" ref="M5828" si="837">L5828-K5828</f>
        <v>18</v>
      </c>
      <c r="P5828" s="247">
        <v>13975</v>
      </c>
      <c r="Q5828" s="25">
        <f>173.31/1227.5</f>
        <v>0.14118940936863544</v>
      </c>
      <c r="W5828" s="285">
        <f t="shared" si="826"/>
        <v>1973.1219959266803</v>
      </c>
      <c r="X5828" s="446">
        <f t="shared" si="836"/>
        <v>8.343283582089553</v>
      </c>
    </row>
    <row r="5829" spans="1:24" ht="15" customHeight="1">
      <c r="A5829" s="3">
        <v>43938</v>
      </c>
      <c r="B5829" s="4">
        <v>26300</v>
      </c>
      <c r="C5829" s="5">
        <v>1425</v>
      </c>
      <c r="D5829" s="5">
        <v>44850</v>
      </c>
      <c r="E5829" s="5">
        <v>72575</v>
      </c>
      <c r="F5829" s="4">
        <v>250</v>
      </c>
      <c r="G5829" s="5">
        <v>175</v>
      </c>
      <c r="H5829" s="5">
        <v>17075</v>
      </c>
      <c r="I5829" s="118">
        <f t="shared" si="834"/>
        <v>0.23527385463313813</v>
      </c>
      <c r="J5829" s="5">
        <v>36965</v>
      </c>
      <c r="K5829" s="22">
        <v>1651.5</v>
      </c>
      <c r="L5829" s="6">
        <v>1672</v>
      </c>
      <c r="M5829" s="125">
        <f t="shared" ref="M5829" si="838">L5829-K5829</f>
        <v>20.5</v>
      </c>
      <c r="P5829" s="247">
        <v>14075</v>
      </c>
      <c r="Q5829" s="25">
        <f>172.16/1219.3</f>
        <v>0.14119576806364309</v>
      </c>
      <c r="W5829" s="285">
        <f t="shared" ref="W5829" si="839">(P5829*Q5829)*(1+U5829)</f>
        <v>1987.3304354957766</v>
      </c>
      <c r="X5829" s="446">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18">
        <f t="shared" si="834"/>
        <v>0.23076923076923078</v>
      </c>
      <c r="J5830" s="5">
        <v>31904</v>
      </c>
      <c r="K5830" s="22">
        <v>1650.5</v>
      </c>
      <c r="L5830" s="6">
        <v>1671.5</v>
      </c>
      <c r="M5830" s="125">
        <f t="shared" ref="M5830" si="841">L5830-K5830</f>
        <v>21</v>
      </c>
      <c r="P5830" s="247">
        <v>13950</v>
      </c>
      <c r="Q5830" s="25">
        <f>172.04/1218.7</f>
        <v>0.14116681710018872</v>
      </c>
      <c r="W5830" s="285">
        <f t="shared" ref="W5830:W5836" si="842">(P5830*Q5830)*(1+U5830)</f>
        <v>1969.2770985476327</v>
      </c>
      <c r="X5830" s="446">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18">
        <f t="shared" si="834"/>
        <v>0.22601570501877774</v>
      </c>
      <c r="J5831" s="5">
        <v>34755</v>
      </c>
      <c r="K5831" s="22">
        <v>1632</v>
      </c>
      <c r="L5831" s="6">
        <v>1657</v>
      </c>
      <c r="M5831" s="125">
        <f t="shared" ref="M5831" si="844">L5831-K5831</f>
        <v>25</v>
      </c>
      <c r="P5831" s="247">
        <v>13950</v>
      </c>
      <c r="Q5831" s="25">
        <f>173.68/1231.3</f>
        <v>0.14105417038901974</v>
      </c>
      <c r="W5831" s="285">
        <f t="shared" si="842"/>
        <v>1967.7056769268254</v>
      </c>
      <c r="X5831" s="446">
        <f t="shared" si="843"/>
        <v>8.547794117647058</v>
      </c>
    </row>
    <row r="5832" spans="1:24" ht="15" customHeight="1">
      <c r="A5832" s="3">
        <v>43943</v>
      </c>
      <c r="B5832" s="4">
        <v>26300</v>
      </c>
      <c r="C5832" s="5">
        <v>2325</v>
      </c>
      <c r="D5832" s="5">
        <v>44825</v>
      </c>
      <c r="E5832" s="5">
        <v>73450</v>
      </c>
      <c r="F5832" s="4">
        <v>225</v>
      </c>
      <c r="G5832" s="5">
        <v>0</v>
      </c>
      <c r="H5832" s="5">
        <v>10450</v>
      </c>
      <c r="I5832" s="118">
        <f t="shared" si="834"/>
        <v>0.14227365554799182</v>
      </c>
      <c r="J5832" s="5">
        <v>43520</v>
      </c>
      <c r="K5832" s="22">
        <v>1640.5</v>
      </c>
      <c r="L5832" s="6">
        <v>1663</v>
      </c>
      <c r="M5832" s="125">
        <f t="shared" ref="M5832:M5833" si="845">L5832-K5832</f>
        <v>22.5</v>
      </c>
      <c r="P5832" s="247">
        <v>13925</v>
      </c>
      <c r="Q5832" s="25">
        <f>174.12/1235.2</f>
        <v>0.14096502590673576</v>
      </c>
      <c r="W5832" s="285">
        <f t="shared" si="842"/>
        <v>1962.9379857512954</v>
      </c>
      <c r="X5832" s="446">
        <f t="shared" si="843"/>
        <v>8.4882657726302959</v>
      </c>
    </row>
    <row r="5833" spans="1:24" ht="15" customHeight="1">
      <c r="A5833" s="3">
        <v>43944</v>
      </c>
      <c r="B5833" s="4">
        <v>26300</v>
      </c>
      <c r="C5833" s="5">
        <v>2550</v>
      </c>
      <c r="D5833" s="5">
        <v>44700</v>
      </c>
      <c r="E5833" s="5">
        <v>73550</v>
      </c>
      <c r="F5833" s="4">
        <v>100</v>
      </c>
      <c r="G5833" s="5">
        <v>0</v>
      </c>
      <c r="H5833" s="5">
        <v>3525</v>
      </c>
      <c r="I5833" s="118">
        <f t="shared" si="834"/>
        <v>4.7926580557443914E-2</v>
      </c>
      <c r="J5833" s="5">
        <v>30762</v>
      </c>
      <c r="K5833" s="22">
        <v>1632.5</v>
      </c>
      <c r="L5833" s="6">
        <v>1656.5</v>
      </c>
      <c r="M5833" s="125">
        <f t="shared" si="845"/>
        <v>24</v>
      </c>
      <c r="P5833" s="247">
        <v>14075</v>
      </c>
      <c r="Q5833" s="25">
        <f>173.73/1232</f>
        <v>0.14101461038961038</v>
      </c>
      <c r="W5833" s="285">
        <f t="shared" si="842"/>
        <v>1984.7806412337661</v>
      </c>
      <c r="X5833" s="446">
        <f t="shared" si="843"/>
        <v>8.6217457886676883</v>
      </c>
    </row>
    <row r="5834" spans="1:24" ht="15" customHeight="1">
      <c r="A5834" s="3">
        <v>43945</v>
      </c>
      <c r="B5834" s="4">
        <v>26100</v>
      </c>
      <c r="C5834" s="5">
        <v>2675</v>
      </c>
      <c r="D5834" s="5">
        <v>44425</v>
      </c>
      <c r="E5834" s="5">
        <v>73200</v>
      </c>
      <c r="F5834" s="4">
        <v>125</v>
      </c>
      <c r="G5834" s="5">
        <v>475</v>
      </c>
      <c r="H5834" s="5">
        <v>3025</v>
      </c>
      <c r="I5834" s="118">
        <f t="shared" si="834"/>
        <v>4.1325136612021855E-2</v>
      </c>
      <c r="J5834" s="5">
        <v>46322</v>
      </c>
      <c r="K5834" s="22">
        <v>1601</v>
      </c>
      <c r="L5834" s="6">
        <v>1626</v>
      </c>
      <c r="M5834" s="125">
        <f t="shared" ref="M5834" si="846">L5834-K5834</f>
        <v>25</v>
      </c>
      <c r="P5834" s="247">
        <v>14050</v>
      </c>
      <c r="Q5834" s="25">
        <f>174.24/1235.8</f>
        <v>0.14099368829907755</v>
      </c>
      <c r="W5834" s="285">
        <f t="shared" si="842"/>
        <v>1980.9613206020395</v>
      </c>
      <c r="X5834" s="446">
        <f t="shared" si="843"/>
        <v>8.7757651467832609</v>
      </c>
    </row>
    <row r="5835" spans="1:24" ht="15" customHeight="1">
      <c r="A5835" s="3">
        <v>43948</v>
      </c>
      <c r="B5835" s="4">
        <v>26100</v>
      </c>
      <c r="C5835" s="5">
        <v>3075</v>
      </c>
      <c r="D5835" s="5">
        <v>44225</v>
      </c>
      <c r="E5835" s="5">
        <v>73400</v>
      </c>
      <c r="F5835" s="4">
        <v>400</v>
      </c>
      <c r="G5835" s="5">
        <v>200</v>
      </c>
      <c r="H5835" s="5">
        <v>3000</v>
      </c>
      <c r="I5835" s="118">
        <f t="shared" si="834"/>
        <v>4.0871934604904632E-2</v>
      </c>
      <c r="J5835" s="5">
        <v>51243</v>
      </c>
      <c r="K5835" s="22">
        <v>1608</v>
      </c>
      <c r="L5835" s="6">
        <v>1630.5</v>
      </c>
      <c r="M5835" s="125">
        <f t="shared" ref="M5835" si="847">L5835-K5835</f>
        <v>22.5</v>
      </c>
      <c r="P5835" s="247">
        <v>14225</v>
      </c>
      <c r="Q5835" s="25">
        <f>173.71/1230.3</f>
        <v>0.14119320490937171</v>
      </c>
      <c r="W5835" s="285">
        <f t="shared" si="842"/>
        <v>2008.4733398358126</v>
      </c>
      <c r="X5835" s="446">
        <f t="shared" si="843"/>
        <v>8.846393034825871</v>
      </c>
    </row>
    <row r="5836" spans="1:24" ht="15" customHeight="1">
      <c r="A5836" s="3">
        <v>43949</v>
      </c>
      <c r="B5836" s="4">
        <v>26100</v>
      </c>
      <c r="C5836" s="5">
        <v>3275</v>
      </c>
      <c r="D5836" s="5">
        <v>44150</v>
      </c>
      <c r="E5836" s="5">
        <v>73525</v>
      </c>
      <c r="F5836" s="4">
        <v>200</v>
      </c>
      <c r="G5836" s="5">
        <v>75</v>
      </c>
      <c r="H5836" s="5">
        <v>2925</v>
      </c>
      <c r="I5836" s="118">
        <f t="shared" si="834"/>
        <v>3.9782386943216591E-2</v>
      </c>
      <c r="J5836" s="5">
        <v>29421</v>
      </c>
      <c r="K5836" s="22">
        <v>1623.5</v>
      </c>
      <c r="L5836" s="6">
        <v>1648.5</v>
      </c>
      <c r="M5836" s="125">
        <f t="shared" ref="M5836" si="848">L5836-K5836</f>
        <v>25</v>
      </c>
      <c r="P5836" s="247">
        <v>14150</v>
      </c>
      <c r="Q5836" s="25">
        <f>172.83/1225.2</f>
        <v>0.14106268364348679</v>
      </c>
      <c r="W5836" s="285">
        <f t="shared" si="842"/>
        <v>1996.0369735553379</v>
      </c>
      <c r="X5836" s="446">
        <f t="shared" si="843"/>
        <v>8.7157376039421006</v>
      </c>
    </row>
    <row r="5837" spans="1:24" ht="15" customHeight="1">
      <c r="A5837" s="3">
        <v>43950</v>
      </c>
      <c r="B5837" s="4">
        <v>26100</v>
      </c>
      <c r="C5837" s="5">
        <v>3475</v>
      </c>
      <c r="D5837" s="5">
        <v>43950</v>
      </c>
      <c r="E5837" s="5">
        <v>73525</v>
      </c>
      <c r="F5837" s="4">
        <v>200</v>
      </c>
      <c r="G5837" s="5">
        <v>200</v>
      </c>
      <c r="H5837" s="5">
        <v>2925</v>
      </c>
      <c r="I5837" s="118">
        <f t="shared" si="834"/>
        <v>3.9782386943216591E-2</v>
      </c>
      <c r="J5837" s="5">
        <v>32837</v>
      </c>
      <c r="K5837" s="22">
        <v>1614.5</v>
      </c>
      <c r="L5837" s="6">
        <v>1641</v>
      </c>
      <c r="M5837" s="125">
        <f t="shared" ref="M5837:M5840" si="849">L5837-K5837</f>
        <v>26.5</v>
      </c>
      <c r="P5837" s="247">
        <v>14050</v>
      </c>
      <c r="X5837" s="446">
        <f t="shared" si="843"/>
        <v>8.7023846392071853</v>
      </c>
    </row>
    <row r="5838" spans="1:24" ht="15" customHeight="1">
      <c r="A5838" s="3">
        <v>43951</v>
      </c>
      <c r="B5838" s="4">
        <v>26100</v>
      </c>
      <c r="C5838" s="5">
        <v>3475</v>
      </c>
      <c r="D5838" s="5">
        <v>43825</v>
      </c>
      <c r="E5838" s="5">
        <v>73400</v>
      </c>
      <c r="F5838" s="4">
        <v>0</v>
      </c>
      <c r="G5838" s="5">
        <v>125</v>
      </c>
      <c r="H5838" s="5">
        <v>3075</v>
      </c>
      <c r="I5838" s="118">
        <f t="shared" si="834"/>
        <v>4.1893732970027249E-2</v>
      </c>
      <c r="J5838" s="5">
        <v>25217</v>
      </c>
      <c r="K5838" s="22">
        <v>1610</v>
      </c>
      <c r="L5838" s="6">
        <v>1637</v>
      </c>
      <c r="M5838" s="125">
        <f t="shared" si="849"/>
        <v>27</v>
      </c>
      <c r="N5838" s="381">
        <f>AVERAGE($K$5817:K5838)</f>
        <v>1651.5250000000001</v>
      </c>
      <c r="O5838" s="395">
        <f>AVERAGE($K$5750:K5838)</f>
        <v>1800.1428571428571</v>
      </c>
      <c r="P5838" s="247">
        <v>14000</v>
      </c>
      <c r="X5838" s="446">
        <f t="shared" si="843"/>
        <v>8.695652173913043</v>
      </c>
    </row>
    <row r="5839" spans="1:24" ht="15" customHeight="1" thickBot="1">
      <c r="A5839" s="216"/>
      <c r="B5839" s="394"/>
      <c r="C5839" s="394"/>
      <c r="D5839" s="394"/>
      <c r="E5839" s="216"/>
      <c r="F5839" s="407"/>
      <c r="G5839" s="164"/>
      <c r="H5839" s="164"/>
      <c r="I5839" s="164"/>
      <c r="J5839" s="166"/>
      <c r="K5839" s="166"/>
      <c r="L5839" s="167"/>
      <c r="M5839" s="167"/>
      <c r="N5839" s="167"/>
      <c r="O5839" s="167"/>
      <c r="P5839" s="180"/>
      <c r="Q5839" s="154"/>
      <c r="R5839" s="248"/>
      <c r="S5839" s="249"/>
      <c r="T5839" s="249"/>
      <c r="U5839" s="152"/>
      <c r="V5839" s="153">
        <f>AVERAGE(P5817:P5838)</f>
        <v>14038.095238095239</v>
      </c>
      <c r="W5839" s="390"/>
      <c r="X5839" s="447">
        <f>AVERAGE(X5817:X5838)</f>
        <v>8.4966351686582655</v>
      </c>
    </row>
    <row r="5840" spans="1:24" ht="15" customHeight="1">
      <c r="A5840" s="3">
        <v>43952</v>
      </c>
      <c r="B5840" s="4">
        <v>26100</v>
      </c>
      <c r="C5840" s="5">
        <v>3725</v>
      </c>
      <c r="D5840" s="5">
        <v>43825</v>
      </c>
      <c r="E5840" s="5">
        <v>73650</v>
      </c>
      <c r="F5840" s="4">
        <v>250</v>
      </c>
      <c r="G5840" s="5">
        <v>0</v>
      </c>
      <c r="H5840" s="5">
        <v>3075</v>
      </c>
      <c r="I5840" s="118">
        <f t="shared" si="834"/>
        <v>4.1751527494908347E-2</v>
      </c>
      <c r="J5840" s="5">
        <v>48143</v>
      </c>
      <c r="K5840" s="22">
        <v>1583</v>
      </c>
      <c r="L5840" s="6">
        <v>1609</v>
      </c>
      <c r="M5840" s="125">
        <f t="shared" si="849"/>
        <v>26</v>
      </c>
      <c r="P5840" s="1334"/>
      <c r="Q5840" s="25">
        <f>171.99/1218.5</f>
        <v>0.14114895363151417</v>
      </c>
      <c r="W5840" s="285">
        <f t="shared" ref="W5840:W5858" si="850">(P5840*Q5840)*(1+U5840)</f>
        <v>0</v>
      </c>
      <c r="X5840" s="446"/>
    </row>
    <row r="5841" spans="1:24" ht="15" customHeight="1">
      <c r="A5841" s="3">
        <v>43955</v>
      </c>
      <c r="B5841" s="4">
        <v>26100</v>
      </c>
      <c r="C5841" s="5">
        <v>3725</v>
      </c>
      <c r="D5841" s="5">
        <v>43825</v>
      </c>
      <c r="E5841" s="5">
        <v>73650</v>
      </c>
      <c r="F5841" s="4">
        <v>0</v>
      </c>
      <c r="G5841" s="5">
        <v>0</v>
      </c>
      <c r="H5841" s="5">
        <v>3075</v>
      </c>
      <c r="I5841" s="118">
        <f t="shared" si="834"/>
        <v>4.1751527494908347E-2</v>
      </c>
      <c r="J5841" s="5">
        <v>29370</v>
      </c>
      <c r="K5841" s="22">
        <v>1592.5</v>
      </c>
      <c r="L5841" s="6">
        <v>1615.5</v>
      </c>
      <c r="M5841" s="125">
        <f t="shared" ref="M5841" si="851">L5841-K5841</f>
        <v>23</v>
      </c>
      <c r="P5841" s="1335"/>
      <c r="W5841" s="285">
        <f t="shared" si="850"/>
        <v>0</v>
      </c>
      <c r="X5841" s="446"/>
    </row>
    <row r="5842" spans="1:24" ht="15" customHeight="1">
      <c r="A5842" s="3">
        <v>43956</v>
      </c>
      <c r="B5842" s="4">
        <v>26100</v>
      </c>
      <c r="C5842" s="5">
        <v>3950</v>
      </c>
      <c r="D5842" s="5">
        <v>43825</v>
      </c>
      <c r="E5842" s="5">
        <v>73875</v>
      </c>
      <c r="F5842" s="4">
        <v>225</v>
      </c>
      <c r="G5842" s="5">
        <v>0</v>
      </c>
      <c r="H5842" s="5">
        <v>3025</v>
      </c>
      <c r="I5842" s="118">
        <f t="shared" si="834"/>
        <v>4.0947546531302878E-2</v>
      </c>
      <c r="J5842" s="5">
        <v>35006</v>
      </c>
      <c r="K5842" s="22">
        <v>1611</v>
      </c>
      <c r="L5842" s="6">
        <v>1633</v>
      </c>
      <c r="M5842" s="125">
        <f t="shared" ref="M5842" si="852">L5842-K5842</f>
        <v>22</v>
      </c>
      <c r="P5842" s="1335"/>
      <c r="Q5842" s="25">
        <f>171.95/1227.8</f>
        <v>0.14004723896400065</v>
      </c>
      <c r="W5842" s="285">
        <f t="shared" si="850"/>
        <v>0</v>
      </c>
      <c r="X5842" s="446"/>
    </row>
    <row r="5843" spans="1:24" ht="15" customHeight="1">
      <c r="A5843" s="3">
        <v>43957</v>
      </c>
      <c r="B5843" s="4">
        <v>26100</v>
      </c>
      <c r="C5843" s="5">
        <v>4050</v>
      </c>
      <c r="D5843" s="5">
        <v>43825</v>
      </c>
      <c r="E5843" s="5">
        <v>73975</v>
      </c>
      <c r="F5843" s="4">
        <v>100</v>
      </c>
      <c r="G5843" s="5">
        <v>0</v>
      </c>
      <c r="H5843" s="5">
        <v>2950</v>
      </c>
      <c r="I5843" s="118">
        <f t="shared" si="834"/>
        <v>3.987833727610679E-2</v>
      </c>
      <c r="J5843" s="5">
        <v>36086</v>
      </c>
      <c r="K5843" s="22">
        <v>1618.5</v>
      </c>
      <c r="L5843" s="6">
        <v>1638</v>
      </c>
      <c r="M5843" s="125">
        <f t="shared" ref="M5843" si="853">L5843-K5843</f>
        <v>19.5</v>
      </c>
      <c r="P5843" s="247">
        <v>14000</v>
      </c>
      <c r="Q5843" s="25">
        <f>172.14/1223.3</f>
        <v>0.14071773072835772</v>
      </c>
      <c r="W5843" s="285">
        <f t="shared" si="850"/>
        <v>1970.048230197008</v>
      </c>
      <c r="X5843" s="446">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18">
        <f t="shared" si="834"/>
        <v>4.193439296584376E-2</v>
      </c>
      <c r="J5844" s="5">
        <v>35311</v>
      </c>
      <c r="K5844" s="22">
        <v>1619.5</v>
      </c>
      <c r="L5844" s="6">
        <v>1642</v>
      </c>
      <c r="M5844" s="125">
        <f t="shared" ref="M5844:M5846" si="855">L5844-K5844</f>
        <v>22.5</v>
      </c>
      <c r="P5844" s="247">
        <v>14175</v>
      </c>
      <c r="Q5844" s="25">
        <f>172.29/1226.5</f>
        <v>0.14047289033836119</v>
      </c>
      <c r="W5844" s="285">
        <f t="shared" si="850"/>
        <v>1991.2032205462699</v>
      </c>
      <c r="X5844" s="446">
        <f t="shared" si="854"/>
        <v>8.7527014510651444</v>
      </c>
    </row>
    <row r="5845" spans="1:24" ht="15" customHeight="1">
      <c r="A5845" s="3">
        <v>43959</v>
      </c>
      <c r="B5845" s="1318" t="s">
        <v>61</v>
      </c>
      <c r="C5845" s="1318"/>
      <c r="D5845" s="1318"/>
      <c r="E5845" s="1318"/>
      <c r="F5845" s="1318"/>
      <c r="G5845" s="1318"/>
      <c r="H5845" s="1318"/>
      <c r="I5845" s="1318"/>
      <c r="J5845" s="1318"/>
      <c r="K5845" s="1318"/>
      <c r="L5845" s="1318"/>
      <c r="M5845" s="1318"/>
      <c r="P5845" s="247">
        <v>14150</v>
      </c>
      <c r="Q5845" s="25">
        <f>171.84/1217.7</f>
        <v>0.14111850209411184</v>
      </c>
      <c r="W5845" s="285">
        <f t="shared" si="850"/>
        <v>1996.8268046316825</v>
      </c>
      <c r="X5845" s="446"/>
    </row>
    <row r="5846" spans="1:24" ht="15" customHeight="1">
      <c r="A5846" s="3">
        <v>43962</v>
      </c>
      <c r="B5846" s="4">
        <v>26100</v>
      </c>
      <c r="C5846" s="5">
        <v>4100</v>
      </c>
      <c r="D5846" s="5">
        <v>43825</v>
      </c>
      <c r="E5846" s="5">
        <v>74025</v>
      </c>
      <c r="F5846" s="4">
        <v>100</v>
      </c>
      <c r="G5846" s="5">
        <v>0</v>
      </c>
      <c r="H5846" s="5">
        <v>17125</v>
      </c>
      <c r="I5846" s="118">
        <f t="shared" si="834"/>
        <v>0.23134076325565686</v>
      </c>
      <c r="J5846" s="5">
        <v>42182</v>
      </c>
      <c r="K5846" s="22">
        <v>1629.5</v>
      </c>
      <c r="L5846" s="6">
        <v>1650</v>
      </c>
      <c r="M5846" s="125">
        <f t="shared" si="855"/>
        <v>20.5</v>
      </c>
      <c r="P5846" s="247">
        <v>14050</v>
      </c>
      <c r="Q5846" s="25">
        <f>171.69/1217.8</f>
        <v>0.14098374117260634</v>
      </c>
      <c r="W5846" s="285">
        <f t="shared" si="850"/>
        <v>1980.8215634751191</v>
      </c>
      <c r="X5846" s="446">
        <f t="shared" si="854"/>
        <v>8.6222767720159563</v>
      </c>
    </row>
    <row r="5847" spans="1:24" ht="15" customHeight="1">
      <c r="A5847" s="3">
        <v>43963</v>
      </c>
      <c r="B5847" s="4">
        <v>26100</v>
      </c>
      <c r="C5847" s="5">
        <v>4425</v>
      </c>
      <c r="D5847" s="5">
        <v>43775</v>
      </c>
      <c r="E5847" s="5">
        <v>74300</v>
      </c>
      <c r="F5847" s="4">
        <v>325</v>
      </c>
      <c r="G5847" s="5">
        <v>50</v>
      </c>
      <c r="H5847" s="5">
        <v>17025</v>
      </c>
      <c r="I5847" s="118">
        <f t="shared" si="834"/>
        <v>0.22913862718707942</v>
      </c>
      <c r="J5847" s="5">
        <v>58248</v>
      </c>
      <c r="K5847" s="22">
        <v>1638.5</v>
      </c>
      <c r="L5847" s="6">
        <v>1659</v>
      </c>
      <c r="M5847" s="125">
        <f t="shared" ref="M5847" si="856">L5847-K5847</f>
        <v>20.5</v>
      </c>
      <c r="P5847" s="247">
        <v>14250</v>
      </c>
      <c r="Q5847" s="25">
        <f>172.63/1226.7</f>
        <v>0.14072715415341974</v>
      </c>
      <c r="W5847" s="285">
        <f t="shared" si="850"/>
        <v>2005.3619466862312</v>
      </c>
      <c r="X5847" s="446">
        <f t="shared" si="854"/>
        <v>8.6969789441562408</v>
      </c>
    </row>
    <row r="5848" spans="1:24" ht="15" customHeight="1">
      <c r="A5848" s="3">
        <v>43964</v>
      </c>
      <c r="B5848" s="4">
        <v>26100</v>
      </c>
      <c r="C5848" s="5">
        <v>5000</v>
      </c>
      <c r="D5848" s="5">
        <v>43775</v>
      </c>
      <c r="E5848" s="5">
        <v>74875</v>
      </c>
      <c r="F5848" s="4">
        <v>575</v>
      </c>
      <c r="G5848" s="5">
        <v>0</v>
      </c>
      <c r="H5848" s="5">
        <v>17025</v>
      </c>
      <c r="I5848" s="118">
        <f t="shared" si="834"/>
        <v>0.22737896494156928</v>
      </c>
      <c r="J5848" s="5">
        <v>50470</v>
      </c>
      <c r="K5848" s="22">
        <v>1601.5</v>
      </c>
      <c r="L5848" s="6">
        <v>1624.5</v>
      </c>
      <c r="M5848" s="125">
        <f t="shared" ref="M5848" si="857">L5848-K5848</f>
        <v>23</v>
      </c>
      <c r="P5848" s="247">
        <v>14000</v>
      </c>
      <c r="Q5848" s="25">
        <f>172.64/1226.3</f>
        <v>0.1407812117752589</v>
      </c>
      <c r="W5848" s="285">
        <f t="shared" si="850"/>
        <v>1970.9369648536247</v>
      </c>
      <c r="X5848" s="446">
        <f t="shared" si="854"/>
        <v>8.7418045582266632</v>
      </c>
    </row>
    <row r="5849" spans="1:24" ht="15" customHeight="1">
      <c r="A5849" s="3">
        <v>43965</v>
      </c>
      <c r="B5849" s="4">
        <v>26100</v>
      </c>
      <c r="C5849" s="5">
        <v>5000</v>
      </c>
      <c r="D5849" s="5">
        <v>43575</v>
      </c>
      <c r="E5849" s="5">
        <v>74675</v>
      </c>
      <c r="F5849" s="4">
        <v>0</v>
      </c>
      <c r="G5849" s="5">
        <v>200</v>
      </c>
      <c r="H5849" s="5">
        <v>16825</v>
      </c>
      <c r="I5849" s="118">
        <f t="shared" si="834"/>
        <v>0.22530967525945764</v>
      </c>
      <c r="J5849" s="5">
        <v>55272</v>
      </c>
      <c r="K5849" s="22">
        <v>1576.5</v>
      </c>
      <c r="L5849" s="6">
        <v>1598</v>
      </c>
      <c r="M5849" s="125">
        <f t="shared" ref="M5849" si="858">L5849-K5849</f>
        <v>21.5</v>
      </c>
      <c r="P5849" s="247">
        <v>13850</v>
      </c>
      <c r="Q5849" s="25">
        <f>172.69/1227.9</f>
        <v>0.14063848847626026</v>
      </c>
      <c r="W5849" s="285">
        <f t="shared" si="850"/>
        <v>1947.8430653962046</v>
      </c>
      <c r="X5849" s="446">
        <f t="shared" si="854"/>
        <v>8.7852838566444653</v>
      </c>
    </row>
    <row r="5850" spans="1:24" ht="15" customHeight="1">
      <c r="A5850" s="3">
        <v>43966</v>
      </c>
      <c r="B5850" s="4">
        <v>26100</v>
      </c>
      <c r="C5850" s="5">
        <v>5000</v>
      </c>
      <c r="D5850" s="5">
        <v>43200</v>
      </c>
      <c r="E5850" s="5">
        <v>74300</v>
      </c>
      <c r="F5850" s="4">
        <v>0</v>
      </c>
      <c r="G5850" s="5">
        <v>375</v>
      </c>
      <c r="H5850" s="5">
        <v>16450</v>
      </c>
      <c r="I5850" s="118">
        <f t="shared" si="834"/>
        <v>0.22139973082099595</v>
      </c>
      <c r="J5850" s="5">
        <v>33392</v>
      </c>
      <c r="K5850" s="22">
        <v>1578.5</v>
      </c>
      <c r="L5850" s="6">
        <v>1600.5</v>
      </c>
      <c r="M5850" s="125">
        <f t="shared" ref="M5850" si="859">L5850-K5850</f>
        <v>22</v>
      </c>
      <c r="P5850" s="247">
        <v>13850</v>
      </c>
      <c r="Q5850" s="25">
        <f>172.79/1229.3</f>
        <v>0.14055966810379891</v>
      </c>
      <c r="W5850" s="285">
        <f t="shared" si="850"/>
        <v>1946.751403237615</v>
      </c>
      <c r="X5850" s="446">
        <f t="shared" si="854"/>
        <v>8.7741526765917008</v>
      </c>
    </row>
    <row r="5851" spans="1:24" ht="15" customHeight="1">
      <c r="A5851" s="3">
        <v>43969</v>
      </c>
      <c r="B5851" s="4">
        <v>26100</v>
      </c>
      <c r="C5851" s="5">
        <v>5250</v>
      </c>
      <c r="D5851" s="5">
        <v>42900</v>
      </c>
      <c r="E5851" s="5">
        <v>74250</v>
      </c>
      <c r="F5851" s="4">
        <v>250</v>
      </c>
      <c r="G5851" s="5">
        <v>300</v>
      </c>
      <c r="H5851" s="5">
        <v>16125</v>
      </c>
      <c r="I5851" s="118">
        <f t="shared" si="834"/>
        <v>0.21717171717171718</v>
      </c>
      <c r="J5851" s="5">
        <v>40726</v>
      </c>
      <c r="K5851" s="22">
        <v>1611</v>
      </c>
      <c r="L5851" s="6">
        <v>1625</v>
      </c>
      <c r="M5851" s="125">
        <f t="shared" ref="M5851" si="860">L5851-K5851</f>
        <v>14</v>
      </c>
      <c r="P5851" s="247">
        <v>13950</v>
      </c>
      <c r="Q5851" s="25">
        <f>172.84/1231.6</f>
        <v>0.14033777200389738</v>
      </c>
      <c r="W5851" s="285">
        <f t="shared" si="850"/>
        <v>1957.7119194543684</v>
      </c>
      <c r="X5851" s="446">
        <f t="shared" si="854"/>
        <v>8.6592178770949726</v>
      </c>
    </row>
    <row r="5852" spans="1:24" ht="15" customHeight="1">
      <c r="A5852" s="3">
        <v>43970</v>
      </c>
      <c r="B5852" s="4">
        <v>26100</v>
      </c>
      <c r="C5852" s="5">
        <v>5200</v>
      </c>
      <c r="D5852" s="5">
        <v>43850</v>
      </c>
      <c r="E5852" s="5">
        <v>75150</v>
      </c>
      <c r="F5852" s="4">
        <v>950</v>
      </c>
      <c r="G5852" s="5">
        <v>50</v>
      </c>
      <c r="H5852" s="5">
        <v>16325</v>
      </c>
      <c r="I5852" s="118">
        <f t="shared" si="834"/>
        <v>0.21723220226214238</v>
      </c>
      <c r="J5852" s="5">
        <v>56792</v>
      </c>
      <c r="K5852" s="22">
        <v>1638</v>
      </c>
      <c r="L5852" s="6">
        <v>1655.5</v>
      </c>
      <c r="M5852" s="125">
        <f t="shared" ref="M5852" si="861">L5852-K5852</f>
        <v>17.5</v>
      </c>
      <c r="P5852" s="247">
        <v>14100</v>
      </c>
      <c r="Q5852" s="25">
        <f>171.99/1224.5</f>
        <v>0.14045732952225398</v>
      </c>
      <c r="W5852" s="285">
        <f t="shared" si="850"/>
        <v>1980.4483462637811</v>
      </c>
      <c r="X5852" s="446">
        <f t="shared" si="854"/>
        <v>8.6080586080586077</v>
      </c>
    </row>
    <row r="5853" spans="1:24" ht="15" customHeight="1">
      <c r="A5853" s="3">
        <v>43971</v>
      </c>
      <c r="B5853" s="4">
        <v>26100</v>
      </c>
      <c r="C5853" s="5">
        <v>5125</v>
      </c>
      <c r="D5853" s="5">
        <v>43850</v>
      </c>
      <c r="E5853" s="5">
        <v>75075</v>
      </c>
      <c r="F5853" s="4">
        <v>0</v>
      </c>
      <c r="G5853" s="5">
        <v>75</v>
      </c>
      <c r="H5853" s="5">
        <v>16450</v>
      </c>
      <c r="I5853" s="118">
        <f t="shared" si="834"/>
        <v>0.21911421911421911</v>
      </c>
      <c r="J5853" s="5">
        <v>43394</v>
      </c>
      <c r="K5853" s="22">
        <v>1663</v>
      </c>
      <c r="L5853" s="6">
        <v>1679.5</v>
      </c>
      <c r="M5853" s="125">
        <f t="shared" ref="M5853" si="862">L5853-K5853</f>
        <v>16.5</v>
      </c>
      <c r="P5853" s="247">
        <v>14125</v>
      </c>
      <c r="Q5853" s="25">
        <f>172.53/1227.8</f>
        <v>0.14051962860400719</v>
      </c>
      <c r="W5853" s="285">
        <f t="shared" si="850"/>
        <v>1984.8397540316014</v>
      </c>
      <c r="X5853" s="446">
        <f t="shared" si="854"/>
        <v>8.4936861094407696</v>
      </c>
    </row>
    <row r="5854" spans="1:24" ht="15" customHeight="1">
      <c r="A5854" s="3">
        <v>43972</v>
      </c>
      <c r="B5854" s="4">
        <v>26100</v>
      </c>
      <c r="C5854" s="5">
        <v>5075</v>
      </c>
      <c r="D5854" s="5">
        <v>43850</v>
      </c>
      <c r="E5854" s="5">
        <v>75025</v>
      </c>
      <c r="F5854" s="4">
        <v>0</v>
      </c>
      <c r="G5854" s="5">
        <v>50</v>
      </c>
      <c r="H5854" s="5">
        <v>16400</v>
      </c>
      <c r="I5854" s="118">
        <f t="shared" si="834"/>
        <v>0.218593802065978</v>
      </c>
      <c r="J5854" s="5">
        <v>56123</v>
      </c>
      <c r="K5854" s="22">
        <v>1654.5</v>
      </c>
      <c r="L5854" s="6">
        <v>1670.5</v>
      </c>
      <c r="M5854" s="125">
        <f t="shared" ref="M5854" si="863">L5854-K5854</f>
        <v>16</v>
      </c>
      <c r="P5854" s="247">
        <v>14150</v>
      </c>
      <c r="Q5854" s="25">
        <f>173.1/1230.7</f>
        <v>0.14065166165596815</v>
      </c>
      <c r="W5854" s="285">
        <f t="shared" si="850"/>
        <v>1990.2210124319492</v>
      </c>
      <c r="X5854" s="446">
        <f t="shared" si="854"/>
        <v>8.552432759141734</v>
      </c>
    </row>
    <row r="5855" spans="1:24" ht="15" customHeight="1">
      <c r="A5855" s="3">
        <v>43973</v>
      </c>
      <c r="B5855" s="4">
        <v>26050</v>
      </c>
      <c r="C5855" s="5">
        <v>5375</v>
      </c>
      <c r="D5855" s="5">
        <v>43850</v>
      </c>
      <c r="E5855" s="5">
        <v>75275</v>
      </c>
      <c r="F5855" s="4">
        <v>300</v>
      </c>
      <c r="G5855" s="5">
        <v>50</v>
      </c>
      <c r="H5855" s="5">
        <v>16350</v>
      </c>
      <c r="I5855" s="118">
        <f t="shared" si="834"/>
        <v>0.21720358684822319</v>
      </c>
      <c r="J5855" s="5">
        <v>41534</v>
      </c>
      <c r="K5855" s="22">
        <v>1603.5</v>
      </c>
      <c r="L5855" s="6">
        <v>1619.5</v>
      </c>
      <c r="M5855" s="125">
        <f t="shared" ref="M5855" si="864">L5855-K5855</f>
        <v>16</v>
      </c>
      <c r="P5855" s="247">
        <v>14150</v>
      </c>
      <c r="Q5855" s="25">
        <f>173.25/1236.2</f>
        <v>0.14014722536806343</v>
      </c>
      <c r="W5855" s="285">
        <f t="shared" si="850"/>
        <v>1983.0832389580976</v>
      </c>
      <c r="X5855" s="446">
        <f t="shared" si="854"/>
        <v>8.8244465232304332</v>
      </c>
    </row>
    <row r="5856" spans="1:24" ht="15" customHeight="1">
      <c r="A5856" s="3">
        <v>43976</v>
      </c>
      <c r="B5856" s="1318" t="s">
        <v>61</v>
      </c>
      <c r="C5856" s="1318"/>
      <c r="D5856" s="1318"/>
      <c r="E5856" s="1318"/>
      <c r="F5856" s="1318"/>
      <c r="G5856" s="1318"/>
      <c r="H5856" s="1318"/>
      <c r="I5856" s="1318"/>
      <c r="J5856" s="1318"/>
      <c r="K5856" s="1318"/>
      <c r="L5856" s="1318"/>
      <c r="M5856" s="1318"/>
      <c r="P5856" s="247">
        <v>14325</v>
      </c>
      <c r="Q5856" s="25">
        <f>173.72/1242</f>
        <v>0.13987117552334943</v>
      </c>
      <c r="W5856" s="285">
        <f t="shared" si="850"/>
        <v>2003.6545893719806</v>
      </c>
      <c r="X5856" s="446"/>
    </row>
    <row r="5857" spans="1:24" ht="15" customHeight="1">
      <c r="A5857" s="3">
        <v>43977</v>
      </c>
      <c r="B5857" s="4">
        <v>25925</v>
      </c>
      <c r="C5857" s="5">
        <v>5375</v>
      </c>
      <c r="D5857" s="5">
        <v>43850</v>
      </c>
      <c r="E5857" s="5">
        <v>75150</v>
      </c>
      <c r="F5857" s="4">
        <v>0</v>
      </c>
      <c r="G5857" s="5">
        <v>125</v>
      </c>
      <c r="H5857" s="5">
        <v>16225</v>
      </c>
      <c r="I5857" s="118">
        <f t="shared" si="834"/>
        <v>0.21590153027278775</v>
      </c>
      <c r="J5857" s="5">
        <v>43705</v>
      </c>
      <c r="K5857" s="22">
        <v>1660</v>
      </c>
      <c r="L5857" s="6">
        <v>1675.5</v>
      </c>
      <c r="M5857" s="125">
        <f t="shared" ref="M5857" si="865">L5857-K5857</f>
        <v>15.5</v>
      </c>
      <c r="P5857" s="247">
        <v>14325</v>
      </c>
      <c r="Q5857" s="25">
        <f>173/1237.1</f>
        <v>0.13984318163446771</v>
      </c>
      <c r="W5857" s="285">
        <f t="shared" si="850"/>
        <v>2003.2535769137501</v>
      </c>
      <c r="X5857" s="446">
        <f t="shared" si="854"/>
        <v>8.6295180722891569</v>
      </c>
    </row>
    <row r="5858" spans="1:24" ht="15" customHeight="1">
      <c r="A5858" s="3">
        <v>43978</v>
      </c>
      <c r="B5858" s="4">
        <v>25925</v>
      </c>
      <c r="C5858" s="5">
        <v>5875</v>
      </c>
      <c r="D5858" s="5">
        <v>44350</v>
      </c>
      <c r="E5858" s="5">
        <v>76150</v>
      </c>
      <c r="F5858" s="4">
        <v>1000</v>
      </c>
      <c r="G5858" s="5">
        <v>0</v>
      </c>
      <c r="H5858" s="5">
        <v>16975</v>
      </c>
      <c r="I5858" s="118">
        <f t="shared" si="834"/>
        <v>0.22291529875246224</v>
      </c>
      <c r="J5858" s="5">
        <v>31037</v>
      </c>
      <c r="K5858" s="22">
        <v>1641.5</v>
      </c>
      <c r="L5858" s="6">
        <v>1658.5</v>
      </c>
      <c r="M5858" s="125">
        <f t="shared" ref="M5858" si="866">L5858-K5858</f>
        <v>17</v>
      </c>
      <c r="P5858" s="247">
        <v>14375</v>
      </c>
      <c r="Q5858" s="25">
        <f>172.15/1233.7</f>
        <v>0.13953959633622437</v>
      </c>
      <c r="W5858" s="285">
        <f t="shared" si="850"/>
        <v>2005.8816973332252</v>
      </c>
      <c r="X5858" s="446">
        <f t="shared" si="854"/>
        <v>8.7572342369783733</v>
      </c>
    </row>
    <row r="5859" spans="1:24" ht="15" customHeight="1">
      <c r="A5859" s="3">
        <v>43979</v>
      </c>
      <c r="B5859" s="4">
        <v>25925</v>
      </c>
      <c r="C5859" s="5">
        <v>5875</v>
      </c>
      <c r="D5859" s="5">
        <v>44350</v>
      </c>
      <c r="E5859" s="5">
        <v>76150</v>
      </c>
      <c r="F5859" s="4">
        <v>0</v>
      </c>
      <c r="G5859" s="5">
        <v>0</v>
      </c>
      <c r="H5859" s="5">
        <v>16975</v>
      </c>
      <c r="I5859" s="118">
        <f t="shared" si="834"/>
        <v>0.22291529875246224</v>
      </c>
      <c r="J5859" s="5">
        <v>40868</v>
      </c>
      <c r="K5859" s="22">
        <v>1609</v>
      </c>
      <c r="L5859" s="6">
        <v>1628.5</v>
      </c>
      <c r="M5859" s="125">
        <f t="shared" ref="M5859" si="867">L5859-K5859</f>
        <v>19.5</v>
      </c>
      <c r="P5859" s="247">
        <v>14325</v>
      </c>
      <c r="Q5859" s="25">
        <f>172.63/1239.4</f>
        <v>0.13928513796998546</v>
      </c>
      <c r="W5859" s="285">
        <f t="shared" ref="W5859:W5860" si="868">(P5859*Q5859)*(1+U5859)</f>
        <v>1995.2596014200417</v>
      </c>
      <c r="X5859" s="446">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18">
        <f t="shared" si="834"/>
        <v>0.22324359816152331</v>
      </c>
      <c r="J5860" s="5">
        <v>44566</v>
      </c>
      <c r="K5860" s="22">
        <v>1615.5</v>
      </c>
      <c r="L5860" s="6">
        <v>1635</v>
      </c>
      <c r="M5860" s="125">
        <f t="shared" ref="M5860" si="870">L5860-K5860</f>
        <v>19.5</v>
      </c>
      <c r="N5860" s="381">
        <f>AVERAGE($K5840:K$5860)</f>
        <v>1618.1578947368421</v>
      </c>
      <c r="O5860" s="395">
        <f>AVERAGE($K$5750:K5860)</f>
        <v>1766.5728155339805</v>
      </c>
      <c r="P5860" s="247">
        <v>14275</v>
      </c>
      <c r="Q5860" s="25">
        <f>172.62/1237.6</f>
        <v>0.13947963800904978</v>
      </c>
      <c r="W5860" s="285">
        <f t="shared" si="868"/>
        <v>1991.0718325791856</v>
      </c>
      <c r="X5860" s="446">
        <f t="shared" si="869"/>
        <v>8.8362735995047981</v>
      </c>
    </row>
    <row r="5861" spans="1:24" ht="15" customHeight="1" thickBot="1">
      <c r="A5861" s="216"/>
      <c r="B5861" s="394"/>
      <c r="C5861" s="394"/>
      <c r="D5861" s="394"/>
      <c r="E5861" s="216"/>
      <c r="F5861" s="407"/>
      <c r="G5861" s="164"/>
      <c r="H5861" s="164"/>
      <c r="I5861" s="164"/>
      <c r="J5861" s="166"/>
      <c r="K5861" s="166"/>
      <c r="L5861" s="167"/>
      <c r="M5861" s="167"/>
      <c r="N5861" s="167"/>
      <c r="O5861" s="167"/>
      <c r="P5861" s="180"/>
      <c r="Q5861" s="154"/>
      <c r="R5861" s="248"/>
      <c r="S5861" s="249"/>
      <c r="T5861" s="249"/>
      <c r="U5861" s="152"/>
      <c r="V5861" s="153">
        <f>AVERAGE(P5840:P5860)</f>
        <v>14134.722222222223</v>
      </c>
      <c r="W5861" s="390"/>
      <c r="X5861" s="447">
        <f>AVERAGE(X5840:X5860)</f>
        <v>8.7054434979895596</v>
      </c>
    </row>
    <row r="5862" spans="1:24" ht="15" customHeight="1">
      <c r="A5862" s="3">
        <v>43983</v>
      </c>
      <c r="B5862" s="4">
        <v>25625</v>
      </c>
      <c r="C5862" s="5">
        <v>5875</v>
      </c>
      <c r="D5862" s="5">
        <v>44325</v>
      </c>
      <c r="E5862" s="5">
        <v>75825</v>
      </c>
      <c r="F5862" s="4">
        <v>0</v>
      </c>
      <c r="G5862" s="5">
        <v>325</v>
      </c>
      <c r="H5862" s="5">
        <v>16675</v>
      </c>
      <c r="I5862" s="118">
        <f t="shared" si="834"/>
        <v>0.21991427629409827</v>
      </c>
      <c r="J5862" s="5">
        <v>45136</v>
      </c>
      <c r="K5862" s="22">
        <v>1635</v>
      </c>
      <c r="L5862" s="6">
        <v>1656.5</v>
      </c>
      <c r="M5862" s="125">
        <f t="shared" ref="M5862" si="871">L5862-K5862</f>
        <v>21.5</v>
      </c>
      <c r="P5862" s="247">
        <v>14450</v>
      </c>
      <c r="Q5862" s="25">
        <f>172.18/1227.8</f>
        <v>0.14023456589021013</v>
      </c>
      <c r="W5862" s="285">
        <f t="shared" ref="W5862" si="872">(P5862*Q5862)*(1+U5862)</f>
        <v>2026.3894771135365</v>
      </c>
      <c r="X5862" s="446">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18">
        <f t="shared" si="834"/>
        <v>0.21965699208443271</v>
      </c>
      <c r="J5863" s="5">
        <v>44859</v>
      </c>
      <c r="K5863" s="22">
        <v>1663</v>
      </c>
      <c r="L5863" s="6">
        <v>1686</v>
      </c>
      <c r="M5863" s="125">
        <f t="shared" ref="M5863" si="874">L5863-K5863</f>
        <v>23</v>
      </c>
      <c r="P5863" s="247">
        <v>14500</v>
      </c>
      <c r="Q5863" s="25">
        <f>171.8/1224.1</f>
        <v>0.14034801078343276</v>
      </c>
      <c r="W5863" s="285">
        <f t="shared" ref="W5863:W5868" si="875">(P5863*Q5863)*(1+U5863)</f>
        <v>2035.0461563597751</v>
      </c>
      <c r="X5863" s="446">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18">
        <f t="shared" si="834"/>
        <v>0.21759259259259259</v>
      </c>
      <c r="J5864" s="5">
        <v>40786</v>
      </c>
      <c r="K5864" s="22">
        <v>1696</v>
      </c>
      <c r="L5864" s="6">
        <v>1718</v>
      </c>
      <c r="M5864" s="125">
        <f t="shared" ref="M5864" si="877">L5864-K5864</f>
        <v>22</v>
      </c>
      <c r="P5864" s="247">
        <v>14450</v>
      </c>
      <c r="Q5864" s="25">
        <f>171.09/1216.9</f>
        <v>0.14059495439230832</v>
      </c>
      <c r="W5864" s="285">
        <f t="shared" si="875"/>
        <v>2031.5970909688551</v>
      </c>
      <c r="X5864" s="446">
        <f t="shared" si="876"/>
        <v>8.5200471698113205</v>
      </c>
    </row>
    <row r="5865" spans="1:24" ht="15" customHeight="1">
      <c r="A5865" s="3">
        <v>43986</v>
      </c>
      <c r="B5865" s="4">
        <v>25400</v>
      </c>
      <c r="C5865" s="5">
        <v>5875</v>
      </c>
      <c r="D5865" s="5">
        <v>44275</v>
      </c>
      <c r="E5865" s="5">
        <v>75550</v>
      </c>
      <c r="F5865" s="4">
        <v>0</v>
      </c>
      <c r="G5865" s="5">
        <v>50</v>
      </c>
      <c r="H5865" s="5">
        <v>16400</v>
      </c>
      <c r="I5865" s="118">
        <f t="shared" si="834"/>
        <v>0.21707478491065518</v>
      </c>
      <c r="J5865" s="5">
        <v>47098</v>
      </c>
      <c r="K5865" s="22">
        <v>1679.5</v>
      </c>
      <c r="L5865" s="6">
        <v>1696.5</v>
      </c>
      <c r="M5865" s="125">
        <f t="shared" ref="M5865" si="878">L5865-K5865</f>
        <v>17</v>
      </c>
      <c r="P5865" s="247">
        <v>14375</v>
      </c>
      <c r="Q5865" s="25">
        <f>170.8/1217.4</f>
        <v>0.14029899786430097</v>
      </c>
      <c r="W5865" s="285">
        <f t="shared" si="875"/>
        <v>2016.7980942993265</v>
      </c>
      <c r="X5865" s="446">
        <f t="shared" si="876"/>
        <v>8.5590949687406965</v>
      </c>
    </row>
    <row r="5866" spans="1:24" ht="15" customHeight="1">
      <c r="A5866" s="3">
        <v>43987</v>
      </c>
      <c r="B5866" s="4">
        <v>25400</v>
      </c>
      <c r="C5866" s="5">
        <v>5875</v>
      </c>
      <c r="D5866" s="5">
        <v>44250</v>
      </c>
      <c r="E5866" s="5">
        <v>75525</v>
      </c>
      <c r="F5866" s="4">
        <v>0</v>
      </c>
      <c r="G5866" s="5">
        <v>25</v>
      </c>
      <c r="H5866" s="5">
        <v>16375</v>
      </c>
      <c r="I5866" s="118">
        <f t="shared" si="834"/>
        <v>0.2168156239655743</v>
      </c>
      <c r="J5866" s="5">
        <v>43831</v>
      </c>
      <c r="K5866" s="22">
        <v>1749.5</v>
      </c>
      <c r="L5866" s="6">
        <v>1767.5</v>
      </c>
      <c r="M5866" s="125">
        <f t="shared" ref="M5866" si="879">L5866-K5866</f>
        <v>18</v>
      </c>
      <c r="P5866" s="247">
        <v>14250</v>
      </c>
      <c r="Q5866" s="25">
        <f>170.63/1213.1</f>
        <v>0.14065617014260984</v>
      </c>
      <c r="W5866" s="285">
        <f t="shared" si="875"/>
        <v>2004.3504245321901</v>
      </c>
      <c r="X5866" s="446">
        <f t="shared" si="876"/>
        <v>8.1451843383823945</v>
      </c>
    </row>
    <row r="5867" spans="1:24" ht="15" customHeight="1">
      <c r="A5867" s="3">
        <v>43990</v>
      </c>
      <c r="B5867" s="4">
        <v>25400</v>
      </c>
      <c r="C5867" s="5">
        <v>5875</v>
      </c>
      <c r="D5867" s="5">
        <v>44225</v>
      </c>
      <c r="E5867" s="5">
        <v>75500</v>
      </c>
      <c r="F5867" s="4">
        <v>0</v>
      </c>
      <c r="G5867" s="5">
        <v>25</v>
      </c>
      <c r="H5867" s="5">
        <v>16350</v>
      </c>
      <c r="I5867" s="118">
        <f t="shared" si="834"/>
        <v>0.21655629139072849</v>
      </c>
      <c r="J5867" s="5">
        <v>57063</v>
      </c>
      <c r="K5867" s="22">
        <v>1738</v>
      </c>
      <c r="L5867" s="6">
        <v>1755</v>
      </c>
      <c r="M5867" s="125">
        <f t="shared" ref="M5867" si="880">L5867-K5867</f>
        <v>17</v>
      </c>
      <c r="P5867" s="247">
        <v>14225</v>
      </c>
      <c r="Q5867" s="25">
        <f>170.06/1204.2</f>
        <v>0.1412223883075901</v>
      </c>
      <c r="W5867" s="285">
        <f t="shared" si="875"/>
        <v>2008.8884736754692</v>
      </c>
      <c r="X5867" s="446">
        <f t="shared" si="876"/>
        <v>8.1846950517836596</v>
      </c>
    </row>
    <row r="5868" spans="1:24" ht="15" customHeight="1">
      <c r="A5868" s="3">
        <v>43991</v>
      </c>
      <c r="B5868" s="4">
        <v>25400</v>
      </c>
      <c r="C5868" s="5">
        <v>5875</v>
      </c>
      <c r="D5868" s="5">
        <v>44225</v>
      </c>
      <c r="E5868" s="5">
        <v>75500</v>
      </c>
      <c r="F5868" s="4">
        <v>0</v>
      </c>
      <c r="G5868" s="5">
        <v>0</v>
      </c>
      <c r="H5868" s="5">
        <v>16400</v>
      </c>
      <c r="I5868" s="118">
        <f t="shared" si="834"/>
        <v>0.21721854304635763</v>
      </c>
      <c r="J5868" s="5">
        <v>45461</v>
      </c>
      <c r="K5868" s="22">
        <v>1726</v>
      </c>
      <c r="L5868" s="6">
        <v>1747</v>
      </c>
      <c r="M5868" s="125">
        <f t="shared" ref="M5868" si="881">L5868-K5868</f>
        <v>21</v>
      </c>
      <c r="P5868" s="247">
        <v>14275</v>
      </c>
      <c r="Q5868" s="25">
        <f>169.25/1197.7</f>
        <v>0.14131251565500541</v>
      </c>
      <c r="W5868" s="285">
        <f t="shared" si="875"/>
        <v>2017.2361609752022</v>
      </c>
      <c r="X5868" s="446">
        <f t="shared" si="876"/>
        <v>8.2705677867902665</v>
      </c>
    </row>
    <row r="5869" spans="1:24" ht="15" customHeight="1">
      <c r="A5869" s="3">
        <v>43992</v>
      </c>
      <c r="B5869" s="4">
        <v>25400</v>
      </c>
      <c r="C5869" s="5">
        <v>5875</v>
      </c>
      <c r="D5869" s="5">
        <v>44225</v>
      </c>
      <c r="E5869" s="5">
        <v>75500</v>
      </c>
      <c r="F5869" s="4">
        <v>0</v>
      </c>
      <c r="G5869" s="5">
        <v>0</v>
      </c>
      <c r="H5869" s="5">
        <v>16400</v>
      </c>
      <c r="I5869" s="118">
        <f t="shared" ref="I5869:I5873" si="882">H5869/E5869</f>
        <v>0.21721854304635763</v>
      </c>
      <c r="J5869" s="5">
        <v>51101</v>
      </c>
      <c r="K5869" s="22">
        <v>1736.5</v>
      </c>
      <c r="L5869" s="6">
        <v>1755.5</v>
      </c>
      <c r="M5869" s="125">
        <f t="shared" ref="M5869" si="883">L5869-K5869</f>
        <v>19</v>
      </c>
      <c r="P5869" s="247">
        <v>14275</v>
      </c>
      <c r="Q5869" s="25">
        <f>168.77/1194.4</f>
        <v>0.141301071667783</v>
      </c>
      <c r="W5869" s="285">
        <f t="shared" ref="W5869" si="884">(P5869*Q5869)*(1+U5869)</f>
        <v>2017.0727980576023</v>
      </c>
      <c r="X5869" s="446">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18">
        <f t="shared" si="882"/>
        <v>0.21695925803246108</v>
      </c>
      <c r="J5870" s="5">
        <v>50735</v>
      </c>
      <c r="K5870" s="22">
        <v>1711</v>
      </c>
      <c r="L5870" s="6">
        <v>1733.5</v>
      </c>
      <c r="M5870" s="125">
        <f t="shared" ref="M5870" si="886">L5870-K5870</f>
        <v>22.5</v>
      </c>
      <c r="P5870" s="247">
        <v>14200</v>
      </c>
      <c r="Q5870" s="25">
        <f>168.84/1192.8</f>
        <v>0.14154929577464789</v>
      </c>
      <c r="W5870" s="285">
        <f t="shared" ref="W5870:W5883" si="887">(P5870*Q5870)*(1+U5870)</f>
        <v>2010</v>
      </c>
      <c r="X5870" s="446">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18">
        <f t="shared" si="882"/>
        <v>0.36824660258534969</v>
      </c>
      <c r="J5871" s="5">
        <v>52207</v>
      </c>
      <c r="K5871" s="22">
        <v>1739.5</v>
      </c>
      <c r="L5871" s="6">
        <v>1759.5</v>
      </c>
      <c r="M5871" s="125">
        <f t="shared" ref="M5871" si="889">L5871-K5871</f>
        <v>20</v>
      </c>
      <c r="P5871" s="247">
        <v>14075</v>
      </c>
      <c r="Q5871" s="25">
        <f>170.4/1206.6</f>
        <v>0.14122327200397813</v>
      </c>
      <c r="W5871" s="285">
        <f t="shared" si="887"/>
        <v>1987.7175534559922</v>
      </c>
      <c r="X5871" s="446">
        <f t="shared" si="888"/>
        <v>8.091405576315033</v>
      </c>
    </row>
    <row r="5872" spans="1:24" ht="15" customHeight="1">
      <c r="A5872" s="3">
        <v>43997</v>
      </c>
      <c r="B5872" s="4">
        <v>25400</v>
      </c>
      <c r="C5872" s="5">
        <v>5875</v>
      </c>
      <c r="D5872" s="5">
        <v>44150</v>
      </c>
      <c r="E5872" s="5">
        <v>75425</v>
      </c>
      <c r="F5872" s="4">
        <v>0</v>
      </c>
      <c r="G5872" s="5">
        <v>0</v>
      </c>
      <c r="H5872" s="5">
        <v>27775</v>
      </c>
      <c r="I5872" s="118">
        <f t="shared" si="882"/>
        <v>0.36824660258534969</v>
      </c>
      <c r="J5872" s="5">
        <v>45890</v>
      </c>
      <c r="K5872" s="22">
        <v>1718</v>
      </c>
      <c r="L5872" s="6">
        <v>1740.5</v>
      </c>
      <c r="M5872" s="125">
        <f t="shared" ref="M5872" si="890">L5872-K5872</f>
        <v>22.5</v>
      </c>
      <c r="P5872" s="247">
        <v>14050</v>
      </c>
      <c r="Q5872" s="25">
        <f>170.71/1210.8</f>
        <v>0.14098942847703999</v>
      </c>
      <c r="W5872" s="285">
        <f t="shared" si="887"/>
        <v>1980.9014701024118</v>
      </c>
      <c r="X5872" s="446">
        <f t="shared" si="888"/>
        <v>8.1781140861466817</v>
      </c>
    </row>
    <row r="5873" spans="1:24" ht="15" customHeight="1">
      <c r="A5873" s="3">
        <v>43998</v>
      </c>
      <c r="B5873" s="4">
        <v>25400</v>
      </c>
      <c r="C5873" s="5">
        <v>5875</v>
      </c>
      <c r="D5873" s="5">
        <v>44150</v>
      </c>
      <c r="E5873" s="5">
        <v>75425</v>
      </c>
      <c r="F5873" s="4">
        <v>0</v>
      </c>
      <c r="G5873" s="5">
        <v>0</v>
      </c>
      <c r="H5873" s="5">
        <v>27775</v>
      </c>
      <c r="I5873" s="118">
        <f t="shared" si="882"/>
        <v>0.36824660258534969</v>
      </c>
      <c r="J5873" s="5">
        <v>44042</v>
      </c>
      <c r="K5873" s="22">
        <v>1760.5</v>
      </c>
      <c r="L5873" s="6">
        <v>1780.5</v>
      </c>
      <c r="M5873" s="125">
        <f t="shared" ref="M5873" si="891">L5873-K5873</f>
        <v>20</v>
      </c>
      <c r="P5873" s="247">
        <v>14075</v>
      </c>
      <c r="Q5873" s="25">
        <f>170.82/1206.6</f>
        <v>0.1415713575335654</v>
      </c>
      <c r="W5873" s="285">
        <f t="shared" si="887"/>
        <v>1992.6168572849328</v>
      </c>
      <c r="X5873" s="446">
        <f t="shared" si="888"/>
        <v>7.9948878159613743</v>
      </c>
    </row>
    <row r="5874" spans="1:24" ht="15" customHeight="1">
      <c r="A5874" s="3">
        <v>43999</v>
      </c>
      <c r="B5874" s="4">
        <v>25400</v>
      </c>
      <c r="C5874" s="5">
        <v>5875</v>
      </c>
      <c r="D5874" s="5">
        <v>44150</v>
      </c>
      <c r="E5874" s="5">
        <v>75425</v>
      </c>
      <c r="F5874" s="4">
        <v>0</v>
      </c>
      <c r="G5874" s="5">
        <v>0</v>
      </c>
      <c r="H5874" s="5">
        <v>27775</v>
      </c>
      <c r="I5874" s="118">
        <f t="shared" ref="I5874:I5883" si="892">H5874/E5874</f>
        <v>0.36824660258534969</v>
      </c>
      <c r="J5874" s="5">
        <v>56572</v>
      </c>
      <c r="K5874" s="22">
        <v>1775.5</v>
      </c>
      <c r="L5874" s="6">
        <v>1783.5</v>
      </c>
      <c r="M5874" s="125">
        <f t="shared" ref="M5874" si="893">L5874-K5874</f>
        <v>8</v>
      </c>
      <c r="P5874" s="247">
        <v>14175</v>
      </c>
      <c r="Q5874" s="25">
        <f>171.61/1214.5</f>
        <v>0.14130094689172501</v>
      </c>
      <c r="W5874" s="285">
        <f t="shared" si="887"/>
        <v>2002.9409221902019</v>
      </c>
      <c r="X5874" s="446">
        <f t="shared" si="888"/>
        <v>7.9836665727963956</v>
      </c>
    </row>
    <row r="5875" spans="1:24" ht="15" customHeight="1">
      <c r="A5875" s="3">
        <v>44000</v>
      </c>
      <c r="B5875" s="4">
        <v>25400</v>
      </c>
      <c r="C5875" s="5">
        <v>5875</v>
      </c>
      <c r="D5875" s="5">
        <v>43850</v>
      </c>
      <c r="E5875" s="5">
        <v>75125</v>
      </c>
      <c r="F5875" s="4">
        <v>0</v>
      </c>
      <c r="G5875" s="5">
        <v>300</v>
      </c>
      <c r="H5875" s="5">
        <v>27475</v>
      </c>
      <c r="I5875" s="118">
        <f t="shared" si="892"/>
        <v>0.36572379367720464</v>
      </c>
      <c r="J5875" s="5">
        <v>58775</v>
      </c>
      <c r="K5875" s="22">
        <v>1796.5</v>
      </c>
      <c r="L5875" s="6">
        <v>1811.5</v>
      </c>
      <c r="M5875" s="125">
        <f t="shared" ref="M5875" si="894">L5875-K5875</f>
        <v>15</v>
      </c>
      <c r="P5875" s="247">
        <v>14325</v>
      </c>
      <c r="Q5875" s="25">
        <f>171.27/1213</f>
        <v>0.14119538334707338</v>
      </c>
      <c r="W5875" s="285">
        <f t="shared" si="887"/>
        <v>2022.6238664468262</v>
      </c>
      <c r="X5875" s="446">
        <f t="shared" si="888"/>
        <v>7.9738380183690509</v>
      </c>
    </row>
    <row r="5876" spans="1:24" ht="15" customHeight="1">
      <c r="A5876" s="3">
        <v>44001</v>
      </c>
      <c r="B5876" s="4">
        <v>25400</v>
      </c>
      <c r="C5876" s="5">
        <v>5875</v>
      </c>
      <c r="D5876" s="5">
        <v>43825</v>
      </c>
      <c r="E5876" s="5">
        <v>75100</v>
      </c>
      <c r="F5876" s="4">
        <v>0</v>
      </c>
      <c r="G5876" s="5">
        <v>25</v>
      </c>
      <c r="H5876" s="5">
        <v>27450</v>
      </c>
      <c r="I5876" s="118">
        <f t="shared" si="892"/>
        <v>0.36551264980026632</v>
      </c>
      <c r="J5876" s="5">
        <v>42439</v>
      </c>
      <c r="K5876" s="22">
        <v>1777.5</v>
      </c>
      <c r="L5876" s="6">
        <v>1788.5</v>
      </c>
      <c r="M5876" s="125">
        <f t="shared" ref="M5876" si="895">L5876-K5876</f>
        <v>11</v>
      </c>
      <c r="P5876" s="247">
        <v>14375</v>
      </c>
      <c r="Q5876" s="25">
        <f>171.18/1212</f>
        <v>0.14123762376237625</v>
      </c>
      <c r="W5876" s="285">
        <f t="shared" si="887"/>
        <v>2030.2908415841587</v>
      </c>
      <c r="X5876" s="446">
        <f t="shared" si="888"/>
        <v>8.0872011251758096</v>
      </c>
    </row>
    <row r="5877" spans="1:24" ht="15" customHeight="1">
      <c r="A5877" s="3">
        <v>44004</v>
      </c>
      <c r="B5877" s="4">
        <v>24900</v>
      </c>
      <c r="C5877" s="5">
        <v>5875</v>
      </c>
      <c r="D5877" s="5">
        <v>43825</v>
      </c>
      <c r="E5877" s="5">
        <v>74600</v>
      </c>
      <c r="F5877" s="4">
        <v>0</v>
      </c>
      <c r="G5877" s="5">
        <v>500</v>
      </c>
      <c r="H5877" s="5">
        <v>27000</v>
      </c>
      <c r="I5877" s="118">
        <f t="shared" si="892"/>
        <v>0.36193029490616624</v>
      </c>
      <c r="J5877" s="5">
        <v>35590</v>
      </c>
      <c r="K5877" s="22">
        <v>1763.5</v>
      </c>
      <c r="L5877" s="6">
        <v>1778.5</v>
      </c>
      <c r="M5877" s="125">
        <f t="shared" ref="M5877" si="896">L5877-K5877</f>
        <v>15</v>
      </c>
      <c r="P5877" s="247">
        <v>14475</v>
      </c>
      <c r="Q5877" s="25">
        <f>171.48/1213.2</f>
        <v>0.14134520276953511</v>
      </c>
      <c r="W5877" s="285">
        <f t="shared" si="887"/>
        <v>2045.9718100890207</v>
      </c>
      <c r="X5877" s="446">
        <f t="shared" si="888"/>
        <v>8.2081088743975048</v>
      </c>
    </row>
    <row r="5878" spans="1:24" ht="15" customHeight="1">
      <c r="A5878" s="3">
        <v>44005</v>
      </c>
      <c r="B5878" s="4">
        <v>24900</v>
      </c>
      <c r="C5878" s="5">
        <v>5875</v>
      </c>
      <c r="D5878" s="5">
        <v>43800</v>
      </c>
      <c r="E5878" s="5">
        <v>74575</v>
      </c>
      <c r="F5878" s="4">
        <v>0</v>
      </c>
      <c r="G5878" s="5">
        <v>25</v>
      </c>
      <c r="H5878" s="5">
        <v>29125</v>
      </c>
      <c r="I5878" s="118">
        <f t="shared" si="892"/>
        <v>0.39054642976868925</v>
      </c>
      <c r="J5878" s="5">
        <v>33669</v>
      </c>
      <c r="K5878" s="22">
        <v>1744</v>
      </c>
      <c r="L5878" s="6">
        <v>1761.5</v>
      </c>
      <c r="M5878" s="125">
        <f t="shared" ref="M5878" si="897">L5878-K5878</f>
        <v>17.5</v>
      </c>
      <c r="P5878" s="247">
        <v>14425</v>
      </c>
      <c r="Q5878" s="25">
        <f>171.23/1210.1</f>
        <v>0.14150070242128751</v>
      </c>
      <c r="W5878" s="285">
        <f t="shared" si="887"/>
        <v>2041.1476324270723</v>
      </c>
      <c r="X5878" s="446">
        <f t="shared" si="888"/>
        <v>8.2712155963302756</v>
      </c>
    </row>
    <row r="5879" spans="1:24" ht="15" customHeight="1">
      <c r="A5879" s="3">
        <v>44006</v>
      </c>
      <c r="B5879" s="4">
        <v>24900</v>
      </c>
      <c r="C5879" s="5">
        <v>5875</v>
      </c>
      <c r="D5879" s="5">
        <v>42150</v>
      </c>
      <c r="E5879" s="5">
        <v>72925</v>
      </c>
      <c r="F5879" s="4">
        <v>0</v>
      </c>
      <c r="G5879" s="5">
        <v>1650</v>
      </c>
      <c r="H5879" s="5">
        <v>27700</v>
      </c>
      <c r="I5879" s="118">
        <f t="shared" si="892"/>
        <v>0.37984230373671579</v>
      </c>
      <c r="J5879" s="5">
        <v>35716</v>
      </c>
      <c r="K5879" s="22">
        <v>1742.5</v>
      </c>
      <c r="L5879" s="6">
        <v>1755.5</v>
      </c>
      <c r="M5879" s="125">
        <f t="shared" ref="M5879" si="898">L5879-K5879</f>
        <v>13</v>
      </c>
      <c r="P5879" s="247">
        <v>14425</v>
      </c>
      <c r="Q5879" s="25">
        <f>170.22/1202.9</f>
        <v>0.14150802227949122</v>
      </c>
      <c r="W5879" s="285">
        <f t="shared" si="887"/>
        <v>2041.2532213816608</v>
      </c>
      <c r="X5879" s="446">
        <f t="shared" si="888"/>
        <v>8.2783357245337168</v>
      </c>
    </row>
    <row r="5880" spans="1:24" ht="15" customHeight="1">
      <c r="A5880" s="3">
        <v>44007</v>
      </c>
      <c r="B5880" s="4">
        <v>24900</v>
      </c>
      <c r="C5880" s="5">
        <v>5875</v>
      </c>
      <c r="D5880" s="5">
        <v>41375</v>
      </c>
      <c r="E5880" s="5">
        <v>72150</v>
      </c>
      <c r="F5880" s="4">
        <v>0</v>
      </c>
      <c r="G5880" s="5">
        <v>775</v>
      </c>
      <c r="H5880" s="5">
        <v>26525</v>
      </c>
      <c r="I5880" s="118">
        <f t="shared" si="892"/>
        <v>0.36763686763686765</v>
      </c>
      <c r="J5880" s="5">
        <v>27814</v>
      </c>
      <c r="K5880" s="22">
        <v>1775.5</v>
      </c>
      <c r="L5880" s="6">
        <v>1789</v>
      </c>
      <c r="M5880" s="125">
        <f t="shared" ref="M5880" si="899">L5880-K5880</f>
        <v>13.5</v>
      </c>
      <c r="P5880" s="247">
        <v>14425</v>
      </c>
      <c r="Q5880" s="25">
        <f>170.33/1205.2</f>
        <v>0.1413292399601726</v>
      </c>
      <c r="W5880" s="285">
        <f t="shared" si="887"/>
        <v>2038.6742864254898</v>
      </c>
      <c r="X5880" s="446">
        <f t="shared" si="888"/>
        <v>8.1244719797240208</v>
      </c>
    </row>
    <row r="5881" spans="1:24" ht="15" customHeight="1">
      <c r="A5881" s="3">
        <v>44008</v>
      </c>
      <c r="B5881" s="4">
        <v>24625</v>
      </c>
      <c r="C5881" s="5">
        <v>5875</v>
      </c>
      <c r="D5881" s="5">
        <v>38675</v>
      </c>
      <c r="E5881" s="5">
        <v>69175</v>
      </c>
      <c r="F5881" s="4">
        <v>0</v>
      </c>
      <c r="G5881" s="5">
        <v>2975</v>
      </c>
      <c r="H5881" s="5">
        <v>23000</v>
      </c>
      <c r="I5881" s="118">
        <f t="shared" si="892"/>
        <v>0.33249006143838089</v>
      </c>
      <c r="J5881" s="5">
        <v>29988</v>
      </c>
      <c r="K5881" s="22">
        <v>1778</v>
      </c>
      <c r="L5881" s="6">
        <v>1787.5</v>
      </c>
      <c r="M5881" s="125">
        <f t="shared" ref="M5881:M5882" si="900">L5881-K5881</f>
        <v>9.5</v>
      </c>
      <c r="P5881" s="247">
        <v>14425</v>
      </c>
      <c r="Q5881" s="25">
        <f>169.33/1198.6</f>
        <v>0.14127315201067914</v>
      </c>
      <c r="W5881" s="285">
        <f t="shared" si="887"/>
        <v>2037.8652177540466</v>
      </c>
      <c r="X5881" s="446">
        <f t="shared" si="888"/>
        <v>8.1130483689538799</v>
      </c>
    </row>
    <row r="5882" spans="1:24" ht="15" customHeight="1">
      <c r="A5882" s="3">
        <v>44011</v>
      </c>
      <c r="B5882" s="4">
        <v>24625</v>
      </c>
      <c r="C5882" s="5">
        <v>5875</v>
      </c>
      <c r="D5882" s="5">
        <v>37700</v>
      </c>
      <c r="E5882" s="5">
        <v>68200</v>
      </c>
      <c r="F5882" s="4">
        <v>0</v>
      </c>
      <c r="G5882" s="5">
        <v>975</v>
      </c>
      <c r="H5882" s="5">
        <v>22225</v>
      </c>
      <c r="I5882" s="118">
        <f t="shared" si="892"/>
        <v>0.32587976539589442</v>
      </c>
      <c r="J5882" s="5">
        <v>24421</v>
      </c>
      <c r="K5882" s="22">
        <v>1783</v>
      </c>
      <c r="L5882" s="6">
        <v>1793.5</v>
      </c>
      <c r="M5882" s="125">
        <f t="shared" si="900"/>
        <v>10.5</v>
      </c>
      <c r="P5882" s="247">
        <v>14575</v>
      </c>
      <c r="Q5882" s="25">
        <f>169.66/1200.7</f>
        <v>0.14130090780378113</v>
      </c>
      <c r="W5882" s="285">
        <f t="shared" si="887"/>
        <v>2059.4607312401099</v>
      </c>
      <c r="X5882" s="446">
        <f t="shared" si="888"/>
        <v>8.1744251261918119</v>
      </c>
    </row>
    <row r="5883" spans="1:24" ht="15" customHeight="1">
      <c r="A5883" s="3">
        <v>44012</v>
      </c>
      <c r="B5883" s="4">
        <v>24625</v>
      </c>
      <c r="C5883" s="5">
        <v>5875</v>
      </c>
      <c r="D5883" s="5">
        <v>36925</v>
      </c>
      <c r="E5883" s="5">
        <v>67425</v>
      </c>
      <c r="F5883" s="4">
        <v>0</v>
      </c>
      <c r="G5883" s="5">
        <v>775</v>
      </c>
      <c r="H5883" s="5">
        <v>21450</v>
      </c>
      <c r="I5883" s="118">
        <f t="shared" si="892"/>
        <v>0.31813125695216909</v>
      </c>
      <c r="J5883" s="5">
        <v>26928</v>
      </c>
      <c r="K5883" s="22">
        <v>1788.5</v>
      </c>
      <c r="L5883" s="6">
        <v>1801.5</v>
      </c>
      <c r="M5883" s="125">
        <f t="shared" ref="M5883" si="901">L5883-K5883</f>
        <v>13</v>
      </c>
      <c r="N5883" s="381">
        <f>AVERAGE($K$5862:K5883)</f>
        <v>1739.8636363636363</v>
      </c>
      <c r="O5883" s="395">
        <f>AVERAGE($K$5750:K5883)</f>
        <v>1761.8720000000001</v>
      </c>
      <c r="P5883" s="247">
        <v>14675</v>
      </c>
      <c r="Q5883" s="25">
        <f>169.43/1198.5</f>
        <v>0.14136837713808928</v>
      </c>
      <c r="W5883" s="285">
        <f t="shared" si="887"/>
        <v>2074.58093450146</v>
      </c>
      <c r="X5883" s="446">
        <f t="shared" si="888"/>
        <v>8.2051998881744481</v>
      </c>
    </row>
    <row r="5884" spans="1:24" ht="15" customHeight="1" thickBot="1">
      <c r="A5884" s="216"/>
      <c r="B5884" s="394"/>
      <c r="C5884" s="394"/>
      <c r="D5884" s="394"/>
      <c r="E5884" s="216"/>
      <c r="F5884" s="407"/>
      <c r="G5884" s="164"/>
      <c r="H5884" s="164"/>
      <c r="I5884" s="164"/>
      <c r="J5884" s="166"/>
      <c r="K5884" s="166"/>
      <c r="L5884" s="167"/>
      <c r="M5884" s="167"/>
      <c r="N5884" s="167"/>
      <c r="O5884" s="167"/>
      <c r="P5884" s="180"/>
      <c r="Q5884" s="154"/>
      <c r="R5884" s="248"/>
      <c r="S5884" s="249"/>
      <c r="T5884" s="249"/>
      <c r="U5884" s="152"/>
      <c r="V5884" s="153">
        <f>AVERAGE(P5862:P5883)</f>
        <v>14340.90909090909</v>
      </c>
      <c r="W5884" s="390"/>
      <c r="X5884" s="447">
        <f>AVERAGE(X5862:X5883)</f>
        <v>8.2472913438179489</v>
      </c>
    </row>
    <row r="5885" spans="1:24" ht="15" customHeight="1">
      <c r="A5885" s="3">
        <v>44013</v>
      </c>
      <c r="B5885" s="4">
        <v>24625</v>
      </c>
      <c r="C5885" s="5">
        <v>5875</v>
      </c>
      <c r="D5885" s="5">
        <v>36000</v>
      </c>
      <c r="E5885" s="5">
        <v>66500</v>
      </c>
      <c r="F5885" s="4">
        <v>0</v>
      </c>
      <c r="G5885" s="5">
        <v>925</v>
      </c>
      <c r="H5885" s="5">
        <v>20525</v>
      </c>
      <c r="I5885" s="118">
        <f t="shared" ref="I5885:I5907" si="902">H5885/E5885</f>
        <v>0.30864661654135339</v>
      </c>
      <c r="J5885" s="5">
        <v>39629</v>
      </c>
      <c r="K5885" s="22">
        <v>1761</v>
      </c>
      <c r="L5885" s="6">
        <v>1773.5</v>
      </c>
      <c r="M5885" s="125">
        <f t="shared" ref="M5885" si="903">L5885-K5885</f>
        <v>12.5</v>
      </c>
      <c r="P5885" s="247">
        <v>14825</v>
      </c>
      <c r="Q5885" s="25">
        <f>169.91/1201.6</f>
        <v>0.14140312916111852</v>
      </c>
      <c r="W5885" s="285">
        <f t="shared" ref="W5885:W5899" si="904">(P5885*Q5885)*(1+U5885)</f>
        <v>2096.3013898135823</v>
      </c>
      <c r="X5885" s="446">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18">
        <f t="shared" si="902"/>
        <v>0.30129179331306993</v>
      </c>
      <c r="J5886" s="5">
        <v>52215</v>
      </c>
      <c r="K5886" s="22">
        <v>1765.5</v>
      </c>
      <c r="L5886" s="6">
        <v>1780</v>
      </c>
      <c r="M5886" s="125">
        <f t="shared" ref="M5886:M5888" si="906">L5886-K5886</f>
        <v>14.5</v>
      </c>
      <c r="P5886" s="247">
        <v>14800</v>
      </c>
      <c r="Q5886" s="25">
        <f>169.85/1201</f>
        <v>0.14142381348875938</v>
      </c>
      <c r="W5886" s="285">
        <f t="shared" si="904"/>
        <v>2093.0724396336386</v>
      </c>
      <c r="X5886" s="446">
        <f t="shared" si="905"/>
        <v>8.3828943642027749</v>
      </c>
    </row>
    <row r="5887" spans="1:24" ht="15" customHeight="1">
      <c r="A5887" s="3">
        <v>44015</v>
      </c>
      <c r="B5887" s="4">
        <v>23550</v>
      </c>
      <c r="C5887" s="5">
        <v>5875</v>
      </c>
      <c r="D5887" s="5">
        <v>34750</v>
      </c>
      <c r="E5887" s="5">
        <v>64175</v>
      </c>
      <c r="F5887" s="4">
        <v>0</v>
      </c>
      <c r="G5887" s="5">
        <v>1625</v>
      </c>
      <c r="H5887" s="5">
        <v>18525</v>
      </c>
      <c r="I5887" s="118">
        <f t="shared" si="902"/>
        <v>0.28866380989481888</v>
      </c>
      <c r="J5887" s="5">
        <v>31552</v>
      </c>
      <c r="K5887" s="22">
        <v>1756</v>
      </c>
      <c r="L5887" s="6">
        <v>1770</v>
      </c>
      <c r="M5887" s="125">
        <f t="shared" si="906"/>
        <v>14</v>
      </c>
      <c r="P5887" s="247">
        <v>14750</v>
      </c>
      <c r="Q5887" s="25">
        <f>169.9/1200.4</f>
        <v>0.14153615461512828</v>
      </c>
      <c r="W5887" s="285">
        <f t="shared" si="904"/>
        <v>2087.6582805731423</v>
      </c>
      <c r="X5887" s="446">
        <f t="shared" si="905"/>
        <v>8.3997722095671978</v>
      </c>
    </row>
    <row r="5888" spans="1:24" ht="15" customHeight="1">
      <c r="A5888" s="3">
        <v>44018</v>
      </c>
      <c r="B5888" s="4">
        <v>21950</v>
      </c>
      <c r="C5888" s="5">
        <v>5875</v>
      </c>
      <c r="D5888" s="5">
        <v>34475</v>
      </c>
      <c r="E5888" s="5">
        <v>62300</v>
      </c>
      <c r="F5888" s="4">
        <v>0</v>
      </c>
      <c r="G5888" s="5">
        <v>1875</v>
      </c>
      <c r="H5888" s="5">
        <v>16650</v>
      </c>
      <c r="I5888" s="118">
        <f t="shared" si="902"/>
        <v>0.26725521669341895</v>
      </c>
      <c r="J5888" s="5">
        <v>24159</v>
      </c>
      <c r="K5888" s="22">
        <v>1781</v>
      </c>
      <c r="L5888" s="6">
        <v>1794.5</v>
      </c>
      <c r="M5888" s="125">
        <f t="shared" si="906"/>
        <v>13.5</v>
      </c>
      <c r="P5888" s="247">
        <v>14700</v>
      </c>
      <c r="Q5888" s="25">
        <f>169.69/1196.8</f>
        <v>0.14178643048128342</v>
      </c>
      <c r="W5888" s="285">
        <f t="shared" si="904"/>
        <v>2084.2605280748662</v>
      </c>
      <c r="X5888" s="446">
        <f t="shared" si="905"/>
        <v>8.2537900056148228</v>
      </c>
    </row>
    <row r="5889" spans="1:24" ht="15" customHeight="1">
      <c r="A5889" s="3">
        <v>44019</v>
      </c>
      <c r="B5889" s="4">
        <v>21750</v>
      </c>
      <c r="C5889" s="5">
        <v>5875</v>
      </c>
      <c r="D5889" s="5">
        <v>34175</v>
      </c>
      <c r="E5889" s="5">
        <v>61800</v>
      </c>
      <c r="F5889" s="4">
        <v>0</v>
      </c>
      <c r="G5889" s="5">
        <v>500</v>
      </c>
      <c r="H5889" s="5">
        <v>16150</v>
      </c>
      <c r="I5889" s="118">
        <f t="shared" si="902"/>
        <v>0.26132686084142392</v>
      </c>
      <c r="J5889" s="5">
        <v>34993</v>
      </c>
      <c r="K5889" s="22">
        <v>1779</v>
      </c>
      <c r="L5889" s="6">
        <v>1792.5</v>
      </c>
      <c r="M5889" s="125">
        <f t="shared" ref="M5889" si="907">L5889-K5889</f>
        <v>13.5</v>
      </c>
      <c r="P5889" s="247">
        <v>14800</v>
      </c>
      <c r="Q5889" s="25">
        <f>169.69/1192.9</f>
        <v>0.14224997904266912</v>
      </c>
      <c r="W5889" s="285">
        <f t="shared" si="904"/>
        <v>2105.2996898315027</v>
      </c>
      <c r="X5889" s="446">
        <f t="shared" si="905"/>
        <v>8.319280494659921</v>
      </c>
    </row>
    <row r="5890" spans="1:24" ht="15" customHeight="1">
      <c r="A5890" s="3">
        <v>44020</v>
      </c>
      <c r="B5890" s="4">
        <v>21750</v>
      </c>
      <c r="C5890" s="5">
        <v>5875</v>
      </c>
      <c r="D5890" s="5">
        <v>34075</v>
      </c>
      <c r="E5890" s="5">
        <v>61700</v>
      </c>
      <c r="F5890" s="4">
        <v>0</v>
      </c>
      <c r="G5890" s="5">
        <v>100</v>
      </c>
      <c r="H5890" s="5">
        <v>16050</v>
      </c>
      <c r="I5890" s="118">
        <f t="shared" si="902"/>
        <v>0.26012965964343598</v>
      </c>
      <c r="J5890" s="5">
        <v>40911</v>
      </c>
      <c r="K5890" s="22">
        <v>1819.5</v>
      </c>
      <c r="L5890" s="6">
        <v>1831.5</v>
      </c>
      <c r="M5890" s="125">
        <f t="shared" ref="M5890" si="908">L5890-K5890</f>
        <v>12</v>
      </c>
      <c r="P5890" s="247">
        <v>14875</v>
      </c>
      <c r="Q5890" s="25">
        <f>170.27/1195.8</f>
        <v>0.14239003177788928</v>
      </c>
      <c r="W5890" s="285">
        <f t="shared" si="904"/>
        <v>2118.0517226961028</v>
      </c>
      <c r="X5890" s="446">
        <f t="shared" si="905"/>
        <v>8.1753228909040949</v>
      </c>
    </row>
    <row r="5891" spans="1:24" ht="15" customHeight="1">
      <c r="A5891" s="3">
        <v>44021</v>
      </c>
      <c r="B5891" s="4">
        <v>21750</v>
      </c>
      <c r="C5891" s="5">
        <v>5875</v>
      </c>
      <c r="D5891" s="5">
        <v>34100</v>
      </c>
      <c r="E5891" s="5">
        <v>61725</v>
      </c>
      <c r="F5891" s="4">
        <v>25</v>
      </c>
      <c r="G5891" s="5">
        <v>0</v>
      </c>
      <c r="H5891" s="5">
        <v>16150</v>
      </c>
      <c r="I5891" s="118">
        <f t="shared" si="902"/>
        <v>0.26164439044147431</v>
      </c>
      <c r="J5891" s="5">
        <v>47792</v>
      </c>
      <c r="K5891" s="22">
        <v>1817.5</v>
      </c>
      <c r="L5891" s="6">
        <v>1828.5</v>
      </c>
      <c r="M5891" s="125">
        <f t="shared" ref="M5891" si="909">L5891-K5891</f>
        <v>11</v>
      </c>
      <c r="P5891" s="247">
        <v>15025</v>
      </c>
      <c r="Q5891" s="25">
        <f>171.63/1202.4</f>
        <v>0.14273952095808382</v>
      </c>
      <c r="W5891" s="285">
        <f t="shared" si="904"/>
        <v>2144.6613023952095</v>
      </c>
      <c r="X5891" s="446">
        <f t="shared" si="905"/>
        <v>8.2668500687757902</v>
      </c>
    </row>
    <row r="5892" spans="1:24" ht="15" customHeight="1">
      <c r="A5892" s="3">
        <v>44022</v>
      </c>
      <c r="B5892" s="4">
        <v>21750</v>
      </c>
      <c r="C5892" s="5">
        <v>5650</v>
      </c>
      <c r="D5892" s="5">
        <v>34275</v>
      </c>
      <c r="E5892" s="5">
        <v>61675</v>
      </c>
      <c r="F5892" s="4">
        <v>0</v>
      </c>
      <c r="G5892" s="5">
        <v>50</v>
      </c>
      <c r="H5892" s="5">
        <v>16125</v>
      </c>
      <c r="I5892" s="118">
        <f t="shared" si="902"/>
        <v>0.26145115524929063</v>
      </c>
      <c r="J5892" s="5">
        <v>48797</v>
      </c>
      <c r="K5892" s="22">
        <v>1842</v>
      </c>
      <c r="L5892" s="6">
        <v>1851</v>
      </c>
      <c r="M5892" s="125">
        <f t="shared" ref="M5892" si="910">L5892-K5892</f>
        <v>9</v>
      </c>
      <c r="P5892" s="247">
        <v>15225</v>
      </c>
      <c r="Q5892" s="25">
        <f>171.01/1194.5</f>
        <v>0.14316450397655922</v>
      </c>
      <c r="W5892" s="285">
        <f t="shared" si="904"/>
        <v>2179.679573043114</v>
      </c>
      <c r="X5892" s="446">
        <f t="shared" si="905"/>
        <v>8.265472312703583</v>
      </c>
    </row>
    <row r="5893" spans="1:24" ht="15" customHeight="1">
      <c r="A5893" s="3">
        <v>44025</v>
      </c>
      <c r="B5893" s="4">
        <v>21750</v>
      </c>
      <c r="C5893" s="5">
        <v>5550</v>
      </c>
      <c r="D5893" s="5">
        <v>34075</v>
      </c>
      <c r="E5893" s="5">
        <v>61375</v>
      </c>
      <c r="F5893" s="4">
        <v>0</v>
      </c>
      <c r="G5893" s="5">
        <v>300</v>
      </c>
      <c r="H5893" s="5">
        <v>15825</v>
      </c>
      <c r="I5893" s="118">
        <f t="shared" si="902"/>
        <v>0.25784114052953155</v>
      </c>
      <c r="J5893" s="5">
        <v>61254</v>
      </c>
      <c r="K5893" s="22">
        <v>1858</v>
      </c>
      <c r="L5893" s="6">
        <v>1870</v>
      </c>
      <c r="M5893" s="125">
        <f t="shared" ref="M5893" si="911">L5893-K5893</f>
        <v>12</v>
      </c>
      <c r="P5893" s="247">
        <v>15525</v>
      </c>
      <c r="Q5893" s="25">
        <f>171.49/1200.3</f>
        <v>0.14287261517953845</v>
      </c>
      <c r="W5893" s="285">
        <f t="shared" si="904"/>
        <v>2218.0973506623345</v>
      </c>
      <c r="X5893" s="446">
        <f t="shared" si="905"/>
        <v>8.3557588805166851</v>
      </c>
    </row>
    <row r="5894" spans="1:24" ht="15" customHeight="1">
      <c r="A5894" s="3">
        <v>44026</v>
      </c>
      <c r="B5894" s="4">
        <v>21750</v>
      </c>
      <c r="C5894" s="5">
        <v>5550</v>
      </c>
      <c r="D5894" s="5">
        <v>34000</v>
      </c>
      <c r="E5894" s="5">
        <v>61300</v>
      </c>
      <c r="F5894" s="4">
        <v>0</v>
      </c>
      <c r="G5894" s="5">
        <v>75</v>
      </c>
      <c r="H5894" s="5">
        <v>15750</v>
      </c>
      <c r="I5894" s="118">
        <f t="shared" si="902"/>
        <v>0.25693311582381728</v>
      </c>
      <c r="J5894" s="5">
        <v>71714</v>
      </c>
      <c r="K5894" s="22">
        <v>1839.5</v>
      </c>
      <c r="L5894" s="6">
        <v>1858</v>
      </c>
      <c r="M5894" s="125">
        <f t="shared" ref="M5894" si="912">L5894-K5894</f>
        <v>18.5</v>
      </c>
      <c r="P5894" s="247">
        <v>15500</v>
      </c>
      <c r="Q5894" s="25">
        <f>172.1/1206.4</f>
        <v>0.14265583554376657</v>
      </c>
      <c r="W5894" s="285">
        <f t="shared" si="904"/>
        <v>2211.1654509283817</v>
      </c>
      <c r="X5894" s="446">
        <f t="shared" si="905"/>
        <v>8.426202772492525</v>
      </c>
    </row>
    <row r="5895" spans="1:24" ht="15" customHeight="1">
      <c r="A5895" s="3">
        <v>44027</v>
      </c>
      <c r="B5895" s="4">
        <v>23575</v>
      </c>
      <c r="C5895" s="5">
        <v>5500</v>
      </c>
      <c r="D5895" s="5">
        <v>34000</v>
      </c>
      <c r="E5895" s="5">
        <v>63075</v>
      </c>
      <c r="F5895" s="4">
        <v>1775</v>
      </c>
      <c r="G5895" s="5">
        <v>0</v>
      </c>
      <c r="H5895" s="5">
        <v>15700</v>
      </c>
      <c r="I5895" s="118">
        <f t="shared" si="902"/>
        <v>0.24891002774474832</v>
      </c>
      <c r="J5895" s="5">
        <v>53586</v>
      </c>
      <c r="K5895" s="22">
        <v>1836</v>
      </c>
      <c r="L5895" s="6">
        <v>1853.5</v>
      </c>
      <c r="M5895" s="125">
        <f t="shared" ref="M5895" si="913">L5895-K5895</f>
        <v>17.5</v>
      </c>
      <c r="P5895" s="247">
        <v>15425</v>
      </c>
      <c r="Q5895" s="25">
        <f>171.59/1200.7</f>
        <v>0.14290830348963104</v>
      </c>
      <c r="W5895" s="285">
        <f t="shared" si="904"/>
        <v>2204.360581327559</v>
      </c>
      <c r="X5895" s="446">
        <f t="shared" si="905"/>
        <v>8.4014161220043579</v>
      </c>
    </row>
    <row r="5896" spans="1:24" ht="15" customHeight="1">
      <c r="A5896" s="3">
        <v>44028</v>
      </c>
      <c r="B5896" s="4">
        <v>23575</v>
      </c>
      <c r="C5896" s="5">
        <v>5475</v>
      </c>
      <c r="D5896" s="5">
        <v>34000</v>
      </c>
      <c r="E5896" s="5">
        <v>63050</v>
      </c>
      <c r="F5896" s="4">
        <v>0</v>
      </c>
      <c r="G5896" s="5">
        <v>25</v>
      </c>
      <c r="H5896" s="5">
        <v>15675</v>
      </c>
      <c r="I5896" s="118">
        <f t="shared" si="902"/>
        <v>0.24861221252973831</v>
      </c>
      <c r="J5896" s="5">
        <v>41908</v>
      </c>
      <c r="K5896" s="22">
        <v>1824</v>
      </c>
      <c r="L5896" s="6">
        <v>1840.5</v>
      </c>
      <c r="M5896" s="125">
        <f t="shared" ref="M5896" si="914">L5896-K5896</f>
        <v>16.5</v>
      </c>
      <c r="P5896" s="247">
        <v>15125</v>
      </c>
      <c r="Q5896" s="25">
        <f>172.22/1204.1</f>
        <v>0.14302798770866207</v>
      </c>
      <c r="W5896" s="285">
        <f t="shared" si="904"/>
        <v>2163.2983140935139</v>
      </c>
      <c r="X5896" s="446">
        <f t="shared" si="905"/>
        <v>8.2922149122807021</v>
      </c>
    </row>
    <row r="5897" spans="1:24" ht="15" customHeight="1">
      <c r="A5897" s="3">
        <v>44029</v>
      </c>
      <c r="B5897" s="4">
        <v>23575</v>
      </c>
      <c r="C5897" s="5">
        <v>5450</v>
      </c>
      <c r="D5897" s="5">
        <v>34000</v>
      </c>
      <c r="E5897" s="5">
        <v>63025</v>
      </c>
      <c r="F5897" s="4">
        <v>0</v>
      </c>
      <c r="G5897" s="5">
        <v>25</v>
      </c>
      <c r="H5897" s="5">
        <v>15650</v>
      </c>
      <c r="I5897" s="118">
        <f t="shared" si="902"/>
        <v>0.2483141610472035</v>
      </c>
      <c r="J5897" s="5">
        <v>37575</v>
      </c>
      <c r="K5897" s="22">
        <v>1811</v>
      </c>
      <c r="L5897" s="6">
        <v>1833.5</v>
      </c>
      <c r="M5897" s="125">
        <f t="shared" ref="M5897" si="915">L5897-K5897</f>
        <v>22.5</v>
      </c>
      <c r="P5897" s="247">
        <v>14975</v>
      </c>
      <c r="Q5897" s="25">
        <f>172.02/1204</f>
        <v>0.14287375415282394</v>
      </c>
      <c r="W5897" s="285">
        <f t="shared" si="904"/>
        <v>2139.5344684385386</v>
      </c>
      <c r="X5897" s="446">
        <f t="shared" si="905"/>
        <v>8.2689122032026496</v>
      </c>
    </row>
    <row r="5898" spans="1:24" ht="15" customHeight="1">
      <c r="A5898" s="3">
        <v>44032</v>
      </c>
      <c r="B5898" s="4">
        <v>23525</v>
      </c>
      <c r="C5898" s="5">
        <v>5400</v>
      </c>
      <c r="D5898" s="5">
        <v>33975</v>
      </c>
      <c r="E5898" s="5">
        <v>62900</v>
      </c>
      <c r="F5898" s="4">
        <v>0</v>
      </c>
      <c r="G5898" s="5">
        <v>125</v>
      </c>
      <c r="H5898" s="5">
        <v>15525</v>
      </c>
      <c r="I5898" s="118">
        <f t="shared" si="902"/>
        <v>0.24682034976152623</v>
      </c>
      <c r="J5898" s="5">
        <v>35747</v>
      </c>
      <c r="K5898" s="22">
        <v>1805</v>
      </c>
      <c r="L5898" s="6">
        <v>1828</v>
      </c>
      <c r="M5898" s="125">
        <f t="shared" ref="M5898" si="916">L5898-K5898</f>
        <v>23</v>
      </c>
      <c r="P5898" s="247">
        <v>14750</v>
      </c>
      <c r="Q5898" s="25">
        <f>172.18/1203.7</f>
        <v>0.14304228628395779</v>
      </c>
      <c r="W5898" s="285">
        <f t="shared" si="904"/>
        <v>2109.8737226883773</v>
      </c>
      <c r="X5898" s="446">
        <f t="shared" si="905"/>
        <v>8.1717451523545712</v>
      </c>
    </row>
    <row r="5899" spans="1:24" ht="15" customHeight="1">
      <c r="A5899" s="3">
        <v>44033</v>
      </c>
      <c r="B5899" s="4">
        <v>24300</v>
      </c>
      <c r="C5899" s="5">
        <v>5400</v>
      </c>
      <c r="D5899" s="5">
        <v>44375</v>
      </c>
      <c r="E5899" s="5">
        <v>74075</v>
      </c>
      <c r="F5899" s="4">
        <v>11175</v>
      </c>
      <c r="G5899" s="5">
        <v>0</v>
      </c>
      <c r="H5899" s="5">
        <v>15500</v>
      </c>
      <c r="I5899" s="118">
        <f t="shared" si="902"/>
        <v>0.20924738440769491</v>
      </c>
      <c r="J5899" s="5">
        <v>35604</v>
      </c>
      <c r="K5899" s="22">
        <v>1814</v>
      </c>
      <c r="L5899" s="6">
        <v>1833.5</v>
      </c>
      <c r="M5899" s="125">
        <f t="shared" ref="M5899" si="917">L5899-K5899</f>
        <v>19.5</v>
      </c>
      <c r="P5899" s="247">
        <v>14900</v>
      </c>
      <c r="Q5899" s="25">
        <f>171.43/1198.1</f>
        <v>0.14308488440030048</v>
      </c>
      <c r="W5899" s="285">
        <f t="shared" si="904"/>
        <v>2131.9647775644771</v>
      </c>
      <c r="X5899" s="446">
        <f t="shared" si="905"/>
        <v>8.2138919514884225</v>
      </c>
    </row>
    <row r="5900" spans="1:24" ht="15" customHeight="1">
      <c r="A5900" s="3">
        <v>44034</v>
      </c>
      <c r="B5900" s="4">
        <v>25050</v>
      </c>
      <c r="C5900" s="5">
        <v>7850</v>
      </c>
      <c r="D5900" s="5">
        <v>54025</v>
      </c>
      <c r="E5900" s="5">
        <v>86925</v>
      </c>
      <c r="F5900" s="4">
        <v>12850</v>
      </c>
      <c r="G5900" s="5">
        <v>0</v>
      </c>
      <c r="H5900" s="5">
        <v>15425</v>
      </c>
      <c r="I5900" s="118">
        <f t="shared" si="902"/>
        <v>0.17745182628702905</v>
      </c>
      <c r="J5900" s="5">
        <v>47336</v>
      </c>
      <c r="K5900" s="22">
        <v>1800.5</v>
      </c>
      <c r="L5900" s="6">
        <v>1821.5</v>
      </c>
      <c r="M5900" s="125">
        <f t="shared" ref="M5900" si="918">L5900-K5900</f>
        <v>21</v>
      </c>
      <c r="P5900" s="247">
        <v>15050</v>
      </c>
      <c r="Q5900" s="25">
        <f>171.26/1193.7</f>
        <v>0.14346988355533213</v>
      </c>
      <c r="W5900" s="285">
        <f t="shared" ref="W5900:W5905" si="919">(P5900*Q5900)*(1+U5900)</f>
        <v>2159.2217475077487</v>
      </c>
      <c r="X5900" s="446">
        <f t="shared" si="905"/>
        <v>8.3587892252152187</v>
      </c>
    </row>
    <row r="5901" spans="1:24" ht="15" customHeight="1">
      <c r="A5901" s="3">
        <v>44035</v>
      </c>
      <c r="B5901" s="4">
        <v>25550</v>
      </c>
      <c r="C5901" s="5">
        <v>7825</v>
      </c>
      <c r="D5901" s="5">
        <v>64200</v>
      </c>
      <c r="E5901" s="5">
        <v>97575</v>
      </c>
      <c r="F5901" s="4">
        <v>10675</v>
      </c>
      <c r="G5901" s="5">
        <v>25</v>
      </c>
      <c r="H5901" s="5">
        <v>15500</v>
      </c>
      <c r="I5901" s="118">
        <f t="shared" si="902"/>
        <v>0.15885216500128108</v>
      </c>
      <c r="J5901" s="5">
        <v>41364</v>
      </c>
      <c r="K5901" s="22">
        <v>1794.5</v>
      </c>
      <c r="L5901" s="6">
        <v>1813</v>
      </c>
      <c r="M5901" s="125">
        <f t="shared" ref="M5901" si="920">L5901-K5901</f>
        <v>18.5</v>
      </c>
      <c r="P5901" s="247">
        <v>14875</v>
      </c>
      <c r="Q5901" s="25">
        <f>171.04/1198.5</f>
        <v>0.14271172298706716</v>
      </c>
      <c r="W5901" s="285">
        <f t="shared" si="919"/>
        <v>2122.8368794326238</v>
      </c>
      <c r="X5901" s="446">
        <f t="shared" si="905"/>
        <v>8.2892170521036501</v>
      </c>
    </row>
    <row r="5902" spans="1:24" ht="15" customHeight="1">
      <c r="A5902" s="3">
        <v>44036</v>
      </c>
      <c r="B5902" s="4">
        <v>26075</v>
      </c>
      <c r="C5902" s="5">
        <v>7825</v>
      </c>
      <c r="D5902" s="5">
        <v>73700</v>
      </c>
      <c r="E5902" s="5">
        <v>107600</v>
      </c>
      <c r="F5902" s="4">
        <v>10025</v>
      </c>
      <c r="G5902" s="5">
        <v>0</v>
      </c>
      <c r="H5902" s="5">
        <v>15550</v>
      </c>
      <c r="I5902" s="118">
        <f t="shared" si="902"/>
        <v>0.14451672862453532</v>
      </c>
      <c r="J5902" s="5">
        <v>38448</v>
      </c>
      <c r="K5902" s="22">
        <v>1808</v>
      </c>
      <c r="L5902" s="6">
        <v>1826</v>
      </c>
      <c r="M5902" s="125">
        <f t="shared" ref="M5902" si="921">L5902-K5902</f>
        <v>18</v>
      </c>
      <c r="P5902" s="247">
        <v>14925</v>
      </c>
      <c r="Q5902" s="25">
        <f>171.15/1201.3</f>
        <v>0.14247065678847914</v>
      </c>
      <c r="W5902" s="285">
        <f t="shared" si="919"/>
        <v>2126.3745525680511</v>
      </c>
      <c r="X5902" s="446">
        <f t="shared" si="905"/>
        <v>8.254977876106194</v>
      </c>
    </row>
    <row r="5903" spans="1:24" ht="15" customHeight="1">
      <c r="A5903" s="3">
        <v>44039</v>
      </c>
      <c r="B5903" s="4">
        <v>28200</v>
      </c>
      <c r="C5903" s="5">
        <v>7800</v>
      </c>
      <c r="D5903" s="5">
        <v>81700</v>
      </c>
      <c r="E5903" s="5">
        <v>117700</v>
      </c>
      <c r="F5903" s="4">
        <v>10125</v>
      </c>
      <c r="G5903" s="5">
        <v>25</v>
      </c>
      <c r="H5903" s="5">
        <v>15525</v>
      </c>
      <c r="I5903" s="118">
        <f t="shared" si="902"/>
        <v>0.13190314358538657</v>
      </c>
      <c r="J5903" s="5">
        <v>38532</v>
      </c>
      <c r="K5903" s="22">
        <v>1801</v>
      </c>
      <c r="L5903" s="6">
        <v>1813</v>
      </c>
      <c r="M5903" s="125">
        <f t="shared" ref="M5903" si="922">L5903-K5903</f>
        <v>12</v>
      </c>
      <c r="P5903" s="247">
        <v>15100</v>
      </c>
      <c r="Q5903" s="25">
        <f>170.78/1196.6</f>
        <v>0.14272104295503929</v>
      </c>
      <c r="W5903" s="285">
        <f t="shared" si="919"/>
        <v>2155.0877486210934</v>
      </c>
      <c r="X5903" s="446">
        <f t="shared" si="905"/>
        <v>8.38423098278734</v>
      </c>
    </row>
    <row r="5904" spans="1:24" ht="15" customHeight="1">
      <c r="A5904" s="3">
        <v>44040</v>
      </c>
      <c r="B5904" s="4">
        <v>28200</v>
      </c>
      <c r="C5904" s="5">
        <v>7800</v>
      </c>
      <c r="D5904" s="5">
        <v>81600</v>
      </c>
      <c r="E5904" s="5">
        <v>117600</v>
      </c>
      <c r="F5904" s="4">
        <v>0</v>
      </c>
      <c r="G5904" s="5">
        <v>100</v>
      </c>
      <c r="H5904" s="5">
        <v>15425</v>
      </c>
      <c r="I5904" s="118">
        <f t="shared" si="902"/>
        <v>0.13116496598639457</v>
      </c>
      <c r="J5904" s="5">
        <v>38163</v>
      </c>
      <c r="K5904" s="22">
        <v>1835</v>
      </c>
      <c r="L5904" s="6">
        <v>1850.5</v>
      </c>
      <c r="M5904" s="125">
        <f t="shared" ref="M5904" si="923">L5904-K5904</f>
        <v>15.5</v>
      </c>
      <c r="P5904" s="247">
        <v>15325</v>
      </c>
      <c r="Q5904" s="25">
        <f>170.75/1195.1</f>
        <v>0.1428750732156305</v>
      </c>
      <c r="W5904" s="285">
        <f t="shared" si="919"/>
        <v>2189.5604970295376</v>
      </c>
      <c r="X5904" s="446">
        <f t="shared" si="905"/>
        <v>8.3514986376021803</v>
      </c>
    </row>
    <row r="5905" spans="1:24" ht="15" customHeight="1">
      <c r="A5905" s="3">
        <v>44041</v>
      </c>
      <c r="B5905" s="4">
        <v>28200</v>
      </c>
      <c r="C5905" s="5">
        <v>7800</v>
      </c>
      <c r="D5905" s="5">
        <v>81600</v>
      </c>
      <c r="E5905" s="5">
        <v>117600</v>
      </c>
      <c r="F5905" s="4">
        <v>0</v>
      </c>
      <c r="G5905" s="5">
        <v>0</v>
      </c>
      <c r="H5905" s="5">
        <v>15875</v>
      </c>
      <c r="I5905" s="118">
        <f t="shared" si="902"/>
        <v>0.13499149659863946</v>
      </c>
      <c r="J5905" s="5">
        <v>38933</v>
      </c>
      <c r="K5905" s="22">
        <v>1847</v>
      </c>
      <c r="L5905" s="6">
        <v>1867</v>
      </c>
      <c r="M5905" s="125">
        <f t="shared" ref="M5905" si="924">L5905-K5905</f>
        <v>20</v>
      </c>
      <c r="P5905" s="247">
        <v>15450</v>
      </c>
      <c r="Q5905" s="25">
        <f>170.65/1195.2</f>
        <v>0.14277945113788487</v>
      </c>
      <c r="W5905" s="285">
        <f t="shared" si="919"/>
        <v>2205.9425200803212</v>
      </c>
      <c r="X5905" s="446">
        <f t="shared" si="905"/>
        <v>8.3649160801299409</v>
      </c>
    </row>
    <row r="5906" spans="1:24" ht="15" customHeight="1">
      <c r="A5906" s="3">
        <v>44042</v>
      </c>
      <c r="B5906" s="4">
        <v>28200</v>
      </c>
      <c r="C5906" s="5">
        <v>7800</v>
      </c>
      <c r="D5906" s="5">
        <v>81600</v>
      </c>
      <c r="E5906" s="5">
        <v>117600</v>
      </c>
      <c r="F5906" s="4">
        <v>0</v>
      </c>
      <c r="G5906" s="5">
        <v>0</v>
      </c>
      <c r="H5906" s="5">
        <v>15875</v>
      </c>
      <c r="I5906" s="118">
        <f t="shared" si="902"/>
        <v>0.13499149659863946</v>
      </c>
      <c r="J5906" s="5">
        <v>29462</v>
      </c>
      <c r="K5906" s="22">
        <v>1841.5</v>
      </c>
      <c r="L5906" s="6">
        <v>1860</v>
      </c>
      <c r="M5906" s="125">
        <f t="shared" ref="M5906" si="925">L5906-K5906</f>
        <v>18.5</v>
      </c>
      <c r="P5906" s="247">
        <v>15650</v>
      </c>
      <c r="Q5906" s="25">
        <f>170.26/1191.4</f>
        <v>0.14290750377706898</v>
      </c>
      <c r="W5906" s="285">
        <f t="shared" ref="W5906:W5907" si="926">(P5906*Q5906)*(1+U5906)</f>
        <v>2236.5024341111298</v>
      </c>
      <c r="X5906" s="446">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18">
        <f t="shared" si="902"/>
        <v>0.13523283010844142</v>
      </c>
      <c r="J5907" s="5">
        <v>38977</v>
      </c>
      <c r="K5907" s="22">
        <v>1843</v>
      </c>
      <c r="L5907" s="6">
        <v>1861</v>
      </c>
      <c r="M5907" s="125">
        <f t="shared" ref="M5907" si="928">L5907-K5907</f>
        <v>18</v>
      </c>
      <c r="N5907" s="381">
        <f>AVERAGE($K$5885:K5907)</f>
        <v>1812.1521739130435</v>
      </c>
      <c r="O5907" s="395">
        <f>AVERAGE($K$5750:K5907)</f>
        <v>1769.6858108108108</v>
      </c>
      <c r="P5907" s="247">
        <v>15600</v>
      </c>
      <c r="Q5907" s="25">
        <f>170.01/1189.1</f>
        <v>0.14297367757127238</v>
      </c>
      <c r="W5907" s="285">
        <f t="shared" si="926"/>
        <v>2230.3893701118491</v>
      </c>
      <c r="X5907" s="446">
        <f t="shared" si="927"/>
        <v>8.4644601193705906</v>
      </c>
    </row>
    <row r="5908" spans="1:24" ht="15" customHeight="1" thickBot="1">
      <c r="A5908" s="216"/>
      <c r="B5908" s="394"/>
      <c r="C5908" s="394"/>
      <c r="D5908" s="394"/>
      <c r="E5908" s="216"/>
      <c r="F5908" s="407"/>
      <c r="G5908" s="164"/>
      <c r="H5908" s="164"/>
      <c r="I5908" s="164"/>
      <c r="J5908" s="166"/>
      <c r="K5908" s="166"/>
      <c r="L5908" s="167"/>
      <c r="M5908" s="167"/>
      <c r="N5908" s="167"/>
      <c r="O5908" s="167"/>
      <c r="P5908" s="180"/>
      <c r="Q5908" s="154"/>
      <c r="R5908" s="248"/>
      <c r="S5908" s="249"/>
      <c r="T5908" s="249"/>
      <c r="U5908" s="152"/>
      <c r="V5908" s="153">
        <f>AVERAGE(P5885:P5907)</f>
        <v>15094.565217391304</v>
      </c>
      <c r="W5908" s="390"/>
      <c r="X5908" s="447">
        <f>AVERAGE(X5885:X5907)</f>
        <v>8.3295057902278735</v>
      </c>
    </row>
    <row r="5909" spans="1:24" ht="15" customHeight="1">
      <c r="A5909" s="3">
        <v>44046</v>
      </c>
      <c r="B5909" s="4">
        <v>28450</v>
      </c>
      <c r="C5909" s="5">
        <v>7725</v>
      </c>
      <c r="D5909" s="5">
        <v>81975</v>
      </c>
      <c r="E5909" s="5">
        <v>118150</v>
      </c>
      <c r="F5909" s="4">
        <v>650</v>
      </c>
      <c r="G5909" s="5">
        <v>75</v>
      </c>
      <c r="H5909" s="5">
        <v>15750</v>
      </c>
      <c r="I5909" s="118">
        <f t="shared" ref="I5909:I5928" si="929">H5909/E5909</f>
        <v>0.13330512060939484</v>
      </c>
      <c r="J5909" s="5">
        <v>42464</v>
      </c>
      <c r="K5909" s="22">
        <v>1866.5</v>
      </c>
      <c r="L5909" s="6">
        <v>1885.5</v>
      </c>
      <c r="M5909" s="125">
        <f t="shared" ref="M5909" si="930">L5909-K5909</f>
        <v>19</v>
      </c>
      <c r="P5909" s="247">
        <v>15775</v>
      </c>
      <c r="Q5909" s="25">
        <f>170.99/1193.7</f>
        <v>0.14324369607103962</v>
      </c>
      <c r="W5909" s="285">
        <f t="shared" ref="W5909:W5921" si="931">(P5909*Q5909)*(1+U5909)</f>
        <v>2259.6693055206501</v>
      </c>
      <c r="X5909" s="446">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18">
        <f t="shared" si="929"/>
        <v>0.13330512060939484</v>
      </c>
      <c r="J5910" s="5">
        <v>52526</v>
      </c>
      <c r="K5910" s="22">
        <v>1834</v>
      </c>
      <c r="L5910" s="6">
        <v>1852.5</v>
      </c>
      <c r="M5910" s="125">
        <f t="shared" ref="M5910" si="933">L5910-K5910</f>
        <v>18.5</v>
      </c>
      <c r="P5910" s="247">
        <v>15650</v>
      </c>
      <c r="Q5910" s="25">
        <f>170.86/1193.5</f>
        <v>0.14315877670716382</v>
      </c>
      <c r="W5910" s="285">
        <f t="shared" si="931"/>
        <v>2240.4348554671137</v>
      </c>
      <c r="X5910" s="446">
        <f t="shared" si="932"/>
        <v>8.5332606324972744</v>
      </c>
    </row>
    <row r="5911" spans="1:24" ht="15" customHeight="1">
      <c r="A5911" s="3">
        <v>44048</v>
      </c>
      <c r="B5911" s="4">
        <v>28450</v>
      </c>
      <c r="C5911" s="5">
        <v>7725</v>
      </c>
      <c r="D5911" s="5">
        <v>81875</v>
      </c>
      <c r="E5911" s="5">
        <v>118050</v>
      </c>
      <c r="F5911" s="4">
        <v>0</v>
      </c>
      <c r="G5911" s="5">
        <v>100</v>
      </c>
      <c r="H5911" s="5">
        <v>15650</v>
      </c>
      <c r="I5911" s="118">
        <f t="shared" si="929"/>
        <v>0.13257094451503601</v>
      </c>
      <c r="J5911" s="5">
        <v>51854</v>
      </c>
      <c r="K5911" s="22">
        <v>1889</v>
      </c>
      <c r="L5911" s="6">
        <v>1907</v>
      </c>
      <c r="M5911" s="125">
        <f t="shared" ref="M5911" si="934">L5911-K5911</f>
        <v>18</v>
      </c>
      <c r="P5911" s="247">
        <v>15800</v>
      </c>
      <c r="Q5911" s="25">
        <f>170.91/1190.3</f>
        <v>0.14358565067630011</v>
      </c>
      <c r="W5911" s="285">
        <f t="shared" si="931"/>
        <v>2268.6532806855416</v>
      </c>
      <c r="X5911" s="446">
        <f t="shared" si="932"/>
        <v>8.3642138697723656</v>
      </c>
    </row>
    <row r="5912" spans="1:24" ht="15" customHeight="1">
      <c r="A5912" s="3">
        <v>44049</v>
      </c>
      <c r="B5912" s="4">
        <v>28450</v>
      </c>
      <c r="C5912" s="5">
        <v>7725</v>
      </c>
      <c r="D5912" s="5">
        <v>81850</v>
      </c>
      <c r="E5912" s="5">
        <v>118025</v>
      </c>
      <c r="F5912" s="4">
        <v>0</v>
      </c>
      <c r="G5912" s="5">
        <v>25</v>
      </c>
      <c r="H5912" s="5">
        <v>15625</v>
      </c>
      <c r="I5912" s="118">
        <f t="shared" si="929"/>
        <v>0.13238720610040244</v>
      </c>
      <c r="J5912" s="5">
        <v>54038</v>
      </c>
      <c r="K5912" s="22">
        <v>1913</v>
      </c>
      <c r="L5912" s="6">
        <v>1931.5</v>
      </c>
      <c r="M5912" s="125">
        <f t="shared" ref="M5912" si="935">L5912-K5912</f>
        <v>18.5</v>
      </c>
      <c r="P5912" s="247">
        <v>15975</v>
      </c>
      <c r="Q5912" s="25">
        <f>170.64/1184.3</f>
        <v>0.14408511356919698</v>
      </c>
      <c r="W5912" s="285">
        <f t="shared" si="931"/>
        <v>2301.7596892679217</v>
      </c>
      <c r="X5912" s="446">
        <f t="shared" si="932"/>
        <v>8.3507579717720866</v>
      </c>
    </row>
    <row r="5913" spans="1:24" ht="15" customHeight="1">
      <c r="A5913" s="3">
        <v>44050</v>
      </c>
      <c r="B5913" s="4">
        <v>28450</v>
      </c>
      <c r="C5913" s="5">
        <v>7725</v>
      </c>
      <c r="D5913" s="5">
        <v>81850</v>
      </c>
      <c r="E5913" s="5">
        <v>118025</v>
      </c>
      <c r="F5913" s="4">
        <v>0</v>
      </c>
      <c r="G5913" s="5">
        <v>0</v>
      </c>
      <c r="H5913" s="5">
        <v>16800</v>
      </c>
      <c r="I5913" s="118">
        <f t="shared" si="929"/>
        <v>0.14234272399915271</v>
      </c>
      <c r="J5913" s="5">
        <v>41684</v>
      </c>
      <c r="K5913" s="22">
        <v>1921</v>
      </c>
      <c r="L5913" s="6">
        <v>1937</v>
      </c>
      <c r="M5913" s="125">
        <f t="shared" ref="M5913" si="936">L5913-K5913</f>
        <v>16</v>
      </c>
      <c r="P5913" s="247">
        <v>16350</v>
      </c>
      <c r="Q5913" s="25">
        <f>170.42/1185.9</f>
        <v>0.1437052027995615</v>
      </c>
      <c r="W5913" s="285">
        <f t="shared" si="931"/>
        <v>2349.5800657728305</v>
      </c>
      <c r="X5913" s="446">
        <f t="shared" si="932"/>
        <v>8.5111920874544502</v>
      </c>
    </row>
    <row r="5914" spans="1:24" ht="15" customHeight="1">
      <c r="A5914" s="3">
        <v>44053</v>
      </c>
      <c r="B5914" s="4">
        <v>28400</v>
      </c>
      <c r="C5914" s="5">
        <v>7700</v>
      </c>
      <c r="D5914" s="5">
        <v>81850</v>
      </c>
      <c r="E5914" s="5">
        <v>117950</v>
      </c>
      <c r="F5914" s="4">
        <v>0</v>
      </c>
      <c r="G5914" s="5">
        <v>75</v>
      </c>
      <c r="H5914" s="5">
        <v>16725</v>
      </c>
      <c r="I5914" s="118">
        <f t="shared" si="929"/>
        <v>0.14179737176769819</v>
      </c>
      <c r="J5914" s="5">
        <v>50576</v>
      </c>
      <c r="K5914" s="22">
        <v>1880</v>
      </c>
      <c r="L5914" s="6">
        <v>1900</v>
      </c>
      <c r="M5914" s="125">
        <f t="shared" ref="M5914" si="937">L5914-K5914</f>
        <v>20</v>
      </c>
      <c r="P5914" s="247">
        <v>16125</v>
      </c>
      <c r="Q5914" s="25">
        <f>170.37/1186.7</f>
        <v>0.14356619196089998</v>
      </c>
      <c r="W5914" s="285">
        <f t="shared" si="931"/>
        <v>2315.0048453695122</v>
      </c>
      <c r="X5914" s="446">
        <f t="shared" si="932"/>
        <v>8.5771276595744688</v>
      </c>
    </row>
    <row r="5915" spans="1:24" ht="15" customHeight="1">
      <c r="A5915" s="3">
        <v>44054</v>
      </c>
      <c r="B5915" s="4">
        <v>28400</v>
      </c>
      <c r="C5915" s="5">
        <v>7675</v>
      </c>
      <c r="D5915" s="5">
        <v>81850</v>
      </c>
      <c r="E5915" s="5">
        <v>117925</v>
      </c>
      <c r="F5915" s="4">
        <v>0</v>
      </c>
      <c r="G5915" s="5">
        <v>25</v>
      </c>
      <c r="H5915" s="5">
        <v>16700</v>
      </c>
      <c r="I5915" s="118">
        <f t="shared" si="929"/>
        <v>0.14161543353826583</v>
      </c>
      <c r="J5915" s="5">
        <v>54891</v>
      </c>
      <c r="K5915" s="22">
        <v>1901</v>
      </c>
      <c r="L5915" s="6">
        <v>1916.5</v>
      </c>
      <c r="M5915" s="125">
        <f t="shared" ref="M5915" si="938">L5915-K5915</f>
        <v>15.5</v>
      </c>
      <c r="P5915" s="247">
        <v>16100</v>
      </c>
      <c r="Q5915" s="25">
        <f>170.41/1184.9</f>
        <v>0.14381804371676934</v>
      </c>
      <c r="W5915" s="285">
        <f t="shared" si="931"/>
        <v>2315.4705038399866</v>
      </c>
      <c r="X5915" s="446">
        <f t="shared" si="932"/>
        <v>8.4692267227774849</v>
      </c>
    </row>
    <row r="5916" spans="1:24" ht="15" customHeight="1">
      <c r="A5916" s="3">
        <v>44055</v>
      </c>
      <c r="B5916" s="4">
        <v>28400</v>
      </c>
      <c r="C5916" s="5">
        <v>7550</v>
      </c>
      <c r="D5916" s="5">
        <v>81850</v>
      </c>
      <c r="E5916" s="5">
        <v>117800</v>
      </c>
      <c r="F5916" s="4">
        <v>0</v>
      </c>
      <c r="G5916" s="5">
        <v>125</v>
      </c>
      <c r="H5916" s="5">
        <v>16575</v>
      </c>
      <c r="I5916" s="118">
        <f t="shared" si="929"/>
        <v>0.14070458404074704</v>
      </c>
      <c r="J5916" s="5">
        <v>53220</v>
      </c>
      <c r="K5916" s="22">
        <v>1934</v>
      </c>
      <c r="L5916" s="6">
        <v>1954</v>
      </c>
      <c r="M5916" s="125">
        <f t="shared" ref="M5916" si="939">L5916-K5916</f>
        <v>20</v>
      </c>
      <c r="P5916" s="247">
        <v>16000</v>
      </c>
      <c r="Q5916" s="25">
        <f>170.64/1186</f>
        <v>0.1438785834738617</v>
      </c>
      <c r="W5916" s="285">
        <f t="shared" si="931"/>
        <v>2302.0573355817874</v>
      </c>
      <c r="X5916" s="446">
        <f t="shared" si="932"/>
        <v>8.2730093071354709</v>
      </c>
    </row>
    <row r="5917" spans="1:24" ht="15" customHeight="1">
      <c r="A5917" s="3">
        <v>44056</v>
      </c>
      <c r="B5917" s="4">
        <v>29400</v>
      </c>
      <c r="C5917" s="5">
        <v>7550</v>
      </c>
      <c r="D5917" s="5">
        <v>81850</v>
      </c>
      <c r="E5917" s="5">
        <v>118800</v>
      </c>
      <c r="F5917" s="4">
        <v>1000</v>
      </c>
      <c r="G5917" s="5">
        <v>0</v>
      </c>
      <c r="H5917" s="5">
        <v>17050</v>
      </c>
      <c r="I5917" s="118">
        <f t="shared" si="929"/>
        <v>0.14351851851851852</v>
      </c>
      <c r="J5917" s="5">
        <v>41079</v>
      </c>
      <c r="K5917" s="22">
        <v>1932</v>
      </c>
      <c r="L5917" s="6">
        <v>1946</v>
      </c>
      <c r="M5917" s="125">
        <f t="shared" ref="M5917" si="940">L5917-K5917</f>
        <v>14</v>
      </c>
      <c r="P5917" s="247">
        <v>15875</v>
      </c>
      <c r="Q5917" s="25">
        <f>170.66/1183.6</f>
        <v>0.14418722541399123</v>
      </c>
      <c r="W5917" s="285">
        <f t="shared" si="931"/>
        <v>2288.9722034471106</v>
      </c>
      <c r="X5917" s="446">
        <f t="shared" si="932"/>
        <v>8.2168737060041401</v>
      </c>
    </row>
    <row r="5918" spans="1:24" ht="15" customHeight="1">
      <c r="A5918" s="3">
        <v>44057</v>
      </c>
      <c r="B5918" s="4">
        <v>28875</v>
      </c>
      <c r="C5918" s="5">
        <v>7500</v>
      </c>
      <c r="D5918" s="5">
        <v>82625</v>
      </c>
      <c r="E5918" s="5">
        <v>119000</v>
      </c>
      <c r="F5918" s="4">
        <v>775</v>
      </c>
      <c r="G5918" s="5">
        <v>575</v>
      </c>
      <c r="H5918" s="5">
        <v>16375</v>
      </c>
      <c r="I5918" s="118">
        <f t="shared" si="929"/>
        <v>0.13760504201680673</v>
      </c>
      <c r="J5918" s="5">
        <v>37952</v>
      </c>
      <c r="K5918" s="22">
        <v>1946</v>
      </c>
      <c r="L5918" s="6">
        <v>1955</v>
      </c>
      <c r="M5918" s="125">
        <f t="shared" ref="M5918" si="941">L5918-K5918</f>
        <v>9</v>
      </c>
      <c r="P5918" s="247">
        <v>16050</v>
      </c>
      <c r="X5918" s="446">
        <f t="shared" si="932"/>
        <v>8.2476875642343277</v>
      </c>
    </row>
    <row r="5919" spans="1:24" ht="15" customHeight="1">
      <c r="A5919" s="3">
        <v>44060</v>
      </c>
      <c r="B5919" s="4">
        <v>29975</v>
      </c>
      <c r="C5919" s="5">
        <v>7450</v>
      </c>
      <c r="D5919" s="5">
        <v>82625</v>
      </c>
      <c r="E5919" s="5">
        <v>120050</v>
      </c>
      <c r="F5919" s="4">
        <v>1100</v>
      </c>
      <c r="G5919" s="5">
        <v>50</v>
      </c>
      <c r="H5919" s="5">
        <v>15775</v>
      </c>
      <c r="I5919" s="118">
        <f t="shared" si="929"/>
        <v>0.13140358184089962</v>
      </c>
      <c r="J5919" s="5">
        <v>35344</v>
      </c>
      <c r="K5919" s="22">
        <v>1956.5</v>
      </c>
      <c r="L5919" s="6">
        <v>1973.5</v>
      </c>
      <c r="M5919" s="125">
        <f t="shared" ref="M5919" si="942">L5919-K5919</f>
        <v>17</v>
      </c>
      <c r="P5919" s="247">
        <v>16100</v>
      </c>
      <c r="Q5919" s="25">
        <f>170.76/1185.8</f>
        <v>0.14400404790015178</v>
      </c>
      <c r="W5919" s="285">
        <f t="shared" si="931"/>
        <v>2318.4651711924439</v>
      </c>
      <c r="X5919" s="446">
        <f t="shared" si="932"/>
        <v>8.2289803220035775</v>
      </c>
    </row>
    <row r="5920" spans="1:24" ht="15" customHeight="1">
      <c r="A5920" s="3">
        <v>44061</v>
      </c>
      <c r="B5920" s="4">
        <v>30225</v>
      </c>
      <c r="C5920" s="5">
        <v>7425</v>
      </c>
      <c r="D5920" s="5">
        <v>82925</v>
      </c>
      <c r="E5920" s="5">
        <v>120575</v>
      </c>
      <c r="F5920" s="4">
        <v>550</v>
      </c>
      <c r="G5920" s="5">
        <v>25</v>
      </c>
      <c r="H5920" s="5">
        <v>15750</v>
      </c>
      <c r="I5920" s="118">
        <f t="shared" si="929"/>
        <v>0.13062409288824384</v>
      </c>
      <c r="J5920" s="5">
        <v>46551</v>
      </c>
      <c r="K5920" s="22">
        <v>1964</v>
      </c>
      <c r="L5920" s="6">
        <v>1981</v>
      </c>
      <c r="M5920" s="125">
        <f t="shared" ref="M5920" si="943">L5920-K5920</f>
        <v>17</v>
      </c>
      <c r="P5920" s="247">
        <v>16100</v>
      </c>
      <c r="Q5920" s="25">
        <f>171.1/1185.1</f>
        <v>0.14437600202514556</v>
      </c>
      <c r="W5920" s="285">
        <f t="shared" si="931"/>
        <v>2324.4536326048433</v>
      </c>
      <c r="X5920" s="446">
        <f t="shared" si="932"/>
        <v>8.1975560081466394</v>
      </c>
    </row>
    <row r="5921" spans="1:24" ht="15" customHeight="1">
      <c r="A5921" s="3">
        <v>44062</v>
      </c>
      <c r="B5921" s="4">
        <v>31725</v>
      </c>
      <c r="C5921" s="5">
        <v>7425</v>
      </c>
      <c r="D5921" s="5">
        <v>83325</v>
      </c>
      <c r="E5921" s="5">
        <v>122475</v>
      </c>
      <c r="F5921" s="4">
        <v>1900</v>
      </c>
      <c r="G5921" s="5">
        <v>0</v>
      </c>
      <c r="H5921" s="5">
        <v>15750</v>
      </c>
      <c r="I5921" s="118">
        <f t="shared" si="929"/>
        <v>0.12859767299448868</v>
      </c>
      <c r="J5921" s="5">
        <v>65355</v>
      </c>
      <c r="K5921" s="22">
        <v>1994</v>
      </c>
      <c r="L5921" s="6">
        <v>2014.5</v>
      </c>
      <c r="M5921" s="125">
        <f t="shared" ref="M5921:M5922" si="944">L5921-K5921</f>
        <v>20.5</v>
      </c>
      <c r="P5921" s="247">
        <v>16050</v>
      </c>
      <c r="Q5921" s="25">
        <f>171.1/1182.3</f>
        <v>0.14471792269305592</v>
      </c>
      <c r="W5921" s="285">
        <f t="shared" si="931"/>
        <v>2322.7226592235475</v>
      </c>
      <c r="X5921" s="446">
        <f t="shared" si="932"/>
        <v>8.0491474423269818</v>
      </c>
    </row>
    <row r="5922" spans="1:24" ht="15" customHeight="1">
      <c r="A5922" s="3">
        <v>44063</v>
      </c>
      <c r="B5922" s="4">
        <v>33725</v>
      </c>
      <c r="C5922" s="5">
        <v>7425</v>
      </c>
      <c r="D5922" s="5">
        <v>84425</v>
      </c>
      <c r="E5922" s="5">
        <v>125575</v>
      </c>
      <c r="F5922" s="4">
        <v>3100</v>
      </c>
      <c r="G5922" s="5">
        <v>0</v>
      </c>
      <c r="H5922" s="5">
        <v>17375</v>
      </c>
      <c r="I5922" s="118">
        <f t="shared" si="929"/>
        <v>0.13836352777224767</v>
      </c>
      <c r="J5922" s="5">
        <v>49157</v>
      </c>
      <c r="K5922" s="22">
        <v>1964</v>
      </c>
      <c r="L5922" s="6">
        <v>1985</v>
      </c>
      <c r="M5922" s="125">
        <f t="shared" si="944"/>
        <v>21</v>
      </c>
      <c r="P5922" s="247">
        <v>16050</v>
      </c>
      <c r="Q5922" s="25">
        <f>171.55/1186.3</f>
        <v>0.14460928938717021</v>
      </c>
      <c r="W5922" s="285">
        <f t="shared" ref="W5922:W5928" si="945">(P5922*Q5922)*(1+U5922)</f>
        <v>2320.9790946640819</v>
      </c>
      <c r="X5922" s="446">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18">
        <f t="shared" si="929"/>
        <v>8.9189727254628703E-2</v>
      </c>
      <c r="J5923" s="5">
        <v>54579</v>
      </c>
      <c r="K5923" s="22">
        <v>1965</v>
      </c>
      <c r="L5923" s="6">
        <v>1985.5</v>
      </c>
      <c r="M5923" s="125">
        <f t="shared" ref="M5923" si="947">L5923-K5923</f>
        <v>20.5</v>
      </c>
      <c r="P5923" s="247">
        <v>15950</v>
      </c>
      <c r="Q5923" s="25">
        <f>171.75/1185.3</f>
        <v>0.14490002531004809</v>
      </c>
      <c r="W5923" s="285">
        <f t="shared" si="945"/>
        <v>2311.1554036952671</v>
      </c>
      <c r="X5923" s="446">
        <f t="shared" si="946"/>
        <v>8.117048346055979</v>
      </c>
    </row>
    <row r="5924" spans="1:24" ht="15" customHeight="1">
      <c r="A5924" s="3">
        <v>44067</v>
      </c>
      <c r="B5924" s="4">
        <v>33725</v>
      </c>
      <c r="C5924" s="5">
        <v>7375</v>
      </c>
      <c r="D5924" s="5">
        <v>84425</v>
      </c>
      <c r="E5924" s="5">
        <v>125525</v>
      </c>
      <c r="F5924" s="4">
        <v>0</v>
      </c>
      <c r="G5924" s="5">
        <v>50</v>
      </c>
      <c r="H5924" s="5">
        <v>11150</v>
      </c>
      <c r="I5924" s="118">
        <f t="shared" si="929"/>
        <v>8.8826926906990636E-2</v>
      </c>
      <c r="J5924" s="5">
        <v>49857</v>
      </c>
      <c r="K5924" s="22">
        <v>1960</v>
      </c>
      <c r="L5924" s="6">
        <v>1982.5</v>
      </c>
      <c r="M5924" s="125">
        <f t="shared" ref="M5924" si="948">L5924-K5924</f>
        <v>22.5</v>
      </c>
      <c r="P5924" s="247">
        <v>15975</v>
      </c>
      <c r="Q5924" s="25">
        <f>172.09/1190</f>
        <v>0.14461344537815127</v>
      </c>
      <c r="W5924" s="285">
        <f t="shared" si="945"/>
        <v>2310.1997899159664</v>
      </c>
      <c r="X5924" s="446">
        <f t="shared" si="946"/>
        <v>8.1505102040816322</v>
      </c>
    </row>
    <row r="5925" spans="1:24" ht="15" customHeight="1">
      <c r="A5925" s="3">
        <v>44068</v>
      </c>
      <c r="B5925" s="4">
        <v>33525</v>
      </c>
      <c r="C5925" s="5">
        <v>7375</v>
      </c>
      <c r="D5925" s="5">
        <v>84400</v>
      </c>
      <c r="E5925" s="5">
        <v>125300</v>
      </c>
      <c r="F5925" s="4">
        <v>0</v>
      </c>
      <c r="G5925" s="5">
        <v>225</v>
      </c>
      <c r="H5925" s="5">
        <v>10925</v>
      </c>
      <c r="I5925" s="118">
        <f t="shared" si="929"/>
        <v>8.7190742218675177E-2</v>
      </c>
      <c r="J5925" s="5">
        <v>31972</v>
      </c>
      <c r="K5925" s="22">
        <v>1984.5</v>
      </c>
      <c r="L5925" s="6">
        <v>2005</v>
      </c>
      <c r="M5925" s="125">
        <f t="shared" ref="M5925" si="949">L5925-K5925</f>
        <v>20.5</v>
      </c>
      <c r="P5925" s="247">
        <v>15975</v>
      </c>
      <c r="Q5925" s="25">
        <f>171.75/1186.3</f>
        <v>0.14477788080586698</v>
      </c>
      <c r="W5925" s="285">
        <f t="shared" si="945"/>
        <v>2312.8266458737248</v>
      </c>
      <c r="X5925" s="446">
        <f t="shared" si="946"/>
        <v>8.0498866213151921</v>
      </c>
    </row>
    <row r="5926" spans="1:24" ht="15" customHeight="1">
      <c r="A5926" s="3">
        <v>44069</v>
      </c>
      <c r="B5926" s="4">
        <v>33525</v>
      </c>
      <c r="C5926" s="5">
        <v>7375</v>
      </c>
      <c r="D5926" s="5">
        <v>84400</v>
      </c>
      <c r="E5926" s="5">
        <v>125300</v>
      </c>
      <c r="F5926" s="4">
        <v>0</v>
      </c>
      <c r="G5926" s="5">
        <v>0</v>
      </c>
      <c r="H5926" s="5">
        <v>10925</v>
      </c>
      <c r="I5926" s="118">
        <f t="shared" si="929"/>
        <v>8.7190742218675177E-2</v>
      </c>
      <c r="J5926" s="5">
        <v>31440</v>
      </c>
      <c r="K5926" s="22">
        <v>1969</v>
      </c>
      <c r="L5926" s="6">
        <v>1994.5</v>
      </c>
      <c r="M5926" s="125">
        <f t="shared" ref="M5926" si="950">L5926-K5926</f>
        <v>25.5</v>
      </c>
      <c r="P5926" s="247">
        <v>15800</v>
      </c>
      <c r="Q5926" s="25">
        <f>172.04/1187</f>
        <v>0.14493681550126369</v>
      </c>
      <c r="W5926" s="285">
        <f t="shared" si="945"/>
        <v>2290.0016849199665</v>
      </c>
      <c r="X5926" s="446">
        <f t="shared" si="946"/>
        <v>8.0243778567800916</v>
      </c>
    </row>
    <row r="5927" spans="1:24" ht="15" customHeight="1">
      <c r="A5927" s="3">
        <v>44070</v>
      </c>
      <c r="B5927" s="4">
        <v>33525</v>
      </c>
      <c r="C5927" s="5">
        <v>7275</v>
      </c>
      <c r="D5927" s="5">
        <v>84400</v>
      </c>
      <c r="E5927" s="5">
        <v>125200</v>
      </c>
      <c r="F5927" s="4">
        <v>0</v>
      </c>
      <c r="G5927" s="5">
        <v>100</v>
      </c>
      <c r="H5927" s="5">
        <v>10925</v>
      </c>
      <c r="I5927" s="118">
        <f t="shared" si="929"/>
        <v>8.7260383386581472E-2</v>
      </c>
      <c r="J5927" s="5">
        <v>36313</v>
      </c>
      <c r="K5927" s="22">
        <v>1954</v>
      </c>
      <c r="L5927" s="6">
        <v>1977.5</v>
      </c>
      <c r="M5927" s="125">
        <f t="shared" ref="M5927" si="951">L5927-K5927</f>
        <v>23.5</v>
      </c>
      <c r="P5927" s="247">
        <v>15800</v>
      </c>
      <c r="Q5927" s="25">
        <f>172.34/1185.7</f>
        <v>0.14534873914143542</v>
      </c>
      <c r="W5927" s="285">
        <f t="shared" si="945"/>
        <v>2296.5100784346796</v>
      </c>
      <c r="X5927" s="446">
        <f t="shared" si="946"/>
        <v>8.0859774820880244</v>
      </c>
    </row>
    <row r="5928" spans="1:24" ht="15" customHeight="1">
      <c r="A5928" s="3">
        <v>44071</v>
      </c>
      <c r="B5928" s="4">
        <v>33775</v>
      </c>
      <c r="C5928" s="5">
        <v>7250</v>
      </c>
      <c r="D5928" s="5">
        <v>84400</v>
      </c>
      <c r="E5928" s="5">
        <v>125425</v>
      </c>
      <c r="F5928" s="4">
        <v>250</v>
      </c>
      <c r="G5928" s="5">
        <v>25</v>
      </c>
      <c r="H5928" s="5">
        <v>12075</v>
      </c>
      <c r="I5928" s="118">
        <f t="shared" si="929"/>
        <v>9.6272672912098858E-2</v>
      </c>
      <c r="J5928" s="5">
        <v>28921</v>
      </c>
      <c r="K5928" s="22">
        <v>1976.5</v>
      </c>
      <c r="L5928" s="6">
        <v>2003</v>
      </c>
      <c r="M5928" s="125">
        <f t="shared" ref="M5928" si="952">L5928-K5928</f>
        <v>26.5</v>
      </c>
      <c r="P5928" s="247">
        <v>15750</v>
      </c>
      <c r="Q5928" s="25">
        <f>172.31/1185.1</f>
        <v>0.14539701291030294</v>
      </c>
      <c r="W5928" s="285">
        <f t="shared" si="945"/>
        <v>2290.0029533372713</v>
      </c>
      <c r="X5928" s="446">
        <f t="shared" si="946"/>
        <v>7.9686314191753098</v>
      </c>
    </row>
    <row r="5929" spans="1:24" ht="15" customHeight="1">
      <c r="A5929" s="3">
        <v>44074</v>
      </c>
      <c r="B5929" s="1318" t="s">
        <v>61</v>
      </c>
      <c r="C5929" s="1318"/>
      <c r="D5929" s="1318"/>
      <c r="E5929" s="1318"/>
      <c r="F5929" s="1318"/>
      <c r="G5929" s="1318"/>
      <c r="H5929" s="1318"/>
      <c r="I5929" s="1318"/>
      <c r="J5929" s="1318"/>
      <c r="K5929" s="1318"/>
      <c r="L5929" s="1318"/>
      <c r="M5929" s="1318"/>
      <c r="N5929" s="381">
        <f>AVERAGE($K$5909:K5929)</f>
        <v>1935.2</v>
      </c>
      <c r="O5929" s="395">
        <f>AVERAGE($K$5750:K5929)</f>
        <v>1789.389880952381</v>
      </c>
      <c r="P5929" s="247">
        <v>15675</v>
      </c>
      <c r="Q5929" s="25">
        <f>172.74/1183.3</f>
        <v>0.14598157694582947</v>
      </c>
      <c r="X5929" s="446"/>
    </row>
    <row r="5930" spans="1:24" ht="15" customHeight="1" thickBot="1">
      <c r="A5930" s="216"/>
      <c r="B5930" s="394"/>
      <c r="C5930" s="394"/>
      <c r="D5930" s="394"/>
      <c r="E5930" s="216"/>
      <c r="F5930" s="407"/>
      <c r="G5930" s="164"/>
      <c r="H5930" s="164"/>
      <c r="I5930" s="164"/>
      <c r="J5930" s="166"/>
      <c r="K5930" s="166"/>
      <c r="L5930" s="167"/>
      <c r="M5930" s="167"/>
      <c r="N5930" s="167"/>
      <c r="O5930" s="167"/>
      <c r="P5930" s="180"/>
      <c r="Q5930" s="154"/>
      <c r="R5930" s="248"/>
      <c r="S5930" s="249"/>
      <c r="T5930" s="249"/>
      <c r="U5930" s="152"/>
      <c r="V5930" s="153">
        <f>AVERAGE(P5909:P5929)</f>
        <v>15948.809523809523</v>
      </c>
      <c r="W5930" s="390"/>
      <c r="X5930" s="447">
        <f>AVERAGE(X5909:X5929)</f>
        <v>8.2519605225696804</v>
      </c>
    </row>
    <row r="5931" spans="1:24" ht="15" customHeight="1">
      <c r="A5931" s="3">
        <v>44075</v>
      </c>
      <c r="B5931" s="4">
        <v>33775</v>
      </c>
      <c r="C5931" s="5">
        <v>7250</v>
      </c>
      <c r="D5931" s="5">
        <v>83875</v>
      </c>
      <c r="E5931" s="5">
        <v>124900</v>
      </c>
      <c r="F5931" s="4">
        <v>0</v>
      </c>
      <c r="G5931" s="5">
        <v>525</v>
      </c>
      <c r="H5931" s="5">
        <v>11550</v>
      </c>
      <c r="I5931" s="118">
        <f t="shared" ref="I5931" si="953">H5931/E5931</f>
        <v>9.2473979183346683E-2</v>
      </c>
      <c r="J5931" s="5">
        <v>46010</v>
      </c>
      <c r="K5931" s="22">
        <v>1984</v>
      </c>
      <c r="L5931" s="6">
        <v>2009.5</v>
      </c>
      <c r="M5931" s="125">
        <f t="shared" ref="M5931" si="954">L5931-K5931</f>
        <v>25.5</v>
      </c>
      <c r="P5931" s="247">
        <v>15850</v>
      </c>
      <c r="Q5931" s="25">
        <f>173.48/1184.6</f>
        <v>0.14644605774100963</v>
      </c>
      <c r="W5931" s="285">
        <f t="shared" ref="W5931" si="955">(P5931*Q5931)*(1+U5931)</f>
        <v>2321.1700151950026</v>
      </c>
      <c r="X5931" s="446">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18">
        <f t="shared" ref="I5932:I5952" si="957">H5932/E5932</f>
        <v>9.0266558966074315E-2</v>
      </c>
      <c r="J5932" s="5">
        <v>65892</v>
      </c>
      <c r="K5932" s="22">
        <v>1951</v>
      </c>
      <c r="L5932" s="6">
        <v>1979</v>
      </c>
      <c r="M5932" s="125">
        <f t="shared" ref="M5932" si="958">L5932-K5932</f>
        <v>28</v>
      </c>
      <c r="N5932" t="s">
        <v>52</v>
      </c>
      <c r="P5932" s="247">
        <v>15800</v>
      </c>
      <c r="Q5932" s="25">
        <f>173.67/1186.2</f>
        <v>0.14640870005058168</v>
      </c>
      <c r="W5932" s="285">
        <f t="shared" ref="W5932" si="959">(P5932*Q5932)*(1+U5932)</f>
        <v>2313.2574607991905</v>
      </c>
      <c r="X5932" s="446">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18">
        <f t="shared" si="957"/>
        <v>8.9531123686337921E-2</v>
      </c>
      <c r="J5933" s="5">
        <v>46770</v>
      </c>
      <c r="K5933" s="22">
        <v>1912</v>
      </c>
      <c r="L5933" s="6">
        <v>1939.5</v>
      </c>
      <c r="M5933" s="125">
        <f t="shared" ref="M5933" si="961">L5933-K5933</f>
        <v>27.5</v>
      </c>
      <c r="P5933" s="247">
        <v>15800</v>
      </c>
      <c r="Q5933" s="25">
        <f>173.69/1187.5</f>
        <v>0.14626526315789473</v>
      </c>
      <c r="W5933" s="285">
        <f t="shared" ref="W5933" si="962">(P5933*Q5933)*(1+U5933)</f>
        <v>2310.9911578947367</v>
      </c>
      <c r="X5933" s="446">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18">
        <f t="shared" si="957"/>
        <v>0.10355987055016182</v>
      </c>
      <c r="J5934" s="5">
        <v>46816</v>
      </c>
      <c r="K5934" s="22">
        <v>1940</v>
      </c>
      <c r="L5934" s="6">
        <v>1961.5</v>
      </c>
      <c r="M5934" s="125">
        <f t="shared" ref="M5934" si="964">L5934-K5934</f>
        <v>21.5</v>
      </c>
      <c r="P5934" s="247">
        <v>15500</v>
      </c>
      <c r="Q5934" s="25">
        <f>173.9/1190.2</f>
        <v>0.14610989749621911</v>
      </c>
      <c r="W5934" s="285">
        <f t="shared" ref="W5934:W5944" si="965">(P5934*Q5934)*(1+U5934)</f>
        <v>2264.7034111913963</v>
      </c>
      <c r="X5934" s="446">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18">
        <f t="shared" si="957"/>
        <v>0.11333738109694394</v>
      </c>
      <c r="J5935" s="5">
        <v>26855</v>
      </c>
      <c r="K5935" s="22">
        <v>1961.5</v>
      </c>
      <c r="L5935" s="6">
        <v>1986.5</v>
      </c>
      <c r="M5935" s="125">
        <f t="shared" ref="M5935" si="967">L5935-K5935</f>
        <v>25</v>
      </c>
      <c r="P5935" s="247">
        <v>15575</v>
      </c>
      <c r="Q5935" s="25">
        <f>173.88/1188</f>
        <v>0.14636363636363636</v>
      </c>
      <c r="W5935" s="285">
        <f t="shared" si="965"/>
        <v>2279.6136363636365</v>
      </c>
      <c r="X5935" s="446">
        <f t="shared" si="966"/>
        <v>7.9403517716033649</v>
      </c>
    </row>
    <row r="5936" spans="1:24" ht="15" customHeight="1">
      <c r="A5936" s="3">
        <v>44082</v>
      </c>
      <c r="B5936" s="4">
        <v>33650</v>
      </c>
      <c r="C5936" s="5">
        <v>7200</v>
      </c>
      <c r="D5936" s="5">
        <v>82450</v>
      </c>
      <c r="E5936" s="5">
        <v>123300</v>
      </c>
      <c r="F5936" s="4">
        <v>0</v>
      </c>
      <c r="G5936" s="5">
        <v>225</v>
      </c>
      <c r="H5936" s="5">
        <v>17625</v>
      </c>
      <c r="I5936" s="118">
        <f t="shared" si="957"/>
        <v>0.14294403892944038</v>
      </c>
      <c r="J5936" s="5">
        <v>19899</v>
      </c>
      <c r="K5936" s="22">
        <v>1925</v>
      </c>
      <c r="L5936" s="6">
        <v>1952.5</v>
      </c>
      <c r="M5936" s="125">
        <f t="shared" ref="M5936:M5937" si="968">L5936-K5936</f>
        <v>27.5</v>
      </c>
      <c r="P5936" s="247">
        <v>15575</v>
      </c>
      <c r="Q5936" s="25">
        <f>173.8/1187.9</f>
        <v>0.14630861183601312</v>
      </c>
      <c r="W5936" s="285">
        <f t="shared" si="965"/>
        <v>2278.7566293459045</v>
      </c>
      <c r="X5936" s="446">
        <f t="shared" si="966"/>
        <v>8.0909090909090917</v>
      </c>
    </row>
    <row r="5937" spans="1:24" ht="15" customHeight="1">
      <c r="A5937" s="3">
        <v>44083</v>
      </c>
      <c r="B5937" s="4">
        <v>34650</v>
      </c>
      <c r="C5937" s="5">
        <v>7125</v>
      </c>
      <c r="D5937" s="5">
        <v>81450</v>
      </c>
      <c r="E5937" s="5">
        <v>123225</v>
      </c>
      <c r="F5937" s="4">
        <v>0</v>
      </c>
      <c r="G5937" s="5">
        <v>75</v>
      </c>
      <c r="H5937" s="5">
        <v>16625</v>
      </c>
      <c r="I5937" s="118">
        <f t="shared" si="957"/>
        <v>0.13491580442280382</v>
      </c>
      <c r="J5937" s="5">
        <v>62446</v>
      </c>
      <c r="K5937" s="22">
        <v>1888</v>
      </c>
      <c r="L5937" s="6">
        <v>1915.5</v>
      </c>
      <c r="M5937" s="125">
        <f t="shared" si="968"/>
        <v>27.5</v>
      </c>
      <c r="P5937" s="247">
        <v>15300</v>
      </c>
      <c r="Q5937" s="25">
        <f>173.59/1189.6</f>
        <v>0.14592299932750505</v>
      </c>
      <c r="W5937" s="285">
        <f t="shared" si="965"/>
        <v>2232.6218897108274</v>
      </c>
      <c r="X5937" s="446">
        <f t="shared" si="966"/>
        <v>8.1038135593220346</v>
      </c>
    </row>
    <row r="5938" spans="1:24" ht="15" customHeight="1">
      <c r="A5938" s="3">
        <v>44084</v>
      </c>
      <c r="B5938" s="4">
        <v>34650</v>
      </c>
      <c r="C5938" s="5">
        <v>7125</v>
      </c>
      <c r="D5938" s="5">
        <v>89975</v>
      </c>
      <c r="E5938" s="5">
        <v>131750</v>
      </c>
      <c r="F5938" s="4">
        <v>8525</v>
      </c>
      <c r="G5938" s="5">
        <v>0</v>
      </c>
      <c r="H5938" s="5">
        <v>16900</v>
      </c>
      <c r="I5938" s="118">
        <f t="shared" si="957"/>
        <v>0.12827324478178367</v>
      </c>
      <c r="J5938" s="5">
        <v>43760</v>
      </c>
      <c r="K5938" s="22">
        <v>1859</v>
      </c>
      <c r="L5938" s="6">
        <v>1882.5</v>
      </c>
      <c r="M5938" s="125">
        <f t="shared" ref="M5938" si="969">L5938-K5938</f>
        <v>23.5</v>
      </c>
      <c r="P5938" s="247">
        <v>15125</v>
      </c>
      <c r="Q5938" s="25">
        <f>173.39/1185.3</f>
        <v>0.14628364127225174</v>
      </c>
      <c r="W5938" s="285">
        <f t="shared" si="965"/>
        <v>2212.5400742428078</v>
      </c>
      <c r="X5938" s="446">
        <f t="shared" si="966"/>
        <v>8.1360946745562135</v>
      </c>
    </row>
    <row r="5939" spans="1:24" ht="15" customHeight="1">
      <c r="A5939" s="3">
        <v>44085</v>
      </c>
      <c r="B5939" s="4">
        <v>34650</v>
      </c>
      <c r="C5939" s="5">
        <v>7100</v>
      </c>
      <c r="D5939" s="5">
        <v>89475</v>
      </c>
      <c r="E5939" s="5">
        <v>131225</v>
      </c>
      <c r="F5939" s="4">
        <v>0</v>
      </c>
      <c r="G5939" s="5">
        <v>525</v>
      </c>
      <c r="H5939" s="5">
        <v>17375</v>
      </c>
      <c r="I5939" s="118">
        <f t="shared" si="957"/>
        <v>0.13240617260430559</v>
      </c>
      <c r="J5939" s="5">
        <v>50707</v>
      </c>
      <c r="K5939" s="22">
        <v>1869</v>
      </c>
      <c r="L5939" s="6">
        <v>1900</v>
      </c>
      <c r="M5939" s="125">
        <f t="shared" ref="M5939" si="970">L5939-K5939</f>
        <v>31</v>
      </c>
      <c r="P5939" s="247">
        <v>14975</v>
      </c>
      <c r="Q5939" s="25">
        <f>173.45/1184.2</f>
        <v>0.14647019084614085</v>
      </c>
      <c r="W5939" s="285">
        <f t="shared" si="965"/>
        <v>2193.3911079209593</v>
      </c>
      <c r="X5939" s="446">
        <f t="shared" si="966"/>
        <v>8.0123060460139115</v>
      </c>
    </row>
    <row r="5940" spans="1:24" ht="15" customHeight="1">
      <c r="A5940" s="3">
        <v>44088</v>
      </c>
      <c r="B5940" s="4">
        <v>34575</v>
      </c>
      <c r="C5940" s="5">
        <v>7100</v>
      </c>
      <c r="D5940" s="5">
        <v>88975</v>
      </c>
      <c r="E5940" s="5">
        <v>130650</v>
      </c>
      <c r="F5940" s="4">
        <v>0</v>
      </c>
      <c r="G5940" s="5">
        <v>575</v>
      </c>
      <c r="H5940" s="5">
        <v>16800</v>
      </c>
      <c r="I5940" s="118">
        <f t="shared" si="957"/>
        <v>0.12858783008036739</v>
      </c>
      <c r="J5940" s="5">
        <v>40651</v>
      </c>
      <c r="K5940" s="22">
        <v>1873.5</v>
      </c>
      <c r="L5940" s="6">
        <v>1900</v>
      </c>
      <c r="M5940" s="125">
        <f t="shared" ref="M5940:M5943" si="971">L5940-K5940</f>
        <v>26.5</v>
      </c>
      <c r="P5940" s="247">
        <v>14950</v>
      </c>
      <c r="Q5940" s="25">
        <f>173.81/1188.3</f>
        <v>0.14626777749726499</v>
      </c>
      <c r="W5940" s="285">
        <f t="shared" si="965"/>
        <v>2186.7032735841117</v>
      </c>
      <c r="X5940" s="446">
        <f t="shared" si="966"/>
        <v>7.9797171070189483</v>
      </c>
    </row>
    <row r="5941" spans="1:24" ht="15" customHeight="1">
      <c r="A5941" s="3">
        <v>44089</v>
      </c>
      <c r="B5941" s="4">
        <v>34800</v>
      </c>
      <c r="C5941" s="5">
        <v>7075</v>
      </c>
      <c r="D5941" s="5">
        <v>88475</v>
      </c>
      <c r="E5941" s="5">
        <v>130350</v>
      </c>
      <c r="F5941" s="4">
        <v>225</v>
      </c>
      <c r="G5941" s="5">
        <v>525</v>
      </c>
      <c r="H5941" s="5">
        <v>16250</v>
      </c>
      <c r="I5941" s="118">
        <f t="shared" si="957"/>
        <v>0.12466436517069429</v>
      </c>
      <c r="J5941" s="5">
        <v>49168</v>
      </c>
      <c r="K5941" s="22">
        <v>1909.5</v>
      </c>
      <c r="L5941" s="6">
        <v>1938.5</v>
      </c>
      <c r="M5941" s="125">
        <f t="shared" si="971"/>
        <v>29</v>
      </c>
      <c r="P5941" s="247">
        <v>15075</v>
      </c>
      <c r="Q5941" s="25">
        <f>173.9/1180.5</f>
        <v>0.14731046166878442</v>
      </c>
      <c r="W5941" s="285">
        <f t="shared" si="965"/>
        <v>2220.705209656925</v>
      </c>
      <c r="X5941" s="446">
        <f t="shared" si="966"/>
        <v>7.8947368421052628</v>
      </c>
    </row>
    <row r="5942" spans="1:24" ht="15" customHeight="1">
      <c r="A5942" s="3">
        <v>44090</v>
      </c>
      <c r="B5942" s="4">
        <v>34800</v>
      </c>
      <c r="C5942" s="5">
        <v>7050</v>
      </c>
      <c r="D5942" s="5">
        <v>94825</v>
      </c>
      <c r="E5942" s="5">
        <v>136675</v>
      </c>
      <c r="F5942" s="4">
        <v>6875</v>
      </c>
      <c r="G5942" s="5">
        <v>550</v>
      </c>
      <c r="H5942" s="5">
        <v>15700</v>
      </c>
      <c r="I5942" s="118">
        <f t="shared" si="957"/>
        <v>0.11487104444850924</v>
      </c>
      <c r="J5942" s="5">
        <v>48958</v>
      </c>
      <c r="K5942" s="22">
        <v>1883.5</v>
      </c>
      <c r="L5942" s="6">
        <v>1912</v>
      </c>
      <c r="M5942" s="125">
        <f t="shared" si="971"/>
        <v>28.5</v>
      </c>
      <c r="P5942" s="247">
        <v>15075</v>
      </c>
      <c r="Q5942" s="25">
        <f>173.88/1177.8</f>
        <v>0.14763117677024962</v>
      </c>
      <c r="W5942" s="285">
        <f t="shared" si="965"/>
        <v>2225.5399898115129</v>
      </c>
      <c r="X5942" s="446">
        <f t="shared" si="966"/>
        <v>8.003716485266791</v>
      </c>
    </row>
    <row r="5943" spans="1:24" ht="15" customHeight="1">
      <c r="A5943" s="3">
        <v>44091</v>
      </c>
      <c r="B5943" s="4">
        <v>34800</v>
      </c>
      <c r="C5943" s="5">
        <v>7025</v>
      </c>
      <c r="D5943" s="5">
        <v>94825</v>
      </c>
      <c r="E5943" s="5">
        <v>136650</v>
      </c>
      <c r="F5943" s="4">
        <v>0</v>
      </c>
      <c r="G5943" s="5">
        <v>25</v>
      </c>
      <c r="H5943" s="5">
        <v>15675</v>
      </c>
      <c r="I5943" s="118">
        <f t="shared" si="957"/>
        <v>0.11470911086717893</v>
      </c>
      <c r="J5943" s="5">
        <v>32854</v>
      </c>
      <c r="K5943" s="22">
        <v>1851</v>
      </c>
      <c r="L5943" s="6">
        <v>1882</v>
      </c>
      <c r="M5943" s="125">
        <f t="shared" si="971"/>
        <v>31</v>
      </c>
      <c r="P5943" s="247">
        <v>14950</v>
      </c>
      <c r="Q5943" s="25">
        <f>173.69/1175.4</f>
        <v>0.14777097158414154</v>
      </c>
      <c r="W5943" s="285">
        <f t="shared" si="965"/>
        <v>2209.176025182916</v>
      </c>
      <c r="X5943" s="446">
        <f t="shared" si="966"/>
        <v>8.0767152890329559</v>
      </c>
    </row>
    <row r="5944" spans="1:24" ht="15" customHeight="1">
      <c r="A5944" s="3">
        <v>44092</v>
      </c>
      <c r="B5944" s="4">
        <v>34800</v>
      </c>
      <c r="C5944" s="5">
        <v>7000</v>
      </c>
      <c r="D5944" s="5">
        <v>94250</v>
      </c>
      <c r="E5944" s="5">
        <v>136050</v>
      </c>
      <c r="F5944" s="4">
        <v>0</v>
      </c>
      <c r="G5944" s="5">
        <v>600</v>
      </c>
      <c r="H5944" s="5">
        <v>15300</v>
      </c>
      <c r="I5944" s="118">
        <f t="shared" si="957"/>
        <v>0.11245865490628446</v>
      </c>
      <c r="J5944" s="5">
        <v>38154</v>
      </c>
      <c r="K5944" s="22">
        <v>1889</v>
      </c>
      <c r="L5944" s="6">
        <v>1917.5</v>
      </c>
      <c r="M5944" s="125">
        <f t="shared" ref="M5944" si="972">L5944-K5944</f>
        <v>28.5</v>
      </c>
      <c r="P5944" s="247">
        <v>15175</v>
      </c>
      <c r="Q5944" s="25">
        <f>172.24/1163.6</f>
        <v>0.1480233757304916</v>
      </c>
      <c r="W5944" s="285">
        <f t="shared" si="965"/>
        <v>2246.25472671021</v>
      </c>
      <c r="X5944" s="446">
        <f t="shared" si="966"/>
        <v>8.0333509793541555</v>
      </c>
    </row>
    <row r="5945" spans="1:24" ht="15" customHeight="1">
      <c r="A5945" s="3">
        <v>44095</v>
      </c>
      <c r="B5945" s="4">
        <v>34350</v>
      </c>
      <c r="C5945" s="5">
        <v>7000</v>
      </c>
      <c r="D5945" s="5">
        <v>94225</v>
      </c>
      <c r="E5945" s="5">
        <v>135575</v>
      </c>
      <c r="F5945" s="4">
        <v>0</v>
      </c>
      <c r="G5945" s="5">
        <v>475</v>
      </c>
      <c r="H5945" s="5">
        <v>15525</v>
      </c>
      <c r="I5945" s="118">
        <f t="shared" si="957"/>
        <v>0.11451226258528489</v>
      </c>
      <c r="J5945" s="5">
        <v>28739</v>
      </c>
      <c r="K5945" s="22">
        <v>1871.5</v>
      </c>
      <c r="L5945" s="6">
        <v>1896.5</v>
      </c>
      <c r="M5945" s="125">
        <f t="shared" ref="M5945" si="973">L5945-K5945</f>
        <v>25</v>
      </c>
      <c r="P5945" s="247">
        <v>15225</v>
      </c>
      <c r="Q5945" s="25">
        <f>171.85/1160.6</f>
        <v>0.14806996381182147</v>
      </c>
      <c r="W5945" s="285">
        <f t="shared" ref="W5945:W5949" si="974">(P5945*Q5945)*(1+U5945)</f>
        <v>2254.3651990349817</v>
      </c>
      <c r="X5945" s="446">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18">
        <f t="shared" si="957"/>
        <v>0.11434894872740686</v>
      </c>
      <c r="J5946" s="5">
        <v>35190</v>
      </c>
      <c r="K5946" s="22">
        <v>1873</v>
      </c>
      <c r="L5946" s="6">
        <v>1899.5</v>
      </c>
      <c r="M5946" s="125">
        <f t="shared" ref="M5946" si="976">L5946-K5946</f>
        <v>26.5</v>
      </c>
      <c r="P5946" s="247">
        <v>15325</v>
      </c>
      <c r="Q5946" s="25">
        <f>171.4/1163.9</f>
        <v>0.14726351061087722</v>
      </c>
      <c r="W5946" s="285">
        <f t="shared" si="974"/>
        <v>2256.8133001116935</v>
      </c>
      <c r="X5946" s="446">
        <f t="shared" si="975"/>
        <v>8.1820608649225832</v>
      </c>
    </row>
    <row r="5947" spans="1:24" ht="15" customHeight="1">
      <c r="A5947" s="3">
        <v>44097</v>
      </c>
      <c r="B5947" s="4">
        <v>34350</v>
      </c>
      <c r="C5947" s="5">
        <v>6925</v>
      </c>
      <c r="D5947" s="5">
        <v>94225</v>
      </c>
      <c r="E5947" s="5">
        <v>135500</v>
      </c>
      <c r="F5947" s="4">
        <v>0</v>
      </c>
      <c r="G5947" s="5">
        <v>50</v>
      </c>
      <c r="H5947" s="5">
        <v>15450</v>
      </c>
      <c r="I5947" s="118">
        <f t="shared" si="957"/>
        <v>0.11402214022140221</v>
      </c>
      <c r="J5947" s="5">
        <v>24567</v>
      </c>
      <c r="K5947" s="22">
        <v>1851.5</v>
      </c>
      <c r="L5947" s="6">
        <v>1873</v>
      </c>
      <c r="M5947" s="125">
        <f t="shared" ref="M5947" si="977">L5947-K5947</f>
        <v>21.5</v>
      </c>
      <c r="P5947" s="247">
        <v>15400</v>
      </c>
      <c r="Q5947" s="25">
        <f>171.39/1164.4</f>
        <v>0.14719168670559943</v>
      </c>
      <c r="W5947" s="285">
        <f t="shared" si="974"/>
        <v>2266.7519752662311</v>
      </c>
      <c r="X5947" s="446">
        <f t="shared" si="975"/>
        <v>8.3175803402646498</v>
      </c>
    </row>
    <row r="5948" spans="1:24" ht="15" customHeight="1">
      <c r="A5948" s="3">
        <v>44098</v>
      </c>
      <c r="B5948" s="4">
        <v>34350</v>
      </c>
      <c r="C5948" s="5">
        <v>6875</v>
      </c>
      <c r="D5948" s="5">
        <v>94175</v>
      </c>
      <c r="E5948" s="5">
        <v>135400</v>
      </c>
      <c r="F5948" s="4">
        <v>0</v>
      </c>
      <c r="G5948" s="5">
        <v>100</v>
      </c>
      <c r="H5948" s="5">
        <v>15350</v>
      </c>
      <c r="I5948" s="118">
        <f t="shared" si="957"/>
        <v>0.11336779911373708</v>
      </c>
      <c r="J5948" s="5">
        <v>33802</v>
      </c>
      <c r="K5948" s="22">
        <v>1856</v>
      </c>
      <c r="L5948" s="6">
        <v>1877.5</v>
      </c>
      <c r="M5948" s="125">
        <f t="shared" ref="M5948" si="978">L5948-K5948</f>
        <v>21.5</v>
      </c>
      <c r="P5948" s="247">
        <v>15325</v>
      </c>
      <c r="Q5948" s="25">
        <f>171.54/1170.3</f>
        <v>0.14657780056395797</v>
      </c>
      <c r="W5948" s="285">
        <f t="shared" si="974"/>
        <v>2246.304793642656</v>
      </c>
      <c r="X5948" s="446">
        <f t="shared" si="975"/>
        <v>8.2570043103448274</v>
      </c>
    </row>
    <row r="5949" spans="1:24" ht="15" customHeight="1">
      <c r="A5949" s="3">
        <v>44099</v>
      </c>
      <c r="B5949" s="4">
        <v>34350</v>
      </c>
      <c r="C5949" s="5">
        <v>6875</v>
      </c>
      <c r="D5949" s="5">
        <v>94075</v>
      </c>
      <c r="E5949" s="5">
        <v>135300</v>
      </c>
      <c r="F5949" s="4">
        <v>0</v>
      </c>
      <c r="G5949" s="5">
        <v>100</v>
      </c>
      <c r="H5949" s="5">
        <v>15250</v>
      </c>
      <c r="I5949" s="118">
        <f t="shared" si="957"/>
        <v>0.11271249076127125</v>
      </c>
      <c r="J5949" s="5">
        <v>28379</v>
      </c>
      <c r="K5949" s="22">
        <v>1815</v>
      </c>
      <c r="L5949" s="6">
        <v>1836.5</v>
      </c>
      <c r="M5949" s="125">
        <f t="shared" ref="M5949" si="979">L5949-K5949</f>
        <v>21.5</v>
      </c>
      <c r="P5949" s="247">
        <v>15100</v>
      </c>
      <c r="Q5949" s="25">
        <f>171.57/1170.5</f>
        <v>0.14657838530542502</v>
      </c>
      <c r="W5949" s="285">
        <f t="shared" si="974"/>
        <v>2213.333618111918</v>
      </c>
      <c r="X5949" s="446">
        <f t="shared" si="975"/>
        <v>8.319559228650137</v>
      </c>
    </row>
    <row r="5950" spans="1:24" ht="15" customHeight="1">
      <c r="A5950" s="3">
        <v>44102</v>
      </c>
      <c r="B5950" s="4">
        <v>34350</v>
      </c>
      <c r="C5950" s="5">
        <v>6875</v>
      </c>
      <c r="D5950" s="5">
        <v>95375</v>
      </c>
      <c r="E5950" s="5">
        <v>136600</v>
      </c>
      <c r="F5950" s="4">
        <v>1300</v>
      </c>
      <c r="G5950" s="5">
        <v>0</v>
      </c>
      <c r="H5950" s="5">
        <v>14850</v>
      </c>
      <c r="I5950" s="118">
        <f t="shared" si="957"/>
        <v>0.10871156661786237</v>
      </c>
      <c r="J5950" s="5">
        <v>36257</v>
      </c>
      <c r="K5950" s="22">
        <v>1805</v>
      </c>
      <c r="L5950" s="6">
        <v>1826.5</v>
      </c>
      <c r="M5950" s="125">
        <f t="shared" ref="M5950" si="980">L5950-K5950</f>
        <v>21.5</v>
      </c>
      <c r="P5950" s="247">
        <v>15075</v>
      </c>
      <c r="Q5950" s="25">
        <f>171.9/1173.5</f>
        <v>0.14648487430762677</v>
      </c>
      <c r="W5950" s="285">
        <f t="shared" ref="W5950:W5952" si="981">(P5950*Q5950)*(1+U5950)</f>
        <v>2208.2594801874734</v>
      </c>
      <c r="X5950" s="446">
        <f>P5950/K5950</f>
        <v>8.35180055401662</v>
      </c>
    </row>
    <row r="5951" spans="1:24" ht="15" customHeight="1">
      <c r="A5951" s="3">
        <v>44103</v>
      </c>
      <c r="B5951" s="4">
        <v>34350</v>
      </c>
      <c r="C5951" s="5">
        <v>6875</v>
      </c>
      <c r="D5951" s="5">
        <v>94475</v>
      </c>
      <c r="E5951" s="5">
        <v>135700</v>
      </c>
      <c r="F5951" s="4">
        <v>0</v>
      </c>
      <c r="G5951" s="5">
        <v>900</v>
      </c>
      <c r="H5951" s="5">
        <v>13950</v>
      </c>
      <c r="I5951" s="118">
        <f t="shared" si="957"/>
        <v>0.1028002947678703</v>
      </c>
      <c r="J5951" s="5">
        <v>36298</v>
      </c>
      <c r="K5951" s="22">
        <v>1821</v>
      </c>
      <c r="L5951" s="6">
        <v>1845</v>
      </c>
      <c r="M5951" s="125">
        <f t="shared" ref="M5951:M5952" si="982">L5951-K5951</f>
        <v>24</v>
      </c>
      <c r="P5951" s="247">
        <v>15125</v>
      </c>
      <c r="Q5951" s="1326"/>
      <c r="W5951" s="285">
        <f t="shared" si="981"/>
        <v>0</v>
      </c>
      <c r="X5951" s="446">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18">
        <f t="shared" si="957"/>
        <v>9.8363636363636361E-2</v>
      </c>
      <c r="J5952" s="5">
        <v>38737</v>
      </c>
      <c r="K5952" s="22">
        <v>1801</v>
      </c>
      <c r="L5952" s="6">
        <v>1821.5</v>
      </c>
      <c r="M5952" s="125">
        <f t="shared" si="982"/>
        <v>20.5</v>
      </c>
      <c r="N5952" s="381">
        <f>AVERAGE($K$5931:K5952)</f>
        <v>1881.3636363636363</v>
      </c>
      <c r="O5952" s="395">
        <f>AVERAGE($K$5750:K5952)</f>
        <v>1800.0394736842106</v>
      </c>
      <c r="P5952" s="247">
        <v>15125</v>
      </c>
      <c r="Q5952" s="1326"/>
      <c r="W5952" s="285">
        <f t="shared" si="981"/>
        <v>0</v>
      </c>
      <c r="X5952" s="446">
        <f t="shared" si="983"/>
        <v>8.398112159911161</v>
      </c>
    </row>
    <row r="5953" spans="1:24" ht="15" customHeight="1" thickBot="1">
      <c r="A5953" s="216"/>
      <c r="B5953" s="394"/>
      <c r="C5953" s="394"/>
      <c r="D5953" s="394"/>
      <c r="E5953" s="216"/>
      <c r="F5953" s="407"/>
      <c r="G5953" s="164"/>
      <c r="H5953" s="164"/>
      <c r="I5953" s="164"/>
      <c r="J5953" s="166"/>
      <c r="K5953" s="166"/>
      <c r="L5953" s="167"/>
      <c r="M5953" s="167"/>
      <c r="N5953" s="167"/>
      <c r="O5953" s="167"/>
      <c r="P5953" s="180"/>
      <c r="Q5953" s="154"/>
      <c r="R5953" s="248"/>
      <c r="S5953" s="249"/>
      <c r="T5953" s="249"/>
      <c r="U5953" s="152"/>
      <c r="V5953" s="153">
        <f>AVERAGE(P5931:P5952)</f>
        <v>15292.045454545454</v>
      </c>
      <c r="W5953" s="390"/>
      <c r="X5953" s="447">
        <f>AVERAGE(X5931:X5952)</f>
        <v>8.1308864675078567</v>
      </c>
    </row>
    <row r="5954" spans="1:24" ht="15" customHeight="1">
      <c r="A5954" s="3">
        <v>44105</v>
      </c>
      <c r="B5954" s="4">
        <v>34350</v>
      </c>
      <c r="C5954" s="5">
        <v>6825</v>
      </c>
      <c r="D5954" s="5">
        <v>95825</v>
      </c>
      <c r="E5954" s="5">
        <v>137000</v>
      </c>
      <c r="F5954" s="4">
        <v>0</v>
      </c>
      <c r="G5954" s="5">
        <v>500</v>
      </c>
      <c r="H5954" s="5">
        <v>28100</v>
      </c>
      <c r="I5954" s="118">
        <f t="shared" ref="I5954:I5997" si="984">H5954/E5954</f>
        <v>0.20510948905109488</v>
      </c>
      <c r="J5954" s="5">
        <v>46084</v>
      </c>
      <c r="K5954" s="22">
        <v>1809.5</v>
      </c>
      <c r="L5954" s="6">
        <v>1832.5</v>
      </c>
      <c r="M5954" s="125">
        <f t="shared" ref="M5954:M5955" si="985">L5954-K5954</f>
        <v>23</v>
      </c>
      <c r="P5954" s="1329"/>
      <c r="W5954" s="285">
        <f t="shared" ref="W5954:W5955" si="986">(P5954*Q5954)*(1+U5954)</f>
        <v>0</v>
      </c>
      <c r="X5954" s="446"/>
    </row>
    <row r="5955" spans="1:24" ht="15" customHeight="1">
      <c r="A5955" s="3">
        <v>44106</v>
      </c>
      <c r="B5955" s="4">
        <v>34300</v>
      </c>
      <c r="C5955" s="5">
        <v>6825</v>
      </c>
      <c r="D5955" s="5">
        <v>95275</v>
      </c>
      <c r="E5955" s="5">
        <v>136400</v>
      </c>
      <c r="F5955" s="4">
        <v>0</v>
      </c>
      <c r="G5955" s="5">
        <v>600</v>
      </c>
      <c r="H5955" s="5">
        <v>28025</v>
      </c>
      <c r="I5955" s="118">
        <f t="shared" si="984"/>
        <v>0.20546187683284459</v>
      </c>
      <c r="J5955" s="5">
        <v>47972</v>
      </c>
      <c r="K5955" s="22">
        <v>1763</v>
      </c>
      <c r="L5955" s="6">
        <v>1783.5</v>
      </c>
      <c r="M5955" s="125">
        <f t="shared" si="985"/>
        <v>20.5</v>
      </c>
      <c r="P5955" s="1325"/>
      <c r="Q5955" s="25">
        <f>171.37/1169.5</f>
        <v>0.14653270628473708</v>
      </c>
      <c r="W5955" s="285">
        <f t="shared" si="986"/>
        <v>0</v>
      </c>
      <c r="X5955" s="446"/>
    </row>
    <row r="5956" spans="1:24" ht="15" customHeight="1">
      <c r="A5956" s="3">
        <v>44109</v>
      </c>
      <c r="B5956" s="4">
        <v>34100</v>
      </c>
      <c r="C5956" s="5">
        <v>6825</v>
      </c>
      <c r="D5956" s="5">
        <v>94675</v>
      </c>
      <c r="E5956" s="5">
        <v>135600</v>
      </c>
      <c r="F5956" s="4">
        <v>0</v>
      </c>
      <c r="G5956" s="5">
        <v>800</v>
      </c>
      <c r="H5956" s="5">
        <v>27225</v>
      </c>
      <c r="I5956" s="118">
        <f t="shared" si="984"/>
        <v>0.20077433628318583</v>
      </c>
      <c r="J5956" s="5">
        <v>44088</v>
      </c>
      <c r="K5956" s="22">
        <v>1744.5</v>
      </c>
      <c r="L5956" s="6">
        <v>1765</v>
      </c>
      <c r="M5956" s="125">
        <f t="shared" ref="M5956" si="987">L5956-K5956</f>
        <v>20.5</v>
      </c>
      <c r="P5956" s="1325"/>
      <c r="Q5956" s="25">
        <f>172.58/1163.4</f>
        <v>0.14834106927969742</v>
      </c>
      <c r="W5956" s="285">
        <f t="shared" ref="W5956" si="988">(P5956*Q5956)*(1+U5956)</f>
        <v>0</v>
      </c>
      <c r="X5956" s="446"/>
    </row>
    <row r="5957" spans="1:24" ht="15" customHeight="1">
      <c r="A5957" s="3">
        <v>44110</v>
      </c>
      <c r="B5957" s="4">
        <v>34100</v>
      </c>
      <c r="C5957" s="5">
        <v>6825</v>
      </c>
      <c r="D5957" s="5">
        <v>94175</v>
      </c>
      <c r="E5957" s="5">
        <v>135100</v>
      </c>
      <c r="F5957" s="4">
        <v>0</v>
      </c>
      <c r="G5957" s="5">
        <v>500</v>
      </c>
      <c r="H5957" s="5">
        <v>26725</v>
      </c>
      <c r="I5957" s="118">
        <f t="shared" si="984"/>
        <v>0.19781643227239082</v>
      </c>
      <c r="J5957" s="5">
        <v>50872</v>
      </c>
      <c r="K5957" s="22">
        <v>1759</v>
      </c>
      <c r="L5957" s="6">
        <v>1778.5</v>
      </c>
      <c r="M5957" s="125">
        <f t="shared" ref="M5957" si="989">L5957-K5957</f>
        <v>19.5</v>
      </c>
      <c r="P5957" s="1325"/>
      <c r="Q5957" s="25">
        <f>172.52/1160</f>
        <v>0.14872413793103448</v>
      </c>
      <c r="W5957" s="285">
        <f t="shared" ref="W5957" si="990">(P5957*Q5957)*(1+U5957)</f>
        <v>0</v>
      </c>
      <c r="X5957" s="446"/>
    </row>
    <row r="5958" spans="1:24" ht="15" customHeight="1">
      <c r="A5958" s="3">
        <v>44111</v>
      </c>
      <c r="B5958" s="4">
        <v>34050</v>
      </c>
      <c r="C5958" s="5">
        <v>6800</v>
      </c>
      <c r="D5958" s="5">
        <v>93650</v>
      </c>
      <c r="E5958" s="5">
        <v>134500</v>
      </c>
      <c r="F5958" s="4">
        <v>0</v>
      </c>
      <c r="G5958" s="5">
        <v>600</v>
      </c>
      <c r="H5958" s="5">
        <v>28250</v>
      </c>
      <c r="I5958" s="118">
        <f t="shared" si="984"/>
        <v>0.2100371747211896</v>
      </c>
      <c r="J5958" s="5">
        <v>40366</v>
      </c>
      <c r="K5958" s="22">
        <v>1777</v>
      </c>
      <c r="L5958" s="6">
        <v>1793</v>
      </c>
      <c r="M5958" s="125">
        <f t="shared" ref="M5958" si="991">L5958-K5958</f>
        <v>16</v>
      </c>
      <c r="P5958" s="1325"/>
      <c r="Q5958" s="25">
        <f>172.28/1162.5</f>
        <v>0.14819784946236558</v>
      </c>
      <c r="W5958" s="285">
        <f t="shared" ref="W5958" si="992">(P5958*Q5958)*(1+U5958)</f>
        <v>0</v>
      </c>
      <c r="X5958" s="446"/>
    </row>
    <row r="5959" spans="1:24" ht="15" customHeight="1">
      <c r="A5959" s="3">
        <v>44112</v>
      </c>
      <c r="B5959" s="4">
        <v>34050</v>
      </c>
      <c r="C5959" s="5">
        <v>6800</v>
      </c>
      <c r="D5959" s="5">
        <v>92850</v>
      </c>
      <c r="E5959" s="5">
        <v>133700</v>
      </c>
      <c r="F5959" s="4">
        <v>0</v>
      </c>
      <c r="G5959" s="5">
        <v>800</v>
      </c>
      <c r="H5959" s="5">
        <v>20975</v>
      </c>
      <c r="I5959" s="118">
        <f t="shared" si="984"/>
        <v>0.15688107703814511</v>
      </c>
      <c r="J5959" s="5">
        <v>41249</v>
      </c>
      <c r="K5959" s="22">
        <v>1779</v>
      </c>
      <c r="L5959" s="6">
        <v>1794</v>
      </c>
      <c r="M5959" s="125">
        <f t="shared" ref="M5959" si="993">L5959-K5959</f>
        <v>15</v>
      </c>
      <c r="P5959" s="1325"/>
      <c r="W5959" s="285">
        <f t="shared" ref="W5959" si="994">(P5959*Q5959)*(1+U5959)</f>
        <v>0</v>
      </c>
      <c r="X5959" s="446"/>
    </row>
    <row r="5960" spans="1:24" ht="15" customHeight="1">
      <c r="A5960" s="3">
        <v>44113</v>
      </c>
      <c r="B5960" s="24">
        <v>34050</v>
      </c>
      <c r="C5960" s="24">
        <v>6775</v>
      </c>
      <c r="D5960" s="24">
        <v>92025</v>
      </c>
      <c r="E5960" s="5">
        <v>132850</v>
      </c>
      <c r="F5960" s="4">
        <v>0</v>
      </c>
      <c r="G5960" s="5">
        <v>850</v>
      </c>
      <c r="H5960" s="5">
        <v>20225</v>
      </c>
      <c r="I5960" s="118">
        <f t="shared" si="984"/>
        <v>0.15223936770794128</v>
      </c>
      <c r="J5960" s="5">
        <v>34052</v>
      </c>
      <c r="K5960" s="22">
        <v>1779.5</v>
      </c>
      <c r="L5960" s="6">
        <v>1794</v>
      </c>
      <c r="M5960" s="125">
        <f t="shared" ref="M5960" si="995">L5960-K5960</f>
        <v>14.5</v>
      </c>
      <c r="P5960" s="247">
        <v>14850</v>
      </c>
      <c r="Q5960" s="25">
        <f>171.73/1156.2</f>
        <v>0.14852966614772528</v>
      </c>
      <c r="W5960" s="285">
        <f t="shared" ref="W5960:W5978" si="996">(P5960*Q5960)*(1+U5960)</f>
        <v>2205.6655422937206</v>
      </c>
      <c r="X5960" s="446">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18">
        <f t="shared" si="984"/>
        <v>0.14823217999621857</v>
      </c>
      <c r="J5961" s="5">
        <v>40634</v>
      </c>
      <c r="K5961" s="22">
        <v>1823.5</v>
      </c>
      <c r="L5961" s="6">
        <v>1829</v>
      </c>
      <c r="M5961" s="125">
        <f t="shared" ref="M5961" si="998">L5961-K5961</f>
        <v>5.5</v>
      </c>
      <c r="P5961" s="247">
        <v>14750</v>
      </c>
      <c r="Q5961" s="25">
        <f>170.93/1148.3</f>
        <v>0.14885482887747106</v>
      </c>
      <c r="W5961" s="285">
        <f t="shared" si="996"/>
        <v>2195.6087259426981</v>
      </c>
      <c r="X5961" s="446">
        <f t="shared" si="997"/>
        <v>8.0888401425829457</v>
      </c>
    </row>
    <row r="5962" spans="1:24" ht="15" customHeight="1">
      <c r="A5962" s="3">
        <v>44117</v>
      </c>
      <c r="B5962" s="4">
        <v>33900</v>
      </c>
      <c r="C5962" s="5">
        <v>6725</v>
      </c>
      <c r="D5962" s="5">
        <v>91175</v>
      </c>
      <c r="E5962" s="5">
        <v>131800</v>
      </c>
      <c r="F5962" s="4">
        <v>0</v>
      </c>
      <c r="G5962" s="5">
        <v>425</v>
      </c>
      <c r="H5962" s="5">
        <v>19175</v>
      </c>
      <c r="I5962" s="118">
        <f t="shared" si="984"/>
        <v>0.1454855842185129</v>
      </c>
      <c r="J5962" s="5">
        <v>43487</v>
      </c>
      <c r="K5962" s="22">
        <v>1826.5</v>
      </c>
      <c r="L5962" s="6">
        <v>1837.5</v>
      </c>
      <c r="M5962" s="125">
        <f t="shared" ref="M5962" si="999">L5962-K5962</f>
        <v>11</v>
      </c>
      <c r="P5962" s="247">
        <v>14800</v>
      </c>
      <c r="Q5962" s="25">
        <f>170.31/1149.5</f>
        <v>0.14816006959547628</v>
      </c>
      <c r="W5962" s="285">
        <f t="shared" si="996"/>
        <v>2192.7690300130489</v>
      </c>
      <c r="X5962" s="446">
        <f t="shared" si="997"/>
        <v>8.10292909937038</v>
      </c>
    </row>
    <row r="5963" spans="1:24" ht="15" customHeight="1">
      <c r="A5963" s="3">
        <v>44118</v>
      </c>
      <c r="B5963" s="4">
        <v>33900</v>
      </c>
      <c r="C5963" s="5">
        <v>6675</v>
      </c>
      <c r="D5963" s="5">
        <v>90575</v>
      </c>
      <c r="E5963" s="5">
        <v>131150</v>
      </c>
      <c r="F5963" s="4">
        <v>0</v>
      </c>
      <c r="G5963" s="5">
        <v>650</v>
      </c>
      <c r="H5963" s="5">
        <v>18525</v>
      </c>
      <c r="I5963" s="118">
        <f t="shared" si="984"/>
        <v>0.14125047655356462</v>
      </c>
      <c r="J5963" s="5">
        <v>38609</v>
      </c>
      <c r="K5963" s="22">
        <v>1771.5</v>
      </c>
      <c r="L5963" s="6">
        <v>1789.5</v>
      </c>
      <c r="M5963" s="125">
        <f t="shared" ref="M5963" si="1000">L5963-K5963</f>
        <v>18</v>
      </c>
      <c r="P5963" s="247">
        <v>14600</v>
      </c>
      <c r="Q5963" s="25">
        <f>170.05/1145.7</f>
        <v>0.148424543946932</v>
      </c>
      <c r="W5963" s="285">
        <f t="shared" si="996"/>
        <v>2166.9983416252071</v>
      </c>
      <c r="X5963" s="446">
        <f t="shared" si="997"/>
        <v>8.2416031611628568</v>
      </c>
    </row>
    <row r="5964" spans="1:24" ht="15" customHeight="1">
      <c r="A5964" s="3">
        <v>44119</v>
      </c>
      <c r="B5964" s="4">
        <v>33900</v>
      </c>
      <c r="C5964" s="5">
        <v>6600</v>
      </c>
      <c r="D5964" s="5">
        <v>89975</v>
      </c>
      <c r="E5964" s="5">
        <v>130475</v>
      </c>
      <c r="F5964" s="4">
        <v>0</v>
      </c>
      <c r="G5964" s="5">
        <v>675</v>
      </c>
      <c r="H5964" s="5">
        <v>18350</v>
      </c>
      <c r="I5964" s="118">
        <f t="shared" si="984"/>
        <v>0.14063996934278597</v>
      </c>
      <c r="J5964" s="5">
        <v>27482</v>
      </c>
      <c r="K5964" s="22">
        <v>1754.5</v>
      </c>
      <c r="L5964" s="6">
        <v>1772</v>
      </c>
      <c r="M5964" s="125">
        <f t="shared" ref="M5964" si="1001">L5964-K5964</f>
        <v>17.5</v>
      </c>
      <c r="P5964" s="247">
        <v>14500</v>
      </c>
      <c r="Q5964" s="25">
        <f>170.66/1144.6</f>
        <v>0.14910012231347197</v>
      </c>
      <c r="W5964" s="285">
        <f t="shared" si="996"/>
        <v>2161.9517735453437</v>
      </c>
      <c r="X5964" s="446">
        <f t="shared" si="997"/>
        <v>8.2644628099173545</v>
      </c>
    </row>
    <row r="5965" spans="1:24" ht="15" customHeight="1">
      <c r="A5965" s="3">
        <v>44120</v>
      </c>
      <c r="B5965" s="4">
        <v>33900</v>
      </c>
      <c r="C5965" s="5">
        <v>6600</v>
      </c>
      <c r="D5965" s="5">
        <v>89475</v>
      </c>
      <c r="E5965" s="5">
        <v>129975</v>
      </c>
      <c r="F5965" s="4">
        <v>0</v>
      </c>
      <c r="G5965" s="5">
        <v>500</v>
      </c>
      <c r="H5965" s="5">
        <v>17850</v>
      </c>
      <c r="I5965" s="118">
        <f t="shared" si="984"/>
        <v>0.13733410271206001</v>
      </c>
      <c r="J5965" s="5">
        <v>27242</v>
      </c>
      <c r="K5965" s="22">
        <v>1756.5</v>
      </c>
      <c r="L5965" s="6">
        <v>1773</v>
      </c>
      <c r="M5965" s="125">
        <f t="shared" ref="M5965" si="1002">L5965-K5965</f>
        <v>16.5</v>
      </c>
      <c r="P5965" s="247">
        <v>14475</v>
      </c>
      <c r="Q5965" s="25">
        <f>170.61/1145.6</f>
        <v>0.14892632681564247</v>
      </c>
      <c r="W5965" s="285">
        <f t="shared" si="996"/>
        <v>2155.7085806564246</v>
      </c>
      <c r="X5965" s="446">
        <f t="shared" si="997"/>
        <v>8.2408198121263876</v>
      </c>
    </row>
    <row r="5966" spans="1:24" ht="15" customHeight="1">
      <c r="A5966" s="3">
        <v>44123</v>
      </c>
      <c r="B5966" s="4">
        <v>33875</v>
      </c>
      <c r="C5966" s="5">
        <v>6575</v>
      </c>
      <c r="D5966" s="5">
        <v>89175</v>
      </c>
      <c r="E5966" s="5">
        <v>129625</v>
      </c>
      <c r="F5966" s="4">
        <v>0</v>
      </c>
      <c r="G5966" s="5">
        <v>350</v>
      </c>
      <c r="H5966" s="5">
        <v>17500</v>
      </c>
      <c r="I5966" s="118">
        <f t="shared" si="984"/>
        <v>0.13500482160077146</v>
      </c>
      <c r="J5966" s="5">
        <v>38992</v>
      </c>
      <c r="K5966" s="22">
        <v>1742.5</v>
      </c>
      <c r="L5966" s="6">
        <v>1764</v>
      </c>
      <c r="M5966" s="125">
        <f t="shared" ref="M5966" si="1003">L5966-K5966</f>
        <v>21.5</v>
      </c>
      <c r="P5966" s="247">
        <v>14425</v>
      </c>
      <c r="Q5966" s="25">
        <f>170.65/1142.2</f>
        <v>0.14940465767816494</v>
      </c>
      <c r="W5966" s="285">
        <f t="shared" si="996"/>
        <v>2155.1621870075292</v>
      </c>
      <c r="X5966" s="446">
        <f t="shared" si="997"/>
        <v>8.2783357245337168</v>
      </c>
    </row>
    <row r="5967" spans="1:24" ht="15" customHeight="1">
      <c r="A5967" s="3">
        <v>44124</v>
      </c>
      <c r="B5967" s="4">
        <v>33875</v>
      </c>
      <c r="C5967" s="5">
        <v>6575</v>
      </c>
      <c r="D5967" s="5">
        <v>88875</v>
      </c>
      <c r="E5967" s="5">
        <v>129325</v>
      </c>
      <c r="F5967" s="4">
        <v>0</v>
      </c>
      <c r="G5967" s="5">
        <v>300</v>
      </c>
      <c r="H5967" s="5">
        <v>17550</v>
      </c>
      <c r="I5967" s="118">
        <f t="shared" si="984"/>
        <v>0.13570462014305046</v>
      </c>
      <c r="J5967" s="5">
        <v>48150</v>
      </c>
      <c r="K5967" s="22">
        <v>1748</v>
      </c>
      <c r="L5967" s="6">
        <v>1768</v>
      </c>
      <c r="M5967" s="125">
        <f t="shared" ref="M5967" si="1004">L5967-K5967</f>
        <v>20</v>
      </c>
      <c r="P5967" s="247">
        <v>14250</v>
      </c>
      <c r="Q5967" s="25">
        <f>170.62/1139.7</f>
        <v>0.14970606299903483</v>
      </c>
      <c r="W5967" s="285">
        <f t="shared" si="996"/>
        <v>2133.3113977362464</v>
      </c>
      <c r="X5967" s="446">
        <f t="shared" si="997"/>
        <v>8.1521739130434785</v>
      </c>
    </row>
    <row r="5968" spans="1:24" ht="15" customHeight="1">
      <c r="A5968" s="3">
        <v>44125</v>
      </c>
      <c r="B5968" s="4">
        <v>33825</v>
      </c>
      <c r="C5968" s="5">
        <v>6550</v>
      </c>
      <c r="D5968" s="5">
        <v>88475</v>
      </c>
      <c r="E5968" s="5">
        <v>128850</v>
      </c>
      <c r="F5968" s="4">
        <v>0</v>
      </c>
      <c r="G5968" s="5">
        <v>475</v>
      </c>
      <c r="H5968" s="5">
        <v>17075</v>
      </c>
      <c r="I5968" s="118">
        <f t="shared" si="984"/>
        <v>0.13251843228560342</v>
      </c>
      <c r="J5968" s="5">
        <v>42029</v>
      </c>
      <c r="K5968" s="22">
        <v>1790.5</v>
      </c>
      <c r="L5968" s="6">
        <v>1808.5</v>
      </c>
      <c r="M5968" s="125">
        <f t="shared" ref="M5968" si="1005">L5968-K5968</f>
        <v>18</v>
      </c>
      <c r="P5968" s="247">
        <v>14375</v>
      </c>
      <c r="Q5968" s="25">
        <f>170.52/1133.7</f>
        <v>0.15041016141836466</v>
      </c>
      <c r="W5968" s="285">
        <f t="shared" si="996"/>
        <v>2162.146070388992</v>
      </c>
      <c r="X5968" s="446">
        <f t="shared" si="997"/>
        <v>8.028483663781067</v>
      </c>
    </row>
    <row r="5969" spans="1:24" ht="15" customHeight="1">
      <c r="A5969" s="3">
        <v>44126</v>
      </c>
      <c r="B5969" s="4">
        <v>33825</v>
      </c>
      <c r="C5969" s="5">
        <v>6550</v>
      </c>
      <c r="D5969" s="5">
        <v>88475</v>
      </c>
      <c r="E5969" s="5">
        <v>128850</v>
      </c>
      <c r="F5969" s="4">
        <v>0</v>
      </c>
      <c r="G5969" s="5">
        <v>0</v>
      </c>
      <c r="H5969" s="5">
        <v>17100</v>
      </c>
      <c r="I5969" s="118">
        <f t="shared" si="984"/>
        <v>0.13271245634458673</v>
      </c>
      <c r="J5969" s="5">
        <v>35017</v>
      </c>
      <c r="K5969" s="22">
        <v>1792</v>
      </c>
      <c r="L5969" s="6">
        <v>1804.5</v>
      </c>
      <c r="M5969" s="125">
        <f t="shared" ref="M5969:M5970" si="1006">L5969-K5969</f>
        <v>12.5</v>
      </c>
      <c r="P5969" s="247">
        <v>14450</v>
      </c>
      <c r="Q5969" s="25">
        <f>170.4/1134.1</f>
        <v>0.15025130059077685</v>
      </c>
      <c r="W5969" s="285">
        <f t="shared" si="996"/>
        <v>2171.1312935367255</v>
      </c>
      <c r="X5969" s="446">
        <f t="shared" si="997"/>
        <v>8.0636160714285712</v>
      </c>
    </row>
    <row r="5970" spans="1:24" ht="15" customHeight="1">
      <c r="A5970" s="3">
        <v>44127</v>
      </c>
      <c r="B5970" s="4">
        <v>33575</v>
      </c>
      <c r="C5970" s="5">
        <v>6500</v>
      </c>
      <c r="D5970" s="5">
        <v>88450</v>
      </c>
      <c r="E5970" s="5">
        <v>128525</v>
      </c>
      <c r="F5970" s="4">
        <v>0</v>
      </c>
      <c r="G5970" s="5">
        <v>325</v>
      </c>
      <c r="H5970" s="5">
        <v>16775</v>
      </c>
      <c r="I5970" s="118">
        <f t="shared" si="984"/>
        <v>0.13051935421124294</v>
      </c>
      <c r="J5970" s="5">
        <v>25229</v>
      </c>
      <c r="K5970" s="22">
        <v>1792.5</v>
      </c>
      <c r="L5970" s="6">
        <v>1809</v>
      </c>
      <c r="M5970" s="125">
        <f t="shared" si="1006"/>
        <v>16.5</v>
      </c>
      <c r="P5970" s="247">
        <v>14500</v>
      </c>
      <c r="Q5970" s="25">
        <f>169.96/1134.6</f>
        <v>0.14979728538692053</v>
      </c>
      <c r="W5970" s="285">
        <f t="shared" si="996"/>
        <v>2172.0606381103476</v>
      </c>
      <c r="X5970" s="446">
        <f t="shared" si="997"/>
        <v>8.0892608089260811</v>
      </c>
    </row>
    <row r="5971" spans="1:24" ht="15" customHeight="1">
      <c r="A5971" s="3">
        <v>44130</v>
      </c>
      <c r="B5971" s="4">
        <v>33325</v>
      </c>
      <c r="C5971" s="5">
        <v>6425</v>
      </c>
      <c r="D5971" s="5">
        <v>88425</v>
      </c>
      <c r="E5971" s="5">
        <v>128175</v>
      </c>
      <c r="F5971" s="4">
        <v>0</v>
      </c>
      <c r="G5971" s="5">
        <v>350</v>
      </c>
      <c r="H5971" s="5">
        <v>16475</v>
      </c>
      <c r="I5971" s="118">
        <f t="shared" si="984"/>
        <v>0.12853520577335673</v>
      </c>
      <c r="J5971" s="5">
        <v>48398</v>
      </c>
      <c r="K5971" s="22">
        <v>1750</v>
      </c>
      <c r="L5971" s="6">
        <v>1766</v>
      </c>
      <c r="M5971" s="125">
        <f t="shared" ref="M5971" si="1007">L5971-K5971</f>
        <v>16</v>
      </c>
      <c r="P5971" s="247">
        <v>14325</v>
      </c>
      <c r="Q5971" s="25">
        <f>169.09/1129.1</f>
        <v>0.1497564431848375</v>
      </c>
      <c r="W5971" s="285">
        <f t="shared" si="996"/>
        <v>2145.2610486227973</v>
      </c>
      <c r="X5971" s="446">
        <f t="shared" si="997"/>
        <v>8.1857142857142851</v>
      </c>
    </row>
    <row r="5972" spans="1:24" ht="15" customHeight="1">
      <c r="A5972" s="3">
        <v>44131</v>
      </c>
      <c r="B5972" s="4">
        <v>33825</v>
      </c>
      <c r="C5972" s="5">
        <v>6400</v>
      </c>
      <c r="D5972" s="5">
        <v>88400</v>
      </c>
      <c r="E5972" s="5">
        <v>128625</v>
      </c>
      <c r="F5972" s="4">
        <v>500</v>
      </c>
      <c r="G5972" s="5">
        <v>50</v>
      </c>
      <c r="H5972" s="5">
        <v>16425</v>
      </c>
      <c r="I5972" s="118">
        <f t="shared" si="984"/>
        <v>0.12769679300291545</v>
      </c>
      <c r="J5972" s="5">
        <v>26055</v>
      </c>
      <c r="K5972" s="22">
        <v>1780.5</v>
      </c>
      <c r="L5972" s="6">
        <v>1797</v>
      </c>
      <c r="M5972" s="125">
        <f t="shared" ref="M5972" si="1008">L5972-K5972</f>
        <v>16.5</v>
      </c>
      <c r="P5972" s="247">
        <v>14350</v>
      </c>
      <c r="Q5972" s="25">
        <f>168.44/1127.6</f>
        <v>0.14937921248669742</v>
      </c>
      <c r="W5972" s="285">
        <f t="shared" si="996"/>
        <v>2143.5916991841077</v>
      </c>
      <c r="X5972" s="446">
        <f t="shared" si="997"/>
        <v>8.0595338388093225</v>
      </c>
    </row>
    <row r="5973" spans="1:24" ht="15" customHeight="1">
      <c r="A5973" s="3">
        <v>44132</v>
      </c>
      <c r="B5973" s="4">
        <v>33825</v>
      </c>
      <c r="C5973" s="5">
        <v>6325</v>
      </c>
      <c r="D5973" s="5">
        <v>88375</v>
      </c>
      <c r="E5973" s="5">
        <v>128525</v>
      </c>
      <c r="F5973" s="4">
        <v>0</v>
      </c>
      <c r="G5973" s="5">
        <v>100</v>
      </c>
      <c r="H5973" s="5">
        <v>16650</v>
      </c>
      <c r="I5973" s="118">
        <f t="shared" si="984"/>
        <v>0.12954678078194903</v>
      </c>
      <c r="J5973" s="5">
        <v>32692</v>
      </c>
      <c r="K5973" s="22">
        <v>1764.5</v>
      </c>
      <c r="L5973" s="6">
        <v>1781</v>
      </c>
      <c r="M5973" s="125">
        <f t="shared" ref="M5973" si="1009">L5973-K5973</f>
        <v>16.5</v>
      </c>
      <c r="P5973" s="247">
        <v>14350</v>
      </c>
      <c r="Q5973" s="25">
        <f>168.23/1129.3</f>
        <v>0.14896838749667934</v>
      </c>
      <c r="W5973" s="285">
        <f t="shared" si="996"/>
        <v>2137.6963605773485</v>
      </c>
      <c r="X5973" s="446">
        <f t="shared" si="997"/>
        <v>8.1326154718050443</v>
      </c>
    </row>
    <row r="5974" spans="1:24" ht="15" customHeight="1">
      <c r="A5974" s="3">
        <v>44133</v>
      </c>
      <c r="B5974" s="4">
        <v>33825</v>
      </c>
      <c r="C5974" s="5">
        <v>6325</v>
      </c>
      <c r="D5974" s="5">
        <v>87200</v>
      </c>
      <c r="E5974" s="5">
        <v>127350</v>
      </c>
      <c r="F5974" s="4">
        <v>0</v>
      </c>
      <c r="G5974" s="5">
        <v>1175</v>
      </c>
      <c r="H5974" s="5">
        <v>34000</v>
      </c>
      <c r="I5974" s="118">
        <f t="shared" si="984"/>
        <v>0.2669807616804083</v>
      </c>
      <c r="J5974" s="5">
        <v>41116</v>
      </c>
      <c r="K5974" s="22">
        <v>1801</v>
      </c>
      <c r="L5974" s="6">
        <v>1813.5</v>
      </c>
      <c r="M5974" s="125">
        <f t="shared" ref="M5974" si="1010">L5974-K5974</f>
        <v>12.5</v>
      </c>
      <c r="P5974" s="247">
        <v>14400</v>
      </c>
      <c r="Q5974" s="25">
        <f>168.81/1133.4</f>
        <v>0.1489412387506617</v>
      </c>
      <c r="W5974" s="285">
        <f t="shared" si="996"/>
        <v>2144.7538380095284</v>
      </c>
      <c r="X5974" s="446">
        <f t="shared" si="997"/>
        <v>7.9955580233203776</v>
      </c>
    </row>
    <row r="5975" spans="1:24" ht="15" customHeight="1">
      <c r="A5975" s="3">
        <v>44134</v>
      </c>
      <c r="B5975" s="4">
        <v>33725</v>
      </c>
      <c r="C5975" s="5">
        <v>6325</v>
      </c>
      <c r="D5975" s="5">
        <v>85750</v>
      </c>
      <c r="E5975" s="5">
        <v>125800</v>
      </c>
      <c r="F5975" s="4">
        <v>0</v>
      </c>
      <c r="G5975" s="5">
        <v>1550</v>
      </c>
      <c r="H5975" s="5">
        <v>32800</v>
      </c>
      <c r="I5975" s="118">
        <f t="shared" si="984"/>
        <v>0.26073131955484896</v>
      </c>
      <c r="J5975" s="5">
        <v>50330</v>
      </c>
      <c r="K5975" s="22">
        <v>1790</v>
      </c>
      <c r="L5975" s="6">
        <v>1804</v>
      </c>
      <c r="M5975" s="125">
        <f t="shared" ref="M5975" si="1011">L5975-K5975</f>
        <v>14</v>
      </c>
      <c r="N5975" s="381">
        <f>AVERAGE($K$5954:K5975)</f>
        <v>1777.0681818181818</v>
      </c>
      <c r="O5975" s="395">
        <f>AVERAGE($K$5750:K5975)</f>
        <v>1797.6556603773586</v>
      </c>
      <c r="P5975" s="247">
        <v>14425</v>
      </c>
      <c r="Q5975" s="25">
        <f>168.7/1130.4</f>
        <v>0.14923920736022644</v>
      </c>
      <c r="W5975" s="285">
        <f t="shared" si="996"/>
        <v>2152.7755661712663</v>
      </c>
      <c r="X5975" s="446">
        <f t="shared" si="997"/>
        <v>8.0586592178770946</v>
      </c>
    </row>
    <row r="5976" spans="1:24" ht="15" customHeight="1" thickBot="1">
      <c r="A5976" s="216"/>
      <c r="B5976" s="394"/>
      <c r="C5976" s="394"/>
      <c r="D5976" s="394"/>
      <c r="E5976" s="216"/>
      <c r="F5976" s="407"/>
      <c r="G5976" s="164"/>
      <c r="H5976" s="164"/>
      <c r="I5976" s="164"/>
      <c r="J5976" s="166"/>
      <c r="K5976" s="166"/>
      <c r="L5976" s="167"/>
      <c r="M5976" s="167"/>
      <c r="N5976" s="167"/>
      <c r="O5976" s="167"/>
      <c r="P5976" s="180"/>
      <c r="Q5976" s="154"/>
      <c r="R5976" s="248"/>
      <c r="S5976" s="249"/>
      <c r="T5976" s="249"/>
      <c r="U5976" s="152"/>
      <c r="V5976" s="153">
        <f>AVERAGE(P5954:P5975)</f>
        <v>14489.0625</v>
      </c>
      <c r="W5976" s="390"/>
      <c r="X5976" s="447">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18">
        <f t="shared" si="984"/>
        <v>0.25241157556270094</v>
      </c>
      <c r="J5977" s="5">
        <v>42320</v>
      </c>
      <c r="K5977" s="22">
        <v>1776</v>
      </c>
      <c r="L5977" s="6">
        <v>1789.5</v>
      </c>
      <c r="M5977" s="125">
        <f t="shared" ref="M5977" si="1013">L5977-K5977</f>
        <v>13.5</v>
      </c>
      <c r="P5977" s="247">
        <v>14300</v>
      </c>
      <c r="Q5977" s="25">
        <f>169.57/1134.7</f>
        <v>0.14944038071737023</v>
      </c>
      <c r="W5977" s="285">
        <f t="shared" si="996"/>
        <v>2136.9974442583944</v>
      </c>
      <c r="X5977" s="446">
        <f t="shared" si="997"/>
        <v>8.0518018018018012</v>
      </c>
    </row>
    <row r="5978" spans="1:24" ht="15" customHeight="1">
      <c r="A5978" s="3">
        <v>44138</v>
      </c>
      <c r="B5978" s="4">
        <v>33850</v>
      </c>
      <c r="C5978" s="5">
        <v>6325</v>
      </c>
      <c r="D5978" s="5">
        <v>84425</v>
      </c>
      <c r="E5978" s="5">
        <v>124600</v>
      </c>
      <c r="F5978" s="4">
        <v>250</v>
      </c>
      <c r="G5978" s="5">
        <v>50</v>
      </c>
      <c r="H5978" s="5">
        <v>31425</v>
      </c>
      <c r="I5978" s="118">
        <f t="shared" si="984"/>
        <v>0.25220706260032105</v>
      </c>
      <c r="J5978" s="5">
        <v>35251</v>
      </c>
      <c r="K5978" s="22">
        <v>1808</v>
      </c>
      <c r="L5978" s="6">
        <v>1819</v>
      </c>
      <c r="M5978" s="125">
        <f t="shared" ref="M5978" si="1014">L5978-K5978</f>
        <v>11</v>
      </c>
      <c r="P5978" s="247">
        <v>14375</v>
      </c>
      <c r="Q5978" s="25">
        <f>169.61/1134.6</f>
        <v>0.14948880662788649</v>
      </c>
      <c r="W5978" s="285">
        <f t="shared" si="996"/>
        <v>2148.9015952758682</v>
      </c>
      <c r="X5978" s="446">
        <f t="shared" si="997"/>
        <v>7.9507743362831862</v>
      </c>
    </row>
    <row r="5979" spans="1:24" ht="15" customHeight="1">
      <c r="A5979" s="3">
        <v>44139</v>
      </c>
      <c r="B5979" s="4">
        <v>34100</v>
      </c>
      <c r="C5979" s="5">
        <v>6325</v>
      </c>
      <c r="D5979" s="5">
        <v>83100</v>
      </c>
      <c r="E5979" s="5">
        <v>123525</v>
      </c>
      <c r="F5979" s="4">
        <v>250</v>
      </c>
      <c r="G5979" s="5">
        <v>1325</v>
      </c>
      <c r="H5979" s="5">
        <v>30500</v>
      </c>
      <c r="I5979" s="118">
        <f t="shared" si="984"/>
        <v>0.24691358024691357</v>
      </c>
      <c r="J5979" s="5">
        <v>28966</v>
      </c>
      <c r="K5979" s="22">
        <v>1813.5</v>
      </c>
      <c r="L5979" s="6">
        <v>1822</v>
      </c>
      <c r="M5979" s="125">
        <f t="shared" ref="M5979" si="1015">L5979-K5979</f>
        <v>8.5</v>
      </c>
      <c r="P5979" s="247">
        <v>14250</v>
      </c>
      <c r="Q5979" s="25">
        <f>169.46/1136.5</f>
        <v>0.14910690717113947</v>
      </c>
      <c r="W5979" s="285">
        <f t="shared" ref="W5979:W5980" si="1016">(P5979*Q5979)*(1+U5979)</f>
        <v>2124.7734271887375</v>
      </c>
      <c r="X5979" s="446">
        <f t="shared" si="997"/>
        <v>7.8577336641852771</v>
      </c>
    </row>
    <row r="5980" spans="1:24" ht="15" customHeight="1">
      <c r="A5980" s="3">
        <v>44140</v>
      </c>
      <c r="B5980" s="4">
        <v>34100</v>
      </c>
      <c r="C5980" s="5">
        <v>6250</v>
      </c>
      <c r="D5980" s="5">
        <v>81200</v>
      </c>
      <c r="E5980" s="5">
        <v>121550</v>
      </c>
      <c r="F5980" s="4">
        <v>0</v>
      </c>
      <c r="G5980" s="5">
        <v>1975</v>
      </c>
      <c r="H5980" s="5">
        <v>28675</v>
      </c>
      <c r="I5980" s="118">
        <f t="shared" si="984"/>
        <v>0.23591114767585356</v>
      </c>
      <c r="J5980" s="5">
        <v>107791</v>
      </c>
      <c r="K5980" s="22">
        <v>1836.5</v>
      </c>
      <c r="L5980" s="6">
        <v>1847</v>
      </c>
      <c r="M5980" s="125">
        <f t="shared" ref="M5980" si="1017">L5980-K5980</f>
        <v>10.5</v>
      </c>
      <c r="P5980" s="247">
        <v>14250</v>
      </c>
      <c r="Q5980" s="25">
        <f>170.17/1130.9</f>
        <v>0.15047307454239983</v>
      </c>
      <c r="W5980" s="285">
        <f t="shared" si="1016"/>
        <v>2144.2413122291978</v>
      </c>
      <c r="X5980" s="446">
        <f t="shared" si="997"/>
        <v>7.7593248026136674</v>
      </c>
    </row>
    <row r="5981" spans="1:24" ht="15" customHeight="1">
      <c r="A5981" s="3">
        <v>44141</v>
      </c>
      <c r="B5981" s="4">
        <v>34050</v>
      </c>
      <c r="C5981" s="5">
        <v>6125</v>
      </c>
      <c r="D5981" s="5">
        <v>80250</v>
      </c>
      <c r="E5981" s="5">
        <v>120425</v>
      </c>
      <c r="F5981" s="4">
        <v>0</v>
      </c>
      <c r="G5981" s="5">
        <v>1125</v>
      </c>
      <c r="H5981" s="5">
        <v>27650</v>
      </c>
      <c r="I5981" s="118">
        <f t="shared" si="984"/>
        <v>0.22960348764791363</v>
      </c>
      <c r="J5981" s="5">
        <v>108248</v>
      </c>
      <c r="K5981" s="22">
        <v>1838</v>
      </c>
      <c r="L5981" s="6">
        <v>1854.5</v>
      </c>
      <c r="M5981" s="125">
        <f t="shared" ref="M5981" si="1018">L5981-K5981</f>
        <v>16.5</v>
      </c>
      <c r="P5981" s="247">
        <v>14300</v>
      </c>
      <c r="Q5981" s="25">
        <f>170/1124.4</f>
        <v>0.15119174670935609</v>
      </c>
      <c r="W5981" s="285">
        <f t="shared" ref="W5981" si="1019">(P5981*Q5981)*(1+U5981)</f>
        <v>2162.0419779437921</v>
      </c>
      <c r="X5981" s="446">
        <f t="shared" si="997"/>
        <v>7.7801958650707288</v>
      </c>
    </row>
    <row r="5982" spans="1:24" ht="15" customHeight="1">
      <c r="A5982" s="3">
        <v>44144</v>
      </c>
      <c r="B5982" s="4">
        <v>33975</v>
      </c>
      <c r="C5982" s="5">
        <v>5900</v>
      </c>
      <c r="D5982" s="5">
        <v>76850</v>
      </c>
      <c r="E5982" s="5">
        <v>116725</v>
      </c>
      <c r="F5982" s="4">
        <v>0</v>
      </c>
      <c r="G5982" s="5">
        <v>3700</v>
      </c>
      <c r="H5982" s="5">
        <v>23950</v>
      </c>
      <c r="I5982" s="118">
        <f t="shared" si="984"/>
        <v>0.2051831227243521</v>
      </c>
      <c r="J5982" s="5">
        <v>105992</v>
      </c>
      <c r="K5982" s="22">
        <v>1841.5</v>
      </c>
      <c r="L5982" s="6">
        <v>1858</v>
      </c>
      <c r="M5982" s="125">
        <f t="shared" ref="M5982" si="1020">L5982-K5982</f>
        <v>16.5</v>
      </c>
      <c r="P5982" s="247">
        <v>14450</v>
      </c>
      <c r="Q5982" s="25">
        <f>169.71/1115.6</f>
        <v>0.15212441735389029</v>
      </c>
      <c r="W5982" s="285">
        <f t="shared" ref="W5982:W5983" si="1021">(P5982*Q5982)*(1+U5982)</f>
        <v>2198.1978307637146</v>
      </c>
      <c r="X5982" s="446">
        <f t="shared" si="997"/>
        <v>7.8468639695900082</v>
      </c>
    </row>
    <row r="5983" spans="1:24" ht="15" customHeight="1">
      <c r="A5983" s="3">
        <v>44145</v>
      </c>
      <c r="B5983" s="4">
        <v>33775</v>
      </c>
      <c r="C5983" s="5">
        <v>5650</v>
      </c>
      <c r="D5983" s="5">
        <v>76800</v>
      </c>
      <c r="E5983" s="5">
        <v>116225</v>
      </c>
      <c r="F5983" s="4">
        <v>0</v>
      </c>
      <c r="G5983" s="5">
        <v>500</v>
      </c>
      <c r="H5983" s="5">
        <v>23450</v>
      </c>
      <c r="I5983" s="118">
        <f t="shared" si="984"/>
        <v>0.20176382017638203</v>
      </c>
      <c r="J5983" s="5">
        <v>106744</v>
      </c>
      <c r="K5983" s="22">
        <v>1818</v>
      </c>
      <c r="L5983" s="6">
        <v>1836</v>
      </c>
      <c r="M5983" s="125">
        <f t="shared" ref="M5983" si="1022">L5983-K5983</f>
        <v>18</v>
      </c>
      <c r="P5983" s="247">
        <v>14450</v>
      </c>
      <c r="Q5983" s="25">
        <f>168.95/1115.9</f>
        <v>0.15140245541715205</v>
      </c>
      <c r="W5983" s="285">
        <f t="shared" si="1021"/>
        <v>2187.7654807778472</v>
      </c>
      <c r="X5983" s="446">
        <f t="shared" si="997"/>
        <v>7.9482948294829479</v>
      </c>
    </row>
    <row r="5984" spans="1:24" ht="15" customHeight="1">
      <c r="A5984" s="3">
        <v>44146</v>
      </c>
      <c r="B5984" s="4">
        <v>33775</v>
      </c>
      <c r="C5984" s="5">
        <v>5300</v>
      </c>
      <c r="D5984" s="5">
        <v>74275</v>
      </c>
      <c r="E5984" s="5">
        <v>113350</v>
      </c>
      <c r="F5984" s="4">
        <v>0</v>
      </c>
      <c r="G5984" s="5">
        <v>2875</v>
      </c>
      <c r="H5984" s="5">
        <v>21825</v>
      </c>
      <c r="I5984" s="118">
        <f t="shared" si="984"/>
        <v>0.1925452139391266</v>
      </c>
      <c r="J5984" s="5">
        <v>106955</v>
      </c>
      <c r="K5984" s="22">
        <v>1849.5</v>
      </c>
      <c r="L5984" s="6">
        <v>1868.5</v>
      </c>
      <c r="M5984" s="125">
        <f t="shared" ref="M5984" si="1023">L5984-K5984</f>
        <v>19</v>
      </c>
      <c r="P5984" s="247">
        <v>14575</v>
      </c>
      <c r="Q5984" s="25">
        <f>168.86/1112.4</f>
        <v>0.15179791441927365</v>
      </c>
      <c r="W5984" s="285">
        <f t="shared" ref="W5984" si="1024">(P5984*Q5984)*(1+U5984)</f>
        <v>2212.4546026609132</v>
      </c>
      <c r="X5984" s="446">
        <f t="shared" si="997"/>
        <v>7.8805082454717494</v>
      </c>
    </row>
    <row r="5985" spans="1:24" ht="15" customHeight="1">
      <c r="A5985" s="3">
        <v>44147</v>
      </c>
      <c r="B5985" s="4">
        <v>33775</v>
      </c>
      <c r="C5985" s="5">
        <v>5125</v>
      </c>
      <c r="D5985" s="5">
        <v>74150</v>
      </c>
      <c r="E5985" s="5">
        <v>113050</v>
      </c>
      <c r="F5985" s="4">
        <v>0</v>
      </c>
      <c r="G5985" s="5">
        <v>300</v>
      </c>
      <c r="H5985" s="5">
        <v>21525</v>
      </c>
      <c r="I5985" s="118">
        <f t="shared" si="984"/>
        <v>0.19040247678018576</v>
      </c>
      <c r="J5985" s="5">
        <v>106765</v>
      </c>
      <c r="K5985" s="22">
        <v>1868.5</v>
      </c>
      <c r="L5985" s="6">
        <v>1884.5</v>
      </c>
      <c r="M5985" s="125">
        <f t="shared" ref="M5985" si="1025">L5985-K5985</f>
        <v>16</v>
      </c>
      <c r="P5985" s="247">
        <v>14525</v>
      </c>
      <c r="Q5985" s="25">
        <f>168.32/1113.2</f>
        <v>0.15120373697448794</v>
      </c>
      <c r="W5985" s="285">
        <f t="shared" ref="W5985" si="1026">(P5985*Q5985)*(1+U5985)</f>
        <v>2196.2342795544373</v>
      </c>
      <c r="X5985" s="446">
        <f t="shared" si="997"/>
        <v>7.7736151993577733</v>
      </c>
    </row>
    <row r="5986" spans="1:24" ht="15" customHeight="1">
      <c r="A5986" s="3">
        <v>44148</v>
      </c>
      <c r="B5986" s="4">
        <v>33475</v>
      </c>
      <c r="C5986" s="5">
        <v>4900</v>
      </c>
      <c r="D5986" s="5">
        <v>73650</v>
      </c>
      <c r="E5986" s="5">
        <v>112025</v>
      </c>
      <c r="F5986" s="4">
        <v>0</v>
      </c>
      <c r="G5986" s="5">
        <v>1025</v>
      </c>
      <c r="H5986" s="5">
        <v>19850</v>
      </c>
      <c r="I5986" s="118">
        <f t="shared" si="984"/>
        <v>0.17719259093952242</v>
      </c>
      <c r="J5986" s="5">
        <v>110496</v>
      </c>
      <c r="K5986" s="22">
        <v>1886</v>
      </c>
      <c r="L5986" s="6">
        <v>1904.5</v>
      </c>
      <c r="M5986" s="125">
        <f t="shared" ref="M5986" si="1027">L5986-K5986</f>
        <v>18.5</v>
      </c>
      <c r="P5986" s="247">
        <v>14675</v>
      </c>
      <c r="Q5986" s="25">
        <f>168.46/1115.1</f>
        <v>0.15107165276656803</v>
      </c>
      <c r="W5986" s="285">
        <f t="shared" ref="W5986" si="1028">(P5986*Q5986)*(1+U5986)</f>
        <v>2216.9765043493858</v>
      </c>
      <c r="X5986" s="446">
        <f t="shared" si="997"/>
        <v>7.7810180275715801</v>
      </c>
    </row>
    <row r="5987" spans="1:24" ht="15" customHeight="1">
      <c r="A5987" s="3">
        <v>44151</v>
      </c>
      <c r="B5987" s="4">
        <v>33475</v>
      </c>
      <c r="C5987" s="5">
        <v>4775</v>
      </c>
      <c r="D5987" s="5">
        <v>73575</v>
      </c>
      <c r="E5987" s="5">
        <v>111825</v>
      </c>
      <c r="F5987" s="4">
        <v>0</v>
      </c>
      <c r="G5987" s="5">
        <v>200</v>
      </c>
      <c r="H5987" s="5">
        <v>21750</v>
      </c>
      <c r="I5987" s="118">
        <f t="shared" si="984"/>
        <v>0.19450033534540576</v>
      </c>
      <c r="J5987" s="5">
        <v>109859</v>
      </c>
      <c r="K5987" s="22">
        <v>1882.5</v>
      </c>
      <c r="L5987" s="6">
        <v>1904.5</v>
      </c>
      <c r="M5987" s="125">
        <f t="shared" ref="M5987" si="1029">L5987-K5987</f>
        <v>22</v>
      </c>
      <c r="P5987" s="247">
        <v>14725</v>
      </c>
      <c r="Q5987" s="25">
        <f>168.43/1108</f>
        <v>0.15201263537906137</v>
      </c>
      <c r="W5987" s="285">
        <f t="shared" ref="W5987" si="1030">(P5987*Q5987)*(1+U5987)</f>
        <v>2238.3860559566788</v>
      </c>
      <c r="X5987" s="446">
        <f t="shared" si="997"/>
        <v>7.8220451527224437</v>
      </c>
    </row>
    <row r="5988" spans="1:24" ht="15" customHeight="1">
      <c r="A5988" s="3">
        <v>44152</v>
      </c>
      <c r="B5988" s="4">
        <v>33075</v>
      </c>
      <c r="C5988" s="5">
        <v>4775</v>
      </c>
      <c r="D5988" s="5">
        <v>75250</v>
      </c>
      <c r="E5988" s="5">
        <v>113100</v>
      </c>
      <c r="F5988" s="4">
        <v>1675</v>
      </c>
      <c r="G5988" s="5">
        <v>400</v>
      </c>
      <c r="H5988" s="5">
        <v>21275</v>
      </c>
      <c r="I5988" s="118">
        <f t="shared" si="984"/>
        <v>0.18810786914235189</v>
      </c>
      <c r="J5988" s="5">
        <v>108993</v>
      </c>
      <c r="K5988" s="22">
        <v>1900.5</v>
      </c>
      <c r="L5988" s="6">
        <v>1921.5</v>
      </c>
      <c r="M5988" s="125">
        <f t="shared" ref="M5988" si="1031">L5988-K5988</f>
        <v>21</v>
      </c>
      <c r="P5988" s="247">
        <v>14600</v>
      </c>
      <c r="Q5988" s="25">
        <f>168.6/1106.8</f>
        <v>0.15233104445247561</v>
      </c>
      <c r="W5988" s="285">
        <f t="shared" ref="W5988" si="1032">(P5988*Q5988)*(1+U5988)</f>
        <v>2224.0332490061437</v>
      </c>
      <c r="X5988" s="446">
        <f t="shared" si="997"/>
        <v>7.6821888976585111</v>
      </c>
    </row>
    <row r="5989" spans="1:24" ht="15" customHeight="1">
      <c r="A5989" s="3">
        <v>44153</v>
      </c>
      <c r="B5989" s="4">
        <v>33075</v>
      </c>
      <c r="C5989" s="5">
        <v>4700</v>
      </c>
      <c r="D5989" s="5">
        <v>75225</v>
      </c>
      <c r="E5989" s="5">
        <v>113000</v>
      </c>
      <c r="F5989" s="4">
        <v>0</v>
      </c>
      <c r="G5989" s="5">
        <v>100</v>
      </c>
      <c r="H5989" s="5">
        <v>21175</v>
      </c>
      <c r="I5989" s="118">
        <f t="shared" si="984"/>
        <v>0.18738938053097345</v>
      </c>
      <c r="J5989" s="5">
        <v>109420</v>
      </c>
      <c r="K5989" s="22">
        <v>1919.5</v>
      </c>
      <c r="L5989" s="6">
        <v>1940.5</v>
      </c>
      <c r="M5989" s="125">
        <f t="shared" ref="M5989:M5990" si="1033">L5989-K5989</f>
        <v>21</v>
      </c>
      <c r="P5989" s="247">
        <v>14600</v>
      </c>
      <c r="Q5989" s="25">
        <f>168.79/1105.9</f>
        <v>0.15262681978479065</v>
      </c>
      <c r="W5989" s="285">
        <f t="shared" ref="W5989" si="1034">(P5989*Q5989)*(1+U5989)</f>
        <v>2228.3515688579432</v>
      </c>
      <c r="X5989" s="446">
        <f t="shared" si="997"/>
        <v>7.6061474342276636</v>
      </c>
    </row>
    <row r="5990" spans="1:24" ht="15" customHeight="1">
      <c r="A5990" s="3">
        <v>44154</v>
      </c>
      <c r="B5990" s="4">
        <v>33050</v>
      </c>
      <c r="C5990" s="5">
        <v>4600</v>
      </c>
      <c r="D5990" s="5">
        <v>75125</v>
      </c>
      <c r="E5990" s="5">
        <v>112775</v>
      </c>
      <c r="F5990" s="4">
        <v>0</v>
      </c>
      <c r="G5990" s="5">
        <v>225</v>
      </c>
      <c r="H5990" s="5">
        <v>21000</v>
      </c>
      <c r="I5990" s="118">
        <f t="shared" si="984"/>
        <v>0.18621148304145421</v>
      </c>
      <c r="J5990" s="5">
        <v>108987</v>
      </c>
      <c r="K5990" s="22">
        <v>1951</v>
      </c>
      <c r="L5990" s="6">
        <v>1968</v>
      </c>
      <c r="M5990" s="125">
        <f t="shared" si="1033"/>
        <v>17</v>
      </c>
      <c r="P5990" s="247">
        <v>14500</v>
      </c>
      <c r="Q5990" s="25">
        <f>169.73/1112.2</f>
        <v>0.15260744470418988</v>
      </c>
      <c r="W5990" s="285">
        <f t="shared" ref="W5990" si="1035">(P5990*Q5990)*(1+U5990)</f>
        <v>2212.8079482107532</v>
      </c>
      <c r="X5990" s="446">
        <f t="shared" si="997"/>
        <v>7.4320861096873401</v>
      </c>
    </row>
    <row r="5991" spans="1:24" ht="15" customHeight="1">
      <c r="A5991" s="3">
        <v>44155</v>
      </c>
      <c r="B5991" s="4">
        <v>33050</v>
      </c>
      <c r="C5991" s="5">
        <v>4550</v>
      </c>
      <c r="D5991" s="5">
        <v>75125</v>
      </c>
      <c r="E5991" s="5">
        <v>112725</v>
      </c>
      <c r="F5991" s="4">
        <v>0</v>
      </c>
      <c r="G5991" s="5">
        <v>50</v>
      </c>
      <c r="H5991" s="5">
        <v>21000</v>
      </c>
      <c r="I5991" s="118">
        <f t="shared" si="984"/>
        <v>0.18629407850964738</v>
      </c>
      <c r="J5991" s="5">
        <v>109994</v>
      </c>
      <c r="K5991" s="22">
        <v>1987</v>
      </c>
      <c r="L5991" s="6">
        <v>2003</v>
      </c>
      <c r="M5991" s="125">
        <f t="shared" ref="M5991" si="1036">L5991-K5991</f>
        <v>16</v>
      </c>
      <c r="P5991" s="247">
        <v>14850</v>
      </c>
      <c r="Q5991" s="25">
        <f>169.51/1114.2</f>
        <v>0.1521360617483396</v>
      </c>
      <c r="W5991" s="285">
        <f t="shared" ref="W5991" si="1037">(P5991*Q5991)*(1+U5991)</f>
        <v>2259.2205169628432</v>
      </c>
      <c r="X5991" s="446">
        <f t="shared" si="997"/>
        <v>7.473578258681429</v>
      </c>
    </row>
    <row r="5992" spans="1:24" ht="15" customHeight="1">
      <c r="A5992" s="3">
        <v>44158</v>
      </c>
      <c r="B5992" s="4">
        <v>32975</v>
      </c>
      <c r="C5992" s="5">
        <v>4550</v>
      </c>
      <c r="D5992" s="5">
        <v>75125</v>
      </c>
      <c r="E5992" s="5">
        <v>112650</v>
      </c>
      <c r="F5992" s="4">
        <v>0</v>
      </c>
      <c r="G5992" s="5">
        <v>75</v>
      </c>
      <c r="H5992" s="5">
        <v>21150</v>
      </c>
      <c r="I5992" s="118">
        <f t="shared" si="984"/>
        <v>0.1877496671105193</v>
      </c>
      <c r="J5992" s="5">
        <v>111475</v>
      </c>
      <c r="K5992" s="22">
        <v>1990</v>
      </c>
      <c r="L5992" s="6">
        <v>2006.5</v>
      </c>
      <c r="M5992" s="125">
        <f t="shared" ref="M5992" si="1038">L5992-K5992</f>
        <v>16.5</v>
      </c>
      <c r="P5992" s="247">
        <v>15200</v>
      </c>
      <c r="Q5992" s="25">
        <f>169.69/1112.6</f>
        <v>0.15251662771885674</v>
      </c>
      <c r="W5992" s="285">
        <f t="shared" ref="W5992:W5993" si="1039">(P5992*Q5992)*(1+U5992)</f>
        <v>2318.2527413266225</v>
      </c>
      <c r="X5992" s="446">
        <f t="shared" si="997"/>
        <v>7.6381909547738696</v>
      </c>
    </row>
    <row r="5993" spans="1:24" ht="15" customHeight="1">
      <c r="A5993" s="3">
        <v>44159</v>
      </c>
      <c r="B5993" s="24">
        <v>32975</v>
      </c>
      <c r="C5993" s="24">
        <v>4525</v>
      </c>
      <c r="D5993" s="24">
        <v>75075</v>
      </c>
      <c r="E5993" s="5">
        <v>112575</v>
      </c>
      <c r="F5993" s="4">
        <v>0</v>
      </c>
      <c r="G5993" s="5">
        <v>75</v>
      </c>
      <c r="H5993" s="5">
        <v>21125</v>
      </c>
      <c r="I5993" s="118">
        <f t="shared" si="984"/>
        <v>0.18765267599378194</v>
      </c>
      <c r="J5993" s="5">
        <v>111935</v>
      </c>
      <c r="K5993" s="22">
        <v>2006</v>
      </c>
      <c r="L5993" s="6">
        <v>2021</v>
      </c>
      <c r="M5993" s="125">
        <f t="shared" ref="M5993" si="1040">L5993-K5993</f>
        <v>15</v>
      </c>
      <c r="P5993" s="247">
        <v>15200</v>
      </c>
      <c r="Q5993" s="25">
        <f>169.01/1111.2</f>
        <v>0.15209683225341972</v>
      </c>
      <c r="W5993" s="285">
        <f t="shared" si="1039"/>
        <v>2311.8718502519796</v>
      </c>
      <c r="X5993" s="446">
        <f t="shared" si="997"/>
        <v>7.5772681954137591</v>
      </c>
    </row>
    <row r="5994" spans="1:24" ht="15" customHeight="1">
      <c r="A5994" s="3">
        <v>44160</v>
      </c>
      <c r="B5994" s="4">
        <v>32975</v>
      </c>
      <c r="C5994" s="5">
        <v>4450</v>
      </c>
      <c r="D5994" s="5">
        <v>75075</v>
      </c>
      <c r="E5994" s="5">
        <v>112500</v>
      </c>
      <c r="F5994" s="4">
        <v>0</v>
      </c>
      <c r="G5994" s="5">
        <v>75</v>
      </c>
      <c r="H5994" s="5">
        <v>21050</v>
      </c>
      <c r="I5994" s="118">
        <f t="shared" si="984"/>
        <v>0.18711111111111112</v>
      </c>
      <c r="J5994" s="5">
        <v>114651</v>
      </c>
      <c r="K5994" s="22">
        <v>2030</v>
      </c>
      <c r="L5994" s="6">
        <v>2042.5</v>
      </c>
      <c r="M5994" s="125">
        <f t="shared" ref="M5994" si="1041">L5994-K5994</f>
        <v>12.5</v>
      </c>
      <c r="P5994" s="247">
        <v>15125</v>
      </c>
      <c r="Q5994" s="25">
        <f>168.35/1107.2</f>
        <v>0.15205021676300576</v>
      </c>
      <c r="W5994" s="285">
        <f t="shared" ref="W5994" si="1042">(P5994*Q5994)*(1+U5994)</f>
        <v>2299.7595285404623</v>
      </c>
      <c r="X5994" s="446">
        <f t="shared" si="997"/>
        <v>7.4507389162561575</v>
      </c>
    </row>
    <row r="5995" spans="1:24" ht="15" customHeight="1">
      <c r="A5995" s="3">
        <v>44161</v>
      </c>
      <c r="B5995" s="4">
        <v>32950</v>
      </c>
      <c r="C5995" s="5">
        <v>4425</v>
      </c>
      <c r="D5995" s="5">
        <v>75350</v>
      </c>
      <c r="E5995" s="5">
        <v>112725</v>
      </c>
      <c r="F5995" s="4">
        <v>275</v>
      </c>
      <c r="G5995" s="5">
        <v>50</v>
      </c>
      <c r="H5995" s="5">
        <v>22225</v>
      </c>
      <c r="I5995" s="118">
        <f t="shared" si="984"/>
        <v>0.1971612330893768</v>
      </c>
      <c r="J5995" s="5">
        <v>115045</v>
      </c>
      <c r="K5995" s="22">
        <v>2031.5</v>
      </c>
      <c r="L5995" s="6">
        <v>2046.5</v>
      </c>
      <c r="M5995" s="125">
        <f t="shared" ref="M5995" si="1043">L5995-K5995</f>
        <v>15</v>
      </c>
      <c r="P5995" s="247">
        <v>15125</v>
      </c>
      <c r="Q5995" s="25">
        <f>168.56/1105.8</f>
        <v>0.15243262796165671</v>
      </c>
      <c r="W5995" s="285">
        <f t="shared" ref="W5995" si="1044">(P5995*Q5995)*(1+U5995)</f>
        <v>2305.5434979200577</v>
      </c>
      <c r="X5995" s="446">
        <f t="shared" si="997"/>
        <v>7.4452375092296332</v>
      </c>
    </row>
    <row r="5996" spans="1:24" ht="15" customHeight="1">
      <c r="A5996" s="3">
        <v>44162</v>
      </c>
      <c r="B5996" s="4">
        <v>32950</v>
      </c>
      <c r="C5996" s="5">
        <v>4425</v>
      </c>
      <c r="D5996" s="5">
        <v>75300</v>
      </c>
      <c r="E5996" s="5">
        <v>112675</v>
      </c>
      <c r="F5996" s="4">
        <v>0</v>
      </c>
      <c r="G5996" s="5">
        <v>50</v>
      </c>
      <c r="H5996" s="5">
        <v>22325</v>
      </c>
      <c r="I5996" s="118">
        <f t="shared" si="984"/>
        <v>0.19813623252717993</v>
      </c>
      <c r="J5996" s="5">
        <v>115567</v>
      </c>
      <c r="K5996" s="22">
        <v>2053</v>
      </c>
      <c r="L5996" s="6">
        <v>2061</v>
      </c>
      <c r="M5996" s="125">
        <f t="shared" ref="M5996" si="1045">L5996-K5996</f>
        <v>8</v>
      </c>
      <c r="P5996" s="247">
        <v>15125</v>
      </c>
      <c r="Q5996" s="25">
        <f>168.02/1104.4</f>
        <v>0.15213690691778342</v>
      </c>
      <c r="W5996" s="285">
        <f t="shared" ref="W5996" si="1046">(P5996*Q5996)*(1+U5996)</f>
        <v>2301.0707171314743</v>
      </c>
      <c r="X5996" s="446">
        <f t="shared" si="997"/>
        <v>7.3672674135411595</v>
      </c>
    </row>
    <row r="5997" spans="1:24" ht="15" customHeight="1">
      <c r="A5997" s="3">
        <v>44165</v>
      </c>
      <c r="B5997" s="4">
        <v>32900</v>
      </c>
      <c r="C5997" s="5">
        <v>4425</v>
      </c>
      <c r="D5997" s="5">
        <v>75100</v>
      </c>
      <c r="E5997" s="5">
        <v>112425</v>
      </c>
      <c r="F5997" s="4">
        <v>0</v>
      </c>
      <c r="G5997" s="5">
        <v>250</v>
      </c>
      <c r="H5997" s="5">
        <v>22125</v>
      </c>
      <c r="I5997" s="118">
        <f t="shared" si="984"/>
        <v>0.19679786524349566</v>
      </c>
      <c r="J5997" s="5">
        <v>116823</v>
      </c>
      <c r="K5997" s="22">
        <v>2117.5</v>
      </c>
      <c r="L5997" s="6">
        <v>2127</v>
      </c>
      <c r="M5997" s="125">
        <f t="shared" ref="M5997" si="1047">L5997-K5997</f>
        <v>9.5</v>
      </c>
      <c r="N5997" s="381">
        <f>AVERAGE($K$5977:K5997)</f>
        <v>1914.4761904761904</v>
      </c>
      <c r="O5997" s="395">
        <f>AVERAGE($K$5750:K5997)</f>
        <v>1808.1845493562232</v>
      </c>
      <c r="P5997" s="247">
        <v>15500</v>
      </c>
      <c r="Q5997" s="25">
        <f>168.03/1104.9</f>
        <v>0.15207711105077382</v>
      </c>
      <c r="W5997" s="285">
        <f t="shared" ref="W5997" si="1048">(P5997*Q5997)*(1+U5997)</f>
        <v>2357.1952212869942</v>
      </c>
      <c r="X5997" s="446">
        <f t="shared" si="997"/>
        <v>7.3199527744982289</v>
      </c>
    </row>
    <row r="5998" spans="1:24" ht="15" customHeight="1" thickBot="1">
      <c r="A5998" s="216"/>
      <c r="B5998" s="394"/>
      <c r="C5998" s="394"/>
      <c r="D5998" s="394"/>
      <c r="E5998" s="216"/>
      <c r="F5998" s="407"/>
      <c r="G5998" s="164"/>
      <c r="H5998" s="164"/>
      <c r="I5998" s="164"/>
      <c r="J5998" s="166"/>
      <c r="K5998" s="166"/>
      <c r="L5998" s="167"/>
      <c r="M5998" s="167"/>
      <c r="N5998" s="167"/>
      <c r="O5998" s="167"/>
      <c r="P5998" s="180"/>
      <c r="Q5998" s="154"/>
      <c r="R5998" s="248"/>
      <c r="S5998" s="249"/>
      <c r="T5998" s="249"/>
      <c r="U5998" s="152"/>
      <c r="V5998" s="153">
        <f>AVERAGE(P5977:P5997)</f>
        <v>14700</v>
      </c>
      <c r="W5998" s="390"/>
      <c r="X5998" s="447">
        <f>AVERAGE(X5977:X5997)</f>
        <v>7.6878491599104253</v>
      </c>
    </row>
    <row r="5999" spans="1:24" ht="15" customHeight="1">
      <c r="A5999" s="3">
        <v>44166</v>
      </c>
      <c r="B5999" s="4">
        <v>33200</v>
      </c>
      <c r="C5999" s="5">
        <v>4425</v>
      </c>
      <c r="D5999" s="5">
        <v>75075</v>
      </c>
      <c r="E5999" s="5">
        <v>112700</v>
      </c>
      <c r="F5999" s="4">
        <v>300</v>
      </c>
      <c r="G5999" s="5">
        <v>25</v>
      </c>
      <c r="H5999" s="5">
        <v>22175</v>
      </c>
      <c r="I5999" s="118">
        <f t="shared" ref="I5999:I6016" si="1049">H5999/E5999</f>
        <v>0.19676131322094054</v>
      </c>
      <c r="J5999" s="5">
        <v>114716</v>
      </c>
      <c r="K5999" s="22">
        <v>2065</v>
      </c>
      <c r="L5999" s="6">
        <v>2073.5</v>
      </c>
      <c r="M5999" s="125">
        <f t="shared" ref="M5999" si="1050">L5999-K5999</f>
        <v>8.5</v>
      </c>
      <c r="P5999" s="247">
        <v>15150</v>
      </c>
      <c r="Q5999" s="25">
        <f>168.44/1107.1</f>
        <v>0.15214524433203866</v>
      </c>
      <c r="W5999" s="285">
        <f t="shared" ref="W5999" si="1051">(P5999*Q5999)*(1+U5999)</f>
        <v>2305.0004516303857</v>
      </c>
      <c r="X5999" s="446">
        <f t="shared" si="997"/>
        <v>7.3365617433414041</v>
      </c>
    </row>
    <row r="6000" spans="1:24" ht="15" customHeight="1">
      <c r="A6000" s="3">
        <v>44167</v>
      </c>
      <c r="B6000" s="4">
        <v>33200</v>
      </c>
      <c r="C6000" s="5">
        <v>4225</v>
      </c>
      <c r="D6000" s="5">
        <v>74975</v>
      </c>
      <c r="E6000" s="5">
        <v>112400</v>
      </c>
      <c r="F6000" s="4">
        <v>0</v>
      </c>
      <c r="G6000" s="5">
        <v>300</v>
      </c>
      <c r="H6000" s="5">
        <v>21875</v>
      </c>
      <c r="I6000" s="118">
        <f t="shared" si="1049"/>
        <v>0.19461743772241993</v>
      </c>
      <c r="J6000" s="5">
        <v>115976</v>
      </c>
      <c r="K6000" s="22">
        <v>2031.5</v>
      </c>
      <c r="L6000" s="6">
        <v>2046</v>
      </c>
      <c r="M6000" s="125">
        <f t="shared" ref="M6000" si="1052">L6000-K6000</f>
        <v>14.5</v>
      </c>
      <c r="P6000" s="247">
        <v>14975</v>
      </c>
      <c r="Q6000" s="25">
        <f>168.34/1103.3</f>
        <v>0.15257862775310432</v>
      </c>
      <c r="W6000" s="285">
        <f t="shared" ref="W6000" si="1053">(P6000*Q6000)*(1+U6000)</f>
        <v>2284.8649506027373</v>
      </c>
      <c r="X6000" s="446">
        <f t="shared" si="997"/>
        <v>7.3714004430223969</v>
      </c>
    </row>
    <row r="6001" spans="1:24" ht="15" customHeight="1">
      <c r="A6001" s="3">
        <v>44168</v>
      </c>
      <c r="B6001" s="4">
        <v>33200</v>
      </c>
      <c r="C6001" s="5">
        <v>4025</v>
      </c>
      <c r="D6001" s="5">
        <v>74725</v>
      </c>
      <c r="E6001" s="5">
        <v>111950</v>
      </c>
      <c r="F6001" s="4">
        <v>0</v>
      </c>
      <c r="G6001" s="5">
        <v>450</v>
      </c>
      <c r="H6001" s="5">
        <v>21775</v>
      </c>
      <c r="I6001" s="118">
        <f t="shared" si="1049"/>
        <v>0.1945064761054042</v>
      </c>
      <c r="J6001" s="5">
        <v>116689</v>
      </c>
      <c r="K6001" s="22">
        <v>2046.5</v>
      </c>
      <c r="L6001" s="6">
        <v>2058</v>
      </c>
      <c r="M6001" s="125">
        <f t="shared" ref="M6001:M6003" si="1054">L6001-K6001</f>
        <v>11.5</v>
      </c>
      <c r="P6001" s="247">
        <v>14875</v>
      </c>
      <c r="Q6001" s="25">
        <f>167.56/1098.1</f>
        <v>0.15259083872142792</v>
      </c>
      <c r="W6001" s="285">
        <f t="shared" ref="W6001" si="1055">(P6001*Q6001)*(1+U6001)</f>
        <v>2269.7887259812405</v>
      </c>
      <c r="X6001" s="446">
        <f t="shared" si="997"/>
        <v>7.2685072074273149</v>
      </c>
    </row>
    <row r="6002" spans="1:24" ht="15" customHeight="1">
      <c r="A6002" s="3">
        <v>44169</v>
      </c>
      <c r="B6002" s="4">
        <v>32500</v>
      </c>
      <c r="C6002" s="5">
        <v>4025</v>
      </c>
      <c r="D6002" s="5">
        <v>74700</v>
      </c>
      <c r="E6002" s="5">
        <v>111225</v>
      </c>
      <c r="F6002" s="4">
        <v>0</v>
      </c>
      <c r="G6002" s="5">
        <v>725</v>
      </c>
      <c r="H6002" s="5">
        <v>22925</v>
      </c>
      <c r="I6002" s="118">
        <f t="shared" si="1049"/>
        <v>0.20611373342324119</v>
      </c>
      <c r="J6002" s="5">
        <v>118272</v>
      </c>
      <c r="K6002" s="22">
        <v>2026.5</v>
      </c>
      <c r="L6002" s="6">
        <v>2041.5</v>
      </c>
      <c r="M6002" s="125">
        <f t="shared" si="1054"/>
        <v>15</v>
      </c>
      <c r="P6002" s="247">
        <v>14800</v>
      </c>
      <c r="Q6002" s="25">
        <f>166.42/1086.6</f>
        <v>0.15315663537640345</v>
      </c>
      <c r="W6002" s="285">
        <f t="shared" ref="W6002" si="1056">(P6002*Q6002)*(1+U6002)</f>
        <v>2266.718203570771</v>
      </c>
      <c r="X6002" s="446">
        <f t="shared" si="997"/>
        <v>7.3032321736984951</v>
      </c>
    </row>
    <row r="6003" spans="1:24" ht="15" customHeight="1">
      <c r="A6003" s="3">
        <v>44172</v>
      </c>
      <c r="B6003" s="4">
        <v>32050</v>
      </c>
      <c r="C6003" s="5">
        <v>4025</v>
      </c>
      <c r="D6003" s="5">
        <v>74675</v>
      </c>
      <c r="E6003" s="5">
        <v>110750</v>
      </c>
      <c r="F6003" s="4">
        <v>0</v>
      </c>
      <c r="G6003" s="5">
        <v>475</v>
      </c>
      <c r="H6003" s="5">
        <v>26650</v>
      </c>
      <c r="I6003" s="118">
        <f t="shared" si="1049"/>
        <v>0.24063205417607222</v>
      </c>
      <c r="J6003" s="5">
        <v>118806</v>
      </c>
      <c r="K6003" s="22">
        <v>2012.5</v>
      </c>
      <c r="L6003" s="6">
        <v>2026.5</v>
      </c>
      <c r="M6003" s="125">
        <f t="shared" si="1054"/>
        <v>14</v>
      </c>
      <c r="P6003" s="247">
        <v>14675</v>
      </c>
      <c r="Q6003" s="25">
        <f>166.08/1082.7</f>
        <v>0.15339429204765864</v>
      </c>
      <c r="W6003" s="285">
        <f t="shared" ref="W6003" si="1057">(P6003*Q6003)*(1+U6003)</f>
        <v>2251.0612357993905</v>
      </c>
      <c r="X6003" s="446">
        <f t="shared" si="997"/>
        <v>7.2919254658385091</v>
      </c>
    </row>
    <row r="6004" spans="1:24" ht="15" customHeight="1">
      <c r="A6004" s="3">
        <v>44173</v>
      </c>
      <c r="B6004" s="4">
        <v>32050</v>
      </c>
      <c r="C6004" s="5">
        <v>3975</v>
      </c>
      <c r="D6004" s="5">
        <v>74625</v>
      </c>
      <c r="E6004" s="5">
        <v>110650</v>
      </c>
      <c r="F6004" s="4">
        <v>0</v>
      </c>
      <c r="G6004" s="5">
        <v>100</v>
      </c>
      <c r="H6004" s="5">
        <v>26550</v>
      </c>
      <c r="I6004" s="118">
        <f t="shared" si="1049"/>
        <v>0.23994577496610936</v>
      </c>
      <c r="J6004" s="5">
        <v>120988</v>
      </c>
      <c r="K6004" s="22">
        <v>2063</v>
      </c>
      <c r="L6004" s="6">
        <v>2073.5</v>
      </c>
      <c r="M6004" s="125">
        <f t="shared" ref="M6004" si="1058">L6004-K6004</f>
        <v>10.5</v>
      </c>
      <c r="P6004" s="247">
        <v>14900</v>
      </c>
      <c r="Q6004" s="25">
        <f>166.18/1084.4</f>
        <v>0.15324603467355219</v>
      </c>
      <c r="W6004" s="285">
        <f t="shared" ref="W6004" si="1059">(P6004*Q6004)*(1+U6004)</f>
        <v>2283.3659166359275</v>
      </c>
      <c r="X6004" s="446">
        <f t="shared" si="997"/>
        <v>7.22249151720795</v>
      </c>
    </row>
    <row r="6005" spans="1:24" ht="15" customHeight="1">
      <c r="A6005" s="3">
        <v>44174</v>
      </c>
      <c r="B6005" s="4">
        <v>32050</v>
      </c>
      <c r="C6005" s="24">
        <v>3700</v>
      </c>
      <c r="D6005" s="24">
        <v>74625</v>
      </c>
      <c r="E6005" s="5">
        <v>110375</v>
      </c>
      <c r="F6005" s="4">
        <v>0</v>
      </c>
      <c r="G6005" s="5">
        <v>275</v>
      </c>
      <c r="H6005" s="5">
        <v>26325</v>
      </c>
      <c r="I6005" s="118">
        <f t="shared" si="1049"/>
        <v>0.23850509626274066</v>
      </c>
      <c r="J6005" s="5">
        <v>121412</v>
      </c>
      <c r="K6005" s="22">
        <v>2100</v>
      </c>
      <c r="L6005" s="6">
        <v>2103.5</v>
      </c>
      <c r="M6005" s="125">
        <f t="shared" ref="M6005" si="1060">L6005-K6005</f>
        <v>3.5</v>
      </c>
      <c r="P6005" s="247">
        <v>15000</v>
      </c>
      <c r="Q6005" s="25">
        <f>166.42/1083.6</f>
        <v>0.15358065706902915</v>
      </c>
      <c r="W6005" s="285">
        <f t="shared" ref="W6005" si="1061">(P6005*Q6005)*(1+U6005)</f>
        <v>2303.7098560354375</v>
      </c>
      <c r="X6005" s="446">
        <f t="shared" si="997"/>
        <v>7.1428571428571432</v>
      </c>
    </row>
    <row r="6006" spans="1:24" ht="15" customHeight="1">
      <c r="A6006" s="3">
        <v>44175</v>
      </c>
      <c r="B6006" s="4">
        <v>32050</v>
      </c>
      <c r="C6006" s="5">
        <v>3375</v>
      </c>
      <c r="D6006" s="5">
        <v>74550</v>
      </c>
      <c r="E6006" s="5">
        <v>109975</v>
      </c>
      <c r="F6006" s="4">
        <v>0</v>
      </c>
      <c r="G6006" s="5">
        <v>400</v>
      </c>
      <c r="H6006" s="5">
        <v>25925</v>
      </c>
      <c r="I6006" s="118">
        <f t="shared" si="1049"/>
        <v>0.23573539440781996</v>
      </c>
      <c r="J6006" s="5">
        <v>122206</v>
      </c>
      <c r="K6006" s="22">
        <v>2083</v>
      </c>
      <c r="L6006" s="6">
        <v>2088.5</v>
      </c>
      <c r="M6006" s="125">
        <f t="shared" ref="M6006" si="1062">L6006-K6006</f>
        <v>5.5</v>
      </c>
      <c r="P6006" s="247">
        <v>14825</v>
      </c>
      <c r="Q6006" s="25">
        <f>166.34/1086.2</f>
        <v>0.15313938501196833</v>
      </c>
      <c r="W6006" s="285">
        <f t="shared" ref="W6006" si="1063">(P6006*Q6006)*(1+U6006)</f>
        <v>2270.2913828024307</v>
      </c>
      <c r="X6006" s="446">
        <f t="shared" si="997"/>
        <v>7.117138742198752</v>
      </c>
    </row>
    <row r="6007" spans="1:24" ht="15" customHeight="1">
      <c r="A6007" s="3">
        <v>44176</v>
      </c>
      <c r="B6007" s="4">
        <v>32050</v>
      </c>
      <c r="C6007" s="5">
        <v>3150</v>
      </c>
      <c r="D6007" s="5">
        <v>74625</v>
      </c>
      <c r="E6007" s="5">
        <v>109825</v>
      </c>
      <c r="F6007" s="4">
        <v>75</v>
      </c>
      <c r="G6007" s="5">
        <v>225</v>
      </c>
      <c r="H6007" s="5">
        <v>25475</v>
      </c>
      <c r="I6007" s="118">
        <f t="shared" si="1049"/>
        <v>0.23195993626223538</v>
      </c>
      <c r="J6007" s="5">
        <v>122869</v>
      </c>
      <c r="K6007" s="22">
        <v>2058.5</v>
      </c>
      <c r="L6007" s="6">
        <v>2060</v>
      </c>
      <c r="M6007" s="125">
        <f t="shared" ref="M6007" si="1064">L6007-K6007</f>
        <v>1.5</v>
      </c>
      <c r="P6007" s="247">
        <v>14900</v>
      </c>
      <c r="Q6007" s="25">
        <f>166.75/1089.3</f>
        <v>0.15307995960708712</v>
      </c>
      <c r="W6007" s="285">
        <f t="shared" ref="W6007:W6013" si="1065">(P6007*Q6007)*(1+U6007)</f>
        <v>2280.891398145598</v>
      </c>
      <c r="X6007" s="446">
        <f t="shared" si="997"/>
        <v>7.2382803011901871</v>
      </c>
    </row>
    <row r="6008" spans="1:24" ht="15" customHeight="1">
      <c r="A6008" s="3">
        <v>44179</v>
      </c>
      <c r="B6008" s="4">
        <v>32050</v>
      </c>
      <c r="C6008" s="5">
        <v>2925</v>
      </c>
      <c r="D6008" s="5">
        <v>85025</v>
      </c>
      <c r="E6008" s="5">
        <v>120000</v>
      </c>
      <c r="F6008" s="4">
        <v>10400</v>
      </c>
      <c r="G6008" s="5">
        <v>225</v>
      </c>
      <c r="H6008" s="5">
        <v>25525</v>
      </c>
      <c r="I6008" s="118">
        <f t="shared" si="1049"/>
        <v>0.21270833333333333</v>
      </c>
      <c r="J6008" s="5">
        <v>122800</v>
      </c>
      <c r="K6008" s="22">
        <v>2045</v>
      </c>
      <c r="L6008" s="6">
        <v>2053</v>
      </c>
      <c r="M6008" s="125">
        <f t="shared" ref="M6008" si="1066">L6008-K6008</f>
        <v>8</v>
      </c>
      <c r="P6008" s="247">
        <v>14775</v>
      </c>
      <c r="Q6008" s="25">
        <f>167.08/1090.8</f>
        <v>0.15317198386505318</v>
      </c>
      <c r="W6008" s="285">
        <f t="shared" si="1065"/>
        <v>2263.1160616061607</v>
      </c>
      <c r="X6008" s="446">
        <f t="shared" si="997"/>
        <v>7.2249388753056234</v>
      </c>
    </row>
    <row r="6009" spans="1:24" ht="15" customHeight="1">
      <c r="A6009" s="3">
        <v>44180</v>
      </c>
      <c r="B6009" s="4">
        <v>32050</v>
      </c>
      <c r="C6009" s="5">
        <v>2925</v>
      </c>
      <c r="D6009" s="5">
        <v>85025</v>
      </c>
      <c r="E6009" s="5">
        <v>120000</v>
      </c>
      <c r="F6009" s="4">
        <v>0</v>
      </c>
      <c r="G6009" s="5">
        <v>0</v>
      </c>
      <c r="H6009" s="5">
        <v>25525</v>
      </c>
      <c r="I6009" s="118">
        <f t="shared" si="1049"/>
        <v>0.21270833333333333</v>
      </c>
      <c r="J6009" s="5">
        <v>120821</v>
      </c>
      <c r="K6009" s="22">
        <v>2034</v>
      </c>
      <c r="L6009" s="6">
        <v>2040</v>
      </c>
      <c r="M6009" s="125">
        <f t="shared" ref="M6009" si="1067">L6009-K6009</f>
        <v>6</v>
      </c>
      <c r="P6009" s="247">
        <v>14600</v>
      </c>
      <c r="Q6009" s="25">
        <f>167.29/1093.2</f>
        <v>0.15302780826930112</v>
      </c>
      <c r="W6009" s="285">
        <f t="shared" si="1065"/>
        <v>2234.2060007317964</v>
      </c>
      <c r="X6009" s="446">
        <f t="shared" si="997"/>
        <v>7.1779744346116026</v>
      </c>
    </row>
    <row r="6010" spans="1:24" ht="15" customHeight="1">
      <c r="A6010" s="3">
        <v>44181</v>
      </c>
      <c r="B6010" s="4">
        <v>32125</v>
      </c>
      <c r="C6010" s="5">
        <v>2525</v>
      </c>
      <c r="D6010" s="5">
        <v>84950</v>
      </c>
      <c r="E6010" s="5">
        <v>119600</v>
      </c>
      <c r="F6010" s="4">
        <v>75</v>
      </c>
      <c r="G6010" s="5">
        <v>475</v>
      </c>
      <c r="H6010" s="5">
        <v>28075</v>
      </c>
      <c r="I6010" s="118">
        <f t="shared" si="1049"/>
        <v>0.23474080267558528</v>
      </c>
      <c r="J6010" s="5">
        <v>119025</v>
      </c>
      <c r="K6010" s="22">
        <v>2062</v>
      </c>
      <c r="L6010" s="6">
        <v>2049.5</v>
      </c>
      <c r="M6010" s="125">
        <f t="shared" ref="M6010" si="1068">L6010-K6010</f>
        <v>-12.5</v>
      </c>
      <c r="P6010" s="247">
        <v>14650</v>
      </c>
      <c r="Q6010" s="25">
        <f>167.41/1092.2</f>
        <v>0.15327778795092473</v>
      </c>
      <c r="W6010" s="285">
        <f t="shared" si="1065"/>
        <v>2245.5195934810472</v>
      </c>
      <c r="X6010" s="446">
        <f t="shared" si="997"/>
        <v>7.1047526673132877</v>
      </c>
    </row>
    <row r="6011" spans="1:24" ht="15" customHeight="1">
      <c r="A6011" s="3">
        <v>44182</v>
      </c>
      <c r="B6011" s="4">
        <v>32125</v>
      </c>
      <c r="C6011" s="5">
        <v>2325</v>
      </c>
      <c r="D6011" s="5">
        <v>96625</v>
      </c>
      <c r="E6011" s="5">
        <v>131075</v>
      </c>
      <c r="F6011" s="4">
        <v>11675</v>
      </c>
      <c r="G6011" s="5">
        <v>200</v>
      </c>
      <c r="H6011" s="5">
        <v>26750</v>
      </c>
      <c r="I6011" s="118">
        <f t="shared" si="1049"/>
        <v>0.20408163265306123</v>
      </c>
      <c r="J6011" s="5">
        <v>117725</v>
      </c>
      <c r="K6011" s="22">
        <v>2046.5</v>
      </c>
      <c r="L6011" s="6">
        <v>2048</v>
      </c>
      <c r="M6011" s="125">
        <f t="shared" ref="M6011" si="1069">L6011-K6011</f>
        <v>1.5</v>
      </c>
      <c r="P6011" s="247">
        <v>14750</v>
      </c>
      <c r="Q6011" s="25">
        <f>167.83/1092.8</f>
        <v>0.15357796486090777</v>
      </c>
      <c r="W6011" s="285">
        <f t="shared" si="1065"/>
        <v>2265.2749816983896</v>
      </c>
      <c r="X6011" s="446">
        <f t="shared" si="997"/>
        <v>7.2074273149279255</v>
      </c>
    </row>
    <row r="6012" spans="1:24" ht="15" customHeight="1">
      <c r="A6012" s="3">
        <v>44183</v>
      </c>
      <c r="B6012" s="4">
        <v>33200</v>
      </c>
      <c r="C6012" s="5">
        <v>2150</v>
      </c>
      <c r="D6012" s="5">
        <v>96600</v>
      </c>
      <c r="E6012" s="5">
        <v>131950</v>
      </c>
      <c r="F6012" s="4">
        <v>1075</v>
      </c>
      <c r="G6012" s="5">
        <v>200</v>
      </c>
      <c r="H6012" s="5">
        <v>26625</v>
      </c>
      <c r="I6012" s="118">
        <f t="shared" si="1049"/>
        <v>0.20178097764304662</v>
      </c>
      <c r="J6012" s="5">
        <v>116863</v>
      </c>
      <c r="K6012" s="22">
        <v>2040.5</v>
      </c>
      <c r="L6012" s="6">
        <v>2041</v>
      </c>
      <c r="M6012" s="125">
        <f t="shared" ref="M6012" si="1070">L6012-K6012</f>
        <v>0.5</v>
      </c>
      <c r="P6012" s="247">
        <v>14700</v>
      </c>
      <c r="Q6012" s="25">
        <f>168.5/1097.9</f>
        <v>0.1534748155569724</v>
      </c>
      <c r="W6012" s="285">
        <f t="shared" si="1065"/>
        <v>2256.0797886874943</v>
      </c>
      <c r="X6012" s="446">
        <f t="shared" si="997"/>
        <v>7.2041166380789026</v>
      </c>
    </row>
    <row r="6013" spans="1:24" ht="15" customHeight="1">
      <c r="A6013" s="3">
        <v>44186</v>
      </c>
      <c r="B6013" s="4">
        <v>35150</v>
      </c>
      <c r="C6013" s="5">
        <v>2025</v>
      </c>
      <c r="D6013" s="5">
        <v>96600</v>
      </c>
      <c r="E6013" s="5">
        <v>133775</v>
      </c>
      <c r="F6013" s="4">
        <v>1950</v>
      </c>
      <c r="G6013" s="5">
        <v>125</v>
      </c>
      <c r="H6013" s="5">
        <v>26450</v>
      </c>
      <c r="I6013" s="118">
        <f t="shared" si="1049"/>
        <v>0.19772005232666792</v>
      </c>
      <c r="J6013" s="5">
        <v>118032</v>
      </c>
      <c r="K6013" s="22">
        <v>1957</v>
      </c>
      <c r="L6013" s="6">
        <v>1973</v>
      </c>
      <c r="M6013" s="125">
        <f t="shared" ref="M6013" si="1071">L6013-K6013</f>
        <v>16</v>
      </c>
      <c r="P6013" s="247">
        <v>14550</v>
      </c>
      <c r="Q6013" s="25">
        <f>168.42/1101.2</f>
        <v>0.15294224482382854</v>
      </c>
      <c r="W6013" s="285">
        <f t="shared" si="1065"/>
        <v>2225.3096621867053</v>
      </c>
      <c r="X6013" s="446">
        <f t="shared" si="997"/>
        <v>7.4348492590700053</v>
      </c>
    </row>
    <row r="6014" spans="1:24" ht="15" customHeight="1">
      <c r="A6014" s="3">
        <v>44187</v>
      </c>
      <c r="B6014" s="4">
        <v>35150</v>
      </c>
      <c r="C6014" s="5">
        <v>2025</v>
      </c>
      <c r="D6014" s="5">
        <v>96600</v>
      </c>
      <c r="E6014" s="5">
        <v>133775</v>
      </c>
      <c r="F6014" s="4">
        <v>0</v>
      </c>
      <c r="G6014" s="5">
        <v>0</v>
      </c>
      <c r="H6014" s="5">
        <v>31675</v>
      </c>
      <c r="I6014" s="118">
        <f t="shared" si="1049"/>
        <v>0.2367781723042422</v>
      </c>
      <c r="J6014" s="5">
        <v>117484</v>
      </c>
      <c r="K6014" s="22">
        <v>1932.5</v>
      </c>
      <c r="L6014" s="6">
        <v>1954</v>
      </c>
      <c r="M6014" s="125">
        <f t="shared" ref="M6014" si="1072">L6014-K6014</f>
        <v>21.5</v>
      </c>
      <c r="P6014" s="247">
        <v>14375</v>
      </c>
      <c r="Q6014" s="25">
        <f>169.18/1106.6</f>
        <v>0.15288270377733601</v>
      </c>
      <c r="W6014" s="285">
        <f t="shared" ref="W6014:W6019" si="1073">(P6014*Q6014)*(1+U6014)</f>
        <v>2197.6888667992052</v>
      </c>
      <c r="X6014" s="446">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18">
        <f t="shared" si="1049"/>
        <v>0.2367781723042422</v>
      </c>
      <c r="J6015" s="5">
        <v>115944</v>
      </c>
      <c r="K6015" s="22">
        <v>1955</v>
      </c>
      <c r="L6015" s="6">
        <v>1972.5</v>
      </c>
      <c r="M6015" s="125">
        <f t="shared" ref="M6015" si="1075">L6015-K6015</f>
        <v>17.5</v>
      </c>
      <c r="P6015" s="247">
        <v>14275</v>
      </c>
      <c r="Q6015" s="25">
        <f>169.57/1108.9</f>
        <v>0.15291730543782125</v>
      </c>
      <c r="W6015" s="285">
        <f t="shared" si="1073"/>
        <v>2182.8945351248985</v>
      </c>
      <c r="X6015" s="446">
        <f t="shared" si="1074"/>
        <v>7.3017902813299234</v>
      </c>
    </row>
    <row r="6016" spans="1:24" ht="15" customHeight="1">
      <c r="A6016" s="3">
        <v>44189</v>
      </c>
      <c r="B6016" s="4">
        <v>35150</v>
      </c>
      <c r="C6016" s="5">
        <v>1825</v>
      </c>
      <c r="D6016" s="5">
        <v>96875</v>
      </c>
      <c r="E6016" s="5">
        <v>133850</v>
      </c>
      <c r="F6016" s="4">
        <v>275</v>
      </c>
      <c r="G6016" s="5">
        <v>200</v>
      </c>
      <c r="H6016" s="5">
        <v>31700</v>
      </c>
      <c r="I6016" s="118">
        <f t="shared" si="1049"/>
        <v>0.23683227493462833</v>
      </c>
      <c r="J6016" s="5">
        <v>114908</v>
      </c>
      <c r="K6016" s="22">
        <v>1956.5</v>
      </c>
      <c r="L6016" s="6">
        <v>1976</v>
      </c>
      <c r="M6016" s="125">
        <f t="shared" ref="M6016" si="1076">L6016-K6016</f>
        <v>19.5</v>
      </c>
      <c r="P6016" s="247">
        <v>14600</v>
      </c>
      <c r="Q6016" s="25">
        <f>169.25/1103.7</f>
        <v>0.15334783002627525</v>
      </c>
      <c r="W6016" s="285">
        <f t="shared" si="1073"/>
        <v>2238.8783183836185</v>
      </c>
      <c r="X6016" s="446">
        <f t="shared" si="1074"/>
        <v>7.4623051367237414</v>
      </c>
    </row>
    <row r="6017" spans="1:24" ht="15" customHeight="1">
      <c r="A6017" s="3">
        <v>44190</v>
      </c>
      <c r="B6017" s="1318" t="s">
        <v>61</v>
      </c>
      <c r="C6017" s="1318"/>
      <c r="D6017" s="1318"/>
      <c r="E6017" s="1318"/>
      <c r="F6017" s="1318"/>
      <c r="G6017" s="1318"/>
      <c r="H6017" s="1318"/>
      <c r="I6017" s="1318"/>
      <c r="J6017" s="1318"/>
      <c r="K6017" s="1318"/>
      <c r="L6017" s="1318"/>
      <c r="M6017" s="1318"/>
      <c r="X6017" s="446"/>
    </row>
    <row r="6018" spans="1:24" ht="15" customHeight="1">
      <c r="A6018" s="3">
        <v>44193</v>
      </c>
      <c r="B6018" s="1318"/>
      <c r="C6018" s="1318"/>
      <c r="D6018" s="1318"/>
      <c r="E6018" s="1318"/>
      <c r="F6018" s="1318"/>
      <c r="G6018" s="1318"/>
      <c r="H6018" s="1318"/>
      <c r="I6018" s="1318"/>
      <c r="J6018" s="1318"/>
      <c r="K6018" s="1318"/>
      <c r="L6018" s="1318"/>
      <c r="M6018" s="1318"/>
      <c r="P6018" s="247">
        <v>14725</v>
      </c>
      <c r="Q6018" s="25">
        <f>168.22/1098.2</f>
        <v>0.15317792751775633</v>
      </c>
      <c r="W6018" s="285">
        <f>(P6018*Q6018)*(1+U6018)</f>
        <v>2255.544982698962</v>
      </c>
      <c r="X6018" s="446"/>
    </row>
    <row r="6019" spans="1:24" ht="15" customHeight="1">
      <c r="A6019" s="3">
        <v>44194</v>
      </c>
      <c r="B6019" s="4">
        <v>35150</v>
      </c>
      <c r="C6019" s="5">
        <v>1825</v>
      </c>
      <c r="D6019" s="5">
        <v>96875</v>
      </c>
      <c r="E6019" s="5">
        <v>133850</v>
      </c>
      <c r="F6019" s="4">
        <v>0</v>
      </c>
      <c r="G6019" s="5">
        <v>0</v>
      </c>
      <c r="H6019" s="5">
        <v>32700</v>
      </c>
      <c r="I6019" s="118">
        <f t="shared" ref="I6019:I6089" si="1077">H6019/E6019</f>
        <v>0.24430332461710871</v>
      </c>
      <c r="J6019" s="5">
        <v>114498</v>
      </c>
      <c r="K6019" s="22">
        <v>1937</v>
      </c>
      <c r="L6019" s="6">
        <v>1959</v>
      </c>
      <c r="M6019" s="125">
        <f t="shared" ref="M6019:M6020" si="1078">L6019-K6019</f>
        <v>22</v>
      </c>
      <c r="P6019" s="247">
        <v>14600</v>
      </c>
      <c r="Q6019" s="25">
        <f>167.56/1093.2</f>
        <v>0.15327478960848884</v>
      </c>
      <c r="W6019" s="285">
        <f t="shared" si="1073"/>
        <v>2237.811928283937</v>
      </c>
      <c r="X6019" s="446">
        <f t="shared" si="1074"/>
        <v>7.5374290139390814</v>
      </c>
    </row>
    <row r="6020" spans="1:24" ht="15" customHeight="1">
      <c r="A6020" s="3">
        <v>44195</v>
      </c>
      <c r="B6020" s="4">
        <v>35125</v>
      </c>
      <c r="C6020" s="5">
        <v>1650</v>
      </c>
      <c r="D6020" s="5">
        <v>96875</v>
      </c>
      <c r="E6020" s="5">
        <v>133650</v>
      </c>
      <c r="F6020" s="4">
        <v>0</v>
      </c>
      <c r="G6020" s="5">
        <v>200</v>
      </c>
      <c r="H6020" s="5">
        <v>32500</v>
      </c>
      <c r="I6020" s="118">
        <f t="shared" si="1077"/>
        <v>0.24317246539468762</v>
      </c>
      <c r="J6020" s="5">
        <v>114468</v>
      </c>
      <c r="K6020" s="22">
        <v>1966</v>
      </c>
      <c r="L6020" s="6">
        <v>1981.5</v>
      </c>
      <c r="M6020" s="125">
        <f t="shared" si="1078"/>
        <v>15.5</v>
      </c>
      <c r="P6020" s="247">
        <v>14625</v>
      </c>
      <c r="Q6020" s="25">
        <f>166.96/1088</f>
        <v>0.15345588235294119</v>
      </c>
      <c r="W6020" s="285">
        <f t="shared" ref="W6020" si="1079">(P6020*Q6020)*(1+U6020)</f>
        <v>2244.2922794117649</v>
      </c>
      <c r="X6020" s="446">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18">
        <f t="shared" si="1077"/>
        <v>0.28057688705750139</v>
      </c>
      <c r="J6021" s="5">
        <v>114705</v>
      </c>
      <c r="K6021" s="22">
        <v>1972</v>
      </c>
      <c r="L6021" s="6">
        <v>1982.5</v>
      </c>
      <c r="M6021" s="125">
        <f t="shared" ref="M6021" si="1081">L6021-K6021</f>
        <v>10.5</v>
      </c>
      <c r="N6021" s="381">
        <f>AVERAGE($K$5999:K6021)</f>
        <v>2018.5952380952381</v>
      </c>
      <c r="O6021" s="395">
        <f>AVERAGE($K$5750:K6021)</f>
        <v>1825.5807086614172</v>
      </c>
      <c r="P6021" s="247">
        <v>14750</v>
      </c>
      <c r="Q6021" s="25">
        <f>166.96/1088</f>
        <v>0.15345588235294119</v>
      </c>
      <c r="W6021" s="285">
        <f t="shared" ref="W6021" si="1082">(P6021*Q6021)*(1+U6021)</f>
        <v>2263.4742647058824</v>
      </c>
      <c r="X6021" s="446">
        <f t="shared" ref="X6021" si="1083">P6021/K6021</f>
        <v>7.479716024340771</v>
      </c>
    </row>
    <row r="6022" spans="1:24" ht="15" customHeight="1" thickBot="1">
      <c r="A6022" s="216"/>
      <c r="B6022" s="394"/>
      <c r="C6022" s="394"/>
      <c r="D6022" s="394"/>
      <c r="E6022" s="216"/>
      <c r="F6022" s="407"/>
      <c r="G6022" s="164"/>
      <c r="H6022" s="164"/>
      <c r="I6022" s="164"/>
      <c r="J6022" s="166"/>
      <c r="K6022" s="166"/>
      <c r="L6022" s="167"/>
      <c r="M6022" s="167"/>
      <c r="N6022" s="167"/>
      <c r="O6022" s="167"/>
      <c r="P6022" s="180"/>
      <c r="Q6022" s="154"/>
      <c r="R6022" s="248"/>
      <c r="S6022" s="249"/>
      <c r="T6022" s="249"/>
      <c r="U6022" s="152"/>
      <c r="V6022" s="153">
        <f>AVERAGE(P5999:P6021)</f>
        <v>14730.681818181818</v>
      </c>
      <c r="W6022" s="390"/>
      <c r="X6022" s="447">
        <f>V6022/N6021</f>
        <v>7.2974916120786064</v>
      </c>
    </row>
    <row r="6023" spans="1:24" ht="15" customHeight="1">
      <c r="A6023" s="3">
        <v>44200</v>
      </c>
      <c r="B6023" s="4">
        <v>35125</v>
      </c>
      <c r="C6023" s="5">
        <v>1550</v>
      </c>
      <c r="D6023" s="5">
        <v>96500</v>
      </c>
      <c r="E6023" s="5">
        <v>133175</v>
      </c>
      <c r="F6023" s="4">
        <v>0</v>
      </c>
      <c r="G6023" s="5">
        <v>300</v>
      </c>
      <c r="H6023" s="5">
        <v>52225</v>
      </c>
      <c r="I6023" s="118">
        <f t="shared" si="1077"/>
        <v>0.39215318190351039</v>
      </c>
      <c r="J6023" s="5">
        <v>113174</v>
      </c>
      <c r="K6023" s="22">
        <v>2023.5</v>
      </c>
      <c r="L6023" s="6">
        <v>2042</v>
      </c>
      <c r="M6023" s="125">
        <f t="shared" ref="M6023" si="1084">L6023-K6023</f>
        <v>18.5</v>
      </c>
      <c r="P6023" s="247">
        <v>14750</v>
      </c>
      <c r="Q6023" s="25">
        <f>167.55/1083.1</f>
        <v>0.15469485735389163</v>
      </c>
      <c r="W6023" s="285">
        <f t="shared" ref="W6023" si="1085">(P6023*Q6023)*(1+U6023)</f>
        <v>2281.7491459699017</v>
      </c>
      <c r="X6023" s="446">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18">
        <f t="shared" si="1077"/>
        <v>0.42843691148775892</v>
      </c>
      <c r="J6024" s="5">
        <v>114249</v>
      </c>
      <c r="K6024" s="22">
        <v>2043.5</v>
      </c>
      <c r="L6024" s="6">
        <v>2059</v>
      </c>
      <c r="M6024" s="125">
        <f t="shared" ref="M6024" si="1087">L6024-K6024</f>
        <v>15.5</v>
      </c>
      <c r="P6024" s="247">
        <v>14925</v>
      </c>
      <c r="Q6024" s="25">
        <f>168.7/1086.1</f>
        <v>0.15532639720099439</v>
      </c>
      <c r="W6024" s="285">
        <f t="shared" ref="W6024" si="1088">(P6024*Q6024)*(1+U6024)</f>
        <v>2318.2464782248412</v>
      </c>
      <c r="X6024" s="446">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18">
        <f t="shared" si="1077"/>
        <v>0.4275745001886081</v>
      </c>
      <c r="J6025" s="5">
        <v>114460</v>
      </c>
      <c r="K6025" s="22">
        <v>2068.5</v>
      </c>
      <c r="L6025" s="6">
        <v>2081.5</v>
      </c>
      <c r="M6025" s="125">
        <f t="shared" ref="M6025" si="1090">L6025-K6025</f>
        <v>13</v>
      </c>
      <c r="P6025" s="247">
        <v>14925</v>
      </c>
      <c r="Q6025" s="25">
        <f>168.86/1086.8</f>
        <v>0.15537357379462644</v>
      </c>
      <c r="W6025" s="285">
        <f t="shared" ref="W6025:W6032" si="1091">(P6025*Q6025)*(1+U6025)</f>
        <v>2318.9505888847993</v>
      </c>
      <c r="X6025" s="446">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18">
        <f t="shared" si="1077"/>
        <v>0.42630085146641439</v>
      </c>
      <c r="J6026" s="5">
        <v>114636</v>
      </c>
      <c r="K6026" s="22">
        <v>2026.5</v>
      </c>
      <c r="L6026" s="6">
        <v>2042</v>
      </c>
      <c r="M6026" s="125">
        <f t="shared" ref="M6026" si="1093">L6026-K6026</f>
        <v>15.5</v>
      </c>
      <c r="P6026" s="247">
        <v>15000</v>
      </c>
      <c r="Q6026" s="25">
        <f>168.9/1087.7</f>
        <v>0.15528178725751585</v>
      </c>
      <c r="W6026" s="285">
        <f t="shared" si="1091"/>
        <v>2329.2268088627375</v>
      </c>
      <c r="X6026" s="446">
        <f t="shared" si="1092"/>
        <v>7.4019245003700966</v>
      </c>
    </row>
    <row r="6027" spans="1:24" ht="15" customHeight="1">
      <c r="A6027" s="3">
        <v>44204</v>
      </c>
      <c r="B6027" s="4">
        <v>35025</v>
      </c>
      <c r="C6027" s="5">
        <v>875</v>
      </c>
      <c r="D6027" s="5">
        <v>96075</v>
      </c>
      <c r="E6027" s="5">
        <v>131975</v>
      </c>
      <c r="F6027" s="4">
        <v>0</v>
      </c>
      <c r="G6027" s="5">
        <v>150</v>
      </c>
      <c r="H6027" s="5">
        <v>56175</v>
      </c>
      <c r="I6027" s="118">
        <f t="shared" si="1077"/>
        <v>0.42564879712066678</v>
      </c>
      <c r="J6027" s="5">
        <v>115793</v>
      </c>
      <c r="K6027" s="22">
        <v>2000</v>
      </c>
      <c r="L6027" s="6">
        <v>2019.5</v>
      </c>
      <c r="M6027" s="125">
        <f t="shared" ref="M6027" si="1094">L6027-K6027</f>
        <v>19.5</v>
      </c>
      <c r="P6027" s="247">
        <v>14875</v>
      </c>
      <c r="Q6027" s="25">
        <f>169.41/1094.4</f>
        <v>0.15479714912280701</v>
      </c>
      <c r="W6027" s="285">
        <f t="shared" si="1091"/>
        <v>2302.6075932017543</v>
      </c>
      <c r="X6027" s="446">
        <f t="shared" si="1092"/>
        <v>7.4375</v>
      </c>
    </row>
    <row r="6028" spans="1:24" ht="15" customHeight="1">
      <c r="A6028" s="3">
        <v>44207</v>
      </c>
      <c r="B6028" s="4">
        <v>34975</v>
      </c>
      <c r="C6028" s="5">
        <v>850</v>
      </c>
      <c r="D6028" s="5">
        <v>96075</v>
      </c>
      <c r="E6028" s="5">
        <v>131900</v>
      </c>
      <c r="F6028" s="4">
        <v>0</v>
      </c>
      <c r="G6028" s="5">
        <v>75</v>
      </c>
      <c r="H6028" s="5">
        <v>56800</v>
      </c>
      <c r="I6028" s="118">
        <f t="shared" si="1077"/>
        <v>0.43062926459438972</v>
      </c>
      <c r="J6028" s="5">
        <v>113778</v>
      </c>
      <c r="K6028" s="22">
        <v>1974</v>
      </c>
      <c r="L6028" s="6">
        <v>1992</v>
      </c>
      <c r="M6028" s="125">
        <f t="shared" ref="M6028" si="1095">L6028-K6028</f>
        <v>18</v>
      </c>
      <c r="P6028" s="247">
        <v>14550</v>
      </c>
      <c r="Q6028" s="25">
        <f>169.34/1097.8</f>
        <v>0.15425396247039536</v>
      </c>
      <c r="W6028" s="285">
        <f t="shared" si="1091"/>
        <v>2244.3951539442523</v>
      </c>
      <c r="X6028" s="446">
        <f t="shared" si="1092"/>
        <v>7.3708206686930096</v>
      </c>
    </row>
    <row r="6029" spans="1:24" ht="15" customHeight="1">
      <c r="A6029" s="3">
        <v>44208</v>
      </c>
      <c r="B6029" s="4">
        <v>34975</v>
      </c>
      <c r="C6029" s="5">
        <v>750</v>
      </c>
      <c r="D6029" s="5">
        <v>95375</v>
      </c>
      <c r="E6029" s="5">
        <v>131100</v>
      </c>
      <c r="F6029" s="4">
        <v>0</v>
      </c>
      <c r="G6029" s="5">
        <v>800</v>
      </c>
      <c r="H6029" s="5">
        <v>56000</v>
      </c>
      <c r="I6029" s="118">
        <f t="shared" si="1077"/>
        <v>0.42715484363081618</v>
      </c>
      <c r="J6029" s="5">
        <v>112048</v>
      </c>
      <c r="K6029" s="22">
        <v>1963.5</v>
      </c>
      <c r="L6029" s="6">
        <v>1984.5</v>
      </c>
      <c r="M6029" s="125">
        <f t="shared" ref="M6029" si="1096">L6029-K6029</f>
        <v>21</v>
      </c>
      <c r="P6029" s="247">
        <v>14500</v>
      </c>
      <c r="Q6029" s="25">
        <f>170.07/1099.9</f>
        <v>0.15462314755886897</v>
      </c>
      <c r="W6029" s="285">
        <f t="shared" si="1091"/>
        <v>2242.0356396036</v>
      </c>
      <c r="X6029" s="446">
        <f t="shared" si="1092"/>
        <v>7.3847720906544438</v>
      </c>
    </row>
    <row r="6030" spans="1:24" ht="15" customHeight="1">
      <c r="A6030" s="3">
        <v>44209</v>
      </c>
      <c r="B6030" s="4">
        <v>34975</v>
      </c>
      <c r="C6030" s="5">
        <v>750</v>
      </c>
      <c r="D6030" s="5">
        <v>95225</v>
      </c>
      <c r="E6030" s="5">
        <v>130950</v>
      </c>
      <c r="F6030" s="4">
        <v>0</v>
      </c>
      <c r="G6030" s="5">
        <v>150</v>
      </c>
      <c r="H6030" s="5">
        <v>56575</v>
      </c>
      <c r="I6030" s="118">
        <f t="shared" si="1077"/>
        <v>0.43203512791141657</v>
      </c>
      <c r="J6030" s="5">
        <v>113577</v>
      </c>
      <c r="K6030" s="22">
        <v>2018</v>
      </c>
      <c r="L6030" s="6">
        <v>2033.5</v>
      </c>
      <c r="M6030" s="125">
        <f t="shared" ref="M6030" si="1097">L6030-K6030</f>
        <v>15.5</v>
      </c>
      <c r="P6030" s="247">
        <v>14650</v>
      </c>
      <c r="Q6030" s="25">
        <f>169.84/1095</f>
        <v>0.15510502283105024</v>
      </c>
      <c r="W6030" s="285">
        <f t="shared" si="1091"/>
        <v>2272.2885844748862</v>
      </c>
      <c r="X6030" s="446">
        <f t="shared" si="1092"/>
        <v>7.2596630327056495</v>
      </c>
    </row>
    <row r="6031" spans="1:24" ht="15" customHeight="1">
      <c r="A6031" s="3">
        <v>44210</v>
      </c>
      <c r="B6031" s="4">
        <v>34975</v>
      </c>
      <c r="C6031" s="5">
        <v>525</v>
      </c>
      <c r="D6031" s="5">
        <v>94825</v>
      </c>
      <c r="E6031" s="5">
        <v>130325</v>
      </c>
      <c r="F6031" s="4">
        <v>0</v>
      </c>
      <c r="G6031" s="5">
        <v>625</v>
      </c>
      <c r="H6031" s="5">
        <v>55950</v>
      </c>
      <c r="I6031" s="118">
        <f t="shared" si="1077"/>
        <v>0.42931133704201035</v>
      </c>
      <c r="J6031" s="5">
        <v>112821</v>
      </c>
      <c r="K6031" s="22">
        <v>2040</v>
      </c>
      <c r="L6031" s="6">
        <v>2053</v>
      </c>
      <c r="M6031" s="125">
        <f t="shared" ref="M6031" si="1098">L6031-K6031</f>
        <v>13</v>
      </c>
      <c r="P6031" s="247">
        <v>14750</v>
      </c>
      <c r="Q6031" s="25">
        <f>170.2/1100.3</f>
        <v>0.15468508588566754</v>
      </c>
      <c r="W6031" s="285">
        <f t="shared" si="1091"/>
        <v>2281.6050168135962</v>
      </c>
      <c r="X6031" s="446">
        <f t="shared" si="1092"/>
        <v>7.2303921568627452</v>
      </c>
    </row>
    <row r="6032" spans="1:24" ht="15" customHeight="1">
      <c r="A6032" s="3">
        <v>44211</v>
      </c>
      <c r="B6032" s="4">
        <v>34975</v>
      </c>
      <c r="C6032" s="5">
        <v>350</v>
      </c>
      <c r="D6032" s="5">
        <v>94475</v>
      </c>
      <c r="E6032" s="5">
        <v>129800</v>
      </c>
      <c r="F6032" s="4">
        <v>0</v>
      </c>
      <c r="G6032" s="5">
        <v>525</v>
      </c>
      <c r="H6032" s="5">
        <v>55450</v>
      </c>
      <c r="I6032" s="118">
        <f t="shared" si="1077"/>
        <v>0.42719568567026195</v>
      </c>
      <c r="J6032" s="5">
        <v>112066</v>
      </c>
      <c r="K6032" s="22">
        <v>1981</v>
      </c>
      <c r="L6032" s="6">
        <v>1999</v>
      </c>
      <c r="M6032" s="125">
        <f t="shared" ref="M6032" si="1099">L6032-K6032</f>
        <v>18</v>
      </c>
      <c r="P6032" s="247">
        <v>14875</v>
      </c>
      <c r="Q6032" s="25">
        <f>169.75/1097.9</f>
        <v>0.15461335276436833</v>
      </c>
      <c r="W6032" s="285">
        <f t="shared" si="1091"/>
        <v>2299.8736223699789</v>
      </c>
      <c r="X6032" s="446">
        <f t="shared" si="1092"/>
        <v>7.5088339222614842</v>
      </c>
    </row>
    <row r="6033" spans="1:24" ht="15" customHeight="1">
      <c r="A6033" s="3">
        <v>44214</v>
      </c>
      <c r="B6033" s="4">
        <v>34975</v>
      </c>
      <c r="C6033" s="5">
        <v>325</v>
      </c>
      <c r="D6033" s="5">
        <v>93725</v>
      </c>
      <c r="E6033" s="5">
        <v>129025</v>
      </c>
      <c r="F6033" s="4">
        <v>0</v>
      </c>
      <c r="G6033" s="5">
        <v>775</v>
      </c>
      <c r="H6033" s="5">
        <v>56175</v>
      </c>
      <c r="I6033" s="118">
        <f t="shared" si="1077"/>
        <v>0.43538074016663436</v>
      </c>
      <c r="J6033" s="5">
        <v>113311</v>
      </c>
      <c r="K6033" s="22">
        <v>1981.5</v>
      </c>
      <c r="L6033" s="6">
        <v>2004</v>
      </c>
      <c r="M6033" s="125">
        <f t="shared" ref="M6033" si="1100">L6033-K6033</f>
        <v>22.5</v>
      </c>
      <c r="P6033" s="247">
        <v>14950</v>
      </c>
      <c r="Q6033" s="25">
        <f>170.19/1104.4</f>
        <v>0.15410177471930459</v>
      </c>
      <c r="W6033" s="285">
        <f t="shared" ref="W6033:W6036" si="1101">(P6033*Q6033)*(1+U6033)</f>
        <v>2303.8215320536037</v>
      </c>
      <c r="X6033" s="446">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18">
        <f t="shared" si="1077"/>
        <v>0.42513316235943971</v>
      </c>
      <c r="J6034" s="5">
        <v>111306</v>
      </c>
      <c r="K6034" s="22">
        <v>1987</v>
      </c>
      <c r="L6034" s="6">
        <v>2005</v>
      </c>
      <c r="M6034" s="125">
        <f t="shared" ref="M6034" si="1103">L6034-K6034</f>
        <v>18</v>
      </c>
      <c r="P6034" s="247">
        <v>14900</v>
      </c>
      <c r="Q6034" s="25">
        <f>169.66/1102.1</f>
        <v>0.15394247345975864</v>
      </c>
      <c r="W6034" s="285">
        <f t="shared" si="1101"/>
        <v>2293.742854550404</v>
      </c>
      <c r="X6034" s="446">
        <f t="shared" si="1102"/>
        <v>7.498741821841973</v>
      </c>
    </row>
    <row r="6035" spans="1:24" ht="15" customHeight="1">
      <c r="A6035" s="3">
        <v>44216</v>
      </c>
      <c r="B6035" s="4">
        <v>33475</v>
      </c>
      <c r="C6035" s="5">
        <v>325</v>
      </c>
      <c r="D6035" s="5">
        <v>85525</v>
      </c>
      <c r="E6035" s="5">
        <v>119325</v>
      </c>
      <c r="F6035" s="4">
        <v>0</v>
      </c>
      <c r="G6035" s="5">
        <v>7400</v>
      </c>
      <c r="H6035" s="5">
        <v>51400</v>
      </c>
      <c r="I6035" s="118">
        <f t="shared" si="1077"/>
        <v>0.43075633773308192</v>
      </c>
      <c r="J6035" s="5">
        <v>110921</v>
      </c>
      <c r="K6035" s="22">
        <v>2013</v>
      </c>
      <c r="L6035" s="6">
        <v>2032.5</v>
      </c>
      <c r="M6035" s="125">
        <f t="shared" ref="M6035" si="1104">L6035-K6035</f>
        <v>19.5</v>
      </c>
      <c r="P6035" s="247">
        <v>14975</v>
      </c>
      <c r="Q6035" s="25">
        <f>169.95/1100</f>
        <v>0.1545</v>
      </c>
      <c r="W6035" s="285">
        <f t="shared" si="1101"/>
        <v>2313.6374999999998</v>
      </c>
      <c r="X6035" s="446">
        <f t="shared" si="1102"/>
        <v>7.4391455538996523</v>
      </c>
    </row>
    <row r="6036" spans="1:24" ht="15" customHeight="1">
      <c r="A6036" s="3">
        <v>44217</v>
      </c>
      <c r="B6036" s="4">
        <v>31975</v>
      </c>
      <c r="C6036" s="5">
        <v>325</v>
      </c>
      <c r="D6036" s="5">
        <v>84850</v>
      </c>
      <c r="E6036" s="5">
        <v>117150</v>
      </c>
      <c r="F6036" s="4">
        <v>0</v>
      </c>
      <c r="G6036" s="5">
        <v>2175</v>
      </c>
      <c r="H6036" s="5">
        <v>49225</v>
      </c>
      <c r="I6036" s="118">
        <f t="shared" si="1077"/>
        <v>0.42018779342723006</v>
      </c>
      <c r="J6036" s="5">
        <v>112061</v>
      </c>
      <c r="K6036" s="22">
        <v>2033</v>
      </c>
      <c r="L6036" s="6">
        <v>2051</v>
      </c>
      <c r="M6036" s="125">
        <f t="shared" ref="M6036" si="1105">L6036-K6036</f>
        <v>18</v>
      </c>
      <c r="P6036" s="247">
        <v>15125</v>
      </c>
      <c r="Q6036" s="25">
        <f>170.2/1099.2</f>
        <v>0.15483988355167394</v>
      </c>
      <c r="W6036" s="285">
        <f t="shared" si="1101"/>
        <v>2341.9532387190684</v>
      </c>
      <c r="X6036" s="446">
        <f t="shared" si="1102"/>
        <v>7.4397442203639939</v>
      </c>
    </row>
    <row r="6037" spans="1:24" ht="15" customHeight="1">
      <c r="A6037" s="3">
        <v>44218</v>
      </c>
      <c r="B6037" s="4">
        <v>30475</v>
      </c>
      <c r="C6037" s="5">
        <v>275</v>
      </c>
      <c r="D6037" s="5">
        <v>84425</v>
      </c>
      <c r="E6037" s="5">
        <v>115175</v>
      </c>
      <c r="F6037" s="4">
        <v>0</v>
      </c>
      <c r="G6037" s="5">
        <v>1975</v>
      </c>
      <c r="H6037" s="5">
        <v>47250</v>
      </c>
      <c r="I6037" s="118">
        <f t="shared" si="1077"/>
        <v>0.41024527892337748</v>
      </c>
      <c r="J6037" s="5">
        <v>111456</v>
      </c>
      <c r="K6037" s="22">
        <v>2007</v>
      </c>
      <c r="L6037" s="6">
        <v>2025</v>
      </c>
      <c r="M6037" s="125">
        <f t="shared" ref="M6037" si="1106">L6037-K6037</f>
        <v>18</v>
      </c>
      <c r="P6037" s="247">
        <v>15025</v>
      </c>
      <c r="Q6037" s="25">
        <f>170.32/1102.3</f>
        <v>0.15451329039281503</v>
      </c>
      <c r="W6037" s="285">
        <f t="shared" ref="W6037:W6040" si="1107">(P6037*Q6037)*(1+U6037)</f>
        <v>2321.562188152046</v>
      </c>
      <c r="X6037" s="446">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18">
        <f t="shared" si="1077"/>
        <v>0.39982328252705984</v>
      </c>
      <c r="J6038" s="5">
        <v>111749</v>
      </c>
      <c r="K6038" s="22">
        <v>2040</v>
      </c>
      <c r="L6038" s="6">
        <v>2060</v>
      </c>
      <c r="M6038" s="125">
        <f t="shared" ref="M6038" si="1109">L6038-K6038</f>
        <v>20</v>
      </c>
      <c r="P6038" s="247">
        <v>15350</v>
      </c>
      <c r="Q6038" s="25">
        <f>170.03/1103.2</f>
        <v>0.15412436548223349</v>
      </c>
      <c r="W6038" s="285">
        <f t="shared" si="1107"/>
        <v>2365.8090101522839</v>
      </c>
      <c r="X6038" s="446">
        <f t="shared" si="1108"/>
        <v>7.5245098039215685</v>
      </c>
    </row>
    <row r="6039" spans="1:24" ht="15" customHeight="1">
      <c r="A6039" s="3">
        <v>44222</v>
      </c>
      <c r="B6039" s="4">
        <v>27475</v>
      </c>
      <c r="C6039" s="5">
        <v>150</v>
      </c>
      <c r="D6039" s="5">
        <v>82875</v>
      </c>
      <c r="E6039" s="5">
        <v>110500</v>
      </c>
      <c r="F6039" s="4">
        <v>0</v>
      </c>
      <c r="G6039" s="5">
        <v>2675</v>
      </c>
      <c r="H6039" s="5">
        <v>43225</v>
      </c>
      <c r="I6039" s="118">
        <f t="shared" si="1077"/>
        <v>0.39117647058823529</v>
      </c>
      <c r="J6039" s="5">
        <v>111158</v>
      </c>
      <c r="K6039" s="22">
        <v>2036</v>
      </c>
      <c r="L6039" s="6">
        <v>2054</v>
      </c>
      <c r="M6039" s="125">
        <f t="shared" ref="M6039" si="1110">L6039-K6039</f>
        <v>18</v>
      </c>
      <c r="P6039" s="247">
        <v>15350</v>
      </c>
      <c r="Q6039" s="25">
        <f>170.1/1103</f>
        <v>0.1542157751586582</v>
      </c>
      <c r="W6039" s="285">
        <f t="shared" si="1107"/>
        <v>2367.2121486854035</v>
      </c>
      <c r="X6039" s="446">
        <f t="shared" si="1108"/>
        <v>7.5392927308447941</v>
      </c>
    </row>
    <row r="6040" spans="1:24" ht="15" customHeight="1">
      <c r="A6040" s="3">
        <v>44223</v>
      </c>
      <c r="B6040" s="4">
        <v>25975</v>
      </c>
      <c r="C6040" s="5">
        <v>75</v>
      </c>
      <c r="D6040" s="5">
        <v>81125</v>
      </c>
      <c r="E6040" s="5">
        <v>107175</v>
      </c>
      <c r="F6040" s="4">
        <v>0</v>
      </c>
      <c r="G6040" s="5">
        <v>3325</v>
      </c>
      <c r="H6040" s="5">
        <v>40425</v>
      </c>
      <c r="I6040" s="118">
        <f t="shared" si="1077"/>
        <v>0.37718684394681595</v>
      </c>
      <c r="J6040" s="5">
        <v>110822</v>
      </c>
      <c r="K6040" s="22">
        <v>2040</v>
      </c>
      <c r="L6040" s="6">
        <v>2054</v>
      </c>
      <c r="M6040" s="125">
        <f t="shared" ref="M6040" si="1111">L6040-K6040</f>
        <v>14</v>
      </c>
      <c r="P6040" s="247">
        <v>15325</v>
      </c>
      <c r="Q6040" s="25">
        <f>170.71/1104</f>
        <v>0.15462862318840581</v>
      </c>
      <c r="W6040" s="285">
        <f t="shared" si="1107"/>
        <v>2369.683650362319</v>
      </c>
      <c r="X6040" s="446">
        <f t="shared" si="1108"/>
        <v>7.5122549019607847</v>
      </c>
    </row>
    <row r="6041" spans="1:24" ht="15" customHeight="1">
      <c r="A6041" s="3">
        <v>44224</v>
      </c>
      <c r="B6041" s="4">
        <v>24400</v>
      </c>
      <c r="C6041" s="5">
        <v>50</v>
      </c>
      <c r="D6041" s="5">
        <v>79700</v>
      </c>
      <c r="E6041" s="5">
        <v>104150</v>
      </c>
      <c r="F6041" s="4">
        <v>0</v>
      </c>
      <c r="G6041" s="5">
        <v>3025</v>
      </c>
      <c r="H6041" s="5">
        <v>37525</v>
      </c>
      <c r="I6041" s="118">
        <f t="shared" si="1077"/>
        <v>0.36029764762361977</v>
      </c>
      <c r="J6041" s="5">
        <v>111819</v>
      </c>
      <c r="K6041" s="22">
        <v>2009.5</v>
      </c>
      <c r="L6041" s="6">
        <v>2027.5</v>
      </c>
      <c r="M6041" s="125">
        <f t="shared" ref="M6041" si="1112">L6041-K6041</f>
        <v>18</v>
      </c>
      <c r="P6041" s="247">
        <v>15250</v>
      </c>
      <c r="Q6041" s="25">
        <f>171.45/1114.6</f>
        <v>0.15382199892338058</v>
      </c>
      <c r="W6041" s="285">
        <f t="shared" ref="W6041:W6046" si="1113">(P6041*Q6041)*(1+U6041)</f>
        <v>2345.7854835815538</v>
      </c>
      <c r="X6041" s="446">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18">
        <f t="shared" si="1077"/>
        <v>0.33215189873417722</v>
      </c>
      <c r="J6042" s="5">
        <v>111596</v>
      </c>
      <c r="K6042" s="22">
        <v>2013</v>
      </c>
      <c r="L6042" s="6">
        <v>2027</v>
      </c>
      <c r="M6042" s="125">
        <f t="shared" ref="M6042" si="1115">L6042-K6042</f>
        <v>14</v>
      </c>
      <c r="N6042" s="381">
        <f>AVERAGE($K$6023:K6042)</f>
        <v>2014.925</v>
      </c>
      <c r="O6042" s="395">
        <f>AVERAGE($K$6023:K6042)</f>
        <v>2014.925</v>
      </c>
      <c r="P6042" s="247">
        <v>15175</v>
      </c>
      <c r="Q6042" s="25">
        <f>172.37/1117.2</f>
        <v>0.1542875044754744</v>
      </c>
      <c r="W6042" s="285">
        <f t="shared" si="1113"/>
        <v>2341.3128804153239</v>
      </c>
      <c r="X6042" s="446">
        <f t="shared" si="1114"/>
        <v>7.5384997516145056</v>
      </c>
    </row>
    <row r="6043" spans="1:24" ht="15" customHeight="1" thickBot="1">
      <c r="A6043" s="216"/>
      <c r="B6043" s="394"/>
      <c r="C6043" s="394"/>
      <c r="D6043" s="394"/>
      <c r="E6043" s="216"/>
      <c r="F6043" s="407"/>
      <c r="G6043" s="164"/>
      <c r="H6043" s="164"/>
      <c r="I6043" s="164"/>
      <c r="J6043" s="166"/>
      <c r="K6043" s="166"/>
      <c r="L6043" s="167"/>
      <c r="M6043" s="167"/>
      <c r="N6043" s="167"/>
      <c r="O6043" s="167"/>
      <c r="P6043" s="180"/>
      <c r="Q6043" s="154"/>
      <c r="R6043" s="248"/>
      <c r="S6043" s="249"/>
      <c r="T6043" s="249"/>
      <c r="U6043" s="152"/>
      <c r="V6043" s="153">
        <f>AVERAGE(P6023:P6042)</f>
        <v>14961.25</v>
      </c>
      <c r="W6043" s="390"/>
      <c r="X6043" s="447">
        <f>V6043/N6042</f>
        <v>7.4252143380026556</v>
      </c>
    </row>
    <row r="6044" spans="1:24" ht="15" customHeight="1">
      <c r="A6044" s="3">
        <v>44228</v>
      </c>
      <c r="B6044" s="4">
        <v>21375</v>
      </c>
      <c r="C6044" s="5">
        <v>0</v>
      </c>
      <c r="D6044" s="5">
        <v>75400</v>
      </c>
      <c r="E6044" s="5">
        <v>96775</v>
      </c>
      <c r="F6044" s="4">
        <v>0</v>
      </c>
      <c r="G6044" s="5">
        <v>1975</v>
      </c>
      <c r="H6044" s="5">
        <v>30825</v>
      </c>
      <c r="I6044" s="118">
        <f t="shared" si="1077"/>
        <v>0.31852234564711962</v>
      </c>
      <c r="J6044" s="5">
        <v>110980</v>
      </c>
      <c r="K6044" s="22">
        <v>2024.5</v>
      </c>
      <c r="L6044" s="6">
        <v>2035.5</v>
      </c>
      <c r="M6044" s="125">
        <f t="shared" ref="M6044" si="1116">L6044-K6044</f>
        <v>11</v>
      </c>
      <c r="P6044" s="247">
        <v>15000</v>
      </c>
      <c r="Q6044" s="25">
        <f>172.97/1118</f>
        <v>0.15471377459749552</v>
      </c>
      <c r="W6044" s="285">
        <f t="shared" si="1113"/>
        <v>2320.7066189624329</v>
      </c>
      <c r="X6044" s="446">
        <f t="shared" si="1114"/>
        <v>7.4092368486045936</v>
      </c>
    </row>
    <row r="6045" spans="1:24" ht="15" customHeight="1">
      <c r="A6045" s="3">
        <v>44229</v>
      </c>
      <c r="B6045" s="4">
        <v>19875</v>
      </c>
      <c r="C6045" s="5">
        <v>0</v>
      </c>
      <c r="D6045" s="5">
        <v>74750</v>
      </c>
      <c r="E6045" s="5">
        <v>94625</v>
      </c>
      <c r="F6045" s="4">
        <v>0</v>
      </c>
      <c r="G6045" s="5">
        <v>2150</v>
      </c>
      <c r="H6045" s="5">
        <v>28675</v>
      </c>
      <c r="I6045" s="118">
        <f t="shared" si="1077"/>
        <v>0.30303830911492735</v>
      </c>
      <c r="J6045" s="5">
        <v>111675</v>
      </c>
      <c r="K6045" s="22">
        <v>2008.5</v>
      </c>
      <c r="L6045" s="6">
        <v>2022</v>
      </c>
      <c r="M6045" s="125">
        <f t="shared" ref="M6045" si="1117">L6045-K6045</f>
        <v>13.5</v>
      </c>
      <c r="P6045" s="247">
        <v>14975</v>
      </c>
      <c r="Q6045" s="25">
        <f>172.54/1116.6</f>
        <v>0.15452265806913845</v>
      </c>
      <c r="W6045" s="285">
        <f t="shared" si="1113"/>
        <v>2313.9768045853484</v>
      </c>
      <c r="X6045" s="446">
        <f t="shared" si="1114"/>
        <v>7.4558127956186206</v>
      </c>
    </row>
    <row r="6046" spans="1:24" ht="15" customHeight="1">
      <c r="A6046" s="3">
        <v>44230</v>
      </c>
      <c r="B6046" s="4">
        <v>19725</v>
      </c>
      <c r="C6046" s="5">
        <v>0</v>
      </c>
      <c r="D6046" s="5">
        <v>74300</v>
      </c>
      <c r="E6046" s="5">
        <v>94025</v>
      </c>
      <c r="F6046" s="4">
        <v>0</v>
      </c>
      <c r="G6046" s="5">
        <v>600</v>
      </c>
      <c r="H6046" s="5">
        <v>29075</v>
      </c>
      <c r="I6046" s="118">
        <f t="shared" si="1077"/>
        <v>0.30922626960914651</v>
      </c>
      <c r="J6046" s="5">
        <v>110226</v>
      </c>
      <c r="K6046" s="22">
        <v>2008</v>
      </c>
      <c r="L6046" s="6">
        <v>2022</v>
      </c>
      <c r="M6046" s="125">
        <f t="shared" ref="M6046" si="1118">L6046-K6046</f>
        <v>14</v>
      </c>
      <c r="P6046" s="247">
        <v>14925</v>
      </c>
      <c r="Q6046" s="25">
        <f>172.54/1111.4</f>
        <v>0.15524563613460499</v>
      </c>
      <c r="W6046" s="285">
        <f t="shared" si="1113"/>
        <v>2317.0411193089794</v>
      </c>
      <c r="X6046" s="446">
        <f t="shared" si="1114"/>
        <v>7.4327689243027892</v>
      </c>
    </row>
    <row r="6047" spans="1:24" ht="15" customHeight="1">
      <c r="A6047" s="3">
        <v>44231</v>
      </c>
      <c r="B6047" s="4">
        <v>19725</v>
      </c>
      <c r="C6047" s="5">
        <v>0</v>
      </c>
      <c r="D6047" s="5">
        <v>74050</v>
      </c>
      <c r="E6047" s="5">
        <v>93775</v>
      </c>
      <c r="F6047" s="4">
        <v>0</v>
      </c>
      <c r="G6047" s="5">
        <v>250</v>
      </c>
      <c r="H6047" s="5">
        <v>29225</v>
      </c>
      <c r="I6047" s="118">
        <f t="shared" si="1077"/>
        <v>0.31165022660623831</v>
      </c>
      <c r="J6047" s="5">
        <v>109434</v>
      </c>
      <c r="K6047" s="22">
        <v>2010</v>
      </c>
      <c r="L6047" s="6">
        <v>2024</v>
      </c>
      <c r="M6047" s="125">
        <f t="shared" ref="M6047" si="1119">L6047-K6047</f>
        <v>14</v>
      </c>
      <c r="P6047" s="247">
        <v>14975</v>
      </c>
      <c r="Q6047" s="25">
        <f>172.76/1116.7</f>
        <v>0.15470582967672605</v>
      </c>
      <c r="W6047" s="285">
        <f t="shared" ref="W6047" si="1120">(P6047*Q6047)*(1+U6047)</f>
        <v>2316.7197994089724</v>
      </c>
      <c r="X6047" s="446">
        <f t="shared" ref="X6047" si="1121">P6047/K6047</f>
        <v>7.4502487562189055</v>
      </c>
    </row>
    <row r="6048" spans="1:24" ht="15" customHeight="1">
      <c r="A6048" s="3">
        <v>44232</v>
      </c>
      <c r="B6048" s="4">
        <v>19725</v>
      </c>
      <c r="C6048" s="5">
        <v>0</v>
      </c>
      <c r="D6048" s="5">
        <v>73925</v>
      </c>
      <c r="E6048" s="5">
        <v>93650</v>
      </c>
      <c r="F6048" s="4">
        <v>0</v>
      </c>
      <c r="G6048" s="5">
        <v>125</v>
      </c>
      <c r="H6048" s="5">
        <v>33125</v>
      </c>
      <c r="I6048" s="118">
        <f t="shared" si="1077"/>
        <v>0.35371062466631076</v>
      </c>
      <c r="J6048" s="5">
        <v>109662</v>
      </c>
      <c r="K6048" s="22">
        <v>2030.5</v>
      </c>
      <c r="L6048" s="6">
        <v>2045.5</v>
      </c>
      <c r="M6048" s="125">
        <f t="shared" ref="M6048" si="1122">L6048-K6048</f>
        <v>15</v>
      </c>
      <c r="P6048" s="247">
        <v>15125</v>
      </c>
      <c r="Q6048" s="25">
        <f>173.64/1124</f>
        <v>0.15448398576512454</v>
      </c>
      <c r="W6048" s="285">
        <f t="shared" ref="W6048:W6050" si="1123">(P6048*Q6048)*(1+U6048)</f>
        <v>2336.5702846975087</v>
      </c>
      <c r="X6048" s="446">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18">
        <f t="shared" si="1077"/>
        <v>0.3509383378016086</v>
      </c>
      <c r="J6049" s="5">
        <v>110266</v>
      </c>
      <c r="K6049" s="22">
        <v>2052.5</v>
      </c>
      <c r="L6049" s="6">
        <v>2064</v>
      </c>
      <c r="M6049" s="125">
        <f t="shared" ref="M6049" si="1125">L6049-K6049</f>
        <v>11.5</v>
      </c>
      <c r="P6049" s="247">
        <v>15050</v>
      </c>
      <c r="Q6049" s="25">
        <f>173.31/1119.1</f>
        <v>0.15486551693324996</v>
      </c>
      <c r="W6049" s="285">
        <f t="shared" si="1123"/>
        <v>2330.7260298454121</v>
      </c>
      <c r="X6049" s="446">
        <f t="shared" si="1124"/>
        <v>7.3325213154689406</v>
      </c>
    </row>
    <row r="6050" spans="1:24" ht="15" customHeight="1">
      <c r="A6050" s="3">
        <v>44236</v>
      </c>
      <c r="B6050" s="4">
        <v>19250</v>
      </c>
      <c r="C6050" s="5">
        <v>0</v>
      </c>
      <c r="D6050" s="5">
        <v>73600</v>
      </c>
      <c r="E6050" s="5">
        <v>92850</v>
      </c>
      <c r="F6050" s="4">
        <v>0</v>
      </c>
      <c r="G6050" s="5">
        <v>400</v>
      </c>
      <c r="H6050" s="5">
        <v>32075</v>
      </c>
      <c r="I6050" s="118">
        <f t="shared" si="1077"/>
        <v>0.34544964997307487</v>
      </c>
      <c r="J6050" s="5">
        <v>110437</v>
      </c>
      <c r="K6050" s="22">
        <v>2080.5</v>
      </c>
      <c r="L6050" s="6">
        <v>2089</v>
      </c>
      <c r="M6050" s="125">
        <f t="shared" ref="M6050" si="1126">L6050-K6050</f>
        <v>8.5</v>
      </c>
      <c r="P6050" s="247">
        <v>15125</v>
      </c>
      <c r="Q6050" s="25">
        <f>173.26/1116</f>
        <v>0.15525089605734765</v>
      </c>
      <c r="W6050" s="285">
        <f t="shared" si="1123"/>
        <v>2348.1698028673832</v>
      </c>
      <c r="X6050" s="446">
        <f t="shared" si="1124"/>
        <v>7.2698870463830811</v>
      </c>
    </row>
    <row r="6051" spans="1:24" ht="15" customHeight="1">
      <c r="A6051" s="3">
        <v>44237</v>
      </c>
      <c r="B6051" s="4">
        <v>19250</v>
      </c>
      <c r="C6051" s="5">
        <v>0</v>
      </c>
      <c r="D6051" s="5">
        <v>73175</v>
      </c>
      <c r="E6051" s="5">
        <v>92425</v>
      </c>
      <c r="F6051" s="4">
        <v>0</v>
      </c>
      <c r="G6051" s="5">
        <v>425</v>
      </c>
      <c r="H6051" s="5">
        <v>31650</v>
      </c>
      <c r="I6051" s="118">
        <f t="shared" si="1077"/>
        <v>0.3424398160670814</v>
      </c>
      <c r="J6051" s="5">
        <v>111387</v>
      </c>
      <c r="K6051" s="22">
        <v>2082</v>
      </c>
      <c r="L6051" s="6">
        <v>2094.5</v>
      </c>
      <c r="M6051" s="125">
        <f t="shared" ref="M6051" si="1127">L6051-K6051</f>
        <v>12.5</v>
      </c>
      <c r="P6051" s="247">
        <v>15100</v>
      </c>
      <c r="Q6051" s="1326"/>
      <c r="X6051" s="446">
        <f t="shared" ref="X6051" si="1128">P6051/K6051</f>
        <v>7.2526416906820366</v>
      </c>
    </row>
    <row r="6052" spans="1:24" ht="15" customHeight="1">
      <c r="A6052" s="3">
        <v>44238</v>
      </c>
      <c r="B6052" s="4">
        <v>19250</v>
      </c>
      <c r="C6052" s="5">
        <v>0</v>
      </c>
      <c r="D6052" s="5">
        <v>72825</v>
      </c>
      <c r="E6052" s="5">
        <v>92075</v>
      </c>
      <c r="F6052" s="4">
        <v>0</v>
      </c>
      <c r="G6052" s="5">
        <v>350</v>
      </c>
      <c r="H6052" s="5">
        <v>31300</v>
      </c>
      <c r="I6052" s="118">
        <f t="shared" si="1077"/>
        <v>0.33994026608742872</v>
      </c>
      <c r="J6052" s="5">
        <v>110272</v>
      </c>
      <c r="K6052" s="22">
        <v>2080</v>
      </c>
      <c r="L6052" s="6">
        <v>2091.5</v>
      </c>
      <c r="M6052" s="125">
        <f t="shared" ref="M6052" si="1129">L6052-K6052</f>
        <v>11.5</v>
      </c>
      <c r="P6052" s="1337"/>
      <c r="Q6052" s="1326"/>
      <c r="X6052" s="446"/>
    </row>
    <row r="6053" spans="1:24" ht="15" customHeight="1">
      <c r="A6053" s="3">
        <v>44239</v>
      </c>
      <c r="B6053" s="4">
        <v>19250</v>
      </c>
      <c r="C6053" s="5">
        <v>0</v>
      </c>
      <c r="D6053" s="5">
        <v>72050</v>
      </c>
      <c r="E6053" s="5">
        <v>91300</v>
      </c>
      <c r="F6053" s="4">
        <v>0</v>
      </c>
      <c r="G6053" s="5">
        <v>775</v>
      </c>
      <c r="H6053" s="5">
        <v>30675</v>
      </c>
      <c r="I6053" s="118">
        <f t="shared" si="1077"/>
        <v>0.33598028477546549</v>
      </c>
      <c r="J6053" s="5">
        <v>113026</v>
      </c>
      <c r="K6053" s="22">
        <v>2116.5</v>
      </c>
      <c r="L6053" s="6">
        <v>2123</v>
      </c>
      <c r="M6053" s="125">
        <f t="shared" ref="M6053" si="1130">L6053-K6053</f>
        <v>6.5</v>
      </c>
      <c r="P6053" s="1337"/>
      <c r="Q6053" s="25">
        <f>172.78/1110.1</f>
        <v>0.15564363570849474</v>
      </c>
      <c r="X6053" s="446"/>
    </row>
    <row r="6054" spans="1:24" ht="15" customHeight="1">
      <c r="A6054" s="3">
        <v>44242</v>
      </c>
      <c r="B6054" s="4">
        <v>19250</v>
      </c>
      <c r="C6054" s="5">
        <v>0</v>
      </c>
      <c r="D6054" s="5">
        <v>71575</v>
      </c>
      <c r="E6054" s="5">
        <v>90825</v>
      </c>
      <c r="F6054" s="4">
        <v>0</v>
      </c>
      <c r="G6054" s="5">
        <v>475</v>
      </c>
      <c r="H6054" s="5">
        <v>32225</v>
      </c>
      <c r="I6054" s="118">
        <f t="shared" si="1077"/>
        <v>0.35480319295348195</v>
      </c>
      <c r="J6054" s="5">
        <v>115075</v>
      </c>
      <c r="K6054" s="22">
        <v>2109.5</v>
      </c>
      <c r="L6054" s="6">
        <v>2122</v>
      </c>
      <c r="M6054" s="125">
        <f t="shared" ref="M6054" si="1131">L6054-K6054</f>
        <v>12.5</v>
      </c>
      <c r="P6054" s="1337"/>
      <c r="Q6054" s="25">
        <f>172.1/1103.1</f>
        <v>0.15601486719245763</v>
      </c>
      <c r="X6054" s="446"/>
    </row>
    <row r="6055" spans="1:24" ht="15" customHeight="1">
      <c r="A6055" s="3">
        <v>44243</v>
      </c>
      <c r="B6055" s="4">
        <v>19250</v>
      </c>
      <c r="C6055" s="5">
        <v>0</v>
      </c>
      <c r="D6055" s="5">
        <v>76750</v>
      </c>
      <c r="E6055" s="5">
        <v>96000</v>
      </c>
      <c r="F6055" s="4">
        <v>5175</v>
      </c>
      <c r="G6055" s="5">
        <v>0</v>
      </c>
      <c r="H6055" s="5">
        <v>33150</v>
      </c>
      <c r="I6055" s="118">
        <f t="shared" si="1077"/>
        <v>0.34531250000000002</v>
      </c>
      <c r="J6055" s="5">
        <v>114945</v>
      </c>
      <c r="K6055" s="22">
        <v>2111.5</v>
      </c>
      <c r="L6055" s="6">
        <v>2122.5</v>
      </c>
      <c r="M6055" s="125">
        <f t="shared" ref="M6055" si="1132">L6055-K6055</f>
        <v>11</v>
      </c>
      <c r="P6055" s="1337"/>
      <c r="Q6055" s="25">
        <f>171.58/1099.7</f>
        <v>0.15602437028280441</v>
      </c>
      <c r="X6055" s="446"/>
    </row>
    <row r="6056" spans="1:24" ht="15" customHeight="1">
      <c r="A6056" s="3">
        <v>44244</v>
      </c>
      <c r="B6056" s="4">
        <v>19250</v>
      </c>
      <c r="C6056" s="5">
        <v>0</v>
      </c>
      <c r="D6056" s="5">
        <v>76700</v>
      </c>
      <c r="E6056" s="5">
        <v>95950</v>
      </c>
      <c r="F6056" s="4">
        <v>0</v>
      </c>
      <c r="G6056" s="5">
        <v>50</v>
      </c>
      <c r="H6056" s="5">
        <v>33100</v>
      </c>
      <c r="I6056" s="118">
        <f t="shared" si="1077"/>
        <v>0.3449713392391871</v>
      </c>
      <c r="J6056" s="5">
        <v>114845</v>
      </c>
      <c r="K6056" s="22">
        <v>2097</v>
      </c>
      <c r="L6056" s="6">
        <v>2107</v>
      </c>
      <c r="M6056" s="125">
        <f t="shared" ref="M6056" si="1133">L6056-K6056</f>
        <v>10</v>
      </c>
      <c r="P6056" s="1337"/>
      <c r="Q6056" s="25">
        <f>172.1/1107.7</f>
        <v>0.15536697661821791</v>
      </c>
      <c r="X6056" s="446"/>
    </row>
    <row r="6057" spans="1:24" ht="15" customHeight="1">
      <c r="A6057" s="3">
        <v>44245</v>
      </c>
      <c r="B6057" s="4">
        <v>19250</v>
      </c>
      <c r="C6057" s="5">
        <v>0</v>
      </c>
      <c r="D6057" s="5">
        <v>76850</v>
      </c>
      <c r="E6057" s="5">
        <v>96100</v>
      </c>
      <c r="F6057" s="4">
        <v>150</v>
      </c>
      <c r="G6057" s="5">
        <v>0</v>
      </c>
      <c r="H6057" s="5">
        <v>33450</v>
      </c>
      <c r="I6057" s="118">
        <f t="shared" si="1077"/>
        <v>0.34807492195629552</v>
      </c>
      <c r="J6057" s="5">
        <v>114444</v>
      </c>
      <c r="K6057" s="22">
        <v>2132</v>
      </c>
      <c r="L6057" s="6">
        <v>2146.5</v>
      </c>
      <c r="M6057" s="125">
        <f t="shared" ref="M6057" si="1134">L6057-K6057</f>
        <v>14.5</v>
      </c>
      <c r="P6057" s="247">
        <v>15425</v>
      </c>
      <c r="Q6057" s="25">
        <f>171.71/1105.7</f>
        <v>0.15529528805281723</v>
      </c>
      <c r="W6057" s="285">
        <f t="shared" ref="W6057" si="1135">(P6057*Q6057)*(1+U6057)</f>
        <v>2395.4298182147058</v>
      </c>
      <c r="X6057" s="446">
        <f t="shared" ref="X6057" si="1136">P6057/K6057</f>
        <v>7.2349906191369602</v>
      </c>
    </row>
    <row r="6058" spans="1:24" ht="15" customHeight="1">
      <c r="A6058" s="3">
        <v>44246</v>
      </c>
      <c r="B6058" s="4">
        <v>19250</v>
      </c>
      <c r="C6058" s="5">
        <v>0</v>
      </c>
      <c r="D6058" s="5">
        <v>76800</v>
      </c>
      <c r="E6058" s="5">
        <v>96050</v>
      </c>
      <c r="F6058" s="4">
        <v>0</v>
      </c>
      <c r="G6058" s="5">
        <v>50</v>
      </c>
      <c r="H6058" s="5">
        <v>33400</v>
      </c>
      <c r="I6058" s="118">
        <f t="shared" si="1077"/>
        <v>0.34773555439875065</v>
      </c>
      <c r="J6058" s="5">
        <v>114137</v>
      </c>
      <c r="K6058" s="22">
        <v>2122</v>
      </c>
      <c r="L6058" s="6">
        <v>2135.5</v>
      </c>
      <c r="M6058" s="125">
        <f t="shared" ref="M6058" si="1137">L6058-K6058</f>
        <v>13.5</v>
      </c>
      <c r="P6058" s="247">
        <v>15450</v>
      </c>
      <c r="Q6058" s="25">
        <f>171.5/1107.1</f>
        <v>0.15490922229247586</v>
      </c>
      <c r="W6058" s="285">
        <f t="shared" ref="W6058" si="1138">(P6058*Q6058)*(1+U6058)</f>
        <v>2393.3474844187522</v>
      </c>
      <c r="X6058" s="446">
        <f t="shared" ref="X6058" si="1139">P6058/K6058</f>
        <v>7.2808671065032984</v>
      </c>
    </row>
    <row r="6059" spans="1:24" ht="15" customHeight="1">
      <c r="A6059" s="3">
        <v>44249</v>
      </c>
      <c r="B6059" s="4">
        <v>19250</v>
      </c>
      <c r="C6059" s="5">
        <v>0</v>
      </c>
      <c r="D6059" s="5">
        <v>76000</v>
      </c>
      <c r="E6059" s="5">
        <v>95250</v>
      </c>
      <c r="F6059" s="4">
        <v>0</v>
      </c>
      <c r="G6059" s="5">
        <v>800</v>
      </c>
      <c r="H6059" s="5">
        <v>32600</v>
      </c>
      <c r="I6059" s="118">
        <f t="shared" si="1077"/>
        <v>0.34225721784776902</v>
      </c>
      <c r="J6059" s="5">
        <v>112622</v>
      </c>
      <c r="K6059" s="22">
        <v>2152</v>
      </c>
      <c r="L6059" s="6">
        <v>2164.5</v>
      </c>
      <c r="M6059" s="125">
        <f t="shared" ref="M6059" si="1140">L6059-K6059</f>
        <v>12.5</v>
      </c>
      <c r="P6059" s="247">
        <v>15775</v>
      </c>
      <c r="Q6059" s="25">
        <f>171.4/1106.5</f>
        <v>0.15490284681427927</v>
      </c>
      <c r="W6059" s="285">
        <f t="shared" ref="W6059" si="1141">(P6059*Q6059)*(1+U6059)</f>
        <v>2443.5924084952553</v>
      </c>
      <c r="X6059" s="446">
        <f t="shared" ref="X6059" si="1142">P6059/K6059</f>
        <v>7.330390334572491</v>
      </c>
    </row>
    <row r="6060" spans="1:24" ht="15" customHeight="1">
      <c r="A6060" s="3">
        <v>44250</v>
      </c>
      <c r="B6060" s="4">
        <v>19250</v>
      </c>
      <c r="C6060" s="5">
        <v>0</v>
      </c>
      <c r="D6060" s="5">
        <v>75275</v>
      </c>
      <c r="E6060" s="5">
        <v>94525</v>
      </c>
      <c r="F6060" s="4">
        <v>0</v>
      </c>
      <c r="G6060" s="5">
        <v>725</v>
      </c>
      <c r="H6060" s="5">
        <v>32075</v>
      </c>
      <c r="I6060" s="118">
        <f t="shared" si="1077"/>
        <v>0.33932822004760643</v>
      </c>
      <c r="J6060" s="5">
        <v>112384</v>
      </c>
      <c r="K6060" s="22">
        <v>2129</v>
      </c>
      <c r="L6060" s="6">
        <v>2148</v>
      </c>
      <c r="M6060" s="125">
        <f t="shared" ref="M6060" si="1143">L6060-K6060</f>
        <v>19</v>
      </c>
      <c r="P6060" s="247">
        <v>15775</v>
      </c>
      <c r="Q6060" s="25">
        <f>171.9/1110.8</f>
        <v>0.15475333093266117</v>
      </c>
      <c r="W6060" s="285">
        <f t="shared" ref="W6060:W6062" si="1144">(P6060*Q6060)*(1+U6060)</f>
        <v>2441.2337954627301</v>
      </c>
      <c r="X6060" s="446">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18">
        <f t="shared" si="1077"/>
        <v>0.34374173061656521</v>
      </c>
      <c r="J6061" s="5">
        <v>112022</v>
      </c>
      <c r="K6061" s="22">
        <v>2103.5</v>
      </c>
      <c r="L6061" s="6">
        <v>2122</v>
      </c>
      <c r="M6061" s="125">
        <f t="shared" ref="M6061:M6062" si="1146">L6061-K6061</f>
        <v>18.5</v>
      </c>
      <c r="P6061" s="247">
        <v>15700</v>
      </c>
      <c r="Q6061" s="25">
        <f>171.84/1110.2</f>
        <v>0.15478292199603674</v>
      </c>
      <c r="W6061" s="285">
        <f t="shared" si="1144"/>
        <v>2430.0918753377769</v>
      </c>
      <c r="X6061" s="446">
        <f t="shared" si="1145"/>
        <v>7.4637508913715234</v>
      </c>
    </row>
    <row r="6062" spans="1:24" ht="15" customHeight="1">
      <c r="A6062" s="3">
        <v>44252</v>
      </c>
      <c r="B6062" s="4">
        <v>19250</v>
      </c>
      <c r="C6062" s="5">
        <v>0</v>
      </c>
      <c r="D6062" s="5">
        <v>75450</v>
      </c>
      <c r="E6062" s="5">
        <v>94700</v>
      </c>
      <c r="F6062" s="4">
        <v>225</v>
      </c>
      <c r="G6062" s="5">
        <v>0</v>
      </c>
      <c r="H6062" s="5">
        <v>32400</v>
      </c>
      <c r="I6062" s="118">
        <f t="shared" si="1077"/>
        <v>0.34213305174234426</v>
      </c>
      <c r="J6062" s="5">
        <v>111977</v>
      </c>
      <c r="K6062" s="22">
        <v>2158.5</v>
      </c>
      <c r="L6062" s="6">
        <v>2167</v>
      </c>
      <c r="M6062" s="125">
        <f t="shared" si="1146"/>
        <v>8.5</v>
      </c>
      <c r="P6062" s="247">
        <v>15900</v>
      </c>
      <c r="Q6062" s="25">
        <f>171.86/1108.4</f>
        <v>0.15505232767953808</v>
      </c>
      <c r="W6062" s="285">
        <f t="shared" si="1144"/>
        <v>2465.3320101046556</v>
      </c>
      <c r="X6062" s="446">
        <f t="shared" si="1145"/>
        <v>7.3662265462126477</v>
      </c>
    </row>
    <row r="6063" spans="1:24" ht="15" customHeight="1">
      <c r="A6063" s="3">
        <v>44253</v>
      </c>
      <c r="B6063" s="4">
        <v>19250</v>
      </c>
      <c r="C6063" s="5">
        <v>0</v>
      </c>
      <c r="D6063" s="5">
        <v>75325</v>
      </c>
      <c r="E6063" s="5">
        <v>94575</v>
      </c>
      <c r="F6063" s="4">
        <v>0</v>
      </c>
      <c r="G6063" s="5">
        <v>125</v>
      </c>
      <c r="H6063" s="5">
        <v>32375</v>
      </c>
      <c r="I6063" s="118">
        <f t="shared" si="1077"/>
        <v>0.34232090933121861</v>
      </c>
      <c r="J6063" s="5">
        <v>111546</v>
      </c>
      <c r="K6063" s="22">
        <v>2107</v>
      </c>
      <c r="L6063" s="6">
        <v>2120</v>
      </c>
      <c r="M6063" s="125">
        <f t="shared" ref="M6063" si="1147">L6063-K6063</f>
        <v>13</v>
      </c>
      <c r="N6063" s="381">
        <f>AVERAGE($K$6044:K6063)</f>
        <v>2085.75</v>
      </c>
      <c r="O6063" s="395">
        <f>AVERAGE($K$6023:K6063)</f>
        <v>2050.3375000000001</v>
      </c>
      <c r="P6063" s="247">
        <v>15600</v>
      </c>
      <c r="X6063" s="446">
        <f t="shared" ref="X6063" si="1148">P6063/K6063</f>
        <v>7.4038917892738487</v>
      </c>
    </row>
    <row r="6064" spans="1:24" ht="15" customHeight="1" thickBot="1">
      <c r="A6064" s="216"/>
      <c r="B6064" s="394"/>
      <c r="C6064" s="394"/>
      <c r="D6064" s="394"/>
      <c r="E6064" s="216"/>
      <c r="F6064" s="407"/>
      <c r="G6064" s="164"/>
      <c r="H6064" s="164"/>
      <c r="I6064" s="164"/>
      <c r="J6064" s="166"/>
      <c r="K6064" s="166"/>
      <c r="L6064" s="167"/>
      <c r="M6064" s="167"/>
      <c r="N6064" s="167"/>
      <c r="O6064" s="167"/>
      <c r="P6064" s="180"/>
      <c r="Q6064" s="154"/>
      <c r="R6064" s="248"/>
      <c r="S6064" s="249"/>
      <c r="T6064" s="249"/>
      <c r="U6064" s="152"/>
      <c r="V6064" s="153">
        <f>AVERAGE(P6044:P6063)</f>
        <v>15326.666666666666</v>
      </c>
      <c r="W6064" s="390"/>
      <c r="X6064" s="447">
        <f>V6064/N6063</f>
        <v>7.348275999840185</v>
      </c>
    </row>
    <row r="6065" spans="1:24" ht="15" customHeight="1">
      <c r="A6065" s="3">
        <v>44256</v>
      </c>
      <c r="B6065" s="4">
        <v>19325</v>
      </c>
      <c r="C6065" s="5">
        <v>0</v>
      </c>
      <c r="D6065" s="5">
        <v>75300</v>
      </c>
      <c r="E6065" s="5">
        <v>94625</v>
      </c>
      <c r="F6065" s="4">
        <v>75</v>
      </c>
      <c r="G6065" s="5">
        <v>25</v>
      </c>
      <c r="H6065" s="5">
        <v>32350</v>
      </c>
      <c r="I6065" s="118">
        <f t="shared" si="1077"/>
        <v>0.34187582562747687</v>
      </c>
      <c r="J6065" s="5">
        <v>110008</v>
      </c>
      <c r="K6065" s="22">
        <v>2075</v>
      </c>
      <c r="L6065" s="6">
        <v>2086.5</v>
      </c>
      <c r="M6065" s="125">
        <f t="shared" ref="M6065" si="1149">L6065-K6065</f>
        <v>11.5</v>
      </c>
      <c r="P6065" s="247">
        <v>15250</v>
      </c>
      <c r="Q6065" s="25">
        <f>173.16/1121.8</f>
        <v>0.15435906578712782</v>
      </c>
      <c r="W6065" s="285">
        <f t="shared" ref="W6065:W6066" si="1150">(P6065*Q6065)*(1+U6065)</f>
        <v>2353.9757532536992</v>
      </c>
      <c r="X6065" s="446">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18">
        <f t="shared" si="1077"/>
        <v>0.34187582562747687</v>
      </c>
      <c r="J6066" s="5">
        <v>108362</v>
      </c>
      <c r="K6066" s="22">
        <v>2069.5</v>
      </c>
      <c r="L6066" s="6">
        <v>2086.5</v>
      </c>
      <c r="M6066" s="125">
        <f t="shared" ref="M6066" si="1152">L6066-K6066</f>
        <v>17</v>
      </c>
      <c r="P6066" s="247">
        <v>15125</v>
      </c>
      <c r="Q6066" s="25">
        <f>173.27/1121.3</f>
        <v>0.15452599661107644</v>
      </c>
      <c r="W6066" s="285">
        <f t="shared" si="1150"/>
        <v>2337.2056987425312</v>
      </c>
      <c r="X6066" s="446">
        <f t="shared" si="1151"/>
        <v>7.3085286301038899</v>
      </c>
    </row>
    <row r="6067" spans="1:24" ht="15" customHeight="1">
      <c r="A6067" s="3">
        <v>44258</v>
      </c>
      <c r="B6067" s="4">
        <v>19325</v>
      </c>
      <c r="C6067" s="5">
        <v>0</v>
      </c>
      <c r="D6067" s="5">
        <v>75200</v>
      </c>
      <c r="E6067" s="5">
        <v>94525</v>
      </c>
      <c r="F6067" s="4">
        <v>0</v>
      </c>
      <c r="G6067" s="5">
        <v>100</v>
      </c>
      <c r="H6067" s="5">
        <v>32750</v>
      </c>
      <c r="I6067" s="118">
        <f t="shared" si="1077"/>
        <v>0.34646918804549059</v>
      </c>
      <c r="J6067" s="5">
        <v>108288</v>
      </c>
      <c r="K6067" s="22">
        <v>2039.5</v>
      </c>
      <c r="L6067" s="6">
        <v>2054.5</v>
      </c>
      <c r="M6067" s="125">
        <f t="shared" ref="M6067" si="1153">L6067-K6067</f>
        <v>15</v>
      </c>
      <c r="P6067" s="247">
        <v>15225</v>
      </c>
      <c r="Q6067" s="25">
        <f>173.63/1122.9</f>
        <v>0.1546264137501113</v>
      </c>
      <c r="W6067" s="285">
        <f t="shared" ref="W6067:W6075" si="1154">(P6067*Q6067)*(1+U6067)</f>
        <v>2354.1871493454446</v>
      </c>
      <c r="X6067" s="446">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18">
        <f t="shared" si="1077"/>
        <v>0.34508348794063082</v>
      </c>
      <c r="J6068" s="5">
        <v>109861</v>
      </c>
      <c r="K6068" s="22">
        <v>2014.5</v>
      </c>
      <c r="L6068" s="6">
        <v>2032</v>
      </c>
      <c r="M6068" s="125">
        <f t="shared" ref="M6068" si="1156">L6068-K6068</f>
        <v>17.5</v>
      </c>
      <c r="P6068" s="247">
        <v>15050</v>
      </c>
      <c r="Q6068" s="25">
        <f>174.03/1126.2</f>
        <v>0.15452850293020778</v>
      </c>
      <c r="W6068" s="285">
        <f t="shared" si="1154"/>
        <v>2325.6539690996274</v>
      </c>
      <c r="X6068" s="446">
        <f t="shared" si="1155"/>
        <v>7.4708364358401589</v>
      </c>
    </row>
    <row r="6069" spans="1:24" ht="15" customHeight="1">
      <c r="A6069" s="3">
        <v>44260</v>
      </c>
      <c r="B6069" s="4">
        <v>19325</v>
      </c>
      <c r="C6069" s="5">
        <v>0</v>
      </c>
      <c r="D6069" s="5">
        <v>74825</v>
      </c>
      <c r="E6069" s="5">
        <v>94150</v>
      </c>
      <c r="F6069" s="4">
        <v>0</v>
      </c>
      <c r="G6069" s="5">
        <v>150</v>
      </c>
      <c r="H6069" s="5">
        <v>32425</v>
      </c>
      <c r="I6069" s="118">
        <f t="shared" si="1077"/>
        <v>0.34439723844928305</v>
      </c>
      <c r="J6069" s="5">
        <v>108840</v>
      </c>
      <c r="K6069" s="22">
        <v>2023</v>
      </c>
      <c r="L6069" s="6">
        <v>2037</v>
      </c>
      <c r="M6069" s="125">
        <f t="shared" ref="M6069" si="1157">L6069-K6069</f>
        <v>14</v>
      </c>
      <c r="P6069" s="247">
        <v>14950</v>
      </c>
      <c r="Q6069" s="25">
        <f>174.11/1129.4</f>
        <v>0.15416150168230919</v>
      </c>
      <c r="W6069" s="285">
        <f t="shared" si="1154"/>
        <v>2304.7144501505222</v>
      </c>
      <c r="X6069" s="446">
        <f t="shared" si="1155"/>
        <v>7.3900148294611965</v>
      </c>
    </row>
    <row r="6070" spans="1:24" ht="15" customHeight="1">
      <c r="A6070" s="3">
        <v>44263</v>
      </c>
      <c r="B6070" s="4">
        <v>19325</v>
      </c>
      <c r="C6070" s="5">
        <v>0</v>
      </c>
      <c r="D6070" s="5">
        <v>74725</v>
      </c>
      <c r="E6070" s="5">
        <v>94050</v>
      </c>
      <c r="F6070" s="4">
        <v>0</v>
      </c>
      <c r="G6070" s="5">
        <v>100</v>
      </c>
      <c r="H6070" s="5">
        <v>36500</v>
      </c>
      <c r="I6070" s="118">
        <f t="shared" si="1077"/>
        <v>0.38809144072301965</v>
      </c>
      <c r="J6070" s="5">
        <v>107482</v>
      </c>
      <c r="K6070" s="22">
        <v>1983</v>
      </c>
      <c r="L6070" s="6">
        <v>2001</v>
      </c>
      <c r="M6070" s="125">
        <f t="shared" ref="M6070" si="1158">L6070-K6070</f>
        <v>18</v>
      </c>
      <c r="P6070" s="247">
        <v>14875</v>
      </c>
      <c r="Q6070" s="25">
        <f>173.59/1131.3</f>
        <v>0.15344294174843101</v>
      </c>
      <c r="W6070" s="285">
        <f t="shared" si="1154"/>
        <v>2282.4637585079113</v>
      </c>
      <c r="X6070" s="446">
        <f t="shared" si="1155"/>
        <v>7.5012607160867368</v>
      </c>
    </row>
    <row r="6071" spans="1:24" ht="15" customHeight="1">
      <c r="A6071" s="3">
        <v>44264</v>
      </c>
      <c r="B6071" s="4">
        <v>19325</v>
      </c>
      <c r="C6071" s="5">
        <v>0</v>
      </c>
      <c r="D6071" s="5">
        <v>74400</v>
      </c>
      <c r="E6071" s="5">
        <v>93725</v>
      </c>
      <c r="F6071" s="5">
        <v>0</v>
      </c>
      <c r="G6071" s="5">
        <v>325</v>
      </c>
      <c r="H6071" s="5">
        <v>36275</v>
      </c>
      <c r="I6071" s="118">
        <f t="shared" si="1077"/>
        <v>0.38703654307815416</v>
      </c>
      <c r="J6071" s="5">
        <v>107103</v>
      </c>
      <c r="K6071" s="22">
        <v>1956</v>
      </c>
      <c r="L6071" s="6">
        <v>1976.5</v>
      </c>
      <c r="M6071" s="125">
        <f t="shared" ref="M6071" si="1159">L6071-K6071</f>
        <v>20.5</v>
      </c>
      <c r="P6071" s="247">
        <v>14875</v>
      </c>
      <c r="Q6071" s="25">
        <f>174.34/1141.1</f>
        <v>0.15278240294452722</v>
      </c>
      <c r="W6071" s="285">
        <f t="shared" si="1154"/>
        <v>2272.6382437998423</v>
      </c>
      <c r="X6071" s="446">
        <f t="shared" si="1155"/>
        <v>7.6048057259713699</v>
      </c>
    </row>
    <row r="6072" spans="1:24" ht="15" customHeight="1">
      <c r="A6072" s="3">
        <v>44265</v>
      </c>
      <c r="B6072" s="4">
        <v>19325</v>
      </c>
      <c r="C6072" s="5">
        <v>0</v>
      </c>
      <c r="D6072" s="5">
        <v>75575</v>
      </c>
      <c r="E6072" s="5">
        <v>94900</v>
      </c>
      <c r="F6072" s="4">
        <v>1175</v>
      </c>
      <c r="G6072" s="5">
        <v>0</v>
      </c>
      <c r="H6072" s="5">
        <v>21725</v>
      </c>
      <c r="I6072" s="118">
        <f t="shared" si="1077"/>
        <v>0.22892518440463647</v>
      </c>
      <c r="J6072" s="5">
        <v>107401</v>
      </c>
      <c r="K6072" s="22">
        <v>1924.5</v>
      </c>
      <c r="L6072" s="6">
        <v>1946</v>
      </c>
      <c r="M6072" s="125">
        <f t="shared" ref="M6072" si="1160">L6072-K6072</f>
        <v>21.5</v>
      </c>
      <c r="P6072" s="247">
        <v>14650</v>
      </c>
      <c r="Q6072" s="25">
        <f>174.99/1140.7</f>
        <v>0.15340580345401947</v>
      </c>
      <c r="W6072" s="285">
        <f t="shared" si="1154"/>
        <v>2247.3950206013851</v>
      </c>
      <c r="X6072" s="446">
        <f t="shared" si="1155"/>
        <v>7.6123668485320861</v>
      </c>
    </row>
    <row r="6073" spans="1:24" ht="15" customHeight="1">
      <c r="A6073" s="3">
        <v>44266</v>
      </c>
      <c r="B6073" s="4">
        <v>28250</v>
      </c>
      <c r="C6073" s="5">
        <v>0</v>
      </c>
      <c r="D6073" s="5">
        <v>87450</v>
      </c>
      <c r="E6073" s="5">
        <v>115700</v>
      </c>
      <c r="F6073" s="4">
        <v>20800</v>
      </c>
      <c r="G6073" s="5">
        <v>0</v>
      </c>
      <c r="H6073" s="5">
        <v>21575</v>
      </c>
      <c r="I6073" s="118">
        <f t="shared" si="1077"/>
        <v>0.18647363872082973</v>
      </c>
      <c r="J6073" s="5">
        <v>109925</v>
      </c>
      <c r="K6073" s="22">
        <v>1934.5</v>
      </c>
      <c r="L6073" s="6">
        <v>1960.5</v>
      </c>
      <c r="M6073" s="125">
        <f t="shared" ref="M6073" si="1161">L6073-K6073</f>
        <v>26</v>
      </c>
      <c r="P6073" s="247">
        <v>14650</v>
      </c>
      <c r="Q6073" s="25">
        <f>174.84/1137.3</f>
        <v>0.15373252439989449</v>
      </c>
      <c r="W6073" s="285">
        <f t="shared" si="1154"/>
        <v>2252.1814824584544</v>
      </c>
      <c r="X6073" s="446">
        <f t="shared" si="1155"/>
        <v>7.5730162832773322</v>
      </c>
    </row>
    <row r="6074" spans="1:24" ht="15" customHeight="1">
      <c r="A6074" s="3">
        <v>44267</v>
      </c>
      <c r="B6074" s="4">
        <v>33175</v>
      </c>
      <c r="C6074" s="5">
        <v>0</v>
      </c>
      <c r="D6074" s="5">
        <v>89725</v>
      </c>
      <c r="E6074" s="5">
        <v>122900</v>
      </c>
      <c r="F6074" s="4">
        <v>7200</v>
      </c>
      <c r="G6074" s="5">
        <v>0</v>
      </c>
      <c r="H6074" s="5">
        <v>21850</v>
      </c>
      <c r="I6074" s="118">
        <f t="shared" si="1077"/>
        <v>0.17778681855166803</v>
      </c>
      <c r="J6074" s="5">
        <v>111200</v>
      </c>
      <c r="K6074" s="22">
        <v>1940</v>
      </c>
      <c r="L6074" s="6">
        <v>1964.5</v>
      </c>
      <c r="M6074" s="125">
        <f t="shared" ref="M6074" si="1162">L6074-K6074</f>
        <v>24.5</v>
      </c>
      <c r="P6074" s="247">
        <v>14650</v>
      </c>
      <c r="Q6074" s="25">
        <f>174.5/1130.7</f>
        <v>0.15432917661625542</v>
      </c>
      <c r="W6074" s="285">
        <f t="shared" si="1154"/>
        <v>2260.9224374281421</v>
      </c>
      <c r="X6074" s="446">
        <f t="shared" si="1155"/>
        <v>7.5515463917525771</v>
      </c>
    </row>
    <row r="6075" spans="1:24" ht="15" customHeight="1">
      <c r="A6075" s="3">
        <v>44270</v>
      </c>
      <c r="B6075" s="4">
        <v>33175</v>
      </c>
      <c r="C6075" s="5">
        <v>0</v>
      </c>
      <c r="D6075" s="5">
        <v>91050</v>
      </c>
      <c r="E6075" s="5">
        <v>124225</v>
      </c>
      <c r="F6075" s="4">
        <v>1325</v>
      </c>
      <c r="G6075" s="5">
        <v>0</v>
      </c>
      <c r="H6075" s="5">
        <v>21625</v>
      </c>
      <c r="I6075" s="118">
        <f t="shared" si="1077"/>
        <v>0.17407929160796942</v>
      </c>
      <c r="J6075" s="5">
        <v>108814</v>
      </c>
      <c r="K6075" s="22">
        <v>1936</v>
      </c>
      <c r="L6075" s="6">
        <v>1962</v>
      </c>
      <c r="M6075" s="125">
        <f t="shared" ref="M6075" si="1163">L6075-K6075</f>
        <v>26</v>
      </c>
      <c r="P6075" s="247">
        <v>14825</v>
      </c>
      <c r="Q6075" s="25">
        <f>174.61/1135.9</f>
        <v>0.15371951756316576</v>
      </c>
      <c r="W6075" s="285">
        <f t="shared" si="1154"/>
        <v>2278.8918478739324</v>
      </c>
      <c r="X6075" s="446">
        <f t="shared" si="1155"/>
        <v>7.6575413223140494</v>
      </c>
    </row>
    <row r="6076" spans="1:24" ht="15" customHeight="1">
      <c r="A6076" s="3">
        <v>44271</v>
      </c>
      <c r="B6076" s="4">
        <v>34175</v>
      </c>
      <c r="C6076" s="5">
        <v>0</v>
      </c>
      <c r="D6076" s="5">
        <v>90775</v>
      </c>
      <c r="E6076" s="5">
        <v>124950</v>
      </c>
      <c r="F6076" s="4">
        <v>1000</v>
      </c>
      <c r="G6076" s="5">
        <v>275</v>
      </c>
      <c r="H6076" s="5">
        <v>21350</v>
      </c>
      <c r="I6076" s="118">
        <f t="shared" si="1077"/>
        <v>0.17086834733893558</v>
      </c>
      <c r="J6076" s="5">
        <v>107116</v>
      </c>
      <c r="K6076" s="22">
        <v>1943.5</v>
      </c>
      <c r="L6076" s="6">
        <v>1965.5</v>
      </c>
      <c r="M6076" s="125">
        <f t="shared" ref="M6076" si="1164">L6076-K6076</f>
        <v>22</v>
      </c>
      <c r="P6076" s="247">
        <v>14825</v>
      </c>
      <c r="Q6076" s="25">
        <f>174.29/1132.5</f>
        <v>0.15389845474613686</v>
      </c>
      <c r="W6076" s="285">
        <f t="shared" ref="W6076:W6078" si="1165">(P6076*Q6076)*(1+U6076)</f>
        <v>2281.5445916114791</v>
      </c>
      <c r="X6076" s="446">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18">
        <f t="shared" si="1077"/>
        <v>0.17606906243726159</v>
      </c>
      <c r="J6077" s="5">
        <v>103555</v>
      </c>
      <c r="K6077" s="22">
        <v>1921</v>
      </c>
      <c r="L6077" s="6">
        <v>1944.5</v>
      </c>
      <c r="M6077" s="125">
        <f t="shared" ref="M6077" si="1167">L6077-K6077</f>
        <v>23.5</v>
      </c>
      <c r="P6077" s="247">
        <v>14750</v>
      </c>
      <c r="Q6077" s="25">
        <f>174.04/1131.8</f>
        <v>0.15377275136949992</v>
      </c>
      <c r="W6077" s="285">
        <f t="shared" si="1165"/>
        <v>2268.1480827001237</v>
      </c>
      <c r="X6077" s="446">
        <f t="shared" si="1166"/>
        <v>7.6782925559604376</v>
      </c>
    </row>
    <row r="6078" spans="1:24" ht="15" customHeight="1">
      <c r="A6078" s="3">
        <v>44273</v>
      </c>
      <c r="B6078" s="4">
        <v>33800</v>
      </c>
      <c r="C6078" s="5">
        <v>0</v>
      </c>
      <c r="D6078" s="5">
        <v>89975</v>
      </c>
      <c r="E6078" s="5">
        <v>123775</v>
      </c>
      <c r="F6078" s="4">
        <v>0</v>
      </c>
      <c r="G6078" s="5">
        <v>750</v>
      </c>
      <c r="H6078" s="5">
        <v>21675</v>
      </c>
      <c r="I6078" s="118">
        <f t="shared" si="1077"/>
        <v>0.17511613815390831</v>
      </c>
      <c r="J6078" s="5">
        <v>103160</v>
      </c>
      <c r="K6078" s="22">
        <v>1896</v>
      </c>
      <c r="L6078" s="6">
        <v>1922</v>
      </c>
      <c r="M6078" s="125">
        <f t="shared" ref="M6078" si="1168">L6078-K6078</f>
        <v>26</v>
      </c>
      <c r="P6078" s="247">
        <v>14800</v>
      </c>
      <c r="Q6078" s="25">
        <f>173.13/1123.7</f>
        <v>0.15407137136246329</v>
      </c>
      <c r="W6078" s="285">
        <f t="shared" si="1165"/>
        <v>2280.2562961644567</v>
      </c>
      <c r="X6078" s="446">
        <f t="shared" si="1166"/>
        <v>7.8059071729957807</v>
      </c>
    </row>
    <row r="6079" spans="1:24" ht="15" customHeight="1">
      <c r="A6079" s="3">
        <v>44274</v>
      </c>
      <c r="B6079" s="4">
        <v>33775</v>
      </c>
      <c r="C6079" s="5">
        <v>0</v>
      </c>
      <c r="D6079" s="5">
        <v>89650</v>
      </c>
      <c r="E6079" s="5">
        <v>123425</v>
      </c>
      <c r="F6079" s="4">
        <v>0</v>
      </c>
      <c r="G6079" s="5">
        <v>350</v>
      </c>
      <c r="H6079" s="5">
        <v>21475</v>
      </c>
      <c r="I6079" s="118">
        <f t="shared" si="1077"/>
        <v>0.17399230301802715</v>
      </c>
      <c r="J6079" s="5">
        <v>103293</v>
      </c>
      <c r="K6079" s="22">
        <v>1917.5</v>
      </c>
      <c r="L6079" s="6">
        <v>1941</v>
      </c>
      <c r="M6079" s="125">
        <f t="shared" ref="M6079" si="1169">L6079-K6079</f>
        <v>23.5</v>
      </c>
      <c r="P6079" s="247">
        <v>14850</v>
      </c>
      <c r="Q6079" s="25">
        <f>173.72/1131.8</f>
        <v>0.15349001590386996</v>
      </c>
      <c r="W6079" s="285">
        <f t="shared" ref="W6079:W6082" si="1170">(P6079*Q6079)*(1+U6079)</f>
        <v>2279.3267361724688</v>
      </c>
      <c r="X6079" s="446">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18">
        <f t="shared" si="1077"/>
        <v>0.17026476578411406</v>
      </c>
      <c r="J6080" s="5">
        <v>101214</v>
      </c>
      <c r="K6080" s="22">
        <v>1951</v>
      </c>
      <c r="L6080" s="6">
        <v>1976.5</v>
      </c>
      <c r="M6080" s="125">
        <f t="shared" ref="M6080" si="1172">L6080-K6080</f>
        <v>25.5</v>
      </c>
      <c r="P6080" s="247">
        <v>15100</v>
      </c>
      <c r="Q6080" s="25">
        <f>173.66/1131.3</f>
        <v>0.1535048174666313</v>
      </c>
      <c r="W6080" s="285">
        <f t="shared" si="1170"/>
        <v>2317.9227437461327</v>
      </c>
      <c r="X6080" s="446">
        <f t="shared" si="1171"/>
        <v>7.7396207073295749</v>
      </c>
    </row>
    <row r="6081" spans="1:24" ht="15" customHeight="1">
      <c r="A6081" s="3">
        <v>44278</v>
      </c>
      <c r="B6081" s="4">
        <v>33775</v>
      </c>
      <c r="C6081" s="5">
        <v>0</v>
      </c>
      <c r="D6081" s="5">
        <v>87900</v>
      </c>
      <c r="E6081" s="5">
        <v>121675</v>
      </c>
      <c r="F6081" s="4">
        <v>0</v>
      </c>
      <c r="G6081" s="5">
        <v>1075</v>
      </c>
      <c r="H6081" s="5">
        <v>19825</v>
      </c>
      <c r="I6081" s="118">
        <f t="shared" si="1077"/>
        <v>0.16293404561331415</v>
      </c>
      <c r="J6081" s="5">
        <v>100615</v>
      </c>
      <c r="K6081" s="22">
        <v>1949</v>
      </c>
      <c r="L6081" s="6">
        <v>1975.5</v>
      </c>
      <c r="M6081" s="125">
        <f t="shared" ref="M6081" si="1173">L6081-K6081</f>
        <v>26.5</v>
      </c>
      <c r="P6081" s="247">
        <v>15125</v>
      </c>
      <c r="Q6081" s="25">
        <f>173.35/1128</f>
        <v>0.1536790780141844</v>
      </c>
      <c r="W6081" s="285">
        <f t="shared" si="1170"/>
        <v>2324.396054964539</v>
      </c>
      <c r="X6081" s="446">
        <f t="shared" si="1171"/>
        <v>7.7603899435608001</v>
      </c>
    </row>
    <row r="6082" spans="1:24" ht="15" customHeight="1">
      <c r="A6082" s="3">
        <v>44279</v>
      </c>
      <c r="B6082" s="4">
        <v>33775</v>
      </c>
      <c r="C6082" s="5">
        <v>0</v>
      </c>
      <c r="D6082" s="5">
        <v>87300</v>
      </c>
      <c r="E6082" s="5">
        <v>121075</v>
      </c>
      <c r="F6082" s="4">
        <v>0</v>
      </c>
      <c r="G6082" s="5">
        <v>600</v>
      </c>
      <c r="H6082" s="5">
        <v>20275</v>
      </c>
      <c r="I6082" s="118">
        <f t="shared" si="1077"/>
        <v>0.1674581870741276</v>
      </c>
      <c r="J6082" s="5">
        <v>101089</v>
      </c>
      <c r="K6082" s="22">
        <v>1944</v>
      </c>
      <c r="L6082" s="6">
        <v>1971</v>
      </c>
      <c r="M6082" s="125">
        <f t="shared" ref="M6082" si="1174">L6082-K6082</f>
        <v>27</v>
      </c>
      <c r="P6082" s="247">
        <v>15125</v>
      </c>
      <c r="Q6082" s="25">
        <f>173.68/1133.5</f>
        <v>0.15322452580502868</v>
      </c>
      <c r="W6082" s="285">
        <f t="shared" si="1170"/>
        <v>2317.5209528010587</v>
      </c>
      <c r="X6082" s="446">
        <f t="shared" si="1171"/>
        <v>7.780349794238683</v>
      </c>
    </row>
    <row r="6083" spans="1:24" ht="15" customHeight="1">
      <c r="A6083" s="3">
        <v>44280</v>
      </c>
      <c r="B6083" s="4">
        <v>33075</v>
      </c>
      <c r="C6083" s="5">
        <v>0</v>
      </c>
      <c r="D6083" s="5">
        <v>86425</v>
      </c>
      <c r="E6083" s="5">
        <v>119500</v>
      </c>
      <c r="F6083" s="4">
        <v>0</v>
      </c>
      <c r="G6083" s="5">
        <v>1575</v>
      </c>
      <c r="H6083" s="5">
        <v>18900</v>
      </c>
      <c r="I6083" s="118">
        <f t="shared" si="1077"/>
        <v>0.15815899581589959</v>
      </c>
      <c r="J6083" s="5">
        <v>101754</v>
      </c>
      <c r="K6083" s="22">
        <v>1907</v>
      </c>
      <c r="L6083" s="6">
        <v>1932</v>
      </c>
      <c r="M6083" s="125">
        <f t="shared" ref="M6083:M6084" si="1175">L6083-K6083</f>
        <v>25</v>
      </c>
      <c r="P6083" s="247">
        <v>15000</v>
      </c>
      <c r="Q6083" s="25">
        <f>173.58/1134.2</f>
        <v>0.15304179157115147</v>
      </c>
      <c r="W6083" s="285">
        <f t="shared" ref="W6083:W6084" si="1176">(P6083*Q6083)*(1+U6083)</f>
        <v>2295.626873567272</v>
      </c>
      <c r="X6083" s="446">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18">
        <f t="shared" si="1077"/>
        <v>0.15332771693344566</v>
      </c>
      <c r="J6084" s="5">
        <v>103357</v>
      </c>
      <c r="K6084" s="22">
        <v>1938.5</v>
      </c>
      <c r="L6084" s="6">
        <v>1962</v>
      </c>
      <c r="M6084" s="125">
        <f t="shared" si="1175"/>
        <v>23.5</v>
      </c>
      <c r="P6084" s="247">
        <v>14925</v>
      </c>
      <c r="Q6084" s="25">
        <f>173.02/1131.8</f>
        <v>0.15287153207280441</v>
      </c>
      <c r="W6084" s="285">
        <f t="shared" si="1176"/>
        <v>2281.6076161866058</v>
      </c>
      <c r="X6084" s="446">
        <f t="shared" si="1177"/>
        <v>7.6992519989682746</v>
      </c>
    </row>
    <row r="6085" spans="1:24" ht="15" customHeight="1">
      <c r="A6085" s="3">
        <v>44284</v>
      </c>
      <c r="B6085" s="4">
        <v>34000</v>
      </c>
      <c r="C6085" s="5">
        <v>0</v>
      </c>
      <c r="D6085" s="5">
        <v>85550</v>
      </c>
      <c r="E6085" s="5">
        <v>119550</v>
      </c>
      <c r="F6085" s="4">
        <v>1025</v>
      </c>
      <c r="G6085" s="5">
        <v>175</v>
      </c>
      <c r="H6085" s="5">
        <v>18025</v>
      </c>
      <c r="I6085" s="118">
        <f t="shared" si="1077"/>
        <v>0.15077373483897952</v>
      </c>
      <c r="J6085" s="5">
        <v>103494</v>
      </c>
      <c r="K6085" s="22">
        <v>1934</v>
      </c>
      <c r="L6085" s="6">
        <v>1958.5</v>
      </c>
      <c r="M6085" s="125">
        <f t="shared" ref="M6085:M6086" si="1178">L6085-K6085</f>
        <v>24.5</v>
      </c>
      <c r="P6085" s="247">
        <v>15000</v>
      </c>
      <c r="Q6085" s="25">
        <f>172.9/1131.7</f>
        <v>0.1527790050366705</v>
      </c>
      <c r="W6085" s="285">
        <f t="shared" ref="W6085:W6087" si="1179">(P6085*Q6085)*(1+U6085)</f>
        <v>2291.6850755500573</v>
      </c>
      <c r="X6085" s="446">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18">
        <f t="shared" si="1077"/>
        <v>0.14977054651647892</v>
      </c>
      <c r="J6086" s="5">
        <v>103784</v>
      </c>
      <c r="K6086" s="22">
        <v>1944</v>
      </c>
      <c r="L6086" s="6">
        <v>1968</v>
      </c>
      <c r="M6086" s="125">
        <f t="shared" si="1178"/>
        <v>24</v>
      </c>
      <c r="P6086" s="247">
        <v>15300</v>
      </c>
      <c r="Q6086" s="25">
        <f>172.35/1133.5</f>
        <v>0.15205116894574328</v>
      </c>
      <c r="W6086" s="285">
        <f t="shared" si="1179"/>
        <v>2326.3828848698722</v>
      </c>
      <c r="X6086" s="446">
        <f t="shared" si="1180"/>
        <v>7.8703703703703702</v>
      </c>
    </row>
    <row r="6087" spans="1:24" ht="15" customHeight="1">
      <c r="A6087" s="3">
        <v>44286</v>
      </c>
      <c r="B6087" s="4">
        <v>34000</v>
      </c>
      <c r="C6087" s="5">
        <v>0</v>
      </c>
      <c r="D6087" s="5">
        <v>85675</v>
      </c>
      <c r="E6087" s="5">
        <v>119675</v>
      </c>
      <c r="F6087" s="4">
        <v>0</v>
      </c>
      <c r="G6087" s="5">
        <v>175</v>
      </c>
      <c r="H6087" s="5">
        <v>17775</v>
      </c>
      <c r="I6087" s="118">
        <f t="shared" si="1077"/>
        <v>0.14852726133277627</v>
      </c>
      <c r="J6087" s="5">
        <v>103618</v>
      </c>
      <c r="K6087" s="22">
        <v>1956.5</v>
      </c>
      <c r="L6087" s="6">
        <v>1979</v>
      </c>
      <c r="M6087" s="125">
        <f t="shared" ref="M6087" si="1181">L6087-K6087</f>
        <v>22.5</v>
      </c>
      <c r="N6087" s="381">
        <f>AVERAGE($K$6065:K6087)</f>
        <v>1960.7608695652175</v>
      </c>
      <c r="O6087" s="395">
        <f>AVERAGE($K$6023:K6087)</f>
        <v>2017.6349206349207</v>
      </c>
      <c r="P6087" s="247">
        <v>15275</v>
      </c>
      <c r="Q6087" s="25">
        <f>172.28/1132.6</f>
        <v>0.15211018894578845</v>
      </c>
      <c r="W6087" s="285">
        <f t="shared" si="1179"/>
        <v>2323.4831361469187</v>
      </c>
      <c r="X6087" s="446">
        <f t="shared" si="1180"/>
        <v>7.8073089700996681</v>
      </c>
    </row>
    <row r="6088" spans="1:24" ht="15" customHeight="1" thickBot="1">
      <c r="A6088" s="216"/>
      <c r="B6088" s="394"/>
      <c r="C6088" s="394"/>
      <c r="D6088" s="394"/>
      <c r="E6088" s="216"/>
      <c r="F6088" s="407"/>
      <c r="G6088" s="164"/>
      <c r="H6088" s="164"/>
      <c r="I6088" s="164"/>
      <c r="J6088" s="166"/>
      <c r="K6088" s="166"/>
      <c r="L6088" s="167"/>
      <c r="M6088" s="167"/>
      <c r="N6088" s="167"/>
      <c r="O6088" s="167"/>
      <c r="P6088" s="180"/>
      <c r="Q6088" s="154"/>
      <c r="R6088" s="248"/>
      <c r="S6088" s="249"/>
      <c r="T6088" s="249"/>
      <c r="U6088" s="152"/>
      <c r="V6088" s="153">
        <f>AVERAGE(P6065:P6087)</f>
        <v>14965.217391304348</v>
      </c>
      <c r="W6088" s="390"/>
      <c r="X6088" s="447">
        <f>V6088/N6087</f>
        <v>7.6323521259493319</v>
      </c>
    </row>
    <row r="6089" spans="1:24" ht="15" customHeight="1">
      <c r="A6089" s="3">
        <v>44287</v>
      </c>
      <c r="B6089" s="4">
        <v>34000</v>
      </c>
      <c r="C6089" s="5">
        <v>0</v>
      </c>
      <c r="D6089" s="5">
        <v>85550</v>
      </c>
      <c r="E6089" s="5">
        <v>119550</v>
      </c>
      <c r="F6089" s="4">
        <v>0</v>
      </c>
      <c r="G6089" s="5">
        <v>125</v>
      </c>
      <c r="H6089" s="5">
        <v>17650</v>
      </c>
      <c r="I6089" s="118">
        <f t="shared" si="1077"/>
        <v>0.14763697197825179</v>
      </c>
      <c r="J6089" s="5">
        <v>101943</v>
      </c>
      <c r="K6089" s="22">
        <v>1942.5</v>
      </c>
      <c r="L6089" s="6">
        <v>1967.5</v>
      </c>
      <c r="M6089" s="125">
        <f t="shared" ref="M6089" si="1182">L6089-K6089</f>
        <v>25</v>
      </c>
      <c r="P6089" s="247">
        <v>15200</v>
      </c>
      <c r="Q6089" s="25">
        <f>171.76/1129.3</f>
        <v>0.15209421765695563</v>
      </c>
      <c r="W6089" s="285">
        <f t="shared" ref="W6089" si="1183">(P6089*Q6089)*(1+U6089)</f>
        <v>2311.8321083857254</v>
      </c>
      <c r="X6089" s="446">
        <f t="shared" ref="X6089:X6093" si="1184">P6089/K6089</f>
        <v>7.8249678249678247</v>
      </c>
    </row>
    <row r="6090" spans="1:24" ht="15" customHeight="1">
      <c r="A6090" s="3">
        <v>44288</v>
      </c>
      <c r="B6090" s="1318" t="s">
        <v>61</v>
      </c>
      <c r="C6090" s="1318"/>
      <c r="D6090" s="1318"/>
      <c r="E6090" s="1318"/>
      <c r="F6090" s="1318"/>
      <c r="G6090" s="1318"/>
      <c r="H6090" s="1318"/>
      <c r="I6090" s="1318"/>
      <c r="J6090" s="1318"/>
      <c r="K6090" s="1318"/>
      <c r="L6090" s="1318"/>
      <c r="M6090" s="1318"/>
      <c r="P6090" s="247">
        <v>15100</v>
      </c>
      <c r="Q6090" s="25">
        <f>171.66/1127.5</f>
        <v>0.15224833702882484</v>
      </c>
      <c r="W6090" s="285">
        <f t="shared" ref="W6090:W6093" si="1185">(P6090*Q6090)*(1+U6090)</f>
        <v>2298.949889135255</v>
      </c>
      <c r="X6090" s="446"/>
    </row>
    <row r="6091" spans="1:24" ht="15" customHeight="1">
      <c r="A6091" s="3">
        <v>44291</v>
      </c>
      <c r="B6091" s="1318"/>
      <c r="C6091" s="1318"/>
      <c r="D6091" s="1318"/>
      <c r="E6091" s="1318"/>
      <c r="F6091" s="1318"/>
      <c r="G6091" s="1318"/>
      <c r="H6091" s="1318"/>
      <c r="I6091" s="1318"/>
      <c r="J6091" s="1318"/>
      <c r="K6091" s="1318"/>
      <c r="L6091" s="1318"/>
      <c r="M6091" s="1318"/>
      <c r="P6091" s="247">
        <v>15000</v>
      </c>
      <c r="Q6091" s="25">
        <f>171.44/1127.8</f>
        <v>0.15201276822131585</v>
      </c>
      <c r="W6091" s="285">
        <f t="shared" si="1185"/>
        <v>2280.1915233197378</v>
      </c>
      <c r="X6091" s="446"/>
    </row>
    <row r="6092" spans="1:24" ht="15" customHeight="1">
      <c r="A6092" s="3">
        <v>44292</v>
      </c>
      <c r="B6092" s="4">
        <v>34000</v>
      </c>
      <c r="C6092" s="5">
        <v>0</v>
      </c>
      <c r="D6092" s="5">
        <v>85000</v>
      </c>
      <c r="E6092" s="5">
        <v>119000</v>
      </c>
      <c r="F6092" s="4">
        <v>0</v>
      </c>
      <c r="G6092" s="5">
        <v>550</v>
      </c>
      <c r="H6092" s="5">
        <v>17650</v>
      </c>
      <c r="I6092" s="118">
        <f t="shared" ref="I6092:I6110" si="1186">H6092/E6092</f>
        <v>0.14831932773109244</v>
      </c>
      <c r="J6092" s="5">
        <v>101239</v>
      </c>
      <c r="K6092" s="22">
        <v>1947.5</v>
      </c>
      <c r="L6092" s="6">
        <v>1966.5</v>
      </c>
      <c r="M6092" s="125">
        <f t="shared" ref="M6092" si="1187">L6092-K6092</f>
        <v>19</v>
      </c>
      <c r="P6092" s="247">
        <v>14900</v>
      </c>
      <c r="Q6092" s="25">
        <f>171.32/1122.9</f>
        <v>0.1525692403597827</v>
      </c>
      <c r="W6092" s="285">
        <f t="shared" si="1185"/>
        <v>2273.2816813607624</v>
      </c>
      <c r="X6092" s="446">
        <f t="shared" si="1184"/>
        <v>7.6508344030808733</v>
      </c>
    </row>
    <row r="6093" spans="1:24" ht="15" customHeight="1">
      <c r="A6093" s="3">
        <v>44293</v>
      </c>
      <c r="B6093" s="4">
        <v>34000</v>
      </c>
      <c r="D6093" s="5">
        <v>84900</v>
      </c>
      <c r="E6093" s="5">
        <v>118900</v>
      </c>
      <c r="F6093" s="4">
        <v>0</v>
      </c>
      <c r="G6093" s="5">
        <v>100</v>
      </c>
      <c r="H6093" s="5">
        <v>18000</v>
      </c>
      <c r="I6093" s="118">
        <f t="shared" si="1186"/>
        <v>0.15138772077375945</v>
      </c>
      <c r="J6093" s="5">
        <v>46718</v>
      </c>
      <c r="K6093" s="22">
        <v>1949</v>
      </c>
      <c r="L6093" s="6">
        <v>1975.5</v>
      </c>
      <c r="M6093" s="125">
        <f t="shared" ref="M6093" si="1188">L6093-K6093</f>
        <v>26.5</v>
      </c>
      <c r="P6093" s="247">
        <v>14825</v>
      </c>
      <c r="Q6093" s="25">
        <f>170.6/1116.4</f>
        <v>0.15281261196703688</v>
      </c>
      <c r="W6093" s="285">
        <f t="shared" si="1185"/>
        <v>2265.4469724113219</v>
      </c>
      <c r="X6093" s="446">
        <f t="shared" si="1184"/>
        <v>7.6064648537711648</v>
      </c>
    </row>
    <row r="6094" spans="1:24" ht="15" customHeight="1">
      <c r="A6094" s="3">
        <v>44294</v>
      </c>
      <c r="B6094" s="4">
        <v>34000</v>
      </c>
      <c r="C6094" s="5">
        <v>0</v>
      </c>
      <c r="D6094" s="5">
        <v>84775</v>
      </c>
      <c r="E6094" s="5">
        <v>118775</v>
      </c>
      <c r="F6094" s="4">
        <v>0</v>
      </c>
      <c r="G6094" s="5">
        <v>125</v>
      </c>
      <c r="H6094" s="5">
        <v>18175</v>
      </c>
      <c r="I6094" s="118">
        <f t="shared" si="1186"/>
        <v>0.15302041675436751</v>
      </c>
      <c r="J6094" s="5">
        <v>102751</v>
      </c>
      <c r="K6094" s="22">
        <v>1969</v>
      </c>
      <c r="L6094" s="6">
        <v>1990.5</v>
      </c>
      <c r="M6094" s="125">
        <f t="shared" ref="M6094" si="1189">L6094-K6094</f>
        <v>21.5</v>
      </c>
      <c r="P6094" s="247">
        <v>14825</v>
      </c>
      <c r="Q6094" s="25">
        <f>170.6/1118.5</f>
        <v>0.15252570406794813</v>
      </c>
      <c r="W6094" s="285">
        <f t="shared" ref="W6094" si="1190">(P6094*Q6094)*(1+U6094)</f>
        <v>2261.1935628073311</v>
      </c>
      <c r="X6094" s="446">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18">
        <f t="shared" si="1186"/>
        <v>0.15212810788032027</v>
      </c>
      <c r="J6095" s="5">
        <v>100931</v>
      </c>
      <c r="K6095" s="22">
        <v>1958</v>
      </c>
      <c r="L6095" s="6">
        <v>1978</v>
      </c>
      <c r="M6095" s="125">
        <f t="shared" ref="M6095" si="1192">L6095-K6095</f>
        <v>20</v>
      </c>
      <c r="P6095" s="247">
        <v>14800</v>
      </c>
      <c r="Q6095" s="25">
        <f>170.34/1117.2</f>
        <v>0.1524704618689581</v>
      </c>
      <c r="W6095" s="285">
        <f t="shared" ref="W6095" si="1193">(P6095*Q6095)*(1+U6095)</f>
        <v>2256.5628356605798</v>
      </c>
      <c r="X6095" s="446">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18">
        <f t="shared" si="1186"/>
        <v>0.15902851108764521</v>
      </c>
      <c r="J6096" s="5">
        <v>100872</v>
      </c>
      <c r="K6096" s="22">
        <v>1948.5</v>
      </c>
      <c r="L6096" s="6">
        <v>1971</v>
      </c>
      <c r="M6096" s="125">
        <f t="shared" ref="M6096" si="1195">L6096-K6096</f>
        <v>22.5</v>
      </c>
      <c r="P6096" s="247">
        <v>14700</v>
      </c>
      <c r="Q6096" s="25">
        <f>171.42/1124.3</f>
        <v>0.15246820243707196</v>
      </c>
      <c r="W6096" s="285">
        <f t="shared" ref="W6096:W6097" si="1196">(P6096*Q6096)*(1+U6096)</f>
        <v>2241.2825758249578</v>
      </c>
      <c r="X6096" s="446">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18">
        <f t="shared" si="1186"/>
        <v>0.1540259188442745</v>
      </c>
      <c r="J6097" s="5">
        <v>101087</v>
      </c>
      <c r="K6097" s="22">
        <v>1959.5</v>
      </c>
      <c r="L6097" s="6">
        <v>1977</v>
      </c>
      <c r="M6097" s="125">
        <f t="shared" ref="M6097" si="1198">L6097-K6097</f>
        <v>17.5</v>
      </c>
      <c r="P6097" s="247">
        <v>14650</v>
      </c>
      <c r="Q6097" s="25">
        <f>171.9/1126.1</f>
        <v>0.15265074149720276</v>
      </c>
      <c r="W6097" s="285">
        <f t="shared" si="1196"/>
        <v>2236.3333629340204</v>
      </c>
      <c r="X6097" s="446">
        <f t="shared" si="1197"/>
        <v>7.4763970400612401</v>
      </c>
    </row>
    <row r="6098" spans="1:24" ht="15" customHeight="1">
      <c r="A6098" s="3">
        <v>44300</v>
      </c>
      <c r="B6098" s="4">
        <v>33000</v>
      </c>
      <c r="C6098" s="5">
        <v>0</v>
      </c>
      <c r="D6098" s="5">
        <v>83650</v>
      </c>
      <c r="E6098" s="5">
        <v>116650</v>
      </c>
      <c r="F6098" s="4">
        <v>0</v>
      </c>
      <c r="G6098" s="5">
        <v>1025</v>
      </c>
      <c r="H6098" s="5">
        <v>17700</v>
      </c>
      <c r="I6098" s="118">
        <f t="shared" si="1186"/>
        <v>0.15173596228032576</v>
      </c>
      <c r="J6098" s="5">
        <v>100413</v>
      </c>
      <c r="K6098" s="22">
        <v>1968</v>
      </c>
      <c r="L6098" s="6">
        <v>1990.5</v>
      </c>
      <c r="M6098" s="125">
        <f t="shared" ref="M6098" si="1199">L6098-K6098</f>
        <v>22.5</v>
      </c>
      <c r="P6098" s="247">
        <v>14725</v>
      </c>
      <c r="Q6098" s="25">
        <f>171.1/1119.9</f>
        <v>0.15278149834806679</v>
      </c>
      <c r="W6098" s="285">
        <f t="shared" ref="W6098:W6101" si="1200">(P6098*Q6098)*(1+U6098)</f>
        <v>2249.7075631752832</v>
      </c>
      <c r="X6098" s="446">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18">
        <f t="shared" si="1186"/>
        <v>0.15546489156109083</v>
      </c>
      <c r="J6099" s="5">
        <v>101733</v>
      </c>
      <c r="K6099" s="22">
        <v>1984.5</v>
      </c>
      <c r="L6099" s="6">
        <v>2006.5</v>
      </c>
      <c r="M6099" s="125">
        <f t="shared" ref="M6099" si="1202">L6099-K6099</f>
        <v>22</v>
      </c>
      <c r="P6099" s="247">
        <v>14825</v>
      </c>
      <c r="Q6099" s="25">
        <f>170.96/1117.6</f>
        <v>0.15297065139584826</v>
      </c>
      <c r="W6099" s="285">
        <f t="shared" si="1200"/>
        <v>2267.7899069434502</v>
      </c>
      <c r="X6099" s="446">
        <f t="shared" si="1201"/>
        <v>7.4703955656336607</v>
      </c>
    </row>
    <row r="6100" spans="1:24" ht="15" customHeight="1">
      <c r="A6100" s="3">
        <v>44302</v>
      </c>
      <c r="B6100" s="4">
        <v>32975</v>
      </c>
      <c r="C6100" s="5">
        <v>0</v>
      </c>
      <c r="D6100" s="5">
        <v>83250</v>
      </c>
      <c r="E6100" s="5">
        <v>116225</v>
      </c>
      <c r="F6100" s="4">
        <v>0</v>
      </c>
      <c r="G6100" s="5">
        <v>200</v>
      </c>
      <c r="H6100" s="5">
        <v>19150</v>
      </c>
      <c r="I6100" s="118">
        <f t="shared" si="1186"/>
        <v>0.16476661647666166</v>
      </c>
      <c r="J6100" s="5">
        <v>101357</v>
      </c>
      <c r="K6100" s="22">
        <v>2033</v>
      </c>
      <c r="L6100" s="6">
        <v>2052</v>
      </c>
      <c r="M6100" s="125">
        <f t="shared" ref="M6100" si="1203">L6100-K6100</f>
        <v>19</v>
      </c>
      <c r="P6100" s="247">
        <v>14875</v>
      </c>
      <c r="Q6100" s="25">
        <f>171.07/1117.9</f>
        <v>0.15302799892655872</v>
      </c>
      <c r="W6100" s="285">
        <f t="shared" si="1200"/>
        <v>2276.2914840325611</v>
      </c>
      <c r="X6100" s="446">
        <f t="shared" si="1201"/>
        <v>7.3167732415150022</v>
      </c>
    </row>
    <row r="6101" spans="1:24" ht="15" customHeight="1">
      <c r="A6101" s="3">
        <v>44305</v>
      </c>
      <c r="B6101" s="4">
        <v>32450</v>
      </c>
      <c r="C6101" s="5">
        <v>0</v>
      </c>
      <c r="D6101" s="5">
        <v>83100</v>
      </c>
      <c r="E6101" s="5">
        <v>115550</v>
      </c>
      <c r="F6101" s="4">
        <v>0</v>
      </c>
      <c r="G6101" s="5">
        <v>675</v>
      </c>
      <c r="H6101" s="5">
        <v>19725</v>
      </c>
      <c r="I6101" s="118">
        <f t="shared" si="1186"/>
        <v>0.17070532237126784</v>
      </c>
      <c r="J6101" s="5">
        <v>103013</v>
      </c>
      <c r="K6101" s="22">
        <v>2025</v>
      </c>
      <c r="L6101" s="6">
        <v>2046.5</v>
      </c>
      <c r="M6101" s="125">
        <f t="shared" ref="M6101" si="1204">L6101-K6101</f>
        <v>21.5</v>
      </c>
      <c r="P6101" s="247">
        <v>14900</v>
      </c>
      <c r="Q6101" s="25">
        <f>171.36/1118.2</f>
        <v>0.15324628867823287</v>
      </c>
      <c r="W6101" s="285">
        <f t="shared" si="1200"/>
        <v>2283.3697013056699</v>
      </c>
      <c r="X6101" s="446">
        <f t="shared" si="1201"/>
        <v>7.3580246913580245</v>
      </c>
    </row>
    <row r="6102" spans="1:24" ht="15" customHeight="1">
      <c r="A6102" s="3">
        <v>44306</v>
      </c>
      <c r="B6102" s="4">
        <v>32450</v>
      </c>
      <c r="C6102" s="5">
        <v>0</v>
      </c>
      <c r="D6102" s="5">
        <v>82450</v>
      </c>
      <c r="E6102" s="5">
        <v>114900</v>
      </c>
      <c r="F6102" s="4">
        <v>0</v>
      </c>
      <c r="G6102" s="5">
        <v>650</v>
      </c>
      <c r="H6102" s="5">
        <v>20200</v>
      </c>
      <c r="I6102" s="118">
        <f t="shared" si="1186"/>
        <v>0.17580504786771106</v>
      </c>
      <c r="J6102" s="5">
        <v>101448</v>
      </c>
      <c r="K6102" s="22">
        <v>2026</v>
      </c>
      <c r="L6102" s="6">
        <v>2049.5</v>
      </c>
      <c r="M6102" s="125">
        <f t="shared" ref="M6102" si="1205">L6102-K6102</f>
        <v>23.5</v>
      </c>
      <c r="P6102" s="247">
        <v>15100</v>
      </c>
      <c r="Q6102" s="25">
        <f>171.36/1118.2</f>
        <v>0.15324628867823287</v>
      </c>
      <c r="W6102" s="285">
        <f t="shared" ref="W6102:W6105" si="1206">(P6102*Q6102)*(1+U6102)</f>
        <v>2314.0189590413161</v>
      </c>
      <c r="X6102" s="446">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18">
        <f t="shared" si="1186"/>
        <v>0.18038873116400961</v>
      </c>
      <c r="J6103" s="5">
        <v>101132</v>
      </c>
      <c r="K6103" s="22">
        <v>1982</v>
      </c>
      <c r="L6103" s="6">
        <v>2006</v>
      </c>
      <c r="M6103" s="125">
        <f t="shared" ref="M6103" si="1208">L6103-K6103</f>
        <v>24</v>
      </c>
      <c r="P6103" s="247">
        <v>15100</v>
      </c>
      <c r="Q6103" s="25">
        <f>171.95/1117.4</f>
        <v>0.15388401646679789</v>
      </c>
      <c r="W6103" s="285">
        <f t="shared" si="1206"/>
        <v>2323.6486486486483</v>
      </c>
      <c r="X6103" s="446">
        <f t="shared" si="1207"/>
        <v>7.618567103935419</v>
      </c>
    </row>
    <row r="6104" spans="1:24" ht="15" customHeight="1">
      <c r="A6104" s="3">
        <v>44308</v>
      </c>
      <c r="B6104" s="4">
        <v>31625</v>
      </c>
      <c r="C6104" s="5">
        <v>0</v>
      </c>
      <c r="D6104" s="5">
        <v>81725</v>
      </c>
      <c r="E6104" s="5">
        <v>113350</v>
      </c>
      <c r="F6104" s="4">
        <v>0</v>
      </c>
      <c r="G6104" s="5">
        <v>1125</v>
      </c>
      <c r="H6104" s="5">
        <v>19550</v>
      </c>
      <c r="I6104" s="118">
        <f t="shared" si="1186"/>
        <v>0.17247463608292898</v>
      </c>
      <c r="J6104" s="5">
        <v>101127</v>
      </c>
      <c r="K6104" s="22">
        <v>2017.5</v>
      </c>
      <c r="L6104" s="6">
        <v>2040</v>
      </c>
      <c r="M6104" s="125">
        <f t="shared" ref="M6104" si="1209">L6104-K6104</f>
        <v>22.5</v>
      </c>
      <c r="P6104" s="247">
        <v>15100</v>
      </c>
      <c r="Q6104" s="25">
        <f>172.1/1116.3</f>
        <v>0.15417002597867957</v>
      </c>
      <c r="W6104" s="285">
        <f t="shared" si="1206"/>
        <v>2327.9673922780617</v>
      </c>
      <c r="X6104" s="446">
        <f t="shared" si="1207"/>
        <v>7.4845105328376702</v>
      </c>
    </row>
    <row r="6105" spans="1:24" ht="15" customHeight="1">
      <c r="A6105" s="3">
        <v>44309</v>
      </c>
      <c r="B6105" s="4">
        <v>31625</v>
      </c>
      <c r="C6105" s="5">
        <v>0</v>
      </c>
      <c r="D6105" s="5">
        <v>81350</v>
      </c>
      <c r="E6105" s="5">
        <v>112975</v>
      </c>
      <c r="F6105" s="4">
        <v>0</v>
      </c>
      <c r="G6105" s="5">
        <v>375</v>
      </c>
      <c r="H6105" s="5">
        <v>19375</v>
      </c>
      <c r="I6105" s="118">
        <f t="shared" si="1186"/>
        <v>0.17149811905288781</v>
      </c>
      <c r="J6105" s="5">
        <v>100980</v>
      </c>
      <c r="K6105" s="22">
        <v>2021</v>
      </c>
      <c r="L6105" s="6">
        <v>2042</v>
      </c>
      <c r="M6105" s="125">
        <f t="shared" ref="M6105" si="1210">L6105-K6105</f>
        <v>21</v>
      </c>
      <c r="P6105" s="247">
        <v>15200</v>
      </c>
      <c r="Q6105" s="25">
        <f>172.38/1118.9</f>
        <v>0.15406202520332468</v>
      </c>
      <c r="W6105" s="285">
        <f t="shared" si="1206"/>
        <v>2341.7427830905353</v>
      </c>
      <c r="X6105" s="446">
        <f t="shared" si="1207"/>
        <v>7.5210291934685802</v>
      </c>
    </row>
    <row r="6106" spans="1:24" ht="15" customHeight="1">
      <c r="A6106" s="3">
        <v>44312</v>
      </c>
      <c r="B6106" s="4">
        <v>31625</v>
      </c>
      <c r="C6106" s="5">
        <v>0</v>
      </c>
      <c r="D6106" s="5">
        <v>81050</v>
      </c>
      <c r="E6106" s="5">
        <v>112675</v>
      </c>
      <c r="F6106" s="4">
        <v>0</v>
      </c>
      <c r="G6106" s="5">
        <v>300</v>
      </c>
      <c r="H6106" s="5">
        <v>19075</v>
      </c>
      <c r="I6106" s="118">
        <f t="shared" si="1186"/>
        <v>0.16929221211448858</v>
      </c>
      <c r="J6106" s="5">
        <v>101686</v>
      </c>
      <c r="K6106" s="22">
        <v>2054</v>
      </c>
      <c r="L6106" s="6">
        <v>2076</v>
      </c>
      <c r="M6106" s="125">
        <f t="shared" ref="M6106" si="1211">L6106-K6106</f>
        <v>22</v>
      </c>
      <c r="P6106" s="247">
        <v>15150</v>
      </c>
      <c r="Q6106" s="25">
        <f>171.87/1114</f>
        <v>0.15428186714542191</v>
      </c>
      <c r="W6106" s="285">
        <f t="shared" ref="W6106:W6107" si="1212">(P6106*Q6106)*(1+U6106)</f>
        <v>2337.3702872531421</v>
      </c>
      <c r="X6106" s="446">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18">
        <f t="shared" si="1186"/>
        <v>0.17401079136690648</v>
      </c>
      <c r="J6107" s="5">
        <v>102568</v>
      </c>
      <c r="K6107" s="22">
        <v>2051</v>
      </c>
      <c r="L6107" s="6">
        <v>2073.5</v>
      </c>
      <c r="M6107" s="125">
        <f t="shared" ref="M6107" si="1214">L6107-K6107</f>
        <v>22.5</v>
      </c>
      <c r="P6107" s="247">
        <v>15250</v>
      </c>
      <c r="Q6107" s="25">
        <f>171.54/1110.8</f>
        <v>0.15442924018725243</v>
      </c>
      <c r="W6107" s="285">
        <f t="shared" si="1212"/>
        <v>2355.0459128555995</v>
      </c>
      <c r="X6107" s="446">
        <f t="shared" si="1213"/>
        <v>7.4353973671379814</v>
      </c>
    </row>
    <row r="6108" spans="1:24" ht="15" customHeight="1">
      <c r="A6108" s="3">
        <v>44314</v>
      </c>
      <c r="B6108" s="4">
        <v>31625</v>
      </c>
      <c r="C6108" s="5">
        <v>0</v>
      </c>
      <c r="D6108" s="5">
        <v>79700</v>
      </c>
      <c r="E6108" s="5">
        <v>111325</v>
      </c>
      <c r="F6108" s="4">
        <v>125</v>
      </c>
      <c r="G6108" s="5">
        <v>0</v>
      </c>
      <c r="H6108" s="5">
        <v>19975</v>
      </c>
      <c r="I6108" s="118">
        <f t="shared" si="1186"/>
        <v>0.17942959802380418</v>
      </c>
      <c r="J6108" s="5">
        <v>103066</v>
      </c>
      <c r="K6108" s="22">
        <v>2076</v>
      </c>
      <c r="L6108" s="6">
        <v>2097.5</v>
      </c>
      <c r="M6108" s="125">
        <f t="shared" ref="M6108:M6109" si="1215">L6108-K6108</f>
        <v>21.5</v>
      </c>
      <c r="P6108" s="247">
        <v>15150</v>
      </c>
      <c r="Q6108" s="25">
        <f>171.57/1112.5</f>
        <v>0.15422022471910113</v>
      </c>
      <c r="W6108" s="285">
        <f t="shared" ref="W6108:W6110" si="1216">(P6108*Q6108)*(1+U6108)</f>
        <v>2336.4364044943823</v>
      </c>
      <c r="X6108" s="446">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18">
        <f t="shared" si="1186"/>
        <v>0.18353576248313092</v>
      </c>
      <c r="J6109" s="5">
        <v>103741</v>
      </c>
      <c r="K6109" s="22">
        <v>2097.5</v>
      </c>
      <c r="L6109" s="6">
        <v>2116.5</v>
      </c>
      <c r="M6109" s="125">
        <f t="shared" si="1215"/>
        <v>19</v>
      </c>
      <c r="P6109" s="247">
        <v>15100</v>
      </c>
      <c r="Q6109" s="25">
        <f>171.2/1107.4</f>
        <v>0.15459635181506229</v>
      </c>
      <c r="W6109" s="285">
        <f t="shared" si="1216"/>
        <v>2334.4049124074404</v>
      </c>
      <c r="X6109" s="446">
        <f t="shared" si="1217"/>
        <v>7.1990464839094157</v>
      </c>
    </row>
    <row r="6110" spans="1:24" ht="15" customHeight="1">
      <c r="A6110" s="3">
        <v>44316</v>
      </c>
      <c r="B6110" s="4">
        <v>31625</v>
      </c>
      <c r="C6110" s="5">
        <v>0</v>
      </c>
      <c r="D6110" s="5">
        <v>79225</v>
      </c>
      <c r="E6110" s="5">
        <v>110850</v>
      </c>
      <c r="F6110" s="4">
        <v>0</v>
      </c>
      <c r="G6110" s="5">
        <v>300</v>
      </c>
      <c r="H6110" s="5">
        <v>20425</v>
      </c>
      <c r="I6110" s="118">
        <f t="shared" si="1186"/>
        <v>0.18425800631483988</v>
      </c>
      <c r="J6110" s="5">
        <v>105813</v>
      </c>
      <c r="K6110" s="22">
        <v>2117</v>
      </c>
      <c r="L6110" s="6">
        <v>2138</v>
      </c>
      <c r="M6110" s="125">
        <f t="shared" ref="M6110" si="1218">L6110-K6110</f>
        <v>21</v>
      </c>
      <c r="N6110" s="381">
        <f>AVERAGE($K$6089:K6110)</f>
        <v>2006.325</v>
      </c>
      <c r="O6110" s="395">
        <f>AVERAGE($K$6023:K6110)</f>
        <v>2014.9096385542168</v>
      </c>
      <c r="P6110" s="247">
        <v>15000</v>
      </c>
      <c r="Q6110" s="25">
        <f>171.48/1109.6</f>
        <v>0.15454217736121126</v>
      </c>
      <c r="W6110" s="285">
        <f t="shared" si="1216"/>
        <v>2318.1326604181691</v>
      </c>
      <c r="X6110" s="446">
        <f t="shared" si="1217"/>
        <v>7.0854983467170527</v>
      </c>
    </row>
    <row r="6111" spans="1:24" ht="15" customHeight="1" thickBot="1">
      <c r="A6111" s="216"/>
      <c r="B6111" s="394"/>
      <c r="C6111" s="394"/>
      <c r="D6111" s="394"/>
      <c r="E6111" s="216"/>
      <c r="F6111" s="407"/>
      <c r="G6111" s="164"/>
      <c r="H6111" s="164"/>
      <c r="I6111" s="164"/>
      <c r="J6111" s="166"/>
      <c r="K6111" s="166"/>
      <c r="L6111" s="167"/>
      <c r="M6111" s="167"/>
      <c r="N6111" s="167"/>
      <c r="O6111" s="167"/>
      <c r="P6111" s="180"/>
      <c r="Q6111" s="154"/>
      <c r="R6111" s="248"/>
      <c r="S6111" s="249"/>
      <c r="T6111" s="249"/>
      <c r="U6111" s="152"/>
      <c r="V6111" s="153">
        <f>AVERAGE(P6089:P6110)</f>
        <v>14976.136363636364</v>
      </c>
      <c r="W6111" s="390"/>
      <c r="X6111" s="447">
        <f>V6111/N6110</f>
        <v>7.4644618213082943</v>
      </c>
    </row>
    <row r="6112" spans="1:24" ht="15" customHeight="1">
      <c r="A6112" s="3">
        <v>44319</v>
      </c>
      <c r="B6112" s="1328" t="s">
        <v>62</v>
      </c>
      <c r="C6112" s="1328"/>
      <c r="D6112" s="1328"/>
      <c r="E6112" s="1328"/>
      <c r="F6112" s="1328"/>
      <c r="G6112" s="1328"/>
      <c r="H6112" s="1328"/>
      <c r="I6112" s="1328"/>
      <c r="J6112" s="1328"/>
      <c r="K6112" s="1328"/>
      <c r="L6112" s="1328"/>
      <c r="M6112" s="1328"/>
      <c r="N6112" s="1328"/>
      <c r="O6112" s="1328"/>
      <c r="P6112" s="1328"/>
      <c r="Q6112" s="25">
        <f>172.71/1119.3</f>
        <v>0.15430179576521041</v>
      </c>
      <c r="X6112" s="446"/>
    </row>
    <row r="6113" spans="1:24" ht="15" customHeight="1">
      <c r="A6113" s="3">
        <v>44320</v>
      </c>
      <c r="B6113" s="4">
        <v>31625</v>
      </c>
      <c r="C6113" s="5">
        <v>0</v>
      </c>
      <c r="D6113" s="5">
        <v>78950</v>
      </c>
      <c r="E6113" s="5">
        <v>110575</v>
      </c>
      <c r="F6113" s="4">
        <v>0</v>
      </c>
      <c r="G6113" s="5">
        <v>275</v>
      </c>
      <c r="H6113" s="5">
        <v>20250</v>
      </c>
      <c r="I6113" s="118">
        <f t="shared" ref="I6113:I6131" si="1219">H6113/E6113</f>
        <v>0.18313361971512548</v>
      </c>
      <c r="J6113" s="5">
        <v>106082</v>
      </c>
      <c r="K6113" s="22">
        <v>2165</v>
      </c>
      <c r="L6113" s="6">
        <v>2179.5</v>
      </c>
      <c r="M6113" s="125">
        <f t="shared" ref="M6113:M6114" si="1220">L6113-K6113</f>
        <v>14.5</v>
      </c>
      <c r="P6113" s="1338"/>
      <c r="W6113" s="285">
        <f t="shared" ref="W6113" si="1221">(P6113*Q6113)*(1+U6113)</f>
        <v>0</v>
      </c>
      <c r="X6113" s="446">
        <f t="shared" ref="X6113" si="1222">P6113/K6113</f>
        <v>0</v>
      </c>
    </row>
    <row r="6114" spans="1:24" ht="15" customHeight="1">
      <c r="A6114" s="3">
        <v>44321</v>
      </c>
      <c r="B6114" s="4">
        <v>31625</v>
      </c>
      <c r="C6114" s="5">
        <v>0</v>
      </c>
      <c r="D6114" s="5">
        <v>76625</v>
      </c>
      <c r="E6114" s="5">
        <v>108250</v>
      </c>
      <c r="F6114" s="4">
        <v>0</v>
      </c>
      <c r="G6114" s="5">
        <v>2325</v>
      </c>
      <c r="H6114" s="5">
        <v>18425</v>
      </c>
      <c r="I6114" s="118">
        <f t="shared" si="1219"/>
        <v>0.17020785219399537</v>
      </c>
      <c r="J6114" s="5">
        <v>110420</v>
      </c>
      <c r="K6114" s="22">
        <v>2186</v>
      </c>
      <c r="L6114" s="6">
        <v>2201.5</v>
      </c>
      <c r="M6114" s="125">
        <f t="shared" si="1220"/>
        <v>15.5</v>
      </c>
      <c r="P6114" s="1338"/>
      <c r="Q6114" s="25">
        <f>173.21/1121.1</f>
        <v>0.15450004459905453</v>
      </c>
      <c r="W6114" s="285">
        <f t="shared" ref="W6114" si="1223">(P6114*Q6114)*(1+U6114)</f>
        <v>0</v>
      </c>
      <c r="X6114" s="446">
        <f t="shared" ref="X6114" si="1224">P6114/K6114</f>
        <v>0</v>
      </c>
    </row>
    <row r="6115" spans="1:24" ht="15" customHeight="1">
      <c r="A6115" s="3">
        <v>44322</v>
      </c>
      <c r="B6115" s="4">
        <v>31225</v>
      </c>
      <c r="C6115" s="5">
        <v>0</v>
      </c>
      <c r="D6115" s="5">
        <v>76150</v>
      </c>
      <c r="E6115" s="5">
        <v>107375</v>
      </c>
      <c r="F6115" s="4">
        <v>0</v>
      </c>
      <c r="G6115" s="5">
        <v>875</v>
      </c>
      <c r="H6115" s="5">
        <v>25750</v>
      </c>
      <c r="I6115" s="118">
        <f t="shared" si="1219"/>
        <v>0.23981373690337601</v>
      </c>
      <c r="J6115" s="5">
        <v>112305</v>
      </c>
      <c r="K6115" s="22">
        <v>2177</v>
      </c>
      <c r="L6115" s="6">
        <v>2191.5</v>
      </c>
      <c r="M6115" s="125">
        <f t="shared" ref="M6115" si="1225">L6115-K6115</f>
        <v>14.5</v>
      </c>
      <c r="P6115" s="247">
        <v>15200</v>
      </c>
      <c r="Q6115" s="25">
        <f>173.61/1125.5</f>
        <v>0.15425144380275435</v>
      </c>
      <c r="W6115" s="285">
        <f t="shared" ref="W6115" si="1226">(P6115*Q6115)*(1+U6115)</f>
        <v>2344.6219458018663</v>
      </c>
      <c r="X6115" s="446">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18">
        <f t="shared" si="1219"/>
        <v>0.25972189488569408</v>
      </c>
      <c r="J6116" s="5">
        <v>113936</v>
      </c>
      <c r="K6116" s="22">
        <v>2218</v>
      </c>
      <c r="L6116" s="6">
        <v>2231.5</v>
      </c>
      <c r="M6116" s="125">
        <f t="shared" ref="M6116" si="1228">L6116-K6116</f>
        <v>13.5</v>
      </c>
      <c r="P6116" s="247">
        <v>15400</v>
      </c>
      <c r="Q6116" s="25">
        <f>173.61/1121.4</f>
        <v>0.15481540930979132</v>
      </c>
      <c r="W6116" s="285">
        <f t="shared" ref="W6116" si="1229">(P6116*Q6116)*(1+U6116)</f>
        <v>2384.1573033707864</v>
      </c>
      <c r="X6116" s="446">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18">
        <f t="shared" si="1219"/>
        <v>0.26232602028780372</v>
      </c>
      <c r="J6117" s="5">
        <v>111222</v>
      </c>
      <c r="K6117" s="22">
        <v>2228.5</v>
      </c>
      <c r="L6117" s="6">
        <v>2244</v>
      </c>
      <c r="M6117" s="125">
        <f t="shared" ref="M6117:M6118" si="1231">L6117-K6117</f>
        <v>15.5</v>
      </c>
      <c r="P6117" s="247">
        <v>15000</v>
      </c>
      <c r="Q6117" s="25">
        <f>173.48/1114.6</f>
        <v>0.15564328010048448</v>
      </c>
      <c r="W6117" s="285">
        <f t="shared" ref="W6117:W6124" si="1232">(P6117*Q6117)*(1+U6117)</f>
        <v>2334.6492015072672</v>
      </c>
      <c r="X6117" s="446">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18">
        <f t="shared" si="1219"/>
        <v>0.25506555423122768</v>
      </c>
      <c r="J6118" s="5">
        <v>111077</v>
      </c>
      <c r="K6118" s="22">
        <v>2218</v>
      </c>
      <c r="L6118" s="6">
        <v>2236</v>
      </c>
      <c r="M6118" s="125">
        <f t="shared" si="1231"/>
        <v>18</v>
      </c>
      <c r="P6118" s="247">
        <v>15500</v>
      </c>
      <c r="Q6118" s="25">
        <f>174.29/1119.1</f>
        <v>0.15574122062371548</v>
      </c>
      <c r="W6118" s="285">
        <f t="shared" si="1232"/>
        <v>2413.9889196675899</v>
      </c>
      <c r="X6118" s="446">
        <f t="shared" si="1233"/>
        <v>6.9882777276825969</v>
      </c>
    </row>
    <row r="6119" spans="1:24" ht="15" customHeight="1">
      <c r="A6119" s="3">
        <v>44328</v>
      </c>
      <c r="B6119" s="4">
        <v>30650</v>
      </c>
      <c r="C6119" s="5">
        <v>0</v>
      </c>
      <c r="D6119" s="5">
        <v>74450</v>
      </c>
      <c r="E6119" s="5">
        <v>105100</v>
      </c>
      <c r="F6119" s="4">
        <v>225</v>
      </c>
      <c r="G6119" s="5">
        <v>0</v>
      </c>
      <c r="H6119" s="5">
        <v>29625</v>
      </c>
      <c r="I6119" s="118">
        <f t="shared" si="1219"/>
        <v>0.2818744053282588</v>
      </c>
      <c r="J6119" s="5">
        <v>113919</v>
      </c>
      <c r="K6119" s="22">
        <v>2203.5</v>
      </c>
      <c r="L6119" s="6">
        <v>2222</v>
      </c>
      <c r="M6119" s="125">
        <f t="shared" ref="M6119" si="1234">L6119-K6119</f>
        <v>18.5</v>
      </c>
      <c r="P6119" s="247">
        <v>15200</v>
      </c>
      <c r="Q6119" s="25">
        <f>174.62/1123.5</f>
        <v>0.1554250111259457</v>
      </c>
      <c r="W6119" s="285">
        <f t="shared" si="1232"/>
        <v>2362.4601691143748</v>
      </c>
      <c r="X6119" s="446">
        <f t="shared" si="1233"/>
        <v>6.8981166326299066</v>
      </c>
    </row>
    <row r="6120" spans="1:24" ht="15" customHeight="1">
      <c r="A6120" s="3">
        <v>44329</v>
      </c>
      <c r="B6120" s="4">
        <v>30650</v>
      </c>
      <c r="C6120" s="5">
        <v>0</v>
      </c>
      <c r="D6120" s="5">
        <v>74075</v>
      </c>
      <c r="E6120" s="5">
        <v>104725</v>
      </c>
      <c r="F6120" s="4">
        <v>0</v>
      </c>
      <c r="G6120" s="5">
        <v>375</v>
      </c>
      <c r="H6120" s="5">
        <v>31550</v>
      </c>
      <c r="I6120" s="118">
        <f t="shared" si="1219"/>
        <v>0.30126521842921938</v>
      </c>
      <c r="J6120" s="5">
        <v>114676</v>
      </c>
      <c r="K6120" s="22">
        <v>2116</v>
      </c>
      <c r="L6120" s="6">
        <v>2134.5</v>
      </c>
      <c r="M6120" s="125">
        <f t="shared" ref="M6120" si="1235">L6120-K6120</f>
        <v>18.5</v>
      </c>
      <c r="P6120" s="247">
        <v>15400</v>
      </c>
      <c r="Q6120" s="25">
        <f>175.21/1130.6</f>
        <v>0.15497081195825227</v>
      </c>
      <c r="W6120" s="285">
        <f t="shared" si="1232"/>
        <v>2386.550504157085</v>
      </c>
      <c r="X6120" s="446">
        <f t="shared" si="1233"/>
        <v>7.2778827977315688</v>
      </c>
    </row>
    <row r="6121" spans="1:24" ht="15" customHeight="1">
      <c r="A6121" s="3">
        <v>44330</v>
      </c>
      <c r="B6121" s="4">
        <v>30650</v>
      </c>
      <c r="C6121" s="5">
        <v>0</v>
      </c>
      <c r="D6121" s="5">
        <v>74050</v>
      </c>
      <c r="E6121" s="5">
        <v>104700</v>
      </c>
      <c r="F6121" s="4">
        <v>0</v>
      </c>
      <c r="G6121" s="5">
        <v>25</v>
      </c>
      <c r="H6121" s="5">
        <v>32200</v>
      </c>
      <c r="I6121" s="118">
        <f t="shared" si="1219"/>
        <v>0.30754536771728747</v>
      </c>
      <c r="J6121" s="5">
        <v>116238</v>
      </c>
      <c r="K6121" s="22">
        <v>2148.5</v>
      </c>
      <c r="L6121" s="6">
        <v>2162.5</v>
      </c>
      <c r="M6121" s="125">
        <f t="shared" ref="M6121" si="1236">L6121-K6121</f>
        <v>14</v>
      </c>
      <c r="P6121" s="247">
        <v>15550</v>
      </c>
      <c r="Q6121" s="25">
        <f>175.24/1129.5</f>
        <v>0.15514829570606464</v>
      </c>
      <c r="W6121" s="285">
        <f t="shared" si="1232"/>
        <v>2412.5559982293053</v>
      </c>
      <c r="X6121" s="446">
        <f t="shared" si="1233"/>
        <v>7.2376076332324875</v>
      </c>
    </row>
    <row r="6122" spans="1:24" ht="15" customHeight="1">
      <c r="A6122" s="3">
        <v>44333</v>
      </c>
      <c r="B6122" s="4">
        <v>30650</v>
      </c>
      <c r="C6122" s="5">
        <v>0</v>
      </c>
      <c r="D6122" s="5">
        <v>73800</v>
      </c>
      <c r="E6122" s="5">
        <v>104450</v>
      </c>
      <c r="F6122" s="4">
        <v>0</v>
      </c>
      <c r="G6122" s="5">
        <v>250</v>
      </c>
      <c r="H6122" s="5">
        <v>32100</v>
      </c>
      <c r="I6122" s="118">
        <f t="shared" si="1219"/>
        <v>0.30732407850646243</v>
      </c>
      <c r="J6122" s="5">
        <v>116936</v>
      </c>
      <c r="K6122" s="22">
        <v>2181.5</v>
      </c>
      <c r="L6122" s="6">
        <v>2195.5</v>
      </c>
      <c r="M6122" s="125">
        <f t="shared" ref="M6122" si="1237">L6122-K6122</f>
        <v>14</v>
      </c>
      <c r="P6122" s="247">
        <v>15475</v>
      </c>
      <c r="Q6122" s="25">
        <f>175.95/1133</f>
        <v>0.15529567519858781</v>
      </c>
      <c r="W6122" s="285">
        <f t="shared" si="1232"/>
        <v>2403.2005736981464</v>
      </c>
      <c r="X6122" s="446">
        <f t="shared" si="1233"/>
        <v>7.0937428374971354</v>
      </c>
    </row>
    <row r="6123" spans="1:24" ht="15" customHeight="1">
      <c r="A6123" s="3">
        <v>44334</v>
      </c>
      <c r="B6123" s="4">
        <v>30650</v>
      </c>
      <c r="C6123" s="5">
        <v>0</v>
      </c>
      <c r="D6123" s="5">
        <v>73475</v>
      </c>
      <c r="E6123" s="5">
        <v>104125</v>
      </c>
      <c r="F6123" s="4">
        <v>0</v>
      </c>
      <c r="G6123" s="5">
        <v>325</v>
      </c>
      <c r="H6123" s="5">
        <v>31775</v>
      </c>
      <c r="I6123" s="118">
        <f t="shared" si="1219"/>
        <v>0.30516206482593039</v>
      </c>
      <c r="J6123" s="5">
        <v>117413</v>
      </c>
      <c r="K6123" s="22">
        <v>2213.5</v>
      </c>
      <c r="L6123" s="6">
        <v>2226.5</v>
      </c>
      <c r="M6123" s="125">
        <f t="shared" ref="M6123" si="1238">L6123-K6123</f>
        <v>13</v>
      </c>
      <c r="P6123" s="247">
        <v>15200</v>
      </c>
      <c r="W6123" s="285">
        <f t="shared" si="1232"/>
        <v>0</v>
      </c>
      <c r="X6123" s="446">
        <f>P6123/K6123</f>
        <v>6.866952789699571</v>
      </c>
    </row>
    <row r="6124" spans="1:24" ht="15" customHeight="1">
      <c r="A6124" s="3">
        <v>44335</v>
      </c>
      <c r="B6124" s="4">
        <v>30650</v>
      </c>
      <c r="C6124" s="5">
        <v>0</v>
      </c>
      <c r="D6124" s="5">
        <v>73675</v>
      </c>
      <c r="E6124" s="5">
        <v>104325</v>
      </c>
      <c r="F6124" s="4">
        <v>200</v>
      </c>
      <c r="G6124" s="5">
        <v>0</v>
      </c>
      <c r="H6124" s="5">
        <v>32300</v>
      </c>
      <c r="I6124" s="118">
        <f t="shared" si="1219"/>
        <v>0.30960939372154328</v>
      </c>
      <c r="J6124" s="5">
        <v>115850</v>
      </c>
      <c r="K6124" s="22">
        <v>2202</v>
      </c>
      <c r="L6124" s="6">
        <v>2195</v>
      </c>
      <c r="M6124" s="125">
        <f t="shared" ref="M6124" si="1239">L6124-K6124</f>
        <v>-7</v>
      </c>
      <c r="P6124" s="247">
        <v>15425</v>
      </c>
      <c r="Q6124" s="25">
        <f>176.03/1133.1</f>
        <v>0.15535257258847412</v>
      </c>
      <c r="W6124" s="285">
        <f t="shared" si="1232"/>
        <v>2396.3134321772136</v>
      </c>
      <c r="X6124" s="446">
        <f t="shared" si="1233"/>
        <v>7.0049954586739327</v>
      </c>
    </row>
    <row r="6125" spans="1:24" ht="15" customHeight="1">
      <c r="A6125" s="3">
        <v>44336</v>
      </c>
      <c r="B6125" s="4">
        <v>30650</v>
      </c>
      <c r="C6125" s="5">
        <v>0</v>
      </c>
      <c r="D6125" s="5">
        <v>73325</v>
      </c>
      <c r="E6125" s="5">
        <v>103975</v>
      </c>
      <c r="F6125" s="4">
        <v>0</v>
      </c>
      <c r="G6125" s="5">
        <v>350</v>
      </c>
      <c r="H6125" s="5">
        <v>31950</v>
      </c>
      <c r="I6125" s="118">
        <f t="shared" si="1219"/>
        <v>0.30728540514546765</v>
      </c>
      <c r="J6125" s="5">
        <v>113665</v>
      </c>
      <c r="K6125" s="22">
        <v>2202.5</v>
      </c>
      <c r="L6125" s="6">
        <v>2200</v>
      </c>
      <c r="M6125" s="125">
        <f t="shared" ref="M6125" si="1240">L6125-K6125</f>
        <v>-2.5</v>
      </c>
      <c r="P6125" s="247">
        <v>15000</v>
      </c>
      <c r="Q6125" s="25">
        <f>175.85/1132.2</f>
        <v>0.15531708178767001</v>
      </c>
      <c r="W6125" s="285">
        <f t="shared" ref="W6125:W6126" si="1241">(P6125*Q6125)*(1+U6125)</f>
        <v>2329.75622681505</v>
      </c>
      <c r="X6125" s="446">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18">
        <f t="shared" si="1219"/>
        <v>0.30763653939101016</v>
      </c>
      <c r="J6126" s="5">
        <v>114080</v>
      </c>
      <c r="K6126" s="22">
        <v>2223.5</v>
      </c>
      <c r="L6126" s="6">
        <v>2214</v>
      </c>
      <c r="M6126" s="125">
        <f t="shared" ref="M6126" si="1243">L6126-K6126</f>
        <v>-9.5</v>
      </c>
      <c r="P6126" s="247">
        <v>15000</v>
      </c>
      <c r="Q6126" s="25">
        <f>175.25/1126.9</f>
        <v>0.15551513000266215</v>
      </c>
      <c r="W6126" s="285">
        <f t="shared" si="1241"/>
        <v>2332.726950039932</v>
      </c>
      <c r="X6126" s="446">
        <f t="shared" si="1242"/>
        <v>6.746120980436249</v>
      </c>
    </row>
    <row r="6127" spans="1:24" ht="15" customHeight="1">
      <c r="A6127" s="3">
        <v>44340</v>
      </c>
      <c r="B6127" s="4">
        <v>30350</v>
      </c>
      <c r="C6127" s="5">
        <v>0</v>
      </c>
      <c r="D6127" s="5">
        <v>72500</v>
      </c>
      <c r="E6127" s="5">
        <v>102850</v>
      </c>
      <c r="F6127" s="4">
        <v>0</v>
      </c>
      <c r="G6127" s="5">
        <v>600</v>
      </c>
      <c r="H6127" s="5">
        <v>31225</v>
      </c>
      <c r="I6127" s="118">
        <f t="shared" si="1219"/>
        <v>0.30359747204666993</v>
      </c>
      <c r="J6127" s="5">
        <v>112833</v>
      </c>
      <c r="K6127" s="22">
        <v>2143.5</v>
      </c>
      <c r="L6127" s="6">
        <v>2156</v>
      </c>
      <c r="M6127" s="125">
        <f t="shared" ref="M6127" si="1244">L6127-K6127</f>
        <v>12.5</v>
      </c>
      <c r="P6127" s="247">
        <v>15200</v>
      </c>
      <c r="Q6127" s="25">
        <f>175.31/1127.6</f>
        <v>0.15547179851010998</v>
      </c>
      <c r="W6127" s="285">
        <f t="shared" ref="W6127" si="1245">(P6127*Q6127)*(1+U6127)</f>
        <v>2363.1713373536718</v>
      </c>
      <c r="X6127" s="446">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18">
        <f t="shared" si="1219"/>
        <v>0.27058823529411763</v>
      </c>
      <c r="J6128" s="5">
        <v>112855</v>
      </c>
      <c r="K6128" s="22">
        <v>2139</v>
      </c>
      <c r="L6128" s="6">
        <v>2145.5</v>
      </c>
      <c r="M6128" s="125">
        <f t="shared" ref="M6128" si="1247">L6128-K6128</f>
        <v>6.5</v>
      </c>
      <c r="P6128" s="247">
        <v>15425</v>
      </c>
      <c r="Q6128" s="25">
        <f>175.24/1122.8</f>
        <v>0.15607410046312792</v>
      </c>
      <c r="W6128" s="285">
        <f t="shared" ref="W6128:W6129" si="1248">(P6128*Q6128)*(1+U6128)</f>
        <v>2407.442999643748</v>
      </c>
      <c r="X6128" s="446">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18">
        <f t="shared" si="1219"/>
        <v>0.25263157894736843</v>
      </c>
      <c r="J6129" s="5">
        <v>113661</v>
      </c>
      <c r="K6129" s="22">
        <v>2176</v>
      </c>
      <c r="L6129" s="6">
        <v>2180</v>
      </c>
      <c r="M6129" s="125">
        <f t="shared" ref="M6129" si="1250">L6129-K6129</f>
        <v>4</v>
      </c>
      <c r="P6129" s="247">
        <v>15325</v>
      </c>
      <c r="Q6129" s="25">
        <f>174.89/1118.6</f>
        <v>0.1563472197389594</v>
      </c>
      <c r="W6129" s="285">
        <f t="shared" si="1248"/>
        <v>2396.0211424995528</v>
      </c>
      <c r="X6129" s="446">
        <f t="shared" si="1249"/>
        <v>7.0427389705882355</v>
      </c>
    </row>
    <row r="6130" spans="1:24" ht="15" customHeight="1">
      <c r="A6130" s="3">
        <v>44343</v>
      </c>
      <c r="B6130" s="4">
        <v>30200</v>
      </c>
      <c r="C6130" s="5">
        <v>0</v>
      </c>
      <c r="D6130" s="5">
        <v>69050</v>
      </c>
      <c r="E6130" s="5">
        <v>99250</v>
      </c>
      <c r="F6130" s="4">
        <v>0</v>
      </c>
      <c r="G6130" s="5">
        <v>500</v>
      </c>
      <c r="H6130" s="5">
        <v>25100</v>
      </c>
      <c r="I6130" s="118">
        <f t="shared" si="1219"/>
        <v>0.25289672544080605</v>
      </c>
      <c r="J6130" s="5">
        <v>114680</v>
      </c>
      <c r="K6130" s="22">
        <v>2182.5</v>
      </c>
      <c r="L6130" s="6">
        <v>2178</v>
      </c>
      <c r="M6130" s="125">
        <f t="shared" ref="M6130" si="1251">L6130-K6130</f>
        <v>-4.5</v>
      </c>
      <c r="P6130" s="247">
        <v>15400</v>
      </c>
      <c r="Q6130" s="25">
        <f>175.2/1118</f>
        <v>0.15670840787119855</v>
      </c>
      <c r="W6130" s="285">
        <f t="shared" ref="W6130:W6131" si="1252">(P6130*Q6130)*(1+U6130)</f>
        <v>2413.3094812164577</v>
      </c>
      <c r="X6130" s="446">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18">
        <f t="shared" si="1219"/>
        <v>0.24309815950920247</v>
      </c>
      <c r="J6131" s="5">
        <v>114847</v>
      </c>
      <c r="K6131" s="22">
        <v>2208</v>
      </c>
      <c r="L6131" s="6">
        <v>2202</v>
      </c>
      <c r="M6131" s="125">
        <f t="shared" ref="M6131" si="1254">L6131-K6131</f>
        <v>-6</v>
      </c>
      <c r="P6131" s="247">
        <v>15250</v>
      </c>
      <c r="Q6131" s="25">
        <f>175.22/1116</f>
        <v>0.15700716845878135</v>
      </c>
      <c r="W6131" s="285">
        <f t="shared" si="1252"/>
        <v>2394.3593189964154</v>
      </c>
      <c r="X6131" s="446">
        <f t="shared" si="1253"/>
        <v>6.9067028985507246</v>
      </c>
    </row>
    <row r="6132" spans="1:24" ht="15" customHeight="1">
      <c r="A6132" s="3">
        <v>44347</v>
      </c>
      <c r="B6132" s="1318" t="s">
        <v>61</v>
      </c>
      <c r="C6132" s="1318"/>
      <c r="D6132" s="1318"/>
      <c r="E6132" s="1318"/>
      <c r="F6132" s="1318"/>
      <c r="G6132" s="1318"/>
      <c r="H6132" s="1318"/>
      <c r="I6132" s="1318"/>
      <c r="J6132" s="1318"/>
      <c r="K6132" s="1318"/>
      <c r="L6132" s="1318"/>
      <c r="M6132" s="1318"/>
      <c r="N6132" s="425">
        <f>AVERAGE($K$6113:K6132)</f>
        <v>2185.9210526315787</v>
      </c>
      <c r="O6132" s="395">
        <f>AVERAGE($K$6023:K6132)</f>
        <v>2046.7647058823529</v>
      </c>
      <c r="P6132" s="247">
        <v>15300</v>
      </c>
      <c r="Q6132" s="25">
        <f>174.97/1113.5</f>
        <v>0.15713515940727435</v>
      </c>
      <c r="W6132" s="285">
        <f t="shared" ref="W6132" si="1255">(P6132*Q6132)*(1+U6132)</f>
        <v>2404.1679389312976</v>
      </c>
      <c r="X6132" s="446"/>
    </row>
    <row r="6133" spans="1:24" ht="15" customHeight="1" thickBot="1">
      <c r="A6133" s="216"/>
      <c r="B6133" s="394"/>
      <c r="C6133" s="394"/>
      <c r="D6133" s="394"/>
      <c r="E6133" s="216"/>
      <c r="F6133" s="407"/>
      <c r="G6133" s="164"/>
      <c r="H6133" s="164"/>
      <c r="I6133" s="164"/>
      <c r="J6133" s="166"/>
      <c r="K6133" s="166"/>
      <c r="L6133" s="167"/>
      <c r="M6133" s="167"/>
      <c r="N6133" s="167"/>
      <c r="O6133" s="167"/>
      <c r="P6133" s="180"/>
      <c r="Q6133" s="154"/>
      <c r="R6133" s="248"/>
      <c r="S6133" s="249"/>
      <c r="T6133" s="249"/>
      <c r="U6133" s="152"/>
      <c r="V6133" s="153">
        <f>AVERAGE(P6112:P6132)</f>
        <v>15291.666666666666</v>
      </c>
      <c r="W6133" s="390"/>
      <c r="X6133" s="447">
        <f>V6133/N6132</f>
        <v>6.995525592407553</v>
      </c>
    </row>
    <row r="6134" spans="1:24" ht="15" customHeight="1">
      <c r="A6134" s="3">
        <v>44348</v>
      </c>
      <c r="B6134" s="4">
        <v>30200</v>
      </c>
      <c r="C6134" s="5">
        <v>0</v>
      </c>
      <c r="D6134" s="5">
        <v>67125</v>
      </c>
      <c r="E6134" s="5">
        <v>97325</v>
      </c>
      <c r="F6134" s="4">
        <v>0</v>
      </c>
      <c r="G6134" s="5">
        <v>475</v>
      </c>
      <c r="H6134" s="5">
        <v>19350</v>
      </c>
      <c r="I6134" s="118">
        <f t="shared" ref="I6134:I6149" si="1256">H6134/E6134</f>
        <v>0.19881839198561521</v>
      </c>
      <c r="J6134" s="5">
        <v>114230</v>
      </c>
      <c r="K6134" s="22">
        <v>2179</v>
      </c>
      <c r="L6134" s="6">
        <v>2182.5</v>
      </c>
      <c r="M6134" s="125">
        <f t="shared" ref="M6134" si="1257">L6134-K6134</f>
        <v>3.5</v>
      </c>
      <c r="P6134" s="247">
        <v>15300</v>
      </c>
      <c r="Q6134" s="25">
        <f>173.78/1107</f>
        <v>0.15698283649503161</v>
      </c>
      <c r="W6134" s="285">
        <f t="shared" ref="W6134" si="1258">(P6134*Q6134)*(1+U6134)</f>
        <v>2401.8373983739839</v>
      </c>
      <c r="X6134" s="446">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18">
        <f t="shared" si="1256"/>
        <v>0.18241469816272965</v>
      </c>
      <c r="J6135" s="5">
        <v>113990</v>
      </c>
      <c r="K6135" s="22">
        <v>2228.5</v>
      </c>
      <c r="L6135" s="6">
        <v>2207</v>
      </c>
      <c r="M6135" s="125">
        <f t="shared" ref="M6135" si="1260">L6135-K6135</f>
        <v>-21.5</v>
      </c>
      <c r="P6135" s="247">
        <v>15250</v>
      </c>
      <c r="Q6135" s="25">
        <f>173.81/1110.3</f>
        <v>0.15654327659191211</v>
      </c>
      <c r="W6135" s="285">
        <f t="shared" ref="W6135:W6136" si="1261">(P6135*Q6135)*(1+U6135)</f>
        <v>2387.2849680266595</v>
      </c>
      <c r="X6135" s="446">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18">
        <f t="shared" si="1256"/>
        <v>0.18088467614533965</v>
      </c>
      <c r="J6136" s="5">
        <v>113108</v>
      </c>
      <c r="K6136" s="22">
        <v>2193.5</v>
      </c>
      <c r="L6136" s="6">
        <v>2173</v>
      </c>
      <c r="M6136" s="125">
        <f t="shared" ref="M6136" si="1263">L6136-K6136</f>
        <v>-20.5</v>
      </c>
      <c r="P6136" s="247">
        <v>15150</v>
      </c>
      <c r="Q6136" s="25">
        <f>174.15/1111.8</f>
        <v>0.15663788451160282</v>
      </c>
      <c r="W6136" s="285">
        <f t="shared" si="1261"/>
        <v>2373.0639503507828</v>
      </c>
      <c r="X6136" s="446">
        <f t="shared" si="1262"/>
        <v>6.9067700022794618</v>
      </c>
    </row>
    <row r="6137" spans="1:24" ht="15" customHeight="1">
      <c r="A6137" s="3">
        <v>44351</v>
      </c>
      <c r="B6137" s="4">
        <v>30200</v>
      </c>
      <c r="C6137" s="5">
        <v>0</v>
      </c>
      <c r="D6137" s="5">
        <v>64500</v>
      </c>
      <c r="E6137" s="5">
        <v>94700</v>
      </c>
      <c r="F6137" s="4">
        <v>0</v>
      </c>
      <c r="G6137" s="5">
        <v>250</v>
      </c>
      <c r="H6137" s="5">
        <v>16925</v>
      </c>
      <c r="I6137" s="118">
        <f t="shared" si="1256"/>
        <v>0.17872228088701161</v>
      </c>
      <c r="J6137" s="5">
        <v>113364</v>
      </c>
      <c r="K6137" s="22">
        <v>2147.5</v>
      </c>
      <c r="L6137" s="6">
        <v>2144</v>
      </c>
      <c r="M6137" s="125">
        <f t="shared" ref="M6137" si="1264">L6137-K6137</f>
        <v>-3.5</v>
      </c>
      <c r="P6137" s="247">
        <v>14950</v>
      </c>
      <c r="Q6137" s="25">
        <f>174.52/1117.5</f>
        <v>0.15617002237136465</v>
      </c>
      <c r="W6137" s="285">
        <f t="shared" ref="W6137" si="1265">(P6137*Q6137)*(1+U6137)</f>
        <v>2334.7418344519015</v>
      </c>
      <c r="X6137" s="446">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18">
        <f t="shared" si="1256"/>
        <v>0.29561451001624256</v>
      </c>
      <c r="J6138" s="5">
        <v>112597</v>
      </c>
      <c r="K6138" s="22">
        <v>2138.5</v>
      </c>
      <c r="L6138" s="6">
        <v>2138.5</v>
      </c>
      <c r="M6138" s="125">
        <f t="shared" ref="M6138" si="1267">L6138-K6138</f>
        <v>0</v>
      </c>
      <c r="P6138" s="247">
        <v>14850</v>
      </c>
      <c r="Q6138" s="25">
        <f>173.76/1111.2</f>
        <v>0.15637149028077751</v>
      </c>
      <c r="W6138" s="285">
        <f t="shared" ref="W6138" si="1268">(P6138*Q6138)*(1+U6138)</f>
        <v>2322.1166306695459</v>
      </c>
      <c r="X6138" s="446">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18">
        <f t="shared" si="1256"/>
        <v>0.29242174629324547</v>
      </c>
      <c r="J6139" s="5">
        <v>112564</v>
      </c>
      <c r="K6139" s="22">
        <v>2146</v>
      </c>
      <c r="L6139" s="6">
        <v>2154.5</v>
      </c>
      <c r="M6139" s="125">
        <f t="shared" ref="M6139" si="1270">L6139-K6139</f>
        <v>8.5</v>
      </c>
      <c r="P6139" s="247">
        <v>14925</v>
      </c>
      <c r="Q6139" s="25">
        <f>174.4/1113.7</f>
        <v>0.15659513333931938</v>
      </c>
      <c r="W6139" s="285">
        <f t="shared" ref="W6139:W6143" si="1271">(P6139*Q6139)*(1+U6139)</f>
        <v>2337.1823650893416</v>
      </c>
      <c r="X6139" s="446">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18">
        <f t="shared" si="1256"/>
        <v>0.28816846771958993</v>
      </c>
      <c r="J6140" s="5">
        <v>112430</v>
      </c>
      <c r="K6140" s="22">
        <v>2183</v>
      </c>
      <c r="L6140" s="6">
        <v>2195</v>
      </c>
      <c r="M6140" s="125">
        <f t="shared" ref="M6140" si="1273">L6140-K6140</f>
        <v>12</v>
      </c>
      <c r="P6140" s="247">
        <v>15100</v>
      </c>
      <c r="Q6140" s="25">
        <f>174.38/1115.8</f>
        <v>0.15628248790105753</v>
      </c>
      <c r="W6140" s="285">
        <f t="shared" si="1271"/>
        <v>2359.8655673059689</v>
      </c>
      <c r="X6140" s="446">
        <f t="shared" si="1272"/>
        <v>6.9170865781035271</v>
      </c>
    </row>
    <row r="6141" spans="1:24" ht="15" customHeight="1">
      <c r="A6141" s="3">
        <v>44357</v>
      </c>
      <c r="B6141" s="4">
        <v>30200</v>
      </c>
      <c r="C6141" s="5">
        <v>0</v>
      </c>
      <c r="D6141" s="5">
        <v>59875</v>
      </c>
      <c r="E6141" s="5">
        <v>90075</v>
      </c>
      <c r="F6141" s="4">
        <v>0</v>
      </c>
      <c r="G6141" s="5">
        <v>150</v>
      </c>
      <c r="H6141" s="5">
        <v>25850</v>
      </c>
      <c r="I6141" s="118">
        <f t="shared" si="1256"/>
        <v>0.28698306966416876</v>
      </c>
      <c r="J6141" s="5">
        <v>113807</v>
      </c>
      <c r="K6141" s="22">
        <v>2168.5</v>
      </c>
      <c r="L6141" s="6">
        <v>2180</v>
      </c>
      <c r="M6141" s="125">
        <f t="shared" ref="M6141" si="1274">L6141-K6141</f>
        <v>11.5</v>
      </c>
      <c r="P6141" s="247">
        <v>15250</v>
      </c>
      <c r="Q6141" s="25">
        <f>174.65/1115</f>
        <v>0.15663677130044842</v>
      </c>
      <c r="W6141" s="285">
        <f t="shared" si="1271"/>
        <v>2388.7107623318384</v>
      </c>
      <c r="X6141" s="446">
        <f t="shared" si="1272"/>
        <v>7.0325109522711555</v>
      </c>
    </row>
    <row r="6142" spans="1:24" ht="15" customHeight="1">
      <c r="A6142" s="3">
        <v>44358</v>
      </c>
      <c r="B6142" s="4">
        <v>30200</v>
      </c>
      <c r="C6142" s="5">
        <v>0</v>
      </c>
      <c r="D6142" s="5">
        <v>59575</v>
      </c>
      <c r="E6142" s="5">
        <v>89775</v>
      </c>
      <c r="F6142" s="4">
        <v>0</v>
      </c>
      <c r="G6142" s="5">
        <v>300</v>
      </c>
      <c r="H6142" s="5">
        <v>25550</v>
      </c>
      <c r="I6142" s="118">
        <f t="shared" si="1256"/>
        <v>0.28460038986354774</v>
      </c>
      <c r="J6142" s="5">
        <v>114912</v>
      </c>
      <c r="K6142" s="22">
        <v>2198</v>
      </c>
      <c r="L6142" s="6">
        <v>2206</v>
      </c>
      <c r="M6142" s="125">
        <f t="shared" ref="M6142:M6143" si="1275">L6142-K6142</f>
        <v>8</v>
      </c>
      <c r="P6142" s="247">
        <v>15250</v>
      </c>
      <c r="Q6142" s="25">
        <f>174.13/1111.2</f>
        <v>0.15670446364290855</v>
      </c>
      <c r="W6142" s="285">
        <f t="shared" si="1271"/>
        <v>2389.7430705543552</v>
      </c>
      <c r="X6142" s="446">
        <f t="shared" si="1272"/>
        <v>6.9381255686988172</v>
      </c>
    </row>
    <row r="6143" spans="1:24" ht="15" customHeight="1">
      <c r="A6143" s="3">
        <v>44361</v>
      </c>
      <c r="B6143" s="4">
        <v>30200</v>
      </c>
      <c r="C6143" s="5">
        <v>0</v>
      </c>
      <c r="D6143" s="5">
        <v>58625</v>
      </c>
      <c r="E6143" s="5">
        <v>88825</v>
      </c>
      <c r="F6143" s="4">
        <v>0</v>
      </c>
      <c r="G6143" s="5">
        <v>950</v>
      </c>
      <c r="H6143" s="5">
        <v>25225</v>
      </c>
      <c r="I6143" s="118">
        <f t="shared" si="1256"/>
        <v>0.28398536448072054</v>
      </c>
      <c r="J6143" s="5">
        <v>115299</v>
      </c>
      <c r="K6143" s="22">
        <v>2186</v>
      </c>
      <c r="L6143" s="6">
        <v>2207</v>
      </c>
      <c r="M6143" s="125">
        <f t="shared" si="1275"/>
        <v>21</v>
      </c>
      <c r="P6143" s="247"/>
      <c r="Q6143" s="25">
        <f>174.4/1116.4</f>
        <v>0.15621640988892868</v>
      </c>
      <c r="W6143" s="285">
        <f t="shared" si="1271"/>
        <v>0</v>
      </c>
      <c r="X6143" s="446">
        <f t="shared" si="1272"/>
        <v>0</v>
      </c>
    </row>
    <row r="6144" spans="1:24" ht="15" customHeight="1">
      <c r="A6144" s="3">
        <v>44362</v>
      </c>
      <c r="B6144" s="4">
        <v>30200</v>
      </c>
      <c r="C6144" s="5">
        <v>0</v>
      </c>
      <c r="D6144" s="5">
        <v>58000</v>
      </c>
      <c r="E6144" s="5">
        <v>88200</v>
      </c>
      <c r="F6144" s="4">
        <v>0</v>
      </c>
      <c r="G6144" s="5">
        <v>625</v>
      </c>
      <c r="H6144" s="5">
        <v>24600</v>
      </c>
      <c r="I6144" s="118">
        <f t="shared" si="1256"/>
        <v>0.27891156462585032</v>
      </c>
      <c r="J6144" s="5">
        <v>114701</v>
      </c>
      <c r="K6144" s="22">
        <v>2167.5</v>
      </c>
      <c r="L6144" s="6">
        <v>2185</v>
      </c>
      <c r="M6144" s="125">
        <f t="shared" ref="M6144" si="1276">L6144-K6144</f>
        <v>17.5</v>
      </c>
      <c r="P6144" s="247">
        <v>15150</v>
      </c>
      <c r="Q6144" s="25">
        <f>174.57/1117.8</f>
        <v>0.15617283950617283</v>
      </c>
      <c r="W6144" s="285">
        <f t="shared" ref="W6144:W6145" si="1277">(P6144*Q6144)*(1+U6144)</f>
        <v>2366.0185185185182</v>
      </c>
      <c r="X6144" s="446">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18">
        <f t="shared" si="1256"/>
        <v>0.27747798920761146</v>
      </c>
      <c r="J6145" s="5">
        <v>113031</v>
      </c>
      <c r="K6145" s="22">
        <v>2161</v>
      </c>
      <c r="L6145" s="6">
        <v>2177.5</v>
      </c>
      <c r="M6145" s="125">
        <f t="shared" ref="M6145" si="1279">L6145-K6145</f>
        <v>16.5</v>
      </c>
      <c r="P6145" s="247">
        <v>15125</v>
      </c>
      <c r="Q6145" s="25">
        <f>174.53/1117.7</f>
        <v>0.1561510244251588</v>
      </c>
      <c r="W6145" s="285">
        <f t="shared" si="1277"/>
        <v>2361.784244430527</v>
      </c>
      <c r="X6145" s="446">
        <f t="shared" si="1278"/>
        <v>6.9990745025451178</v>
      </c>
    </row>
    <row r="6146" spans="1:24" ht="15" customHeight="1">
      <c r="A6146" s="3">
        <v>44364</v>
      </c>
      <c r="B6146" s="4">
        <v>30200</v>
      </c>
      <c r="C6146" s="5">
        <v>0</v>
      </c>
      <c r="D6146" s="5">
        <v>57650</v>
      </c>
      <c r="E6146" s="5">
        <v>87850</v>
      </c>
      <c r="F6146" s="4">
        <v>0</v>
      </c>
      <c r="G6146" s="5">
        <v>175</v>
      </c>
      <c r="H6146" s="5">
        <v>24250</v>
      </c>
      <c r="I6146" s="118">
        <f t="shared" si="1256"/>
        <v>0.27603870233352307</v>
      </c>
      <c r="J6146" s="5">
        <v>113440</v>
      </c>
      <c r="K6146" s="22">
        <v>2144.5</v>
      </c>
      <c r="L6146" s="6">
        <v>2160.5</v>
      </c>
      <c r="M6146" s="125">
        <f t="shared" ref="M6146:M6149" si="1280">L6146-K6146</f>
        <v>16</v>
      </c>
      <c r="P6146" s="247">
        <v>15150</v>
      </c>
      <c r="Q6146" s="25">
        <f>175.73/1129.5</f>
        <v>0.15558211598052235</v>
      </c>
      <c r="W6146" s="285">
        <f t="shared" ref="W6146:W6149" si="1281">(P6146*Q6146)*(1+U6146)</f>
        <v>2357.0690571049136</v>
      </c>
      <c r="X6146" s="446">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18">
        <f t="shared" si="1256"/>
        <v>0.37193382772390188</v>
      </c>
      <c r="J6147" s="5">
        <v>113948</v>
      </c>
      <c r="K6147" s="22">
        <v>2130.5</v>
      </c>
      <c r="L6147" s="6">
        <v>2145</v>
      </c>
      <c r="M6147" s="125">
        <f t="shared" si="1280"/>
        <v>14.5</v>
      </c>
      <c r="P6147" s="247">
        <v>15025</v>
      </c>
      <c r="Q6147" s="25">
        <f>175.43/1132.2</f>
        <v>0.15494612259318141</v>
      </c>
      <c r="W6147" s="285">
        <f t="shared" si="1281"/>
        <v>2328.0654919625508</v>
      </c>
      <c r="X6147" s="446">
        <f t="shared" si="1282"/>
        <v>7.0523351325979817</v>
      </c>
    </row>
    <row r="6148" spans="1:24" ht="15" customHeight="1">
      <c r="A6148" s="3">
        <v>44368</v>
      </c>
      <c r="B6148" s="4">
        <v>30200</v>
      </c>
      <c r="C6148" s="5">
        <v>0</v>
      </c>
      <c r="D6148" s="5">
        <v>57375</v>
      </c>
      <c r="E6148" s="5">
        <v>87575</v>
      </c>
      <c r="F6148" s="4">
        <v>0</v>
      </c>
      <c r="G6148" s="5">
        <v>75</v>
      </c>
      <c r="H6148" s="5">
        <v>30650</v>
      </c>
      <c r="I6148" s="118">
        <f t="shared" si="1256"/>
        <v>0.34998572652012561</v>
      </c>
      <c r="J6148" s="5">
        <v>112288</v>
      </c>
      <c r="K6148" s="22">
        <v>2163</v>
      </c>
      <c r="L6148" s="6">
        <v>2172</v>
      </c>
      <c r="M6148" s="125">
        <f t="shared" si="1280"/>
        <v>9</v>
      </c>
      <c r="P6148" s="247">
        <v>15225</v>
      </c>
      <c r="Q6148" s="25">
        <f>175.59/1135.4</f>
        <v>0.1546503434912806</v>
      </c>
      <c r="W6148" s="285">
        <f t="shared" si="1281"/>
        <v>2354.5514796547473</v>
      </c>
      <c r="X6148" s="446">
        <f t="shared" si="1282"/>
        <v>7.0388349514563107</v>
      </c>
    </row>
    <row r="6149" spans="1:24" ht="15" customHeight="1">
      <c r="A6149" s="3">
        <v>44369</v>
      </c>
      <c r="B6149" s="4">
        <v>30200</v>
      </c>
      <c r="C6149" s="5">
        <v>0</v>
      </c>
      <c r="D6149" s="5">
        <v>57300</v>
      </c>
      <c r="E6149" s="5">
        <v>87500</v>
      </c>
      <c r="F6149" s="4">
        <v>0</v>
      </c>
      <c r="G6149" s="5">
        <v>75</v>
      </c>
      <c r="H6149" s="5">
        <v>30625</v>
      </c>
      <c r="I6149" s="118">
        <f t="shared" si="1256"/>
        <v>0.35</v>
      </c>
      <c r="J6149" s="5">
        <v>112993</v>
      </c>
      <c r="K6149" s="22">
        <v>2165.5</v>
      </c>
      <c r="L6149" s="6">
        <v>2173.5</v>
      </c>
      <c r="M6149" s="125">
        <f t="shared" si="1280"/>
        <v>8</v>
      </c>
      <c r="P6149" s="247">
        <v>15325</v>
      </c>
      <c r="Q6149" s="25">
        <f>175.18/1132.4</f>
        <v>0.1546979865771812</v>
      </c>
      <c r="W6149" s="285">
        <f t="shared" si="1281"/>
        <v>2370.7466442953018</v>
      </c>
      <c r="X6149" s="446">
        <f t="shared" si="1282"/>
        <v>7.0768875548372199</v>
      </c>
    </row>
    <row r="6150" spans="1:24" ht="15" customHeight="1">
      <c r="A6150" s="3">
        <v>44370</v>
      </c>
      <c r="B6150" s="4">
        <v>30200</v>
      </c>
      <c r="C6150" s="5">
        <v>0</v>
      </c>
      <c r="D6150" s="5">
        <v>56550</v>
      </c>
      <c r="E6150" s="5">
        <v>86750</v>
      </c>
      <c r="F6150" s="4">
        <v>0</v>
      </c>
      <c r="G6150" s="5">
        <v>1375</v>
      </c>
      <c r="H6150" s="5">
        <v>32575</v>
      </c>
      <c r="I6150" s="118">
        <f t="shared" ref="I6150:I6165" si="1283">H6150/E6150</f>
        <v>0.37550432276657059</v>
      </c>
      <c r="J6150" s="5">
        <v>112991</v>
      </c>
      <c r="K6150" s="22">
        <v>2175.5</v>
      </c>
      <c r="L6150" s="6">
        <v>2182.5</v>
      </c>
      <c r="M6150" s="125">
        <f t="shared" ref="M6150:M6192" si="1284">L6150-K6150</f>
        <v>7</v>
      </c>
      <c r="P6150" s="247">
        <v>15150</v>
      </c>
      <c r="Q6150" s="25">
        <f>175.23/1135.6</f>
        <v>0.15430609369496301</v>
      </c>
      <c r="W6150" s="285">
        <f t="shared" ref="W6150" si="1285">(P6150*Q6150)*(1+U6150)</f>
        <v>2337.7373194786896</v>
      </c>
      <c r="X6150" s="446">
        <f t="shared" ref="X6150" si="1286">P6150/K6150</f>
        <v>6.9639163410710179</v>
      </c>
    </row>
    <row r="6151" spans="1:24" ht="15" customHeight="1">
      <c r="A6151" s="3">
        <v>44371</v>
      </c>
      <c r="B6151" s="4">
        <v>30200</v>
      </c>
      <c r="C6151" s="5">
        <v>0</v>
      </c>
      <c r="D6151" s="5">
        <v>55800</v>
      </c>
      <c r="E6151" s="5">
        <v>86000</v>
      </c>
      <c r="F6151" s="4">
        <v>0</v>
      </c>
      <c r="G6151" s="5">
        <v>750</v>
      </c>
      <c r="H6151" s="5">
        <v>32425</v>
      </c>
      <c r="I6151" s="118">
        <f t="shared" si="1283"/>
        <v>0.37703488372093025</v>
      </c>
      <c r="J6151" s="5">
        <v>112251</v>
      </c>
      <c r="K6151" s="22">
        <v>2198.5</v>
      </c>
      <c r="L6151" s="6">
        <v>2208.5</v>
      </c>
      <c r="M6151" s="125">
        <f t="shared" si="1284"/>
        <v>10</v>
      </c>
      <c r="P6151" s="247">
        <v>15025</v>
      </c>
      <c r="Q6151" s="25">
        <f>183.99/1155.67</f>
        <v>0.15920634783285886</v>
      </c>
      <c r="W6151" s="285">
        <f t="shared" ref="W6151:W6182" si="1287">(P6151*Q6151)*(1+U6151)</f>
        <v>2392.0753761887045</v>
      </c>
      <c r="X6151" s="446">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18">
        <f t="shared" si="1283"/>
        <v>0.35749926621661288</v>
      </c>
      <c r="J6152" s="5">
        <v>115019</v>
      </c>
      <c r="K6152" s="22">
        <v>2217.5</v>
      </c>
      <c r="L6152" s="6">
        <v>2224</v>
      </c>
      <c r="M6152" s="5">
        <f t="shared" si="1284"/>
        <v>6.5</v>
      </c>
      <c r="P6152" s="247">
        <v>15225</v>
      </c>
      <c r="Q6152" s="25">
        <f>174.56/1128.8</f>
        <v>0.15464209780297661</v>
      </c>
      <c r="W6152" s="285">
        <f t="shared" si="1287"/>
        <v>2354.4259390503189</v>
      </c>
      <c r="X6152" s="446">
        <f t="shared" si="1288"/>
        <v>6.8658399098083427</v>
      </c>
    </row>
    <row r="6153" spans="1:24" ht="15" customHeight="1">
      <c r="A6153" s="3">
        <v>44375</v>
      </c>
      <c r="B6153" s="4">
        <v>30200</v>
      </c>
      <c r="C6153" s="5">
        <v>0</v>
      </c>
      <c r="D6153" s="5">
        <v>53600</v>
      </c>
      <c r="E6153" s="5">
        <v>83800</v>
      </c>
      <c r="F6153" s="4">
        <v>0</v>
      </c>
      <c r="G6153" s="5">
        <v>1375</v>
      </c>
      <c r="H6153" s="5">
        <v>29075</v>
      </c>
      <c r="I6153" s="118">
        <f t="shared" si="1283"/>
        <v>0.34695704057279236</v>
      </c>
      <c r="J6153" s="5">
        <v>115538</v>
      </c>
      <c r="K6153" s="22">
        <v>2230.5</v>
      </c>
      <c r="L6153" s="6">
        <v>2230.5</v>
      </c>
      <c r="M6153" s="125">
        <f t="shared" si="1284"/>
        <v>0</v>
      </c>
      <c r="P6153" s="247">
        <v>15325</v>
      </c>
      <c r="Q6153" s="25">
        <f>174.77/1129.9</f>
        <v>0.15467740508009559</v>
      </c>
      <c r="W6153" s="285">
        <f t="shared" si="1287"/>
        <v>2370.4312328524647</v>
      </c>
      <c r="X6153" s="446">
        <f t="shared" si="1288"/>
        <v>6.8706568034073081</v>
      </c>
    </row>
    <row r="6154" spans="1:24" ht="15" customHeight="1">
      <c r="A6154" s="3">
        <v>44376</v>
      </c>
      <c r="B6154" s="4">
        <v>30200</v>
      </c>
      <c r="C6154" s="5">
        <v>0</v>
      </c>
      <c r="D6154" s="5">
        <v>51875</v>
      </c>
      <c r="E6154" s="5">
        <v>82075</v>
      </c>
      <c r="F6154" s="4">
        <v>0</v>
      </c>
      <c r="G6154" s="5">
        <v>1725</v>
      </c>
      <c r="H6154" s="5">
        <v>27400</v>
      </c>
      <c r="I6154" s="118">
        <f t="shared" si="1283"/>
        <v>0.33384099908620163</v>
      </c>
      <c r="J6154" s="5">
        <v>119411</v>
      </c>
      <c r="K6154" s="22">
        <v>2315.5</v>
      </c>
      <c r="L6154" s="6">
        <v>2283.5</v>
      </c>
      <c r="M6154" s="125">
        <f t="shared" si="1284"/>
        <v>-32</v>
      </c>
      <c r="P6154" s="247">
        <v>15300</v>
      </c>
      <c r="Q6154" s="25">
        <f>174.84/1129.94</f>
        <v>0.154733879675027</v>
      </c>
      <c r="W6154" s="285">
        <f t="shared" si="1287"/>
        <v>2367.4283590279128</v>
      </c>
      <c r="X6154" s="446">
        <f t="shared" si="1288"/>
        <v>6.6076441373353489</v>
      </c>
    </row>
    <row r="6155" spans="1:24" ht="15" customHeight="1">
      <c r="A6155" s="3">
        <v>44377</v>
      </c>
      <c r="B6155" s="4">
        <v>30200</v>
      </c>
      <c r="C6155" s="5">
        <v>0</v>
      </c>
      <c r="D6155" s="5">
        <v>50825</v>
      </c>
      <c r="E6155" s="5">
        <v>81025</v>
      </c>
      <c r="F6155" s="4">
        <v>0</v>
      </c>
      <c r="G6155" s="5">
        <v>1050</v>
      </c>
      <c r="H6155" s="5">
        <v>26350</v>
      </c>
      <c r="I6155" s="118">
        <f t="shared" si="1283"/>
        <v>0.32520826905276151</v>
      </c>
      <c r="J6155" s="5">
        <v>122580</v>
      </c>
      <c r="K6155" s="22">
        <v>2319.5</v>
      </c>
      <c r="L6155" s="6">
        <v>2299.5</v>
      </c>
      <c r="M6155" s="125">
        <f t="shared" si="1284"/>
        <v>-20</v>
      </c>
      <c r="N6155" s="425">
        <f>AVERAGE($K$6134:K6155)</f>
        <v>2188.9772727272725</v>
      </c>
      <c r="O6155" s="395">
        <f>AVERAGE($K$6023:K6155)</f>
        <v>2071.9959677419356</v>
      </c>
      <c r="P6155" s="247">
        <v>15275</v>
      </c>
      <c r="Q6155" s="25">
        <f>174.86/1129.5</f>
        <v>0.15481186365648519</v>
      </c>
      <c r="W6155" s="285">
        <f t="shared" si="1287"/>
        <v>2364.7512173528112</v>
      </c>
      <c r="X6155" s="446">
        <f t="shared" si="1288"/>
        <v>6.5854710066824751</v>
      </c>
    </row>
    <row r="6156" spans="1:24" ht="15" customHeight="1" thickBot="1">
      <c r="A6156" s="216"/>
      <c r="B6156" s="394"/>
      <c r="C6156" s="394"/>
      <c r="D6156" s="394"/>
      <c r="E6156" s="216"/>
      <c r="F6156" s="407"/>
      <c r="G6156" s="164"/>
      <c r="H6156" s="164"/>
      <c r="I6156" s="164"/>
      <c r="J6156" s="166"/>
      <c r="K6156" s="166"/>
      <c r="L6156" s="167"/>
      <c r="M6156" s="167"/>
      <c r="N6156" s="167"/>
      <c r="O6156" s="167"/>
      <c r="P6156" s="180"/>
      <c r="Q6156" s="154"/>
      <c r="R6156" s="248"/>
      <c r="S6156" s="249"/>
      <c r="T6156" s="249"/>
      <c r="U6156" s="152"/>
      <c r="V6156" s="153">
        <f>AVERAGE(P6134:P6155)</f>
        <v>15158.333333333334</v>
      </c>
      <c r="W6156" s="390"/>
      <c r="X6156" s="447">
        <f>V6156/N6155</f>
        <v>6.9248472892765065</v>
      </c>
    </row>
    <row r="6157" spans="1:24" ht="15" customHeight="1">
      <c r="A6157" s="3">
        <v>44378</v>
      </c>
      <c r="B6157" s="4">
        <v>30200</v>
      </c>
      <c r="C6157" s="5">
        <v>0</v>
      </c>
      <c r="D6157" s="5">
        <v>50050</v>
      </c>
      <c r="E6157" s="5">
        <v>80250</v>
      </c>
      <c r="F6157" s="4">
        <v>0</v>
      </c>
      <c r="G6157" s="5">
        <v>775</v>
      </c>
      <c r="H6157" s="5">
        <v>25575</v>
      </c>
      <c r="I6157" s="118">
        <f t="shared" si="1283"/>
        <v>0.31869158878504672</v>
      </c>
      <c r="J6157" s="5">
        <v>121364</v>
      </c>
      <c r="K6157" s="22">
        <v>2242</v>
      </c>
      <c r="L6157" s="6">
        <v>2239.5</v>
      </c>
      <c r="M6157" s="125">
        <f t="shared" si="1284"/>
        <v>-2.5</v>
      </c>
      <c r="N6157" s="25"/>
      <c r="O6157" s="25"/>
      <c r="P6157" s="247">
        <v>15550</v>
      </c>
      <c r="Q6157" s="25">
        <f>175.01/1132.2</f>
        <v>0.15457516339869279</v>
      </c>
      <c r="V6157" s="427"/>
      <c r="W6157" s="285">
        <f t="shared" si="1287"/>
        <v>2403.6437908496728</v>
      </c>
      <c r="X6157" s="446">
        <f t="shared" si="1288"/>
        <v>6.9357716324710079</v>
      </c>
    </row>
    <row r="6158" spans="1:24" ht="15" customHeight="1">
      <c r="A6158" s="3">
        <v>44379</v>
      </c>
      <c r="B6158" s="4">
        <v>30200</v>
      </c>
      <c r="C6158" s="5">
        <v>0</v>
      </c>
      <c r="D6158" s="5">
        <v>46575</v>
      </c>
      <c r="E6158" s="5">
        <v>76775</v>
      </c>
      <c r="F6158" s="4">
        <v>0</v>
      </c>
      <c r="G6158" s="5">
        <v>3475</v>
      </c>
      <c r="H6158" s="5">
        <v>22100</v>
      </c>
      <c r="I6158" s="118">
        <f t="shared" si="1283"/>
        <v>0.28785411917942039</v>
      </c>
      <c r="J6158" s="5">
        <v>122336</v>
      </c>
      <c r="K6158" s="22">
        <v>2293</v>
      </c>
      <c r="L6158" s="6">
        <v>2288.5</v>
      </c>
      <c r="M6158" s="125">
        <f t="shared" si="1284"/>
        <v>-4.5</v>
      </c>
      <c r="N6158" s="5"/>
      <c r="O6158" s="5"/>
      <c r="P6158" s="247">
        <v>15475</v>
      </c>
      <c r="Q6158" s="25">
        <f>175.06/1134.5</f>
        <v>0.15430586161304541</v>
      </c>
      <c r="W6158" s="285">
        <f t="shared" si="1287"/>
        <v>2387.8832084618775</v>
      </c>
      <c r="X6158" s="446">
        <f t="shared" si="1288"/>
        <v>6.7488006977758399</v>
      </c>
    </row>
    <row r="6159" spans="1:24" ht="15" customHeight="1">
      <c r="A6159" s="3">
        <v>44382</v>
      </c>
      <c r="B6159" s="4">
        <v>30200</v>
      </c>
      <c r="C6159" s="4">
        <v>0</v>
      </c>
      <c r="D6159" s="5">
        <v>45175</v>
      </c>
      <c r="E6159" s="5">
        <v>75375</v>
      </c>
      <c r="F6159" s="4">
        <v>0</v>
      </c>
      <c r="G6159" s="5">
        <v>1400</v>
      </c>
      <c r="H6159" s="5">
        <v>20700</v>
      </c>
      <c r="I6159" s="118">
        <f t="shared" si="1283"/>
        <v>0.2746268656716418</v>
      </c>
      <c r="J6159" s="5">
        <v>123948</v>
      </c>
      <c r="K6159" s="22">
        <v>2329.5</v>
      </c>
      <c r="L6159" s="6">
        <v>2315.5</v>
      </c>
      <c r="M6159" s="125">
        <f t="shared" si="1284"/>
        <v>-14</v>
      </c>
      <c r="N6159" s="5"/>
      <c r="O6159" s="5"/>
      <c r="P6159" s="247">
        <v>15525</v>
      </c>
      <c r="Q6159" s="25">
        <f>174.71/1130.3</f>
        <v>0.15456958329646997</v>
      </c>
      <c r="W6159" s="285">
        <f t="shared" si="1287"/>
        <v>2399.6927806776962</v>
      </c>
      <c r="X6159" s="446">
        <f t="shared" si="1288"/>
        <v>6.6645202833226014</v>
      </c>
    </row>
    <row r="6160" spans="1:24" ht="15" customHeight="1">
      <c r="A6160" s="3">
        <v>44383</v>
      </c>
      <c r="B6160" s="4">
        <v>29700</v>
      </c>
      <c r="C6160" s="4">
        <v>0</v>
      </c>
      <c r="D6160" s="5">
        <v>42550</v>
      </c>
      <c r="E6160" s="5">
        <v>72250</v>
      </c>
      <c r="F6160" s="4">
        <v>0</v>
      </c>
      <c r="G6160" s="5">
        <v>3125</v>
      </c>
      <c r="H6160" s="5">
        <v>22025</v>
      </c>
      <c r="I6160" s="118">
        <f t="shared" si="1283"/>
        <v>0.30484429065743945</v>
      </c>
      <c r="J6160" s="5">
        <v>124092</v>
      </c>
      <c r="K6160" s="22">
        <v>2320.5</v>
      </c>
      <c r="L6160" s="6">
        <v>2313.5</v>
      </c>
      <c r="M6160" s="125">
        <f t="shared" si="1284"/>
        <v>-7</v>
      </c>
      <c r="N6160" s="5"/>
      <c r="O6160" s="5"/>
      <c r="P6160" s="247">
        <v>15500</v>
      </c>
      <c r="Q6160" s="25">
        <f>175.14/1131.8</f>
        <v>0.15474465453260292</v>
      </c>
      <c r="W6160" s="285">
        <f t="shared" si="1287"/>
        <v>2398.5421452553451</v>
      </c>
      <c r="X6160" s="446">
        <f t="shared" si="1288"/>
        <v>6.6795949148890328</v>
      </c>
    </row>
    <row r="6161" spans="1:24" ht="15" customHeight="1">
      <c r="A6161" s="3">
        <v>44384</v>
      </c>
      <c r="B6161" s="4">
        <v>29700</v>
      </c>
      <c r="C6161" s="4">
        <v>0</v>
      </c>
      <c r="D6161" s="5">
        <v>41325</v>
      </c>
      <c r="E6161" s="5">
        <v>71025</v>
      </c>
      <c r="F6161" s="4">
        <v>0</v>
      </c>
      <c r="G6161" s="5">
        <v>1225</v>
      </c>
      <c r="H6161" s="5">
        <v>21375</v>
      </c>
      <c r="I6161" s="118">
        <f t="shared" si="1283"/>
        <v>0.30095036958817317</v>
      </c>
      <c r="J6161" s="5">
        <v>125138</v>
      </c>
      <c r="K6161" s="22">
        <v>2306.5</v>
      </c>
      <c r="L6161" s="6">
        <v>2311.5</v>
      </c>
      <c r="M6161" s="125">
        <f t="shared" si="1284"/>
        <v>5</v>
      </c>
      <c r="N6161" s="5"/>
      <c r="O6161" s="5"/>
      <c r="P6161" s="247">
        <v>15525</v>
      </c>
      <c r="Q6161" s="25">
        <f>175.51/1137.6</f>
        <v>0.1542809423347398</v>
      </c>
      <c r="W6161" s="285">
        <f t="shared" si="1287"/>
        <v>2395.2116297468351</v>
      </c>
      <c r="X6161" s="446">
        <f t="shared" si="1288"/>
        <v>6.7309776717970955</v>
      </c>
    </row>
    <row r="6162" spans="1:24" ht="15" customHeight="1">
      <c r="A6162" s="3">
        <v>44385</v>
      </c>
      <c r="B6162" s="4">
        <v>29700</v>
      </c>
      <c r="C6162" s="4">
        <v>0</v>
      </c>
      <c r="D6162" s="5">
        <v>40600</v>
      </c>
      <c r="E6162" s="5">
        <v>70300</v>
      </c>
      <c r="F6162" s="4">
        <v>0</v>
      </c>
      <c r="G6162" s="5">
        <v>725</v>
      </c>
      <c r="H6162" s="5">
        <v>21100</v>
      </c>
      <c r="I6162" s="118">
        <f t="shared" si="1283"/>
        <v>0.30014224751066854</v>
      </c>
      <c r="J6162" s="5">
        <v>125119</v>
      </c>
      <c r="K6162" s="22">
        <v>2283</v>
      </c>
      <c r="L6162" s="6">
        <v>2279.5</v>
      </c>
      <c r="M6162" s="125">
        <f t="shared" si="1284"/>
        <v>-3.5</v>
      </c>
      <c r="N6162" s="5"/>
      <c r="O6162" s="5"/>
      <c r="P6162" s="247">
        <v>15550</v>
      </c>
      <c r="Q6162" s="25">
        <f>176.51/1143.4</f>
        <v>0.1543729228616407</v>
      </c>
      <c r="W6162" s="285">
        <f t="shared" si="1287"/>
        <v>2400.4989504985128</v>
      </c>
      <c r="X6162" s="446">
        <f t="shared" si="1288"/>
        <v>6.8112133158125276</v>
      </c>
    </row>
    <row r="6163" spans="1:24" ht="15" customHeight="1">
      <c r="A6163" s="3">
        <v>44386</v>
      </c>
      <c r="B6163" s="4">
        <v>29700</v>
      </c>
      <c r="C6163" s="4">
        <v>0</v>
      </c>
      <c r="D6163" s="5">
        <v>39875</v>
      </c>
      <c r="E6163" s="5">
        <v>69575</v>
      </c>
      <c r="F6163" s="4">
        <v>0</v>
      </c>
      <c r="G6163" s="5">
        <v>725</v>
      </c>
      <c r="H6163" s="5">
        <v>20525</v>
      </c>
      <c r="I6163" s="118">
        <f t="shared" si="1283"/>
        <v>0.29500538986704994</v>
      </c>
      <c r="J6163" s="5">
        <v>125075</v>
      </c>
      <c r="K6163" s="22">
        <v>2342.5</v>
      </c>
      <c r="L6163" s="6">
        <v>2330</v>
      </c>
      <c r="M6163" s="125">
        <f t="shared" si="1284"/>
        <v>-12.5</v>
      </c>
      <c r="N6163" s="5"/>
      <c r="O6163" s="5"/>
      <c r="P6163" s="247">
        <v>15450</v>
      </c>
      <c r="Q6163" s="25">
        <f>176.91/1148.3</f>
        <v>0.15406252721414265</v>
      </c>
      <c r="W6163" s="285">
        <f t="shared" si="1287"/>
        <v>2380.2660454585039</v>
      </c>
      <c r="X6163" s="446">
        <f t="shared" si="1288"/>
        <v>6.5955176093916759</v>
      </c>
    </row>
    <row r="6164" spans="1:24" ht="15" customHeight="1">
      <c r="A6164" s="3">
        <v>44389</v>
      </c>
      <c r="B6164" s="4">
        <v>29700</v>
      </c>
      <c r="C6164" s="4">
        <v>0</v>
      </c>
      <c r="D6164" s="5">
        <v>39075</v>
      </c>
      <c r="E6164" s="5">
        <v>68775</v>
      </c>
      <c r="F6164" s="4">
        <v>0</v>
      </c>
      <c r="G6164" s="5">
        <v>800</v>
      </c>
      <c r="H6164" s="5">
        <v>19775</v>
      </c>
      <c r="I6164" s="118">
        <f t="shared" si="1283"/>
        <v>0.2875318066157761</v>
      </c>
      <c r="J6164" s="5">
        <v>126408</v>
      </c>
      <c r="K6164" s="22">
        <v>2315</v>
      </c>
      <c r="L6164" s="6">
        <v>2314</v>
      </c>
      <c r="M6164" s="125">
        <f t="shared" si="1284"/>
        <v>-1</v>
      </c>
      <c r="N6164" s="5"/>
      <c r="O6164" s="5"/>
      <c r="P6164" s="247">
        <v>15600</v>
      </c>
      <c r="Q6164" s="25">
        <f>177/1146.4</f>
        <v>0.1543963712491277</v>
      </c>
      <c r="W6164" s="285">
        <f t="shared" si="1287"/>
        <v>2408.583391486392</v>
      </c>
      <c r="X6164" s="446">
        <f t="shared" si="1288"/>
        <v>6.7386609071274295</v>
      </c>
    </row>
    <row r="6165" spans="1:24" ht="15" customHeight="1">
      <c r="A6165" s="3">
        <v>44390</v>
      </c>
      <c r="B6165" s="4">
        <v>29700</v>
      </c>
      <c r="C6165" s="4">
        <v>0</v>
      </c>
      <c r="D6165" s="5">
        <v>38500</v>
      </c>
      <c r="E6165" s="5">
        <v>68200</v>
      </c>
      <c r="F6165" s="4">
        <v>0</v>
      </c>
      <c r="G6165" s="5">
        <v>575</v>
      </c>
      <c r="H6165" s="5">
        <v>19200</v>
      </c>
      <c r="I6165" s="118">
        <f t="shared" si="1283"/>
        <v>0.28152492668621704</v>
      </c>
      <c r="J6165" s="5">
        <v>126402</v>
      </c>
      <c r="K6165" s="22">
        <v>2302.5</v>
      </c>
      <c r="L6165" s="6">
        <v>2301.5</v>
      </c>
      <c r="M6165" s="125">
        <f t="shared" si="1284"/>
        <v>-1</v>
      </c>
      <c r="N6165" s="5"/>
      <c r="O6165" s="5"/>
      <c r="P6165" s="247">
        <v>15500</v>
      </c>
      <c r="Q6165" s="25">
        <f>176.88/1145.1</f>
        <v>0.15446685878962538</v>
      </c>
      <c r="W6165" s="285">
        <f t="shared" si="1287"/>
        <v>2394.2363112391931</v>
      </c>
      <c r="X6165" s="446">
        <f t="shared" si="1288"/>
        <v>6.7318132464712273</v>
      </c>
    </row>
    <row r="6166" spans="1:24" ht="15" customHeight="1">
      <c r="A6166" s="3">
        <v>44391</v>
      </c>
      <c r="B6166" s="4">
        <v>29700</v>
      </c>
      <c r="C6166" s="4">
        <v>0</v>
      </c>
      <c r="D6166" s="5">
        <v>38200</v>
      </c>
      <c r="E6166" s="5">
        <v>67900</v>
      </c>
      <c r="F6166" s="4">
        <v>0</v>
      </c>
      <c r="G6166" s="5">
        <v>300</v>
      </c>
      <c r="H6166" s="5">
        <v>19250</v>
      </c>
      <c r="I6166" s="118">
        <f t="shared" ref="I6166:I6246" si="1289">H6166/E6166</f>
        <v>0.28350515463917525</v>
      </c>
      <c r="J6166" s="5">
        <v>127731</v>
      </c>
      <c r="K6166" s="22">
        <v>2301</v>
      </c>
      <c r="L6166" s="6">
        <v>2301.5</v>
      </c>
      <c r="M6166" s="125">
        <f t="shared" si="1284"/>
        <v>0.5</v>
      </c>
      <c r="N6166" s="5"/>
      <c r="O6166" s="5"/>
      <c r="P6166" s="247">
        <v>15350</v>
      </c>
      <c r="Q6166" s="25">
        <f>177.51/1150.3</f>
        <v>0.15431626532208989</v>
      </c>
      <c r="W6166" s="285">
        <f t="shared" si="1287"/>
        <v>2368.75467269408</v>
      </c>
      <c r="X6166" s="446">
        <f t="shared" si="1288"/>
        <v>6.6710126032159929</v>
      </c>
    </row>
    <row r="6167" spans="1:24" ht="15" customHeight="1">
      <c r="A6167" s="3">
        <v>44392</v>
      </c>
      <c r="B6167" s="4">
        <v>29700</v>
      </c>
      <c r="C6167" s="4">
        <v>0</v>
      </c>
      <c r="D6167" s="5">
        <v>38025</v>
      </c>
      <c r="E6167" s="5">
        <v>67725</v>
      </c>
      <c r="F6167" s="4">
        <v>0</v>
      </c>
      <c r="G6167" s="5">
        <v>175</v>
      </c>
      <c r="H6167" s="5">
        <v>19250</v>
      </c>
      <c r="I6167" s="118">
        <f t="shared" si="1289"/>
        <v>0.2842377260981912</v>
      </c>
      <c r="J6167" s="5">
        <v>129231</v>
      </c>
      <c r="K6167" s="22">
        <v>2310</v>
      </c>
      <c r="L6167" s="6">
        <v>2313</v>
      </c>
      <c r="M6167" s="125">
        <f t="shared" si="1284"/>
        <v>3</v>
      </c>
      <c r="N6167" s="5"/>
      <c r="O6167" s="5"/>
      <c r="P6167" s="247">
        <v>15575</v>
      </c>
      <c r="Q6167" s="25">
        <f>177.01/1143.7</f>
        <v>0.15476960741453177</v>
      </c>
      <c r="W6167" s="285">
        <f t="shared" si="1287"/>
        <v>2410.5366354813323</v>
      </c>
      <c r="X6167" s="446">
        <f t="shared" si="1288"/>
        <v>6.7424242424242422</v>
      </c>
    </row>
    <row r="6168" spans="1:24" ht="15" customHeight="1">
      <c r="A6168" s="3">
        <v>44393</v>
      </c>
      <c r="B6168" s="4">
        <v>29700</v>
      </c>
      <c r="C6168" s="4">
        <v>0</v>
      </c>
      <c r="D6168" s="5">
        <v>37800</v>
      </c>
      <c r="E6168" s="5">
        <v>67500</v>
      </c>
      <c r="F6168" s="4">
        <v>0</v>
      </c>
      <c r="G6168" s="5">
        <v>225</v>
      </c>
      <c r="H6168" s="5">
        <v>18850</v>
      </c>
      <c r="I6168" s="118">
        <f t="shared" si="1289"/>
        <v>0.27925925925925926</v>
      </c>
      <c r="J6168" s="5">
        <v>129140</v>
      </c>
      <c r="K6168" s="22">
        <v>2326.5</v>
      </c>
      <c r="L6168" s="6">
        <v>2329.5</v>
      </c>
      <c r="M6168" s="125">
        <f t="shared" si="1284"/>
        <v>3</v>
      </c>
      <c r="N6168" s="5"/>
      <c r="O6168" s="5"/>
      <c r="P6168" s="247">
        <v>15700</v>
      </c>
      <c r="Q6168" s="25">
        <f>176.45/1141.1</f>
        <v>0.15463149592498468</v>
      </c>
      <c r="W6168" s="285">
        <f t="shared" si="1287"/>
        <v>2427.7144860222593</v>
      </c>
      <c r="X6168" s="446">
        <f t="shared" si="1288"/>
        <v>6.7483344079088763</v>
      </c>
    </row>
    <row r="6169" spans="1:24" ht="15" customHeight="1">
      <c r="A6169" s="3">
        <v>44396</v>
      </c>
      <c r="B6169" s="4">
        <v>29700</v>
      </c>
      <c r="C6169" s="4">
        <v>0</v>
      </c>
      <c r="D6169" s="5">
        <v>37650</v>
      </c>
      <c r="E6169" s="5">
        <v>67350</v>
      </c>
      <c r="F6169" s="4">
        <v>0</v>
      </c>
      <c r="G6169" s="5">
        <v>150</v>
      </c>
      <c r="H6169" s="5">
        <v>18700</v>
      </c>
      <c r="I6169" s="118">
        <f t="shared" si="1289"/>
        <v>0.27765404602821087</v>
      </c>
      <c r="J6169" s="5">
        <v>127125</v>
      </c>
      <c r="K6169" s="22">
        <v>2278.5</v>
      </c>
      <c r="L6169" s="6">
        <v>2286</v>
      </c>
      <c r="M6169" s="125">
        <f t="shared" si="1284"/>
        <v>7.5</v>
      </c>
      <c r="N6169" s="5"/>
      <c r="O6169" s="5"/>
      <c r="P6169" s="247">
        <v>15600</v>
      </c>
      <c r="Q6169" s="25">
        <f>176.67/1145.7</f>
        <v>0.15420267085624506</v>
      </c>
      <c r="W6169" s="285">
        <f t="shared" si="1287"/>
        <v>2405.561665357423</v>
      </c>
      <c r="X6169" s="446">
        <f t="shared" si="1288"/>
        <v>6.8466096115865698</v>
      </c>
    </row>
    <row r="6170" spans="1:24" ht="15" customHeight="1">
      <c r="A6170" s="3">
        <v>44397</v>
      </c>
      <c r="B6170" s="4">
        <v>29700</v>
      </c>
      <c r="C6170" s="4">
        <v>0</v>
      </c>
      <c r="D6170" s="5">
        <v>37275</v>
      </c>
      <c r="E6170" s="5">
        <v>66975</v>
      </c>
      <c r="F6170" s="4">
        <v>0</v>
      </c>
      <c r="G6170" s="5">
        <v>375</v>
      </c>
      <c r="H6170" s="5">
        <v>18650</v>
      </c>
      <c r="I6170" s="118">
        <f t="shared" si="1289"/>
        <v>0.27846211272863008</v>
      </c>
      <c r="J6170" s="5">
        <v>125773</v>
      </c>
      <c r="K6170" s="22">
        <v>2320</v>
      </c>
      <c r="L6170" s="6">
        <v>2305.5</v>
      </c>
      <c r="M6170" s="125">
        <f t="shared" si="1284"/>
        <v>-14.5</v>
      </c>
      <c r="N6170" s="5"/>
      <c r="O6170" s="5"/>
      <c r="P6170" s="247">
        <v>15400</v>
      </c>
      <c r="Q6170" s="25">
        <f>177.26/1151</f>
        <v>0.15400521285838401</v>
      </c>
      <c r="W6170" s="285">
        <f t="shared" si="1287"/>
        <v>2371.6802780191138</v>
      </c>
      <c r="X6170" s="446">
        <f t="shared" si="1288"/>
        <v>6.6379310344827589</v>
      </c>
    </row>
    <row r="6171" spans="1:24" ht="15" customHeight="1">
      <c r="A6171" s="3">
        <v>44398</v>
      </c>
      <c r="B6171" s="4">
        <v>29700</v>
      </c>
      <c r="C6171" s="4">
        <v>0</v>
      </c>
      <c r="D6171" s="5">
        <v>34725</v>
      </c>
      <c r="E6171" s="5">
        <v>64425</v>
      </c>
      <c r="F6171" s="4">
        <v>0</v>
      </c>
      <c r="G6171" s="5">
        <v>2550</v>
      </c>
      <c r="H6171" s="5">
        <v>15850</v>
      </c>
      <c r="I6171" s="118">
        <f t="shared" si="1289"/>
        <v>0.24602250679084206</v>
      </c>
      <c r="J6171" s="5">
        <v>126996</v>
      </c>
      <c r="K6171" s="22">
        <v>2341.5</v>
      </c>
      <c r="L6171" s="6">
        <v>2327</v>
      </c>
      <c r="M6171" s="125">
        <f t="shared" si="1284"/>
        <v>-14.5</v>
      </c>
      <c r="N6171" s="5"/>
      <c r="O6171" s="5"/>
      <c r="P6171" s="247">
        <v>15550</v>
      </c>
      <c r="Q6171" s="25">
        <f>177.59/1150.6</f>
        <v>0.15434555883886669</v>
      </c>
      <c r="W6171" s="285">
        <f t="shared" si="1287"/>
        <v>2400.0734399443772</v>
      </c>
      <c r="X6171" s="446">
        <f t="shared" si="1288"/>
        <v>6.6410420670510355</v>
      </c>
    </row>
    <row r="6172" spans="1:24" ht="15" customHeight="1">
      <c r="A6172" s="3">
        <v>44399</v>
      </c>
      <c r="B6172" s="4">
        <v>29700</v>
      </c>
      <c r="C6172" s="4">
        <v>0</v>
      </c>
      <c r="D6172" s="5">
        <v>34525</v>
      </c>
      <c r="E6172" s="5">
        <v>64225</v>
      </c>
      <c r="F6172" s="4">
        <v>0</v>
      </c>
      <c r="G6172" s="5">
        <v>200</v>
      </c>
      <c r="H6172" s="5">
        <v>15650</v>
      </c>
      <c r="I6172" s="118">
        <f t="shared" si="1289"/>
        <v>0.24367458154924096</v>
      </c>
      <c r="J6172" s="5">
        <v>127905</v>
      </c>
      <c r="K6172" s="22">
        <v>2386.5</v>
      </c>
      <c r="L6172" s="6">
        <v>2367.5</v>
      </c>
      <c r="M6172" s="125">
        <f t="shared" si="1284"/>
        <v>-19</v>
      </c>
      <c r="N6172" s="5"/>
      <c r="O6172" s="5"/>
      <c r="P6172" s="247">
        <v>15650</v>
      </c>
      <c r="Q6172" s="25">
        <f>177.89/1151</f>
        <v>0.15455256298870546</v>
      </c>
      <c r="W6172" s="285">
        <f t="shared" si="1287"/>
        <v>2418.7476107732405</v>
      </c>
      <c r="X6172" s="446">
        <f t="shared" si="1288"/>
        <v>6.557720511208883</v>
      </c>
    </row>
    <row r="6173" spans="1:24" ht="15" customHeight="1">
      <c r="A6173" s="3">
        <v>44400</v>
      </c>
      <c r="B6173" s="4">
        <v>29500</v>
      </c>
      <c r="C6173" s="4">
        <v>0</v>
      </c>
      <c r="D6173" s="5">
        <v>32950</v>
      </c>
      <c r="E6173" s="5">
        <v>62450</v>
      </c>
      <c r="F6173" s="4">
        <v>0</v>
      </c>
      <c r="G6173" s="5">
        <v>1775</v>
      </c>
      <c r="H6173" s="5">
        <v>14000</v>
      </c>
      <c r="I6173" s="118">
        <f t="shared" si="1289"/>
        <v>0.22417934347477983</v>
      </c>
      <c r="J6173" s="5">
        <v>129823</v>
      </c>
      <c r="K6173" s="22">
        <v>2416</v>
      </c>
      <c r="L6173" s="6">
        <v>2376</v>
      </c>
      <c r="M6173" s="125">
        <f t="shared" si="1284"/>
        <v>-40</v>
      </c>
      <c r="N6173" s="5"/>
      <c r="O6173" s="5"/>
      <c r="P6173" s="247">
        <v>15950</v>
      </c>
      <c r="Q6173" s="25">
        <f>177.56/1149.5</f>
        <v>0.15446715963462376</v>
      </c>
      <c r="W6173" s="285">
        <f t="shared" si="1287"/>
        <v>2463.7511961722489</v>
      </c>
      <c r="X6173" s="446">
        <f t="shared" si="1288"/>
        <v>6.6018211920529799</v>
      </c>
    </row>
    <row r="6174" spans="1:24" ht="15" customHeight="1">
      <c r="A6174" s="3">
        <v>44403</v>
      </c>
      <c r="B6174" s="4">
        <v>29500</v>
      </c>
      <c r="C6174" s="4">
        <v>0</v>
      </c>
      <c r="D6174" s="5">
        <v>32500</v>
      </c>
      <c r="E6174" s="5">
        <v>62000</v>
      </c>
      <c r="F6174" s="4">
        <v>0</v>
      </c>
      <c r="G6174" s="5">
        <v>450</v>
      </c>
      <c r="H6174" s="5">
        <v>15000</v>
      </c>
      <c r="I6174" s="118">
        <f t="shared" si="1289"/>
        <v>0.24193548387096775</v>
      </c>
      <c r="J6174" s="5">
        <v>129206</v>
      </c>
      <c r="K6174" s="22">
        <v>2424.5</v>
      </c>
      <c r="L6174" s="6">
        <v>2381.5</v>
      </c>
      <c r="M6174" s="125">
        <f t="shared" si="1284"/>
        <v>-43</v>
      </c>
      <c r="N6174" s="5"/>
      <c r="O6174" s="5"/>
      <c r="P6174" s="247">
        <v>15900</v>
      </c>
      <c r="Q6174" s="25">
        <f>177.76/1153.2</f>
        <v>0.15414498785986819</v>
      </c>
      <c r="W6174" s="285">
        <f t="shared" si="1287"/>
        <v>2450.9053069719043</v>
      </c>
      <c r="X6174" s="446">
        <f t="shared" si="1288"/>
        <v>6.5580532068467727</v>
      </c>
    </row>
    <row r="6175" spans="1:24" ht="15" customHeight="1">
      <c r="A6175" s="3">
        <v>44404</v>
      </c>
      <c r="B6175" s="4">
        <v>29500</v>
      </c>
      <c r="C6175" s="4">
        <v>0</v>
      </c>
      <c r="D6175" s="5">
        <v>32275</v>
      </c>
      <c r="E6175" s="5">
        <v>61775</v>
      </c>
      <c r="F6175" s="4">
        <v>0</v>
      </c>
      <c r="G6175" s="5">
        <v>225</v>
      </c>
      <c r="H6175" s="5">
        <v>18675</v>
      </c>
      <c r="I6175" s="118">
        <f t="shared" si="1289"/>
        <v>0.30230675839740995</v>
      </c>
      <c r="J6175" s="5">
        <v>129386</v>
      </c>
      <c r="K6175" s="22">
        <v>2385</v>
      </c>
      <c r="L6175" s="6">
        <v>2351</v>
      </c>
      <c r="M6175" s="125">
        <f t="shared" si="1284"/>
        <v>-34</v>
      </c>
      <c r="N6175" s="5"/>
      <c r="O6175" s="5"/>
      <c r="P6175" s="247">
        <v>15800</v>
      </c>
      <c r="Q6175" s="25">
        <f>177.6/1150.2</f>
        <v>0.15440792905581638</v>
      </c>
      <c r="W6175" s="285">
        <f t="shared" si="1287"/>
        <v>2439.6452790818989</v>
      </c>
      <c r="X6175" s="446">
        <f t="shared" si="1288"/>
        <v>6.6247379454926625</v>
      </c>
    </row>
    <row r="6176" spans="1:24" ht="15" customHeight="1">
      <c r="A6176" s="3">
        <v>44405</v>
      </c>
      <c r="B6176" s="4">
        <v>29500</v>
      </c>
      <c r="C6176" s="4">
        <v>0</v>
      </c>
      <c r="D6176" s="5">
        <v>31900</v>
      </c>
      <c r="E6176" s="5">
        <v>61400</v>
      </c>
      <c r="F6176" s="4">
        <v>0</v>
      </c>
      <c r="G6176" s="5">
        <v>375</v>
      </c>
      <c r="H6176" s="5">
        <v>18300</v>
      </c>
      <c r="I6176" s="118">
        <f t="shared" si="1289"/>
        <v>0.29804560260586321</v>
      </c>
      <c r="J6176" s="5">
        <v>128950</v>
      </c>
      <c r="K6176" s="22">
        <v>2369.5</v>
      </c>
      <c r="L6176" s="6">
        <v>2344</v>
      </c>
      <c r="M6176" s="125">
        <f t="shared" si="1284"/>
        <v>-25.5</v>
      </c>
      <c r="N6176" s="5"/>
      <c r="O6176" s="5"/>
      <c r="P6176" s="247">
        <v>15650</v>
      </c>
      <c r="Q6176" s="25">
        <f>177.24/1154.8</f>
        <v>0.15348112227225494</v>
      </c>
      <c r="W6176" s="285">
        <f t="shared" si="1287"/>
        <v>2401.9795635607898</v>
      </c>
      <c r="X6176" s="446">
        <f t="shared" si="1288"/>
        <v>6.6047689385946402</v>
      </c>
    </row>
    <row r="6177" spans="1:24" ht="15" customHeight="1">
      <c r="A6177" s="3">
        <v>44406</v>
      </c>
      <c r="B6177" s="4">
        <v>29425</v>
      </c>
      <c r="C6177" s="4">
        <v>0</v>
      </c>
      <c r="D6177" s="5">
        <v>31475</v>
      </c>
      <c r="E6177" s="5">
        <v>60900</v>
      </c>
      <c r="F6177" s="4">
        <v>0</v>
      </c>
      <c r="G6177" s="5">
        <v>500</v>
      </c>
      <c r="H6177" s="5">
        <v>18825</v>
      </c>
      <c r="I6177" s="118">
        <f t="shared" si="1289"/>
        <v>0.30911330049261082</v>
      </c>
      <c r="J6177" s="5">
        <v>128008</v>
      </c>
      <c r="K6177" s="22">
        <v>2396</v>
      </c>
      <c r="L6177" s="6">
        <v>2360.5</v>
      </c>
      <c r="M6177" s="125">
        <f t="shared" si="1284"/>
        <v>-35.5</v>
      </c>
      <c r="N6177" s="5"/>
      <c r="O6177" s="5"/>
      <c r="P6177" s="247">
        <v>15600</v>
      </c>
      <c r="Q6177" s="25">
        <f>177.12/1147.4</f>
        <v>0.15436639358549764</v>
      </c>
      <c r="W6177" s="285">
        <f t="shared" si="1287"/>
        <v>2408.1157399337631</v>
      </c>
      <c r="X6177" s="446">
        <f t="shared" si="1288"/>
        <v>6.5108514190317193</v>
      </c>
    </row>
    <row r="6178" spans="1:24" ht="15" customHeight="1">
      <c r="A6178" s="3">
        <v>44407</v>
      </c>
      <c r="B6178" s="4">
        <v>29425</v>
      </c>
      <c r="C6178" s="4">
        <v>0</v>
      </c>
      <c r="D6178" s="5">
        <v>30975</v>
      </c>
      <c r="E6178" s="5">
        <v>60400</v>
      </c>
      <c r="F6178" s="4">
        <v>0</v>
      </c>
      <c r="G6178" s="5">
        <v>500</v>
      </c>
      <c r="H6178" s="5">
        <v>18250</v>
      </c>
      <c r="I6178" s="118">
        <f t="shared" si="1289"/>
        <v>0.30215231788079472</v>
      </c>
      <c r="J6178" s="5">
        <v>127163</v>
      </c>
      <c r="K6178" s="22">
        <v>2424</v>
      </c>
      <c r="L6178" s="6">
        <v>2385</v>
      </c>
      <c r="M6178" s="125">
        <f t="shared" si="1284"/>
        <v>-39</v>
      </c>
      <c r="N6178" s="425">
        <f>AVERAGE($K$6157:K6178)</f>
        <v>2336.9772727272725</v>
      </c>
      <c r="O6178" s="395">
        <f>AVERAGE($K$6023:K6178)</f>
        <v>2111.9246575342468</v>
      </c>
      <c r="P6178" s="247">
        <v>15600</v>
      </c>
      <c r="Q6178" s="25">
        <f>177.12/1147.4</f>
        <v>0.15436639358549764</v>
      </c>
      <c r="W6178" s="285">
        <f t="shared" si="1287"/>
        <v>2408.1157399337631</v>
      </c>
      <c r="X6178" s="446">
        <f t="shared" si="1288"/>
        <v>6.435643564356436</v>
      </c>
    </row>
    <row r="6179" spans="1:24" ht="15" customHeight="1" thickBot="1">
      <c r="A6179" s="394"/>
      <c r="B6179" s="394"/>
      <c r="C6179" s="394"/>
      <c r="D6179" s="394"/>
      <c r="E6179" s="216"/>
      <c r="F6179" s="407"/>
      <c r="G6179" s="164"/>
      <c r="H6179" s="164"/>
      <c r="I6179" s="166"/>
      <c r="J6179" s="166"/>
      <c r="K6179" s="166"/>
      <c r="L6179" s="167"/>
      <c r="M6179" s="167"/>
      <c r="N6179" s="167"/>
      <c r="O6179" s="167"/>
      <c r="P6179" s="180"/>
      <c r="Q6179" s="154"/>
      <c r="R6179" s="248"/>
      <c r="S6179" s="249"/>
      <c r="T6179" s="249"/>
      <c r="U6179" s="152"/>
      <c r="V6179" s="153">
        <f>AVERAGE(P6157:P6178)</f>
        <v>15590.90909090909</v>
      </c>
      <c r="W6179" s="154"/>
      <c r="X6179" s="447">
        <f>V6179/N6178</f>
        <v>6.6713995351415489</v>
      </c>
    </row>
    <row r="6180" spans="1:24" ht="15" customHeight="1">
      <c r="A6180" s="3">
        <v>44410</v>
      </c>
      <c r="B6180" s="4">
        <v>29425</v>
      </c>
      <c r="C6180" s="4">
        <v>0</v>
      </c>
      <c r="D6180" s="5">
        <v>30325</v>
      </c>
      <c r="E6180" s="5">
        <v>59750</v>
      </c>
      <c r="F6180" s="4">
        <v>0</v>
      </c>
      <c r="G6180" s="5">
        <v>650</v>
      </c>
      <c r="H6180" s="5">
        <v>17600</v>
      </c>
      <c r="I6180" s="118">
        <f t="shared" si="1289"/>
        <v>0.29456066945606696</v>
      </c>
      <c r="J6180" s="5">
        <v>127620</v>
      </c>
      <c r="K6180" s="22">
        <v>2445.5</v>
      </c>
      <c r="L6180" s="6">
        <v>2407</v>
      </c>
      <c r="M6180" s="125">
        <f t="shared" si="1284"/>
        <v>-38.5</v>
      </c>
      <c r="P6180" s="247">
        <v>15750</v>
      </c>
      <c r="Q6180" s="25">
        <f>178.16/1151.5</f>
        <v>0.15471993052540164</v>
      </c>
      <c r="W6180" s="285">
        <f t="shared" si="1287"/>
        <v>2436.838905775076</v>
      </c>
      <c r="X6180" s="446">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18">
        <f t="shared" si="1289"/>
        <v>0.29136842105263155</v>
      </c>
      <c r="J6181" s="5">
        <v>127576</v>
      </c>
      <c r="K6181" s="22">
        <v>2435</v>
      </c>
      <c r="L6181" s="6">
        <v>2396</v>
      </c>
      <c r="M6181" s="125">
        <f t="shared" si="1284"/>
        <v>-39</v>
      </c>
      <c r="P6181" s="247">
        <v>15775</v>
      </c>
      <c r="Q6181" s="25">
        <f>178.06/1150.7</f>
        <v>0.15474059268271487</v>
      </c>
      <c r="W6181" s="285">
        <f t="shared" si="1287"/>
        <v>2441.0328495698272</v>
      </c>
      <c r="X6181" s="446">
        <f t="shared" si="1290"/>
        <v>6.4784394250513344</v>
      </c>
    </row>
    <row r="6182" spans="1:24" ht="15" customHeight="1">
      <c r="A6182" s="3">
        <v>44412</v>
      </c>
      <c r="B6182" s="4">
        <v>29425</v>
      </c>
      <c r="C6182" s="4">
        <v>0</v>
      </c>
      <c r="D6182" s="5">
        <v>29825</v>
      </c>
      <c r="E6182" s="5">
        <v>59250</v>
      </c>
      <c r="F6182" s="4">
        <v>0</v>
      </c>
      <c r="G6182" s="5">
        <v>125</v>
      </c>
      <c r="H6182" s="5">
        <v>17175</v>
      </c>
      <c r="I6182" s="118">
        <f t="shared" si="1289"/>
        <v>0.28987341772151898</v>
      </c>
      <c r="J6182" s="5">
        <v>127132</v>
      </c>
      <c r="K6182" s="22">
        <v>2469</v>
      </c>
      <c r="L6182" s="6">
        <v>2391</v>
      </c>
      <c r="M6182" s="125">
        <f t="shared" si="1284"/>
        <v>-78</v>
      </c>
      <c r="P6182" s="247">
        <v>15675</v>
      </c>
      <c r="Q6182" s="25">
        <f>177.38/1145.8</f>
        <v>0.15480886716704487</v>
      </c>
      <c r="W6182" s="285">
        <f t="shared" si="1287"/>
        <v>2426.6289928434285</v>
      </c>
      <c r="X6182" s="446">
        <f t="shared" si="1290"/>
        <v>6.3487241798298903</v>
      </c>
    </row>
    <row r="6183" spans="1:24" ht="15" customHeight="1">
      <c r="A6183" s="3">
        <v>44413</v>
      </c>
      <c r="B6183" s="4">
        <v>29425</v>
      </c>
      <c r="C6183" s="4">
        <v>0</v>
      </c>
      <c r="D6183" s="5">
        <v>29425</v>
      </c>
      <c r="E6183" s="5">
        <v>58850</v>
      </c>
      <c r="F6183" s="4">
        <v>0</v>
      </c>
      <c r="G6183" s="5">
        <v>400</v>
      </c>
      <c r="H6183" s="5">
        <v>19275</v>
      </c>
      <c r="I6183" s="118">
        <f t="shared" si="1289"/>
        <v>0.32752761257434154</v>
      </c>
      <c r="J6183" s="5">
        <v>125962</v>
      </c>
      <c r="K6183" s="22">
        <v>2441</v>
      </c>
      <c r="L6183" s="6">
        <v>2386</v>
      </c>
      <c r="M6183" s="125">
        <f t="shared" si="1284"/>
        <v>-55</v>
      </c>
      <c r="P6183" s="247">
        <v>15575</v>
      </c>
      <c r="Q6183" s="25">
        <f>176.85/1143.5</f>
        <v>0.15465675557498906</v>
      </c>
      <c r="W6183" s="285">
        <f t="shared" ref="W6183:W6196" si="1291">(P6183*Q6183)*(1+U6183)</f>
        <v>2408.7789680804544</v>
      </c>
      <c r="X6183" s="446">
        <f t="shared" si="1290"/>
        <v>6.3805817287996724</v>
      </c>
    </row>
    <row r="6184" spans="1:24" ht="15" customHeight="1">
      <c r="A6184" s="3">
        <v>44414</v>
      </c>
      <c r="B6184" s="4">
        <v>29425</v>
      </c>
      <c r="C6184" s="4">
        <v>0</v>
      </c>
      <c r="D6184" s="5">
        <v>29325</v>
      </c>
      <c r="E6184" s="5">
        <v>58750</v>
      </c>
      <c r="F6184" s="4">
        <v>0</v>
      </c>
      <c r="G6184" s="5">
        <v>100</v>
      </c>
      <c r="H6184" s="5">
        <v>19175</v>
      </c>
      <c r="I6184" s="118">
        <f t="shared" si="1289"/>
        <v>0.32638297872340427</v>
      </c>
      <c r="J6184" s="5">
        <v>126007</v>
      </c>
      <c r="K6184" s="22">
        <v>2362</v>
      </c>
      <c r="L6184" s="6">
        <v>2331</v>
      </c>
      <c r="M6184" s="125">
        <f t="shared" si="1284"/>
        <v>-31</v>
      </c>
      <c r="P6184" s="247">
        <v>15525</v>
      </c>
      <c r="Q6184" s="25">
        <f>176.76/1142.3</f>
        <v>0.15474043596253173</v>
      </c>
      <c r="W6184" s="285">
        <f t="shared" si="1291"/>
        <v>2402.345268318305</v>
      </c>
      <c r="X6184" s="446">
        <f t="shared" si="1290"/>
        <v>6.5728196443691784</v>
      </c>
    </row>
    <row r="6185" spans="1:24" ht="15" customHeight="1">
      <c r="A6185" s="3">
        <v>44417</v>
      </c>
      <c r="B6185" s="4">
        <v>29425</v>
      </c>
      <c r="C6185" s="4">
        <v>0</v>
      </c>
      <c r="D6185" s="5">
        <v>29075</v>
      </c>
      <c r="E6185" s="5">
        <v>58500</v>
      </c>
      <c r="F6185" s="4">
        <v>0</v>
      </c>
      <c r="G6185" s="5">
        <v>250</v>
      </c>
      <c r="H6185" s="5">
        <v>18925</v>
      </c>
      <c r="I6185" s="118">
        <f t="shared" si="1289"/>
        <v>0.32350427350427352</v>
      </c>
      <c r="J6185" s="5">
        <v>124952</v>
      </c>
      <c r="K6185" s="22">
        <v>2295.5</v>
      </c>
      <c r="L6185" s="6">
        <v>2279.5</v>
      </c>
      <c r="M6185" s="125">
        <f t="shared" si="1284"/>
        <v>-16</v>
      </c>
      <c r="P6185" s="247">
        <v>15350</v>
      </c>
      <c r="Q6185" s="25">
        <f>176.78/1145</f>
        <v>0.15439301310043668</v>
      </c>
      <c r="W6185" s="285">
        <f t="shared" si="1291"/>
        <v>2369.9327510917033</v>
      </c>
      <c r="X6185" s="446">
        <f t="shared" si="1290"/>
        <v>6.6869962971030272</v>
      </c>
    </row>
    <row r="6186" spans="1:24" ht="15" customHeight="1">
      <c r="A6186" s="3">
        <v>44418</v>
      </c>
      <c r="B6186" s="4">
        <v>29425</v>
      </c>
      <c r="C6186" s="4">
        <v>0</v>
      </c>
      <c r="D6186" s="5">
        <v>28900</v>
      </c>
      <c r="E6186" s="5">
        <v>58325</v>
      </c>
      <c r="F6186" s="4">
        <v>0</v>
      </c>
      <c r="G6186" s="5">
        <v>175</v>
      </c>
      <c r="H6186" s="5">
        <v>19075</v>
      </c>
      <c r="I6186" s="118">
        <f t="shared" si="1289"/>
        <v>0.32704672096013715</v>
      </c>
      <c r="J6186" s="5">
        <v>123182</v>
      </c>
      <c r="K6186" s="22">
        <v>2319</v>
      </c>
      <c r="L6186" s="6">
        <v>2292.5</v>
      </c>
      <c r="M6186" s="125">
        <f t="shared" si="1284"/>
        <v>-26.5</v>
      </c>
      <c r="P6186" s="247">
        <v>15250</v>
      </c>
      <c r="Q6186" s="25">
        <f>177.15/1148.5</f>
        <v>0.15424466695690031</v>
      </c>
      <c r="W6186" s="285">
        <f t="shared" si="1291"/>
        <v>2352.2311710927297</v>
      </c>
      <c r="X6186" s="446">
        <f t="shared" si="1290"/>
        <v>6.5761103924105218</v>
      </c>
    </row>
    <row r="6187" spans="1:24" ht="15" customHeight="1">
      <c r="A6187" s="3">
        <v>44419</v>
      </c>
      <c r="B6187" s="4">
        <v>29425</v>
      </c>
      <c r="C6187" s="4">
        <v>0</v>
      </c>
      <c r="D6187" s="4">
        <v>28425</v>
      </c>
      <c r="E6187" s="4">
        <v>57850</v>
      </c>
      <c r="F6187" s="4">
        <v>0</v>
      </c>
      <c r="G6187" s="4">
        <v>475</v>
      </c>
      <c r="H6187" s="4">
        <v>18600</v>
      </c>
      <c r="I6187" s="118">
        <f t="shared" si="1289"/>
        <v>0.32152117545375974</v>
      </c>
      <c r="J6187" s="4">
        <v>124098</v>
      </c>
      <c r="K6187" s="22">
        <v>2350.5</v>
      </c>
      <c r="L6187" s="6">
        <v>2308.5</v>
      </c>
      <c r="M6187" s="125">
        <f t="shared" si="1284"/>
        <v>-42</v>
      </c>
      <c r="P6187" s="247">
        <v>15275</v>
      </c>
      <c r="Q6187" s="25">
        <f>178.03/1155</f>
        <v>0.15413852813852813</v>
      </c>
      <c r="W6187" s="285">
        <f t="shared" si="1291"/>
        <v>2354.4660173160173</v>
      </c>
      <c r="X6187" s="446">
        <f t="shared" si="1290"/>
        <v>6.498617315464795</v>
      </c>
    </row>
    <row r="6188" spans="1:24" ht="15" customHeight="1">
      <c r="A6188" s="3">
        <v>44420</v>
      </c>
      <c r="B6188" s="4">
        <v>29525</v>
      </c>
      <c r="C6188" s="4">
        <v>0</v>
      </c>
      <c r="D6188" s="4">
        <v>28225</v>
      </c>
      <c r="E6188" s="4">
        <v>57750</v>
      </c>
      <c r="F6188" s="4">
        <v>0</v>
      </c>
      <c r="G6188" s="4">
        <v>100</v>
      </c>
      <c r="H6188" s="4">
        <v>18400</v>
      </c>
      <c r="I6188" s="118">
        <f t="shared" si="1289"/>
        <v>0.31861471861471863</v>
      </c>
      <c r="J6188" s="4">
        <v>124368</v>
      </c>
      <c r="K6188" s="22">
        <v>2390</v>
      </c>
      <c r="L6188" s="6">
        <v>2338</v>
      </c>
      <c r="M6188" s="125">
        <f t="shared" si="1284"/>
        <v>-52</v>
      </c>
      <c r="N6188" s="247"/>
      <c r="O6188" s="247"/>
      <c r="P6188" s="247">
        <v>15300</v>
      </c>
      <c r="Q6188" s="25">
        <f>178.82/1158.9</f>
        <v>0.15430149279489169</v>
      </c>
      <c r="W6188" s="285">
        <f t="shared" si="1291"/>
        <v>2360.812839761843</v>
      </c>
      <c r="X6188" s="446">
        <f t="shared" si="1290"/>
        <v>6.4016736401673642</v>
      </c>
    </row>
    <row r="6189" spans="1:24" ht="15" customHeight="1">
      <c r="A6189" s="3">
        <v>44421</v>
      </c>
      <c r="B6189" s="4">
        <v>29525</v>
      </c>
      <c r="C6189" s="4">
        <v>0</v>
      </c>
      <c r="D6189" s="4">
        <v>28200</v>
      </c>
      <c r="E6189" s="4">
        <v>57725</v>
      </c>
      <c r="F6189" s="4">
        <v>0</v>
      </c>
      <c r="G6189" s="4">
        <v>25</v>
      </c>
      <c r="H6189" s="4">
        <v>18375</v>
      </c>
      <c r="I6189" s="118">
        <f t="shared" si="1289"/>
        <v>0.31831961888263316</v>
      </c>
      <c r="J6189" s="4">
        <v>124530</v>
      </c>
      <c r="K6189" s="22">
        <v>2448.5</v>
      </c>
      <c r="L6189" s="6">
        <v>2331.5</v>
      </c>
      <c r="M6189" s="125">
        <f t="shared" si="1284"/>
        <v>-117</v>
      </c>
      <c r="N6189" s="247"/>
      <c r="O6189" s="247"/>
      <c r="P6189" s="247">
        <v>15250</v>
      </c>
      <c r="Q6189" s="25">
        <f>178.82/1158.9</f>
        <v>0.15430149279489169</v>
      </c>
      <c r="W6189" s="285">
        <f t="shared" si="1291"/>
        <v>2353.0977651220983</v>
      </c>
      <c r="X6189" s="446">
        <f t="shared" si="1290"/>
        <v>6.2283030426791912</v>
      </c>
    </row>
    <row r="6190" spans="1:24" ht="15" customHeight="1">
      <c r="A6190" s="3">
        <v>44424</v>
      </c>
      <c r="B6190" s="4">
        <v>29525</v>
      </c>
      <c r="C6190" s="4">
        <v>0</v>
      </c>
      <c r="D6190" s="4">
        <v>28175</v>
      </c>
      <c r="E6190" s="4">
        <v>57700</v>
      </c>
      <c r="F6190" s="4">
        <v>0</v>
      </c>
      <c r="G6190" s="4">
        <v>25</v>
      </c>
      <c r="H6190" s="4">
        <v>18350</v>
      </c>
      <c r="I6190" s="118">
        <f t="shared" si="1289"/>
        <v>0.31802426343154244</v>
      </c>
      <c r="J6190" s="4">
        <v>123807</v>
      </c>
      <c r="K6190" s="22">
        <v>2419.5</v>
      </c>
      <c r="L6190" s="6">
        <v>2324.5</v>
      </c>
      <c r="M6190" s="125">
        <f t="shared" si="1284"/>
        <v>-95</v>
      </c>
      <c r="N6190" s="247"/>
      <c r="O6190" s="247"/>
      <c r="P6190" s="247">
        <v>15250</v>
      </c>
      <c r="Q6190" s="25">
        <f>180.19/1167.8</f>
        <v>0.15429868128104127</v>
      </c>
      <c r="W6190" s="285">
        <f t="shared" si="1291"/>
        <v>2353.0548895358793</v>
      </c>
      <c r="X6190" s="446">
        <f t="shared" si="1290"/>
        <v>6.3029551560239723</v>
      </c>
    </row>
    <row r="6191" spans="1:24" ht="15" customHeight="1">
      <c r="A6191" s="3">
        <v>44425</v>
      </c>
      <c r="B6191" s="4">
        <v>29525</v>
      </c>
      <c r="C6191" s="4">
        <v>0</v>
      </c>
      <c r="D6191" s="4">
        <v>27850</v>
      </c>
      <c r="E6191" s="4">
        <v>57375</v>
      </c>
      <c r="F6191" s="4">
        <v>0</v>
      </c>
      <c r="G6191" s="4">
        <v>325</v>
      </c>
      <c r="H6191" s="4">
        <v>18025</v>
      </c>
      <c r="I6191" s="118">
        <f t="shared" si="1289"/>
        <v>0.314161220043573</v>
      </c>
      <c r="J6191" s="4">
        <v>123452</v>
      </c>
      <c r="K6191" s="22">
        <v>2428</v>
      </c>
      <c r="L6191" s="6">
        <v>2313</v>
      </c>
      <c r="M6191" s="125">
        <f t="shared" si="1284"/>
        <v>-115</v>
      </c>
      <c r="N6191" s="247"/>
      <c r="O6191" s="247"/>
      <c r="P6191" s="247">
        <v>15275</v>
      </c>
      <c r="Q6191" s="25">
        <f>181.57/1174.9</f>
        <v>0.15454081198399863</v>
      </c>
      <c r="W6191" s="285">
        <f t="shared" si="1291"/>
        <v>2360.610903055579</v>
      </c>
      <c r="X6191" s="446">
        <f t="shared" si="1290"/>
        <v>6.2911861614497528</v>
      </c>
    </row>
    <row r="6192" spans="1:24" ht="15" customHeight="1">
      <c r="A6192" s="3">
        <v>44426</v>
      </c>
      <c r="B6192" s="4">
        <v>29525</v>
      </c>
      <c r="C6192" s="4">
        <v>0</v>
      </c>
      <c r="D6192" s="4">
        <v>27925</v>
      </c>
      <c r="E6192" s="4">
        <v>57450</v>
      </c>
      <c r="F6192" s="4">
        <v>75</v>
      </c>
      <c r="G6192" s="4">
        <v>0</v>
      </c>
      <c r="H6192" s="4">
        <v>17300</v>
      </c>
      <c r="I6192" s="118">
        <f t="shared" si="1289"/>
        <v>0.30113141862489123</v>
      </c>
      <c r="J6192" s="4">
        <v>121704</v>
      </c>
      <c r="K6192" s="22">
        <v>2504</v>
      </c>
      <c r="L6192" s="6">
        <v>2308</v>
      </c>
      <c r="M6192" s="125">
        <f t="shared" si="1284"/>
        <v>-196</v>
      </c>
      <c r="N6192" s="247"/>
      <c r="O6192" s="247"/>
      <c r="P6192" s="247">
        <v>15200</v>
      </c>
      <c r="Q6192" s="25">
        <f>180.42/1172.7</f>
        <v>0.15385008953696597</v>
      </c>
      <c r="W6192" s="285">
        <f t="shared" si="1291"/>
        <v>2338.5213609618827</v>
      </c>
      <c r="X6192" s="446">
        <f t="shared" si="1290"/>
        <v>6.0702875399361025</v>
      </c>
    </row>
    <row r="6193" spans="1:24" ht="15" customHeight="1">
      <c r="A6193" s="3">
        <v>44427</v>
      </c>
      <c r="B6193" s="4">
        <v>29525</v>
      </c>
      <c r="C6193" s="4">
        <v>0</v>
      </c>
      <c r="D6193" s="4">
        <v>27525</v>
      </c>
      <c r="E6193" s="5">
        <v>57050</v>
      </c>
      <c r="F6193" s="4">
        <v>0</v>
      </c>
      <c r="G6193" s="4">
        <v>400</v>
      </c>
      <c r="H6193" s="5">
        <v>16900</v>
      </c>
      <c r="I6193" s="118">
        <f t="shared" si="1289"/>
        <v>0.29623137598597721</v>
      </c>
      <c r="J6193" s="4">
        <v>121022</v>
      </c>
      <c r="K6193" s="22">
        <v>2491</v>
      </c>
      <c r="L6193" s="6">
        <v>2278.5</v>
      </c>
      <c r="M6193" s="125">
        <f t="shared" ref="M6193:M6243" si="1292">L6193-K6193</f>
        <v>-212.5</v>
      </c>
      <c r="P6193" s="247">
        <v>15300</v>
      </c>
      <c r="Q6193" s="25">
        <f>180.77/1174.5</f>
        <v>0.15391230310770543</v>
      </c>
      <c r="W6193" s="285">
        <f t="shared" si="1291"/>
        <v>2354.8582375478932</v>
      </c>
      <c r="X6193" s="446">
        <f t="shared" si="1290"/>
        <v>6.1421116017663593</v>
      </c>
    </row>
    <row r="6194" spans="1:24" ht="15" customHeight="1">
      <c r="A6194" s="3">
        <v>44428</v>
      </c>
      <c r="B6194" s="4">
        <v>29525</v>
      </c>
      <c r="C6194" s="4">
        <v>0</v>
      </c>
      <c r="D6194" s="4">
        <v>27525</v>
      </c>
      <c r="E6194" s="5">
        <v>57050</v>
      </c>
      <c r="F6194" s="4">
        <v>0</v>
      </c>
      <c r="G6194" s="4">
        <v>0</v>
      </c>
      <c r="H6194" s="5">
        <v>16900</v>
      </c>
      <c r="I6194" s="118">
        <f t="shared" si="1289"/>
        <v>0.29623137598597721</v>
      </c>
      <c r="J6194" s="4">
        <v>120727</v>
      </c>
      <c r="K6194" s="22">
        <v>2467.5</v>
      </c>
      <c r="L6194" s="6">
        <v>2261</v>
      </c>
      <c r="M6194" s="125">
        <f t="shared" si="1292"/>
        <v>-206.5</v>
      </c>
      <c r="P6194" s="247">
        <v>15100</v>
      </c>
      <c r="Q6194" s="25">
        <f>181.04/1176.7</f>
        <v>0.15385399847029829</v>
      </c>
      <c r="W6194" s="285">
        <f t="shared" si="1291"/>
        <v>2323.195376901504</v>
      </c>
      <c r="X6194" s="446">
        <f t="shared" si="1290"/>
        <v>6.119554204660588</v>
      </c>
    </row>
    <row r="6195" spans="1:24" ht="15" customHeight="1">
      <c r="A6195" s="3">
        <v>44431</v>
      </c>
      <c r="B6195" s="4">
        <v>29525</v>
      </c>
      <c r="C6195" s="4">
        <v>0</v>
      </c>
      <c r="D6195" s="4">
        <v>27500</v>
      </c>
      <c r="E6195" s="4">
        <v>57025</v>
      </c>
      <c r="F6195" s="4">
        <v>0</v>
      </c>
      <c r="G6195" s="4">
        <v>25</v>
      </c>
      <c r="H6195" s="4">
        <v>16725</v>
      </c>
      <c r="I6195" s="118">
        <f t="shared" si="1289"/>
        <v>0.29329241560718983</v>
      </c>
      <c r="J6195" s="4">
        <v>120610</v>
      </c>
      <c r="K6195" s="22">
        <v>2473.5</v>
      </c>
      <c r="L6195" s="6">
        <v>2289</v>
      </c>
      <c r="M6195" s="125">
        <f t="shared" si="1292"/>
        <v>-184.5</v>
      </c>
      <c r="P6195" s="247">
        <v>15275</v>
      </c>
      <c r="Q6195" s="25">
        <f>180.71/1174</f>
        <v>0.1539267461669506</v>
      </c>
      <c r="W6195" s="285">
        <f t="shared" si="1291"/>
        <v>2351.2310477001702</v>
      </c>
      <c r="X6195" s="446">
        <f t="shared" si="1290"/>
        <v>6.1754598746715184</v>
      </c>
    </row>
    <row r="6196" spans="1:24" ht="15" customHeight="1">
      <c r="A6196" s="3">
        <v>44432</v>
      </c>
      <c r="B6196" s="4">
        <v>29525</v>
      </c>
      <c r="C6196" s="4">
        <v>0</v>
      </c>
      <c r="D6196" s="4">
        <v>27500</v>
      </c>
      <c r="E6196" s="4">
        <v>57025</v>
      </c>
      <c r="F6196" s="4">
        <v>0</v>
      </c>
      <c r="G6196" s="4">
        <v>0</v>
      </c>
      <c r="H6196" s="4">
        <v>16475</v>
      </c>
      <c r="I6196" s="118">
        <f t="shared" si="1289"/>
        <v>0.28890837352038579</v>
      </c>
      <c r="J6196" s="4">
        <v>120311</v>
      </c>
      <c r="K6196" s="22">
        <v>2451.5</v>
      </c>
      <c r="L6196" s="6">
        <v>2284</v>
      </c>
      <c r="M6196" s="125">
        <f t="shared" si="1292"/>
        <v>-167.5</v>
      </c>
      <c r="P6196" s="247">
        <v>15350</v>
      </c>
      <c r="Q6196" s="25">
        <f>180.02 /1168</f>
        <v>0.15412671232876712</v>
      </c>
      <c r="W6196" s="285">
        <f t="shared" si="1291"/>
        <v>2365.8450342465753</v>
      </c>
      <c r="X6196" s="446">
        <f t="shared" si="1290"/>
        <v>6.2614725678156233</v>
      </c>
    </row>
    <row r="6197" spans="1:24" ht="15" customHeight="1">
      <c r="A6197" s="3">
        <v>44433</v>
      </c>
      <c r="B6197" s="4">
        <v>29625</v>
      </c>
      <c r="C6197" s="4">
        <v>0</v>
      </c>
      <c r="D6197" s="4">
        <v>27400</v>
      </c>
      <c r="E6197" s="4">
        <v>57025</v>
      </c>
      <c r="F6197" s="4">
        <v>0</v>
      </c>
      <c r="G6197" s="4">
        <v>0</v>
      </c>
      <c r="H6197" s="4">
        <v>16675</v>
      </c>
      <c r="I6197" s="118">
        <f t="shared" si="1289"/>
        <v>0.29241560718982901</v>
      </c>
      <c r="J6197" s="4">
        <v>121056</v>
      </c>
      <c r="K6197" s="22">
        <v>2480</v>
      </c>
      <c r="L6197" s="6">
        <v>2328.5</v>
      </c>
      <c r="M6197" s="125">
        <f t="shared" si="1292"/>
        <v>-151.5</v>
      </c>
      <c r="P6197" s="247">
        <v>15325</v>
      </c>
      <c r="Q6197" s="25">
        <f>180.2 /1166.5</f>
        <v>0.15447921131590225</v>
      </c>
      <c r="W6197" s="285">
        <f>(P6197*Q6197)*(1+U6197)</f>
        <v>2367.3939134162019</v>
      </c>
      <c r="X6197" s="446">
        <f t="shared" si="1290"/>
        <v>6.179435483870968</v>
      </c>
    </row>
    <row r="6198" spans="1:24" ht="15" customHeight="1">
      <c r="A6198" s="3">
        <v>44434</v>
      </c>
      <c r="B6198" s="4">
        <v>29725</v>
      </c>
      <c r="C6198" s="4">
        <v>0</v>
      </c>
      <c r="D6198" s="4">
        <v>27000</v>
      </c>
      <c r="E6198" s="4">
        <v>56725</v>
      </c>
      <c r="F6198" s="4">
        <v>0</v>
      </c>
      <c r="G6198" s="4">
        <v>300</v>
      </c>
      <c r="H6198" s="4">
        <v>16275</v>
      </c>
      <c r="I6198" s="118">
        <f t="shared" si="1289"/>
        <v>0.28691053327457028</v>
      </c>
      <c r="J6198" s="4">
        <v>121173</v>
      </c>
      <c r="K6198" s="22">
        <v>2433.5</v>
      </c>
      <c r="L6198" s="6">
        <v>2285</v>
      </c>
      <c r="M6198" s="125">
        <f t="shared" si="1292"/>
        <v>-148.5</v>
      </c>
      <c r="P6198" s="247">
        <v>15350</v>
      </c>
      <c r="Q6198" s="25">
        <f>180.56 /1168.1</f>
        <v>0.15457580686585054</v>
      </c>
      <c r="W6198" s="285">
        <f>(P6198*Q6198)*(1+U6198)</f>
        <v>2372.7386353908059</v>
      </c>
      <c r="X6198" s="446">
        <f t="shared" si="1290"/>
        <v>6.307787137867269</v>
      </c>
    </row>
    <row r="6199" spans="1:24" ht="15" customHeight="1">
      <c r="A6199" s="3">
        <v>44435</v>
      </c>
      <c r="B6199" s="4">
        <v>29875</v>
      </c>
      <c r="C6199" s="4">
        <v>0</v>
      </c>
      <c r="D6199" s="4">
        <v>25575</v>
      </c>
      <c r="E6199" s="4">
        <v>55450</v>
      </c>
      <c r="F6199" s="4">
        <v>0</v>
      </c>
      <c r="G6199" s="4">
        <v>1275</v>
      </c>
      <c r="H6199" s="4">
        <v>14800</v>
      </c>
      <c r="I6199" s="118">
        <f t="shared" si="1289"/>
        <v>0.26690712353471596</v>
      </c>
      <c r="J6199" s="4">
        <v>120861</v>
      </c>
      <c r="K6199" s="22">
        <v>2459.5</v>
      </c>
      <c r="L6199" s="6">
        <v>2308.5</v>
      </c>
      <c r="M6199" s="125">
        <f t="shared" si="1292"/>
        <v>-151</v>
      </c>
      <c r="P6199" s="247">
        <v>15250</v>
      </c>
      <c r="Q6199" s="25">
        <f>180.5 /1170.8</f>
        <v>0.15416809019473865</v>
      </c>
      <c r="W6199" s="285">
        <f>(P6199*Q6199)*(1+U6199)</f>
        <v>2351.0633754697642</v>
      </c>
      <c r="X6199" s="446">
        <f t="shared" si="1290"/>
        <v>6.2004472453750763</v>
      </c>
    </row>
    <row r="6200" spans="1:24" ht="15" customHeight="1">
      <c r="A6200" s="3">
        <v>44438</v>
      </c>
      <c r="B6200" s="1318" t="s">
        <v>61</v>
      </c>
      <c r="C6200" s="1332"/>
      <c r="D6200" s="1332"/>
      <c r="E6200" s="1332"/>
      <c r="F6200" s="1332"/>
      <c r="G6200" s="1332"/>
      <c r="H6200" s="1332"/>
      <c r="I6200" s="1332"/>
      <c r="J6200" s="1332"/>
      <c r="K6200" s="1332"/>
      <c r="L6200" s="1332"/>
      <c r="M6200" s="1332"/>
      <c r="P6200" s="247">
        <v>15125</v>
      </c>
      <c r="Q6200" s="25">
        <f>180.09/1164.4</f>
        <v>0.15466334592923392</v>
      </c>
      <c r="W6200" s="285">
        <f>(P6200*Q6200)*(1+U6200)</f>
        <v>2339.2831071796631</v>
      </c>
      <c r="X6200" s="446"/>
    </row>
    <row r="6201" spans="1:24" ht="15" customHeight="1">
      <c r="A6201" s="3">
        <v>44439</v>
      </c>
      <c r="B6201" s="4">
        <v>30075</v>
      </c>
      <c r="C6201" s="4">
        <v>0</v>
      </c>
      <c r="D6201" s="4">
        <v>22925</v>
      </c>
      <c r="E6201" s="4">
        <v>53000</v>
      </c>
      <c r="F6201" s="4">
        <v>0</v>
      </c>
      <c r="G6201" s="4">
        <v>2450</v>
      </c>
      <c r="H6201" s="4">
        <v>11750</v>
      </c>
      <c r="I6201" s="118">
        <f t="shared" si="1289"/>
        <v>0.22169811320754718</v>
      </c>
      <c r="J6201" s="4">
        <v>119520</v>
      </c>
      <c r="K6201" s="22">
        <v>2435</v>
      </c>
      <c r="L6201" s="6">
        <v>2278</v>
      </c>
      <c r="M6201" s="125">
        <f t="shared" si="1292"/>
        <v>-157</v>
      </c>
      <c r="N6201" s="425">
        <f>AVERAGE($K$6180:K6201)</f>
        <v>2428.5238095238096</v>
      </c>
      <c r="O6201" s="395">
        <f>AVERAGE($K$6023:K6201)</f>
        <v>2151.7365269461079</v>
      </c>
      <c r="P6201" s="247">
        <v>14950</v>
      </c>
      <c r="Q6201" s="25">
        <f>179.97 /1162.8</f>
        <v>0.15477296181630548</v>
      </c>
      <c r="W6201" s="285">
        <f>(P6201*Q6201)*(1+U6201)</f>
        <v>2313.8557791537669</v>
      </c>
      <c r="X6201" s="446">
        <f t="shared" si="1290"/>
        <v>6.1396303901437372</v>
      </c>
    </row>
    <row r="6202" spans="1:24" ht="15" customHeight="1" thickBot="1">
      <c r="A6202" s="394"/>
      <c r="B6202" s="394"/>
      <c r="C6202" s="394"/>
      <c r="D6202" s="394"/>
      <c r="E6202" s="216"/>
      <c r="F6202" s="407"/>
      <c r="G6202" s="164"/>
      <c r="H6202" s="164"/>
      <c r="I6202" s="166"/>
      <c r="J6202" s="166"/>
      <c r="K6202" s="166"/>
      <c r="L6202" s="167"/>
      <c r="M6202" s="167"/>
      <c r="N6202" s="167"/>
      <c r="O6202" s="167"/>
      <c r="P6202" s="180"/>
      <c r="Q6202" s="154"/>
      <c r="R6202" s="248"/>
      <c r="S6202" s="249"/>
      <c r="T6202" s="249"/>
      <c r="U6202" s="152"/>
      <c r="V6202" s="153">
        <f>AVERAGE(P6180:P6201)</f>
        <v>15339.772727272728</v>
      </c>
      <c r="W6202" s="154"/>
      <c r="X6202" s="447">
        <f>V6202/N6201</f>
        <v>6.3165008583055995</v>
      </c>
    </row>
    <row r="6203" spans="1:24" ht="15" customHeight="1">
      <c r="A6203" s="3">
        <v>44440</v>
      </c>
      <c r="B6203" s="4">
        <v>30075</v>
      </c>
      <c r="C6203" s="4">
        <v>0</v>
      </c>
      <c r="D6203" s="4">
        <v>22175</v>
      </c>
      <c r="E6203" s="4">
        <v>52250</v>
      </c>
      <c r="F6203" s="4">
        <v>0</v>
      </c>
      <c r="G6203" s="4">
        <v>750</v>
      </c>
      <c r="H6203" s="4">
        <v>11000</v>
      </c>
      <c r="I6203" s="118">
        <f t="shared" si="1289"/>
        <v>0.21052631578947367</v>
      </c>
      <c r="J6203" s="4">
        <v>118861</v>
      </c>
      <c r="K6203" s="22">
        <v>2400</v>
      </c>
      <c r="L6203" s="6">
        <v>2275</v>
      </c>
      <c r="M6203" s="125">
        <f t="shared" si="1292"/>
        <v>-125</v>
      </c>
      <c r="P6203" s="247">
        <v>14800</v>
      </c>
      <c r="Q6203" s="25">
        <f>179.17/1157.5</f>
        <v>0.15479049676025916</v>
      </c>
      <c r="W6203" s="285">
        <f t="shared" ref="W6203:W6251" si="1293">(P6203*Q6203)*(1+U6203)</f>
        <v>2290.8993520518356</v>
      </c>
      <c r="X6203" s="446">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18">
        <f t="shared" si="1289"/>
        <v>0.20901246404602108</v>
      </c>
      <c r="J6204" s="4">
        <v>117261</v>
      </c>
      <c r="K6204" s="22">
        <v>2391.5</v>
      </c>
      <c r="L6204" s="6">
        <v>2288.5</v>
      </c>
      <c r="M6204" s="125">
        <f t="shared" si="1292"/>
        <v>-103</v>
      </c>
      <c r="P6204" s="247">
        <v>14825</v>
      </c>
      <c r="Q6204" s="25">
        <f>179.72/1159.7</f>
        <v>0.15497111321893592</v>
      </c>
      <c r="W6204" s="285">
        <f t="shared" si="1293"/>
        <v>2297.4467534707251</v>
      </c>
      <c r="X6204" s="446">
        <f t="shared" si="1294"/>
        <v>6.1990382605059589</v>
      </c>
    </row>
    <row r="6205" spans="1:24" ht="15" customHeight="1">
      <c r="A6205" s="3">
        <v>44442</v>
      </c>
      <c r="B6205" s="4">
        <v>30375</v>
      </c>
      <c r="C6205" s="4">
        <v>0</v>
      </c>
      <c r="D6205" s="4">
        <v>22175</v>
      </c>
      <c r="E6205" s="4">
        <v>52550</v>
      </c>
      <c r="F6205" s="4">
        <v>0</v>
      </c>
      <c r="G6205" s="4">
        <v>400</v>
      </c>
      <c r="H6205" s="4">
        <v>10825</v>
      </c>
      <c r="I6205" s="118">
        <f t="shared" si="1289"/>
        <v>0.20599429115128448</v>
      </c>
      <c r="J6205" s="4">
        <v>118858</v>
      </c>
      <c r="K6205" s="22">
        <v>2383</v>
      </c>
      <c r="L6205" s="6">
        <v>2290.5</v>
      </c>
      <c r="M6205" s="125">
        <f t="shared" si="1292"/>
        <v>-92.5</v>
      </c>
      <c r="P6205" s="247">
        <v>14825</v>
      </c>
      <c r="Q6205" s="25">
        <f>179.19 /1156.4</f>
        <v>0.15495503286060186</v>
      </c>
      <c r="W6205" s="285">
        <f t="shared" si="1293"/>
        <v>2297.2083621584225</v>
      </c>
      <c r="X6205" s="446">
        <f t="shared" si="1294"/>
        <v>6.2211498111624</v>
      </c>
    </row>
    <row r="6206" spans="1:24" ht="15" customHeight="1">
      <c r="A6206" s="3">
        <v>44445</v>
      </c>
      <c r="B6206" s="4">
        <v>30775</v>
      </c>
      <c r="C6206" s="4">
        <v>0</v>
      </c>
      <c r="D6206" s="4">
        <v>21800</v>
      </c>
      <c r="E6206" s="4">
        <v>52575</v>
      </c>
      <c r="F6206" s="4">
        <v>25</v>
      </c>
      <c r="G6206" s="4">
        <v>0</v>
      </c>
      <c r="H6206" s="4">
        <v>10450</v>
      </c>
      <c r="I6206" s="118">
        <f t="shared" si="1289"/>
        <v>0.19876367094626723</v>
      </c>
      <c r="J6206" s="4">
        <v>119339</v>
      </c>
      <c r="K6206" s="22">
        <v>2374</v>
      </c>
      <c r="L6206" s="6">
        <v>2273</v>
      </c>
      <c r="M6206" s="125">
        <f t="shared" si="1292"/>
        <v>-101</v>
      </c>
      <c r="P6206" s="247">
        <v>14900</v>
      </c>
      <c r="Q6206" s="25">
        <f>179.49/1157.3</f>
        <v>0.15509375270025061</v>
      </c>
      <c r="W6206" s="285">
        <f t="shared" si="1293"/>
        <v>2310.896915233734</v>
      </c>
      <c r="X6206" s="446">
        <f t="shared" si="1294"/>
        <v>6.2763268744734626</v>
      </c>
    </row>
    <row r="6207" spans="1:24" ht="15" customHeight="1">
      <c r="A6207" s="3">
        <v>44446</v>
      </c>
      <c r="B6207" s="4">
        <v>30775</v>
      </c>
      <c r="C6207" s="4">
        <v>0</v>
      </c>
      <c r="D6207" s="4">
        <v>21700</v>
      </c>
      <c r="E6207" s="4">
        <v>52475</v>
      </c>
      <c r="F6207" s="4">
        <v>0</v>
      </c>
      <c r="G6207" s="4">
        <v>100</v>
      </c>
      <c r="H6207" s="4">
        <v>10350</v>
      </c>
      <c r="I6207" s="118">
        <f t="shared" si="1289"/>
        <v>0.19723677941877085</v>
      </c>
      <c r="J6207" s="4">
        <v>117931</v>
      </c>
      <c r="K6207" s="22">
        <v>2348</v>
      </c>
      <c r="L6207" s="6">
        <v>2274.5</v>
      </c>
      <c r="M6207" s="125">
        <f t="shared" si="1292"/>
        <v>-73.5</v>
      </c>
      <c r="P6207" s="247">
        <v>14725</v>
      </c>
      <c r="Q6207" s="25">
        <f>179.46 /1157.9</f>
        <v>0.15498747732964849</v>
      </c>
      <c r="W6207" s="285">
        <f t="shared" si="1293"/>
        <v>2282.1906036790738</v>
      </c>
      <c r="X6207" s="446">
        <f t="shared" si="1294"/>
        <v>6.2712947189097106</v>
      </c>
    </row>
    <row r="6208" spans="1:24" ht="15" customHeight="1">
      <c r="A6208" s="3">
        <v>44447</v>
      </c>
      <c r="B6208" s="4">
        <v>30775</v>
      </c>
      <c r="C6208" s="4">
        <v>0</v>
      </c>
      <c r="D6208" s="4">
        <v>21600</v>
      </c>
      <c r="E6208" s="4">
        <v>52375</v>
      </c>
      <c r="F6208" s="4">
        <v>0</v>
      </c>
      <c r="G6208" s="4">
        <v>100</v>
      </c>
      <c r="H6208" s="4">
        <v>14750</v>
      </c>
      <c r="I6208" s="118">
        <f t="shared" si="1289"/>
        <v>0.28162291169451076</v>
      </c>
      <c r="J6208" s="4">
        <v>117981</v>
      </c>
      <c r="K6208" s="22">
        <v>2340</v>
      </c>
      <c r="L6208" s="6">
        <v>2280</v>
      </c>
      <c r="M6208" s="125">
        <f t="shared" si="1292"/>
        <v>-60</v>
      </c>
      <c r="P6208" s="247">
        <v>14725</v>
      </c>
      <c r="Q6208" s="25">
        <f>180.19/1164.5</f>
        <v>0.15473593817088879</v>
      </c>
      <c r="W6208" s="285">
        <f t="shared" si="1293"/>
        <v>2278.4866895663376</v>
      </c>
      <c r="X6208" s="446">
        <f t="shared" si="1294"/>
        <v>6.2927350427350426</v>
      </c>
    </row>
    <row r="6209" spans="1:24" ht="15" customHeight="1">
      <c r="A6209" s="3">
        <v>44448</v>
      </c>
      <c r="B6209" s="4">
        <v>30875</v>
      </c>
      <c r="C6209" s="4">
        <v>0</v>
      </c>
      <c r="D6209" s="4">
        <v>21450</v>
      </c>
      <c r="E6209" s="4">
        <v>52325</v>
      </c>
      <c r="F6209" s="4">
        <v>0</v>
      </c>
      <c r="G6209" s="4">
        <v>50</v>
      </c>
      <c r="H6209" s="4">
        <v>15475</v>
      </c>
      <c r="I6209" s="118">
        <f t="shared" si="1289"/>
        <v>0.2957477305303392</v>
      </c>
      <c r="J6209" s="4">
        <v>119623</v>
      </c>
      <c r="K6209" s="22">
        <v>2324</v>
      </c>
      <c r="L6209" s="6">
        <v>2280</v>
      </c>
      <c r="M6209" s="125">
        <f t="shared" si="1292"/>
        <v>-44</v>
      </c>
      <c r="P6209" s="247">
        <v>14900</v>
      </c>
      <c r="Q6209" s="25">
        <f>181.16/1170.1</f>
        <v>0.15482437398512949</v>
      </c>
      <c r="W6209" s="285">
        <f t="shared" si="1293"/>
        <v>2306.8831723784297</v>
      </c>
      <c r="X6209" s="446">
        <f t="shared" si="1294"/>
        <v>6.411359724612737</v>
      </c>
    </row>
    <row r="6210" spans="1:24" ht="15" customHeight="1">
      <c r="A6210" s="3">
        <v>44449</v>
      </c>
      <c r="B6210" s="4">
        <v>30925</v>
      </c>
      <c r="C6210" s="4">
        <v>0</v>
      </c>
      <c r="D6210" s="4">
        <v>21375</v>
      </c>
      <c r="E6210" s="4">
        <v>52300</v>
      </c>
      <c r="F6210" s="4">
        <v>0</v>
      </c>
      <c r="G6210" s="4">
        <v>25</v>
      </c>
      <c r="H6210" s="4">
        <v>15400</v>
      </c>
      <c r="I6210" s="118">
        <f t="shared" si="1289"/>
        <v>0.29445506692160611</v>
      </c>
      <c r="J6210" s="4">
        <v>123462</v>
      </c>
      <c r="K6210" s="22">
        <v>2368</v>
      </c>
      <c r="L6210" s="6">
        <v>2325</v>
      </c>
      <c r="M6210" s="125">
        <f t="shared" si="1292"/>
        <v>-43</v>
      </c>
      <c r="P6210" s="247">
        <v>14950</v>
      </c>
      <c r="Q6210" s="25">
        <f t="shared" ref="Q6210" si="1295">181.16/1170.1</f>
        <v>0.15482437398512949</v>
      </c>
      <c r="W6210" s="285">
        <f t="shared" si="1293"/>
        <v>2314.6243910776861</v>
      </c>
      <c r="X6210" s="446">
        <f t="shared" si="1294"/>
        <v>6.3133445945945947</v>
      </c>
    </row>
    <row r="6211" spans="1:24" ht="15" customHeight="1">
      <c r="A6211" s="3">
        <v>44452</v>
      </c>
      <c r="B6211" s="4">
        <v>31175</v>
      </c>
      <c r="C6211" s="4">
        <v>0</v>
      </c>
      <c r="D6211" s="4">
        <v>21300</v>
      </c>
      <c r="E6211" s="4">
        <v>52475</v>
      </c>
      <c r="F6211" s="4">
        <v>175</v>
      </c>
      <c r="G6211" s="4">
        <v>0</v>
      </c>
      <c r="H6211" s="4">
        <v>15325</v>
      </c>
      <c r="I6211" s="118">
        <f t="shared" si="1289"/>
        <v>0.29204383039542642</v>
      </c>
      <c r="J6211" s="4">
        <v>123129</v>
      </c>
      <c r="K6211" s="22">
        <v>2299</v>
      </c>
      <c r="L6211" s="6">
        <v>2286</v>
      </c>
      <c r="M6211" s="125">
        <f t="shared" si="1292"/>
        <v>-13</v>
      </c>
      <c r="P6211" s="247">
        <v>14950</v>
      </c>
      <c r="Q6211" s="25">
        <f>182.19/1174.3</f>
        <v>0.15514774759431152</v>
      </c>
      <c r="W6211" s="285">
        <f t="shared" si="1293"/>
        <v>2319.4588265349571</v>
      </c>
      <c r="X6211" s="446">
        <f t="shared" si="1294"/>
        <v>6.5028273162244457</v>
      </c>
    </row>
    <row r="6212" spans="1:24" ht="15" customHeight="1">
      <c r="A6212" s="3">
        <v>44453</v>
      </c>
      <c r="B6212" s="4">
        <v>31450</v>
      </c>
      <c r="C6212" s="4">
        <v>0</v>
      </c>
      <c r="D6212" s="4">
        <v>21275</v>
      </c>
      <c r="E6212" s="4">
        <v>52725</v>
      </c>
      <c r="F6212" s="4">
        <v>250</v>
      </c>
      <c r="G6212" s="4">
        <v>0</v>
      </c>
      <c r="H6212" s="4">
        <v>15300</v>
      </c>
      <c r="I6212" s="118">
        <f t="shared" si="1289"/>
        <v>0.29018492176386912</v>
      </c>
      <c r="J6212" s="4">
        <v>121903</v>
      </c>
      <c r="K6212" s="22">
        <v>2272</v>
      </c>
      <c r="L6212" s="6">
        <v>2267</v>
      </c>
      <c r="M6212" s="125">
        <f t="shared" si="1292"/>
        <v>-5</v>
      </c>
      <c r="P6212" s="247">
        <v>14850</v>
      </c>
      <c r="Q6212" s="25">
        <f>181.94/1172.2</f>
        <v>0.15521242108855143</v>
      </c>
      <c r="W6212" s="285">
        <f t="shared" si="1293"/>
        <v>2304.9044531649888</v>
      </c>
      <c r="X6212" s="446">
        <f t="shared" si="1294"/>
        <v>6.536091549295775</v>
      </c>
    </row>
    <row r="6213" spans="1:24" ht="15" customHeight="1">
      <c r="A6213" s="3">
        <v>44454</v>
      </c>
      <c r="B6213" s="4">
        <v>31450</v>
      </c>
      <c r="C6213" s="4">
        <v>0</v>
      </c>
      <c r="D6213" s="4">
        <v>21275</v>
      </c>
      <c r="E6213" s="4">
        <v>52725</v>
      </c>
      <c r="F6213" s="4">
        <v>0</v>
      </c>
      <c r="G6213" s="4">
        <v>0</v>
      </c>
      <c r="H6213" s="4">
        <v>15300</v>
      </c>
      <c r="I6213" s="118">
        <f t="shared" si="1289"/>
        <v>0.29018492176386912</v>
      </c>
      <c r="J6213" s="4">
        <v>122070</v>
      </c>
      <c r="K6213" s="22">
        <v>2234.5</v>
      </c>
      <c r="L6213" s="6">
        <v>2227</v>
      </c>
      <c r="M6213" s="125">
        <f t="shared" si="1292"/>
        <v>-7.5</v>
      </c>
      <c r="P6213" s="247">
        <v>14650</v>
      </c>
      <c r="Q6213" s="25">
        <f>181.93/1171.7</f>
        <v>0.15527012033797047</v>
      </c>
      <c r="W6213" s="285">
        <f t="shared" si="1293"/>
        <v>2274.7072629512672</v>
      </c>
      <c r="X6213" s="446">
        <f t="shared" si="1294"/>
        <v>6.5562765719400309</v>
      </c>
    </row>
    <row r="6214" spans="1:24" ht="15" customHeight="1">
      <c r="A6214" s="3">
        <v>44455</v>
      </c>
      <c r="B6214" s="4">
        <v>31475</v>
      </c>
      <c r="C6214" s="4">
        <v>0</v>
      </c>
      <c r="D6214" s="4">
        <v>21425</v>
      </c>
      <c r="E6214" s="4">
        <v>52900</v>
      </c>
      <c r="F6214" s="4">
        <v>175</v>
      </c>
      <c r="G6214" s="4">
        <v>0</v>
      </c>
      <c r="H6214" s="4">
        <v>19150</v>
      </c>
      <c r="I6214" s="118">
        <f t="shared" si="1289"/>
        <v>0.3620037807183365</v>
      </c>
      <c r="J6214" s="4">
        <v>121068</v>
      </c>
      <c r="K6214" s="22">
        <v>2247.5</v>
      </c>
      <c r="L6214" s="6">
        <v>2248</v>
      </c>
      <c r="M6214" s="125">
        <f t="shared" si="1292"/>
        <v>0.5</v>
      </c>
      <c r="P6214" s="247">
        <v>14650</v>
      </c>
      <c r="Q6214" s="25">
        <f>181.9/1169.1</f>
        <v>0.15558976990847662</v>
      </c>
      <c r="W6214" s="285">
        <f t="shared" si="1293"/>
        <v>2279.3901291591824</v>
      </c>
      <c r="X6214" s="446">
        <f t="shared" si="1294"/>
        <v>6.5183537263626254</v>
      </c>
    </row>
    <row r="6215" spans="1:24" ht="15" customHeight="1">
      <c r="A6215" s="3">
        <v>44456</v>
      </c>
      <c r="B6215" s="4">
        <v>31475</v>
      </c>
      <c r="C6215" s="4">
        <v>0</v>
      </c>
      <c r="D6215" s="4">
        <v>21350</v>
      </c>
      <c r="E6215" s="4">
        <v>52825</v>
      </c>
      <c r="F6215" s="4">
        <v>0</v>
      </c>
      <c r="G6215" s="4">
        <v>75</v>
      </c>
      <c r="H6215" s="4">
        <v>19075</v>
      </c>
      <c r="I6215" s="118">
        <f t="shared" si="1289"/>
        <v>0.36109796497870328</v>
      </c>
      <c r="J6215" s="4">
        <v>122167</v>
      </c>
      <c r="K6215" s="22">
        <v>2214</v>
      </c>
      <c r="L6215" s="6">
        <v>2206</v>
      </c>
      <c r="M6215" s="125">
        <f t="shared" si="1292"/>
        <v>-8</v>
      </c>
      <c r="P6215" s="247"/>
      <c r="Q6215" s="25">
        <f>181.9 /1169.1</f>
        <v>0.15558976990847662</v>
      </c>
      <c r="W6215" s="285">
        <f t="shared" si="1293"/>
        <v>0</v>
      </c>
      <c r="X6215" s="446">
        <f t="shared" si="1294"/>
        <v>0</v>
      </c>
    </row>
    <row r="6216" spans="1:24" ht="15" customHeight="1">
      <c r="A6216" s="3">
        <v>44459</v>
      </c>
      <c r="B6216" s="4">
        <v>31475</v>
      </c>
      <c r="C6216" s="4">
        <v>0</v>
      </c>
      <c r="D6216" s="4">
        <v>21275</v>
      </c>
      <c r="E6216" s="4">
        <v>52750</v>
      </c>
      <c r="F6216" s="4">
        <v>0</v>
      </c>
      <c r="G6216" s="4">
        <v>75</v>
      </c>
      <c r="H6216" s="4">
        <v>19000</v>
      </c>
      <c r="I6216" s="118">
        <f t="shared" si="1289"/>
        <v>0.36018957345971564</v>
      </c>
      <c r="J6216" s="4">
        <v>120955</v>
      </c>
      <c r="K6216" s="22">
        <v>2170</v>
      </c>
      <c r="L6216" s="6">
        <v>2167</v>
      </c>
      <c r="M6216" s="125">
        <f t="shared" si="1292"/>
        <v>-3</v>
      </c>
      <c r="P6216" s="247"/>
      <c r="Q6216" s="25">
        <f>181.9 /1169.1</f>
        <v>0.15558976990847662</v>
      </c>
      <c r="W6216" s="285">
        <f t="shared" si="1293"/>
        <v>0</v>
      </c>
      <c r="X6216" s="446">
        <f t="shared" si="1294"/>
        <v>0</v>
      </c>
    </row>
    <row r="6217" spans="1:24" ht="15" customHeight="1">
      <c r="A6217" s="3">
        <v>44460</v>
      </c>
      <c r="B6217" s="4">
        <v>31475</v>
      </c>
      <c r="C6217" s="4">
        <v>0</v>
      </c>
      <c r="D6217" s="4">
        <v>21200</v>
      </c>
      <c r="E6217" s="4">
        <v>52675</v>
      </c>
      <c r="F6217" s="4">
        <v>0</v>
      </c>
      <c r="G6217" s="4">
        <v>75</v>
      </c>
      <c r="H6217" s="4">
        <v>19225</v>
      </c>
      <c r="I6217" s="118">
        <f t="shared" si="1289"/>
        <v>0.36497389653535833</v>
      </c>
      <c r="J6217" s="4">
        <v>118214</v>
      </c>
      <c r="K6217" s="22">
        <v>2170</v>
      </c>
      <c r="L6217" s="6">
        <v>2170</v>
      </c>
      <c r="M6217" s="125">
        <f t="shared" si="1292"/>
        <v>0</v>
      </c>
      <c r="P6217" s="247"/>
      <c r="Q6217" s="25">
        <f>181.9/1169.1</f>
        <v>0.15558976990847662</v>
      </c>
      <c r="W6217" s="285">
        <f t="shared" si="1293"/>
        <v>0</v>
      </c>
      <c r="X6217" s="446">
        <f t="shared" si="1294"/>
        <v>0</v>
      </c>
    </row>
    <row r="6218" spans="1:24" ht="15" customHeight="1">
      <c r="A6218" s="3">
        <v>44461</v>
      </c>
      <c r="B6218" s="4">
        <v>31475</v>
      </c>
      <c r="C6218" s="4">
        <v>0</v>
      </c>
      <c r="D6218" s="4">
        <v>21175</v>
      </c>
      <c r="E6218" s="4">
        <v>52650</v>
      </c>
      <c r="F6218" s="4">
        <v>0</v>
      </c>
      <c r="G6218" s="4">
        <v>25</v>
      </c>
      <c r="H6218" s="4">
        <v>19200</v>
      </c>
      <c r="I6218" s="118">
        <f t="shared" si="1289"/>
        <v>0.36467236467236469</v>
      </c>
      <c r="J6218" s="4">
        <v>117287</v>
      </c>
      <c r="K6218" s="22">
        <v>2138</v>
      </c>
      <c r="L6218" s="6">
        <v>2123</v>
      </c>
      <c r="M6218" s="125">
        <f t="shared" si="1292"/>
        <v>-15</v>
      </c>
      <c r="P6218" s="247">
        <v>14300</v>
      </c>
      <c r="Q6218" s="25">
        <f>182.5/1177.6</f>
        <v>0.15497622282608697</v>
      </c>
      <c r="W6218" s="285">
        <f t="shared" si="1293"/>
        <v>2216.1599864130435</v>
      </c>
      <c r="X6218" s="446">
        <f t="shared" si="1294"/>
        <v>6.6884939195509823</v>
      </c>
    </row>
    <row r="6219" spans="1:24" ht="15" customHeight="1">
      <c r="A6219" s="3">
        <v>44462</v>
      </c>
      <c r="B6219" s="4">
        <v>31475</v>
      </c>
      <c r="C6219" s="4">
        <v>0</v>
      </c>
      <c r="D6219" s="4">
        <v>21125</v>
      </c>
      <c r="E6219" s="4">
        <v>52600</v>
      </c>
      <c r="F6219" s="4">
        <v>0</v>
      </c>
      <c r="G6219" s="4">
        <v>50</v>
      </c>
      <c r="H6219" s="4">
        <v>19450</v>
      </c>
      <c r="I6219" s="118">
        <f t="shared" si="1289"/>
        <v>0.36977186311787075</v>
      </c>
      <c r="J6219" s="4">
        <v>114823</v>
      </c>
      <c r="K6219" s="22">
        <v>2139</v>
      </c>
      <c r="L6219" s="6">
        <v>2128.5</v>
      </c>
      <c r="M6219" s="125">
        <f t="shared" si="1292"/>
        <v>-10.5</v>
      </c>
      <c r="P6219" s="247">
        <v>14300</v>
      </c>
      <c r="Q6219" s="25">
        <f>182.19/1181.7</f>
        <v>0.15417618684945417</v>
      </c>
      <c r="W6219" s="285">
        <f t="shared" si="1293"/>
        <v>2204.7194719471945</v>
      </c>
      <c r="X6219" s="446">
        <f t="shared" si="1294"/>
        <v>6.6853669939223934</v>
      </c>
    </row>
    <row r="6220" spans="1:24" ht="15" customHeight="1">
      <c r="A6220" s="3">
        <v>44463</v>
      </c>
      <c r="B6220" s="4">
        <v>31475</v>
      </c>
      <c r="C6220" s="4">
        <v>0</v>
      </c>
      <c r="D6220" s="4">
        <v>21075</v>
      </c>
      <c r="E6220" s="4">
        <v>52550</v>
      </c>
      <c r="F6220" s="4">
        <v>0</v>
      </c>
      <c r="G6220" s="4">
        <v>50</v>
      </c>
      <c r="H6220" s="4">
        <v>19400</v>
      </c>
      <c r="I6220" s="118">
        <f t="shared" si="1289"/>
        <v>0.36917221693625119</v>
      </c>
      <c r="J6220" s="4">
        <v>114649</v>
      </c>
      <c r="K6220" s="22">
        <v>2158.5</v>
      </c>
      <c r="L6220" s="6">
        <v>2142</v>
      </c>
      <c r="M6220" s="125">
        <f t="shared" si="1292"/>
        <v>-16.5</v>
      </c>
      <c r="P6220" s="247">
        <v>14325</v>
      </c>
      <c r="Q6220" s="25">
        <f>181.89/1175.3</f>
        <v>0.15476048668425083</v>
      </c>
      <c r="W6220" s="285">
        <f t="shared" si="1293"/>
        <v>2216.9439717518931</v>
      </c>
      <c r="X6220" s="446">
        <f t="shared" si="1294"/>
        <v>6.6365531619179983</v>
      </c>
    </row>
    <row r="6221" spans="1:24" ht="15" customHeight="1">
      <c r="A6221" s="3">
        <v>44466</v>
      </c>
      <c r="B6221" s="4">
        <v>31475</v>
      </c>
      <c r="C6221" s="4">
        <v>0</v>
      </c>
      <c r="D6221" s="4">
        <v>21025</v>
      </c>
      <c r="E6221" s="4">
        <v>52500</v>
      </c>
      <c r="F6221" s="4">
        <v>0</v>
      </c>
      <c r="G6221" s="4">
        <v>50</v>
      </c>
      <c r="H6221" s="4">
        <v>19550</v>
      </c>
      <c r="I6221" s="118">
        <f t="shared" si="1289"/>
        <v>0.37238095238095237</v>
      </c>
      <c r="J6221" s="4">
        <v>114206</v>
      </c>
      <c r="K6221" s="22">
        <v>2184</v>
      </c>
      <c r="L6221" s="6">
        <v>2165</v>
      </c>
      <c r="M6221" s="125">
        <f t="shared" si="1292"/>
        <v>-19</v>
      </c>
      <c r="P6221" s="247">
        <v>14475</v>
      </c>
      <c r="Q6221" s="25">
        <f>182.07/1175.9</f>
        <v>0.15483459477846753</v>
      </c>
      <c r="W6221" s="285">
        <f t="shared" si="1293"/>
        <v>2241.2307594183176</v>
      </c>
      <c r="X6221" s="446">
        <f t="shared" si="1294"/>
        <v>6.6277472527472527</v>
      </c>
    </row>
    <row r="6222" spans="1:24" ht="15" customHeight="1">
      <c r="A6222" s="3">
        <v>44467</v>
      </c>
      <c r="B6222" s="4">
        <v>31475</v>
      </c>
      <c r="C6222" s="4">
        <v>0</v>
      </c>
      <c r="D6222" s="4">
        <v>20900</v>
      </c>
      <c r="E6222" s="4">
        <v>52375</v>
      </c>
      <c r="F6222" s="4">
        <v>0</v>
      </c>
      <c r="G6222" s="4">
        <v>125</v>
      </c>
      <c r="H6222" s="4">
        <v>20275</v>
      </c>
      <c r="I6222" s="118">
        <f t="shared" si="1289"/>
        <v>0.38711217183770885</v>
      </c>
      <c r="J6222" s="4">
        <v>112895</v>
      </c>
      <c r="K6222" s="22">
        <v>2205</v>
      </c>
      <c r="L6222" s="6">
        <v>2184</v>
      </c>
      <c r="M6222" s="125">
        <f t="shared" si="1292"/>
        <v>-21</v>
      </c>
      <c r="P6222" s="247">
        <v>14450</v>
      </c>
      <c r="Q6222" s="25">
        <f>183.03/1182</f>
        <v>0.15484771573604061</v>
      </c>
      <c r="W6222" s="285">
        <f t="shared" si="1293"/>
        <v>2237.5494923857868</v>
      </c>
      <c r="X6222" s="446">
        <f t="shared" si="1294"/>
        <v>6.5532879818594107</v>
      </c>
    </row>
    <row r="6223" spans="1:24" ht="15" customHeight="1">
      <c r="A6223" s="3">
        <v>44468</v>
      </c>
      <c r="B6223" s="4">
        <v>31400</v>
      </c>
      <c r="C6223" s="4">
        <v>0</v>
      </c>
      <c r="D6223" s="4">
        <v>20650</v>
      </c>
      <c r="E6223" s="4">
        <v>52050</v>
      </c>
      <c r="F6223" s="4">
        <v>0</v>
      </c>
      <c r="G6223" s="4">
        <v>325</v>
      </c>
      <c r="H6223" s="4">
        <v>19950</v>
      </c>
      <c r="I6223" s="118">
        <f t="shared" si="1289"/>
        <v>0.38328530259365995</v>
      </c>
      <c r="J6223" s="4">
        <v>112328</v>
      </c>
      <c r="K6223" s="22">
        <v>2185.5</v>
      </c>
      <c r="L6223" s="6">
        <v>2162</v>
      </c>
      <c r="M6223" s="125">
        <f t="shared" si="1292"/>
        <v>-23.5</v>
      </c>
      <c r="P6223" s="247">
        <v>14450</v>
      </c>
      <c r="Q6223" s="25">
        <f>183.03/1184.9</f>
        <v>0.15446873153852644</v>
      </c>
      <c r="W6223" s="285">
        <f t="shared" si="1293"/>
        <v>2232.0731707317073</v>
      </c>
      <c r="X6223" s="446">
        <f t="shared" si="1294"/>
        <v>6.6117593228094256</v>
      </c>
    </row>
    <row r="6224" spans="1:24" ht="15" customHeight="1">
      <c r="A6224" s="3">
        <v>44469</v>
      </c>
      <c r="B6224" s="4">
        <v>31400</v>
      </c>
      <c r="C6224" s="4">
        <v>0</v>
      </c>
      <c r="D6224" s="4">
        <v>19500</v>
      </c>
      <c r="E6224" s="4">
        <v>50900</v>
      </c>
      <c r="F6224" s="4">
        <v>0</v>
      </c>
      <c r="G6224" s="4">
        <v>1150</v>
      </c>
      <c r="H6224" s="4">
        <v>19175</v>
      </c>
      <c r="I6224" s="118">
        <f t="shared" si="1289"/>
        <v>0.37671905697445973</v>
      </c>
      <c r="J6224" s="4">
        <v>110516</v>
      </c>
      <c r="K6224" s="22">
        <v>2114</v>
      </c>
      <c r="L6224" s="6">
        <v>2088</v>
      </c>
      <c r="M6224" s="125">
        <f t="shared" si="1292"/>
        <v>-26</v>
      </c>
      <c r="N6224" s="425">
        <f>AVERAGE($K$6203:K6224)</f>
        <v>2257.25</v>
      </c>
      <c r="O6224" s="395">
        <f>AVERAGE($K$6023:K6224)</f>
        <v>2164.0185185185187</v>
      </c>
      <c r="P6224" s="247">
        <v>14325</v>
      </c>
      <c r="Q6224" s="25">
        <f>183.08/1185.2</f>
        <v>0.15447181910226124</v>
      </c>
      <c r="W6224" s="285">
        <f t="shared" si="1293"/>
        <v>2212.808808639892</v>
      </c>
      <c r="X6224" s="446">
        <f t="shared" si="1294"/>
        <v>6.7762535477767267</v>
      </c>
    </row>
    <row r="6225" spans="1:24" ht="15" customHeight="1" thickBot="1">
      <c r="A6225" s="394"/>
      <c r="B6225" s="394"/>
      <c r="C6225" s="394"/>
      <c r="D6225" s="394"/>
      <c r="E6225" s="216"/>
      <c r="F6225" s="407"/>
      <c r="G6225" s="164"/>
      <c r="H6225" s="164"/>
      <c r="I6225" s="166"/>
      <c r="J6225" s="166"/>
      <c r="K6225" s="166"/>
      <c r="L6225" s="167"/>
      <c r="M6225" s="167"/>
      <c r="N6225" s="167"/>
      <c r="O6225" s="167"/>
      <c r="P6225" s="180"/>
      <c r="Q6225" s="180"/>
      <c r="R6225" s="248"/>
      <c r="S6225" s="249"/>
      <c r="T6225" s="249"/>
      <c r="U6225" s="152"/>
      <c r="V6225" s="153">
        <f>AVERAGE(P6203:P6224)</f>
        <v>14651.315789473685</v>
      </c>
      <c r="W6225" s="152"/>
      <c r="X6225" s="447">
        <f>V6225/N6224</f>
        <v>6.4907811671164843</v>
      </c>
    </row>
    <row r="6226" spans="1:24" ht="15" customHeight="1">
      <c r="A6226" s="3">
        <v>44470</v>
      </c>
      <c r="B6226" s="4">
        <v>31300</v>
      </c>
      <c r="C6226" s="4">
        <v>0</v>
      </c>
      <c r="D6226" s="4">
        <v>19200</v>
      </c>
      <c r="E6226" s="4">
        <v>51000</v>
      </c>
      <c r="F6226" s="4">
        <v>100</v>
      </c>
      <c r="G6226" s="4">
        <v>0</v>
      </c>
      <c r="H6226" s="4">
        <v>18775</v>
      </c>
      <c r="I6226" s="118">
        <f t="shared" si="1289"/>
        <v>0.36813725490196081</v>
      </c>
      <c r="J6226" s="4">
        <v>110121</v>
      </c>
      <c r="K6226" s="22">
        <v>2155</v>
      </c>
      <c r="L6226" s="6">
        <v>2126</v>
      </c>
      <c r="M6226" s="125">
        <f t="shared" si="1292"/>
        <v>-29</v>
      </c>
      <c r="P6226" s="431"/>
      <c r="Q6226" s="25">
        <f>183.08 /1185.2</f>
        <v>0.15447181910226124</v>
      </c>
      <c r="W6226" s="285">
        <f t="shared" si="1293"/>
        <v>0</v>
      </c>
      <c r="X6226" s="446">
        <f>P6226/K6226</f>
        <v>0</v>
      </c>
    </row>
    <row r="6227" spans="1:24" ht="15" customHeight="1">
      <c r="A6227" s="3">
        <v>44473</v>
      </c>
      <c r="B6227" s="4">
        <v>31300</v>
      </c>
      <c r="C6227" s="4">
        <v>0</v>
      </c>
      <c r="D6227" s="4">
        <v>18625</v>
      </c>
      <c r="E6227" s="4">
        <v>50425</v>
      </c>
      <c r="F6227" s="4">
        <v>0</v>
      </c>
      <c r="G6227" s="4">
        <v>575</v>
      </c>
      <c r="H6227" s="4">
        <v>18200</v>
      </c>
      <c r="I6227" s="118">
        <f t="shared" si="1289"/>
        <v>0.36093207734258798</v>
      </c>
      <c r="J6227" s="4">
        <v>109828</v>
      </c>
      <c r="K6227" s="22">
        <v>2190</v>
      </c>
      <c r="L6227" s="6">
        <v>2154</v>
      </c>
      <c r="M6227" s="125">
        <f t="shared" si="1292"/>
        <v>-36</v>
      </c>
      <c r="P6227" s="431"/>
      <c r="Q6227" s="25">
        <f>183.91/1187.2</f>
        <v>0.15491071428571429</v>
      </c>
      <c r="W6227" s="285">
        <f t="shared" si="1293"/>
        <v>0</v>
      </c>
      <c r="X6227" s="446">
        <f>P6227/K6227</f>
        <v>0</v>
      </c>
    </row>
    <row r="6228" spans="1:24" ht="15" customHeight="1">
      <c r="A6228" s="3">
        <v>44474</v>
      </c>
      <c r="B6228" s="4">
        <v>31300</v>
      </c>
      <c r="C6228" s="4">
        <v>0</v>
      </c>
      <c r="D6228" s="4">
        <v>18400</v>
      </c>
      <c r="E6228" s="4">
        <v>50200</v>
      </c>
      <c r="F6228" s="4">
        <v>0</v>
      </c>
      <c r="G6228" s="4">
        <v>225</v>
      </c>
      <c r="H6228" s="4">
        <v>18375</v>
      </c>
      <c r="I6228" s="118">
        <f t="shared" si="1289"/>
        <v>0.36603585657370519</v>
      </c>
      <c r="J6228" s="4">
        <v>109706</v>
      </c>
      <c r="K6228" s="22">
        <v>2185.5</v>
      </c>
      <c r="L6228" s="6">
        <v>2154</v>
      </c>
      <c r="M6228" s="125">
        <f t="shared" si="1292"/>
        <v>-31.5</v>
      </c>
      <c r="P6228" s="431"/>
      <c r="Q6228" s="25">
        <f>183.99/1187.1</f>
        <v>0.15499115491533993</v>
      </c>
      <c r="W6228" s="285">
        <f t="shared" si="1293"/>
        <v>0</v>
      </c>
      <c r="X6228" s="446">
        <f>P6228/K6228</f>
        <v>0</v>
      </c>
    </row>
    <row r="6229" spans="1:24" ht="15" customHeight="1">
      <c r="A6229" s="3">
        <v>44475</v>
      </c>
      <c r="B6229" s="4">
        <v>31300</v>
      </c>
      <c r="C6229" s="4">
        <v>0</v>
      </c>
      <c r="D6229" s="4">
        <v>18100</v>
      </c>
      <c r="E6229" s="4">
        <v>49900</v>
      </c>
      <c r="F6229" s="4">
        <v>0</v>
      </c>
      <c r="G6229" s="4">
        <v>300</v>
      </c>
      <c r="H6229" s="4">
        <v>18075</v>
      </c>
      <c r="I6229" s="118">
        <f t="shared" si="1289"/>
        <v>0.36222444889779559</v>
      </c>
      <c r="J6229" s="4">
        <v>108758</v>
      </c>
      <c r="K6229" s="22">
        <v>2197</v>
      </c>
      <c r="L6229" s="6">
        <v>2148</v>
      </c>
      <c r="M6229" s="125">
        <f t="shared" si="1292"/>
        <v>-49</v>
      </c>
      <c r="P6229" s="431"/>
      <c r="Q6229" s="25">
        <f>184.36/1190</f>
        <v>0.15492436974789917</v>
      </c>
      <c r="W6229" s="285">
        <f t="shared" si="1293"/>
        <v>0</v>
      </c>
      <c r="X6229" s="446">
        <f>P6229/K6229</f>
        <v>0</v>
      </c>
    </row>
    <row r="6230" spans="1:24" ht="15" customHeight="1">
      <c r="A6230" s="3">
        <v>44476</v>
      </c>
      <c r="B6230" s="4">
        <v>31300</v>
      </c>
      <c r="C6230" s="4">
        <v>0</v>
      </c>
      <c r="D6230" s="4">
        <v>17825</v>
      </c>
      <c r="E6230" s="4">
        <v>49625</v>
      </c>
      <c r="F6230" s="4">
        <v>0</v>
      </c>
      <c r="G6230" s="4">
        <v>275</v>
      </c>
      <c r="H6230" s="4">
        <v>19150</v>
      </c>
      <c r="I6230" s="118">
        <f t="shared" si="1289"/>
        <v>0.38589420654911838</v>
      </c>
      <c r="J6230" s="4">
        <v>107630</v>
      </c>
      <c r="K6230" s="22">
        <v>2181</v>
      </c>
      <c r="L6230" s="6">
        <v>2155</v>
      </c>
      <c r="M6230" s="125">
        <f t="shared" si="1292"/>
        <v>-26</v>
      </c>
      <c r="P6230" s="431"/>
      <c r="Q6230" s="25">
        <f>184.38/1190.3</f>
        <v>0.15490212551457616</v>
      </c>
      <c r="W6230" s="285">
        <f t="shared" si="1293"/>
        <v>0</v>
      </c>
      <c r="X6230" s="446">
        <f>P6230/K6230</f>
        <v>0</v>
      </c>
    </row>
    <row r="6231" spans="1:24" ht="15" customHeight="1">
      <c r="A6231" s="3">
        <v>44477</v>
      </c>
      <c r="B6231" s="4">
        <v>31300</v>
      </c>
      <c r="C6231" s="4">
        <v>0</v>
      </c>
      <c r="D6231" s="4">
        <v>17600</v>
      </c>
      <c r="E6231" s="4">
        <v>49400</v>
      </c>
      <c r="F6231" s="4">
        <v>0</v>
      </c>
      <c r="G6231" s="4">
        <v>225</v>
      </c>
      <c r="H6231" s="4">
        <v>16550</v>
      </c>
      <c r="I6231" s="118">
        <f t="shared" si="1289"/>
        <v>0.33502024291497978</v>
      </c>
      <c r="J6231" s="4">
        <v>106195</v>
      </c>
      <c r="K6231" s="22">
        <v>2255</v>
      </c>
      <c r="L6231" s="6">
        <v>2198</v>
      </c>
      <c r="M6231" s="125">
        <f t="shared" si="1292"/>
        <v>-57</v>
      </c>
      <c r="P6231" s="247">
        <v>14450</v>
      </c>
      <c r="Q6231" s="25">
        <f t="shared" ref="Q6231" si="1296">184.38/1190.3</f>
        <v>0.15490212551457616</v>
      </c>
      <c r="W6231" s="285">
        <f t="shared" si="1293"/>
        <v>2238.3357136856257</v>
      </c>
      <c r="X6231" s="446">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18">
        <f t="shared" si="1289"/>
        <v>0.3287531806615776</v>
      </c>
      <c r="J6232" s="4">
        <v>107915</v>
      </c>
      <c r="K6232" s="22">
        <v>2281</v>
      </c>
      <c r="L6232" s="6">
        <v>2237</v>
      </c>
      <c r="M6232" s="125">
        <f t="shared" si="1292"/>
        <v>-44</v>
      </c>
      <c r="P6232" s="247">
        <v>14600</v>
      </c>
      <c r="Q6232" s="25">
        <f>185 /1193.4</f>
        <v>0.15501927266633148</v>
      </c>
      <c r="W6232" s="285">
        <f t="shared" si="1293"/>
        <v>2263.2813809284394</v>
      </c>
      <c r="X6232" s="446">
        <f t="shared" si="1297"/>
        <v>6.4007014467338887</v>
      </c>
    </row>
    <row r="6233" spans="1:24" ht="15" customHeight="1">
      <c r="A6233" s="3">
        <v>44481</v>
      </c>
      <c r="B6233" s="4">
        <v>31375</v>
      </c>
      <c r="C6233" s="4">
        <v>0</v>
      </c>
      <c r="D6233" s="4">
        <v>16875</v>
      </c>
      <c r="E6233" s="4">
        <v>49250</v>
      </c>
      <c r="F6233" s="4">
        <v>125</v>
      </c>
      <c r="G6233" s="4">
        <v>0</v>
      </c>
      <c r="H6233" s="4">
        <v>15775</v>
      </c>
      <c r="I6233" s="118">
        <f t="shared" si="1289"/>
        <v>0.32030456852791878</v>
      </c>
      <c r="J6233" s="4">
        <v>108096</v>
      </c>
      <c r="K6233" s="22">
        <v>2289</v>
      </c>
      <c r="L6233" s="6">
        <v>2239</v>
      </c>
      <c r="M6233" s="125">
        <f t="shared" si="1292"/>
        <v>-50</v>
      </c>
      <c r="P6233" s="247">
        <v>14725</v>
      </c>
      <c r="Q6233" s="25">
        <f>185.74 /1199.1</f>
        <v>0.15489950796430657</v>
      </c>
      <c r="W6233" s="285">
        <f t="shared" si="1293"/>
        <v>2280.8952547744143</v>
      </c>
      <c r="X6233" s="446">
        <f t="shared" si="1297"/>
        <v>6.4329401485364786</v>
      </c>
    </row>
    <row r="6234" spans="1:24" ht="15" customHeight="1">
      <c r="A6234" s="3">
        <v>44482</v>
      </c>
      <c r="B6234" s="4">
        <v>31375</v>
      </c>
      <c r="C6234" s="4">
        <v>0</v>
      </c>
      <c r="D6234" s="4">
        <v>16600</v>
      </c>
      <c r="E6234" s="4">
        <v>48975</v>
      </c>
      <c r="F6234" s="4">
        <v>0</v>
      </c>
      <c r="G6234" s="4">
        <v>275</v>
      </c>
      <c r="H6234" s="4">
        <v>15500</v>
      </c>
      <c r="I6234" s="118">
        <f t="shared" si="1289"/>
        <v>0.31648800408371619</v>
      </c>
      <c r="J6234" s="4">
        <v>108575</v>
      </c>
      <c r="K6234" s="22">
        <v>2330</v>
      </c>
      <c r="L6234" s="6">
        <v>2245</v>
      </c>
      <c r="M6234" s="125">
        <f t="shared" si="1292"/>
        <v>-85</v>
      </c>
      <c r="P6234" s="247">
        <v>14625</v>
      </c>
      <c r="Q6234" s="25">
        <f>185.12/1195</f>
        <v>0.15491213389121339</v>
      </c>
      <c r="W6234" s="285">
        <f t="shared" si="1293"/>
        <v>2265.5899581589956</v>
      </c>
      <c r="X6234" s="446">
        <f t="shared" si="1297"/>
        <v>6.2768240343347639</v>
      </c>
    </row>
    <row r="6235" spans="1:24" ht="15" customHeight="1">
      <c r="A6235" s="3">
        <v>44483</v>
      </c>
      <c r="B6235" s="4">
        <v>31375</v>
      </c>
      <c r="C6235" s="4">
        <v>0</v>
      </c>
      <c r="D6235" s="4">
        <v>16250</v>
      </c>
      <c r="E6235" s="4">
        <v>48625</v>
      </c>
      <c r="F6235" s="4">
        <v>0</v>
      </c>
      <c r="G6235" s="4">
        <v>350</v>
      </c>
      <c r="H6235" s="4">
        <v>15150</v>
      </c>
      <c r="I6235" s="118">
        <f t="shared" si="1289"/>
        <v>0.31156812339331619</v>
      </c>
      <c r="J6235" s="4">
        <v>108563</v>
      </c>
      <c r="K6235" s="22">
        <v>2330</v>
      </c>
      <c r="L6235" s="6">
        <v>2260</v>
      </c>
      <c r="M6235" s="125">
        <f t="shared" si="1292"/>
        <v>-70</v>
      </c>
      <c r="P6235" s="247">
        <v>14900</v>
      </c>
      <c r="Q6235" s="25">
        <f>184.65/1188.3</f>
        <v>0.15539005301691494</v>
      </c>
      <c r="W6235" s="285">
        <f t="shared" si="1293"/>
        <v>2315.3117899520325</v>
      </c>
      <c r="X6235" s="446">
        <f t="shared" si="1297"/>
        <v>6.3948497854077253</v>
      </c>
    </row>
    <row r="6236" spans="1:24" ht="15" customHeight="1">
      <c r="A6236" s="3">
        <v>44484</v>
      </c>
      <c r="B6236" s="4">
        <v>31375</v>
      </c>
      <c r="C6236" s="4">
        <v>0</v>
      </c>
      <c r="D6236" s="4">
        <v>16025</v>
      </c>
      <c r="E6236" s="4">
        <v>48400</v>
      </c>
      <c r="F6236" s="4">
        <v>0</v>
      </c>
      <c r="G6236" s="4">
        <v>225</v>
      </c>
      <c r="H6236" s="4">
        <v>14925</v>
      </c>
      <c r="I6236" s="118">
        <f t="shared" si="1289"/>
        <v>0.30836776859504134</v>
      </c>
      <c r="J6236" s="4">
        <v>108586</v>
      </c>
      <c r="K6236" s="22">
        <v>2402</v>
      </c>
      <c r="L6236" s="6">
        <v>2340</v>
      </c>
      <c r="M6236" s="125">
        <f t="shared" si="1292"/>
        <v>-62</v>
      </c>
      <c r="P6236" s="247">
        <v>15100</v>
      </c>
      <c r="Q6236" s="25">
        <f>183.79/1182.8</f>
        <v>0.15538552587081503</v>
      </c>
      <c r="W6236" s="285">
        <f t="shared" si="1293"/>
        <v>2346.3214406493071</v>
      </c>
      <c r="X6236" s="446">
        <f t="shared" si="1297"/>
        <v>6.2864279766860953</v>
      </c>
    </row>
    <row r="6237" spans="1:24" ht="15" customHeight="1">
      <c r="A6237" s="3">
        <v>44487</v>
      </c>
      <c r="B6237" s="4">
        <v>31375</v>
      </c>
      <c r="C6237" s="4">
        <v>0</v>
      </c>
      <c r="D6237" s="4">
        <v>15800</v>
      </c>
      <c r="E6237" s="4">
        <v>48175</v>
      </c>
      <c r="F6237" s="4">
        <v>0</v>
      </c>
      <c r="G6237" s="4">
        <v>225</v>
      </c>
      <c r="H6237" s="4">
        <v>14700</v>
      </c>
      <c r="I6237" s="118">
        <f t="shared" si="1289"/>
        <v>0.30513751946030099</v>
      </c>
      <c r="J6237" s="4">
        <v>108967</v>
      </c>
      <c r="K6237" s="22">
        <v>2426.5</v>
      </c>
      <c r="L6237" s="6">
        <v>2373</v>
      </c>
      <c r="M6237" s="125">
        <f t="shared" si="1292"/>
        <v>-53.5</v>
      </c>
      <c r="P6237" s="247">
        <v>15300</v>
      </c>
      <c r="Q6237" s="25">
        <f>184.4/1185.8</f>
        <v>0.15550683083150615</v>
      </c>
      <c r="W6237" s="285">
        <f t="shared" si="1293"/>
        <v>2379.2545117220443</v>
      </c>
      <c r="X6237" s="446">
        <f t="shared" si="1297"/>
        <v>6.3053781166288889</v>
      </c>
    </row>
    <row r="6238" spans="1:24" ht="15" customHeight="1">
      <c r="A6238" s="3">
        <v>44488</v>
      </c>
      <c r="B6238" s="4">
        <v>38575</v>
      </c>
      <c r="C6238" s="4">
        <v>0</v>
      </c>
      <c r="D6238" s="4">
        <v>15625</v>
      </c>
      <c r="E6238" s="4">
        <v>55200</v>
      </c>
      <c r="F6238" s="4">
        <v>7025</v>
      </c>
      <c r="G6238" s="4">
        <v>0</v>
      </c>
      <c r="H6238" s="4">
        <v>14700</v>
      </c>
      <c r="I6238" s="118">
        <f t="shared" si="1289"/>
        <v>0.26630434782608697</v>
      </c>
      <c r="J6238" s="4">
        <v>108655</v>
      </c>
      <c r="K6238" s="22">
        <v>2420</v>
      </c>
      <c r="L6238" s="6">
        <v>2388</v>
      </c>
      <c r="M6238" s="125">
        <f t="shared" si="1292"/>
        <v>-32</v>
      </c>
      <c r="P6238" s="247">
        <v>15550</v>
      </c>
      <c r="Q6238" s="25">
        <f>184.32/1181.7</f>
        <v>0.15597867479055597</v>
      </c>
      <c r="W6238" s="285">
        <f t="shared" si="1293"/>
        <v>2425.4683929931452</v>
      </c>
      <c r="X6238" s="446">
        <f t="shared" si="1297"/>
        <v>6.4256198347107434</v>
      </c>
    </row>
    <row r="6239" spans="1:24" ht="15" customHeight="1">
      <c r="A6239" s="3">
        <v>44489</v>
      </c>
      <c r="B6239" s="4">
        <v>40775</v>
      </c>
      <c r="C6239" s="4">
        <v>0</v>
      </c>
      <c r="D6239" s="4">
        <v>15500</v>
      </c>
      <c r="E6239" s="4">
        <v>57275</v>
      </c>
      <c r="F6239" s="4">
        <v>2075</v>
      </c>
      <c r="G6239" s="4">
        <v>0</v>
      </c>
      <c r="H6239" s="4">
        <v>14575</v>
      </c>
      <c r="I6239" s="118">
        <f t="shared" si="1289"/>
        <v>0.2544740288083806</v>
      </c>
      <c r="J6239" s="4">
        <v>107886</v>
      </c>
      <c r="K6239" s="22">
        <v>2385</v>
      </c>
      <c r="L6239" s="6">
        <v>2358</v>
      </c>
      <c r="M6239" s="125">
        <f t="shared" si="1292"/>
        <v>-27</v>
      </c>
      <c r="P6239" s="247">
        <v>15425</v>
      </c>
      <c r="Q6239" s="25">
        <f>183.82/1175.6</f>
        <v>0.15636270840421912</v>
      </c>
      <c r="W6239" s="285">
        <f t="shared" si="1293"/>
        <v>2411.8947771350799</v>
      </c>
      <c r="X6239" s="446">
        <f t="shared" si="1297"/>
        <v>6.467505241090147</v>
      </c>
    </row>
    <row r="6240" spans="1:24" ht="15" customHeight="1">
      <c r="A6240" s="3">
        <v>44490</v>
      </c>
      <c r="B6240" s="4">
        <v>40775</v>
      </c>
      <c r="C6240" s="4">
        <v>0</v>
      </c>
      <c r="D6240" s="4">
        <v>15225</v>
      </c>
      <c r="E6240" s="4">
        <v>57000</v>
      </c>
      <c r="F6240" s="4">
        <v>0</v>
      </c>
      <c r="G6240" s="4">
        <v>275</v>
      </c>
      <c r="H6240" s="4">
        <v>14300</v>
      </c>
      <c r="I6240" s="118">
        <f t="shared" si="1289"/>
        <v>0.25087719298245614</v>
      </c>
      <c r="J6240" s="4">
        <v>110549</v>
      </c>
      <c r="K6240" s="22">
        <v>2415</v>
      </c>
      <c r="L6240" s="6">
        <v>2380</v>
      </c>
      <c r="M6240" s="125">
        <f t="shared" si="1292"/>
        <v>-35</v>
      </c>
      <c r="P6240" s="247">
        <v>15825</v>
      </c>
      <c r="Q6240" s="25">
        <f>184.04/1175.8</f>
        <v>0.15652321823439361</v>
      </c>
      <c r="W6240" s="285">
        <f t="shared" si="1293"/>
        <v>2476.979928559279</v>
      </c>
      <c r="X6240" s="446">
        <f t="shared" si="1297"/>
        <v>6.5527950310559007</v>
      </c>
    </row>
    <row r="6241" spans="1:24" ht="15" customHeight="1">
      <c r="A6241" s="3">
        <v>44491</v>
      </c>
      <c r="B6241" s="4">
        <v>40775</v>
      </c>
      <c r="C6241" s="4">
        <v>0</v>
      </c>
      <c r="D6241" s="4">
        <v>15000</v>
      </c>
      <c r="E6241" s="4">
        <v>56775</v>
      </c>
      <c r="F6241" s="4">
        <v>0</v>
      </c>
      <c r="G6241" s="4">
        <v>225</v>
      </c>
      <c r="H6241" s="4">
        <v>14075</v>
      </c>
      <c r="I6241" s="118">
        <f t="shared" si="1289"/>
        <v>0.24790841039189784</v>
      </c>
      <c r="J6241" s="4">
        <v>113857</v>
      </c>
      <c r="K6241" s="22">
        <v>2439</v>
      </c>
      <c r="L6241" s="6">
        <v>2396</v>
      </c>
      <c r="M6241" s="125">
        <f t="shared" si="1292"/>
        <v>-43</v>
      </c>
      <c r="P6241" s="247">
        <v>15700</v>
      </c>
      <c r="Q6241" s="25">
        <f>184.34/1178.4</f>
        <v>0.1564324507807196</v>
      </c>
      <c r="W6241" s="285">
        <f t="shared" si="1293"/>
        <v>2455.9894772572979</v>
      </c>
      <c r="X6241" s="446">
        <f t="shared" si="1297"/>
        <v>6.4370643706437063</v>
      </c>
    </row>
    <row r="6242" spans="1:24" ht="15" customHeight="1">
      <c r="A6242" s="3">
        <v>44494</v>
      </c>
      <c r="B6242" s="4">
        <v>40625</v>
      </c>
      <c r="C6242" s="4">
        <v>0</v>
      </c>
      <c r="D6242" s="4">
        <v>14575</v>
      </c>
      <c r="E6242" s="4">
        <v>56200</v>
      </c>
      <c r="F6242" s="4">
        <v>0</v>
      </c>
      <c r="G6242" s="4">
        <v>575</v>
      </c>
      <c r="H6242" s="4">
        <v>13500</v>
      </c>
      <c r="I6242" s="118">
        <f t="shared" si="1289"/>
        <v>0.2402135231316726</v>
      </c>
      <c r="J6242" s="4">
        <v>112966</v>
      </c>
      <c r="K6242" s="22">
        <v>2485</v>
      </c>
      <c r="L6242" s="6">
        <v>2436</v>
      </c>
      <c r="M6242" s="125">
        <f t="shared" si="1292"/>
        <v>-49</v>
      </c>
      <c r="P6242" s="247">
        <v>15700</v>
      </c>
      <c r="Q6242" s="25">
        <f>183.28/1171.8</f>
        <v>0.15640894350571771</v>
      </c>
      <c r="W6242" s="285">
        <f t="shared" si="1293"/>
        <v>2455.6204130397682</v>
      </c>
      <c r="X6242" s="446">
        <f t="shared" si="1297"/>
        <v>6.3179074446680081</v>
      </c>
    </row>
    <row r="6243" spans="1:24" ht="15" customHeight="1">
      <c r="A6243" s="3">
        <v>44495</v>
      </c>
      <c r="B6243" s="4">
        <v>40650</v>
      </c>
      <c r="C6243" s="4">
        <v>0</v>
      </c>
      <c r="D6243" s="4">
        <v>14375</v>
      </c>
      <c r="E6243" s="4">
        <v>56025</v>
      </c>
      <c r="F6243" s="4">
        <v>0</v>
      </c>
      <c r="G6243" s="4">
        <v>175</v>
      </c>
      <c r="H6243" s="4">
        <v>13300</v>
      </c>
      <c r="I6243" s="118">
        <f t="shared" si="1289"/>
        <v>0.23739402052655065</v>
      </c>
      <c r="J6243" s="4">
        <v>113186</v>
      </c>
      <c r="K6243" s="22">
        <v>2445.5</v>
      </c>
      <c r="L6243" s="6">
        <v>2423</v>
      </c>
      <c r="M6243" s="125">
        <f t="shared" si="1292"/>
        <v>-22.5</v>
      </c>
      <c r="P6243" s="247">
        <v>15725</v>
      </c>
      <c r="Q6243" s="25">
        <f>182.66/1166.3</f>
        <v>0.15661493612278146</v>
      </c>
      <c r="W6243" s="285">
        <f t="shared" si="1293"/>
        <v>2462.7698705307384</v>
      </c>
      <c r="X6243" s="446">
        <f t="shared" si="1297"/>
        <v>6.4301778777346144</v>
      </c>
    </row>
    <row r="6244" spans="1:24" ht="15" customHeight="1">
      <c r="A6244" s="3">
        <v>44496</v>
      </c>
      <c r="B6244" s="4">
        <v>40275</v>
      </c>
      <c r="C6244" s="4">
        <v>0</v>
      </c>
      <c r="D6244" s="5">
        <v>14225</v>
      </c>
      <c r="E6244" s="5">
        <v>55500</v>
      </c>
      <c r="F6244" s="4">
        <v>0</v>
      </c>
      <c r="G6244" s="5">
        <v>525</v>
      </c>
      <c r="H6244" s="5">
        <v>12775</v>
      </c>
      <c r="I6244" s="118">
        <f t="shared" si="1289"/>
        <v>0.23018018018018019</v>
      </c>
      <c r="J6244" s="5">
        <v>114992</v>
      </c>
      <c r="K6244" s="22">
        <v>2430</v>
      </c>
      <c r="L6244" s="6">
        <v>2381</v>
      </c>
      <c r="M6244" s="125">
        <f>L6244-K6244</f>
        <v>-49</v>
      </c>
      <c r="P6244" s="247">
        <v>15825</v>
      </c>
      <c r="Q6244" s="25">
        <f>183.22/1168.1</f>
        <v>0.15685300916017467</v>
      </c>
      <c r="W6244" s="285">
        <f t="shared" si="1293"/>
        <v>2482.1988699597641</v>
      </c>
      <c r="X6244" s="446">
        <f t="shared" si="1297"/>
        <v>6.5123456790123457</v>
      </c>
    </row>
    <row r="6245" spans="1:24" ht="15" customHeight="1">
      <c r="A6245" s="3">
        <v>44497</v>
      </c>
      <c r="B6245" s="4">
        <v>40275</v>
      </c>
      <c r="C6245" s="4">
        <v>0</v>
      </c>
      <c r="D6245" s="4">
        <v>14025</v>
      </c>
      <c r="E6245" s="4">
        <v>55300</v>
      </c>
      <c r="F6245" s="4">
        <v>0</v>
      </c>
      <c r="G6245" s="4">
        <v>200</v>
      </c>
      <c r="H6245" s="4">
        <v>12575</v>
      </c>
      <c r="I6245" s="118">
        <f t="shared" si="1289"/>
        <v>0.22739602169981918</v>
      </c>
      <c r="J6245" s="4">
        <v>116516</v>
      </c>
      <c r="K6245" s="22">
        <v>2438</v>
      </c>
      <c r="L6245" s="6">
        <v>2404</v>
      </c>
      <c r="M6245" s="125">
        <f>L6245-K6245</f>
        <v>-34</v>
      </c>
      <c r="P6245" s="247">
        <v>15425</v>
      </c>
      <c r="Q6245" s="25">
        <f>183.08/1171.7</f>
        <v>0.15625160023896903</v>
      </c>
      <c r="W6245" s="285">
        <f t="shared" si="1293"/>
        <v>2410.1809336860974</v>
      </c>
      <c r="X6245" s="446">
        <f t="shared" si="1297"/>
        <v>6.3269073010664476</v>
      </c>
    </row>
    <row r="6246" spans="1:24" ht="15" customHeight="1">
      <c r="A6246" s="3">
        <v>44498</v>
      </c>
      <c r="B6246" s="4">
        <v>40275</v>
      </c>
      <c r="C6246" s="4">
        <v>0</v>
      </c>
      <c r="D6246" s="4">
        <v>13825</v>
      </c>
      <c r="E6246" s="4">
        <v>55100</v>
      </c>
      <c r="F6246" s="4">
        <v>0</v>
      </c>
      <c r="G6246" s="4">
        <v>200</v>
      </c>
      <c r="H6246" s="4">
        <v>12375</v>
      </c>
      <c r="I6246" s="118">
        <f t="shared" si="1289"/>
        <v>0.22459165154264973</v>
      </c>
      <c r="J6246" s="4">
        <v>117435</v>
      </c>
      <c r="K6246" s="22">
        <v>2449</v>
      </c>
      <c r="L6246" s="6">
        <v>2402</v>
      </c>
      <c r="M6246" s="125">
        <f>L6246-K6246</f>
        <v>-47</v>
      </c>
      <c r="N6246" s="425">
        <f>AVERAGE($K$6226:K6246)</f>
        <v>2339.4523809523807</v>
      </c>
      <c r="O6246" s="395">
        <f>AVERAGE($K$6023:K6246)</f>
        <v>2181.5619047619048</v>
      </c>
      <c r="P6246" s="247">
        <v>15525</v>
      </c>
      <c r="Q6246" s="25">
        <f>183.12/1169.6</f>
        <v>0.15656634746922027</v>
      </c>
      <c r="W6246" s="285">
        <f t="shared" si="1293"/>
        <v>2430.6925444596445</v>
      </c>
      <c r="X6246" s="446">
        <f t="shared" si="1297"/>
        <v>6.3393221723152307</v>
      </c>
    </row>
    <row r="6247" spans="1:24" ht="15" customHeight="1" thickBot="1">
      <c r="A6247" s="394"/>
      <c r="B6247" s="394"/>
      <c r="C6247" s="394"/>
      <c r="D6247" s="394"/>
      <c r="E6247" s="216"/>
      <c r="F6247" s="407"/>
      <c r="G6247" s="164"/>
      <c r="H6247" s="164"/>
      <c r="I6247" s="166"/>
      <c r="J6247" s="166"/>
      <c r="K6247" s="166"/>
      <c r="L6247" s="167"/>
      <c r="M6247" s="167"/>
      <c r="N6247" s="167"/>
      <c r="O6247" s="167"/>
      <c r="P6247" s="180"/>
      <c r="Q6247" s="180"/>
      <c r="R6247" s="248"/>
      <c r="S6247" s="249"/>
      <c r="T6247" s="249"/>
      <c r="U6247" s="152"/>
      <c r="V6247" s="153">
        <f>AVERAGE(P6231:P6246)</f>
        <v>15275</v>
      </c>
      <c r="W6247" s="152"/>
      <c r="X6247" s="447">
        <f>V6247/N6246</f>
        <v>6.5293058000956679</v>
      </c>
    </row>
    <row r="6248" spans="1:24" ht="15" customHeight="1">
      <c r="A6248" s="3">
        <v>44501</v>
      </c>
      <c r="B6248" s="4">
        <v>40325</v>
      </c>
      <c r="C6248" s="4">
        <v>0</v>
      </c>
      <c r="D6248" s="4">
        <v>13675</v>
      </c>
      <c r="E6248" s="4">
        <v>55000</v>
      </c>
      <c r="F6248" s="4">
        <v>0</v>
      </c>
      <c r="G6248" s="4">
        <v>100</v>
      </c>
      <c r="H6248" s="4">
        <v>12225</v>
      </c>
      <c r="I6248" s="118">
        <f t="shared" ref="I6248:I6288" si="1298">H6248/E6248</f>
        <v>0.22227272727272726</v>
      </c>
      <c r="J6248" s="4">
        <v>116752</v>
      </c>
      <c r="K6248" s="22">
        <v>2440</v>
      </c>
      <c r="L6248" s="6">
        <v>2388.5</v>
      </c>
      <c r="M6248" s="125">
        <f t="shared" ref="M6248:M6273" si="1299">L6248-K6248</f>
        <v>-51.5</v>
      </c>
      <c r="P6248" s="247">
        <v>15550</v>
      </c>
      <c r="Q6248" s="25">
        <f>183.78/1176.3</f>
        <v>0.15623565416985463</v>
      </c>
      <c r="W6248" s="285">
        <f t="shared" si="1293"/>
        <v>2429.4644223412397</v>
      </c>
      <c r="X6248" s="446">
        <f t="shared" si="1297"/>
        <v>6.3729508196721314</v>
      </c>
    </row>
    <row r="6249" spans="1:24" ht="15" customHeight="1">
      <c r="A6249" s="3">
        <v>44502</v>
      </c>
      <c r="B6249" s="4">
        <v>40325</v>
      </c>
      <c r="C6249" s="4">
        <v>0</v>
      </c>
      <c r="D6249" s="4">
        <v>13425</v>
      </c>
      <c r="E6249" s="4">
        <v>54750</v>
      </c>
      <c r="F6249" s="4">
        <v>0</v>
      </c>
      <c r="G6249" s="4">
        <v>250</v>
      </c>
      <c r="H6249" s="4">
        <v>11975</v>
      </c>
      <c r="I6249" s="118">
        <f t="shared" si="1298"/>
        <v>0.21872146118721461</v>
      </c>
      <c r="J6249" s="4">
        <v>116772</v>
      </c>
      <c r="K6249" s="22">
        <v>2413.5</v>
      </c>
      <c r="L6249" s="6">
        <v>2385</v>
      </c>
      <c r="M6249" s="125">
        <f t="shared" si="1299"/>
        <v>-28.5</v>
      </c>
      <c r="P6249" s="247">
        <v>15550</v>
      </c>
      <c r="Q6249" s="25">
        <f>183.8/1175.5</f>
        <v>0.15635899617184179</v>
      </c>
      <c r="W6249" s="285">
        <f t="shared" si="1293"/>
        <v>2431.3823904721398</v>
      </c>
      <c r="X6249" s="446">
        <f t="shared" si="1297"/>
        <v>6.4429252123472134</v>
      </c>
    </row>
    <row r="6250" spans="1:24" ht="15" customHeight="1">
      <c r="A6250" s="3">
        <v>44503</v>
      </c>
      <c r="B6250" s="4">
        <v>40325</v>
      </c>
      <c r="C6250" s="4">
        <v>0</v>
      </c>
      <c r="D6250" s="4">
        <v>13100</v>
      </c>
      <c r="E6250" s="4">
        <v>54425</v>
      </c>
      <c r="F6250" s="4">
        <v>0</v>
      </c>
      <c r="G6250" s="4">
        <v>325</v>
      </c>
      <c r="H6250" s="4">
        <v>11700</v>
      </c>
      <c r="I6250" s="118">
        <f t="shared" si="1298"/>
        <v>0.21497473587505742</v>
      </c>
      <c r="J6250" s="4">
        <v>117862</v>
      </c>
      <c r="K6250" s="22">
        <v>2422</v>
      </c>
      <c r="L6250" s="6">
        <v>2390</v>
      </c>
      <c r="M6250" s="125">
        <f t="shared" si="1299"/>
        <v>-32</v>
      </c>
      <c r="P6250" s="247">
        <v>15500</v>
      </c>
      <c r="Q6250" s="25">
        <f>184.55/1181.1</f>
        <v>0.15625264583862503</v>
      </c>
      <c r="W6250" s="285">
        <f t="shared" si="1293"/>
        <v>2421.9160104986877</v>
      </c>
      <c r="X6250" s="446">
        <f t="shared" si="1297"/>
        <v>6.3996696944673825</v>
      </c>
    </row>
    <row r="6251" spans="1:24" ht="15" customHeight="1">
      <c r="A6251" s="3">
        <v>44504</v>
      </c>
      <c r="B6251" s="4">
        <v>40325</v>
      </c>
      <c r="C6251" s="4">
        <v>0</v>
      </c>
      <c r="D6251" s="4">
        <v>13100</v>
      </c>
      <c r="E6251" s="4">
        <v>54425</v>
      </c>
      <c r="F6251" s="4">
        <v>0</v>
      </c>
      <c r="G6251" s="4">
        <v>0</v>
      </c>
      <c r="H6251" s="4">
        <v>11750</v>
      </c>
      <c r="I6251" s="118">
        <f t="shared" si="1298"/>
        <v>0.21589343132751493</v>
      </c>
      <c r="J6251" s="4">
        <v>116227</v>
      </c>
      <c r="K6251" s="22">
        <v>2412.5</v>
      </c>
      <c r="L6251" s="6">
        <v>2378</v>
      </c>
      <c r="M6251" s="125">
        <f t="shared" si="1299"/>
        <v>-34.5</v>
      </c>
      <c r="P6251" s="247">
        <v>15550</v>
      </c>
      <c r="Q6251" s="25">
        <f>184.4/1180</f>
        <v>0.15627118644067797</v>
      </c>
      <c r="W6251" s="285">
        <f t="shared" si="1293"/>
        <v>2430.0169491525426</v>
      </c>
      <c r="X6251" s="446">
        <f t="shared" si="1297"/>
        <v>6.4455958549222796</v>
      </c>
    </row>
    <row r="6252" spans="1:24" ht="15" customHeight="1">
      <c r="A6252" s="3">
        <v>44505</v>
      </c>
      <c r="B6252" s="4">
        <v>40325</v>
      </c>
      <c r="C6252" s="4">
        <v>0</v>
      </c>
      <c r="D6252" s="4">
        <v>12950</v>
      </c>
      <c r="E6252" s="4">
        <v>54275</v>
      </c>
      <c r="F6252" s="4">
        <v>0</v>
      </c>
      <c r="G6252" s="4">
        <v>150</v>
      </c>
      <c r="H6252" s="4">
        <v>12475</v>
      </c>
      <c r="I6252" s="118">
        <f t="shared" si="1298"/>
        <v>0.22984799631506217</v>
      </c>
      <c r="J6252" s="4">
        <v>117476</v>
      </c>
      <c r="K6252" s="22">
        <v>2395</v>
      </c>
      <c r="L6252" s="6">
        <v>2361.5</v>
      </c>
      <c r="M6252" s="125">
        <f t="shared" si="1299"/>
        <v>-33.5</v>
      </c>
      <c r="P6252" s="247">
        <v>15400</v>
      </c>
      <c r="Q6252" s="25">
        <f>185.21/1185.2</f>
        <v>0.15626898413769827</v>
      </c>
      <c r="W6252" s="285">
        <f t="shared" ref="W6252:W6305" si="1300">(P6252*Q6252)*(1+U6252)</f>
        <v>2406.5423557205531</v>
      </c>
      <c r="X6252" s="446">
        <f t="shared" si="1297"/>
        <v>6.4300626304801671</v>
      </c>
    </row>
    <row r="6253" spans="1:24" ht="15" customHeight="1">
      <c r="A6253" s="3">
        <v>44508</v>
      </c>
      <c r="B6253" s="4">
        <v>40325</v>
      </c>
      <c r="C6253" s="4">
        <v>0</v>
      </c>
      <c r="D6253" s="4">
        <v>12800</v>
      </c>
      <c r="E6253" s="4">
        <v>54125</v>
      </c>
      <c r="F6253" s="4">
        <v>0</v>
      </c>
      <c r="G6253" s="4">
        <v>150</v>
      </c>
      <c r="H6253" s="4">
        <v>12325</v>
      </c>
      <c r="I6253" s="118">
        <f t="shared" si="1298"/>
        <v>0.22771362586605082</v>
      </c>
      <c r="J6253" s="4">
        <v>116918</v>
      </c>
      <c r="K6253" s="22">
        <v>2390</v>
      </c>
      <c r="L6253" s="6">
        <v>2355.5</v>
      </c>
      <c r="M6253" s="125">
        <f t="shared" si="1299"/>
        <v>-34.5</v>
      </c>
      <c r="P6253" s="247">
        <v>15350</v>
      </c>
      <c r="Q6253" s="25">
        <f>185.15/1184.3</f>
        <v>0.1563370767542008</v>
      </c>
      <c r="W6253" s="285">
        <f t="shared" si="1300"/>
        <v>2399.7741281769822</v>
      </c>
      <c r="X6253" s="446">
        <f t="shared" si="1297"/>
        <v>6.4225941422594142</v>
      </c>
    </row>
    <row r="6254" spans="1:24" ht="15" customHeight="1">
      <c r="A6254" s="3">
        <v>44509</v>
      </c>
      <c r="B6254" s="4">
        <v>40375</v>
      </c>
      <c r="C6254" s="4">
        <v>0</v>
      </c>
      <c r="D6254" s="4">
        <v>12675</v>
      </c>
      <c r="E6254" s="4">
        <v>54050</v>
      </c>
      <c r="F6254" s="4">
        <v>0</v>
      </c>
      <c r="G6254" s="4">
        <v>75</v>
      </c>
      <c r="H6254" s="4">
        <v>12250</v>
      </c>
      <c r="I6254" s="118">
        <f t="shared" si="1298"/>
        <v>0.22664199814986125</v>
      </c>
      <c r="J6254" s="4">
        <v>115730</v>
      </c>
      <c r="K6254" s="22">
        <v>2399</v>
      </c>
      <c r="L6254" s="6">
        <v>2372</v>
      </c>
      <c r="M6254" s="125">
        <f t="shared" si="1299"/>
        <v>-27</v>
      </c>
      <c r="P6254" s="247">
        <v>15400</v>
      </c>
      <c r="Q6254" s="25">
        <f>184.36/1178.4</f>
        <v>0.15644942294636796</v>
      </c>
      <c r="W6254" s="285">
        <f t="shared" si="1300"/>
        <v>2409.3211133740665</v>
      </c>
      <c r="X6254" s="446">
        <f t="shared" si="1297"/>
        <v>6.4193413922467695</v>
      </c>
    </row>
    <row r="6255" spans="1:24" ht="15" customHeight="1">
      <c r="A6255" s="3">
        <v>44510</v>
      </c>
      <c r="B6255" s="4">
        <v>40375</v>
      </c>
      <c r="C6255" s="4">
        <v>0</v>
      </c>
      <c r="D6255" s="4">
        <v>12525</v>
      </c>
      <c r="E6255" s="4">
        <v>53900</v>
      </c>
      <c r="F6255" s="4">
        <v>0</v>
      </c>
      <c r="G6255" s="4">
        <v>150</v>
      </c>
      <c r="H6255" s="4">
        <v>12100</v>
      </c>
      <c r="I6255" s="118">
        <f t="shared" si="1298"/>
        <v>0.22448979591836735</v>
      </c>
      <c r="J6255" s="4">
        <v>116066</v>
      </c>
      <c r="K6255" s="22">
        <v>2350</v>
      </c>
      <c r="L6255" s="6">
        <v>2325</v>
      </c>
      <c r="M6255" s="125">
        <f t="shared" si="1299"/>
        <v>-25</v>
      </c>
      <c r="P6255" s="247">
        <v>15350</v>
      </c>
      <c r="Q6255" s="25">
        <f>184.81/1181</f>
        <v>0.15648602878916174</v>
      </c>
      <c r="W6255" s="285">
        <f t="shared" si="1300"/>
        <v>2402.0605419136327</v>
      </c>
      <c r="X6255" s="446">
        <f t="shared" si="1297"/>
        <v>6.5319148936170217</v>
      </c>
    </row>
    <row r="6256" spans="1:24" ht="15" customHeight="1">
      <c r="A6256" s="3">
        <v>44511</v>
      </c>
      <c r="B6256" s="4">
        <v>40375</v>
      </c>
      <c r="C6256" s="4">
        <v>0</v>
      </c>
      <c r="D6256" s="4">
        <v>12450</v>
      </c>
      <c r="E6256" s="4">
        <v>53825</v>
      </c>
      <c r="F6256" s="4">
        <v>0</v>
      </c>
      <c r="G6256" s="4">
        <v>75</v>
      </c>
      <c r="H6256" s="4">
        <v>12125</v>
      </c>
      <c r="I6256" s="118">
        <f t="shared" si="1298"/>
        <v>0.2252670692057594</v>
      </c>
      <c r="J6256" s="4">
        <v>116282</v>
      </c>
      <c r="K6256" s="22">
        <v>2386</v>
      </c>
      <c r="L6256" s="6">
        <v>2355.5</v>
      </c>
      <c r="M6256" s="125">
        <f t="shared" si="1299"/>
        <v>-30.5</v>
      </c>
      <c r="P6256" s="247">
        <v>15250</v>
      </c>
      <c r="Q6256" s="25">
        <f>185.15/1184.7</f>
        <v>0.15628429138178443</v>
      </c>
      <c r="W6256" s="285">
        <f t="shared" si="1300"/>
        <v>2383.3354435722126</v>
      </c>
      <c r="X6256" s="446">
        <f t="shared" si="1297"/>
        <v>6.3914501257334448</v>
      </c>
    </row>
    <row r="6257" spans="1:24" ht="15" customHeight="1">
      <c r="A6257" s="3">
        <v>44512</v>
      </c>
      <c r="B6257" s="4">
        <v>40375</v>
      </c>
      <c r="C6257" s="4">
        <v>0</v>
      </c>
      <c r="D6257" s="4">
        <v>12325</v>
      </c>
      <c r="E6257" s="4">
        <v>53700</v>
      </c>
      <c r="F6257" s="4">
        <v>0</v>
      </c>
      <c r="G6257" s="4">
        <v>125</v>
      </c>
      <c r="H6257" s="4">
        <v>12025</v>
      </c>
      <c r="I6257" s="118">
        <f t="shared" si="1298"/>
        <v>0.2239292364990689</v>
      </c>
      <c r="J6257" s="4">
        <v>116902</v>
      </c>
      <c r="K6257" s="22">
        <v>2392</v>
      </c>
      <c r="L6257" s="6">
        <v>2354</v>
      </c>
      <c r="M6257" s="125">
        <f t="shared" si="1299"/>
        <v>-38</v>
      </c>
      <c r="P6257" s="247">
        <v>15425</v>
      </c>
      <c r="Q6257" s="25">
        <f>184.48/1179.6</f>
        <v>0.15639199728721601</v>
      </c>
      <c r="W6257" s="285">
        <f t="shared" si="1300"/>
        <v>2412.3465581553069</v>
      </c>
      <c r="X6257" s="446">
        <f t="shared" si="1297"/>
        <v>6.4485785953177261</v>
      </c>
    </row>
    <row r="6258" spans="1:24" ht="15" customHeight="1">
      <c r="A6258" s="3">
        <v>44515</v>
      </c>
      <c r="B6258" s="4">
        <v>40675</v>
      </c>
      <c r="C6258" s="4">
        <v>0</v>
      </c>
      <c r="D6258" s="4">
        <v>12200</v>
      </c>
      <c r="E6258" s="4">
        <v>53875</v>
      </c>
      <c r="F6258" s="4">
        <v>175</v>
      </c>
      <c r="G6258" s="4">
        <v>0</v>
      </c>
      <c r="H6258" s="4">
        <v>12075</v>
      </c>
      <c r="I6258" s="118">
        <f t="shared" si="1298"/>
        <v>0.22412993039443155</v>
      </c>
      <c r="J6258" s="4">
        <v>118107</v>
      </c>
      <c r="K6258" s="22">
        <v>2389</v>
      </c>
      <c r="L6258" s="6">
        <v>2356</v>
      </c>
      <c r="M6258" s="125">
        <f t="shared" si="1299"/>
        <v>-33</v>
      </c>
      <c r="P6258" s="247">
        <v>15225</v>
      </c>
      <c r="Q6258" s="25">
        <f>185.04/1180.2</f>
        <v>0.15678698525673612</v>
      </c>
      <c r="W6258" s="285">
        <f t="shared" si="1300"/>
        <v>2387.0818505338075</v>
      </c>
      <c r="X6258" s="446">
        <f t="shared" si="1297"/>
        <v>6.372959397237338</v>
      </c>
    </row>
    <row r="6259" spans="1:24" ht="15" customHeight="1">
      <c r="A6259" s="3">
        <v>44516</v>
      </c>
      <c r="B6259" s="4">
        <v>44925</v>
      </c>
      <c r="C6259" s="4">
        <v>0</v>
      </c>
      <c r="D6259" s="4">
        <v>12250</v>
      </c>
      <c r="E6259" s="4">
        <v>58175</v>
      </c>
      <c r="F6259" s="4">
        <v>4300</v>
      </c>
      <c r="G6259" s="4">
        <v>0</v>
      </c>
      <c r="H6259" s="4">
        <v>11850</v>
      </c>
      <c r="I6259" s="118">
        <f t="shared" si="1298"/>
        <v>0.20369574559518694</v>
      </c>
      <c r="J6259" s="4">
        <v>117948</v>
      </c>
      <c r="K6259" s="22">
        <v>2344</v>
      </c>
      <c r="L6259" s="6">
        <v>2325</v>
      </c>
      <c r="M6259" s="125">
        <f t="shared" si="1299"/>
        <v>-19</v>
      </c>
      <c r="P6259" s="247">
        <v>15150</v>
      </c>
      <c r="Q6259" s="25">
        <f>185.07/1179.6</f>
        <v>0.15689216683621568</v>
      </c>
      <c r="W6259" s="285">
        <f t="shared" si="1300"/>
        <v>2376.9163275686674</v>
      </c>
      <c r="X6259" s="446">
        <f t="shared" si="1297"/>
        <v>6.4633105802047783</v>
      </c>
    </row>
    <row r="6260" spans="1:24" ht="15" customHeight="1">
      <c r="A6260" s="3">
        <v>44517</v>
      </c>
      <c r="B6260" s="4">
        <v>45325</v>
      </c>
      <c r="C6260" s="5">
        <v>0</v>
      </c>
      <c r="D6260" s="5">
        <v>11625</v>
      </c>
      <c r="E6260" s="5">
        <v>57950</v>
      </c>
      <c r="F6260" s="4">
        <v>400</v>
      </c>
      <c r="G6260" s="4">
        <v>625</v>
      </c>
      <c r="H6260" s="5">
        <v>11250</v>
      </c>
      <c r="I6260" s="118">
        <f t="shared" si="1298"/>
        <v>0.19413287316652286</v>
      </c>
      <c r="J6260" s="4">
        <v>117104</v>
      </c>
      <c r="K6260" s="22">
        <v>2281.5</v>
      </c>
      <c r="L6260" s="6">
        <v>2282</v>
      </c>
      <c r="M6260" s="125">
        <f t="shared" si="1299"/>
        <v>0.5</v>
      </c>
      <c r="P6260" s="247">
        <v>14950</v>
      </c>
      <c r="Q6260" s="25">
        <f>185.37/1183.6</f>
        <v>0.15661541061169315</v>
      </c>
      <c r="W6260" s="285">
        <f t="shared" si="1300"/>
        <v>2341.4003886448127</v>
      </c>
      <c r="X6260" s="446">
        <f t="shared" si="1297"/>
        <v>6.5527065527065531</v>
      </c>
    </row>
    <row r="6261" spans="1:24" ht="15" customHeight="1">
      <c r="A6261" s="3">
        <v>44518</v>
      </c>
      <c r="B6261" s="4">
        <v>45325</v>
      </c>
      <c r="C6261" s="5">
        <v>0</v>
      </c>
      <c r="D6261" s="4">
        <v>11425</v>
      </c>
      <c r="E6261" s="4">
        <v>57750</v>
      </c>
      <c r="F6261" s="4">
        <v>0</v>
      </c>
      <c r="G6261" s="4">
        <v>200</v>
      </c>
      <c r="H6261" s="5">
        <v>11050</v>
      </c>
      <c r="I6261" s="118">
        <f t="shared" si="1298"/>
        <v>0.19134199134199134</v>
      </c>
      <c r="J6261" s="4">
        <v>118071</v>
      </c>
      <c r="K6261" s="22">
        <v>2239</v>
      </c>
      <c r="L6261" s="6">
        <v>2239</v>
      </c>
      <c r="M6261" s="125">
        <f t="shared" si="1299"/>
        <v>0</v>
      </c>
      <c r="P6261" s="247">
        <v>14850</v>
      </c>
      <c r="Q6261" s="25">
        <f>185.07/1180.5</f>
        <v>0.15677255400254128</v>
      </c>
      <c r="W6261" s="285">
        <f t="shared" si="1300"/>
        <v>2328.0724269377379</v>
      </c>
      <c r="X6261" s="446">
        <f t="shared" si="1297"/>
        <v>6.6324251898168827</v>
      </c>
    </row>
    <row r="6262" spans="1:24" ht="15" customHeight="1">
      <c r="A6262" s="3">
        <v>44519</v>
      </c>
      <c r="B6262" s="4">
        <v>45325</v>
      </c>
      <c r="C6262" s="5">
        <v>0</v>
      </c>
      <c r="D6262" s="4">
        <v>11250</v>
      </c>
      <c r="E6262" s="4">
        <v>57575</v>
      </c>
      <c r="F6262" s="4">
        <v>0</v>
      </c>
      <c r="G6262" s="4">
        <v>175</v>
      </c>
      <c r="H6262" s="4">
        <v>11725</v>
      </c>
      <c r="I6262" s="118">
        <f t="shared" si="1298"/>
        <v>0.20364741641337386</v>
      </c>
      <c r="J6262" s="4">
        <v>119347</v>
      </c>
      <c r="K6262" s="22">
        <v>2230</v>
      </c>
      <c r="L6262" s="6">
        <v>2222</v>
      </c>
      <c r="M6262" s="125">
        <f t="shared" si="1299"/>
        <v>-8</v>
      </c>
      <c r="P6262" s="247">
        <v>14725</v>
      </c>
      <c r="Q6262" s="25">
        <f>185.33/1183.5</f>
        <v>0.15659484579636673</v>
      </c>
      <c r="W6262" s="285">
        <f t="shared" si="1300"/>
        <v>2305.8591043515003</v>
      </c>
      <c r="X6262" s="446">
        <f t="shared" si="1297"/>
        <v>6.6031390134529149</v>
      </c>
    </row>
    <row r="6263" spans="1:24" ht="15" customHeight="1">
      <c r="A6263" s="3">
        <v>44522</v>
      </c>
      <c r="B6263" s="4">
        <v>45825</v>
      </c>
      <c r="C6263" s="5">
        <v>0</v>
      </c>
      <c r="D6263" s="4">
        <v>10975</v>
      </c>
      <c r="E6263" s="4">
        <v>57800</v>
      </c>
      <c r="F6263" s="4">
        <v>225</v>
      </c>
      <c r="G6263" s="4">
        <v>0</v>
      </c>
      <c r="H6263" s="4">
        <v>11550</v>
      </c>
      <c r="I6263" s="118">
        <f t="shared" si="1298"/>
        <v>0.19982698961937717</v>
      </c>
      <c r="J6263" s="4">
        <v>118971</v>
      </c>
      <c r="K6263" s="22">
        <v>2238</v>
      </c>
      <c r="L6263" s="6">
        <v>2229</v>
      </c>
      <c r="M6263" s="125">
        <f t="shared" si="1299"/>
        <v>-9</v>
      </c>
      <c r="P6263" s="247">
        <v>14775</v>
      </c>
      <c r="Q6263" s="25">
        <f>185.94/1187.4</f>
        <v>0.1565942395149065</v>
      </c>
      <c r="W6263" s="285">
        <f t="shared" si="1300"/>
        <v>2313.6798888327435</v>
      </c>
      <c r="X6263" s="446">
        <f t="shared" si="1297"/>
        <v>6.6018766756032168</v>
      </c>
    </row>
    <row r="6264" spans="1:24" ht="15" customHeight="1">
      <c r="A6264" s="3">
        <v>44523</v>
      </c>
      <c r="B6264" s="4">
        <v>45825</v>
      </c>
      <c r="C6264" s="5">
        <v>0</v>
      </c>
      <c r="D6264" s="4">
        <v>10950</v>
      </c>
      <c r="E6264" s="4">
        <v>57775</v>
      </c>
      <c r="F6264" s="4">
        <v>0</v>
      </c>
      <c r="G6264" s="4">
        <v>25</v>
      </c>
      <c r="H6264" s="4">
        <v>11025</v>
      </c>
      <c r="I6264" s="118">
        <f t="shared" si="1298"/>
        <v>0.19082648204240588</v>
      </c>
      <c r="J6264" s="4">
        <v>117955</v>
      </c>
      <c r="K6264" s="22">
        <v>2277</v>
      </c>
      <c r="L6264" s="6">
        <v>2255.5</v>
      </c>
      <c r="M6264" s="125">
        <f t="shared" si="1299"/>
        <v>-21.5</v>
      </c>
      <c r="P6264" s="247">
        <v>14900</v>
      </c>
      <c r="Q6264" s="25">
        <f>186.13/1188.9</f>
        <v>0.15655648078055343</v>
      </c>
      <c r="W6264" s="285">
        <f t="shared" si="1300"/>
        <v>2332.691563630246</v>
      </c>
      <c r="X6264" s="446">
        <f t="shared" si="1297"/>
        <v>6.5436978480456744</v>
      </c>
    </row>
    <row r="6265" spans="1:24" ht="15" customHeight="1">
      <c r="A6265" s="3">
        <v>44524</v>
      </c>
      <c r="B6265" s="4">
        <v>46300</v>
      </c>
      <c r="C6265" s="5">
        <v>0</v>
      </c>
      <c r="D6265" s="4">
        <v>10850</v>
      </c>
      <c r="E6265" s="4">
        <v>58150</v>
      </c>
      <c r="F6265" s="4">
        <v>375</v>
      </c>
      <c r="G6265" s="4">
        <v>0</v>
      </c>
      <c r="H6265" s="4">
        <v>10925</v>
      </c>
      <c r="I6265" s="118">
        <f t="shared" si="1298"/>
        <v>0.1878761822871883</v>
      </c>
      <c r="J6265" s="4">
        <v>114904</v>
      </c>
      <c r="K6265" s="22">
        <v>2320</v>
      </c>
      <c r="L6265" s="6">
        <v>2269</v>
      </c>
      <c r="M6265" s="125">
        <f t="shared" si="1299"/>
        <v>-51</v>
      </c>
      <c r="P6265" s="247">
        <v>15050</v>
      </c>
      <c r="Q6265" s="25">
        <f>186.07/1188.5</f>
        <v>0.15655868742111906</v>
      </c>
      <c r="W6265" s="285">
        <f t="shared" si="1300"/>
        <v>2356.208245687842</v>
      </c>
      <c r="X6265" s="446">
        <f t="shared" si="1297"/>
        <v>6.4870689655172411</v>
      </c>
    </row>
    <row r="6266" spans="1:24" ht="15" customHeight="1">
      <c r="A6266" s="3">
        <v>44525</v>
      </c>
      <c r="B6266" s="4">
        <v>46300</v>
      </c>
      <c r="C6266" s="5">
        <v>0</v>
      </c>
      <c r="D6266" s="4">
        <v>10100</v>
      </c>
      <c r="E6266" s="4">
        <v>57400</v>
      </c>
      <c r="F6266" s="4">
        <v>0</v>
      </c>
      <c r="G6266" s="4">
        <v>750</v>
      </c>
      <c r="H6266" s="4">
        <v>10325</v>
      </c>
      <c r="I6266" s="118">
        <f t="shared" si="1298"/>
        <v>0.1798780487804878</v>
      </c>
      <c r="J6266" s="4">
        <v>114611</v>
      </c>
      <c r="K6266" s="22">
        <v>2331</v>
      </c>
      <c r="L6266" s="6">
        <v>2280</v>
      </c>
      <c r="M6266" s="125">
        <f t="shared" si="1299"/>
        <v>-51</v>
      </c>
      <c r="P6266" s="247">
        <v>15125</v>
      </c>
      <c r="Q6266" s="25">
        <f>186.14/1189.7</f>
        <v>0.15645961166680675</v>
      </c>
      <c r="W6266" s="285">
        <f t="shared" si="1300"/>
        <v>2366.4516264604522</v>
      </c>
      <c r="X6266" s="446">
        <f t="shared" si="1297"/>
        <v>6.4886314886314889</v>
      </c>
    </row>
    <row r="6267" spans="1:24" ht="15" customHeight="1">
      <c r="A6267" s="3">
        <v>44526</v>
      </c>
      <c r="B6267" s="4">
        <v>46300</v>
      </c>
      <c r="C6267" s="5">
        <v>0</v>
      </c>
      <c r="D6267" s="4">
        <v>10050</v>
      </c>
      <c r="E6267" s="4">
        <v>57350</v>
      </c>
      <c r="F6267" s="4">
        <v>0</v>
      </c>
      <c r="G6267" s="4">
        <v>50</v>
      </c>
      <c r="H6267" s="4">
        <v>10275</v>
      </c>
      <c r="I6267" s="118">
        <f t="shared" si="1298"/>
        <v>0.17916303400174369</v>
      </c>
      <c r="J6267" s="4">
        <v>114226</v>
      </c>
      <c r="K6267" s="22">
        <v>2296</v>
      </c>
      <c r="L6267" s="6">
        <v>2259</v>
      </c>
      <c r="M6267" s="125">
        <f t="shared" si="1299"/>
        <v>-37</v>
      </c>
      <c r="P6267" s="247">
        <v>15275</v>
      </c>
      <c r="Q6267" s="25">
        <f>186.64/1193</f>
        <v>0.15644593461860853</v>
      </c>
      <c r="W6267" s="285">
        <f t="shared" si="1300"/>
        <v>2389.7116512992452</v>
      </c>
      <c r="X6267" s="446">
        <f t="shared" si="1297"/>
        <v>6.6528745644599301</v>
      </c>
    </row>
    <row r="6268" spans="1:24" ht="15" customHeight="1">
      <c r="A6268" s="3">
        <v>44529</v>
      </c>
      <c r="B6268" s="4">
        <v>46300</v>
      </c>
      <c r="C6268" s="5">
        <v>0</v>
      </c>
      <c r="D6268" s="4">
        <v>10000</v>
      </c>
      <c r="E6268" s="4">
        <v>57300</v>
      </c>
      <c r="F6268" s="4">
        <v>0</v>
      </c>
      <c r="G6268" s="4">
        <v>50</v>
      </c>
      <c r="H6268" s="4">
        <v>10225</v>
      </c>
      <c r="I6268" s="118">
        <f t="shared" si="1298"/>
        <v>0.17844677137870854</v>
      </c>
      <c r="J6268" s="4">
        <v>114258</v>
      </c>
      <c r="K6268" s="22">
        <v>2357</v>
      </c>
      <c r="L6268" s="6">
        <v>2315</v>
      </c>
      <c r="M6268" s="125">
        <f t="shared" si="1299"/>
        <v>-42</v>
      </c>
      <c r="P6268" s="247">
        <v>15325</v>
      </c>
      <c r="Q6268" s="25">
        <f>186.8/1193.4</f>
        <v>0.15652756829227418</v>
      </c>
      <c r="W6268" s="285">
        <f t="shared" si="1300"/>
        <v>2398.7849840791018</v>
      </c>
      <c r="X6268" s="446">
        <f t="shared" si="1297"/>
        <v>6.5019092066185831</v>
      </c>
    </row>
    <row r="6269" spans="1:24" ht="15" customHeight="1">
      <c r="A6269" s="3">
        <v>44530</v>
      </c>
      <c r="B6269" s="4">
        <v>46300</v>
      </c>
      <c r="C6269" s="5">
        <v>0</v>
      </c>
      <c r="D6269" s="4">
        <v>9850</v>
      </c>
      <c r="E6269" s="4">
        <v>57150</v>
      </c>
      <c r="F6269" s="4">
        <v>0</v>
      </c>
      <c r="G6269" s="4">
        <v>150</v>
      </c>
      <c r="H6269" s="4">
        <v>10075</v>
      </c>
      <c r="I6269" s="118">
        <f t="shared" si="1298"/>
        <v>0.17629046369203849</v>
      </c>
      <c r="J6269" s="4">
        <v>114661</v>
      </c>
      <c r="K6269" s="22">
        <v>2344</v>
      </c>
      <c r="L6269" s="6">
        <v>2303</v>
      </c>
      <c r="M6269" s="125">
        <f t="shared" si="1299"/>
        <v>-41</v>
      </c>
      <c r="N6269" s="425">
        <f>AVERAGE(K6248:K6269)</f>
        <v>2347.568181818182</v>
      </c>
      <c r="O6269" s="395">
        <f>AVERAGE($K$6023:K6269)</f>
        <v>2197.3038793103447</v>
      </c>
      <c r="P6269" s="247">
        <v>15325</v>
      </c>
      <c r="Q6269" s="25">
        <f>186.26/1187.7</f>
        <v>0.15682411383345962</v>
      </c>
      <c r="W6269" s="285">
        <f t="shared" si="1300"/>
        <v>2403.3295444977689</v>
      </c>
      <c r="X6269" s="446">
        <f t="shared" si="1297"/>
        <v>6.5379692832764507</v>
      </c>
    </row>
    <row r="6270" spans="1:24" ht="15" customHeight="1" thickBot="1">
      <c r="A6270" s="394"/>
      <c r="B6270" s="394"/>
      <c r="C6270" s="394"/>
      <c r="D6270" s="394"/>
      <c r="E6270" s="216"/>
      <c r="F6270" s="407"/>
      <c r="G6270" s="164"/>
      <c r="H6270" s="164"/>
      <c r="I6270" s="166"/>
      <c r="J6270" s="166"/>
      <c r="K6270" s="166"/>
      <c r="L6270" s="167"/>
      <c r="M6270" s="167"/>
      <c r="N6270" s="167"/>
      <c r="O6270" s="167"/>
      <c r="P6270" s="180"/>
      <c r="Q6270" s="180"/>
      <c r="R6270" s="248"/>
      <c r="S6270" s="249"/>
      <c r="T6270" s="249"/>
      <c r="U6270" s="152"/>
      <c r="V6270" s="153">
        <f>AVERAGE(P6248:P6269)</f>
        <v>15227.272727272728</v>
      </c>
      <c r="W6270" s="180"/>
      <c r="X6270" s="447">
        <f>V6270/N6269</f>
        <v>6.4864027572052319</v>
      </c>
    </row>
    <row r="6271" spans="1:24" ht="15" customHeight="1">
      <c r="A6271" s="3">
        <v>44531</v>
      </c>
      <c r="B6271" s="4">
        <v>46300</v>
      </c>
      <c r="C6271" s="5">
        <v>0</v>
      </c>
      <c r="D6271" s="4">
        <v>9475</v>
      </c>
      <c r="E6271" s="4">
        <v>56775</v>
      </c>
      <c r="F6271" s="4">
        <v>0</v>
      </c>
      <c r="G6271" s="4">
        <v>375</v>
      </c>
      <c r="H6271" s="4">
        <v>9700</v>
      </c>
      <c r="I6271" s="118">
        <f t="shared" si="1298"/>
        <v>0.17084984588287097</v>
      </c>
      <c r="J6271" s="4">
        <v>112160</v>
      </c>
      <c r="K6271" s="22">
        <v>2325</v>
      </c>
      <c r="L6271" s="6">
        <v>2288</v>
      </c>
      <c r="M6271" s="125">
        <f t="shared" si="1299"/>
        <v>-37</v>
      </c>
      <c r="P6271" s="247">
        <v>15225</v>
      </c>
      <c r="Q6271" s="25">
        <f>185.1/1180.3</f>
        <v>0.15682453613488095</v>
      </c>
      <c r="W6271" s="285">
        <f t="shared" si="1300"/>
        <v>2387.6535626535624</v>
      </c>
      <c r="X6271" s="446">
        <f t="shared" si="1297"/>
        <v>6.5483870967741939</v>
      </c>
    </row>
    <row r="6272" spans="1:24" ht="15" customHeight="1">
      <c r="A6272" s="3">
        <v>44532</v>
      </c>
      <c r="B6272" s="4">
        <v>46300</v>
      </c>
      <c r="C6272" s="5">
        <v>0</v>
      </c>
      <c r="D6272" s="4">
        <v>9175</v>
      </c>
      <c r="E6272" s="4">
        <v>56475</v>
      </c>
      <c r="F6272" s="4">
        <v>0</v>
      </c>
      <c r="G6272" s="4">
        <v>300</v>
      </c>
      <c r="H6272" s="4">
        <v>9400</v>
      </c>
      <c r="I6272" s="118">
        <f t="shared" si="1298"/>
        <v>0.16644532979194335</v>
      </c>
      <c r="J6272" s="4">
        <v>112311</v>
      </c>
      <c r="K6272" s="22">
        <v>2310</v>
      </c>
      <c r="L6272" s="6">
        <v>2290</v>
      </c>
      <c r="M6272" s="125">
        <f t="shared" si="1299"/>
        <v>-20</v>
      </c>
      <c r="P6272" s="247">
        <v>15225</v>
      </c>
      <c r="Q6272" s="25">
        <f>184.83/1177.3</f>
        <v>0.15699481865284975</v>
      </c>
      <c r="W6272" s="285">
        <f t="shared" si="1300"/>
        <v>2390.2461139896377</v>
      </c>
      <c r="X6272" s="446">
        <f t="shared" si="1297"/>
        <v>6.5909090909090908</v>
      </c>
    </row>
    <row r="6273" spans="1:24" ht="15" customHeight="1">
      <c r="A6273" s="3">
        <v>44533</v>
      </c>
      <c r="B6273" s="4">
        <v>46300</v>
      </c>
      <c r="C6273" s="5">
        <v>0</v>
      </c>
      <c r="D6273" s="4">
        <v>8600</v>
      </c>
      <c r="E6273" s="4">
        <v>55900</v>
      </c>
      <c r="F6273" s="4">
        <v>0</v>
      </c>
      <c r="G6273" s="4">
        <v>575</v>
      </c>
      <c r="H6273" s="4">
        <v>8825</v>
      </c>
      <c r="I6273" s="118">
        <f t="shared" si="1298"/>
        <v>0.15787119856887299</v>
      </c>
      <c r="J6273" s="4">
        <v>110757</v>
      </c>
      <c r="K6273" s="22">
        <v>2231</v>
      </c>
      <c r="L6273" s="6">
        <v>2232</v>
      </c>
      <c r="M6273" s="125">
        <f t="shared" si="1299"/>
        <v>1</v>
      </c>
      <c r="P6273" s="247">
        <v>15100</v>
      </c>
      <c r="Q6273" s="25">
        <f>184.95/1178.6</f>
        <v>0.15692346852197522</v>
      </c>
      <c r="W6273" s="285">
        <f t="shared" si="1300"/>
        <v>2369.544374681826</v>
      </c>
      <c r="X6273" s="446">
        <f t="shared" si="1297"/>
        <v>6.7682653518601521</v>
      </c>
    </row>
    <row r="6274" spans="1:24" ht="15" customHeight="1">
      <c r="A6274" s="3">
        <v>44536</v>
      </c>
      <c r="B6274" s="4">
        <v>46300</v>
      </c>
      <c r="C6274" s="5">
        <v>0</v>
      </c>
      <c r="D6274" s="4">
        <v>8275</v>
      </c>
      <c r="E6274" s="4">
        <v>56375</v>
      </c>
      <c r="F6274" s="4">
        <v>475</v>
      </c>
      <c r="G6274" s="4">
        <v>0</v>
      </c>
      <c r="H6274" s="4">
        <v>8500</v>
      </c>
      <c r="I6274" s="118">
        <f t="shared" si="1298"/>
        <v>0.15077605321507762</v>
      </c>
      <c r="J6274" s="4">
        <v>110667</v>
      </c>
      <c r="K6274" s="22">
        <v>2235</v>
      </c>
      <c r="L6274" s="6">
        <v>2217</v>
      </c>
      <c r="M6274" s="125">
        <f t="shared" ref="M6274:M6288" si="1301">L6274-K6274</f>
        <v>-18</v>
      </c>
      <c r="P6274" s="247">
        <v>14850</v>
      </c>
      <c r="Q6274" s="25">
        <f>185.73/1183.7</f>
        <v>0.15690631072062178</v>
      </c>
      <c r="W6274" s="285">
        <f t="shared" si="1300"/>
        <v>2330.0587142012332</v>
      </c>
      <c r="X6274" s="446">
        <f t="shared" si="1297"/>
        <v>6.6442953020134228</v>
      </c>
    </row>
    <row r="6275" spans="1:24" ht="15" customHeight="1">
      <c r="A6275" s="3">
        <v>44537</v>
      </c>
      <c r="B6275" s="4">
        <v>45800</v>
      </c>
      <c r="C6275" s="5">
        <v>0</v>
      </c>
      <c r="D6275" s="4">
        <v>8125</v>
      </c>
      <c r="E6275" s="4">
        <v>55725</v>
      </c>
      <c r="F6275" s="4">
        <v>0</v>
      </c>
      <c r="G6275" s="4">
        <v>650</v>
      </c>
      <c r="H6275" s="4">
        <v>7850</v>
      </c>
      <c r="I6275" s="118">
        <f t="shared" si="1298"/>
        <v>0.14087034544638852</v>
      </c>
      <c r="J6275" s="4">
        <v>110133</v>
      </c>
      <c r="K6275" s="22">
        <v>2228</v>
      </c>
      <c r="L6275" s="6">
        <v>2214.5</v>
      </c>
      <c r="M6275" s="125">
        <f t="shared" si="1301"/>
        <v>-13.5</v>
      </c>
      <c r="P6275" s="247">
        <v>14850</v>
      </c>
      <c r="Q6275" s="25">
        <f>185.41/1181.2</f>
        <v>0.15696749068743648</v>
      </c>
      <c r="W6275" s="285">
        <f t="shared" si="1300"/>
        <v>2330.9672367084318</v>
      </c>
      <c r="X6275" s="446">
        <f t="shared" si="1297"/>
        <v>6.6651705565529626</v>
      </c>
    </row>
    <row r="6276" spans="1:24" ht="15" customHeight="1">
      <c r="A6276" s="3">
        <v>44538</v>
      </c>
      <c r="B6276" s="4">
        <v>45800</v>
      </c>
      <c r="C6276" s="5">
        <v>0</v>
      </c>
      <c r="D6276" s="4">
        <v>8050</v>
      </c>
      <c r="E6276" s="4">
        <v>55650</v>
      </c>
      <c r="F6276" s="4">
        <v>0</v>
      </c>
      <c r="G6276" s="4">
        <v>75</v>
      </c>
      <c r="H6276" s="4">
        <v>7775</v>
      </c>
      <c r="I6276" s="118">
        <f t="shared" si="1298"/>
        <v>0.13971248876909254</v>
      </c>
      <c r="J6276" s="4">
        <v>109839</v>
      </c>
      <c r="K6276" s="22">
        <v>2250</v>
      </c>
      <c r="L6276" s="6">
        <v>2225.5</v>
      </c>
      <c r="M6276" s="125">
        <f t="shared" si="1301"/>
        <v>-24.5</v>
      </c>
      <c r="P6276" s="247">
        <v>15050</v>
      </c>
      <c r="Q6276" s="25">
        <f>184.93/1176.4</f>
        <v>0.15719993199591975</v>
      </c>
      <c r="W6276" s="285">
        <f t="shared" si="1300"/>
        <v>2365.8589765385923</v>
      </c>
      <c r="X6276" s="446">
        <f t="shared" si="1297"/>
        <v>6.6888888888888891</v>
      </c>
    </row>
    <row r="6277" spans="1:24" ht="15" customHeight="1">
      <c r="A6277" s="3">
        <v>44539</v>
      </c>
      <c r="B6277" s="4">
        <v>45800</v>
      </c>
      <c r="C6277" s="5">
        <v>0</v>
      </c>
      <c r="D6277" s="4">
        <v>8050</v>
      </c>
      <c r="E6277" s="4">
        <v>55650</v>
      </c>
      <c r="F6277" s="4">
        <v>0</v>
      </c>
      <c r="G6277" s="4">
        <v>0</v>
      </c>
      <c r="H6277" s="4">
        <v>7825</v>
      </c>
      <c r="I6277" s="118">
        <f t="shared" si="1298"/>
        <v>0.14061096136567836</v>
      </c>
      <c r="J6277" s="4">
        <v>111326</v>
      </c>
      <c r="K6277" s="22">
        <v>2330</v>
      </c>
      <c r="L6277" s="6">
        <v>2282.5</v>
      </c>
      <c r="M6277" s="125">
        <f t="shared" si="1301"/>
        <v>-47.5</v>
      </c>
      <c r="P6277" s="247">
        <v>15350</v>
      </c>
      <c r="Q6277" s="25">
        <f>185.12/1173.8</f>
        <v>0.15771000170386779</v>
      </c>
      <c r="W6277" s="285">
        <f t="shared" si="1300"/>
        <v>2420.8485261543706</v>
      </c>
      <c r="X6277" s="446">
        <f t="shared" si="1297"/>
        <v>6.5879828326180254</v>
      </c>
    </row>
    <row r="6278" spans="1:24" ht="15" customHeight="1">
      <c r="A6278" s="3">
        <v>44540</v>
      </c>
      <c r="B6278" s="4">
        <v>46100</v>
      </c>
      <c r="C6278" s="5">
        <v>0</v>
      </c>
      <c r="D6278" s="4">
        <v>7900</v>
      </c>
      <c r="E6278" s="4">
        <v>55800</v>
      </c>
      <c r="F6278" s="4">
        <v>150</v>
      </c>
      <c r="G6278" s="4">
        <v>0</v>
      </c>
      <c r="H6278" s="4">
        <v>8175</v>
      </c>
      <c r="I6278" s="118">
        <f t="shared" si="1298"/>
        <v>0.14650537634408603</v>
      </c>
      <c r="J6278" s="4">
        <v>111572</v>
      </c>
      <c r="K6278" s="22">
        <v>2280</v>
      </c>
      <c r="L6278" s="6">
        <v>2265</v>
      </c>
      <c r="M6278" s="125">
        <f t="shared" si="1301"/>
        <v>-15</v>
      </c>
      <c r="P6278" s="247">
        <v>15350</v>
      </c>
      <c r="Q6278" s="25">
        <f>184.86/1178.2</f>
        <v>0.1569003564759803</v>
      </c>
      <c r="W6278" s="285">
        <f t="shared" si="1300"/>
        <v>2408.4204719062977</v>
      </c>
      <c r="X6278" s="446">
        <f t="shared" si="1297"/>
        <v>6.7324561403508776</v>
      </c>
    </row>
    <row r="6279" spans="1:24" ht="15" customHeight="1">
      <c r="A6279" s="3">
        <v>44543</v>
      </c>
      <c r="B6279" s="4">
        <v>46100</v>
      </c>
      <c r="C6279" s="5">
        <v>0</v>
      </c>
      <c r="D6279" s="4">
        <v>7750</v>
      </c>
      <c r="E6279" s="4">
        <v>55650</v>
      </c>
      <c r="F6279" s="4">
        <v>0</v>
      </c>
      <c r="G6279" s="4">
        <v>150</v>
      </c>
      <c r="H6279" s="4">
        <v>8025</v>
      </c>
      <c r="I6279" s="118">
        <f t="shared" si="1298"/>
        <v>0.14420485175202155</v>
      </c>
      <c r="J6279" s="4">
        <v>111735</v>
      </c>
      <c r="K6279" s="22">
        <v>2341</v>
      </c>
      <c r="L6279" s="6">
        <v>2310</v>
      </c>
      <c r="M6279" s="125">
        <f t="shared" si="1301"/>
        <v>-31</v>
      </c>
      <c r="P6279" s="247">
        <v>15600</v>
      </c>
      <c r="Q6279" s="25">
        <f>185.14/1178.8</f>
        <v>0.15705802511028163</v>
      </c>
      <c r="W6279" s="285">
        <f t="shared" si="1300"/>
        <v>2450.1051917203936</v>
      </c>
      <c r="X6279" s="446">
        <f t="shared" si="1297"/>
        <v>6.6638188808201626</v>
      </c>
    </row>
    <row r="6280" spans="1:24" ht="15" customHeight="1">
      <c r="A6280" s="3">
        <v>44544</v>
      </c>
      <c r="B6280" s="4">
        <v>46100</v>
      </c>
      <c r="C6280" s="5">
        <v>0</v>
      </c>
      <c r="D6280" s="4">
        <v>7625</v>
      </c>
      <c r="E6280" s="4">
        <v>55525</v>
      </c>
      <c r="F6280" s="4">
        <v>0</v>
      </c>
      <c r="G6280" s="4">
        <v>125</v>
      </c>
      <c r="H6280" s="4">
        <v>7900</v>
      </c>
      <c r="I6280" s="118">
        <f t="shared" si="1298"/>
        <v>0.14227825303917155</v>
      </c>
      <c r="J6280" s="4">
        <v>101195</v>
      </c>
      <c r="K6280" s="22">
        <v>2324</v>
      </c>
      <c r="L6280" s="6">
        <v>2306</v>
      </c>
      <c r="M6280" s="125">
        <f t="shared" si="1301"/>
        <v>-18</v>
      </c>
      <c r="P6280" s="247">
        <v>15600</v>
      </c>
      <c r="Q6280" s="25">
        <f>185.77/1183.6</f>
        <v>0.15695336262250761</v>
      </c>
      <c r="W6280" s="285">
        <f t="shared" si="1300"/>
        <v>2448.4724569111186</v>
      </c>
      <c r="X6280" s="446">
        <f t="shared" si="1297"/>
        <v>6.7125645438898447</v>
      </c>
    </row>
    <row r="6281" spans="1:24" ht="15" customHeight="1">
      <c r="A6281" s="3">
        <v>44545</v>
      </c>
      <c r="B6281" s="4">
        <v>46100</v>
      </c>
      <c r="C6281" s="5">
        <v>0</v>
      </c>
      <c r="D6281" s="4">
        <v>7550</v>
      </c>
      <c r="E6281" s="4">
        <v>55450</v>
      </c>
      <c r="F6281" s="4">
        <v>0</v>
      </c>
      <c r="G6281" s="4">
        <v>75</v>
      </c>
      <c r="H6281" s="4">
        <v>7900</v>
      </c>
      <c r="I6281" s="118">
        <f t="shared" si="1298"/>
        <v>0.1424706943192065</v>
      </c>
      <c r="J6281" s="4">
        <v>99978</v>
      </c>
      <c r="K6281" s="22">
        <v>2307</v>
      </c>
      <c r="L6281" s="6">
        <v>2279</v>
      </c>
      <c r="M6281" s="125">
        <f t="shared" si="1301"/>
        <v>-28</v>
      </c>
      <c r="P6281" s="247">
        <v>15325</v>
      </c>
      <c r="Q6281" s="25">
        <f>186.03/1186.2</f>
        <v>0.15682852807283762</v>
      </c>
      <c r="W6281" s="285">
        <f t="shared" si="1300"/>
        <v>2403.3971927162365</v>
      </c>
      <c r="X6281" s="446">
        <f t="shared" si="1297"/>
        <v>6.6428261811876901</v>
      </c>
    </row>
    <row r="6282" spans="1:24" ht="15" customHeight="1">
      <c r="A6282" s="3">
        <v>44546</v>
      </c>
      <c r="B6282" s="4">
        <v>46100</v>
      </c>
      <c r="C6282" s="5">
        <v>0</v>
      </c>
      <c r="D6282" s="4">
        <v>7375</v>
      </c>
      <c r="E6282" s="4">
        <v>55275</v>
      </c>
      <c r="F6282" s="4">
        <v>0</v>
      </c>
      <c r="G6282" s="4">
        <v>175</v>
      </c>
      <c r="H6282" s="4">
        <v>7725</v>
      </c>
      <c r="I6282" s="118">
        <f t="shared" si="1298"/>
        <v>0.13975576662143827</v>
      </c>
      <c r="J6282" s="4">
        <v>100279</v>
      </c>
      <c r="K6282" s="22">
        <v>2355</v>
      </c>
      <c r="L6282" s="6">
        <v>2318</v>
      </c>
      <c r="M6282" s="125">
        <f t="shared" si="1301"/>
        <v>-37</v>
      </c>
      <c r="P6282" s="247">
        <v>15275</v>
      </c>
      <c r="Q6282" s="25">
        <f>185.6/1183.5</f>
        <v>0.15682298267849598</v>
      </c>
      <c r="W6282" s="285">
        <f t="shared" si="1300"/>
        <v>2395.4710604140259</v>
      </c>
      <c r="X6282" s="446">
        <f t="shared" si="1297"/>
        <v>6.4861995753715496</v>
      </c>
    </row>
    <row r="6283" spans="1:24" ht="15" customHeight="1">
      <c r="A6283" s="3">
        <v>44547</v>
      </c>
      <c r="B6283" s="4">
        <v>46100</v>
      </c>
      <c r="C6283" s="5">
        <v>0</v>
      </c>
      <c r="D6283" s="4">
        <v>7275</v>
      </c>
      <c r="E6283" s="4">
        <v>55175</v>
      </c>
      <c r="F6283" s="4">
        <v>0</v>
      </c>
      <c r="G6283" s="4">
        <v>100</v>
      </c>
      <c r="H6283" s="4">
        <v>7625</v>
      </c>
      <c r="I6283" s="118">
        <f t="shared" si="1298"/>
        <v>0.13819664703217036</v>
      </c>
      <c r="J6283" s="4">
        <v>100481</v>
      </c>
      <c r="K6283" s="22">
        <v>2324</v>
      </c>
      <c r="L6283" s="6">
        <v>2312.5</v>
      </c>
      <c r="M6283" s="125">
        <f t="shared" si="1301"/>
        <v>-11.5</v>
      </c>
      <c r="P6283" s="247">
        <v>15550</v>
      </c>
      <c r="Q6283" s="25">
        <f>185.93/1184.4</f>
        <v>0.15698243836541709</v>
      </c>
      <c r="W6283" s="285">
        <f t="shared" si="1300"/>
        <v>2441.0769165822358</v>
      </c>
      <c r="X6283" s="446">
        <f t="shared" si="1297"/>
        <v>6.6910499139414803</v>
      </c>
    </row>
    <row r="6284" spans="1:24" ht="15" customHeight="1">
      <c r="A6284" s="3">
        <v>44550</v>
      </c>
      <c r="B6284" s="4">
        <v>46100</v>
      </c>
      <c r="C6284" s="5">
        <v>0</v>
      </c>
      <c r="D6284" s="4">
        <v>7200</v>
      </c>
      <c r="E6284" s="4">
        <v>55100</v>
      </c>
      <c r="F6284" s="4">
        <v>0</v>
      </c>
      <c r="G6284" s="4">
        <v>75</v>
      </c>
      <c r="H6284" s="4">
        <v>7550</v>
      </c>
      <c r="I6284" s="118">
        <f t="shared" si="1298"/>
        <v>0.13702359346642468</v>
      </c>
      <c r="J6284" s="4">
        <v>101146</v>
      </c>
      <c r="K6284" s="22">
        <v>2332</v>
      </c>
      <c r="L6284" s="6">
        <v>2307</v>
      </c>
      <c r="M6284" s="125">
        <f t="shared" si="1301"/>
        <v>-25</v>
      </c>
      <c r="P6284" s="247">
        <v>15325</v>
      </c>
      <c r="Q6284" s="25">
        <f>186.04/1189.8</f>
        <v>0.15636241385106742</v>
      </c>
      <c r="W6284" s="285">
        <f t="shared" si="1300"/>
        <v>2396.2539922676083</v>
      </c>
      <c r="X6284" s="446">
        <f t="shared" si="1297"/>
        <v>6.5716123499142372</v>
      </c>
    </row>
    <row r="6285" spans="1:24" ht="15" customHeight="1">
      <c r="A6285" s="3">
        <v>44551</v>
      </c>
      <c r="B6285" s="4">
        <v>46100</v>
      </c>
      <c r="C6285" s="5">
        <v>0</v>
      </c>
      <c r="D6285" s="4">
        <v>7000</v>
      </c>
      <c r="E6285" s="4">
        <v>54900</v>
      </c>
      <c r="F6285" s="4">
        <v>0</v>
      </c>
      <c r="G6285" s="4">
        <v>200</v>
      </c>
      <c r="H6285" s="4">
        <v>7350</v>
      </c>
      <c r="I6285" s="118">
        <f t="shared" si="1298"/>
        <v>0.13387978142076504</v>
      </c>
      <c r="J6285" s="4">
        <v>101753</v>
      </c>
      <c r="K6285" s="22">
        <v>2322</v>
      </c>
      <c r="L6285" s="6">
        <v>2296</v>
      </c>
      <c r="M6285" s="125">
        <f t="shared" si="1301"/>
        <v>-26</v>
      </c>
      <c r="P6285" s="247">
        <v>15375</v>
      </c>
      <c r="Q6285" s="25">
        <f>186.53/1191.5</f>
        <v>0.156550566512799</v>
      </c>
      <c r="W6285" s="285">
        <f t="shared" si="1300"/>
        <v>2406.9649601342844</v>
      </c>
      <c r="X6285" s="446">
        <f t="shared" si="1297"/>
        <v>6.6214470284237725</v>
      </c>
    </row>
    <row r="6286" spans="1:24" ht="15" customHeight="1">
      <c r="A6286" s="3">
        <v>44552</v>
      </c>
      <c r="B6286" s="4">
        <v>46100</v>
      </c>
      <c r="C6286" s="5">
        <v>0</v>
      </c>
      <c r="D6286" s="4">
        <v>6925</v>
      </c>
      <c r="E6286" s="4">
        <v>54825</v>
      </c>
      <c r="F6286" s="4">
        <v>0</v>
      </c>
      <c r="G6286" s="4">
        <v>75</v>
      </c>
      <c r="H6286" s="4">
        <v>7500</v>
      </c>
      <c r="I6286" s="118">
        <f t="shared" si="1298"/>
        <v>0.13679890560875513</v>
      </c>
      <c r="J6286" s="4">
        <v>101408</v>
      </c>
      <c r="K6286" s="22">
        <v>2329</v>
      </c>
      <c r="L6286" s="6">
        <v>2305.5</v>
      </c>
      <c r="M6286" s="125">
        <f t="shared" si="1301"/>
        <v>-23.5</v>
      </c>
      <c r="P6286" s="247">
        <v>15250</v>
      </c>
      <c r="Q6286" s="25">
        <f>186.72/1191.2</f>
        <v>0.15674949630624579</v>
      </c>
      <c r="W6286" s="285">
        <f t="shared" si="1300"/>
        <v>2390.4298186702486</v>
      </c>
      <c r="X6286" s="446">
        <f t="shared" si="1297"/>
        <v>6.5478746243022758</v>
      </c>
    </row>
    <row r="6287" spans="1:24" ht="15" customHeight="1">
      <c r="A6287" s="3">
        <v>44553</v>
      </c>
      <c r="B6287" s="4">
        <v>46100</v>
      </c>
      <c r="C6287" s="5">
        <v>0</v>
      </c>
      <c r="D6287" s="4">
        <v>6900</v>
      </c>
      <c r="E6287" s="4">
        <v>54800</v>
      </c>
      <c r="F6287" s="4">
        <v>0</v>
      </c>
      <c r="G6287" s="4">
        <v>25</v>
      </c>
      <c r="H6287" s="4">
        <v>7475</v>
      </c>
      <c r="I6287" s="118">
        <f t="shared" si="1298"/>
        <v>0.1364051094890511</v>
      </c>
      <c r="J6287" s="4">
        <v>101251</v>
      </c>
      <c r="K6287" s="22">
        <v>2312</v>
      </c>
      <c r="L6287" s="6">
        <v>2291</v>
      </c>
      <c r="M6287" s="125">
        <f t="shared" si="1301"/>
        <v>-21</v>
      </c>
      <c r="P6287" s="247">
        <v>15475</v>
      </c>
      <c r="Q6287" s="25">
        <f>186.47/1187.5</f>
        <v>0.15702736842105264</v>
      </c>
      <c r="W6287" s="285">
        <f t="shared" si="1300"/>
        <v>2429.9985263157896</v>
      </c>
      <c r="X6287" s="446">
        <f t="shared" si="1297"/>
        <v>6.6933391003460212</v>
      </c>
    </row>
    <row r="6288" spans="1:24" ht="15" customHeight="1">
      <c r="A6288" s="3">
        <v>44554</v>
      </c>
      <c r="B6288" s="4">
        <v>46100</v>
      </c>
      <c r="C6288" s="5">
        <v>0</v>
      </c>
      <c r="D6288" s="4">
        <v>6800</v>
      </c>
      <c r="E6288" s="4">
        <v>54700</v>
      </c>
      <c r="F6288" s="4">
        <v>0</v>
      </c>
      <c r="G6288" s="4">
        <v>100</v>
      </c>
      <c r="H6288" s="4">
        <v>7375</v>
      </c>
      <c r="I6288" s="118">
        <f t="shared" si="1298"/>
        <v>0.13482632541133455</v>
      </c>
      <c r="J6288" s="4">
        <v>101174</v>
      </c>
      <c r="K6288" s="22">
        <v>2309</v>
      </c>
      <c r="L6288" s="6">
        <v>2273</v>
      </c>
      <c r="M6288" s="125">
        <f t="shared" si="1301"/>
        <v>-36</v>
      </c>
      <c r="P6288" s="247">
        <v>15250</v>
      </c>
      <c r="Q6288" s="25">
        <f>186/1186.4</f>
        <v>0.15677680377612946</v>
      </c>
      <c r="W6288" s="285">
        <f t="shared" si="1300"/>
        <v>2390.8462575859744</v>
      </c>
      <c r="X6288" s="446">
        <f t="shared" si="1297"/>
        <v>6.604590731918579</v>
      </c>
    </row>
    <row r="6289" spans="1:24" ht="15" customHeight="1">
      <c r="A6289" s="3">
        <v>44557</v>
      </c>
      <c r="B6289" s="1318" t="s">
        <v>61</v>
      </c>
      <c r="C6289" s="1317"/>
      <c r="D6289" s="1317"/>
      <c r="E6289" s="1317"/>
      <c r="F6289" s="1317"/>
      <c r="G6289" s="1317"/>
      <c r="H6289" s="1317"/>
      <c r="I6289" s="1317"/>
      <c r="J6289" s="1317"/>
      <c r="K6289" s="1317"/>
      <c r="L6289" s="1317"/>
      <c r="M6289" s="1317"/>
      <c r="P6289" s="247">
        <v>15225</v>
      </c>
      <c r="Q6289" s="25">
        <f>186.09/1186.2</f>
        <v>0.15687910976226604</v>
      </c>
      <c r="W6289" s="285">
        <f t="shared" si="1300"/>
        <v>2388.4844461305006</v>
      </c>
      <c r="X6289" s="446"/>
    </row>
    <row r="6290" spans="1:24" ht="15" customHeight="1">
      <c r="A6290" s="3">
        <v>44558</v>
      </c>
      <c r="B6290" s="1317"/>
      <c r="C6290" s="1317"/>
      <c r="D6290" s="1317"/>
      <c r="E6290" s="1317"/>
      <c r="F6290" s="1317"/>
      <c r="G6290" s="1317"/>
      <c r="H6290" s="1317"/>
      <c r="I6290" s="1317"/>
      <c r="J6290" s="1317"/>
      <c r="K6290" s="1317"/>
      <c r="L6290" s="1317"/>
      <c r="M6290" s="1317"/>
      <c r="P6290" s="247">
        <v>15225</v>
      </c>
      <c r="Q6290" s="25">
        <f>186.13/1186.7</f>
        <v>0.15684671778882614</v>
      </c>
      <c r="W6290" s="285">
        <f t="shared" si="1300"/>
        <v>2387.9912783348782</v>
      </c>
      <c r="X6290" s="446"/>
    </row>
    <row r="6291" spans="1:24" ht="15" customHeight="1">
      <c r="A6291" s="3">
        <v>44559</v>
      </c>
      <c r="B6291" s="4">
        <v>46100</v>
      </c>
      <c r="C6291" s="5">
        <v>0</v>
      </c>
      <c r="D6291" s="4">
        <v>6700</v>
      </c>
      <c r="E6291" s="4">
        <v>54600</v>
      </c>
      <c r="F6291" s="4">
        <v>0</v>
      </c>
      <c r="G6291" s="4">
        <v>100</v>
      </c>
      <c r="H6291" s="4">
        <v>7275</v>
      </c>
      <c r="I6291" s="118">
        <f t="shared" ref="I6291:I6293" si="1302">H6291/E6291</f>
        <v>0.13324175824175824</v>
      </c>
      <c r="J6291" s="4">
        <v>101210</v>
      </c>
      <c r="K6291" s="22">
        <v>2309</v>
      </c>
      <c r="L6291" s="6">
        <v>2265.5</v>
      </c>
      <c r="M6291" s="125">
        <f t="shared" ref="M6291:M6293" si="1303">L6291-K6291</f>
        <v>-43.5</v>
      </c>
      <c r="P6291" s="247">
        <v>15200</v>
      </c>
      <c r="Q6291" s="25">
        <f>186.2/1186.6</f>
        <v>0.15691892802966459</v>
      </c>
      <c r="W6291" s="285">
        <f t="shared" si="1300"/>
        <v>2385.1677060509019</v>
      </c>
      <c r="X6291" s="446">
        <f t="shared" si="1297"/>
        <v>6.5829363360762239</v>
      </c>
    </row>
    <row r="6292" spans="1:24" ht="15" customHeight="1">
      <c r="A6292" s="3">
        <v>44560</v>
      </c>
      <c r="B6292" s="4">
        <v>46100</v>
      </c>
      <c r="C6292" s="5">
        <v>0</v>
      </c>
      <c r="D6292" s="4">
        <v>6650</v>
      </c>
      <c r="E6292" s="4">
        <v>54550</v>
      </c>
      <c r="F6292" s="4">
        <v>0</v>
      </c>
      <c r="G6292" s="4">
        <v>50</v>
      </c>
      <c r="H6292" s="5">
        <v>7225</v>
      </c>
      <c r="I6292" s="118">
        <f t="shared" si="1302"/>
        <v>0.13244729605866179</v>
      </c>
      <c r="J6292" s="5">
        <v>101989</v>
      </c>
      <c r="K6292" s="22">
        <v>2319</v>
      </c>
      <c r="L6292" s="6">
        <v>2285</v>
      </c>
      <c r="M6292" s="125">
        <f t="shared" si="1303"/>
        <v>-34</v>
      </c>
      <c r="P6292" s="247">
        <v>15200</v>
      </c>
      <c r="Q6292" s="25">
        <f>186.26/1185.5</f>
        <v>0.15711514129059467</v>
      </c>
      <c r="W6292" s="285">
        <f t="shared" si="1300"/>
        <v>2388.1501476170392</v>
      </c>
      <c r="X6292" s="446">
        <f t="shared" si="1297"/>
        <v>6.5545493747304873</v>
      </c>
    </row>
    <row r="6293" spans="1:24" ht="15" customHeight="1">
      <c r="A6293" s="3">
        <v>44561</v>
      </c>
      <c r="B6293" s="4">
        <v>46100</v>
      </c>
      <c r="C6293" s="5">
        <v>0</v>
      </c>
      <c r="D6293" s="4">
        <v>6650</v>
      </c>
      <c r="E6293" s="4">
        <v>54550</v>
      </c>
      <c r="F6293" s="4">
        <v>0</v>
      </c>
      <c r="G6293" s="4">
        <v>0</v>
      </c>
      <c r="H6293" s="4">
        <v>7225</v>
      </c>
      <c r="I6293" s="118">
        <f t="shared" si="1302"/>
        <v>0.13244729605866179</v>
      </c>
      <c r="J6293" s="4">
        <v>102109</v>
      </c>
      <c r="K6293" s="22">
        <v>2328.5</v>
      </c>
      <c r="L6293" s="6">
        <v>2289</v>
      </c>
      <c r="M6293" s="125">
        <f t="shared" si="1303"/>
        <v>-39.5</v>
      </c>
      <c r="N6293" s="425">
        <f>AVERAGE(K6271:K6293)</f>
        <v>2304.7857142857142</v>
      </c>
      <c r="O6293" s="395">
        <f>AVERAGE($K$6023:K6293)</f>
        <v>2206.2252964426875</v>
      </c>
      <c r="P6293" s="247">
        <v>15175</v>
      </c>
      <c r="Q6293" s="25">
        <f>186.26/1185.5</f>
        <v>0.15711514129059467</v>
      </c>
      <c r="W6293" s="285">
        <f t="shared" si="1300"/>
        <v>2384.2222690847743</v>
      </c>
      <c r="X6293" s="446">
        <f t="shared" si="1297"/>
        <v>6.5170710757998709</v>
      </c>
    </row>
    <row r="6294" spans="1:24" ht="15" customHeight="1" thickBot="1">
      <c r="A6294" s="394"/>
      <c r="B6294" s="394"/>
      <c r="C6294" s="394"/>
      <c r="D6294" s="394"/>
      <c r="E6294" s="216"/>
      <c r="F6294" s="407"/>
      <c r="G6294" s="164"/>
      <c r="H6294" s="164"/>
      <c r="I6294" s="166"/>
      <c r="J6294" s="166"/>
      <c r="K6294" s="166"/>
      <c r="L6294" s="167"/>
      <c r="M6294" s="167"/>
      <c r="N6294" s="167"/>
      <c r="O6294" s="167"/>
      <c r="P6294" s="180"/>
      <c r="Q6294" s="180"/>
      <c r="R6294" s="248"/>
      <c r="S6294" s="249"/>
      <c r="T6294" s="249"/>
      <c r="U6294" s="152"/>
      <c r="V6294" s="153">
        <f>AVERAGE(P6271:P6293)</f>
        <v>15263.04347826087</v>
      </c>
      <c r="W6294" s="180"/>
      <c r="X6294" s="447">
        <f>V6294/N6293</f>
        <v>6.6223264851288368</v>
      </c>
    </row>
    <row r="6295" spans="1:24" ht="15" customHeight="1">
      <c r="A6295" s="3">
        <v>44564</v>
      </c>
      <c r="B6295" s="1328" t="s">
        <v>61</v>
      </c>
      <c r="C6295" s="1316"/>
      <c r="D6295" s="1316"/>
      <c r="E6295" s="1316"/>
      <c r="F6295" s="1316"/>
      <c r="G6295" s="1316"/>
      <c r="H6295" s="1316"/>
      <c r="I6295" s="1316"/>
      <c r="J6295" s="1316"/>
      <c r="K6295" s="1316"/>
      <c r="L6295" s="1316"/>
      <c r="M6295" s="1316"/>
      <c r="P6295" s="247"/>
      <c r="Q6295" s="25">
        <f>187.36/1190.8</f>
        <v>0.15733960362781324</v>
      </c>
      <c r="W6295" s="285">
        <f t="shared" si="1300"/>
        <v>0</v>
      </c>
      <c r="X6295" s="446"/>
    </row>
    <row r="6296" spans="1:24" ht="15" customHeight="1">
      <c r="A6296" s="3">
        <v>44565</v>
      </c>
      <c r="B6296" s="4">
        <v>45925</v>
      </c>
      <c r="C6296" s="5">
        <v>0</v>
      </c>
      <c r="D6296" s="4">
        <v>6650</v>
      </c>
      <c r="E6296" s="4">
        <v>54375</v>
      </c>
      <c r="F6296" s="4">
        <v>0</v>
      </c>
      <c r="G6296" s="4">
        <v>175</v>
      </c>
      <c r="H6296" s="4">
        <v>7050</v>
      </c>
      <c r="I6296" s="118">
        <f t="shared" ref="I6296:I6331" si="1304">H6296/E6296</f>
        <v>0.1296551724137931</v>
      </c>
      <c r="J6296" s="4">
        <v>100941</v>
      </c>
      <c r="K6296" s="22">
        <v>2327</v>
      </c>
      <c r="L6296" s="6">
        <v>2295</v>
      </c>
      <c r="M6296" s="125">
        <f t="shared" ref="M6296:M6303" si="1305">L6296-K6296</f>
        <v>-32</v>
      </c>
      <c r="P6296" s="247">
        <v>15200</v>
      </c>
      <c r="Q6296" s="25">
        <f>187.43/1194.3</f>
        <v>0.1569371179770577</v>
      </c>
      <c r="W6296" s="285">
        <f t="shared" si="1300"/>
        <v>2385.4441932512768</v>
      </c>
      <c r="X6296" s="446">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18">
        <f t="shared" si="1304"/>
        <v>0.13057471264367815</v>
      </c>
      <c r="J6297" s="4">
        <v>102390</v>
      </c>
      <c r="K6297" s="22">
        <v>2343</v>
      </c>
      <c r="L6297" s="6">
        <v>2309</v>
      </c>
      <c r="M6297" s="125">
        <f t="shared" si="1305"/>
        <v>-34</v>
      </c>
      <c r="P6297" s="247">
        <v>15100</v>
      </c>
      <c r="Q6297" s="25">
        <f>187.94/1198.2</f>
        <v>0.15685194458354199</v>
      </c>
      <c r="W6297" s="285">
        <f t="shared" si="1300"/>
        <v>2368.4643632114839</v>
      </c>
      <c r="X6297" s="446">
        <f t="shared" si="1306"/>
        <v>6.4447289799402476</v>
      </c>
    </row>
    <row r="6298" spans="1:24" ht="15" customHeight="1">
      <c r="A6298" s="3">
        <v>44567</v>
      </c>
      <c r="B6298" s="4">
        <v>45925</v>
      </c>
      <c r="C6298" s="5">
        <v>0</v>
      </c>
      <c r="D6298" s="4">
        <v>6625</v>
      </c>
      <c r="E6298" s="4">
        <v>54350</v>
      </c>
      <c r="F6298" s="4">
        <v>0</v>
      </c>
      <c r="G6298" s="4">
        <v>25</v>
      </c>
      <c r="H6298" s="4">
        <v>7075</v>
      </c>
      <c r="I6298" s="118">
        <f t="shared" si="1304"/>
        <v>0.13017479300827967</v>
      </c>
      <c r="J6298" s="4">
        <v>101355</v>
      </c>
      <c r="K6298" s="22">
        <v>2291</v>
      </c>
      <c r="L6298" s="6">
        <v>2281</v>
      </c>
      <c r="M6298" s="125">
        <f t="shared" si="1305"/>
        <v>-10</v>
      </c>
      <c r="P6298" s="247">
        <v>15000</v>
      </c>
      <c r="Q6298" s="25">
        <f>188/1199.6</f>
        <v>0.15671890630210072</v>
      </c>
      <c r="W6298" s="285">
        <f t="shared" si="1300"/>
        <v>2350.783594531511</v>
      </c>
      <c r="X6298" s="446">
        <f t="shared" si="1306"/>
        <v>6.5473592317765172</v>
      </c>
    </row>
    <row r="6299" spans="1:24" ht="15" customHeight="1">
      <c r="A6299" s="3">
        <v>44568</v>
      </c>
      <c r="B6299" s="4">
        <v>45925</v>
      </c>
      <c r="C6299" s="5">
        <v>0</v>
      </c>
      <c r="D6299" s="4">
        <v>6625</v>
      </c>
      <c r="E6299" s="4">
        <v>54350</v>
      </c>
      <c r="F6299" s="4">
        <v>0</v>
      </c>
      <c r="G6299" s="4">
        <v>0</v>
      </c>
      <c r="H6299" s="4">
        <v>7250</v>
      </c>
      <c r="I6299" s="118">
        <f t="shared" si="1304"/>
        <v>0.13339466421343146</v>
      </c>
      <c r="J6299" s="4">
        <v>102213</v>
      </c>
      <c r="K6299" s="22">
        <v>2342</v>
      </c>
      <c r="L6299" s="6">
        <v>2310</v>
      </c>
      <c r="M6299" s="125">
        <f t="shared" si="1305"/>
        <v>-32</v>
      </c>
      <c r="P6299" s="247">
        <v>15250</v>
      </c>
      <c r="Q6299" s="25">
        <f>188.18/1202.4</f>
        <v>0.15650365934797072</v>
      </c>
      <c r="W6299" s="285">
        <f t="shared" si="1300"/>
        <v>2386.6808050565537</v>
      </c>
      <c r="X6299" s="446">
        <f t="shared" si="1306"/>
        <v>6.5115286080273274</v>
      </c>
    </row>
    <row r="6300" spans="1:24" ht="15" customHeight="1">
      <c r="A6300" s="3">
        <v>44571</v>
      </c>
      <c r="B6300" s="4">
        <v>45925</v>
      </c>
      <c r="C6300" s="5">
        <v>0</v>
      </c>
      <c r="D6300" s="4">
        <v>6600</v>
      </c>
      <c r="E6300" s="4">
        <v>54325</v>
      </c>
      <c r="F6300" s="4">
        <v>0</v>
      </c>
      <c r="G6300" s="4">
        <v>25</v>
      </c>
      <c r="H6300" s="4">
        <v>7225</v>
      </c>
      <c r="I6300" s="118">
        <f t="shared" si="1304"/>
        <v>0.13299585826046939</v>
      </c>
      <c r="J6300" s="4">
        <v>102010</v>
      </c>
      <c r="K6300" s="22">
        <v>2303</v>
      </c>
      <c r="L6300" s="6">
        <v>2289</v>
      </c>
      <c r="M6300" s="125">
        <f t="shared" si="1305"/>
        <v>-14</v>
      </c>
      <c r="P6300" s="247">
        <v>15000</v>
      </c>
      <c r="Q6300" s="25">
        <f>188.21/1200</f>
        <v>0.15684166666666668</v>
      </c>
      <c r="W6300" s="285">
        <f t="shared" si="1300"/>
        <v>2352.6250000000005</v>
      </c>
      <c r="X6300" s="446">
        <f t="shared" si="1306"/>
        <v>6.513243595310465</v>
      </c>
    </row>
    <row r="6301" spans="1:24" ht="15" customHeight="1">
      <c r="A6301" s="3">
        <v>44572</v>
      </c>
      <c r="B6301" s="4">
        <v>46100</v>
      </c>
      <c r="C6301" s="5">
        <v>0</v>
      </c>
      <c r="D6301" s="4">
        <v>6550</v>
      </c>
      <c r="E6301" s="4">
        <v>54450</v>
      </c>
      <c r="F6301" s="4">
        <v>125</v>
      </c>
      <c r="G6301" s="4">
        <v>0</v>
      </c>
      <c r="H6301" s="4">
        <v>7600</v>
      </c>
      <c r="I6301" s="118">
        <f t="shared" si="1304"/>
        <v>0.13957759412304868</v>
      </c>
      <c r="J6301" s="4">
        <v>101852</v>
      </c>
      <c r="K6301" s="22">
        <v>2305</v>
      </c>
      <c r="L6301" s="6">
        <v>2290</v>
      </c>
      <c r="M6301" s="125">
        <f t="shared" si="1305"/>
        <v>-15</v>
      </c>
      <c r="P6301" s="247">
        <v>15025</v>
      </c>
      <c r="Q6301" s="25">
        <f>187.35/1195.2</f>
        <v>0.15675200803212849</v>
      </c>
      <c r="W6301" s="285">
        <f t="shared" si="1300"/>
        <v>2355.1989206827307</v>
      </c>
      <c r="X6301" s="446">
        <f t="shared" si="1306"/>
        <v>6.5184381778741862</v>
      </c>
    </row>
    <row r="6302" spans="1:24" ht="15" customHeight="1">
      <c r="A6302" s="3">
        <v>44573</v>
      </c>
      <c r="B6302" s="4">
        <v>46200</v>
      </c>
      <c r="C6302" s="5">
        <v>0</v>
      </c>
      <c r="D6302" s="4">
        <v>6500</v>
      </c>
      <c r="E6302" s="4">
        <v>54500</v>
      </c>
      <c r="F6302" s="4">
        <v>50</v>
      </c>
      <c r="G6302" s="4">
        <v>0</v>
      </c>
      <c r="H6302" s="4">
        <v>7550</v>
      </c>
      <c r="I6302" s="118">
        <f t="shared" si="1304"/>
        <v>0.13853211009174313</v>
      </c>
      <c r="J6302" s="4">
        <v>101837</v>
      </c>
      <c r="K6302" s="22">
        <v>2344.5</v>
      </c>
      <c r="L6302" s="6">
        <v>2328</v>
      </c>
      <c r="M6302" s="125">
        <f t="shared" si="1305"/>
        <v>-16.5</v>
      </c>
      <c r="P6302" s="247">
        <v>15075</v>
      </c>
      <c r="Q6302" s="25">
        <f>186.84/1189.9</f>
        <v>0.15702159845365155</v>
      </c>
      <c r="W6302" s="285">
        <f t="shared" si="1300"/>
        <v>2367.1005966887969</v>
      </c>
      <c r="X6302" s="446">
        <f t="shared" si="1306"/>
        <v>6.429942418426104</v>
      </c>
    </row>
    <row r="6303" spans="1:24" ht="15" customHeight="1">
      <c r="A6303" s="3">
        <v>44574</v>
      </c>
      <c r="B6303" s="4">
        <v>46400</v>
      </c>
      <c r="C6303" s="5">
        <v>0</v>
      </c>
      <c r="D6303" s="4">
        <v>6450</v>
      </c>
      <c r="E6303" s="4">
        <v>54650</v>
      </c>
      <c r="F6303" s="4">
        <v>150</v>
      </c>
      <c r="G6303" s="4">
        <v>0</v>
      </c>
      <c r="H6303" s="4">
        <v>13625</v>
      </c>
      <c r="I6303" s="118">
        <f t="shared" si="1304"/>
        <v>0.24931381518755719</v>
      </c>
      <c r="J6303" s="4">
        <v>102191</v>
      </c>
      <c r="K6303" s="22">
        <v>2367</v>
      </c>
      <c r="L6303" s="6">
        <v>2350</v>
      </c>
      <c r="M6303" s="125">
        <f t="shared" si="1305"/>
        <v>-17</v>
      </c>
      <c r="P6303" s="247">
        <v>15225</v>
      </c>
      <c r="Q6303" s="25">
        <f>186.73/1188.2</f>
        <v>0.15715367783201481</v>
      </c>
      <c r="W6303" s="285">
        <f t="shared" si="1300"/>
        <v>2392.6647449924253</v>
      </c>
      <c r="X6303" s="446">
        <f t="shared" si="1306"/>
        <v>6.4321926489226868</v>
      </c>
    </row>
    <row r="6304" spans="1:24" ht="15" customHeight="1">
      <c r="A6304" s="3">
        <v>44575</v>
      </c>
      <c r="B6304" s="4">
        <v>46400</v>
      </c>
      <c r="C6304" s="4">
        <v>0</v>
      </c>
      <c r="D6304" s="4">
        <v>6400</v>
      </c>
      <c r="E6304" s="5">
        <v>54600</v>
      </c>
      <c r="F6304" s="4">
        <v>0</v>
      </c>
      <c r="G6304" s="4">
        <v>50</v>
      </c>
      <c r="H6304" s="4">
        <v>13575</v>
      </c>
      <c r="I6304" s="118">
        <f t="shared" si="1304"/>
        <v>0.24862637362637363</v>
      </c>
      <c r="J6304" s="4">
        <v>102197</v>
      </c>
      <c r="K6304" s="22">
        <v>2383</v>
      </c>
      <c r="L6304" s="6">
        <v>2371</v>
      </c>
      <c r="M6304" s="125">
        <f t="shared" ref="M6304:M6355" si="1307">L6304-K6304</f>
        <v>-12</v>
      </c>
      <c r="P6304" s="247">
        <v>15400</v>
      </c>
      <c r="Q6304" s="25">
        <f>186.63/1187.6</f>
        <v>0.1571488716739643</v>
      </c>
      <c r="W6304" s="285">
        <f t="shared" si="1300"/>
        <v>2420.09262377905</v>
      </c>
      <c r="X6304" s="446">
        <f t="shared" si="1306"/>
        <v>6.4624422996223245</v>
      </c>
    </row>
    <row r="6305" spans="1:24" ht="15" customHeight="1">
      <c r="A6305" s="3">
        <v>44578</v>
      </c>
      <c r="B6305" s="4">
        <v>46400</v>
      </c>
      <c r="C6305" s="4">
        <v>0</v>
      </c>
      <c r="D6305" s="4">
        <v>6150</v>
      </c>
      <c r="E6305" s="4">
        <v>54350</v>
      </c>
      <c r="F6305" s="4">
        <v>0</v>
      </c>
      <c r="G6305" s="4">
        <v>250</v>
      </c>
      <c r="H6305" s="4">
        <v>13325</v>
      </c>
      <c r="I6305" s="118">
        <f t="shared" si="1304"/>
        <v>0.24517019319227232</v>
      </c>
      <c r="J6305" s="4">
        <v>103859</v>
      </c>
      <c r="K6305" s="22">
        <v>2358</v>
      </c>
      <c r="L6305" s="6">
        <v>2353</v>
      </c>
      <c r="M6305" s="125">
        <f t="shared" si="1307"/>
        <v>-5</v>
      </c>
      <c r="P6305" s="247">
        <v>15475</v>
      </c>
      <c r="Q6305" s="25">
        <f>187.64/1192.3</f>
        <v>0.15737649920322067</v>
      </c>
      <c r="W6305" s="285">
        <f t="shared" si="1300"/>
        <v>2435.4013251698398</v>
      </c>
      <c r="X6305" s="446">
        <f t="shared" si="1306"/>
        <v>6.5627650551314671</v>
      </c>
    </row>
    <row r="6306" spans="1:24" ht="15" customHeight="1">
      <c r="A6306" s="3">
        <v>44579</v>
      </c>
      <c r="B6306" s="4">
        <v>46400</v>
      </c>
      <c r="C6306" s="4">
        <v>0</v>
      </c>
      <c r="D6306" s="4">
        <v>5950</v>
      </c>
      <c r="E6306" s="4">
        <v>54150</v>
      </c>
      <c r="F6306" s="4">
        <v>0</v>
      </c>
      <c r="G6306" s="4">
        <v>200</v>
      </c>
      <c r="H6306" s="4">
        <v>13125</v>
      </c>
      <c r="I6306" s="118">
        <f t="shared" si="1304"/>
        <v>0.24238227146814403</v>
      </c>
      <c r="J6306" s="4">
        <v>101938</v>
      </c>
      <c r="K6306" s="22">
        <v>2357</v>
      </c>
      <c r="L6306" s="6">
        <v>2354</v>
      </c>
      <c r="M6306" s="125">
        <f t="shared" si="1307"/>
        <v>-3</v>
      </c>
      <c r="P6306" s="247">
        <v>15475</v>
      </c>
      <c r="Q6306" s="25">
        <f>187.29/1188.9</f>
        <v>0.15753217259651778</v>
      </c>
      <c r="W6306" s="285">
        <f t="shared" ref="W6306:W6360" si="1308">(P6306*Q6306)*(1+U6306)</f>
        <v>2437.8103709311126</v>
      </c>
      <c r="X6306" s="446">
        <f t="shared" si="1306"/>
        <v>6.5655494272380146</v>
      </c>
    </row>
    <row r="6307" spans="1:24" ht="15" customHeight="1">
      <c r="A6307" s="3">
        <v>44580</v>
      </c>
      <c r="B6307" s="4">
        <v>46400</v>
      </c>
      <c r="C6307" s="4">
        <v>0</v>
      </c>
      <c r="D6307" s="4">
        <v>5850</v>
      </c>
      <c r="E6307" s="4">
        <v>54050</v>
      </c>
      <c r="F6307" s="4">
        <v>0</v>
      </c>
      <c r="G6307" s="4">
        <v>100</v>
      </c>
      <c r="H6307" s="4">
        <v>13025</v>
      </c>
      <c r="I6307" s="118">
        <f t="shared" si="1304"/>
        <v>0.24098057354301572</v>
      </c>
      <c r="J6307" s="4">
        <v>100171</v>
      </c>
      <c r="K6307" s="22">
        <v>2352</v>
      </c>
      <c r="L6307" s="6">
        <v>2346</v>
      </c>
      <c r="M6307" s="125">
        <f t="shared" si="1307"/>
        <v>-6</v>
      </c>
      <c r="P6307" s="247">
        <v>15350</v>
      </c>
      <c r="Q6307" s="25">
        <f>187.38/1191.8</f>
        <v>0.15722436650444704</v>
      </c>
      <c r="W6307" s="285">
        <f t="shared" si="1308"/>
        <v>2413.3940258432622</v>
      </c>
      <c r="X6307" s="446">
        <f t="shared" si="1306"/>
        <v>6.5263605442176873</v>
      </c>
    </row>
    <row r="6308" spans="1:24" ht="15" customHeight="1">
      <c r="A6308" s="3">
        <v>44581</v>
      </c>
      <c r="B6308" s="4">
        <v>46400</v>
      </c>
      <c r="C6308" s="4">
        <v>0</v>
      </c>
      <c r="D6308" s="4">
        <v>5825</v>
      </c>
      <c r="E6308" s="4">
        <v>54025</v>
      </c>
      <c r="F6308" s="4">
        <v>0</v>
      </c>
      <c r="G6308" s="4">
        <v>25</v>
      </c>
      <c r="H6308" s="4">
        <v>13100</v>
      </c>
      <c r="I6308" s="118">
        <f t="shared" si="1304"/>
        <v>0.24248033317908377</v>
      </c>
      <c r="J6308" s="4">
        <v>97970</v>
      </c>
      <c r="K6308" s="22">
        <v>2370</v>
      </c>
      <c r="L6308" s="6">
        <v>2367</v>
      </c>
      <c r="M6308" s="125">
        <f t="shared" si="1307"/>
        <v>-3</v>
      </c>
      <c r="P6308" s="247">
        <v>15450</v>
      </c>
      <c r="Q6308" s="25">
        <f>187.65/1190.4</f>
        <v>0.15763608870967741</v>
      </c>
      <c r="W6308" s="285">
        <f t="shared" si="1308"/>
        <v>2435.4775705645161</v>
      </c>
      <c r="X6308" s="446">
        <f t="shared" si="1306"/>
        <v>6.518987341772152</v>
      </c>
    </row>
    <row r="6309" spans="1:24" ht="15" customHeight="1">
      <c r="A6309" s="3">
        <v>44582</v>
      </c>
      <c r="B6309" s="4">
        <v>46400</v>
      </c>
      <c r="C6309" s="4">
        <v>0</v>
      </c>
      <c r="D6309" s="4">
        <v>5625</v>
      </c>
      <c r="E6309" s="4">
        <v>53825</v>
      </c>
      <c r="F6309" s="4">
        <v>0</v>
      </c>
      <c r="G6309" s="4">
        <v>200</v>
      </c>
      <c r="H6309" s="4">
        <v>13275</v>
      </c>
      <c r="I6309" s="118">
        <f t="shared" si="1304"/>
        <v>0.24663260566651185</v>
      </c>
      <c r="J6309" s="4">
        <v>97439</v>
      </c>
      <c r="K6309" s="22">
        <v>2393.5</v>
      </c>
      <c r="L6309" s="6">
        <v>2383</v>
      </c>
      <c r="M6309" s="125">
        <f t="shared" si="1307"/>
        <v>-10.5</v>
      </c>
      <c r="P6309" s="247">
        <v>15425</v>
      </c>
      <c r="Q6309" s="25">
        <f>188.04/1193.6</f>
        <v>0.15754021447721181</v>
      </c>
      <c r="W6309" s="285">
        <f t="shared" si="1308"/>
        <v>2430.0578083109922</v>
      </c>
      <c r="X6309" s="446">
        <f t="shared" si="1306"/>
        <v>6.4445372884896592</v>
      </c>
    </row>
    <row r="6310" spans="1:24" ht="15" customHeight="1">
      <c r="A6310" s="3">
        <v>44585</v>
      </c>
      <c r="B6310" s="4">
        <v>46400</v>
      </c>
      <c r="C6310" s="4">
        <v>0</v>
      </c>
      <c r="D6310" s="4">
        <v>5500</v>
      </c>
      <c r="E6310" s="4">
        <v>53700</v>
      </c>
      <c r="F6310" s="4">
        <v>0</v>
      </c>
      <c r="G6310" s="4">
        <v>125</v>
      </c>
      <c r="H6310" s="4">
        <v>13150</v>
      </c>
      <c r="I6310" s="118">
        <f t="shared" si="1304"/>
        <v>0.24487895716945995</v>
      </c>
      <c r="J6310" s="4">
        <v>98259</v>
      </c>
      <c r="K6310" s="22">
        <v>2372</v>
      </c>
      <c r="L6310" s="6">
        <v>2360</v>
      </c>
      <c r="M6310" s="125">
        <f t="shared" si="1307"/>
        <v>-12</v>
      </c>
      <c r="P6310" s="247">
        <v>15475</v>
      </c>
      <c r="Q6310" s="25">
        <f>188.43/1194.2</f>
        <v>0.15778764026126277</v>
      </c>
      <c r="W6310" s="285">
        <f t="shared" si="1308"/>
        <v>2441.7637330430412</v>
      </c>
      <c r="X6310" s="446">
        <f t="shared" si="1306"/>
        <v>6.5240303541315345</v>
      </c>
    </row>
    <row r="6311" spans="1:24" ht="15" customHeight="1">
      <c r="A6311" s="3">
        <v>44586</v>
      </c>
      <c r="B6311" s="4">
        <v>46400</v>
      </c>
      <c r="C6311" s="4">
        <v>0</v>
      </c>
      <c r="D6311" s="4">
        <v>5475</v>
      </c>
      <c r="E6311" s="4">
        <v>53675</v>
      </c>
      <c r="F6311" s="4">
        <v>0</v>
      </c>
      <c r="G6311" s="4">
        <v>25</v>
      </c>
      <c r="H6311" s="4">
        <v>13125</v>
      </c>
      <c r="I6311" s="118">
        <f t="shared" si="1304"/>
        <v>0.24452724732184444</v>
      </c>
      <c r="J6311" s="4">
        <v>97376</v>
      </c>
      <c r="K6311" s="22">
        <v>2359</v>
      </c>
      <c r="L6311" s="6">
        <v>2350</v>
      </c>
      <c r="M6311" s="125">
        <f t="shared" si="1307"/>
        <v>-9</v>
      </c>
      <c r="P6311" s="247">
        <v>15250</v>
      </c>
      <c r="Q6311" s="25">
        <f>189.1/1197.8</f>
        <v>0.15787276673902154</v>
      </c>
      <c r="W6311" s="285">
        <f t="shared" si="1308"/>
        <v>2407.5596927700785</v>
      </c>
      <c r="X6311" s="446">
        <f t="shared" si="1306"/>
        <v>6.4646036456125477</v>
      </c>
    </row>
    <row r="6312" spans="1:24" ht="15" customHeight="1">
      <c r="A6312" s="3">
        <v>44587</v>
      </c>
      <c r="B6312" s="4">
        <v>46400</v>
      </c>
      <c r="C6312" s="4">
        <v>0</v>
      </c>
      <c r="D6312" s="4">
        <v>5400</v>
      </c>
      <c r="E6312" s="4">
        <v>53600</v>
      </c>
      <c r="F6312" s="4">
        <v>0</v>
      </c>
      <c r="G6312" s="4">
        <v>75</v>
      </c>
      <c r="H6312" s="4">
        <v>13050</v>
      </c>
      <c r="I6312" s="118">
        <f t="shared" si="1304"/>
        <v>0.24347014925373134</v>
      </c>
      <c r="J6312" s="4">
        <v>96289</v>
      </c>
      <c r="K6312" s="22">
        <v>2366</v>
      </c>
      <c r="L6312" s="6">
        <v>2347</v>
      </c>
      <c r="M6312" s="125">
        <f t="shared" si="1307"/>
        <v>-19</v>
      </c>
      <c r="P6312" s="247">
        <v>15250</v>
      </c>
      <c r="Q6312" s="25">
        <f>189.12/1197</f>
        <v>0.15799498746867169</v>
      </c>
      <c r="W6312" s="285">
        <f t="shared" si="1308"/>
        <v>2409.4235588972433</v>
      </c>
      <c r="X6312" s="446">
        <f t="shared" si="1306"/>
        <v>6.4454775993237527</v>
      </c>
    </row>
    <row r="6313" spans="1:24" ht="15" customHeight="1">
      <c r="A6313" s="3">
        <v>44588</v>
      </c>
      <c r="B6313" s="4">
        <v>46275</v>
      </c>
      <c r="C6313" s="4">
        <v>0</v>
      </c>
      <c r="D6313" s="4">
        <v>5375</v>
      </c>
      <c r="E6313" s="4">
        <v>53450</v>
      </c>
      <c r="F6313" s="4">
        <v>0</v>
      </c>
      <c r="G6313" s="4">
        <v>150</v>
      </c>
      <c r="H6313" s="4">
        <v>12900</v>
      </c>
      <c r="I6313" s="118">
        <f t="shared" si="1304"/>
        <v>0.24134705332086062</v>
      </c>
      <c r="J6313" s="4">
        <v>96221</v>
      </c>
      <c r="K6313" s="22">
        <v>2330</v>
      </c>
      <c r="L6313" s="6">
        <v>2325</v>
      </c>
      <c r="M6313" s="125">
        <f t="shared" si="1307"/>
        <v>-5</v>
      </c>
      <c r="P6313" s="247">
        <v>15200</v>
      </c>
      <c r="Q6313" s="25">
        <f>189.34/1202.4</f>
        <v>0.15746839654025283</v>
      </c>
      <c r="W6313" s="285">
        <f t="shared" si="1308"/>
        <v>2393.519627411843</v>
      </c>
      <c r="X6313" s="446">
        <f t="shared" si="1306"/>
        <v>6.5236051502145926</v>
      </c>
    </row>
    <row r="6314" spans="1:24" ht="15" customHeight="1">
      <c r="A6314" s="3">
        <v>44589</v>
      </c>
      <c r="B6314" s="4">
        <v>45725</v>
      </c>
      <c r="C6314" s="4">
        <v>0</v>
      </c>
      <c r="D6314" s="4">
        <v>5325</v>
      </c>
      <c r="E6314" s="4">
        <v>52850</v>
      </c>
      <c r="F6314" s="4">
        <v>0</v>
      </c>
      <c r="G6314" s="4">
        <v>600</v>
      </c>
      <c r="H6314" s="4">
        <v>12300</v>
      </c>
      <c r="I6314" s="118">
        <f t="shared" si="1304"/>
        <v>0.23273415326395458</v>
      </c>
      <c r="J6314" s="4">
        <v>97980</v>
      </c>
      <c r="K6314" s="22">
        <v>2302</v>
      </c>
      <c r="L6314" s="6">
        <v>2285</v>
      </c>
      <c r="M6314" s="125">
        <f t="shared" si="1307"/>
        <v>-17</v>
      </c>
      <c r="P6314" s="247">
        <v>15175</v>
      </c>
      <c r="Q6314" s="25">
        <f>189.34/1202.4</f>
        <v>0.15746839654025283</v>
      </c>
      <c r="W6314" s="285">
        <f t="shared" si="1308"/>
        <v>2389.5829174983364</v>
      </c>
      <c r="X6314" s="446">
        <f t="shared" si="1306"/>
        <v>6.5920938314509119</v>
      </c>
    </row>
    <row r="6315" spans="1:24" ht="15" customHeight="1">
      <c r="A6315" s="3">
        <v>44592</v>
      </c>
      <c r="B6315" s="4">
        <v>45350</v>
      </c>
      <c r="C6315" s="4">
        <v>0</v>
      </c>
      <c r="D6315" s="4">
        <v>5325</v>
      </c>
      <c r="E6315" s="4">
        <v>52475</v>
      </c>
      <c r="F6315" s="4">
        <v>0</v>
      </c>
      <c r="G6315" s="4">
        <v>375</v>
      </c>
      <c r="H6315" s="4">
        <v>11925</v>
      </c>
      <c r="I6315" s="118">
        <f t="shared" si="1304"/>
        <v>0.22725107193901858</v>
      </c>
      <c r="J6315" s="4">
        <v>97869</v>
      </c>
      <c r="K6315" s="22">
        <v>2289</v>
      </c>
      <c r="L6315" s="6">
        <v>2275</v>
      </c>
      <c r="M6315" s="125">
        <f t="shared" si="1307"/>
        <v>-14</v>
      </c>
      <c r="N6315" s="425">
        <f>AVERAGE($K$6296:K6315)</f>
        <v>2342.6999999999998</v>
      </c>
      <c r="O6315" s="395">
        <f>AVERAGE($K$6296:K6315)</f>
        <v>2342.6999999999998</v>
      </c>
      <c r="P6315" s="247"/>
      <c r="Q6315" s="25">
        <f>189.34/1202.4</f>
        <v>0.15746839654025283</v>
      </c>
      <c r="W6315" s="285">
        <f t="shared" si="1308"/>
        <v>0</v>
      </c>
      <c r="X6315" s="446">
        <f t="shared" si="1306"/>
        <v>0</v>
      </c>
    </row>
    <row r="6316" spans="1:24" ht="15" customHeight="1" thickBot="1">
      <c r="A6316" s="394"/>
      <c r="B6316" s="394"/>
      <c r="C6316" s="394"/>
      <c r="D6316" s="394"/>
      <c r="E6316" s="216"/>
      <c r="F6316" s="407"/>
      <c r="G6316" s="164"/>
      <c r="H6316" s="164"/>
      <c r="I6316" s="166"/>
      <c r="J6316" s="166"/>
      <c r="K6316" s="166"/>
      <c r="L6316" s="167"/>
      <c r="M6316" s="167"/>
      <c r="N6316" s="167"/>
      <c r="O6316" s="180"/>
      <c r="P6316" s="180"/>
      <c r="Q6316" s="180"/>
      <c r="R6316" s="248"/>
      <c r="S6316" s="249"/>
      <c r="T6316" s="249"/>
      <c r="U6316" s="152"/>
      <c r="V6316" s="153">
        <f>AVERAGE(P6296:P6315)</f>
        <v>15252.631578947368</v>
      </c>
      <c r="W6316" s="152"/>
      <c r="X6316" s="447">
        <f>V6316/N6315</f>
        <v>6.5107062700932126</v>
      </c>
    </row>
    <row r="6317" spans="1:24" ht="15" customHeight="1">
      <c r="A6317" s="3">
        <v>44593</v>
      </c>
      <c r="B6317" s="4">
        <v>45350</v>
      </c>
      <c r="C6317" s="4">
        <v>0</v>
      </c>
      <c r="D6317" s="4">
        <v>5325</v>
      </c>
      <c r="E6317" s="4">
        <v>52475</v>
      </c>
      <c r="F6317" s="4">
        <v>0</v>
      </c>
      <c r="G6317" s="4">
        <v>0</v>
      </c>
      <c r="H6317" s="4">
        <v>11925</v>
      </c>
      <c r="I6317" s="118">
        <f t="shared" si="1304"/>
        <v>0.22725107193901858</v>
      </c>
      <c r="J6317" s="4">
        <v>97663</v>
      </c>
      <c r="K6317" s="22">
        <v>2250</v>
      </c>
      <c r="L6317" s="6">
        <v>2241</v>
      </c>
      <c r="M6317" s="125">
        <f t="shared" si="1307"/>
        <v>-9</v>
      </c>
      <c r="O6317" s="25"/>
      <c r="P6317" s="247"/>
      <c r="Q6317" s="25">
        <f>189.34/1202.4</f>
        <v>0.15746839654025283</v>
      </c>
      <c r="W6317" s="285">
        <f t="shared" si="1308"/>
        <v>0</v>
      </c>
      <c r="X6317" s="446">
        <f t="shared" si="1306"/>
        <v>0</v>
      </c>
    </row>
    <row r="6318" spans="1:24" ht="15" customHeight="1">
      <c r="A6318" s="3">
        <v>44594</v>
      </c>
      <c r="B6318" s="4">
        <v>45350</v>
      </c>
      <c r="C6318" s="4">
        <v>0</v>
      </c>
      <c r="D6318" s="4">
        <v>5325</v>
      </c>
      <c r="E6318" s="4">
        <v>52475</v>
      </c>
      <c r="F6318" s="4">
        <v>0</v>
      </c>
      <c r="G6318" s="4">
        <v>0</v>
      </c>
      <c r="H6318" s="4">
        <v>11975</v>
      </c>
      <c r="I6318" s="118">
        <f t="shared" si="1304"/>
        <v>0.22820390662220105</v>
      </c>
      <c r="J6318" s="4">
        <v>98308</v>
      </c>
      <c r="K6318" s="22">
        <v>2247</v>
      </c>
      <c r="L6318" s="6">
        <v>2241</v>
      </c>
      <c r="M6318" s="125">
        <f t="shared" si="1307"/>
        <v>-6</v>
      </c>
      <c r="O6318" s="25"/>
      <c r="P6318" s="247"/>
      <c r="Q6318" s="25">
        <f>189.59/1205.7</f>
        <v>0.15724475408476404</v>
      </c>
      <c r="W6318" s="285">
        <f t="shared" si="1308"/>
        <v>0</v>
      </c>
      <c r="X6318" s="446">
        <f t="shared" si="1306"/>
        <v>0</v>
      </c>
    </row>
    <row r="6319" spans="1:24" ht="15" customHeight="1">
      <c r="A6319" s="3">
        <v>44595</v>
      </c>
      <c r="B6319" s="4">
        <v>45350</v>
      </c>
      <c r="C6319" s="4">
        <v>0</v>
      </c>
      <c r="D6319" s="4">
        <v>5275</v>
      </c>
      <c r="E6319" s="4">
        <v>52425</v>
      </c>
      <c r="F6319" s="4">
        <v>0</v>
      </c>
      <c r="G6319" s="4">
        <v>50</v>
      </c>
      <c r="H6319" s="4">
        <v>11925</v>
      </c>
      <c r="I6319" s="118">
        <f t="shared" si="1304"/>
        <v>0.22746781115879827</v>
      </c>
      <c r="J6319" s="4">
        <v>98000</v>
      </c>
      <c r="K6319" s="22">
        <v>2229</v>
      </c>
      <c r="L6319" s="6">
        <v>2219</v>
      </c>
      <c r="M6319" s="125">
        <f t="shared" si="1307"/>
        <v>-10</v>
      </c>
      <c r="P6319" s="247"/>
      <c r="Q6319" s="25">
        <f>189.39/1205.4</f>
        <v>0.15711796913887505</v>
      </c>
      <c r="W6319" s="285">
        <f t="shared" si="1308"/>
        <v>0</v>
      </c>
      <c r="X6319" s="446">
        <f t="shared" si="1306"/>
        <v>0</v>
      </c>
    </row>
    <row r="6320" spans="1:24" ht="15" customHeight="1">
      <c r="A6320" s="3">
        <v>44596</v>
      </c>
      <c r="B6320" s="4">
        <v>45350</v>
      </c>
      <c r="C6320" s="4">
        <v>0</v>
      </c>
      <c r="D6320" s="4">
        <v>5175</v>
      </c>
      <c r="E6320" s="4">
        <v>52325</v>
      </c>
      <c r="F6320" s="4">
        <v>0</v>
      </c>
      <c r="G6320" s="4">
        <v>100</v>
      </c>
      <c r="H6320" s="4">
        <v>11825</v>
      </c>
      <c r="I6320" s="118">
        <f t="shared" si="1304"/>
        <v>0.22599139990444339</v>
      </c>
      <c r="J6320" s="4">
        <v>97199</v>
      </c>
      <c r="K6320" s="22">
        <v>2225</v>
      </c>
      <c r="L6320" s="6">
        <v>2219</v>
      </c>
      <c r="M6320" s="125">
        <f t="shared" si="1307"/>
        <v>-6</v>
      </c>
      <c r="P6320" s="247"/>
      <c r="Q6320" s="25">
        <f>188.82/1199.5</f>
        <v>0.15741558982909545</v>
      </c>
      <c r="W6320" s="285">
        <f t="shared" si="1308"/>
        <v>0</v>
      </c>
      <c r="X6320" s="446">
        <f t="shared" si="1306"/>
        <v>0</v>
      </c>
    </row>
    <row r="6321" spans="1:24" ht="15" customHeight="1">
      <c r="A6321" s="3">
        <v>44599</v>
      </c>
      <c r="B6321" s="4">
        <v>45350</v>
      </c>
      <c r="C6321" s="4">
        <v>0</v>
      </c>
      <c r="D6321" s="4">
        <v>5100</v>
      </c>
      <c r="E6321" s="4">
        <v>52550</v>
      </c>
      <c r="F6321" s="4">
        <v>225</v>
      </c>
      <c r="G6321" s="4">
        <v>0</v>
      </c>
      <c r="H6321" s="4">
        <v>11750</v>
      </c>
      <c r="I6321" s="118">
        <f t="shared" si="1304"/>
        <v>0.22359657469077068</v>
      </c>
      <c r="J6321" s="4">
        <v>98603</v>
      </c>
      <c r="K6321" s="22">
        <v>2199</v>
      </c>
      <c r="L6321" s="6">
        <v>2194</v>
      </c>
      <c r="M6321" s="125">
        <f t="shared" si="1307"/>
        <v>-5</v>
      </c>
      <c r="P6321" s="247">
        <v>14850</v>
      </c>
      <c r="Q6321" s="25">
        <f>188.52/1199.4</f>
        <v>0.15717858929464731</v>
      </c>
      <c r="W6321" s="285">
        <f t="shared" si="1308"/>
        <v>2334.1020510255125</v>
      </c>
      <c r="X6321" s="446">
        <f t="shared" si="1306"/>
        <v>6.7530695770804909</v>
      </c>
    </row>
    <row r="6322" spans="1:24" ht="15" customHeight="1">
      <c r="A6322" s="3">
        <v>44600</v>
      </c>
      <c r="B6322" s="4">
        <v>44775</v>
      </c>
      <c r="C6322" s="4">
        <v>0</v>
      </c>
      <c r="D6322" s="4">
        <v>5075</v>
      </c>
      <c r="E6322" s="4">
        <v>51950</v>
      </c>
      <c r="F6322" s="4">
        <v>0</v>
      </c>
      <c r="G6322" s="4">
        <v>600</v>
      </c>
      <c r="H6322" s="4">
        <v>11150</v>
      </c>
      <c r="I6322" s="118">
        <f t="shared" si="1304"/>
        <v>0.21462945139557266</v>
      </c>
      <c r="J6322" s="4">
        <v>98602</v>
      </c>
      <c r="K6322" s="22">
        <v>2204</v>
      </c>
      <c r="L6322" s="6">
        <v>2192</v>
      </c>
      <c r="M6322" s="125">
        <f t="shared" si="1307"/>
        <v>-12</v>
      </c>
      <c r="P6322" s="247">
        <v>14800</v>
      </c>
      <c r="Q6322" s="25">
        <f>188.31/1197.8</f>
        <v>0.15721322424444817</v>
      </c>
      <c r="W6322" s="285">
        <f t="shared" si="1308"/>
        <v>2326.755718817833</v>
      </c>
      <c r="X6322" s="446">
        <f t="shared" si="1306"/>
        <v>6.7150635208711433</v>
      </c>
    </row>
    <row r="6323" spans="1:24" ht="15" customHeight="1">
      <c r="A6323" s="3">
        <v>44601</v>
      </c>
      <c r="B6323" s="4">
        <v>44775</v>
      </c>
      <c r="C6323" s="4">
        <v>0</v>
      </c>
      <c r="D6323" s="4">
        <v>5075</v>
      </c>
      <c r="E6323" s="4">
        <v>51950</v>
      </c>
      <c r="F6323" s="4">
        <v>0</v>
      </c>
      <c r="G6323" s="4">
        <v>0</v>
      </c>
      <c r="H6323" s="4">
        <v>11200</v>
      </c>
      <c r="I6323" s="118">
        <f t="shared" si="1304"/>
        <v>0.21559191530317612</v>
      </c>
      <c r="J6323" s="4">
        <v>99553</v>
      </c>
      <c r="K6323" s="22">
        <v>2234</v>
      </c>
      <c r="L6323" s="6">
        <v>2223</v>
      </c>
      <c r="M6323" s="125">
        <f t="shared" si="1307"/>
        <v>-11</v>
      </c>
      <c r="P6323" s="247">
        <v>14875</v>
      </c>
      <c r="Q6323" s="25">
        <f>187.81/1196</f>
        <v>0.15703177257525083</v>
      </c>
      <c r="W6323" s="285">
        <f t="shared" si="1308"/>
        <v>2335.8476170568561</v>
      </c>
      <c r="X6323" s="446">
        <f t="shared" si="1306"/>
        <v>6.6584601611459266</v>
      </c>
    </row>
    <row r="6324" spans="1:24" ht="15" customHeight="1">
      <c r="A6324" s="3">
        <v>44602</v>
      </c>
      <c r="B6324" s="4">
        <v>44775</v>
      </c>
      <c r="C6324" s="4">
        <v>0</v>
      </c>
      <c r="D6324" s="4">
        <v>5075</v>
      </c>
      <c r="E6324" s="4">
        <v>51950</v>
      </c>
      <c r="F6324" s="4">
        <v>0</v>
      </c>
      <c r="G6324" s="4">
        <v>0</v>
      </c>
      <c r="H6324" s="4">
        <v>11200</v>
      </c>
      <c r="I6324" s="118">
        <f t="shared" si="1304"/>
        <v>0.21559191530317612</v>
      </c>
      <c r="J6324" s="4">
        <v>98665</v>
      </c>
      <c r="K6324" s="22">
        <v>2300</v>
      </c>
      <c r="L6324" s="6">
        <v>2285</v>
      </c>
      <c r="M6324" s="125">
        <f t="shared" si="1307"/>
        <v>-15</v>
      </c>
      <c r="P6324" s="247">
        <v>15100</v>
      </c>
      <c r="Q6324" s="25">
        <f>187.96/1196</f>
        <v>0.1571571906354515</v>
      </c>
      <c r="W6324" s="285">
        <f t="shared" si="1308"/>
        <v>2373.0735785953175</v>
      </c>
      <c r="X6324" s="446">
        <f t="shared" si="1306"/>
        <v>6.5652173913043477</v>
      </c>
    </row>
    <row r="6325" spans="1:24" ht="15" customHeight="1">
      <c r="A6325" s="3">
        <v>44603</v>
      </c>
      <c r="B6325" s="4">
        <v>44775</v>
      </c>
      <c r="C6325" s="4">
        <v>0</v>
      </c>
      <c r="D6325" s="4">
        <v>5050</v>
      </c>
      <c r="E6325" s="5">
        <v>51925</v>
      </c>
      <c r="F6325" s="4">
        <v>0</v>
      </c>
      <c r="G6325" s="4">
        <v>25</v>
      </c>
      <c r="H6325" s="4">
        <v>11175</v>
      </c>
      <c r="I6325" s="118">
        <f t="shared" si="1304"/>
        <v>0.21521425132402502</v>
      </c>
      <c r="J6325" s="4">
        <v>99671</v>
      </c>
      <c r="K6325" s="22">
        <v>2289</v>
      </c>
      <c r="L6325" s="6">
        <v>2280</v>
      </c>
      <c r="M6325" s="125">
        <f t="shared" si="1307"/>
        <v>-9</v>
      </c>
      <c r="P6325" s="247">
        <v>15150</v>
      </c>
      <c r="Q6325" s="25">
        <f>188.44/1199.6</f>
        <v>0.15708569523174393</v>
      </c>
      <c r="W6325" s="285">
        <f t="shared" si="1308"/>
        <v>2379.8482827609205</v>
      </c>
      <c r="X6325" s="446">
        <f t="shared" si="1306"/>
        <v>6.6186107470511137</v>
      </c>
    </row>
    <row r="6326" spans="1:24" ht="15" customHeight="1">
      <c r="A6326" s="3">
        <v>44606</v>
      </c>
      <c r="B6326" s="4">
        <v>43975</v>
      </c>
      <c r="C6326" s="4">
        <v>0</v>
      </c>
      <c r="D6326" s="4">
        <v>5025</v>
      </c>
      <c r="E6326" s="4">
        <v>51100</v>
      </c>
      <c r="F6326" s="4">
        <v>0</v>
      </c>
      <c r="G6326" s="4">
        <v>825</v>
      </c>
      <c r="H6326" s="4">
        <v>10475</v>
      </c>
      <c r="I6326" s="118">
        <f t="shared" si="1304"/>
        <v>0.20499021526418787</v>
      </c>
      <c r="J6326" s="4">
        <v>101633</v>
      </c>
      <c r="K6326" s="22">
        <v>2300</v>
      </c>
      <c r="L6326" s="6">
        <v>2282</v>
      </c>
      <c r="M6326" s="125">
        <f t="shared" si="1307"/>
        <v>-18</v>
      </c>
      <c r="P6326" s="247">
        <v>15300</v>
      </c>
      <c r="Q6326" s="25">
        <f>188.31/1198.3</f>
        <v>0.15714762580322122</v>
      </c>
      <c r="W6326" s="285">
        <f t="shared" si="1308"/>
        <v>2404.3586747892846</v>
      </c>
      <c r="X6326" s="446">
        <f t="shared" si="1306"/>
        <v>6.6521739130434785</v>
      </c>
    </row>
    <row r="6327" spans="1:24" ht="15" customHeight="1">
      <c r="A6327" s="3">
        <v>44607</v>
      </c>
      <c r="B6327" s="4">
        <v>42975</v>
      </c>
      <c r="C6327" s="4">
        <v>0</v>
      </c>
      <c r="D6327" s="4">
        <v>4975</v>
      </c>
      <c r="E6327" s="4">
        <v>50050</v>
      </c>
      <c r="F6327" s="4">
        <v>0</v>
      </c>
      <c r="G6327" s="4">
        <v>1050</v>
      </c>
      <c r="H6327" s="4">
        <v>9725</v>
      </c>
      <c r="I6327" s="118">
        <f t="shared" si="1304"/>
        <v>0.1943056943056943</v>
      </c>
      <c r="J6327" s="4">
        <v>99932</v>
      </c>
      <c r="K6327" s="22">
        <v>2310</v>
      </c>
      <c r="L6327" s="6">
        <v>2298</v>
      </c>
      <c r="M6327" s="125">
        <f t="shared" si="1307"/>
        <v>-12</v>
      </c>
      <c r="P6327" s="247">
        <v>15300</v>
      </c>
      <c r="Q6327" s="25">
        <f>188.45/1198.5</f>
        <v>0.15723821443471003</v>
      </c>
      <c r="W6327" s="285">
        <f t="shared" si="1308"/>
        <v>2405.7446808510635</v>
      </c>
      <c r="X6327" s="446">
        <f t="shared" si="1306"/>
        <v>6.6233766233766236</v>
      </c>
    </row>
    <row r="6328" spans="1:24" ht="15" customHeight="1">
      <c r="A6328" s="3">
        <v>44608</v>
      </c>
      <c r="B6328" s="4">
        <v>41975</v>
      </c>
      <c r="C6328" s="4">
        <v>0</v>
      </c>
      <c r="D6328" s="4">
        <v>4925</v>
      </c>
      <c r="E6328" s="4">
        <v>49000</v>
      </c>
      <c r="F6328" s="4">
        <v>0</v>
      </c>
      <c r="G6328" s="4">
        <v>1050</v>
      </c>
      <c r="H6328" s="4">
        <v>8700</v>
      </c>
      <c r="I6328" s="118">
        <f t="shared" si="1304"/>
        <v>0.17755102040816326</v>
      </c>
      <c r="J6328" s="4">
        <v>99925</v>
      </c>
      <c r="K6328" s="22">
        <v>2340</v>
      </c>
      <c r="L6328" s="6">
        <v>2329</v>
      </c>
      <c r="M6328" s="125">
        <f t="shared" si="1307"/>
        <v>-11</v>
      </c>
      <c r="P6328" s="247">
        <v>15275</v>
      </c>
      <c r="Q6328" s="25">
        <f>188.81/1196.9</f>
        <v>0.15774918539560531</v>
      </c>
      <c r="W6328" s="285">
        <f t="shared" si="1308"/>
        <v>2409.6188069178711</v>
      </c>
      <c r="X6328" s="446">
        <f t="shared" si="1306"/>
        <v>6.5277777777777777</v>
      </c>
    </row>
    <row r="6329" spans="1:24" ht="15" customHeight="1">
      <c r="A6329" s="3">
        <v>44609</v>
      </c>
      <c r="B6329" s="4">
        <v>41200</v>
      </c>
      <c r="C6329" s="4">
        <v>0</v>
      </c>
      <c r="D6329" s="4">
        <v>4875</v>
      </c>
      <c r="E6329" s="4">
        <v>48175</v>
      </c>
      <c r="F6329" s="4">
        <v>0</v>
      </c>
      <c r="G6329" s="4">
        <v>825</v>
      </c>
      <c r="H6329" s="4">
        <v>7875</v>
      </c>
      <c r="I6329" s="118">
        <f t="shared" si="1304"/>
        <v>0.1634665282823041</v>
      </c>
      <c r="J6329" s="4">
        <v>100288</v>
      </c>
      <c r="K6329" s="22">
        <v>2351</v>
      </c>
      <c r="L6329" s="6">
        <v>2341</v>
      </c>
      <c r="M6329" s="125">
        <f t="shared" si="1307"/>
        <v>-10</v>
      </c>
      <c r="P6329" s="247">
        <v>15375</v>
      </c>
      <c r="Q6329" s="25">
        <f>189.01/1197.1</f>
        <v>0.15788990059309999</v>
      </c>
      <c r="W6329" s="285">
        <f t="shared" si="1308"/>
        <v>2427.5572216189121</v>
      </c>
      <c r="X6329" s="446">
        <f t="shared" si="1306"/>
        <v>6.5397703105061673</v>
      </c>
    </row>
    <row r="6330" spans="1:24" ht="15" customHeight="1">
      <c r="A6330" s="3">
        <v>44610</v>
      </c>
      <c r="B6330" s="4">
        <v>40275</v>
      </c>
      <c r="C6330" s="4">
        <v>0</v>
      </c>
      <c r="D6330" s="4">
        <v>4775</v>
      </c>
      <c r="E6330" s="4">
        <v>47150</v>
      </c>
      <c r="F6330" s="4">
        <v>0</v>
      </c>
      <c r="G6330" s="4">
        <v>1025</v>
      </c>
      <c r="H6330" s="4">
        <v>6850</v>
      </c>
      <c r="I6330" s="118">
        <f t="shared" si="1304"/>
        <v>0.14528101802757157</v>
      </c>
      <c r="J6330" s="4">
        <v>103007</v>
      </c>
      <c r="K6330" s="22">
        <v>2363</v>
      </c>
      <c r="L6330" s="6">
        <v>2345</v>
      </c>
      <c r="M6330" s="125">
        <f t="shared" si="1307"/>
        <v>-18</v>
      </c>
      <c r="P6330" s="247">
        <v>15425</v>
      </c>
      <c r="Q6330" s="25">
        <f>188.86/1196.4</f>
        <v>0.15785690404546973</v>
      </c>
      <c r="W6330" s="285">
        <f t="shared" si="1308"/>
        <v>2434.9427449013706</v>
      </c>
      <c r="X6330" s="446">
        <f t="shared" si="1306"/>
        <v>6.5277190012695723</v>
      </c>
    </row>
    <row r="6331" spans="1:24" ht="15" customHeight="1">
      <c r="A6331" s="3">
        <v>44613</v>
      </c>
      <c r="B6331" s="4">
        <v>39275</v>
      </c>
      <c r="C6331" s="4">
        <v>0</v>
      </c>
      <c r="D6331" s="4">
        <v>4675</v>
      </c>
      <c r="E6331" s="4">
        <v>46050</v>
      </c>
      <c r="F6331" s="4">
        <v>0</v>
      </c>
      <c r="G6331" s="4">
        <v>1100</v>
      </c>
      <c r="H6331" s="4">
        <v>5750</v>
      </c>
      <c r="I6331" s="118">
        <f t="shared" si="1304"/>
        <v>0.1248642779587405</v>
      </c>
      <c r="J6331" s="4">
        <v>102879</v>
      </c>
      <c r="K6331" s="22">
        <v>2343.5</v>
      </c>
      <c r="L6331" s="6">
        <v>2338</v>
      </c>
      <c r="M6331" s="125">
        <f t="shared" si="1307"/>
        <v>-5.5</v>
      </c>
      <c r="P6331" s="247">
        <v>15300</v>
      </c>
      <c r="Q6331" s="25">
        <f>189.1/1194.6</f>
        <v>0.15829566382052571</v>
      </c>
      <c r="W6331" s="285">
        <f t="shared" si="1308"/>
        <v>2421.9236564540433</v>
      </c>
      <c r="X6331" s="446">
        <f t="shared" si="1306"/>
        <v>6.5286963942820568</v>
      </c>
    </row>
    <row r="6332" spans="1:24" ht="15" customHeight="1">
      <c r="A6332" s="3">
        <v>44614</v>
      </c>
      <c r="B6332" s="4">
        <v>38125</v>
      </c>
      <c r="C6332" s="4">
        <v>0</v>
      </c>
      <c r="D6332" s="4">
        <v>4550</v>
      </c>
      <c r="E6332" s="4">
        <v>44775</v>
      </c>
      <c r="F6332" s="4">
        <v>0</v>
      </c>
      <c r="G6332" s="4">
        <v>1275</v>
      </c>
      <c r="H6332" s="5">
        <v>4475</v>
      </c>
      <c r="I6332" s="118">
        <f>H6332/E6332</f>
        <v>9.9944165270798441E-2</v>
      </c>
      <c r="J6332" s="5">
        <v>103872</v>
      </c>
      <c r="K6332" s="22">
        <v>2335</v>
      </c>
      <c r="L6332" s="6">
        <v>2325.5</v>
      </c>
      <c r="M6332" s="125">
        <f t="shared" si="1307"/>
        <v>-9.5</v>
      </c>
      <c r="P6332" s="247">
        <v>15350</v>
      </c>
      <c r="Q6332" s="25">
        <f>188.58/1194.7</f>
        <v>0.157847158282414</v>
      </c>
      <c r="W6332" s="285">
        <f t="shared" si="1308"/>
        <v>2422.9538796350548</v>
      </c>
      <c r="X6332" s="446">
        <f t="shared" si="1306"/>
        <v>6.5738758029978586</v>
      </c>
    </row>
    <row r="6333" spans="1:24" ht="15" customHeight="1">
      <c r="A6333" s="3">
        <v>44615</v>
      </c>
      <c r="B6333" s="4">
        <v>37950</v>
      </c>
      <c r="C6333" s="4">
        <v>0</v>
      </c>
      <c r="D6333" s="4">
        <v>4450</v>
      </c>
      <c r="E6333" s="4">
        <v>44500</v>
      </c>
      <c r="F6333" s="4">
        <v>0</v>
      </c>
      <c r="G6333" s="4">
        <v>275</v>
      </c>
      <c r="H6333" s="4">
        <v>4200</v>
      </c>
      <c r="I6333" s="118">
        <f>H6333/E6333</f>
        <v>9.4382022471910118E-2</v>
      </c>
      <c r="J6333" s="4">
        <v>104359</v>
      </c>
      <c r="K6333" s="22">
        <v>2347.5</v>
      </c>
      <c r="L6333" s="6">
        <v>2342</v>
      </c>
      <c r="M6333" s="125">
        <f t="shared" si="1307"/>
        <v>-5.5</v>
      </c>
      <c r="P6333" s="247">
        <v>15375</v>
      </c>
      <c r="Q6333" s="25">
        <f>188.51/1192.1</f>
        <v>0.15813270698766882</v>
      </c>
      <c r="W6333" s="285">
        <f t="shared" si="1308"/>
        <v>2431.2903699354083</v>
      </c>
      <c r="X6333" s="446">
        <f t="shared" si="1306"/>
        <v>6.5495207667731625</v>
      </c>
    </row>
    <row r="6334" spans="1:24" ht="15" customHeight="1">
      <c r="A6334" s="3">
        <v>44616</v>
      </c>
      <c r="B6334" s="4">
        <v>37900</v>
      </c>
      <c r="C6334" s="4">
        <v>0</v>
      </c>
      <c r="D6334" s="4">
        <v>4425</v>
      </c>
      <c r="E6334" s="4">
        <v>44425</v>
      </c>
      <c r="F6334" s="4">
        <v>0</v>
      </c>
      <c r="G6334" s="4">
        <v>75</v>
      </c>
      <c r="H6334" s="4">
        <v>4125</v>
      </c>
      <c r="I6334" s="118">
        <f>H6334/E6334</f>
        <v>9.2853123241418117E-2</v>
      </c>
      <c r="J6334" s="4">
        <v>104527</v>
      </c>
      <c r="K6334" s="22">
        <v>2370</v>
      </c>
      <c r="L6334" s="6">
        <v>2366</v>
      </c>
      <c r="M6334" s="125">
        <f t="shared" si="1307"/>
        <v>-4</v>
      </c>
      <c r="P6334" s="247">
        <v>15325</v>
      </c>
      <c r="Q6334" s="25">
        <f>189.68/1199.4</f>
        <v>0.15814573953643488</v>
      </c>
      <c r="W6334" s="285">
        <f t="shared" si="1308"/>
        <v>2423.5834583958645</v>
      </c>
      <c r="X6334" s="446">
        <f t="shared" si="1306"/>
        <v>6.466244725738397</v>
      </c>
    </row>
    <row r="6335" spans="1:24" ht="15" customHeight="1">
      <c r="A6335" s="3">
        <v>44617</v>
      </c>
      <c r="B6335" s="4">
        <v>37900</v>
      </c>
      <c r="C6335" s="4">
        <v>0</v>
      </c>
      <c r="D6335" s="4">
        <v>4350</v>
      </c>
      <c r="E6335" s="4">
        <v>44350</v>
      </c>
      <c r="F6335" s="4">
        <v>0</v>
      </c>
      <c r="G6335" s="4">
        <v>75</v>
      </c>
      <c r="H6335" s="4">
        <v>4350</v>
      </c>
      <c r="I6335" s="118">
        <f>H6335/E6335</f>
        <v>9.8083427282976324E-2</v>
      </c>
      <c r="J6335" s="4">
        <v>105563</v>
      </c>
      <c r="K6335" s="22">
        <v>2359</v>
      </c>
      <c r="L6335" s="6">
        <v>2358</v>
      </c>
      <c r="M6335" s="125">
        <f t="shared" si="1307"/>
        <v>-1</v>
      </c>
      <c r="P6335" s="247">
        <v>15375</v>
      </c>
      <c r="Q6335" s="25">
        <f>190.41/1202.7</f>
        <v>0.15831878273883759</v>
      </c>
      <c r="W6335" s="285">
        <f t="shared" si="1308"/>
        <v>2434.151284609628</v>
      </c>
      <c r="X6335" s="446">
        <f t="shared" si="1306"/>
        <v>6.5175922000847821</v>
      </c>
    </row>
    <row r="6336" spans="1:24" ht="15" customHeight="1">
      <c r="A6336" s="3">
        <v>44620</v>
      </c>
      <c r="B6336" s="4">
        <v>37900</v>
      </c>
      <c r="C6336" s="4">
        <v>0</v>
      </c>
      <c r="D6336" s="4">
        <v>4325</v>
      </c>
      <c r="E6336" s="4">
        <v>44325</v>
      </c>
      <c r="F6336" s="4">
        <v>0</v>
      </c>
      <c r="G6336" s="4">
        <v>25</v>
      </c>
      <c r="H6336" s="4">
        <v>10175</v>
      </c>
      <c r="I6336" s="118">
        <f>H6336/E6336</f>
        <v>0.22955442752397068</v>
      </c>
      <c r="J6336" s="4">
        <v>107102</v>
      </c>
      <c r="K6336" s="22">
        <v>2402</v>
      </c>
      <c r="L6336" s="6">
        <v>2393</v>
      </c>
      <c r="M6336" s="125">
        <f t="shared" si="1307"/>
        <v>-9</v>
      </c>
      <c r="N6336" s="425">
        <f>AVERAGE($K$6317:K6336)</f>
        <v>2299.9</v>
      </c>
      <c r="O6336" s="395">
        <f>AVERAGE($K$6296:K6336)</f>
        <v>2321.3000000000002</v>
      </c>
      <c r="P6336" s="247">
        <v>15375</v>
      </c>
      <c r="Q6336" s="25">
        <f>190.41/1202.7</f>
        <v>0.15831878273883759</v>
      </c>
      <c r="W6336" s="285">
        <f t="shared" si="1308"/>
        <v>2434.151284609628</v>
      </c>
      <c r="X6336" s="446">
        <f t="shared" si="1306"/>
        <v>6.4009159034138214</v>
      </c>
    </row>
    <row r="6337" spans="1:24" ht="15" customHeight="1" thickBot="1">
      <c r="A6337" s="394"/>
      <c r="B6337" s="394"/>
      <c r="C6337" s="394"/>
      <c r="D6337" s="394"/>
      <c r="E6337" s="216"/>
      <c r="F6337" s="407"/>
      <c r="G6337" s="164"/>
      <c r="H6337" s="164"/>
      <c r="I6337" s="166"/>
      <c r="J6337" s="166"/>
      <c r="K6337" s="166"/>
      <c r="L6337" s="167"/>
      <c r="M6337" s="167"/>
      <c r="N6337" s="167"/>
      <c r="O6337" s="180"/>
      <c r="P6337" s="180"/>
      <c r="Q6337" s="180"/>
      <c r="R6337" s="248"/>
      <c r="S6337" s="249"/>
      <c r="T6337" s="249"/>
      <c r="U6337" s="152"/>
      <c r="V6337" s="153">
        <f>AVERAGE(P6317:P6336)</f>
        <v>15221.875</v>
      </c>
      <c r="W6337" s="152"/>
      <c r="X6337" s="447">
        <f>V6337/N6336</f>
        <v>6.6184942823601025</v>
      </c>
    </row>
    <row r="6338" spans="1:24" ht="15" customHeight="1">
      <c r="A6338" s="3">
        <v>44621</v>
      </c>
      <c r="B6338" s="4">
        <v>37900</v>
      </c>
      <c r="C6338" s="4">
        <v>0</v>
      </c>
      <c r="D6338" s="4">
        <v>4300</v>
      </c>
      <c r="E6338" s="4">
        <v>44300</v>
      </c>
      <c r="F6338" s="4">
        <v>0</v>
      </c>
      <c r="G6338" s="4">
        <v>25</v>
      </c>
      <c r="H6338" s="4">
        <v>10300</v>
      </c>
      <c r="I6338" s="118">
        <f t="shared" ref="I6338:I6365" si="1309">H6338/E6338</f>
        <v>0.2325056433408578</v>
      </c>
      <c r="J6338" s="4">
        <v>109261</v>
      </c>
      <c r="K6338" s="22">
        <v>2413</v>
      </c>
      <c r="L6338" s="6">
        <v>2408</v>
      </c>
      <c r="M6338" s="125">
        <f t="shared" si="1307"/>
        <v>-5</v>
      </c>
      <c r="P6338" s="247">
        <v>15400</v>
      </c>
      <c r="Q6338" s="25">
        <f>190.83/1205.6</f>
        <v>0.15828633045786333</v>
      </c>
      <c r="W6338" s="285">
        <f t="shared" si="1308"/>
        <v>2437.6094890510954</v>
      </c>
      <c r="X6338" s="446">
        <f t="shared" si="1306"/>
        <v>6.3820969747202652</v>
      </c>
    </row>
    <row r="6339" spans="1:24" ht="15" customHeight="1">
      <c r="A6339" s="3">
        <v>44622</v>
      </c>
      <c r="B6339" s="4">
        <v>37775</v>
      </c>
      <c r="C6339" s="4">
        <v>0</v>
      </c>
      <c r="D6339" s="4">
        <v>4300</v>
      </c>
      <c r="E6339" s="4">
        <v>44175</v>
      </c>
      <c r="F6339" s="4">
        <v>0</v>
      </c>
      <c r="G6339" s="4">
        <v>125</v>
      </c>
      <c r="H6339" s="4">
        <v>10250</v>
      </c>
      <c r="I6339" s="118">
        <f t="shared" si="1309"/>
        <v>0.2320316921335597</v>
      </c>
      <c r="J6339" s="4">
        <v>113718</v>
      </c>
      <c r="K6339" s="22">
        <v>2433.5</v>
      </c>
      <c r="L6339" s="6">
        <v>2434</v>
      </c>
      <c r="M6339" s="125">
        <f t="shared" si="1307"/>
        <v>0.5</v>
      </c>
      <c r="P6339" s="247">
        <v>15425</v>
      </c>
      <c r="Q6339" s="25">
        <f>190.85/1205</f>
        <v>0.15838174273858921</v>
      </c>
      <c r="W6339" s="285">
        <f t="shared" si="1308"/>
        <v>2443.0383817427387</v>
      </c>
      <c r="X6339" s="446">
        <f t="shared" si="1306"/>
        <v>6.338606944729813</v>
      </c>
    </row>
    <row r="6340" spans="1:24" ht="15" customHeight="1">
      <c r="A6340" s="3">
        <v>44623</v>
      </c>
      <c r="B6340" s="4">
        <v>37775</v>
      </c>
      <c r="C6340" s="4">
        <v>0</v>
      </c>
      <c r="D6340" s="4">
        <v>4300</v>
      </c>
      <c r="E6340" s="4">
        <v>44175</v>
      </c>
      <c r="F6340" s="4">
        <v>0</v>
      </c>
      <c r="G6340" s="4">
        <v>0</v>
      </c>
      <c r="H6340" s="4">
        <v>10250</v>
      </c>
      <c r="I6340" s="118">
        <f t="shared" si="1309"/>
        <v>0.2320316921335597</v>
      </c>
      <c r="J6340" s="4">
        <v>115089</v>
      </c>
      <c r="K6340" s="22">
        <v>2424.5</v>
      </c>
      <c r="L6340" s="6">
        <v>2424</v>
      </c>
      <c r="M6340" s="125">
        <f t="shared" si="1307"/>
        <v>-0.5</v>
      </c>
      <c r="P6340" s="247">
        <v>15350</v>
      </c>
      <c r="Q6340" s="25">
        <f>190.37/1203.6</f>
        <v>0.15816716517115323</v>
      </c>
      <c r="W6340" s="285">
        <f t="shared" si="1308"/>
        <v>2427.8659853772019</v>
      </c>
      <c r="X6340" s="446">
        <f t="shared" si="1306"/>
        <v>6.3312023097545884</v>
      </c>
    </row>
    <row r="6341" spans="1:24" ht="15" customHeight="1">
      <c r="A6341" s="3">
        <v>44624</v>
      </c>
      <c r="B6341" s="4">
        <v>36800</v>
      </c>
      <c r="C6341" s="4">
        <v>0</v>
      </c>
      <c r="D6341" s="4">
        <v>4300</v>
      </c>
      <c r="E6341" s="4">
        <v>43200</v>
      </c>
      <c r="F6341" s="4">
        <v>0</v>
      </c>
      <c r="G6341" s="4">
        <v>975</v>
      </c>
      <c r="H6341" s="4">
        <v>9275</v>
      </c>
      <c r="I6341" s="118">
        <f t="shared" si="1309"/>
        <v>0.21469907407407407</v>
      </c>
      <c r="J6341" s="4">
        <v>116351</v>
      </c>
      <c r="K6341" s="22">
        <v>2440</v>
      </c>
      <c r="L6341" s="6">
        <v>2442</v>
      </c>
      <c r="M6341" s="125">
        <f t="shared" si="1307"/>
        <v>2</v>
      </c>
      <c r="P6341" s="247">
        <v>15300</v>
      </c>
      <c r="Q6341" s="25">
        <f>191.63/1211.5</f>
        <v>0.15817581510524142</v>
      </c>
      <c r="W6341" s="285">
        <f t="shared" si="1308"/>
        <v>2420.0899711101938</v>
      </c>
      <c r="X6341" s="446">
        <f t="shared" si="1306"/>
        <v>6.2704918032786887</v>
      </c>
    </row>
    <row r="6342" spans="1:24" ht="15" customHeight="1">
      <c r="A6342" s="3">
        <v>44627</v>
      </c>
      <c r="B6342" s="4">
        <v>35850</v>
      </c>
      <c r="C6342" s="4">
        <v>0</v>
      </c>
      <c r="D6342" s="4">
        <v>4275</v>
      </c>
      <c r="E6342" s="4">
        <v>42225</v>
      </c>
      <c r="F6342" s="4">
        <v>0</v>
      </c>
      <c r="G6342" s="4">
        <v>975</v>
      </c>
      <c r="H6342" s="4">
        <v>8300</v>
      </c>
      <c r="I6342" s="118">
        <f t="shared" si="1309"/>
        <v>0.19656601539372409</v>
      </c>
      <c r="J6342" s="4">
        <v>115213</v>
      </c>
      <c r="K6342" s="22">
        <v>2513</v>
      </c>
      <c r="L6342" s="6">
        <v>2516</v>
      </c>
      <c r="M6342" s="125">
        <f t="shared" si="1307"/>
        <v>3</v>
      </c>
      <c r="P6342" s="247">
        <v>15500</v>
      </c>
      <c r="Q6342" s="25">
        <f>193.82/1225.4</f>
        <v>0.15816876122082585</v>
      </c>
      <c r="W6342" s="285">
        <f t="shared" si="1308"/>
        <v>2451.6157989228009</v>
      </c>
      <c r="X6342" s="446">
        <f t="shared" si="1306"/>
        <v>6.1679267807401512</v>
      </c>
    </row>
    <row r="6343" spans="1:24" ht="15" customHeight="1">
      <c r="A6343" s="3">
        <v>44628</v>
      </c>
      <c r="B6343" s="4">
        <v>33925</v>
      </c>
      <c r="C6343" s="4">
        <v>0</v>
      </c>
      <c r="D6343" s="4">
        <v>4275</v>
      </c>
      <c r="E6343" s="4">
        <v>40300</v>
      </c>
      <c r="F6343" s="4">
        <v>0</v>
      </c>
      <c r="G6343" s="4">
        <v>1925</v>
      </c>
      <c r="H6343" s="4">
        <v>6375</v>
      </c>
      <c r="I6343" s="118">
        <f t="shared" si="1309"/>
        <v>0.15818858560794044</v>
      </c>
      <c r="J6343" s="4">
        <v>116819</v>
      </c>
      <c r="K6343" s="22">
        <v>2491</v>
      </c>
      <c r="L6343" s="6">
        <v>2535</v>
      </c>
      <c r="M6343" s="125">
        <f t="shared" si="1307"/>
        <v>44</v>
      </c>
      <c r="P6343" s="247">
        <f>P6344-25</f>
        <v>15225</v>
      </c>
      <c r="Q6343" s="25">
        <f>193.82/1225.4</f>
        <v>0.15816876122082585</v>
      </c>
      <c r="W6343" s="285">
        <f t="shared" si="1308"/>
        <v>2408.1193895870733</v>
      </c>
      <c r="X6343" s="446">
        <f t="shared" si="1306"/>
        <v>6.1120032115616221</v>
      </c>
    </row>
    <row r="6344" spans="1:24" ht="15" customHeight="1">
      <c r="A6344" s="3">
        <v>44629</v>
      </c>
      <c r="B6344" s="4">
        <v>32900</v>
      </c>
      <c r="C6344" s="4">
        <v>0</v>
      </c>
      <c r="D6344" s="4">
        <v>4250</v>
      </c>
      <c r="E6344" s="4">
        <v>39250</v>
      </c>
      <c r="F6344" s="4">
        <v>0</v>
      </c>
      <c r="G6344" s="4">
        <v>1050</v>
      </c>
      <c r="H6344" s="4">
        <v>5325</v>
      </c>
      <c r="I6344" s="118">
        <f t="shared" si="1309"/>
        <v>0.1356687898089172</v>
      </c>
      <c r="J6344" s="4">
        <v>118329</v>
      </c>
      <c r="K6344" s="22">
        <v>2401</v>
      </c>
      <c r="L6344" s="6">
        <v>2444</v>
      </c>
      <c r="M6344" s="125">
        <f t="shared" si="1307"/>
        <v>43</v>
      </c>
      <c r="P6344" s="247">
        <v>15250</v>
      </c>
      <c r="Q6344" s="25">
        <f>195.37/1234.5</f>
        <v>0.15825840421223167</v>
      </c>
      <c r="W6344" s="285">
        <f t="shared" si="1308"/>
        <v>2413.4406642365329</v>
      </c>
      <c r="X6344" s="446">
        <f t="shared" si="1306"/>
        <v>6.3515201999167017</v>
      </c>
    </row>
    <row r="6345" spans="1:24" ht="15" customHeight="1">
      <c r="A6345" s="3">
        <v>44630</v>
      </c>
      <c r="B6345" s="4">
        <v>32900</v>
      </c>
      <c r="C6345" s="4">
        <v>0</v>
      </c>
      <c r="D6345" s="4">
        <v>4250</v>
      </c>
      <c r="E6345" s="4">
        <v>39250</v>
      </c>
      <c r="F6345" s="4">
        <v>0</v>
      </c>
      <c r="G6345" s="4">
        <v>0</v>
      </c>
      <c r="H6345" s="4">
        <v>5325</v>
      </c>
      <c r="I6345" s="118">
        <f t="shared" si="1309"/>
        <v>0.1356687898089172</v>
      </c>
      <c r="J6345" s="5">
        <v>116974</v>
      </c>
      <c r="K6345" s="22">
        <v>2401</v>
      </c>
      <c r="L6345" s="6">
        <v>2408</v>
      </c>
      <c r="M6345" s="125">
        <f t="shared" si="1307"/>
        <v>7</v>
      </c>
      <c r="P6345" s="247">
        <v>15150</v>
      </c>
      <c r="Q6345" s="25">
        <f>194.35/1228.7</f>
        <v>0.15817530723528933</v>
      </c>
      <c r="W6345" s="285">
        <f t="shared" si="1308"/>
        <v>2396.3559046146333</v>
      </c>
      <c r="X6345" s="446">
        <f t="shared" si="1306"/>
        <v>6.3098708871303621</v>
      </c>
    </row>
    <row r="6346" spans="1:24" ht="15" customHeight="1">
      <c r="A6346" s="3">
        <v>44631</v>
      </c>
      <c r="B6346" s="4">
        <v>31925</v>
      </c>
      <c r="C6346" s="4">
        <v>0</v>
      </c>
      <c r="D6346" s="4">
        <v>4250</v>
      </c>
      <c r="E6346" s="4">
        <v>38275</v>
      </c>
      <c r="F6346" s="4">
        <v>0</v>
      </c>
      <c r="G6346" s="4">
        <v>975</v>
      </c>
      <c r="H6346" s="4">
        <v>4350</v>
      </c>
      <c r="I6346" s="118">
        <f t="shared" si="1309"/>
        <v>0.11365120836054866</v>
      </c>
      <c r="J6346" s="4">
        <v>115824</v>
      </c>
      <c r="K6346" s="22">
        <v>2361</v>
      </c>
      <c r="L6346" s="6">
        <v>2373</v>
      </c>
      <c r="M6346" s="125">
        <f t="shared" si="1307"/>
        <v>12</v>
      </c>
      <c r="P6346" s="247">
        <v>15075</v>
      </c>
      <c r="Q6346" s="25">
        <f>194.87/1232.4</f>
        <v>0.15812236286919831</v>
      </c>
      <c r="W6346" s="285">
        <f t="shared" si="1308"/>
        <v>2383.6946202531644</v>
      </c>
      <c r="X6346" s="446">
        <f t="shared" si="1306"/>
        <v>6.3850063532401524</v>
      </c>
    </row>
    <row r="6347" spans="1:24" ht="15" customHeight="1">
      <c r="A6347" s="3">
        <v>44634</v>
      </c>
      <c r="B6347" s="4">
        <v>31925</v>
      </c>
      <c r="C6347" s="4">
        <v>0</v>
      </c>
      <c r="D6347" s="4">
        <v>4250</v>
      </c>
      <c r="E6347" s="4">
        <v>38275</v>
      </c>
      <c r="F6347" s="4">
        <v>0</v>
      </c>
      <c r="G6347" s="4">
        <v>0</v>
      </c>
      <c r="H6347" s="4">
        <v>4350</v>
      </c>
      <c r="I6347" s="118">
        <f t="shared" si="1309"/>
        <v>0.11365120836054866</v>
      </c>
      <c r="J6347" s="4">
        <v>115599</v>
      </c>
      <c r="K6347" s="22">
        <v>2272</v>
      </c>
      <c r="L6347" s="6">
        <v>2290</v>
      </c>
      <c r="M6347" s="125">
        <f t="shared" si="1307"/>
        <v>18</v>
      </c>
      <c r="P6347" s="247">
        <v>15100</v>
      </c>
      <c r="Q6347" s="25">
        <f>194.77/1238.6</f>
        <v>0.15725012110447281</v>
      </c>
      <c r="W6347" s="285">
        <f t="shared" si="1308"/>
        <v>2374.4768286775393</v>
      </c>
      <c r="X6347" s="446">
        <f t="shared" si="1306"/>
        <v>6.64612676056338</v>
      </c>
    </row>
    <row r="6348" spans="1:24" ht="15" customHeight="1">
      <c r="A6348" s="3">
        <v>44635</v>
      </c>
      <c r="B6348" s="4">
        <v>32325</v>
      </c>
      <c r="C6348" s="4">
        <v>0</v>
      </c>
      <c r="D6348" s="4">
        <v>4250</v>
      </c>
      <c r="E6348" s="4">
        <v>38675</v>
      </c>
      <c r="F6348" s="4">
        <v>400</v>
      </c>
      <c r="G6348" s="4">
        <v>0</v>
      </c>
      <c r="H6348" s="4">
        <v>4350</v>
      </c>
      <c r="I6348" s="118">
        <f t="shared" si="1309"/>
        <v>0.11247575953458307</v>
      </c>
      <c r="J6348" s="4">
        <v>115018</v>
      </c>
      <c r="K6348" s="22">
        <v>2230</v>
      </c>
      <c r="L6348" s="6">
        <v>2246</v>
      </c>
      <c r="M6348" s="125">
        <f t="shared" si="1307"/>
        <v>16</v>
      </c>
      <c r="P6348" s="247">
        <v>14950</v>
      </c>
      <c r="Q6348" s="25">
        <f>194.25/1241.7</f>
        <v>0.15643875332205845</v>
      </c>
      <c r="W6348" s="285">
        <f t="shared" si="1308"/>
        <v>2338.7593621647738</v>
      </c>
      <c r="X6348" s="446">
        <f t="shared" si="1306"/>
        <v>6.7040358744394615</v>
      </c>
    </row>
    <row r="6349" spans="1:24" ht="15" customHeight="1">
      <c r="A6349" s="3">
        <v>44636</v>
      </c>
      <c r="B6349" s="4">
        <v>32325</v>
      </c>
      <c r="C6349" s="4">
        <v>0</v>
      </c>
      <c r="D6349" s="4">
        <v>4250</v>
      </c>
      <c r="E6349" s="4">
        <v>38675</v>
      </c>
      <c r="F6349" s="4">
        <v>0</v>
      </c>
      <c r="G6349" s="4">
        <v>0</v>
      </c>
      <c r="H6349" s="4">
        <v>4350</v>
      </c>
      <c r="I6349" s="118">
        <f t="shared" si="1309"/>
        <v>0.11247575953458307</v>
      </c>
      <c r="J6349" s="4">
        <v>111145</v>
      </c>
      <c r="K6349" s="22">
        <v>2245</v>
      </c>
      <c r="L6349" s="6">
        <v>2265</v>
      </c>
      <c r="M6349" s="125">
        <f t="shared" si="1307"/>
        <v>20</v>
      </c>
      <c r="P6349" s="247">
        <v>14975</v>
      </c>
      <c r="Q6349" s="25">
        <f>194.7/1240.4</f>
        <v>0.15696549500161236</v>
      </c>
      <c r="W6349" s="285">
        <f t="shared" si="1308"/>
        <v>2350.5582876491449</v>
      </c>
      <c r="X6349" s="446">
        <f t="shared" si="1306"/>
        <v>6.6703786191536745</v>
      </c>
    </row>
    <row r="6350" spans="1:24" ht="15" customHeight="1">
      <c r="A6350" s="3">
        <v>44637</v>
      </c>
      <c r="B6350" s="4">
        <v>32325</v>
      </c>
      <c r="C6350" s="4">
        <v>0</v>
      </c>
      <c r="D6350" s="4">
        <v>4250</v>
      </c>
      <c r="E6350" s="4">
        <v>38675</v>
      </c>
      <c r="F6350" s="4">
        <v>0</v>
      </c>
      <c r="G6350" s="4">
        <v>0</v>
      </c>
      <c r="H6350" s="4">
        <v>4350</v>
      </c>
      <c r="I6350" s="118">
        <f t="shared" si="1309"/>
        <v>0.11247575953458307</v>
      </c>
      <c r="J6350" s="4">
        <v>111254</v>
      </c>
      <c r="K6350" s="22">
        <v>2235</v>
      </c>
      <c r="L6350" s="6">
        <v>2254</v>
      </c>
      <c r="M6350" s="125">
        <f t="shared" si="1307"/>
        <v>19</v>
      </c>
      <c r="P6350" s="247">
        <v>15075</v>
      </c>
      <c r="Q6350" s="25">
        <f>192.05/1220.6</f>
        <v>0.15734065213829265</v>
      </c>
      <c r="W6350" s="285">
        <f t="shared" si="1308"/>
        <v>2371.9103309847619</v>
      </c>
      <c r="X6350" s="446">
        <f t="shared" si="1306"/>
        <v>6.7449664429530198</v>
      </c>
    </row>
    <row r="6351" spans="1:24" ht="15" customHeight="1">
      <c r="A6351" s="3">
        <v>44638</v>
      </c>
      <c r="B6351" s="4">
        <v>32325</v>
      </c>
      <c r="C6351" s="4">
        <v>0</v>
      </c>
      <c r="D6351" s="4">
        <v>4250</v>
      </c>
      <c r="E6351" s="4">
        <v>38675</v>
      </c>
      <c r="F6351" s="4">
        <v>0</v>
      </c>
      <c r="G6351" s="4">
        <v>0</v>
      </c>
      <c r="H6351" s="4">
        <v>4350</v>
      </c>
      <c r="I6351" s="118">
        <f t="shared" si="1309"/>
        <v>0.11247575953458307</v>
      </c>
      <c r="J6351" s="4">
        <v>111162</v>
      </c>
      <c r="K6351" s="22">
        <v>2259</v>
      </c>
      <c r="L6351" s="6">
        <v>2269</v>
      </c>
      <c r="M6351" s="125">
        <f t="shared" si="1307"/>
        <v>10</v>
      </c>
      <c r="P6351" s="247">
        <v>15100</v>
      </c>
      <c r="Q6351" s="25">
        <f>190.5/1211.1</f>
        <v>0.15729502105523904</v>
      </c>
      <c r="W6351" s="285">
        <f t="shared" si="1308"/>
        <v>2375.1548179341094</v>
      </c>
      <c r="X6351" s="446">
        <f t="shared" si="1306"/>
        <v>6.6843736166445327</v>
      </c>
    </row>
    <row r="6352" spans="1:24" ht="15" customHeight="1">
      <c r="A6352" s="3">
        <v>44641</v>
      </c>
      <c r="B6352" s="4">
        <v>32325</v>
      </c>
      <c r="C6352" s="4">
        <v>0</v>
      </c>
      <c r="D6352" s="4">
        <v>4200</v>
      </c>
      <c r="E6352" s="4">
        <v>38625</v>
      </c>
      <c r="F6352" s="4">
        <v>0</v>
      </c>
      <c r="G6352" s="4">
        <v>50</v>
      </c>
      <c r="H6352" s="4">
        <v>4300</v>
      </c>
      <c r="I6352" s="118">
        <f t="shared" si="1309"/>
        <v>0.11132686084142394</v>
      </c>
      <c r="J6352" s="4">
        <v>112433</v>
      </c>
      <c r="K6352" s="22">
        <v>2248</v>
      </c>
      <c r="L6352" s="6">
        <v>2261</v>
      </c>
      <c r="M6352" s="125">
        <f t="shared" si="1307"/>
        <v>13</v>
      </c>
      <c r="P6352" s="247">
        <v>15100</v>
      </c>
      <c r="Q6352" s="25">
        <f>190.32/1213.7</f>
        <v>0.1568097552937299</v>
      </c>
      <c r="W6352" s="285">
        <f t="shared" si="1308"/>
        <v>2367.8273049353215</v>
      </c>
      <c r="X6352" s="446">
        <f t="shared" si="1306"/>
        <v>6.7170818505338081</v>
      </c>
    </row>
    <row r="6353" spans="1:24" ht="15" customHeight="1">
      <c r="A6353" s="3">
        <v>44642</v>
      </c>
      <c r="B6353" s="4">
        <v>32325</v>
      </c>
      <c r="C6353" s="4">
        <v>0</v>
      </c>
      <c r="D6353" s="4">
        <v>4200</v>
      </c>
      <c r="E6353" s="4">
        <v>38625</v>
      </c>
      <c r="F6353" s="4">
        <v>0</v>
      </c>
      <c r="G6353" s="4">
        <v>0</v>
      </c>
      <c r="H6353" s="4">
        <v>4300</v>
      </c>
      <c r="I6353" s="118">
        <f t="shared" si="1309"/>
        <v>0.11132686084142394</v>
      </c>
      <c r="J6353" s="4">
        <v>110439</v>
      </c>
      <c r="K6353" s="22">
        <v>2270</v>
      </c>
      <c r="L6353" s="6">
        <v>2280</v>
      </c>
      <c r="M6353" s="125">
        <f t="shared" si="1307"/>
        <v>10</v>
      </c>
      <c r="P6353" s="247">
        <v>15100</v>
      </c>
      <c r="Q6353" s="25">
        <f>191.59/1221.4</f>
        <v>0.1568609792041919</v>
      </c>
      <c r="W6353" s="285">
        <f t="shared" si="1308"/>
        <v>2368.6007859832976</v>
      </c>
      <c r="X6353" s="446">
        <f t="shared" si="1306"/>
        <v>6.6519823788546253</v>
      </c>
    </row>
    <row r="6354" spans="1:24" ht="15" customHeight="1">
      <c r="A6354" s="3">
        <v>44643</v>
      </c>
      <c r="B6354" s="4">
        <v>32425</v>
      </c>
      <c r="C6354" s="4">
        <v>0</v>
      </c>
      <c r="D6354" s="4">
        <v>4200</v>
      </c>
      <c r="E6354" s="4">
        <v>38725</v>
      </c>
      <c r="F6354" s="4">
        <v>100</v>
      </c>
      <c r="G6354" s="4">
        <v>0</v>
      </c>
      <c r="H6354" s="4">
        <v>4300</v>
      </c>
      <c r="I6354" s="118">
        <f t="shared" si="1309"/>
        <v>0.11103938024531956</v>
      </c>
      <c r="J6354" s="4">
        <v>110465</v>
      </c>
      <c r="K6354" s="22">
        <v>2336.5</v>
      </c>
      <c r="L6354" s="6">
        <v>2327</v>
      </c>
      <c r="M6354" s="125">
        <f t="shared" si="1307"/>
        <v>-9.5</v>
      </c>
      <c r="P6354" s="247">
        <v>15200</v>
      </c>
      <c r="Q6354" s="25">
        <f>190.01/1212.7</f>
        <v>0.15668343366042714</v>
      </c>
      <c r="W6354" s="285">
        <f t="shared" si="1308"/>
        <v>2381.5881916384924</v>
      </c>
      <c r="X6354" s="446">
        <f t="shared" si="1306"/>
        <v>6.5054568799486407</v>
      </c>
    </row>
    <row r="6355" spans="1:24" ht="15" customHeight="1">
      <c r="A6355" s="3">
        <v>44644</v>
      </c>
      <c r="B6355" s="4">
        <v>32425</v>
      </c>
      <c r="C6355" s="4">
        <v>0</v>
      </c>
      <c r="D6355" s="4">
        <v>4200</v>
      </c>
      <c r="E6355" s="4">
        <v>38725</v>
      </c>
      <c r="F6355" s="4">
        <v>0</v>
      </c>
      <c r="G6355" s="4">
        <v>0</v>
      </c>
      <c r="H6355" s="4">
        <v>4300</v>
      </c>
      <c r="I6355" s="118">
        <f t="shared" si="1309"/>
        <v>0.11103938024531956</v>
      </c>
      <c r="J6355" s="4">
        <v>110262</v>
      </c>
      <c r="K6355" s="22">
        <v>2350</v>
      </c>
      <c r="L6355" s="6">
        <v>2344</v>
      </c>
      <c r="M6355" s="125">
        <f t="shared" si="1307"/>
        <v>-6</v>
      </c>
      <c r="P6355" s="247">
        <v>15225</v>
      </c>
      <c r="Q6355" s="25">
        <f>190.91/1219.4</f>
        <v>0.15656060357552892</v>
      </c>
      <c r="W6355" s="285">
        <f t="shared" si="1308"/>
        <v>2383.6351894374279</v>
      </c>
      <c r="X6355" s="446">
        <f>P6355/K6355</f>
        <v>6.4787234042553195</v>
      </c>
    </row>
    <row r="6356" spans="1:24" ht="15" customHeight="1">
      <c r="A6356" s="3">
        <v>44645</v>
      </c>
      <c r="B6356" s="4">
        <v>32425</v>
      </c>
      <c r="C6356" s="4">
        <v>0</v>
      </c>
      <c r="D6356" s="4">
        <v>4200</v>
      </c>
      <c r="E6356" s="4">
        <v>38725</v>
      </c>
      <c r="F6356" s="4">
        <v>0</v>
      </c>
      <c r="G6356" s="4">
        <v>0</v>
      </c>
      <c r="H6356" s="4">
        <v>4300</v>
      </c>
      <c r="I6356" s="118">
        <f t="shared" si="1309"/>
        <v>0.11103938024531956</v>
      </c>
      <c r="J6356" s="4">
        <v>110105</v>
      </c>
      <c r="K6356" s="22">
        <v>2346</v>
      </c>
      <c r="L6356" s="6">
        <v>2342</v>
      </c>
      <c r="M6356" s="125">
        <f>L6356-K6356</f>
        <v>-4</v>
      </c>
      <c r="P6356" s="247">
        <v>15250</v>
      </c>
      <c r="Q6356" s="25">
        <f>191.11/1218.3</f>
        <v>0.15686612492817861</v>
      </c>
      <c r="W6356" s="285">
        <f>(P6356*Q6356)*(1+U6356)</f>
        <v>2392.208405154724</v>
      </c>
      <c r="X6356" s="446">
        <f t="shared" si="1306"/>
        <v>6.5004262574595053</v>
      </c>
    </row>
    <row r="6357" spans="1:24" ht="15" customHeight="1">
      <c r="A6357" s="3">
        <v>44648</v>
      </c>
      <c r="B6357" s="4">
        <v>32425</v>
      </c>
      <c r="C6357" s="4">
        <v>0</v>
      </c>
      <c r="D6357" s="4">
        <v>4200</v>
      </c>
      <c r="E6357" s="4">
        <v>38725</v>
      </c>
      <c r="F6357" s="4">
        <v>0</v>
      </c>
      <c r="G6357" s="4">
        <v>0</v>
      </c>
      <c r="H6357" s="4">
        <v>4300</v>
      </c>
      <c r="I6357" s="118">
        <f t="shared" si="1309"/>
        <v>0.11103938024531956</v>
      </c>
      <c r="J6357" s="4">
        <v>110047</v>
      </c>
      <c r="K6357" s="22">
        <v>2369.5</v>
      </c>
      <c r="L6357" s="6">
        <v>2356</v>
      </c>
      <c r="M6357" s="125">
        <f>L6357-K6357</f>
        <v>-13.5</v>
      </c>
      <c r="P6357" s="247">
        <v>15275</v>
      </c>
      <c r="Q6357" s="25">
        <f>191.83/1225.7</f>
        <v>0.15650648608958148</v>
      </c>
      <c r="W6357" s="285">
        <f t="shared" si="1308"/>
        <v>2390.6365750183572</v>
      </c>
      <c r="X6357" s="446">
        <f t="shared" si="1306"/>
        <v>6.4465077020468451</v>
      </c>
    </row>
    <row r="6358" spans="1:24" ht="15" customHeight="1">
      <c r="A6358" s="3">
        <v>44649</v>
      </c>
      <c r="B6358" s="4">
        <v>32425</v>
      </c>
      <c r="C6358" s="4">
        <v>0</v>
      </c>
      <c r="D6358" s="4">
        <v>4200</v>
      </c>
      <c r="E6358" s="4">
        <v>38725</v>
      </c>
      <c r="F6358" s="4">
        <v>0</v>
      </c>
      <c r="G6358" s="4">
        <v>0</v>
      </c>
      <c r="H6358" s="4">
        <v>4300</v>
      </c>
      <c r="I6358" s="118">
        <f t="shared" si="1309"/>
        <v>0.11103938024531956</v>
      </c>
      <c r="J6358" s="4">
        <v>110880</v>
      </c>
      <c r="K6358" s="22">
        <v>2394</v>
      </c>
      <c r="L6358" s="6">
        <v>2383</v>
      </c>
      <c r="M6358" s="125">
        <f>L6358-K6358</f>
        <v>-11</v>
      </c>
      <c r="P6358" s="247">
        <v>15425</v>
      </c>
      <c r="Q6358" s="25">
        <f>191.3/1220.5</f>
        <v>0.15673904137648506</v>
      </c>
      <c r="W6358" s="285">
        <f t="shared" si="1308"/>
        <v>2417.6997132322822</v>
      </c>
      <c r="X6358" s="446">
        <f t="shared" si="1306"/>
        <v>6.443191311612364</v>
      </c>
    </row>
    <row r="6359" spans="1:24" ht="15" customHeight="1">
      <c r="A6359" s="3">
        <v>44650</v>
      </c>
      <c r="B6359" s="4">
        <v>32425</v>
      </c>
      <c r="C6359" s="4">
        <v>0</v>
      </c>
      <c r="D6359" s="4">
        <v>4200</v>
      </c>
      <c r="E6359" s="4">
        <v>38725</v>
      </c>
      <c r="F6359" s="4">
        <v>0</v>
      </c>
      <c r="G6359" s="4">
        <v>0</v>
      </c>
      <c r="H6359" s="4">
        <v>4300</v>
      </c>
      <c r="I6359" s="118">
        <f t="shared" si="1309"/>
        <v>0.11103938024531956</v>
      </c>
      <c r="J6359" s="4">
        <v>110995</v>
      </c>
      <c r="K6359" s="22">
        <v>2402</v>
      </c>
      <c r="L6359" s="6">
        <v>2394</v>
      </c>
      <c r="M6359" s="125">
        <f>L6359-K6359</f>
        <v>-8</v>
      </c>
      <c r="P6359" s="247">
        <v>15475</v>
      </c>
      <c r="Q6359" s="25">
        <f>190.02/1210.8</f>
        <v>0.15693756194251735</v>
      </c>
      <c r="W6359" s="285">
        <f t="shared" si="1308"/>
        <v>2428.6087710604561</v>
      </c>
      <c r="X6359" s="446">
        <f t="shared" si="1306"/>
        <v>6.4425478767693587</v>
      </c>
    </row>
    <row r="6360" spans="1:24" ht="15" customHeight="1">
      <c r="A6360" s="3">
        <v>44651</v>
      </c>
      <c r="B6360" s="4">
        <v>32425</v>
      </c>
      <c r="C6360" s="4">
        <v>0</v>
      </c>
      <c r="D6360" s="4">
        <v>4200</v>
      </c>
      <c r="E6360" s="4">
        <v>38725</v>
      </c>
      <c r="F6360" s="4">
        <v>0</v>
      </c>
      <c r="G6360" s="4">
        <v>0</v>
      </c>
      <c r="H6360" s="4">
        <v>4300</v>
      </c>
      <c r="I6360" s="118">
        <f t="shared" si="1309"/>
        <v>0.11103938024531956</v>
      </c>
      <c r="J6360" s="4">
        <v>111715</v>
      </c>
      <c r="K6360" s="22">
        <v>2433</v>
      </c>
      <c r="L6360" s="6">
        <v>2427</v>
      </c>
      <c r="M6360" s="125">
        <f>L6360-K6360</f>
        <v>-6</v>
      </c>
      <c r="N6360" s="425">
        <f>AVERAGE($K$6338:K6360)</f>
        <v>2359.478260869565</v>
      </c>
      <c r="O6360" s="395">
        <f>AVERAGE($K$6296:K6360)</f>
        <v>2335.2380952380954</v>
      </c>
      <c r="P6360" s="247">
        <v>15625</v>
      </c>
      <c r="Q6360" s="25">
        <f>190.44/1210.7</f>
        <v>0.1572974312381267</v>
      </c>
      <c r="W6360" s="285">
        <f t="shared" si="1308"/>
        <v>2457.7723630957298</v>
      </c>
      <c r="X6360" s="446">
        <f t="shared" si="1306"/>
        <v>6.4221126181668717</v>
      </c>
    </row>
    <row r="6361" spans="1:24" ht="15" customHeight="1" thickBot="1">
      <c r="A6361" s="394"/>
      <c r="B6361" s="394"/>
      <c r="C6361" s="394"/>
      <c r="D6361" s="394"/>
      <c r="E6361" s="216"/>
      <c r="F6361" s="407"/>
      <c r="G6361" s="164"/>
      <c r="H6361" s="164"/>
      <c r="I6361" s="166"/>
      <c r="J6361" s="166"/>
      <c r="K6361" s="166"/>
      <c r="L6361" s="167"/>
      <c r="M6361" s="167"/>
      <c r="N6361" s="167"/>
      <c r="O6361" s="180"/>
      <c r="P6361" s="180"/>
      <c r="Q6361" s="180"/>
      <c r="R6361" s="248"/>
      <c r="S6361" s="249"/>
      <c r="T6361" s="249"/>
      <c r="U6361" s="152"/>
      <c r="V6361" s="153">
        <f>AVERAGE(P6338:P6360)</f>
        <v>15241.304347826086</v>
      </c>
      <c r="W6361" s="152"/>
      <c r="X6361" s="447">
        <f>V6361/N6360</f>
        <v>6.4596078720424561</v>
      </c>
    </row>
    <row r="6362" spans="1:24" ht="15" customHeight="1">
      <c r="A6362" s="3">
        <v>44652</v>
      </c>
      <c r="B6362" s="4">
        <v>32425</v>
      </c>
      <c r="C6362" s="4">
        <v>0</v>
      </c>
      <c r="D6362" s="4">
        <v>4200</v>
      </c>
      <c r="E6362" s="4">
        <v>38725</v>
      </c>
      <c r="F6362" s="4">
        <v>0</v>
      </c>
      <c r="G6362" s="4">
        <v>0</v>
      </c>
      <c r="H6362" s="4">
        <v>4300</v>
      </c>
      <c r="I6362" s="118">
        <f t="shared" si="1309"/>
        <v>0.11103938024531956</v>
      </c>
      <c r="J6362" s="4">
        <v>111189</v>
      </c>
      <c r="K6362" s="22">
        <v>2447</v>
      </c>
      <c r="L6362" s="6">
        <v>2437</v>
      </c>
      <c r="M6362" s="125">
        <f t="shared" ref="M6362:M6368" si="1310">L6362-K6362</f>
        <v>-10</v>
      </c>
      <c r="P6362" s="247">
        <v>15475</v>
      </c>
      <c r="Q6362" s="25">
        <f>191.27/1216.1</f>
        <v>0.15728147356302938</v>
      </c>
      <c r="W6362" s="285">
        <f t="shared" ref="W6362:W6366" si="1311">(P6362*Q6362)*(1+U6362)</f>
        <v>2433.9308033878797</v>
      </c>
      <c r="X6362" s="446">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18">
        <f t="shared" si="1309"/>
        <v>0.11075338055376691</v>
      </c>
      <c r="J6363" s="4">
        <v>112197</v>
      </c>
      <c r="K6363" s="22">
        <v>2435</v>
      </c>
      <c r="L6363" s="6">
        <v>2426</v>
      </c>
      <c r="M6363" s="125">
        <f t="shared" si="1310"/>
        <v>-9</v>
      </c>
      <c r="P6363" s="25"/>
      <c r="Q6363" s="25">
        <f>191.13/1216.7</f>
        <v>0.15708884688090735</v>
      </c>
      <c r="W6363" s="285">
        <f t="shared" si="1311"/>
        <v>0</v>
      </c>
      <c r="X6363" s="446">
        <f t="shared" si="1312"/>
        <v>0</v>
      </c>
    </row>
    <row r="6364" spans="1:24" ht="15" customHeight="1">
      <c r="A6364" s="3">
        <v>44656</v>
      </c>
      <c r="B6364" s="4">
        <v>32525</v>
      </c>
      <c r="C6364" s="4">
        <v>0</v>
      </c>
      <c r="D6364" s="4">
        <v>4200</v>
      </c>
      <c r="E6364" s="4">
        <v>39325</v>
      </c>
      <c r="F6364" s="4">
        <v>500</v>
      </c>
      <c r="G6364" s="4">
        <v>0</v>
      </c>
      <c r="H6364" s="4">
        <v>4300</v>
      </c>
      <c r="I6364" s="118">
        <f t="shared" si="1309"/>
        <v>0.10934520025429116</v>
      </c>
      <c r="J6364" s="4">
        <v>111759</v>
      </c>
      <c r="K6364" s="22">
        <v>2419</v>
      </c>
      <c r="L6364" s="6">
        <v>2408</v>
      </c>
      <c r="M6364" s="125">
        <f t="shared" si="1310"/>
        <v>-11</v>
      </c>
      <c r="P6364" s="25"/>
      <c r="Q6364" s="25">
        <f>190.3/1212.6</f>
        <v>0.15693551047336304</v>
      </c>
      <c r="W6364" s="285">
        <f t="shared" si="1311"/>
        <v>0</v>
      </c>
      <c r="X6364" s="446">
        <f t="shared" si="1312"/>
        <v>0</v>
      </c>
    </row>
    <row r="6365" spans="1:24" ht="15" customHeight="1">
      <c r="A6365" s="3">
        <v>44657</v>
      </c>
      <c r="B6365" s="4">
        <v>32525</v>
      </c>
      <c r="C6365" s="4">
        <v>0</v>
      </c>
      <c r="D6365" s="4">
        <v>4200</v>
      </c>
      <c r="E6365" s="4">
        <v>39325</v>
      </c>
      <c r="F6365" s="4">
        <v>0</v>
      </c>
      <c r="G6365" s="4">
        <v>0</v>
      </c>
      <c r="H6365" s="4">
        <v>4300</v>
      </c>
      <c r="I6365" s="118">
        <f t="shared" si="1309"/>
        <v>0.10934520025429116</v>
      </c>
      <c r="J6365" s="4">
        <v>111080</v>
      </c>
      <c r="K6365" s="22">
        <v>2389</v>
      </c>
      <c r="L6365" s="6">
        <v>2400</v>
      </c>
      <c r="M6365" s="125">
        <f t="shared" si="1310"/>
        <v>11</v>
      </c>
      <c r="P6365" s="247">
        <v>15575</v>
      </c>
      <c r="Q6365" s="25">
        <f>191.13/1219.1</f>
        <v>0.15677959150192766</v>
      </c>
      <c r="W6365" s="285">
        <f t="shared" si="1311"/>
        <v>2441.8421376425235</v>
      </c>
      <c r="X6365" s="446">
        <f t="shared" si="1312"/>
        <v>6.5194642109669321</v>
      </c>
    </row>
    <row r="6366" spans="1:24" ht="15" customHeight="1">
      <c r="A6366" s="3">
        <v>44658</v>
      </c>
      <c r="B6366" s="4">
        <v>32525</v>
      </c>
      <c r="C6366" s="4">
        <v>0</v>
      </c>
      <c r="D6366" s="4">
        <v>4200</v>
      </c>
      <c r="E6366" s="4">
        <v>39325</v>
      </c>
      <c r="F6366" s="4">
        <v>0</v>
      </c>
      <c r="G6366" s="4">
        <v>0</v>
      </c>
      <c r="H6366" s="4">
        <v>4300</v>
      </c>
      <c r="I6366" s="118">
        <f t="shared" ref="I6366:I6371" si="1313">H6366/E6366</f>
        <v>0.10934520025429116</v>
      </c>
      <c r="J6366" s="4">
        <v>113180</v>
      </c>
      <c r="K6366" s="22">
        <v>2405</v>
      </c>
      <c r="L6366" s="6">
        <v>2414</v>
      </c>
      <c r="M6366" s="125">
        <f t="shared" si="1310"/>
        <v>9</v>
      </c>
      <c r="P6366" s="247">
        <v>15450</v>
      </c>
      <c r="Q6366" s="25">
        <f>191.41/1218.5</f>
        <v>0.15708658186294625</v>
      </c>
      <c r="W6366" s="285">
        <f t="shared" si="1311"/>
        <v>2426.9876897825193</v>
      </c>
      <c r="X6366" s="446">
        <f t="shared" si="1312"/>
        <v>6.4241164241164244</v>
      </c>
    </row>
    <row r="6367" spans="1:24" ht="15" customHeight="1">
      <c r="A6367" s="3">
        <v>44659</v>
      </c>
      <c r="B6367" s="4">
        <v>32525</v>
      </c>
      <c r="C6367" s="4">
        <v>0</v>
      </c>
      <c r="D6367" s="4">
        <v>4200</v>
      </c>
      <c r="E6367" s="4">
        <v>39325</v>
      </c>
      <c r="F6367" s="4">
        <v>0</v>
      </c>
      <c r="G6367" s="4">
        <v>0</v>
      </c>
      <c r="H6367" s="4">
        <v>4300</v>
      </c>
      <c r="I6367" s="118">
        <f t="shared" si="1313"/>
        <v>0.10934520025429116</v>
      </c>
      <c r="J6367" s="4">
        <v>113853</v>
      </c>
      <c r="K6367" s="22">
        <v>2425</v>
      </c>
      <c r="L6367" s="6">
        <v>2422</v>
      </c>
      <c r="M6367" s="125">
        <f t="shared" si="1310"/>
        <v>-3</v>
      </c>
      <c r="P6367" s="247">
        <v>15325</v>
      </c>
      <c r="Q6367" s="25">
        <f>192.44/1224</f>
        <v>0.15722222222222221</v>
      </c>
      <c r="W6367" s="285">
        <f t="shared" ref="W6367:W6373" si="1314">(P6367*Q6367)*(1+U6367)</f>
        <v>2409.4305555555552</v>
      </c>
      <c r="X6367" s="446">
        <f t="shared" si="1312"/>
        <v>6.3195876288659791</v>
      </c>
    </row>
    <row r="6368" spans="1:24" ht="15" customHeight="1">
      <c r="A6368" s="3">
        <v>44662</v>
      </c>
      <c r="B6368" s="4">
        <v>32525</v>
      </c>
      <c r="C6368" s="4">
        <v>0</v>
      </c>
      <c r="D6368" s="4">
        <v>4200</v>
      </c>
      <c r="E6368" s="4">
        <v>39325</v>
      </c>
      <c r="F6368" s="4">
        <v>0</v>
      </c>
      <c r="G6368" s="4">
        <v>0</v>
      </c>
      <c r="H6368" s="4">
        <v>4300</v>
      </c>
      <c r="I6368" s="118">
        <f t="shared" si="1313"/>
        <v>0.10934520025429116</v>
      </c>
      <c r="J6368" s="4">
        <v>113212</v>
      </c>
      <c r="K6368" s="22">
        <v>2409</v>
      </c>
      <c r="L6368" s="6">
        <v>2411</v>
      </c>
      <c r="M6368" s="125">
        <f t="shared" si="1310"/>
        <v>2</v>
      </c>
      <c r="P6368" s="247">
        <v>15325</v>
      </c>
      <c r="Q6368" s="25">
        <f>193.2/1232</f>
        <v>0.1568181818181818</v>
      </c>
      <c r="W6368" s="285">
        <f t="shared" si="1314"/>
        <v>2403.238636363636</v>
      </c>
      <c r="X6368" s="446">
        <f t="shared" si="1312"/>
        <v>6.3615608136156085</v>
      </c>
    </row>
    <row r="6369" spans="1:24" ht="15" customHeight="1">
      <c r="A6369" s="3">
        <v>44663</v>
      </c>
      <c r="B6369" s="4">
        <v>32525</v>
      </c>
      <c r="C6369" s="4">
        <v>0</v>
      </c>
      <c r="D6369" s="4">
        <v>4200</v>
      </c>
      <c r="E6369" s="4">
        <v>39325</v>
      </c>
      <c r="F6369" s="4">
        <v>0</v>
      </c>
      <c r="G6369" s="4">
        <v>0</v>
      </c>
      <c r="H6369" s="4">
        <v>6400</v>
      </c>
      <c r="I6369" s="118">
        <f t="shared" si="1313"/>
        <v>0.16274634456452639</v>
      </c>
      <c r="J6369" s="4"/>
      <c r="K6369" s="22">
        <v>2418</v>
      </c>
      <c r="L6369" s="6">
        <v>2401</v>
      </c>
      <c r="M6369" s="125">
        <f t="shared" ref="M6369" si="1315">L6369-K6369</f>
        <v>-17</v>
      </c>
      <c r="P6369" s="247">
        <v>15275</v>
      </c>
      <c r="Q6369" s="25">
        <f>193.77/1236.6</f>
        <v>0.15669577874818053</v>
      </c>
      <c r="W6369" s="285">
        <f t="shared" si="1314"/>
        <v>2393.5280203784573</v>
      </c>
      <c r="X6369" s="446">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18">
        <f t="shared" si="1313"/>
        <v>0.16070307595731326</v>
      </c>
      <c r="J6370" s="4"/>
      <c r="K6370" s="22">
        <v>2450</v>
      </c>
      <c r="L6370" s="6">
        <v>2430</v>
      </c>
      <c r="M6370" s="125">
        <f t="shared" ref="M6370" si="1317">L6370-K6370</f>
        <v>-20</v>
      </c>
      <c r="P6370" s="247">
        <v>15275</v>
      </c>
      <c r="Q6370" s="25">
        <f>192.34/1227.7</f>
        <v>0.15666693817707908</v>
      </c>
      <c r="W6370" s="285">
        <f t="shared" si="1314"/>
        <v>2393.0874806548827</v>
      </c>
      <c r="X6370" s="446">
        <f t="shared" si="1316"/>
        <v>6.2346938775510203</v>
      </c>
    </row>
    <row r="6371" spans="1:24" ht="15" customHeight="1">
      <c r="A6371" s="3">
        <v>44665</v>
      </c>
      <c r="B6371" s="4">
        <v>33025</v>
      </c>
      <c r="C6371" s="4">
        <v>0</v>
      </c>
      <c r="D6371" s="4">
        <v>4200</v>
      </c>
      <c r="E6371" s="4">
        <v>39825</v>
      </c>
      <c r="F6371" s="4">
        <v>0</v>
      </c>
      <c r="G6371" s="4">
        <v>0</v>
      </c>
      <c r="H6371" s="4">
        <v>6400</v>
      </c>
      <c r="I6371" s="118">
        <f t="shared" si="1313"/>
        <v>0.16070307595731326</v>
      </c>
      <c r="J6371" s="4">
        <v>113706</v>
      </c>
      <c r="K6371" s="22">
        <v>2471</v>
      </c>
      <c r="L6371" s="6">
        <v>2445</v>
      </c>
      <c r="M6371" s="125">
        <f t="shared" ref="M6371" si="1318">L6371-K6371</f>
        <v>-26</v>
      </c>
      <c r="P6371" s="247">
        <v>15275</v>
      </c>
      <c r="Q6371" s="25">
        <f>192.02/1224.2</f>
        <v>0.15685345531775854</v>
      </c>
      <c r="W6371" s="285">
        <f t="shared" si="1314"/>
        <v>2395.9365299787619</v>
      </c>
      <c r="X6371" s="446">
        <f t="shared" si="1316"/>
        <v>6.1817078106029948</v>
      </c>
    </row>
    <row r="6372" spans="1:24" ht="15" customHeight="1">
      <c r="A6372" s="3">
        <v>44666</v>
      </c>
      <c r="B6372" s="1318" t="s">
        <v>61</v>
      </c>
      <c r="C6372" s="1317"/>
      <c r="D6372" s="1317"/>
      <c r="E6372" s="1317"/>
      <c r="F6372" s="1317"/>
      <c r="G6372" s="1317"/>
      <c r="H6372" s="1317"/>
      <c r="I6372" s="1317"/>
      <c r="J6372" s="1317"/>
      <c r="K6372" s="1317"/>
      <c r="L6372" s="1317"/>
      <c r="M6372" s="1317"/>
      <c r="P6372" s="247">
        <v>15325</v>
      </c>
      <c r="Q6372" s="25">
        <f>192.79/1230.1</f>
        <v>0.15672709535810098</v>
      </c>
      <c r="W6372" s="285">
        <f t="shared" si="1314"/>
        <v>2401.8427363628975</v>
      </c>
      <c r="X6372" s="446" t="e">
        <f t="shared" ref="X6372:X6373" si="1319">P6372/K6372</f>
        <v>#DIV/0!</v>
      </c>
    </row>
    <row r="6373" spans="1:24" ht="15" customHeight="1">
      <c r="A6373" s="3">
        <v>44669</v>
      </c>
      <c r="B6373" s="1317"/>
      <c r="C6373" s="1317"/>
      <c r="D6373" s="1317"/>
      <c r="E6373" s="1317"/>
      <c r="F6373" s="1317"/>
      <c r="G6373" s="1317"/>
      <c r="H6373" s="1317"/>
      <c r="I6373" s="1317"/>
      <c r="J6373" s="1317"/>
      <c r="K6373" s="1317"/>
      <c r="L6373" s="1317"/>
      <c r="M6373" s="1317"/>
      <c r="P6373" s="247">
        <v>15475</v>
      </c>
      <c r="Q6373" s="25">
        <f>193.24/1232.8</f>
        <v>0.15674886437378327</v>
      </c>
      <c r="W6373" s="285">
        <f t="shared" si="1314"/>
        <v>2425.6886761842961</v>
      </c>
      <c r="X6373" s="446" t="e">
        <f t="shared" si="1319"/>
        <v>#DIV/0!</v>
      </c>
    </row>
    <row r="6374" spans="1:24" ht="15" customHeight="1">
      <c r="A6374" s="3">
        <v>44670</v>
      </c>
      <c r="C6374" s="4"/>
      <c r="D6374" s="4"/>
      <c r="E6374" s="4">
        <v>39825</v>
      </c>
      <c r="G6374" s="4"/>
      <c r="H6374" s="4">
        <v>6400</v>
      </c>
      <c r="I6374" s="118">
        <f t="shared" ref="I6374:I6382" si="1320">H6374/E6374</f>
        <v>0.16070307595731326</v>
      </c>
      <c r="J6374" s="4"/>
      <c r="K6374" s="22">
        <v>2425</v>
      </c>
      <c r="L6374" s="6">
        <v>2427</v>
      </c>
      <c r="M6374" s="125">
        <f t="shared" ref="M6374" si="1321">L6374-K6374</f>
        <v>2</v>
      </c>
      <c r="P6374" s="247">
        <v>15475</v>
      </c>
      <c r="Q6374" s="25">
        <f>193.45/1234.9</f>
        <v>0.15665236051502143</v>
      </c>
      <c r="W6374" s="285">
        <f t="shared" ref="W6374:W6376" si="1322">(P6374*Q6374)*(1+U6374)</f>
        <v>2424.1952789699567</v>
      </c>
      <c r="X6374" s="446">
        <f t="shared" ref="X6374:X6376" si="1323">P6374/K6374</f>
        <v>6.3814432989690726</v>
      </c>
    </row>
    <row r="6375" spans="1:24" ht="15" customHeight="1">
      <c r="A6375" s="3">
        <v>44671</v>
      </c>
      <c r="C6375" s="4"/>
      <c r="D6375" s="4"/>
      <c r="E6375" s="4">
        <v>39825</v>
      </c>
      <c r="G6375" s="4"/>
      <c r="H6375" s="4">
        <v>6400</v>
      </c>
      <c r="I6375" s="118">
        <f t="shared" si="1320"/>
        <v>0.16070307595731326</v>
      </c>
      <c r="J6375" s="4"/>
      <c r="K6375" s="22">
        <v>2425</v>
      </c>
      <c r="L6375" s="6">
        <v>2420</v>
      </c>
      <c r="M6375" s="125">
        <f t="shared" ref="M6375" si="1324">L6375-K6375</f>
        <v>-5</v>
      </c>
      <c r="P6375" s="247">
        <v>15400</v>
      </c>
      <c r="Q6375" s="25">
        <f>192.58/1224.17</f>
        <v>0.15731475203607342</v>
      </c>
      <c r="W6375" s="285">
        <f t="shared" si="1322"/>
        <v>2422.6471813555308</v>
      </c>
      <c r="X6375" s="446">
        <f t="shared" si="1323"/>
        <v>6.3505154639175254</v>
      </c>
    </row>
    <row r="6376" spans="1:24" ht="15" customHeight="1">
      <c r="A6376" s="3">
        <v>44672</v>
      </c>
      <c r="B6376" s="4">
        <v>33025</v>
      </c>
      <c r="C6376" s="4">
        <v>0</v>
      </c>
      <c r="D6376" s="4">
        <v>4100</v>
      </c>
      <c r="E6376" s="4">
        <v>39725</v>
      </c>
      <c r="F6376" s="4">
        <v>0</v>
      </c>
      <c r="G6376" s="4">
        <v>100</v>
      </c>
      <c r="H6376" s="4">
        <v>6300</v>
      </c>
      <c r="I6376" s="118">
        <f t="shared" si="1320"/>
        <v>0.15859030837004406</v>
      </c>
      <c r="J6376" s="4">
        <v>113318</v>
      </c>
      <c r="K6376" s="22">
        <v>2414</v>
      </c>
      <c r="L6376" s="6">
        <v>2414</v>
      </c>
      <c r="M6376" s="125">
        <f t="shared" ref="M6376" si="1325">L6376-K6376</f>
        <v>0</v>
      </c>
      <c r="P6376" s="247">
        <v>15500</v>
      </c>
      <c r="Q6376" s="25">
        <f>191.43/1236.4</f>
        <v>0.15482853445486897</v>
      </c>
      <c r="W6376" s="285">
        <f t="shared" si="1322"/>
        <v>2399.8422840504691</v>
      </c>
      <c r="X6376" s="446">
        <f t="shared" si="1323"/>
        <v>6.4208782104391053</v>
      </c>
    </row>
    <row r="6377" spans="1:24" ht="15" customHeight="1">
      <c r="A6377" s="3">
        <v>44673</v>
      </c>
      <c r="B6377" s="4">
        <v>33025</v>
      </c>
      <c r="C6377" s="4">
        <v>0</v>
      </c>
      <c r="D6377" s="4">
        <v>4100</v>
      </c>
      <c r="E6377" s="4">
        <v>39725</v>
      </c>
      <c r="F6377" s="4">
        <v>0</v>
      </c>
      <c r="G6377" s="4">
        <v>0</v>
      </c>
      <c r="H6377" s="4">
        <v>6300</v>
      </c>
      <c r="I6377" s="118">
        <f t="shared" si="1320"/>
        <v>0.15859030837004406</v>
      </c>
      <c r="J6377" s="4">
        <v>113785</v>
      </c>
      <c r="K6377" s="22">
        <v>2400</v>
      </c>
      <c r="L6377" s="6">
        <v>2401</v>
      </c>
      <c r="M6377" s="125">
        <f t="shared" ref="M6377:M6378" si="1326">L6377-K6377</f>
        <v>1</v>
      </c>
      <c r="P6377" s="247">
        <v>15600</v>
      </c>
      <c r="Q6377" s="25">
        <f>191.55/1241.7</f>
        <v>0.15426431505194491</v>
      </c>
      <c r="W6377" s="285">
        <f t="shared" ref="W6377" si="1327">(P6377*Q6377)*(1+U6377)</f>
        <v>2406.5233148103407</v>
      </c>
      <c r="X6377" s="446">
        <f t="shared" ref="X6377" si="1328">P6377/K6377</f>
        <v>6.5</v>
      </c>
    </row>
    <row r="6378" spans="1:24" ht="15" customHeight="1">
      <c r="A6378" s="3">
        <v>44676</v>
      </c>
      <c r="B6378" s="4">
        <v>33025</v>
      </c>
      <c r="C6378" s="4">
        <v>0</v>
      </c>
      <c r="D6378" s="4">
        <v>4100</v>
      </c>
      <c r="E6378" s="4">
        <v>39725</v>
      </c>
      <c r="F6378" s="4">
        <v>0</v>
      </c>
      <c r="G6378" s="4">
        <v>0</v>
      </c>
      <c r="H6378" s="4">
        <v>6300</v>
      </c>
      <c r="I6378" s="118">
        <f t="shared" si="1320"/>
        <v>0.15859030837004406</v>
      </c>
      <c r="J6378" s="4">
        <v>114067</v>
      </c>
      <c r="K6378" s="22">
        <v>2368</v>
      </c>
      <c r="L6378" s="6">
        <v>2365</v>
      </c>
      <c r="M6378" s="125">
        <f t="shared" si="1326"/>
        <v>-3</v>
      </c>
      <c r="P6378" s="247">
        <v>15600</v>
      </c>
      <c r="Q6378" s="25">
        <f>189.83/1247.1</f>
        <v>0.15221714377355466</v>
      </c>
      <c r="W6378" s="285">
        <f t="shared" ref="W6378:W6382" si="1329">(P6378*Q6378)*(1+U6378)</f>
        <v>2374.5874428674529</v>
      </c>
      <c r="X6378" s="446">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18">
        <f t="shared" si="1320"/>
        <v>0.15859030837004406</v>
      </c>
      <c r="J6379" s="4">
        <v>114089</v>
      </c>
      <c r="K6379" s="22">
        <v>2359</v>
      </c>
      <c r="L6379" s="6">
        <v>2356</v>
      </c>
      <c r="M6379" s="125">
        <f t="shared" ref="M6379" si="1331">L6379-K6379</f>
        <v>-3</v>
      </c>
      <c r="P6379" s="247">
        <v>15475</v>
      </c>
      <c r="Q6379" s="25">
        <f>190.2/1248.3</f>
        <v>0.15236721941840903</v>
      </c>
      <c r="W6379" s="285">
        <f t="shared" si="1329"/>
        <v>2357.8827204998797</v>
      </c>
      <c r="X6379" s="446">
        <f t="shared" si="1330"/>
        <v>6.5599830436625686</v>
      </c>
    </row>
    <row r="6380" spans="1:24" ht="15" customHeight="1">
      <c r="A6380" s="3">
        <v>44678</v>
      </c>
      <c r="B6380" s="4">
        <v>32700</v>
      </c>
      <c r="C6380" s="4">
        <v>0</v>
      </c>
      <c r="D6380" s="4">
        <v>4100</v>
      </c>
      <c r="E6380" s="4">
        <v>39400</v>
      </c>
      <c r="F6380" s="4">
        <v>0</v>
      </c>
      <c r="G6380" s="4">
        <v>325</v>
      </c>
      <c r="H6380" s="4">
        <v>5475</v>
      </c>
      <c r="I6380" s="118">
        <f t="shared" si="1320"/>
        <v>0.13895939086294415</v>
      </c>
      <c r="J6380" s="4">
        <v>114107</v>
      </c>
      <c r="K6380" s="22">
        <v>2320</v>
      </c>
      <c r="L6380" s="6">
        <v>2318</v>
      </c>
      <c r="M6380" s="125">
        <f t="shared" ref="M6380" si="1332">L6380-K6380</f>
        <v>-2</v>
      </c>
      <c r="P6380" s="247">
        <v>15400</v>
      </c>
      <c r="Q6380" s="25">
        <f>191.67/1263.1</f>
        <v>0.15174570501147969</v>
      </c>
      <c r="W6380" s="285">
        <f t="shared" si="1329"/>
        <v>2336.8838571767874</v>
      </c>
      <c r="X6380" s="446">
        <f t="shared" si="1330"/>
        <v>6.6379310344827589</v>
      </c>
    </row>
    <row r="6381" spans="1:24" ht="15" customHeight="1">
      <c r="A6381" s="3">
        <v>44679</v>
      </c>
      <c r="B6381" s="4">
        <v>31825</v>
      </c>
      <c r="C6381" s="4">
        <v>0</v>
      </c>
      <c r="D6381" s="4">
        <v>4100</v>
      </c>
      <c r="E6381" s="4">
        <v>38525</v>
      </c>
      <c r="F6381" s="4">
        <v>0</v>
      </c>
      <c r="G6381" s="4">
        <v>875</v>
      </c>
      <c r="H6381" s="4">
        <v>4600</v>
      </c>
      <c r="I6381" s="118">
        <f t="shared" si="1320"/>
        <v>0.11940298507462686</v>
      </c>
      <c r="J6381" s="4">
        <v>113426</v>
      </c>
      <c r="K6381" s="22">
        <v>2280</v>
      </c>
      <c r="L6381" s="6">
        <v>2277</v>
      </c>
      <c r="M6381" s="125">
        <f t="shared" ref="M6381" si="1333">L6381-K6381</f>
        <v>-3</v>
      </c>
      <c r="P6381" s="247">
        <v>15375</v>
      </c>
      <c r="Q6381" s="25">
        <f>192.03/1269.4</f>
        <v>0.15127619347723334</v>
      </c>
      <c r="W6381" s="285">
        <f t="shared" si="1329"/>
        <v>2325.8714747124627</v>
      </c>
      <c r="X6381" s="446">
        <f t="shared" si="1330"/>
        <v>6.7434210526315788</v>
      </c>
    </row>
    <row r="6382" spans="1:24" ht="15" customHeight="1">
      <c r="A6382" s="3">
        <v>44680</v>
      </c>
      <c r="B6382" s="4">
        <v>31425</v>
      </c>
      <c r="C6382" s="4">
        <v>0</v>
      </c>
      <c r="D6382" s="4">
        <v>4100</v>
      </c>
      <c r="E6382" s="4">
        <v>38125</v>
      </c>
      <c r="F6382" s="4">
        <v>0</v>
      </c>
      <c r="G6382" s="4">
        <v>400</v>
      </c>
      <c r="H6382" s="4">
        <v>4300</v>
      </c>
      <c r="I6382" s="118">
        <f t="shared" si="1320"/>
        <v>0.11278688524590164</v>
      </c>
      <c r="J6382" s="4">
        <v>113615</v>
      </c>
      <c r="K6382" s="22">
        <v>2279</v>
      </c>
      <c r="L6382" s="6">
        <v>2274</v>
      </c>
      <c r="M6382" s="125">
        <f t="shared" ref="M6382" si="1334">L6382-K6382</f>
        <v>-5</v>
      </c>
      <c r="N6382" s="425">
        <f>AVERAGE($K$6362:K6382)</f>
        <v>2396.7368421052633</v>
      </c>
      <c r="O6382" s="395">
        <f>AVERAGE($K$6296:K6382)</f>
        <v>2349.4878048780488</v>
      </c>
      <c r="P6382" s="247">
        <v>15450</v>
      </c>
      <c r="Q6382" s="25">
        <f>189.91/1265.4</f>
        <v>0.15007902639481585</v>
      </c>
      <c r="W6382" s="285">
        <f t="shared" si="1329"/>
        <v>2318.7209577999047</v>
      </c>
      <c r="X6382" s="446">
        <f t="shared" si="1330"/>
        <v>6.7792891619131197</v>
      </c>
    </row>
    <row r="6383" spans="1:24" ht="15" customHeight="1" thickBot="1">
      <c r="A6383" s="394"/>
      <c r="B6383" s="394"/>
      <c r="C6383" s="394"/>
      <c r="D6383" s="394"/>
      <c r="E6383" s="216"/>
      <c r="F6383" s="407"/>
      <c r="G6383" s="164"/>
      <c r="H6383" s="164"/>
      <c r="I6383" s="166"/>
      <c r="J6383" s="166"/>
      <c r="K6383" s="166"/>
      <c r="L6383" s="167"/>
      <c r="M6383" s="167"/>
      <c r="N6383" s="167"/>
      <c r="O6383" s="180"/>
      <c r="P6383" s="180"/>
      <c r="Q6383" s="180"/>
      <c r="R6383" s="248"/>
      <c r="S6383" s="249"/>
      <c r="T6383" s="249"/>
      <c r="U6383" s="152"/>
      <c r="V6383" s="153">
        <f>AVERAGE(P6362:P6382)</f>
        <v>15423.684210526315</v>
      </c>
      <c r="W6383" s="152"/>
      <c r="X6383" s="447">
        <f>V6383/N6382</f>
        <v>6.4352848170758481</v>
      </c>
    </row>
    <row r="6384" spans="1:24" ht="15" customHeight="1">
      <c r="A6384" s="3">
        <v>44683</v>
      </c>
      <c r="B6384" s="1328" t="s">
        <v>61</v>
      </c>
      <c r="C6384" s="1328"/>
      <c r="D6384" s="1328"/>
      <c r="E6384" s="1328"/>
      <c r="F6384" s="1328"/>
      <c r="G6384" s="1328"/>
      <c r="H6384" s="1328"/>
      <c r="I6384" s="1328"/>
      <c r="J6384" s="1328"/>
      <c r="K6384" s="1328"/>
      <c r="L6384" s="1328"/>
      <c r="M6384" s="1328"/>
      <c r="P6384" s="1329"/>
      <c r="Q6384" s="25">
        <f>189.55/1265.8</f>
        <v>0.14974719544951812</v>
      </c>
      <c r="W6384" s="285">
        <f t="shared" ref="W6384:W6385" si="1335">(P6384*Q6384)*(1+U6384)</f>
        <v>0</v>
      </c>
      <c r="X6384" s="446" t="e">
        <f t="shared" ref="X6384:X6385" si="1336">P6384/K6384</f>
        <v>#DIV/0!</v>
      </c>
    </row>
    <row r="6385" spans="1:24" ht="15" customHeight="1">
      <c r="A6385" s="3">
        <v>44684</v>
      </c>
      <c r="B6385" s="4">
        <v>31425</v>
      </c>
      <c r="C6385" s="4">
        <v>0</v>
      </c>
      <c r="D6385" s="4">
        <v>4100</v>
      </c>
      <c r="E6385" s="4">
        <v>38125</v>
      </c>
      <c r="F6385" s="4">
        <v>0</v>
      </c>
      <c r="G6385" s="4">
        <v>0</v>
      </c>
      <c r="H6385" s="4">
        <v>4300</v>
      </c>
      <c r="I6385" s="118">
        <f t="shared" ref="I6385:I6399" si="1337">H6385/E6385</f>
        <v>0.11278688524590164</v>
      </c>
      <c r="J6385" s="4">
        <v>112196</v>
      </c>
      <c r="K6385" s="22">
        <v>2268</v>
      </c>
      <c r="L6385" s="6">
        <v>2262</v>
      </c>
      <c r="M6385" s="125">
        <f t="shared" ref="M6385" si="1338">L6385-K6385</f>
        <v>-6</v>
      </c>
      <c r="P6385" s="1325"/>
      <c r="Q6385" s="25">
        <f>189.51/1265.7</f>
        <v>0.14972742356008531</v>
      </c>
      <c r="W6385" s="285">
        <f t="shared" si="1335"/>
        <v>0</v>
      </c>
      <c r="X6385" s="446">
        <f t="shared" si="1336"/>
        <v>0</v>
      </c>
    </row>
    <row r="6386" spans="1:24" ht="15" customHeight="1">
      <c r="A6386" s="3">
        <v>44685</v>
      </c>
      <c r="B6386" s="4">
        <v>31425</v>
      </c>
      <c r="C6386" s="4">
        <v>0</v>
      </c>
      <c r="D6386" s="4">
        <v>4075</v>
      </c>
      <c r="E6386" s="4">
        <v>38100</v>
      </c>
      <c r="F6386" s="4">
        <v>0</v>
      </c>
      <c r="G6386" s="4">
        <v>25</v>
      </c>
      <c r="H6386" s="4">
        <v>4325</v>
      </c>
      <c r="I6386" s="118">
        <f t="shared" si="1337"/>
        <v>0.11351706036745407</v>
      </c>
      <c r="J6386" s="4">
        <v>112583</v>
      </c>
      <c r="K6386" s="22">
        <v>2275</v>
      </c>
      <c r="L6386" s="6">
        <v>2272</v>
      </c>
      <c r="M6386" s="125">
        <f t="shared" ref="M6386" si="1339">L6386-K6386</f>
        <v>-3</v>
      </c>
      <c r="P6386" s="1325"/>
      <c r="W6386" s="285">
        <f t="shared" ref="W6386:W6394" si="1340">(P6386*Q6386)*(1+U6386)</f>
        <v>0</v>
      </c>
      <c r="X6386" s="446">
        <f t="shared" ref="X6386:X6394" si="1341">P6386/K6386</f>
        <v>0</v>
      </c>
    </row>
    <row r="6387" spans="1:24" ht="15" customHeight="1">
      <c r="A6387" s="3">
        <v>44686</v>
      </c>
      <c r="B6387" s="4">
        <v>31425</v>
      </c>
      <c r="C6387" s="4">
        <v>0</v>
      </c>
      <c r="D6387" s="4">
        <v>4075</v>
      </c>
      <c r="E6387" s="4">
        <v>38100</v>
      </c>
      <c r="F6387" s="4">
        <v>0</v>
      </c>
      <c r="G6387" s="4">
        <v>0</v>
      </c>
      <c r="H6387" s="4">
        <v>4325</v>
      </c>
      <c r="I6387" s="118">
        <f t="shared" si="1337"/>
        <v>0.11351706036745407</v>
      </c>
      <c r="J6387" s="4">
        <v>112434</v>
      </c>
      <c r="K6387" s="22">
        <v>2305</v>
      </c>
      <c r="L6387" s="6">
        <v>2307.5</v>
      </c>
      <c r="M6387" s="125">
        <f t="shared" ref="M6387:M6388" si="1342">L6387-K6387</f>
        <v>2.5</v>
      </c>
      <c r="P6387" s="247">
        <v>15600</v>
      </c>
      <c r="Q6387" s="25">
        <f>189.72/1261.8</f>
        <v>0.15035663338088445</v>
      </c>
      <c r="W6387" s="285">
        <f t="shared" si="1340"/>
        <v>2345.5634807417973</v>
      </c>
      <c r="X6387" s="446">
        <f t="shared" si="1341"/>
        <v>6.7678958785249455</v>
      </c>
    </row>
    <row r="6388" spans="1:24" ht="15" customHeight="1">
      <c r="A6388" s="3">
        <v>44687</v>
      </c>
      <c r="B6388" s="4">
        <v>31425</v>
      </c>
      <c r="C6388" s="4">
        <v>0</v>
      </c>
      <c r="D6388" s="4">
        <v>4025</v>
      </c>
      <c r="E6388" s="4">
        <v>38050</v>
      </c>
      <c r="F6388" s="4">
        <v>0</v>
      </c>
      <c r="G6388" s="4">
        <v>50</v>
      </c>
      <c r="H6388" s="4">
        <v>4275</v>
      </c>
      <c r="I6388" s="118">
        <f t="shared" si="1337"/>
        <v>0.11235216819973719</v>
      </c>
      <c r="J6388" s="4">
        <v>110658</v>
      </c>
      <c r="K6388" s="22">
        <v>2231</v>
      </c>
      <c r="L6388" s="6">
        <v>2241</v>
      </c>
      <c r="M6388" s="125">
        <f t="shared" si="1342"/>
        <v>10</v>
      </c>
      <c r="P6388" s="247">
        <v>15625</v>
      </c>
      <c r="Q6388" s="25">
        <f>189.74/1272.7</f>
        <v>0.14908462324192662</v>
      </c>
      <c r="W6388" s="285">
        <f t="shared" si="1340"/>
        <v>2329.4472381551036</v>
      </c>
      <c r="X6388" s="446">
        <f t="shared" si="1341"/>
        <v>7.0035858359480052</v>
      </c>
    </row>
    <row r="6389" spans="1:24" ht="15" customHeight="1">
      <c r="A6389" s="3">
        <v>44690</v>
      </c>
      <c r="B6389" s="4">
        <v>31425</v>
      </c>
      <c r="C6389" s="4">
        <v>0</v>
      </c>
      <c r="D6389" s="4">
        <v>3975</v>
      </c>
      <c r="E6389" s="4">
        <v>38000</v>
      </c>
      <c r="F6389" s="4">
        <v>0</v>
      </c>
      <c r="G6389" s="4">
        <v>50</v>
      </c>
      <c r="H6389" s="4">
        <v>4350</v>
      </c>
      <c r="I6389" s="118">
        <f t="shared" si="1337"/>
        <v>0.11447368421052631</v>
      </c>
      <c r="J6389" s="4">
        <v>109814</v>
      </c>
      <c r="K6389" s="22">
        <v>2129</v>
      </c>
      <c r="L6389" s="6">
        <v>2138.5</v>
      </c>
      <c r="M6389" s="125">
        <f t="shared" ref="M6389" si="1343">L6389-K6389</f>
        <v>9.5</v>
      </c>
      <c r="P6389" s="247">
        <v>15450</v>
      </c>
      <c r="Q6389" s="25">
        <f>188.87/1274.6</f>
        <v>0.1481798211203515</v>
      </c>
      <c r="W6389" s="285">
        <f t="shared" si="1340"/>
        <v>2289.3782363094306</v>
      </c>
      <c r="X6389" s="446">
        <f t="shared" si="1341"/>
        <v>7.2569281352747765</v>
      </c>
    </row>
    <row r="6390" spans="1:24" ht="15" customHeight="1">
      <c r="A6390" s="3">
        <v>44691</v>
      </c>
      <c r="B6390" s="4">
        <v>31650</v>
      </c>
      <c r="C6390" s="4">
        <v>0</v>
      </c>
      <c r="D6390" s="4">
        <v>3925</v>
      </c>
      <c r="E6390" s="4">
        <v>38175</v>
      </c>
      <c r="F6390" s="4">
        <v>225</v>
      </c>
      <c r="G6390" s="4">
        <v>50</v>
      </c>
      <c r="H6390" s="4">
        <v>4300</v>
      </c>
      <c r="I6390" s="118">
        <f t="shared" si="1337"/>
        <v>0.11263916175507531</v>
      </c>
      <c r="J6390" s="4">
        <v>108959</v>
      </c>
      <c r="K6390" s="22">
        <v>2117</v>
      </c>
      <c r="L6390" s="6">
        <v>2127</v>
      </c>
      <c r="M6390" s="125">
        <f t="shared" ref="M6390" si="1344">L6390-K6390</f>
        <v>10</v>
      </c>
      <c r="P6390" s="247">
        <v>15175</v>
      </c>
      <c r="Q6390" s="25">
        <f>189.34/1275.5</f>
        <v>0.14844374754998041</v>
      </c>
      <c r="W6390" s="285">
        <f t="shared" si="1340"/>
        <v>2252.6338690709526</v>
      </c>
      <c r="X6390" s="446">
        <f t="shared" si="1341"/>
        <v>7.1681624940954176</v>
      </c>
    </row>
    <row r="6391" spans="1:24" ht="15" customHeight="1">
      <c r="A6391" s="3">
        <v>44692</v>
      </c>
      <c r="B6391" s="4">
        <v>31650</v>
      </c>
      <c r="C6391" s="4">
        <v>0</v>
      </c>
      <c r="D6391" s="4">
        <v>3925</v>
      </c>
      <c r="E6391" s="4">
        <v>38175</v>
      </c>
      <c r="F6391" s="4">
        <v>0</v>
      </c>
      <c r="G6391" s="4">
        <v>0</v>
      </c>
      <c r="H6391" s="4">
        <v>4300</v>
      </c>
      <c r="I6391" s="118">
        <f t="shared" si="1337"/>
        <v>0.11263916175507531</v>
      </c>
      <c r="J6391" s="4">
        <v>107694</v>
      </c>
      <c r="K6391" s="22">
        <v>2107</v>
      </c>
      <c r="L6391" s="6">
        <v>2117</v>
      </c>
      <c r="M6391" s="125">
        <f t="shared" ref="M6391" si="1345">L6391-K6391</f>
        <v>10</v>
      </c>
      <c r="P6391" s="247">
        <v>15050</v>
      </c>
      <c r="Q6391" s="25">
        <f>189.27/1277</f>
        <v>0.14821456538762726</v>
      </c>
      <c r="W6391" s="285">
        <f t="shared" si="1340"/>
        <v>2230.6292090837901</v>
      </c>
      <c r="X6391" s="446">
        <f t="shared" si="1341"/>
        <v>7.1428571428571432</v>
      </c>
    </row>
    <row r="6392" spans="1:24" ht="15" customHeight="1">
      <c r="A6392" s="3">
        <v>44693</v>
      </c>
      <c r="B6392" s="4">
        <v>31650</v>
      </c>
      <c r="C6392" s="4">
        <v>0</v>
      </c>
      <c r="D6392" s="4">
        <v>3925</v>
      </c>
      <c r="E6392" s="4">
        <v>38175</v>
      </c>
      <c r="F6392" s="4">
        <v>0</v>
      </c>
      <c r="G6392" s="4">
        <v>0</v>
      </c>
      <c r="H6392" s="4">
        <v>4300</v>
      </c>
      <c r="I6392" s="118">
        <f t="shared" si="1337"/>
        <v>0.11263916175507531</v>
      </c>
      <c r="J6392" s="4">
        <v>107443</v>
      </c>
      <c r="K6392" s="22">
        <v>2073</v>
      </c>
      <c r="L6392" s="6">
        <v>2080</v>
      </c>
      <c r="M6392" s="125">
        <f t="shared" ref="M6392" si="1346">L6392-K6392</f>
        <v>7</v>
      </c>
      <c r="P6392" s="247">
        <v>14975</v>
      </c>
      <c r="Q6392" s="25">
        <f>189.87/1286.4</f>
        <v>0.14759794776119403</v>
      </c>
      <c r="W6392" s="285">
        <f t="shared" si="1340"/>
        <v>2210.2792677238808</v>
      </c>
      <c r="X6392" s="446">
        <f t="shared" si="1341"/>
        <v>7.2238301977809938</v>
      </c>
    </row>
    <row r="6393" spans="1:24" ht="15" customHeight="1">
      <c r="A6393" s="3">
        <v>44694</v>
      </c>
      <c r="B6393" s="4">
        <v>31650</v>
      </c>
      <c r="C6393" s="4">
        <v>0</v>
      </c>
      <c r="D6393" s="4">
        <v>3925</v>
      </c>
      <c r="E6393" s="4">
        <v>38175</v>
      </c>
      <c r="F6393" s="4">
        <v>0</v>
      </c>
      <c r="G6393" s="4">
        <v>0</v>
      </c>
      <c r="H6393" s="4">
        <v>4300</v>
      </c>
      <c r="I6393" s="118">
        <f t="shared" si="1337"/>
        <v>0.11263916175507531</v>
      </c>
      <c r="J6393" s="4">
        <v>104928</v>
      </c>
      <c r="K6393" s="22">
        <v>2064</v>
      </c>
      <c r="L6393" s="6">
        <v>2074</v>
      </c>
      <c r="M6393" s="125">
        <f t="shared" ref="M6393" si="1347">L6393-K6393</f>
        <v>10</v>
      </c>
      <c r="P6393" s="247">
        <v>14950</v>
      </c>
      <c r="Q6393" s="25">
        <f>188.43/1286</f>
        <v>0.14652410575427682</v>
      </c>
      <c r="W6393" s="285">
        <f t="shared" si="1340"/>
        <v>2190.5353810264387</v>
      </c>
      <c r="X6393" s="446">
        <f t="shared" si="1341"/>
        <v>7.2432170542635657</v>
      </c>
    </row>
    <row r="6394" spans="1:24" ht="15" customHeight="1">
      <c r="A6394" s="3">
        <v>44697</v>
      </c>
      <c r="B6394" s="4">
        <v>31550</v>
      </c>
      <c r="C6394" s="4">
        <v>0</v>
      </c>
      <c r="D6394" s="4">
        <v>3900</v>
      </c>
      <c r="E6394" s="4">
        <v>38050</v>
      </c>
      <c r="F6394" s="4">
        <v>0</v>
      </c>
      <c r="G6394" s="4">
        <v>125</v>
      </c>
      <c r="H6394" s="4">
        <v>4175</v>
      </c>
      <c r="I6394" s="118">
        <f t="shared" si="1337"/>
        <v>0.10972404730617609</v>
      </c>
      <c r="J6394" s="4">
        <v>102535</v>
      </c>
      <c r="K6394" s="22">
        <v>2094</v>
      </c>
      <c r="L6394" s="6">
        <v>2106</v>
      </c>
      <c r="M6394" s="125">
        <f t="shared" ref="M6394:M6395" si="1348">L6394-K6394</f>
        <v>12</v>
      </c>
      <c r="P6394" s="247">
        <v>14850</v>
      </c>
      <c r="Q6394" s="25">
        <f>188.53/1281.6</f>
        <v>0.14710518102372036</v>
      </c>
      <c r="W6394" s="285">
        <f t="shared" si="1340"/>
        <v>2184.5119382022472</v>
      </c>
      <c r="X6394" s="446">
        <f t="shared" si="1341"/>
        <v>7.0916905444126073</v>
      </c>
    </row>
    <row r="6395" spans="1:24" ht="15" customHeight="1">
      <c r="A6395" s="3">
        <v>44698</v>
      </c>
      <c r="B6395" s="4">
        <v>32000</v>
      </c>
      <c r="C6395" s="4">
        <v>0</v>
      </c>
      <c r="D6395" s="4">
        <v>3875</v>
      </c>
      <c r="E6395" s="4">
        <v>38475</v>
      </c>
      <c r="F6395" s="4">
        <v>450</v>
      </c>
      <c r="G6395" s="4">
        <v>25</v>
      </c>
      <c r="H6395" s="4">
        <v>4125</v>
      </c>
      <c r="I6395" s="118">
        <f t="shared" si="1337"/>
        <v>0.10721247563352826</v>
      </c>
      <c r="J6395" s="4">
        <v>99213</v>
      </c>
      <c r="K6395" s="22">
        <v>2102</v>
      </c>
      <c r="L6395" s="6">
        <v>2121</v>
      </c>
      <c r="M6395" s="125">
        <f t="shared" si="1348"/>
        <v>19</v>
      </c>
      <c r="P6395" s="247">
        <v>14850</v>
      </c>
      <c r="Q6395" s="25">
        <f>188.28/1277.2</f>
        <v>0.14741622298778578</v>
      </c>
      <c r="W6395" s="285">
        <f t="shared" ref="W6395:W6397" si="1349">(P6395*Q6395)*(1+U6395)</f>
        <v>2189.1309113686189</v>
      </c>
      <c r="X6395" s="446">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18">
        <f t="shared" si="1337"/>
        <v>0.10468850353243417</v>
      </c>
      <c r="J6396" s="4">
        <v>98494</v>
      </c>
      <c r="K6396" s="22">
        <v>2077</v>
      </c>
      <c r="L6396" s="6">
        <v>2089</v>
      </c>
      <c r="M6396" s="125">
        <f t="shared" ref="M6396" si="1351">L6396-K6396</f>
        <v>12</v>
      </c>
      <c r="P6396" s="247">
        <v>14725</v>
      </c>
      <c r="Q6396" s="25">
        <f>189.15/1273.77</f>
        <v>0.14849619633057773</v>
      </c>
      <c r="W6396" s="285">
        <f t="shared" si="1349"/>
        <v>2186.6064909677571</v>
      </c>
      <c r="X6396" s="446">
        <f t="shared" si="1350"/>
        <v>7.08955223880597</v>
      </c>
    </row>
    <row r="6397" spans="1:24" ht="15" customHeight="1">
      <c r="A6397" s="3">
        <v>44700</v>
      </c>
      <c r="B6397" s="4">
        <v>32500</v>
      </c>
      <c r="C6397" s="4">
        <v>0</v>
      </c>
      <c r="D6397" s="4">
        <v>3750</v>
      </c>
      <c r="E6397" s="4">
        <v>38850</v>
      </c>
      <c r="F6397" s="4">
        <v>0</v>
      </c>
      <c r="G6397" s="4">
        <v>75</v>
      </c>
      <c r="H6397" s="4">
        <v>4000</v>
      </c>
      <c r="I6397" s="118">
        <f t="shared" si="1337"/>
        <v>0.10296010296010295</v>
      </c>
      <c r="J6397" s="4">
        <v>98153</v>
      </c>
      <c r="K6397" s="22">
        <v>2033</v>
      </c>
      <c r="L6397" s="6">
        <v>2045</v>
      </c>
      <c r="M6397" s="125">
        <f t="shared" ref="M6397" si="1352">L6397-K6397</f>
        <v>12</v>
      </c>
      <c r="P6397" s="247">
        <v>14775</v>
      </c>
      <c r="Q6397" s="25">
        <f>188.13/1274.6</f>
        <v>0.14759924682253256</v>
      </c>
      <c r="W6397" s="285">
        <f t="shared" si="1349"/>
        <v>2180.7788718029187</v>
      </c>
      <c r="X6397" s="446">
        <f t="shared" si="1350"/>
        <v>7.2675848499754059</v>
      </c>
    </row>
    <row r="6398" spans="1:24" ht="15" customHeight="1">
      <c r="A6398" s="3">
        <v>44701</v>
      </c>
      <c r="B6398" s="4">
        <v>32500</v>
      </c>
      <c r="C6398" s="4">
        <v>0</v>
      </c>
      <c r="D6398" s="4">
        <v>3750</v>
      </c>
      <c r="E6398" s="4">
        <v>38850</v>
      </c>
      <c r="F6398" s="4">
        <v>0</v>
      </c>
      <c r="G6398" s="4">
        <v>0</v>
      </c>
      <c r="H6398" s="4">
        <v>4000</v>
      </c>
      <c r="I6398" s="118">
        <f t="shared" si="1337"/>
        <v>0.10296010296010295</v>
      </c>
      <c r="J6398" s="4">
        <v>100162</v>
      </c>
      <c r="K6398" s="22">
        <v>2146</v>
      </c>
      <c r="L6398" s="6">
        <v>2143</v>
      </c>
      <c r="M6398" s="125">
        <f t="shared" ref="M6398:M6399" si="1353">L6398-K6398</f>
        <v>-3</v>
      </c>
      <c r="P6398" s="247">
        <v>14875</v>
      </c>
      <c r="Q6398" s="25">
        <f>188.93/1269.5</f>
        <v>0.14882237101220955</v>
      </c>
      <c r="W6398" s="285">
        <f t="shared" ref="W6398:W6399" si="1354">(P6398*Q6398)*(1+U6398)</f>
        <v>2213.7327688066171</v>
      </c>
      <c r="X6398" s="446">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18">
        <f t="shared" si="1337"/>
        <v>0.10296010296010295</v>
      </c>
      <c r="J6399" s="4">
        <v>100078</v>
      </c>
      <c r="K6399" s="22">
        <v>2167</v>
      </c>
      <c r="L6399" s="6">
        <v>2165</v>
      </c>
      <c r="M6399" s="125">
        <f t="shared" si="1353"/>
        <v>-2</v>
      </c>
      <c r="P6399" s="247">
        <v>15025</v>
      </c>
      <c r="Q6399" s="25">
        <f>189.66/1267.7</f>
        <v>0.14960952906839156</v>
      </c>
      <c r="W6399" s="285">
        <f t="shared" si="1354"/>
        <v>2247.8831742525831</v>
      </c>
      <c r="X6399" s="446">
        <f t="shared" si="1355"/>
        <v>6.9335486848177199</v>
      </c>
    </row>
    <row r="6400" spans="1:24" ht="15" customHeight="1">
      <c r="A6400" s="3">
        <v>44705</v>
      </c>
      <c r="B6400" s="4">
        <v>32500</v>
      </c>
      <c r="C6400" s="4">
        <v>0</v>
      </c>
      <c r="D6400" s="4">
        <v>3750</v>
      </c>
      <c r="E6400" s="4">
        <v>38850</v>
      </c>
      <c r="F6400" s="4">
        <v>0</v>
      </c>
      <c r="G6400" s="4">
        <v>0</v>
      </c>
      <c r="H6400" s="4">
        <v>4000</v>
      </c>
      <c r="I6400" s="118">
        <f t="shared" ref="I6400:I6403" si="1356">H6400/E6400</f>
        <v>0.10296010296010295</v>
      </c>
      <c r="J6400" s="4">
        <v>98566</v>
      </c>
      <c r="K6400" s="22">
        <v>2181.5</v>
      </c>
      <c r="L6400" s="6">
        <v>2173</v>
      </c>
      <c r="M6400" s="125">
        <f t="shared" ref="M6400" si="1357">L6400-K6400</f>
        <v>-8.5</v>
      </c>
      <c r="P6400" s="247">
        <v>15050</v>
      </c>
      <c r="Q6400" s="25">
        <f>189.48/1264.3</f>
        <v>0.1498694930000791</v>
      </c>
      <c r="W6400" s="285">
        <f t="shared" ref="W6400:W6402" si="1358">(P6400*Q6400)*(1+U6400)</f>
        <v>2255.5358696511903</v>
      </c>
      <c r="X6400" s="446">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18">
        <f t="shared" si="1356"/>
        <v>0.11647361647361647</v>
      </c>
      <c r="J6401" s="4">
        <v>98520</v>
      </c>
      <c r="K6401" s="22">
        <v>2121.5</v>
      </c>
      <c r="L6401" s="6">
        <v>2134</v>
      </c>
      <c r="M6401" s="125">
        <f t="shared" ref="M6401" si="1360">L6401-K6401</f>
        <v>12.5</v>
      </c>
      <c r="P6401" s="247">
        <v>15025</v>
      </c>
      <c r="Q6401" s="25">
        <f>189.29/1263.3</f>
        <v>0.14983772658909206</v>
      </c>
      <c r="W6401" s="285">
        <f t="shared" si="1358"/>
        <v>2251.3118420011083</v>
      </c>
      <c r="X6401" s="446">
        <f t="shared" si="1359"/>
        <v>7.0822531227904788</v>
      </c>
    </row>
    <row r="6402" spans="1:24" ht="15" customHeight="1">
      <c r="A6402" s="3">
        <v>44707</v>
      </c>
      <c r="B6402" s="4">
        <v>32500</v>
      </c>
      <c r="C6402" s="4">
        <v>0</v>
      </c>
      <c r="D6402" s="4">
        <v>3750</v>
      </c>
      <c r="E6402" s="4">
        <v>38850</v>
      </c>
      <c r="F6402" s="4">
        <v>0</v>
      </c>
      <c r="G6402" s="4">
        <v>0</v>
      </c>
      <c r="H6402" s="4">
        <v>4525</v>
      </c>
      <c r="I6402" s="118">
        <f t="shared" si="1356"/>
        <v>0.11647361647361647</v>
      </c>
      <c r="J6402" s="4">
        <v>100360</v>
      </c>
      <c r="K6402" s="22">
        <v>2106</v>
      </c>
      <c r="L6402" s="6">
        <v>2109.5</v>
      </c>
      <c r="M6402" s="125">
        <f t="shared" ref="M6402" si="1361">L6402-K6402</f>
        <v>3.5</v>
      </c>
      <c r="P6402" s="247">
        <v>14850</v>
      </c>
      <c r="Q6402" s="25">
        <f>187.88/1266.4</f>
        <v>0.14835754895767528</v>
      </c>
      <c r="W6402" s="285">
        <f t="shared" si="1358"/>
        <v>2203.1096020214777</v>
      </c>
      <c r="X6402" s="446">
        <f t="shared" si="1359"/>
        <v>7.0512820512820511</v>
      </c>
    </row>
    <row r="6403" spans="1:24" ht="15" customHeight="1">
      <c r="A6403" s="3">
        <v>44708</v>
      </c>
      <c r="B6403" s="4">
        <v>32500</v>
      </c>
      <c r="C6403" s="4">
        <v>0</v>
      </c>
      <c r="D6403" s="4">
        <v>3750</v>
      </c>
      <c r="E6403" s="4">
        <v>38850</v>
      </c>
      <c r="F6403" s="4">
        <v>0</v>
      </c>
      <c r="G6403" s="4">
        <v>0</v>
      </c>
      <c r="H6403" s="4">
        <v>4525</v>
      </c>
      <c r="I6403" s="118">
        <f t="shared" si="1356"/>
        <v>0.11647361647361647</v>
      </c>
      <c r="J6403" s="4">
        <v>101317</v>
      </c>
      <c r="K6403" s="22">
        <v>2091.5</v>
      </c>
      <c r="L6403" s="6">
        <v>2105</v>
      </c>
      <c r="M6403" s="125">
        <f t="shared" ref="M6403" si="1362">L6403-K6403</f>
        <v>13.5</v>
      </c>
      <c r="P6403" s="247">
        <v>14925</v>
      </c>
      <c r="Q6403" s="25">
        <f>185.74/1256.9</f>
        <v>0.1477762749622086</v>
      </c>
      <c r="W6403" s="285">
        <f t="shared" ref="W6403:W6404" si="1363">(P6403*Q6403)*(1+U6403)</f>
        <v>2205.5609038109633</v>
      </c>
      <c r="X6403" s="446">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18">
        <f t="shared" ref="I6404:I6407" si="1365">H6404/E6404</f>
        <v>0.11647361647361647</v>
      </c>
      <c r="J6404" s="4">
        <v>101260</v>
      </c>
      <c r="K6404" s="22">
        <v>2184</v>
      </c>
      <c r="L6404" s="442">
        <v>2184.5</v>
      </c>
      <c r="M6404" s="125">
        <f t="shared" ref="M6404" si="1366">L6404-K6404</f>
        <v>0.5</v>
      </c>
      <c r="P6404" s="247">
        <v>14975</v>
      </c>
      <c r="Q6404" s="25">
        <f>186.4/1245.8</f>
        <v>0.14962273238079948</v>
      </c>
      <c r="W6404" s="285">
        <f t="shared" si="1363"/>
        <v>2240.6004174024724</v>
      </c>
      <c r="X6404" s="446">
        <f t="shared" si="1364"/>
        <v>6.8566849816849818</v>
      </c>
    </row>
    <row r="6405" spans="1:24" ht="15" customHeight="1">
      <c r="A6405" s="3">
        <v>44712</v>
      </c>
      <c r="B6405" s="4">
        <v>32500</v>
      </c>
      <c r="C6405" s="4">
        <v>0</v>
      </c>
      <c r="D6405" s="4">
        <v>3750</v>
      </c>
      <c r="E6405" s="4">
        <v>38850</v>
      </c>
      <c r="F6405" s="4">
        <v>0</v>
      </c>
      <c r="G6405" s="4">
        <v>0</v>
      </c>
      <c r="H6405" s="4">
        <v>5125</v>
      </c>
      <c r="I6405" s="118">
        <f t="shared" si="1365"/>
        <v>0.13191763191763192</v>
      </c>
      <c r="J6405" s="4">
        <v>100261</v>
      </c>
      <c r="K6405" s="22">
        <v>2176</v>
      </c>
      <c r="L6405" s="6">
        <v>2178</v>
      </c>
      <c r="M6405" s="125">
        <f t="shared" ref="M6405" si="1367">L6405-K6405</f>
        <v>2</v>
      </c>
      <c r="N6405" s="425">
        <f>AVERAGE($K$6385:K6405)</f>
        <v>2145.1666666666665</v>
      </c>
      <c r="O6405" s="395">
        <f>AVERAGE($K$6296:K6405)</f>
        <v>2307.8300970873788</v>
      </c>
      <c r="P6405" s="247">
        <v>15100</v>
      </c>
      <c r="Q6405" s="25">
        <v>0</v>
      </c>
      <c r="W6405" s="285">
        <f t="shared" ref="W6405:W6407" si="1368">(P6405*Q6405)*(1+U6405)</f>
        <v>0</v>
      </c>
      <c r="X6405" s="446">
        <f t="shared" ref="X6405:X6407" si="1369">P6405/K6405</f>
        <v>6.9393382352941178</v>
      </c>
    </row>
    <row r="6406" spans="1:24" ht="15" customHeight="1" thickBot="1">
      <c r="A6406" s="394"/>
      <c r="B6406" s="394"/>
      <c r="C6406" s="394"/>
      <c r="D6406" s="394"/>
      <c r="E6406" s="216"/>
      <c r="F6406" s="407"/>
      <c r="G6406" s="164"/>
      <c r="H6406" s="164"/>
      <c r="I6406" s="166"/>
      <c r="J6406" s="166"/>
      <c r="K6406" s="166"/>
      <c r="L6406" s="167"/>
      <c r="M6406" s="167"/>
      <c r="N6406" s="167"/>
      <c r="O6406" s="180"/>
      <c r="P6406" s="180"/>
      <c r="Q6406" s="180"/>
      <c r="R6406" s="248"/>
      <c r="S6406" s="249"/>
      <c r="T6406" s="249"/>
      <c r="U6406" s="152"/>
      <c r="V6406" s="153">
        <f>AVERAGE(P6385:P6405)</f>
        <v>15044.736842105263</v>
      </c>
      <c r="W6406" s="152"/>
      <c r="X6406" s="447">
        <f>V6406/N6405</f>
        <v>7.0133183942686337</v>
      </c>
    </row>
    <row r="6407" spans="1:24" ht="15" customHeight="1">
      <c r="A6407" s="3">
        <v>44713</v>
      </c>
      <c r="B6407" s="4">
        <v>32500</v>
      </c>
      <c r="C6407" s="4">
        <v>0</v>
      </c>
      <c r="D6407" s="4">
        <v>3700</v>
      </c>
      <c r="E6407" s="4">
        <v>38800</v>
      </c>
      <c r="F6407" s="4">
        <v>0</v>
      </c>
      <c r="G6407" s="4">
        <v>50</v>
      </c>
      <c r="H6407" s="4">
        <v>5075</v>
      </c>
      <c r="I6407" s="118">
        <f t="shared" si="1365"/>
        <v>0.13079896907216496</v>
      </c>
      <c r="J6407" s="4">
        <v>99999</v>
      </c>
      <c r="K6407" s="22">
        <v>2143.5</v>
      </c>
      <c r="L6407" s="6">
        <v>2151</v>
      </c>
      <c r="M6407" s="125">
        <f t="shared" ref="M6407" si="1370">L6407-K6407</f>
        <v>7.5</v>
      </c>
      <c r="P6407" s="247">
        <v>15050</v>
      </c>
      <c r="Q6407" s="25">
        <f>185.3/1238.4</f>
        <v>0.14962855297157623</v>
      </c>
      <c r="W6407" s="285">
        <f t="shared" si="1368"/>
        <v>2251.9097222222222</v>
      </c>
      <c r="X6407" s="446">
        <f t="shared" si="1369"/>
        <v>7.02122696524376</v>
      </c>
    </row>
    <row r="6408" spans="1:24" ht="15" customHeight="1">
      <c r="A6408" s="3">
        <v>44714</v>
      </c>
      <c r="B6408" s="1318" t="s">
        <v>61</v>
      </c>
      <c r="C6408" s="1318"/>
      <c r="D6408" s="1318"/>
      <c r="E6408" s="1318"/>
      <c r="F6408" s="1318"/>
      <c r="G6408" s="1318"/>
      <c r="H6408" s="1318"/>
      <c r="I6408" s="1318"/>
      <c r="J6408" s="1318"/>
      <c r="K6408" s="1318"/>
      <c r="L6408" s="1318"/>
      <c r="M6408" s="1318"/>
      <c r="P6408" s="247">
        <v>14975</v>
      </c>
      <c r="Q6408" s="25">
        <f>186.69/1251.2</f>
        <v>0.14920875959079283</v>
      </c>
      <c r="W6408" s="285">
        <f t="shared" ref="W6408" si="1371">(P6408*Q6408)*(1+U6408)</f>
        <v>2234.4011748721227</v>
      </c>
      <c r="X6408" s="446" t="e">
        <f t="shared" ref="X6408" si="1372">P6408/K6408</f>
        <v>#DIV/0!</v>
      </c>
    </row>
    <row r="6409" spans="1:24" ht="15" customHeight="1">
      <c r="A6409" s="3">
        <v>44715</v>
      </c>
      <c r="B6409" s="1318"/>
      <c r="C6409" s="1318"/>
      <c r="D6409" s="1318"/>
      <c r="E6409" s="1318"/>
      <c r="F6409" s="1318"/>
      <c r="G6409" s="1318"/>
      <c r="H6409" s="1318"/>
      <c r="I6409" s="1318"/>
      <c r="J6409" s="1318"/>
      <c r="K6409" s="1318"/>
      <c r="L6409" s="1318"/>
      <c r="M6409" s="1318"/>
      <c r="P6409" s="247">
        <v>14975</v>
      </c>
      <c r="W6409" s="285">
        <f t="shared" ref="W6409:W6419" si="1373">(P6409*Q6409)*(1+U6409)</f>
        <v>0</v>
      </c>
      <c r="X6409" s="446" t="e">
        <f t="shared" ref="X6409:X6419" si="1374">P6409/K6409</f>
        <v>#DIV/0!</v>
      </c>
    </row>
    <row r="6410" spans="1:24" ht="15" customHeight="1">
      <c r="A6410" s="3">
        <v>44718</v>
      </c>
      <c r="B6410" s="4">
        <v>32500</v>
      </c>
      <c r="C6410" s="4">
        <v>0</v>
      </c>
      <c r="D6410" s="4">
        <v>3650</v>
      </c>
      <c r="E6410" s="4">
        <v>38750</v>
      </c>
      <c r="F6410" s="4">
        <v>0</v>
      </c>
      <c r="G6410" s="4">
        <v>50</v>
      </c>
      <c r="H6410" s="4">
        <v>5025</v>
      </c>
      <c r="I6410" s="118">
        <f t="shared" ref="I6410:I6419" si="1375">H6410/E6410</f>
        <v>0.1296774193548387</v>
      </c>
      <c r="J6410" s="4">
        <v>97992</v>
      </c>
      <c r="K6410" s="22">
        <v>2181</v>
      </c>
      <c r="L6410" s="6">
        <v>2185</v>
      </c>
      <c r="M6410" s="125">
        <f t="shared" ref="M6410:M6419" si="1376">L6410-K6410</f>
        <v>4</v>
      </c>
      <c r="P6410" s="247">
        <v>14800</v>
      </c>
      <c r="Q6410" s="25">
        <f>187.04/1241.1</f>
        <v>0.15070501974055275</v>
      </c>
      <c r="W6410" s="285">
        <f t="shared" si="1373"/>
        <v>2230.4342921601806</v>
      </c>
      <c r="X6410" s="446">
        <f t="shared" si="1374"/>
        <v>6.7858780375974321</v>
      </c>
    </row>
    <row r="6411" spans="1:24" ht="15" customHeight="1">
      <c r="A6411" s="3">
        <v>44719</v>
      </c>
      <c r="B6411" s="4">
        <v>32500</v>
      </c>
      <c r="C6411" s="4">
        <v>0</v>
      </c>
      <c r="D6411" s="4">
        <v>3625</v>
      </c>
      <c r="E6411" s="4">
        <v>38750</v>
      </c>
      <c r="F6411" s="4">
        <v>0</v>
      </c>
      <c r="G6411" s="4">
        <v>25</v>
      </c>
      <c r="H6411" s="4">
        <v>5000</v>
      </c>
      <c r="I6411" s="118">
        <f t="shared" si="1375"/>
        <v>0.12903225806451613</v>
      </c>
      <c r="J6411" s="4">
        <v>97469</v>
      </c>
      <c r="K6411" s="22">
        <v>2169</v>
      </c>
      <c r="L6411" s="6">
        <v>2172</v>
      </c>
      <c r="M6411" s="125">
        <f t="shared" si="1376"/>
        <v>3</v>
      </c>
      <c r="P6411" s="247">
        <v>15000</v>
      </c>
      <c r="Q6411" s="25">
        <f>188.4/1257.1</f>
        <v>0.14986874552541565</v>
      </c>
      <c r="W6411" s="285">
        <f t="shared" si="1373"/>
        <v>2248.0311828812346</v>
      </c>
      <c r="X6411" s="446">
        <f t="shared" si="1374"/>
        <v>6.9156293222683267</v>
      </c>
    </row>
    <row r="6412" spans="1:24" ht="15" customHeight="1">
      <c r="A6412" s="3">
        <v>44720</v>
      </c>
      <c r="B6412" s="4">
        <v>32500</v>
      </c>
      <c r="C6412" s="4">
        <v>0</v>
      </c>
      <c r="D6412" s="4">
        <v>3600</v>
      </c>
      <c r="E6412" s="4">
        <v>38725</v>
      </c>
      <c r="F6412" s="4">
        <v>0</v>
      </c>
      <c r="G6412" s="4">
        <v>25</v>
      </c>
      <c r="H6412" s="4">
        <v>4975</v>
      </c>
      <c r="I6412" s="118">
        <f t="shared" si="1375"/>
        <v>0.12846998063266624</v>
      </c>
      <c r="J6412" s="4">
        <v>96377</v>
      </c>
      <c r="K6412" s="22">
        <v>2225</v>
      </c>
      <c r="L6412" s="6">
        <v>2234</v>
      </c>
      <c r="M6412" s="125">
        <f t="shared" si="1376"/>
        <v>9</v>
      </c>
      <c r="P6412" s="247">
        <v>15100</v>
      </c>
      <c r="Q6412" s="25">
        <f>188.1/1255.4</f>
        <v>0.14983272263820294</v>
      </c>
      <c r="W6412" s="285">
        <f t="shared" si="1373"/>
        <v>2262.4741118368643</v>
      </c>
      <c r="X6412" s="446">
        <f t="shared" si="1374"/>
        <v>6.786516853932584</v>
      </c>
    </row>
    <row r="6413" spans="1:24" ht="15" customHeight="1">
      <c r="A6413" s="3">
        <v>44721</v>
      </c>
      <c r="B6413" s="4">
        <v>33000</v>
      </c>
      <c r="C6413" s="4">
        <v>0</v>
      </c>
      <c r="D6413" s="4">
        <v>3600</v>
      </c>
      <c r="E6413" s="4">
        <v>38700</v>
      </c>
      <c r="F6413" s="4">
        <v>500</v>
      </c>
      <c r="G6413" s="4">
        <v>0</v>
      </c>
      <c r="H6413" s="4">
        <v>5000</v>
      </c>
      <c r="I6413" s="118">
        <f t="shared" si="1375"/>
        <v>0.12919896640826872</v>
      </c>
      <c r="J6413" s="4">
        <v>96247</v>
      </c>
      <c r="K6413" s="22">
        <v>2198</v>
      </c>
      <c r="L6413" s="6">
        <v>2195.5</v>
      </c>
      <c r="M6413" s="125">
        <f t="shared" si="1376"/>
        <v>-2.5</v>
      </c>
      <c r="P6413" s="247">
        <v>15100</v>
      </c>
      <c r="Q6413" s="25">
        <f>188.02/1257.6</f>
        <v>0.14950699745547075</v>
      </c>
      <c r="W6413" s="285">
        <f t="shared" si="1373"/>
        <v>2257.5556615776081</v>
      </c>
      <c r="X6413" s="443">
        <f t="shared" si="1374"/>
        <v>6.8698817106460419</v>
      </c>
    </row>
    <row r="6414" spans="1:24" ht="15" customHeight="1">
      <c r="A6414" s="3">
        <v>44722</v>
      </c>
      <c r="B6414" s="4">
        <v>33000</v>
      </c>
      <c r="C6414" s="4">
        <v>0</v>
      </c>
      <c r="D6414" s="4">
        <v>3250</v>
      </c>
      <c r="E6414" s="4">
        <v>38850</v>
      </c>
      <c r="F6414" s="4">
        <v>0</v>
      </c>
      <c r="G6414" s="4">
        <v>350</v>
      </c>
      <c r="H6414" s="4">
        <v>4650</v>
      </c>
      <c r="I6414" s="118">
        <f t="shared" si="1375"/>
        <v>0.11969111969111969</v>
      </c>
      <c r="J6414" s="4">
        <v>96387</v>
      </c>
      <c r="K6414" s="22">
        <v>2151</v>
      </c>
      <c r="L6414" s="6">
        <v>2156</v>
      </c>
      <c r="M6414" s="125">
        <f t="shared" si="1376"/>
        <v>5</v>
      </c>
      <c r="P6414" s="247">
        <v>14900</v>
      </c>
      <c r="Q6414" s="25">
        <f>189/1266</f>
        <v>0.14928909952606634</v>
      </c>
      <c r="W6414" s="285">
        <f t="shared" si="1373"/>
        <v>2224.4075829383883</v>
      </c>
      <c r="X6414" s="443">
        <f t="shared" si="1374"/>
        <v>6.9270106927010691</v>
      </c>
    </row>
    <row r="6415" spans="1:24" ht="15" customHeight="1">
      <c r="A6415" s="3">
        <v>44725</v>
      </c>
      <c r="B6415" s="4">
        <v>33000</v>
      </c>
      <c r="C6415" s="4">
        <v>0</v>
      </c>
      <c r="D6415" s="4">
        <v>3250</v>
      </c>
      <c r="E6415" s="4">
        <v>38850</v>
      </c>
      <c r="F6415" s="4">
        <v>0</v>
      </c>
      <c r="G6415" s="4">
        <v>0</v>
      </c>
      <c r="H6415" s="4">
        <v>4650</v>
      </c>
      <c r="I6415" s="118">
        <f t="shared" si="1375"/>
        <v>0.11969111969111969</v>
      </c>
      <c r="J6415" s="4">
        <v>94951</v>
      </c>
      <c r="K6415" s="22">
        <v>2102</v>
      </c>
      <c r="L6415" s="6">
        <v>2112</v>
      </c>
      <c r="M6415" s="125">
        <f t="shared" si="1376"/>
        <v>10</v>
      </c>
      <c r="P6415" s="247">
        <v>14875</v>
      </c>
      <c r="Q6415" s="25">
        <f>190.6/1272.29</f>
        <v>0.14980861281626046</v>
      </c>
      <c r="W6415" s="285">
        <f t="shared" si="1373"/>
        <v>2228.4031156418741</v>
      </c>
      <c r="X6415" s="443">
        <f t="shared" si="1374"/>
        <v>7.0765937202664126</v>
      </c>
    </row>
    <row r="6416" spans="1:24" ht="15" customHeight="1">
      <c r="A6416" s="3">
        <v>44726</v>
      </c>
      <c r="B6416" s="4">
        <v>33000</v>
      </c>
      <c r="C6416" s="4">
        <v>0</v>
      </c>
      <c r="D6416" s="4">
        <v>3250</v>
      </c>
      <c r="E6416" s="4">
        <v>38850</v>
      </c>
      <c r="F6416" s="4">
        <v>0</v>
      </c>
      <c r="G6416" s="4">
        <v>0</v>
      </c>
      <c r="H6416" s="4">
        <v>4650</v>
      </c>
      <c r="I6416" s="118">
        <f t="shared" si="1375"/>
        <v>0.11969111969111969</v>
      </c>
      <c r="J6416" s="4">
        <v>94203</v>
      </c>
      <c r="K6416" s="22">
        <v>2075</v>
      </c>
      <c r="L6416" s="6">
        <v>2094</v>
      </c>
      <c r="M6416" s="125">
        <f t="shared" si="1376"/>
        <v>19</v>
      </c>
      <c r="P6416" s="247">
        <v>14850</v>
      </c>
      <c r="Q6416" s="25">
        <f>190.96/1289.7</f>
        <v>0.1480654415755602</v>
      </c>
      <c r="W6416" s="285">
        <f t="shared" si="1373"/>
        <v>2198.7718073970691</v>
      </c>
      <c r="X6416" s="443">
        <f t="shared" si="1374"/>
        <v>7.1566265060240966</v>
      </c>
    </row>
    <row r="6417" spans="1:24" ht="15" customHeight="1">
      <c r="A6417" s="3">
        <v>44727</v>
      </c>
      <c r="B6417" s="4">
        <v>33000</v>
      </c>
      <c r="C6417" s="4">
        <v>0</v>
      </c>
      <c r="D6417" s="4">
        <v>3225</v>
      </c>
      <c r="E6417" s="4">
        <v>38825</v>
      </c>
      <c r="F6417" s="4">
        <v>0</v>
      </c>
      <c r="G6417" s="4">
        <v>25</v>
      </c>
      <c r="H6417" s="4">
        <v>4625</v>
      </c>
      <c r="I6417" s="118">
        <f t="shared" si="1375"/>
        <v>0.11912427559562137</v>
      </c>
      <c r="J6417" s="4">
        <v>92837</v>
      </c>
      <c r="K6417" s="22">
        <v>2082</v>
      </c>
      <c r="L6417" s="6">
        <v>2095</v>
      </c>
      <c r="M6417" s="125">
        <f t="shared" si="1376"/>
        <v>13</v>
      </c>
      <c r="P6417" s="247">
        <v>14800</v>
      </c>
      <c r="Q6417" s="25">
        <f>191.98/1291.3</f>
        <v>0.14867188105010454</v>
      </c>
      <c r="W6417" s="285">
        <f t="shared" si="1373"/>
        <v>2200.3438395415474</v>
      </c>
      <c r="X6417" s="443">
        <f t="shared" si="1374"/>
        <v>7.1085494716618634</v>
      </c>
    </row>
    <row r="6418" spans="1:24" ht="15" customHeight="1">
      <c r="A6418" s="3">
        <v>44728</v>
      </c>
      <c r="B6418" s="4">
        <v>33000</v>
      </c>
      <c r="C6418" s="4">
        <v>0</v>
      </c>
      <c r="D6418" s="4">
        <v>3225</v>
      </c>
      <c r="E6418" s="4">
        <v>38825</v>
      </c>
      <c r="F6418" s="4">
        <v>0</v>
      </c>
      <c r="G6418" s="4">
        <v>0</v>
      </c>
      <c r="H6418" s="4">
        <v>4625</v>
      </c>
      <c r="I6418" s="118">
        <f t="shared" si="1375"/>
        <v>0.11912427559562137</v>
      </c>
      <c r="J6418" s="4">
        <v>90800</v>
      </c>
      <c r="K6418" s="22">
        <v>2067</v>
      </c>
      <c r="L6418" s="6">
        <v>2082</v>
      </c>
      <c r="M6418" s="125">
        <f t="shared" si="1376"/>
        <v>15</v>
      </c>
      <c r="P6418" s="247">
        <v>14800</v>
      </c>
      <c r="Q6418" s="25">
        <f>191.62/1284.1</f>
        <v>0.1492251382291099</v>
      </c>
      <c r="W6418" s="285">
        <f t="shared" si="1373"/>
        <v>2208.5320457908265</v>
      </c>
      <c r="X6418" s="443">
        <f t="shared" si="1374"/>
        <v>7.1601354620222546</v>
      </c>
    </row>
    <row r="6419" spans="1:24" ht="15" customHeight="1">
      <c r="A6419" s="3">
        <v>44729</v>
      </c>
      <c r="B6419" s="4">
        <v>33000</v>
      </c>
      <c r="C6419" s="4">
        <v>0</v>
      </c>
      <c r="D6419" s="4">
        <v>3225</v>
      </c>
      <c r="E6419" s="4">
        <v>38825</v>
      </c>
      <c r="F6419" s="4">
        <v>0</v>
      </c>
      <c r="G6419" s="4">
        <v>0</v>
      </c>
      <c r="H6419" s="4">
        <v>4625</v>
      </c>
      <c r="I6419" s="118">
        <f t="shared" si="1375"/>
        <v>0.11912427559562137</v>
      </c>
      <c r="J6419" s="4">
        <v>90809</v>
      </c>
      <c r="K6419" s="22">
        <v>2073</v>
      </c>
      <c r="L6419" s="6">
        <v>2085</v>
      </c>
      <c r="M6419" s="125">
        <f t="shared" si="1376"/>
        <v>12</v>
      </c>
      <c r="P6419" s="247">
        <v>14950</v>
      </c>
      <c r="Q6419" s="25">
        <f>192.12/1287.5</f>
        <v>0.14921941747572817</v>
      </c>
      <c r="W6419" s="285">
        <f t="shared" si="1373"/>
        <v>2230.8302912621361</v>
      </c>
      <c r="X6419" s="443">
        <f t="shared" si="1374"/>
        <v>7.2117703810902078</v>
      </c>
    </row>
    <row r="6420" spans="1:24" ht="15" customHeight="1">
      <c r="A6420" s="3">
        <v>44732</v>
      </c>
      <c r="B6420" s="4">
        <v>33700</v>
      </c>
      <c r="C6420" s="4">
        <v>0</v>
      </c>
      <c r="D6420" s="4">
        <v>2950</v>
      </c>
      <c r="E6420" s="4">
        <v>39250</v>
      </c>
      <c r="F6420" s="4">
        <v>700</v>
      </c>
      <c r="G6420" s="4">
        <v>275</v>
      </c>
      <c r="H6420" s="4">
        <v>4350</v>
      </c>
      <c r="I6420" s="118">
        <f t="shared" ref="I6420:I6433" si="1377">H6420/E6420</f>
        <v>0.11082802547770701</v>
      </c>
      <c r="J6420" s="4">
        <v>90972</v>
      </c>
      <c r="K6420" s="22">
        <v>2046</v>
      </c>
      <c r="L6420" s="6">
        <v>2060</v>
      </c>
      <c r="M6420" s="125">
        <f t="shared" ref="M6420:M6433" si="1378">L6420-K6420</f>
        <v>14</v>
      </c>
      <c r="P6420" s="247">
        <v>14850</v>
      </c>
      <c r="Q6420" s="25">
        <f>193.18/1291.7</f>
        <v>0.14955485019741427</v>
      </c>
      <c r="W6420" s="285">
        <f t="shared" ref="W6420:W6427" si="1379">(P6420*Q6420)*(1+U6420)</f>
        <v>2220.8895254316017</v>
      </c>
      <c r="X6420" s="443">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18">
        <f t="shared" si="1377"/>
        <v>0.12300828553218611</v>
      </c>
      <c r="J6421" s="4">
        <v>90690</v>
      </c>
      <c r="K6421" s="22">
        <v>2080.5</v>
      </c>
      <c r="L6421" s="6">
        <v>2075</v>
      </c>
      <c r="M6421" s="125">
        <f t="shared" si="1378"/>
        <v>-5.5</v>
      </c>
      <c r="P6421" s="247">
        <v>15050</v>
      </c>
      <c r="Q6421" s="25">
        <f>193.11/1290.6</f>
        <v>0.14962807996280802</v>
      </c>
      <c r="W6421" s="285">
        <f t="shared" si="1379"/>
        <v>2251.9026034402609</v>
      </c>
      <c r="X6421" s="443">
        <f t="shared" si="1380"/>
        <v>7.2338380197068011</v>
      </c>
    </row>
    <row r="6422" spans="1:24" ht="15" customHeight="1">
      <c r="A6422" s="3">
        <v>44734</v>
      </c>
      <c r="B6422" s="4">
        <v>34175</v>
      </c>
      <c r="C6422" s="4">
        <v>0</v>
      </c>
      <c r="D6422" s="4">
        <v>2925</v>
      </c>
      <c r="E6422" s="4">
        <v>39700</v>
      </c>
      <c r="F6422" s="4">
        <v>500</v>
      </c>
      <c r="G6422" s="4">
        <v>25</v>
      </c>
      <c r="H6422" s="4">
        <v>4800</v>
      </c>
      <c r="I6422" s="118">
        <f t="shared" si="1377"/>
        <v>0.12090680100755667</v>
      </c>
      <c r="J6422" s="4">
        <v>89122</v>
      </c>
      <c r="K6422" s="22">
        <v>2040</v>
      </c>
      <c r="L6422" s="6">
        <v>2038</v>
      </c>
      <c r="M6422" s="125">
        <f t="shared" si="1378"/>
        <v>-2</v>
      </c>
      <c r="P6422" s="247">
        <v>15050</v>
      </c>
      <c r="Q6422" s="25">
        <f>192.99/1295.7</f>
        <v>0.14894651539708265</v>
      </c>
      <c r="W6422" s="285">
        <f t="shared" si="1379"/>
        <v>2241.645056726094</v>
      </c>
      <c r="X6422" s="443">
        <f t="shared" si="1380"/>
        <v>7.3774509803921573</v>
      </c>
    </row>
    <row r="6423" spans="1:24" ht="15" customHeight="1">
      <c r="A6423" s="3">
        <v>44735</v>
      </c>
      <c r="B6423" s="4">
        <v>34175</v>
      </c>
      <c r="C6423" s="4">
        <v>0</v>
      </c>
      <c r="D6423" s="4">
        <v>2825</v>
      </c>
      <c r="E6423" s="4">
        <v>39600</v>
      </c>
      <c r="F6423" s="4">
        <v>0</v>
      </c>
      <c r="G6423" s="4">
        <v>100</v>
      </c>
      <c r="H6423" s="4">
        <v>4700</v>
      </c>
      <c r="I6423" s="118">
        <f t="shared" si="1377"/>
        <v>0.11868686868686869</v>
      </c>
      <c r="J6423" s="4">
        <v>89173</v>
      </c>
      <c r="K6423" s="22">
        <v>1985</v>
      </c>
      <c r="L6423" s="6">
        <v>1992</v>
      </c>
      <c r="M6423" s="125">
        <f t="shared" si="1378"/>
        <v>7</v>
      </c>
      <c r="P6423" s="247">
        <v>15000</v>
      </c>
      <c r="Q6423" s="25">
        <f>193.77/1300.7</f>
        <v>0.14897362958407012</v>
      </c>
      <c r="W6423" s="285">
        <f t="shared" si="1379"/>
        <v>2234.6044437610517</v>
      </c>
      <c r="X6423" s="443">
        <f t="shared" si="1380"/>
        <v>7.5566750629722925</v>
      </c>
    </row>
    <row r="6424" spans="1:24" ht="15" customHeight="1">
      <c r="A6424" s="3">
        <v>44736</v>
      </c>
      <c r="B6424" s="4">
        <v>34175</v>
      </c>
      <c r="C6424" s="4">
        <v>0</v>
      </c>
      <c r="D6424" s="4">
        <v>2825</v>
      </c>
      <c r="E6424" s="4">
        <v>39600</v>
      </c>
      <c r="F6424" s="4">
        <v>0</v>
      </c>
      <c r="G6424" s="4">
        <v>0</v>
      </c>
      <c r="H6424" s="4">
        <v>4700</v>
      </c>
      <c r="I6424" s="118">
        <f t="shared" si="1377"/>
        <v>0.11868686868686869</v>
      </c>
      <c r="J6424" s="4">
        <v>91363</v>
      </c>
      <c r="K6424" s="22">
        <v>1896</v>
      </c>
      <c r="L6424" s="6">
        <v>1901</v>
      </c>
      <c r="M6424" s="125">
        <f t="shared" si="1378"/>
        <v>5</v>
      </c>
      <c r="P6424" s="247">
        <v>14825</v>
      </c>
      <c r="Q6424" s="25">
        <f>193.97/1299.4</f>
        <v>0.14927658919501308</v>
      </c>
      <c r="W6424" s="285">
        <f t="shared" si="1379"/>
        <v>2213.0254348160688</v>
      </c>
      <c r="X6424" s="443">
        <f t="shared" si="1380"/>
        <v>7.8190928270042193</v>
      </c>
    </row>
    <row r="6425" spans="1:24" ht="15" customHeight="1">
      <c r="A6425" s="3">
        <v>44739</v>
      </c>
      <c r="B6425" s="4">
        <v>34175</v>
      </c>
      <c r="C6425" s="4">
        <v>0</v>
      </c>
      <c r="D6425" s="4">
        <v>2825</v>
      </c>
      <c r="E6425" s="4">
        <v>39600</v>
      </c>
      <c r="F6425" s="4">
        <v>0</v>
      </c>
      <c r="G6425" s="4">
        <v>0</v>
      </c>
      <c r="H6425" s="4">
        <v>4700</v>
      </c>
      <c r="I6425" s="118">
        <f t="shared" si="1377"/>
        <v>0.11868686868686869</v>
      </c>
      <c r="J6425" s="4">
        <v>91384</v>
      </c>
      <c r="K6425" s="22">
        <v>1982</v>
      </c>
      <c r="L6425" s="6">
        <v>1982</v>
      </c>
      <c r="M6425" s="125">
        <f t="shared" si="1378"/>
        <v>0</v>
      </c>
      <c r="P6425" s="247">
        <v>14950</v>
      </c>
      <c r="Q6425" s="25">
        <f>192.07/1285.6</f>
        <v>0.14940105787181082</v>
      </c>
      <c r="W6425" s="285">
        <f t="shared" si="1379"/>
        <v>2233.5458151835719</v>
      </c>
      <c r="X6425" s="443">
        <f t="shared" si="1380"/>
        <v>7.5428859737638749</v>
      </c>
    </row>
    <row r="6426" spans="1:24" ht="15" customHeight="1">
      <c r="A6426" s="3">
        <v>44740</v>
      </c>
      <c r="B6426" s="4">
        <v>34175</v>
      </c>
      <c r="C6426" s="4">
        <v>0</v>
      </c>
      <c r="D6426" s="4">
        <v>2825</v>
      </c>
      <c r="E6426" s="4">
        <v>39600</v>
      </c>
      <c r="F6426" s="4">
        <v>0</v>
      </c>
      <c r="G6426" s="4">
        <v>0</v>
      </c>
      <c r="H6426" s="4">
        <v>4700</v>
      </c>
      <c r="I6426" s="118">
        <f t="shared" si="1377"/>
        <v>0.11868686868686869</v>
      </c>
      <c r="J6426" s="4">
        <v>92872</v>
      </c>
      <c r="K6426" s="22">
        <v>1989.5</v>
      </c>
      <c r="L6426" s="6">
        <v>1994.5</v>
      </c>
      <c r="M6426" s="125">
        <f t="shared" si="1378"/>
        <v>5</v>
      </c>
      <c r="P6426" s="247">
        <v>15050</v>
      </c>
      <c r="Q6426" s="25">
        <f>191.92/1284.9</f>
        <v>0.14936570939372712</v>
      </c>
      <c r="W6426" s="285">
        <f t="shared" si="1379"/>
        <v>2247.9539263755933</v>
      </c>
      <c r="X6426" s="443">
        <f t="shared" si="1380"/>
        <v>7.5647147524503646</v>
      </c>
    </row>
    <row r="6427" spans="1:24" ht="15" customHeight="1">
      <c r="A6427" s="3">
        <v>44741</v>
      </c>
      <c r="B6427" s="4">
        <v>34100</v>
      </c>
      <c r="C6427" s="4">
        <v>0</v>
      </c>
      <c r="D6427" s="4">
        <v>2825</v>
      </c>
      <c r="E6427" s="4">
        <v>39525</v>
      </c>
      <c r="F6427" s="4">
        <v>0</v>
      </c>
      <c r="G6427" s="4">
        <v>75</v>
      </c>
      <c r="H6427" s="4">
        <v>4625</v>
      </c>
      <c r="I6427" s="118">
        <f t="shared" si="1377"/>
        <v>0.11701454775458571</v>
      </c>
      <c r="J6427" s="4">
        <v>92996</v>
      </c>
      <c r="K6427" s="22">
        <v>1955</v>
      </c>
      <c r="L6427" s="6">
        <v>1960</v>
      </c>
      <c r="M6427" s="125">
        <f t="shared" si="1378"/>
        <v>5</v>
      </c>
      <c r="P6427" s="247">
        <v>15050</v>
      </c>
      <c r="Q6427" s="25">
        <f>192.75/1292.9</f>
        <v>0.14908345579704538</v>
      </c>
      <c r="W6427" s="285">
        <f t="shared" si="1379"/>
        <v>2243.7060097455328</v>
      </c>
      <c r="X6427" s="443">
        <f t="shared" si="1380"/>
        <v>7.6982097186700766</v>
      </c>
    </row>
    <row r="6428" spans="1:24" ht="15" customHeight="1">
      <c r="A6428" s="3">
        <v>44742</v>
      </c>
      <c r="B6428" s="4">
        <v>34100</v>
      </c>
      <c r="C6428" s="4">
        <v>0</v>
      </c>
      <c r="D6428" s="4">
        <v>2825</v>
      </c>
      <c r="E6428" s="4">
        <v>39525</v>
      </c>
      <c r="F6428" s="4">
        <v>0</v>
      </c>
      <c r="G6428" s="4">
        <v>0</v>
      </c>
      <c r="H6428" s="4">
        <v>4675</v>
      </c>
      <c r="I6428" s="118">
        <f t="shared" si="1377"/>
        <v>0.11827956989247312</v>
      </c>
      <c r="J6428" s="4">
        <v>93646</v>
      </c>
      <c r="K6428" s="22">
        <v>1907</v>
      </c>
      <c r="L6428" s="6">
        <v>1918</v>
      </c>
      <c r="M6428" s="125">
        <f t="shared" si="1378"/>
        <v>11</v>
      </c>
      <c r="N6428" s="425">
        <f>AVERAGE($K$6407:K6428)</f>
        <v>2067.375</v>
      </c>
      <c r="O6428" s="395">
        <f>AVERAGE($K$6296:K6428)</f>
        <v>2268.731707317073</v>
      </c>
      <c r="P6428" s="247">
        <v>15100</v>
      </c>
      <c r="Q6428" s="25">
        <f>193.89/1299.8</f>
        <v>0.14916910293891367</v>
      </c>
      <c r="W6428" s="285">
        <f>(P6428*Q6428)*(1+U6428)</f>
        <v>2252.4534543775962</v>
      </c>
      <c r="X6428" s="443">
        <f t="shared" si="1380"/>
        <v>7.9181961195595179</v>
      </c>
    </row>
    <row r="6429" spans="1:24" ht="15" customHeight="1" thickBot="1">
      <c r="A6429" s="394"/>
      <c r="B6429" s="394"/>
      <c r="C6429" s="394"/>
      <c r="D6429" s="394"/>
      <c r="E6429" s="216"/>
      <c r="F6429" s="407"/>
      <c r="G6429" s="164"/>
      <c r="H6429" s="164"/>
      <c r="I6429" s="166"/>
      <c r="J6429" s="166"/>
      <c r="K6429" s="166"/>
      <c r="L6429" s="167"/>
      <c r="M6429" s="167"/>
      <c r="N6429" s="167"/>
      <c r="O6429" s="180"/>
      <c r="P6429" s="180"/>
      <c r="Q6429" s="180"/>
      <c r="R6429" s="248"/>
      <c r="S6429" s="249"/>
      <c r="T6429" s="249"/>
      <c r="U6429" s="152"/>
      <c r="V6429" s="153">
        <f>AVERAGE(P6407:P6428)</f>
        <v>14959.09090909091</v>
      </c>
      <c r="W6429" s="152"/>
      <c r="X6429" s="447">
        <f>V6429/N6428</f>
        <v>7.2357897861253573</v>
      </c>
    </row>
    <row r="6430" spans="1:24" ht="15" customHeight="1">
      <c r="A6430" s="3">
        <v>44743</v>
      </c>
      <c r="B6430" s="4">
        <v>34100</v>
      </c>
      <c r="C6430" s="4">
        <v>0</v>
      </c>
      <c r="D6430" s="4">
        <v>2800</v>
      </c>
      <c r="E6430" s="4">
        <v>39500</v>
      </c>
      <c r="F6430" s="4">
        <v>0</v>
      </c>
      <c r="G6430" s="4">
        <v>25</v>
      </c>
      <c r="H6430" s="4">
        <v>4650</v>
      </c>
      <c r="I6430" s="118">
        <f t="shared" si="1377"/>
        <v>0.11772151898734177</v>
      </c>
      <c r="J6430" s="4">
        <v>94361</v>
      </c>
      <c r="K6430" s="22">
        <v>1919</v>
      </c>
      <c r="L6430" s="6">
        <v>1911</v>
      </c>
      <c r="M6430" s="125">
        <f t="shared" si="1378"/>
        <v>-8</v>
      </c>
      <c r="P6430" s="247">
        <v>14900</v>
      </c>
      <c r="Q6430" s="25">
        <f>193.06/1294.2</f>
        <v>0.14917323443053623</v>
      </c>
      <c r="W6430" s="285">
        <f t="shared" ref="W6430:W6435" si="1381">(P6430*Q6430)*(1+U6430)</f>
        <v>2222.6811930149897</v>
      </c>
      <c r="X6430" s="443">
        <f t="shared" si="1380"/>
        <v>7.7644606565919752</v>
      </c>
    </row>
    <row r="6431" spans="1:24" ht="15" customHeight="1">
      <c r="A6431" s="3">
        <v>44746</v>
      </c>
      <c r="B6431" s="4">
        <v>34100</v>
      </c>
      <c r="C6431" s="4">
        <v>0</v>
      </c>
      <c r="D6431" s="4">
        <v>2775</v>
      </c>
      <c r="E6431" s="4">
        <v>39475</v>
      </c>
      <c r="F6431" s="4">
        <v>0</v>
      </c>
      <c r="G6431" s="4">
        <v>25</v>
      </c>
      <c r="H6431" s="4">
        <v>4625</v>
      </c>
      <c r="I6431" s="118">
        <f t="shared" si="1377"/>
        <v>0.11716276124129196</v>
      </c>
      <c r="J6431" s="4">
        <v>96351</v>
      </c>
      <c r="K6431" s="22">
        <v>1947</v>
      </c>
      <c r="L6431" s="6">
        <v>1951</v>
      </c>
      <c r="M6431" s="125">
        <f t="shared" si="1378"/>
        <v>4</v>
      </c>
      <c r="P6431" s="247">
        <v>14900</v>
      </c>
      <c r="Q6431" s="25">
        <f>193.79/1297.9</f>
        <v>0.14931042453193619</v>
      </c>
      <c r="W6431" s="285">
        <f t="shared" si="1381"/>
        <v>2224.7253255258493</v>
      </c>
      <c r="X6431" s="443">
        <f t="shared" si="1380"/>
        <v>7.6527991782229075</v>
      </c>
    </row>
    <row r="6432" spans="1:24" ht="15" customHeight="1">
      <c r="A6432" s="3">
        <v>44747</v>
      </c>
      <c r="B6432" s="4">
        <v>34100</v>
      </c>
      <c r="C6432" s="4">
        <v>0</v>
      </c>
      <c r="D6432" s="4">
        <v>2750</v>
      </c>
      <c r="E6432" s="4">
        <v>39450</v>
      </c>
      <c r="F6432" s="4">
        <v>0</v>
      </c>
      <c r="G6432" s="4">
        <v>25</v>
      </c>
      <c r="H6432" s="4">
        <v>4600</v>
      </c>
      <c r="I6432" s="118">
        <f t="shared" si="1377"/>
        <v>0.11660329531051965</v>
      </c>
      <c r="J6432" s="4">
        <v>95822</v>
      </c>
      <c r="K6432" s="22">
        <v>1932.5</v>
      </c>
      <c r="L6432" s="6">
        <v>1929.5</v>
      </c>
      <c r="M6432" s="125">
        <f t="shared" si="1378"/>
        <v>-3</v>
      </c>
      <c r="P6432" s="247">
        <v>14850</v>
      </c>
      <c r="Q6432" s="25">
        <f>194.16/1298</f>
        <v>0.14958397534668721</v>
      </c>
      <c r="W6432" s="285">
        <f t="shared" si="1381"/>
        <v>2221.3220338983051</v>
      </c>
      <c r="X6432" s="443">
        <f t="shared" si="1380"/>
        <v>7.6843467011642952</v>
      </c>
    </row>
    <row r="6433" spans="1:24" ht="15" customHeight="1">
      <c r="A6433" s="3">
        <v>44748</v>
      </c>
      <c r="B6433" s="4">
        <v>34050</v>
      </c>
      <c r="C6433" s="4">
        <v>0</v>
      </c>
      <c r="D6433" s="4">
        <v>2750</v>
      </c>
      <c r="E6433" s="4">
        <v>39400</v>
      </c>
      <c r="F6433" s="4">
        <v>0</v>
      </c>
      <c r="G6433" s="4">
        <v>50</v>
      </c>
      <c r="H6433" s="4">
        <v>4550</v>
      </c>
      <c r="I6433" s="118">
        <f t="shared" si="1377"/>
        <v>0.11548223350253807</v>
      </c>
      <c r="J6433" s="4">
        <v>91285</v>
      </c>
      <c r="K6433" s="22">
        <v>1981.5</v>
      </c>
      <c r="L6433" s="6">
        <v>1976</v>
      </c>
      <c r="M6433" s="125">
        <f t="shared" si="1378"/>
        <v>-5.5</v>
      </c>
      <c r="P6433" s="247">
        <v>14800</v>
      </c>
      <c r="Q6433" s="25">
        <f>194.76/1307.4</f>
        <v>0.14896741624598439</v>
      </c>
      <c r="W6433" s="285">
        <f t="shared" si="1381"/>
        <v>2204.7177604405688</v>
      </c>
      <c r="X6433" s="443">
        <f t="shared" si="1380"/>
        <v>7.4690890739338887</v>
      </c>
    </row>
    <row r="6434" spans="1:24" ht="15" customHeight="1">
      <c r="A6434" s="3">
        <v>44749</v>
      </c>
      <c r="B6434" s="4">
        <v>34050</v>
      </c>
      <c r="C6434" s="4">
        <v>0</v>
      </c>
      <c r="D6434" s="4">
        <v>2700</v>
      </c>
      <c r="E6434" s="4">
        <v>39350</v>
      </c>
      <c r="F6434" s="4">
        <v>0</v>
      </c>
      <c r="G6434" s="4">
        <v>50</v>
      </c>
      <c r="H6434" s="4">
        <v>4500</v>
      </c>
      <c r="I6434" s="118">
        <f t="shared" ref="I6434:I6435" si="1382">H6434/E6434</f>
        <v>0.11435832274459974</v>
      </c>
      <c r="J6434" s="4">
        <v>90540</v>
      </c>
      <c r="K6434" s="22">
        <v>2015</v>
      </c>
      <c r="L6434" s="6">
        <v>2000</v>
      </c>
      <c r="M6434" s="125">
        <f t="shared" ref="M6434:M6435" si="1383">L6434-K6434</f>
        <v>-15</v>
      </c>
      <c r="P6434" s="247">
        <v>14875</v>
      </c>
      <c r="Q6434" s="25">
        <f>194.25/1302.7</f>
        <v>0.1491133799032778</v>
      </c>
      <c r="W6434" s="285">
        <f t="shared" si="1381"/>
        <v>2218.0615260612572</v>
      </c>
      <c r="X6434" s="443">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18">
        <f t="shared" si="1382"/>
        <v>0.11435832274459974</v>
      </c>
      <c r="J6435" s="4">
        <v>92395</v>
      </c>
      <c r="K6435" s="22">
        <v>1948</v>
      </c>
      <c r="L6435" s="6">
        <v>1956</v>
      </c>
      <c r="M6435" s="125">
        <f t="shared" si="1383"/>
        <v>8</v>
      </c>
      <c r="P6435" s="247">
        <v>14850</v>
      </c>
      <c r="Q6435" s="25">
        <f>193.94/1299.3</f>
        <v>0.14926498884014469</v>
      </c>
      <c r="W6435" s="285">
        <f t="shared" si="1381"/>
        <v>2216.5850842761488</v>
      </c>
      <c r="X6435" s="443">
        <f t="shared" si="1384"/>
        <v>7.6232032854209448</v>
      </c>
    </row>
    <row r="6436" spans="1:24" ht="15" customHeight="1">
      <c r="A6436" s="3">
        <v>44753</v>
      </c>
      <c r="B6436" s="4">
        <v>34050</v>
      </c>
      <c r="C6436" s="4" t="s">
        <v>59</v>
      </c>
      <c r="D6436" s="4">
        <v>2625</v>
      </c>
      <c r="E6436" s="4">
        <v>39275</v>
      </c>
      <c r="F6436" s="4">
        <v>0</v>
      </c>
      <c r="G6436" s="4">
        <v>75</v>
      </c>
      <c r="H6436" s="4">
        <v>4425</v>
      </c>
      <c r="I6436" s="118">
        <f t="shared" ref="I6436" si="1385">H6436/E6436</f>
        <v>0.11266709102482496</v>
      </c>
      <c r="J6436" s="4">
        <v>91503</v>
      </c>
      <c r="K6436" s="22">
        <v>1940</v>
      </c>
      <c r="L6436" s="6">
        <v>1926</v>
      </c>
      <c r="M6436" s="125">
        <f t="shared" ref="M6436:M6437" si="1386">L6436-K6436</f>
        <v>-14</v>
      </c>
      <c r="P6436" s="247">
        <v>14750</v>
      </c>
      <c r="Q6436" s="25">
        <f>193.94/1299.3</f>
        <v>0.14926498884014469</v>
      </c>
      <c r="W6436" s="285">
        <f t="shared" ref="W6436:W6437" si="1387">(P6436*Q6436)*(1+U6436)</f>
        <v>2201.6585853921342</v>
      </c>
      <c r="X6436" s="443">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18">
        <f t="shared" ref="I6437" si="1389">H6437/E6437</f>
        <v>0.11266709102482496</v>
      </c>
      <c r="J6437" s="4">
        <v>91633</v>
      </c>
      <c r="K6437" s="22">
        <v>1945</v>
      </c>
      <c r="L6437" s="6">
        <v>1927</v>
      </c>
      <c r="M6437" s="125">
        <f t="shared" si="1386"/>
        <v>-18</v>
      </c>
      <c r="P6437" s="247">
        <v>14900</v>
      </c>
      <c r="Q6437" s="25">
        <f>194.86/1312.9</f>
        <v>0.14841952928631275</v>
      </c>
      <c r="W6437" s="285">
        <f t="shared" si="1387"/>
        <v>2211.4509863660601</v>
      </c>
      <c r="X6437" s="443">
        <f t="shared" si="1388"/>
        <v>7.6606683804627247</v>
      </c>
    </row>
    <row r="6438" spans="1:24" ht="15" customHeight="1">
      <c r="A6438" s="3">
        <v>44755</v>
      </c>
      <c r="B6438" s="4">
        <v>34050</v>
      </c>
      <c r="C6438" s="4">
        <v>0</v>
      </c>
      <c r="D6438" s="4">
        <v>2600</v>
      </c>
      <c r="E6438" s="4">
        <v>39250</v>
      </c>
      <c r="F6438" s="4" t="s">
        <v>59</v>
      </c>
      <c r="G6438" s="4">
        <v>25</v>
      </c>
      <c r="H6438" s="4">
        <v>4400</v>
      </c>
      <c r="I6438" s="118">
        <f t="shared" ref="I6438:I6439" si="1390">H6438/E6438</f>
        <v>0.11210191082802548</v>
      </c>
      <c r="J6438" s="4">
        <v>91232</v>
      </c>
      <c r="K6438" s="22">
        <v>1981</v>
      </c>
      <c r="L6438" s="6">
        <v>1950</v>
      </c>
      <c r="M6438" s="125">
        <f t="shared" ref="M6438:M6439" si="1391">L6438-K6438</f>
        <v>-31</v>
      </c>
      <c r="P6438" s="247">
        <v>14800</v>
      </c>
      <c r="Q6438" s="25">
        <f>193.79/1291.82</f>
        <v>0.1500131597281355</v>
      </c>
      <c r="W6438" s="285">
        <f t="shared" ref="W6438:W6439" si="1392">(P6438*Q6438)*(1+U6438)</f>
        <v>2220.1947639764053</v>
      </c>
      <c r="X6438" s="443">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18">
        <f t="shared" si="1390"/>
        <v>0.11153601019757807</v>
      </c>
      <c r="J6439" s="4">
        <v>91971</v>
      </c>
      <c r="K6439" s="22">
        <v>1891</v>
      </c>
      <c r="L6439" s="6">
        <v>1874.5</v>
      </c>
      <c r="M6439" s="125">
        <f t="shared" si="1391"/>
        <v>-16.5</v>
      </c>
      <c r="P6439" s="247">
        <v>14750</v>
      </c>
      <c r="Q6439" s="25">
        <f>194.44/1310</f>
        <v>0.14842748091603053</v>
      </c>
      <c r="W6439" s="285">
        <f t="shared" si="1392"/>
        <v>2189.3053435114502</v>
      </c>
      <c r="X6439" s="443">
        <f t="shared" si="1393"/>
        <v>7.8001057641459548</v>
      </c>
    </row>
    <row r="6440" spans="1:24" ht="15" customHeight="1">
      <c r="A6440" s="3">
        <v>44757</v>
      </c>
      <c r="B6440" s="4">
        <v>34050</v>
      </c>
      <c r="C6440" s="4">
        <v>0</v>
      </c>
      <c r="D6440" s="4">
        <v>2575</v>
      </c>
      <c r="E6440" s="4">
        <v>39225</v>
      </c>
      <c r="F6440" s="4">
        <v>0</v>
      </c>
      <c r="G6440" s="4">
        <v>0</v>
      </c>
      <c r="H6440" s="4">
        <v>4375</v>
      </c>
      <c r="I6440" s="118">
        <f t="shared" ref="I6440" si="1394">H6440/E6440</f>
        <v>0.11153601019757807</v>
      </c>
      <c r="J6440" s="4">
        <v>94754</v>
      </c>
      <c r="K6440" s="22">
        <v>1925</v>
      </c>
      <c r="L6440" s="6">
        <v>1897.5</v>
      </c>
      <c r="M6440" s="125">
        <f t="shared" ref="M6440" si="1395">L6440-K6440</f>
        <v>-27.5</v>
      </c>
      <c r="P6440" s="247">
        <v>14575</v>
      </c>
      <c r="Q6440" s="25">
        <f>195.56/1323.7</f>
        <v>0.14773740273475863</v>
      </c>
      <c r="W6440" s="285">
        <f t="shared" ref="W6440" si="1396">(P6440*Q6440)*(1+U6440)</f>
        <v>2153.272644859107</v>
      </c>
      <c r="X6440" s="443">
        <f t="shared" ref="X6440" si="1397">P6440/K6440</f>
        <v>7.5714285714285712</v>
      </c>
    </row>
    <row r="6441" spans="1:24" ht="15" customHeight="1">
      <c r="A6441" s="3">
        <v>44760</v>
      </c>
      <c r="B6441" s="4">
        <v>34050</v>
      </c>
      <c r="C6441" s="4">
        <v>0</v>
      </c>
      <c r="D6441" s="4">
        <v>2575</v>
      </c>
      <c r="E6441" s="4">
        <v>39225</v>
      </c>
      <c r="F6441" s="4">
        <v>0</v>
      </c>
      <c r="G6441" s="4">
        <v>0</v>
      </c>
      <c r="H6441" s="4">
        <v>4375</v>
      </c>
      <c r="I6441" s="118">
        <f t="shared" ref="I6441" si="1398">H6441/E6441</f>
        <v>0.11153601019757807</v>
      </c>
      <c r="J6441" s="4">
        <v>93097</v>
      </c>
      <c r="K6441" s="22">
        <v>1994</v>
      </c>
      <c r="L6441" s="6">
        <v>1970</v>
      </c>
      <c r="M6441" s="125">
        <f t="shared" ref="M6441" si="1399">L6441-K6441</f>
        <v>-24</v>
      </c>
      <c r="P6441" s="247">
        <v>14900</v>
      </c>
      <c r="Q6441" s="25">
        <f>194.78/1317.8</f>
        <v>0.14780695097890423</v>
      </c>
      <c r="W6441" s="285">
        <f t="shared" ref="W6441" si="1400">(P6441*Q6441)*(1+U6441)</f>
        <v>2202.3235695856729</v>
      </c>
      <c r="X6441" s="443">
        <f t="shared" ref="X6441" si="1401">P6441/K6441</f>
        <v>7.4724172517552656</v>
      </c>
    </row>
    <row r="6442" spans="1:24" ht="15" customHeight="1">
      <c r="A6442" s="3">
        <v>44761</v>
      </c>
      <c r="B6442" s="4">
        <v>34550</v>
      </c>
      <c r="C6442" s="4">
        <v>0</v>
      </c>
      <c r="D6442" s="4">
        <v>2575</v>
      </c>
      <c r="E6442" s="4">
        <v>39725</v>
      </c>
      <c r="F6442" s="4">
        <v>500</v>
      </c>
      <c r="G6442" s="4">
        <v>0</v>
      </c>
      <c r="H6442" s="4">
        <v>4375</v>
      </c>
      <c r="I6442" s="118">
        <f t="shared" ref="I6442" si="1402">H6442/E6442</f>
        <v>0.11013215859030837</v>
      </c>
      <c r="J6442" s="4">
        <v>90685</v>
      </c>
      <c r="K6442" s="22">
        <v>1972</v>
      </c>
      <c r="L6442" s="6">
        <v>1961</v>
      </c>
      <c r="M6442" s="125">
        <f t="shared" ref="M6442" si="1403">L6442-K6442</f>
        <v>-11</v>
      </c>
      <c r="P6442" s="247">
        <v>15050</v>
      </c>
      <c r="Q6442" s="25">
        <f>194.82/1314.9</f>
        <v>0.14816335843029887</v>
      </c>
      <c r="W6442" s="285">
        <f t="shared" ref="W6442" si="1404">(P6442*Q6442)*(1+U6442)</f>
        <v>2229.858544375998</v>
      </c>
      <c r="X6442" s="443">
        <f t="shared" ref="X6442" si="1405">P6442/K6442</f>
        <v>7.6318458417849895</v>
      </c>
    </row>
    <row r="6443" spans="1:24" ht="15" customHeight="1">
      <c r="A6443" s="3">
        <v>44762</v>
      </c>
      <c r="B6443" s="4">
        <v>34150</v>
      </c>
      <c r="C6443" s="4">
        <v>0</v>
      </c>
      <c r="D6443" s="4">
        <v>2575</v>
      </c>
      <c r="E6443" s="4">
        <v>39325</v>
      </c>
      <c r="F6443" s="4">
        <v>0</v>
      </c>
      <c r="G6443" s="4">
        <v>400</v>
      </c>
      <c r="H6443" s="4">
        <v>4025</v>
      </c>
      <c r="I6443" s="118">
        <f t="shared" ref="I6443" si="1406">H6443/E6443</f>
        <v>0.10235219326128417</v>
      </c>
      <c r="J6443" s="4">
        <v>88494</v>
      </c>
      <c r="K6443" s="22">
        <v>2032</v>
      </c>
      <c r="L6443" s="6">
        <v>2012</v>
      </c>
      <c r="M6443" s="125">
        <f t="shared" ref="M6443" si="1407">L6443-K6443</f>
        <v>-20</v>
      </c>
      <c r="P6443" s="247">
        <v>15025</v>
      </c>
      <c r="Q6443" s="25">
        <f>193.88/1308.6</f>
        <v>0.14815833715421062</v>
      </c>
      <c r="W6443" s="285">
        <f t="shared" ref="W6443" si="1408">(P6443*Q6443)*(1+U6443)</f>
        <v>2226.0790157420147</v>
      </c>
      <c r="X6443" s="443">
        <f t="shared" ref="X6443" si="1409">P6443/K6443</f>
        <v>7.3941929133858268</v>
      </c>
    </row>
    <row r="6444" spans="1:24" ht="15" customHeight="1">
      <c r="A6444" s="3">
        <v>44763</v>
      </c>
      <c r="B6444" s="4">
        <v>34000</v>
      </c>
      <c r="C6444" s="4">
        <v>0</v>
      </c>
      <c r="D6444" s="4">
        <v>2575</v>
      </c>
      <c r="E6444" s="4">
        <v>39175</v>
      </c>
      <c r="F6444" s="4">
        <v>0</v>
      </c>
      <c r="G6444" s="4">
        <v>150</v>
      </c>
      <c r="H6444" s="4">
        <v>3875</v>
      </c>
      <c r="I6444" s="118">
        <f t="shared" ref="I6444" si="1410">H6444/E6444</f>
        <v>9.8915124441608174E-2</v>
      </c>
      <c r="J6444" s="4">
        <v>88227</v>
      </c>
      <c r="K6444" s="22">
        <v>1996</v>
      </c>
      <c r="L6444" s="6">
        <v>1994</v>
      </c>
      <c r="M6444" s="125">
        <f t="shared" ref="M6444" si="1411">L6444-K6444</f>
        <v>-2</v>
      </c>
      <c r="P6444" s="247">
        <v>15175</v>
      </c>
      <c r="Q6444" s="25">
        <f>194.01/1312.1</f>
        <v>0.14786220562457131</v>
      </c>
      <c r="W6444" s="285">
        <f t="shared" ref="W6444" si="1412">(P6444*Q6444)*(1+U6444)</f>
        <v>2243.8089703528694</v>
      </c>
      <c r="X6444" s="443">
        <f t="shared" ref="X6444" si="1413">P6444/K6444</f>
        <v>7.6027054108216436</v>
      </c>
    </row>
    <row r="6445" spans="1:24" ht="15" customHeight="1">
      <c r="A6445" s="3">
        <v>44764</v>
      </c>
      <c r="B6445" s="4">
        <v>34000</v>
      </c>
      <c r="C6445" s="4">
        <v>0</v>
      </c>
      <c r="D6445" s="4">
        <v>2575</v>
      </c>
      <c r="E6445" s="4">
        <v>39175</v>
      </c>
      <c r="F6445" s="4">
        <v>0</v>
      </c>
      <c r="G6445" s="4">
        <v>0</v>
      </c>
      <c r="H6445" s="4">
        <v>4125</v>
      </c>
      <c r="I6445" s="118">
        <f t="shared" ref="I6445" si="1414">H6445/E6445</f>
        <v>0.10529674537332483</v>
      </c>
      <c r="J6445" s="4">
        <v>88663</v>
      </c>
      <c r="K6445" s="22">
        <v>2005</v>
      </c>
      <c r="L6445" s="6">
        <v>2001</v>
      </c>
      <c r="M6445" s="125">
        <f t="shared" ref="M6445" si="1415">L6445-K6445</f>
        <v>-4</v>
      </c>
      <c r="P6445" s="247">
        <v>15100</v>
      </c>
      <c r="Q6445" s="25">
        <f>193.74/1311.7</f>
        <v>0.14770145612563848</v>
      </c>
      <c r="W6445" s="285">
        <f t="shared" ref="W6445" si="1416">(P6445*Q6445)*(1+U6445)</f>
        <v>2230.2919874971412</v>
      </c>
      <c r="X6445" s="443">
        <f t="shared" ref="X6445" si="1417">P6445/K6445</f>
        <v>7.5311720698254367</v>
      </c>
    </row>
    <row r="6446" spans="1:24" ht="15" customHeight="1">
      <c r="A6446" s="3">
        <v>44767</v>
      </c>
      <c r="B6446" s="4">
        <v>33875</v>
      </c>
      <c r="C6446" s="4">
        <v>0</v>
      </c>
      <c r="D6446" s="4">
        <v>2575</v>
      </c>
      <c r="E6446" s="4">
        <v>39050</v>
      </c>
      <c r="F6446" s="4">
        <v>0</v>
      </c>
      <c r="G6446" s="4">
        <v>125</v>
      </c>
      <c r="H6446" s="4">
        <v>4500</v>
      </c>
      <c r="I6446" s="118">
        <f t="shared" ref="I6446:I6447" si="1418">H6446/E6446</f>
        <v>0.11523687580025609</v>
      </c>
      <c r="J6446" s="4">
        <v>87492</v>
      </c>
      <c r="K6446" s="22">
        <v>2021</v>
      </c>
      <c r="L6446" s="6">
        <v>2018</v>
      </c>
      <c r="M6446" s="125">
        <f t="shared" ref="M6446:M6447" si="1419">L6446-K6446</f>
        <v>-3</v>
      </c>
      <c r="P6446" s="247">
        <v>15150</v>
      </c>
      <c r="Q6446" s="25">
        <f>193.71/1311</f>
        <v>0.14775743707093822</v>
      </c>
      <c r="W6446" s="285">
        <f t="shared" ref="W6446:W6447" si="1420">(P6446*Q6446)*(1+U6446)</f>
        <v>2238.5251716247139</v>
      </c>
      <c r="X6446" s="443">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18">
        <f t="shared" si="1418"/>
        <v>0.11494252873563218</v>
      </c>
      <c r="J6447" s="4">
        <v>86946</v>
      </c>
      <c r="K6447" s="22">
        <v>2004</v>
      </c>
      <c r="L6447" s="6">
        <v>2010</v>
      </c>
      <c r="M6447" s="125">
        <f t="shared" si="1419"/>
        <v>6</v>
      </c>
      <c r="P6447" s="247">
        <v>15150</v>
      </c>
      <c r="Q6447" s="25">
        <f>193.84/1310</f>
        <v>0.14796946564885496</v>
      </c>
      <c r="W6447" s="285">
        <f t="shared" si="1420"/>
        <v>2241.7374045801525</v>
      </c>
      <c r="X6447" s="443">
        <f t="shared" si="1421"/>
        <v>7.5598802395209583</v>
      </c>
    </row>
    <row r="6448" spans="1:24" ht="15" customHeight="1">
      <c r="A6448" s="3">
        <v>44769</v>
      </c>
      <c r="B6448" s="4">
        <v>33975</v>
      </c>
      <c r="C6448" s="4">
        <v>0</v>
      </c>
      <c r="D6448" s="4">
        <v>2575</v>
      </c>
      <c r="E6448" s="4">
        <v>39150</v>
      </c>
      <c r="F6448" s="4" t="s">
        <v>59</v>
      </c>
      <c r="G6448" s="4">
        <v>0</v>
      </c>
      <c r="H6448" s="4">
        <v>4500</v>
      </c>
      <c r="I6448" s="118">
        <f t="shared" ref="I6448" si="1422">H6448/E6448</f>
        <v>0.11494252873563218</v>
      </c>
      <c r="J6448" s="4">
        <v>87228</v>
      </c>
      <c r="K6448" s="22">
        <v>2016.5</v>
      </c>
      <c r="L6448" s="6">
        <v>2015</v>
      </c>
      <c r="M6448" s="125">
        <f t="shared" ref="M6448" si="1423">L6448-K6448</f>
        <v>-1.5</v>
      </c>
      <c r="P6448" s="247">
        <v>15100</v>
      </c>
      <c r="Q6448" s="25">
        <f>194.14/1312.8</f>
        <v>0.14788238878732479</v>
      </c>
      <c r="W6448" s="285">
        <f t="shared" ref="W6448" si="1424">(P6448*Q6448)*(1+U6448)</f>
        <v>2233.0240706886043</v>
      </c>
      <c r="X6448" s="443">
        <f t="shared" ref="X6448" si="1425">P6448/K6448</f>
        <v>7.4882221671212497</v>
      </c>
    </row>
    <row r="6449" spans="1:24" ht="15" customHeight="1">
      <c r="A6449" s="3">
        <v>44770</v>
      </c>
      <c r="B6449" s="4">
        <v>34375</v>
      </c>
      <c r="C6449" s="4">
        <v>0</v>
      </c>
      <c r="D6449" s="4">
        <v>2575</v>
      </c>
      <c r="E6449" s="4">
        <v>39550</v>
      </c>
      <c r="F6449" s="4">
        <v>400</v>
      </c>
      <c r="G6449" s="4">
        <v>0</v>
      </c>
      <c r="H6449" s="4">
        <v>4500</v>
      </c>
      <c r="I6449" s="118">
        <f t="shared" ref="I6449" si="1426">H6449/E6449</f>
        <v>0.11378002528445007</v>
      </c>
      <c r="J6449" s="4">
        <v>87547</v>
      </c>
      <c r="K6449" s="22">
        <v>2013</v>
      </c>
      <c r="L6449" s="6">
        <v>2006</v>
      </c>
      <c r="M6449" s="125">
        <f t="shared" ref="M6449" si="1427">L6449-K6449</f>
        <v>-7</v>
      </c>
      <c r="P6449" s="247">
        <v>15125</v>
      </c>
      <c r="Q6449" s="25">
        <f>193.35/1304</f>
        <v>0.1482745398773006</v>
      </c>
      <c r="W6449" s="285">
        <f t="shared" ref="W6449" si="1428">(P6449*Q6449)*(1+U6449)</f>
        <v>2242.6524156441715</v>
      </c>
      <c r="X6449" s="443">
        <f t="shared" ref="X6449" si="1429">P6449/K6449</f>
        <v>7.5136612021857925</v>
      </c>
    </row>
    <row r="6450" spans="1:24" ht="15" customHeight="1">
      <c r="A6450" s="3">
        <v>44771</v>
      </c>
      <c r="B6450" s="4">
        <v>34325</v>
      </c>
      <c r="C6450" s="4">
        <v>0</v>
      </c>
      <c r="D6450" s="4">
        <v>2575</v>
      </c>
      <c r="E6450" s="4">
        <v>39500</v>
      </c>
      <c r="F6450" s="4">
        <v>0</v>
      </c>
      <c r="G6450" s="4">
        <v>50</v>
      </c>
      <c r="H6450" s="4">
        <v>4450</v>
      </c>
      <c r="I6450" s="118">
        <f t="shared" ref="I6450" si="1430">H6450/E6450</f>
        <v>0.11265822784810127</v>
      </c>
      <c r="J6450" s="4">
        <v>87083</v>
      </c>
      <c r="K6450" s="22">
        <v>2023</v>
      </c>
      <c r="L6450" s="6">
        <v>2024</v>
      </c>
      <c r="M6450" s="125">
        <f t="shared" ref="M6450" si="1431">L6450-K6450</f>
        <v>1</v>
      </c>
      <c r="N6450" s="425">
        <f>AVERAGE($K$6430:K6450)</f>
        <v>1976.2619047619048</v>
      </c>
      <c r="O6450" s="395">
        <f>AVERAGE($K$6296:K6450)</f>
        <v>2226.0798611111113</v>
      </c>
      <c r="P6450" s="247">
        <v>15125</v>
      </c>
      <c r="Q6450" s="25">
        <f>192.37/1298.6</f>
        <v>0.1481364546434622</v>
      </c>
      <c r="W6450" s="285">
        <f t="shared" ref="W6450" si="1432">(P6450*Q6450)*(1+U6450)</f>
        <v>2240.5638764823657</v>
      </c>
      <c r="X6450" s="443">
        <f t="shared" ref="X6450" si="1433">P6450/K6450</f>
        <v>7.4765200197726145</v>
      </c>
    </row>
    <row r="6451" spans="1:24" ht="15" customHeight="1" thickBot="1">
      <c r="A6451" s="394"/>
      <c r="B6451" s="394"/>
      <c r="C6451" s="394"/>
      <c r="D6451" s="394"/>
      <c r="E6451" s="216"/>
      <c r="F6451" s="407"/>
      <c r="G6451" s="164"/>
      <c r="H6451" s="164"/>
      <c r="I6451" s="166"/>
      <c r="J6451" s="166"/>
      <c r="K6451" s="166"/>
      <c r="L6451" s="167"/>
      <c r="M6451" s="167"/>
      <c r="N6451" s="167"/>
      <c r="O6451" s="180"/>
      <c r="P6451" s="180"/>
      <c r="Q6451" s="180"/>
      <c r="R6451" s="248"/>
      <c r="S6451" s="249"/>
      <c r="T6451" s="249"/>
      <c r="U6451" s="152"/>
      <c r="V6451" s="153">
        <f>AVERAGE(P6430:P6450)</f>
        <v>14945.238095238095</v>
      </c>
      <c r="W6451" s="152"/>
      <c r="X6451" s="447">
        <f>V6451/N6450</f>
        <v>7.5623772634724045</v>
      </c>
    </row>
    <row r="6452" spans="1:24" ht="15" customHeight="1">
      <c r="A6452" s="3">
        <v>44774</v>
      </c>
      <c r="B6452" s="4">
        <v>33700</v>
      </c>
      <c r="C6452" s="4">
        <v>0</v>
      </c>
      <c r="D6452" s="4">
        <v>2575</v>
      </c>
      <c r="E6452" s="4">
        <v>38875</v>
      </c>
      <c r="F6452" s="4">
        <v>0</v>
      </c>
      <c r="G6452" s="4">
        <v>625</v>
      </c>
      <c r="H6452" s="4">
        <v>3825</v>
      </c>
      <c r="I6452" s="118">
        <f t="shared" ref="I6452" si="1434">H6452/E6452</f>
        <v>9.8392282958199351E-2</v>
      </c>
      <c r="J6452" s="4">
        <v>85607</v>
      </c>
      <c r="K6452" s="22">
        <v>2057</v>
      </c>
      <c r="L6452" s="6">
        <v>2060.5</v>
      </c>
      <c r="M6452" s="125">
        <f t="shared" ref="M6452" si="1435">L6452-K6452</f>
        <v>3.5</v>
      </c>
      <c r="P6452" s="247">
        <v>15070</v>
      </c>
      <c r="Q6452" s="25">
        <f>193.14/1306.4</f>
        <v>0.14784139620330677</v>
      </c>
      <c r="W6452" s="285">
        <f t="shared" ref="W6452" si="1436">(P6452*Q6452)*(1+U6452)</f>
        <v>2227.9698407838332</v>
      </c>
      <c r="X6452" s="443">
        <f t="shared" ref="X6452" si="1437">P6452/K6452</f>
        <v>7.3262032085561497</v>
      </c>
    </row>
    <row r="6453" spans="1:24" ht="15" customHeight="1">
      <c r="A6453" s="3">
        <v>44775</v>
      </c>
      <c r="B6453" s="4">
        <v>33700</v>
      </c>
      <c r="C6453" s="4">
        <v>0</v>
      </c>
      <c r="D6453" s="4">
        <v>2575</v>
      </c>
      <c r="E6453" s="4">
        <v>38875</v>
      </c>
      <c r="F6453" s="4">
        <v>0</v>
      </c>
      <c r="G6453" s="4">
        <v>0</v>
      </c>
      <c r="H6453" s="4">
        <v>3875</v>
      </c>
      <c r="I6453" s="118">
        <f t="shared" ref="I6453" si="1438">H6453/E6453</f>
        <v>9.9678456591639875E-2</v>
      </c>
      <c r="J6453" s="4">
        <v>85793</v>
      </c>
      <c r="K6453" s="22">
        <v>2042</v>
      </c>
      <c r="L6453" s="6">
        <v>2045</v>
      </c>
      <c r="M6453" s="125">
        <f t="shared" ref="M6453" si="1439">L6453-K6453</f>
        <v>3</v>
      </c>
      <c r="P6453" s="247">
        <v>15070</v>
      </c>
      <c r="Q6453" s="25">
        <f>192.67/1307.2</f>
        <v>0.14739137086903303</v>
      </c>
      <c r="W6453" s="285">
        <f t="shared" ref="W6453" si="1440">(P6453*Q6453)*(1+U6453)</f>
        <v>2221.1879589963278</v>
      </c>
      <c r="X6453" s="443">
        <f t="shared" ref="X6453" si="1441">P6453/K6453</f>
        <v>7.3800195886385893</v>
      </c>
    </row>
    <row r="6454" spans="1:24" ht="15" customHeight="1">
      <c r="A6454" s="3">
        <v>44776</v>
      </c>
      <c r="B6454" s="4">
        <v>33700</v>
      </c>
      <c r="C6454" s="4">
        <v>0</v>
      </c>
      <c r="D6454" s="4">
        <v>2575</v>
      </c>
      <c r="E6454" s="4">
        <v>38875</v>
      </c>
      <c r="F6454" s="4">
        <v>0</v>
      </c>
      <c r="G6454" s="4">
        <v>0</v>
      </c>
      <c r="H6454" s="4">
        <v>3875</v>
      </c>
      <c r="I6454" s="118">
        <f t="shared" ref="I6454" si="1442">H6454/E6454</f>
        <v>9.9678456591639875E-2</v>
      </c>
      <c r="J6454" s="4">
        <v>84688</v>
      </c>
      <c r="K6454" s="22">
        <v>2021</v>
      </c>
      <c r="L6454" s="6">
        <v>2024.5</v>
      </c>
      <c r="M6454" s="125">
        <f t="shared" ref="M6454" si="1443">L6454-K6454</f>
        <v>3.5</v>
      </c>
      <c r="P6454" s="247">
        <v>15000</v>
      </c>
      <c r="Q6454" s="25">
        <f>193.71/1310.5</f>
        <v>0.14781381152231973</v>
      </c>
      <c r="W6454" s="285">
        <f t="shared" ref="W6454" si="1444">(P6454*Q6454)*(1+U6454)</f>
        <v>2217.207172834796</v>
      </c>
      <c r="X6454" s="443">
        <f t="shared" ref="X6454" si="1445">P6454/K6454</f>
        <v>7.4220682830282039</v>
      </c>
    </row>
    <row r="6455" spans="1:24" ht="15" customHeight="1">
      <c r="A6455" s="3">
        <v>44777</v>
      </c>
      <c r="B6455" s="4">
        <v>33700</v>
      </c>
      <c r="C6455" s="4">
        <v>0</v>
      </c>
      <c r="D6455" s="4">
        <v>2575</v>
      </c>
      <c r="E6455" s="4">
        <v>38875</v>
      </c>
      <c r="F6455" s="4">
        <v>0</v>
      </c>
      <c r="G6455" s="4">
        <v>0</v>
      </c>
      <c r="H6455" s="4">
        <v>3875</v>
      </c>
      <c r="I6455" s="118">
        <f t="shared" ref="I6455" si="1446">H6455/E6455</f>
        <v>9.9678456591639875E-2</v>
      </c>
      <c r="J6455" s="4">
        <v>84652</v>
      </c>
      <c r="K6455" s="22">
        <v>2019.5</v>
      </c>
      <c r="L6455" s="6">
        <v>2020</v>
      </c>
      <c r="M6455" s="125">
        <f t="shared" ref="M6455" si="1447">L6455-K6455</f>
        <v>0.5</v>
      </c>
      <c r="P6455" s="247">
        <v>15025</v>
      </c>
      <c r="Q6455" s="25">
        <f>193.83/1309.7</f>
        <v>0.14799572421165152</v>
      </c>
      <c r="W6455" s="285">
        <f t="shared" ref="W6455" si="1448">(P6455*Q6455)*(1+U6455)</f>
        <v>2223.635756280064</v>
      </c>
      <c r="X6455" s="443">
        <f t="shared" ref="X6455" si="1449">P6455/K6455</f>
        <v>7.4399603862342163</v>
      </c>
    </row>
    <row r="6456" spans="1:24" ht="15" customHeight="1">
      <c r="A6456" s="3">
        <v>44778</v>
      </c>
      <c r="B6456" s="4">
        <v>33700</v>
      </c>
      <c r="C6456" s="4">
        <v>0</v>
      </c>
      <c r="D6456" s="4">
        <v>2575</v>
      </c>
      <c r="E6456" s="4">
        <v>38875</v>
      </c>
      <c r="F6456" s="4">
        <v>0</v>
      </c>
      <c r="G6456" s="4">
        <v>0</v>
      </c>
      <c r="H6456" s="4">
        <v>3875</v>
      </c>
      <c r="I6456" s="118">
        <f t="shared" ref="I6456" si="1450">H6456/E6456</f>
        <v>9.9678456591639875E-2</v>
      </c>
      <c r="J6456" s="4">
        <v>85592</v>
      </c>
      <c r="K6456" s="22">
        <v>2092</v>
      </c>
      <c r="L6456" s="6">
        <v>2074.5</v>
      </c>
      <c r="M6456" s="125">
        <f t="shared" ref="M6456" si="1451">L6456-K6456</f>
        <v>-17.5</v>
      </c>
      <c r="P6456" s="247">
        <v>15075</v>
      </c>
      <c r="Q6456" s="25">
        <f>192.2/1299.3</f>
        <v>0.14792580620334025</v>
      </c>
      <c r="W6456" s="285">
        <f t="shared" ref="W6456" si="1452">(P6456*Q6456)*(1+U6456)</f>
        <v>2229.9815285153545</v>
      </c>
      <c r="X6456" s="443">
        <f t="shared" ref="X6456" si="1453">P6456/K6456</f>
        <v>7.2060229445506696</v>
      </c>
    </row>
    <row r="6457" spans="1:24" ht="15" customHeight="1">
      <c r="A6457" s="3">
        <v>44781</v>
      </c>
      <c r="B6457" s="4">
        <v>33700</v>
      </c>
      <c r="C6457" s="4">
        <v>0</v>
      </c>
      <c r="D6457" s="4">
        <v>2575</v>
      </c>
      <c r="E6457" s="4">
        <v>38875</v>
      </c>
      <c r="F6457" s="4">
        <v>0</v>
      </c>
      <c r="G6457" s="4">
        <v>0</v>
      </c>
      <c r="H6457" s="4">
        <v>3875</v>
      </c>
      <c r="I6457" s="118">
        <f t="shared" ref="I6457" si="1454">H6457/E6457</f>
        <v>9.9678456591639875E-2</v>
      </c>
      <c r="J6457" s="4">
        <v>85665</v>
      </c>
      <c r="K6457" s="22">
        <v>2140.5</v>
      </c>
      <c r="L6457" s="6">
        <v>2122</v>
      </c>
      <c r="M6457" s="125">
        <f t="shared" ref="M6457" si="1455">L6457-K6457</f>
        <v>-18.5</v>
      </c>
      <c r="P6457" s="247">
        <v>15125</v>
      </c>
      <c r="Q6457" s="25">
        <f>192.73/1304.8</f>
        <v>0.14770846106683017</v>
      </c>
      <c r="W6457" s="285">
        <f t="shared" ref="W6457" si="1456">(P6457*Q6457)*(1+U6457)</f>
        <v>2234.0904736358061</v>
      </c>
      <c r="X6457" s="443">
        <f t="shared" ref="X6457" si="1457">P6457/K6457</f>
        <v>7.0661060499883206</v>
      </c>
    </row>
    <row r="6458" spans="1:24" ht="15" customHeight="1">
      <c r="A6458" s="3">
        <v>44782</v>
      </c>
      <c r="B6458" s="4">
        <v>33700</v>
      </c>
      <c r="C6458" s="4">
        <v>0</v>
      </c>
      <c r="D6458" s="4">
        <v>2500</v>
      </c>
      <c r="E6458" s="4">
        <v>38800</v>
      </c>
      <c r="F6458" s="4">
        <v>0</v>
      </c>
      <c r="G6458" s="4">
        <v>75</v>
      </c>
      <c r="H6458" s="4">
        <v>3880</v>
      </c>
      <c r="I6458" s="118">
        <f t="shared" ref="I6458" si="1458">H6458/E6458</f>
        <v>0.1</v>
      </c>
      <c r="J6458" s="4">
        <v>86589</v>
      </c>
      <c r="K6458" s="22">
        <v>2183</v>
      </c>
      <c r="L6458" s="6">
        <v>2163</v>
      </c>
      <c r="M6458" s="125">
        <f t="shared" ref="M6458" si="1459">L6458-K6458</f>
        <v>-20</v>
      </c>
      <c r="P6458" s="247">
        <v>15175</v>
      </c>
      <c r="Q6458" s="25">
        <f>193.09/1305.1</f>
        <v>0.14795034863228873</v>
      </c>
      <c r="W6458" s="285">
        <f t="shared" ref="W6458" si="1460">(P6458*Q6458)*(1+U6458)</f>
        <v>2245.1465404949813</v>
      </c>
      <c r="X6458" s="443">
        <f t="shared" ref="X6458" si="1461">P6458/K6458</f>
        <v>6.9514429683921213</v>
      </c>
    </row>
    <row r="6459" spans="1:24" ht="15" customHeight="1">
      <c r="A6459" s="3">
        <v>44783</v>
      </c>
      <c r="B6459" s="4">
        <v>33700</v>
      </c>
      <c r="C6459" s="4">
        <v>0</v>
      </c>
      <c r="D6459" s="4">
        <v>2500</v>
      </c>
      <c r="E6459" s="4">
        <v>38800</v>
      </c>
      <c r="F6459" s="4">
        <v>0</v>
      </c>
      <c r="G6459" s="4">
        <v>0</v>
      </c>
      <c r="H6459" s="4">
        <v>4100</v>
      </c>
      <c r="I6459" s="118">
        <f t="shared" ref="I6459" si="1462">H6459/E6459</f>
        <v>0.1056701030927835</v>
      </c>
      <c r="J6459" s="4">
        <v>88259</v>
      </c>
      <c r="K6459" s="22">
        <v>2175</v>
      </c>
      <c r="L6459" s="6">
        <v>2159.5</v>
      </c>
      <c r="M6459" s="125">
        <f t="shared" ref="M6459" si="1463">L6459-K6459</f>
        <v>-15.5</v>
      </c>
      <c r="P6459" s="247">
        <v>15050</v>
      </c>
      <c r="Q6459" s="25">
        <f>193.55/1309.1</f>
        <v>0.14784966771064093</v>
      </c>
      <c r="W6459" s="285">
        <f t="shared" ref="W6459" si="1464">(P6459*Q6459)*(1+U6459)</f>
        <v>2225.1374990451459</v>
      </c>
      <c r="X6459" s="443">
        <f t="shared" ref="X6459" si="1465">P6459/K6459</f>
        <v>6.9195402298850572</v>
      </c>
    </row>
    <row r="6460" spans="1:24" ht="15" customHeight="1">
      <c r="A6460" s="3">
        <v>44784</v>
      </c>
      <c r="B6460" s="4">
        <v>34200</v>
      </c>
      <c r="C6460" s="4">
        <v>0</v>
      </c>
      <c r="D6460" s="4">
        <v>2500</v>
      </c>
      <c r="E6460" s="4">
        <v>39300</v>
      </c>
      <c r="F6460" s="4">
        <v>500</v>
      </c>
      <c r="G6460" s="4">
        <v>0</v>
      </c>
      <c r="H6460" s="4">
        <v>4100</v>
      </c>
      <c r="I6460" s="118">
        <f t="shared" ref="I6460" si="1466">H6460/E6460</f>
        <v>0.10432569974554708</v>
      </c>
      <c r="J6460" s="4">
        <v>88619</v>
      </c>
      <c r="K6460" s="22">
        <v>2185.5</v>
      </c>
      <c r="L6460" s="6">
        <v>2178.5</v>
      </c>
      <c r="M6460" s="125">
        <f t="shared" ref="M6460" si="1467">L6460-K6460</f>
        <v>-7</v>
      </c>
      <c r="P6460" s="247">
        <v>15025</v>
      </c>
      <c r="Q6460" s="25">
        <f>193.28/1302.5</f>
        <v>0.14839155470249521</v>
      </c>
      <c r="W6460" s="285">
        <f t="shared" ref="W6460" si="1468">(P6460*Q6460)*(1+U6460)</f>
        <v>2229.5831094049904</v>
      </c>
      <c r="X6460" s="443">
        <f t="shared" ref="X6460" si="1469">P6460/K6460</f>
        <v>6.8748570121253714</v>
      </c>
    </row>
    <row r="6461" spans="1:24" ht="15" customHeight="1">
      <c r="A6461" s="3">
        <v>44785</v>
      </c>
      <c r="B6461" s="4">
        <v>34200</v>
      </c>
      <c r="C6461" s="4">
        <v>0</v>
      </c>
      <c r="D6461" s="4">
        <v>2500</v>
      </c>
      <c r="E6461" s="4">
        <v>39000</v>
      </c>
      <c r="F6461" s="4">
        <v>0</v>
      </c>
      <c r="G6461" s="4">
        <v>300</v>
      </c>
      <c r="H6461" s="4">
        <v>3800</v>
      </c>
      <c r="I6461" s="118">
        <f t="shared" ref="I6461" si="1470">H6461/E6461</f>
        <v>9.7435897435897437E-2</v>
      </c>
      <c r="J6461" s="4">
        <v>90348</v>
      </c>
      <c r="K6461" s="22">
        <v>2176</v>
      </c>
      <c r="L6461" s="6">
        <v>2169</v>
      </c>
      <c r="M6461" s="125">
        <f t="shared" ref="M6461" si="1471">L6461-K6461</f>
        <v>-7</v>
      </c>
      <c r="P6461" s="247">
        <v>15175</v>
      </c>
      <c r="Q6461" s="25">
        <f>193.28/1302.5</f>
        <v>0.14839155470249521</v>
      </c>
      <c r="W6461" s="285">
        <f t="shared" ref="W6461" si="1472">(P6461*Q6461)*(1+U6461)</f>
        <v>2251.8418426103649</v>
      </c>
      <c r="X6461" s="443">
        <f t="shared" ref="X6461" si="1473">P6461/K6461</f>
        <v>6.9738051470588234</v>
      </c>
    </row>
    <row r="6462" spans="1:24" ht="15" customHeight="1">
      <c r="A6462" s="3">
        <v>44788</v>
      </c>
      <c r="B6462" s="4">
        <v>34175</v>
      </c>
      <c r="C6462" s="4">
        <v>0</v>
      </c>
      <c r="D6462" s="4">
        <v>2500</v>
      </c>
      <c r="E6462" s="4">
        <v>38975</v>
      </c>
      <c r="F6462" s="4">
        <v>0</v>
      </c>
      <c r="G6462" s="4">
        <v>25</v>
      </c>
      <c r="H6462" s="4">
        <v>5725</v>
      </c>
      <c r="I6462" s="118">
        <f t="shared" ref="I6462" si="1474">H6462/E6462</f>
        <v>0.1468890314304041</v>
      </c>
      <c r="J6462" s="4">
        <v>90915</v>
      </c>
      <c r="K6462" s="22">
        <v>2175</v>
      </c>
      <c r="L6462" s="6">
        <v>2164</v>
      </c>
      <c r="M6462" s="125">
        <f t="shared" ref="M6462" si="1475">L6462-K6462</f>
        <v>-11</v>
      </c>
      <c r="P6462" s="247">
        <v>15000</v>
      </c>
      <c r="Q6462" s="25">
        <f>193.31/1303.1</f>
        <v>0.14834625124702633</v>
      </c>
      <c r="W6462" s="285">
        <f t="shared" ref="W6462" si="1476">(P6462*Q6462)*(1+U6462)</f>
        <v>2225.1937687053951</v>
      </c>
      <c r="X6462" s="443">
        <f t="shared" ref="X6462" si="1477">P6462/K6462</f>
        <v>6.8965517241379306</v>
      </c>
    </row>
    <row r="6463" spans="1:24" ht="15" customHeight="1">
      <c r="A6463" s="3">
        <v>44789</v>
      </c>
      <c r="B6463" s="4">
        <v>34250</v>
      </c>
      <c r="C6463" s="4">
        <v>0</v>
      </c>
      <c r="D6463" s="4">
        <v>2500</v>
      </c>
      <c r="E6463" s="4">
        <v>39050</v>
      </c>
      <c r="F6463" s="4">
        <v>600</v>
      </c>
      <c r="G6463" s="4">
        <v>525</v>
      </c>
      <c r="H6463" s="4">
        <v>3250</v>
      </c>
      <c r="I6463" s="118">
        <f t="shared" ref="I6463" si="1478">H6463/E6463</f>
        <v>8.3226632522407168E-2</v>
      </c>
      <c r="J6463" s="4">
        <v>90386</v>
      </c>
      <c r="K6463" s="22">
        <v>2192</v>
      </c>
      <c r="L6463" s="6">
        <v>2194</v>
      </c>
      <c r="M6463" s="125">
        <f t="shared" ref="M6463" si="1479">L6463-K6463</f>
        <v>2</v>
      </c>
      <c r="P6463" s="247">
        <v>14975</v>
      </c>
      <c r="Q6463" s="25">
        <f>192.58/1309.6</f>
        <v>0.14705253512522909</v>
      </c>
      <c r="W6463" s="285">
        <f t="shared" ref="W6463" si="1480">(P6463*Q6463)*(1+U6463)</f>
        <v>2202.1117135003055</v>
      </c>
      <c r="X6463" s="443">
        <f t="shared" ref="X6463" si="1481">P6463/K6463</f>
        <v>6.8316605839416056</v>
      </c>
    </row>
    <row r="6464" spans="1:24" ht="15" customHeight="1">
      <c r="A6464" s="3">
        <v>44790</v>
      </c>
      <c r="B6464" s="4">
        <v>34250</v>
      </c>
      <c r="C6464" s="4">
        <v>0</v>
      </c>
      <c r="D6464" s="4">
        <v>2500</v>
      </c>
      <c r="E6464" s="4">
        <v>39050</v>
      </c>
      <c r="F6464" s="4">
        <v>0</v>
      </c>
      <c r="G6464" s="4">
        <v>0</v>
      </c>
      <c r="H6464" s="4">
        <v>3250</v>
      </c>
      <c r="I6464" s="118">
        <f t="shared" ref="I6464" si="1482">H6464/E6464</f>
        <v>8.3226632522407168E-2</v>
      </c>
      <c r="J6464" s="4">
        <v>86820</v>
      </c>
      <c r="K6464" s="22">
        <v>2141</v>
      </c>
      <c r="L6464" s="6">
        <v>2154</v>
      </c>
      <c r="M6464" s="125">
        <f t="shared" ref="M6464" si="1483">L6464-K6464</f>
        <v>13</v>
      </c>
      <c r="P6464" s="247">
        <v>15050</v>
      </c>
      <c r="Q6464" s="25">
        <f>192.92/1309.8</f>
        <v>0.14728966254389983</v>
      </c>
      <c r="W6464" s="285">
        <f t="shared" ref="W6464" si="1484">(P6464*Q6464)*(1+U6464)</f>
        <v>2216.7094212856923</v>
      </c>
      <c r="X6464" s="443">
        <f t="shared" ref="X6464" si="1485">P6464/K6464</f>
        <v>7.0294255021018213</v>
      </c>
    </row>
    <row r="6465" spans="1:24" ht="15" customHeight="1">
      <c r="A6465" s="3">
        <v>44791</v>
      </c>
      <c r="B6465" s="4">
        <v>34100</v>
      </c>
      <c r="C6465" s="4">
        <v>0</v>
      </c>
      <c r="D6465" s="4">
        <v>2500</v>
      </c>
      <c r="E6465" s="4">
        <v>38900</v>
      </c>
      <c r="F6465" s="4">
        <v>0</v>
      </c>
      <c r="G6465" s="4">
        <v>150</v>
      </c>
      <c r="H6465" s="4">
        <v>4075</v>
      </c>
      <c r="I6465" s="118">
        <f t="shared" ref="I6465" si="1486">H6465/E6465</f>
        <v>0.10475578406169665</v>
      </c>
      <c r="J6465" s="4">
        <v>85520</v>
      </c>
      <c r="K6465" s="22">
        <v>2126</v>
      </c>
      <c r="L6465" s="6">
        <v>2137</v>
      </c>
      <c r="M6465" s="125">
        <f t="shared" ref="M6465" si="1487">L6465-K6465</f>
        <v>11</v>
      </c>
      <c r="N6465" s="449"/>
      <c r="O6465" s="245"/>
      <c r="P6465" s="247">
        <v>15000</v>
      </c>
      <c r="Q6465" s="25">
        <f>193.81/1317.3</f>
        <v>0.14712669855006452</v>
      </c>
      <c r="W6465" s="285">
        <f t="shared" ref="W6465" si="1488">(P6465*Q6465)*(1+U6465)</f>
        <v>2206.9004782509678</v>
      </c>
      <c r="X6465" s="443">
        <f t="shared" ref="X6465" si="1489">P6465/K6465</f>
        <v>7.0555032925682033</v>
      </c>
    </row>
    <row r="6466" spans="1:24" ht="15" customHeight="1">
      <c r="A6466" s="3">
        <v>44792</v>
      </c>
      <c r="B6466" s="4">
        <v>33950</v>
      </c>
      <c r="C6466" s="4">
        <v>0</v>
      </c>
      <c r="D6466" s="4">
        <v>2500</v>
      </c>
      <c r="E6466" s="4">
        <v>38450</v>
      </c>
      <c r="F6466" s="4">
        <v>0</v>
      </c>
      <c r="G6466" s="4">
        <v>450</v>
      </c>
      <c r="H6466" s="4">
        <v>3625</v>
      </c>
      <c r="I6466" s="118">
        <f t="shared" ref="I6466" si="1490">H6466/E6466</f>
        <v>9.4278283485045508E-2</v>
      </c>
      <c r="J6466" s="4">
        <v>84630</v>
      </c>
      <c r="K6466" s="22">
        <v>2070</v>
      </c>
      <c r="L6466" s="6">
        <v>2069</v>
      </c>
      <c r="M6466" s="125">
        <f t="shared" ref="M6466" si="1491">L6466-K6466</f>
        <v>-1</v>
      </c>
      <c r="N6466" s="449"/>
      <c r="O6466" s="245"/>
      <c r="P6466" s="247">
        <v>14925</v>
      </c>
      <c r="Q6466" s="25">
        <f>194.51/1326.7</f>
        <v>0.14661189417351322</v>
      </c>
      <c r="W6466" s="285">
        <f t="shared" ref="W6466" si="1492">(P6466*Q6466)*(1+U6466)</f>
        <v>2188.1825205396849</v>
      </c>
      <c r="X6466" s="443">
        <f t="shared" ref="X6466" si="1493">P6466/K6466</f>
        <v>7.2101449275362315</v>
      </c>
    </row>
    <row r="6467" spans="1:24" ht="15" customHeight="1">
      <c r="A6467" s="3">
        <v>44795</v>
      </c>
      <c r="B6467" s="4">
        <v>33700</v>
      </c>
      <c r="C6467" s="4">
        <v>0</v>
      </c>
      <c r="D6467" s="4">
        <v>2500</v>
      </c>
      <c r="E6467" s="4">
        <v>38200</v>
      </c>
      <c r="F6467" s="4">
        <v>0</v>
      </c>
      <c r="G6467" s="4">
        <v>250</v>
      </c>
      <c r="H6467" s="4">
        <v>3375</v>
      </c>
      <c r="I6467" s="118">
        <f t="shared" ref="I6467" si="1494">H6467/E6467</f>
        <v>8.8350785340314139E-2</v>
      </c>
      <c r="J6467" s="4">
        <v>83071</v>
      </c>
      <c r="K6467" s="22">
        <v>2032</v>
      </c>
      <c r="L6467" s="6">
        <v>2026</v>
      </c>
      <c r="M6467" s="125">
        <f t="shared" ref="M6467" si="1495">L6467-K6467</f>
        <v>-6</v>
      </c>
      <c r="N6467" s="449"/>
      <c r="O6467" s="245"/>
      <c r="P6467" s="247">
        <v>14975</v>
      </c>
      <c r="Q6467" s="25">
        <f>195.57/1338.2</f>
        <v>0.14614407412942759</v>
      </c>
      <c r="W6467" s="285">
        <f t="shared" ref="W6467" si="1496">(P6467*Q6467)*(1+U6467)</f>
        <v>2188.5075100881782</v>
      </c>
      <c r="X6467" s="443">
        <f t="shared" ref="X6467" si="1497">P6467/K6467</f>
        <v>7.3695866141732287</v>
      </c>
    </row>
    <row r="6468" spans="1:24" ht="15" customHeight="1">
      <c r="A6468" s="3">
        <v>44796</v>
      </c>
      <c r="B6468" s="4">
        <v>33700</v>
      </c>
      <c r="C6468" s="4">
        <v>0</v>
      </c>
      <c r="D6468" s="4">
        <v>2450</v>
      </c>
      <c r="E6468" s="4">
        <v>38150</v>
      </c>
      <c r="F6468" s="4">
        <v>0</v>
      </c>
      <c r="G6468" s="4">
        <v>50</v>
      </c>
      <c r="H6468" s="4">
        <v>3325</v>
      </c>
      <c r="I6468" s="118">
        <f t="shared" ref="I6468" si="1498">H6468/E6468</f>
        <v>8.7155963302752298E-2</v>
      </c>
      <c r="J6468" s="4">
        <v>83703</v>
      </c>
      <c r="K6468" s="22">
        <v>2005</v>
      </c>
      <c r="L6468" s="6">
        <v>2005</v>
      </c>
      <c r="M6468" s="125">
        <f t="shared" ref="M6468" si="1499">L6468-K6468</f>
        <v>0</v>
      </c>
      <c r="N6468" s="449"/>
      <c r="O6468" s="245"/>
      <c r="P6468" s="247">
        <v>15000</v>
      </c>
      <c r="Q6468" s="25">
        <f>195.32/1341.8</f>
        <v>0.14556565807124758</v>
      </c>
      <c r="W6468" s="285">
        <f t="shared" ref="W6468" si="1500">(P6468*Q6468)*(1+U6468)</f>
        <v>2183.4848710687138</v>
      </c>
      <c r="X6468" s="443">
        <f t="shared" ref="X6468" si="1501">P6468/K6468</f>
        <v>7.4812967581047385</v>
      </c>
    </row>
    <row r="6469" spans="1:24" ht="15" customHeight="1">
      <c r="A6469" s="3">
        <v>44797</v>
      </c>
      <c r="B6469" s="4">
        <v>33700</v>
      </c>
      <c r="C6469" s="4">
        <v>0</v>
      </c>
      <c r="D6469" s="4">
        <v>2425</v>
      </c>
      <c r="E6469" s="4">
        <v>38125</v>
      </c>
      <c r="F6469" s="4">
        <v>0</v>
      </c>
      <c r="G6469" s="4">
        <v>25</v>
      </c>
      <c r="H6469" s="4">
        <v>3300</v>
      </c>
      <c r="I6469" s="118">
        <f t="shared" ref="I6469" si="1502">H6469/E6469</f>
        <v>8.6557377049180331E-2</v>
      </c>
      <c r="J6469" s="4">
        <v>83979</v>
      </c>
      <c r="K6469" s="22">
        <v>1958</v>
      </c>
      <c r="L6469" s="6">
        <v>1960</v>
      </c>
      <c r="M6469" s="125">
        <f t="shared" ref="M6469" si="1503">L6469-K6469</f>
        <v>2</v>
      </c>
      <c r="N6469" s="449"/>
      <c r="O6469" s="245"/>
      <c r="P6469" s="247">
        <v>15000</v>
      </c>
      <c r="Q6469" s="25">
        <f>195.27/1341.4</f>
        <v>0.14557179066646786</v>
      </c>
      <c r="W6469" s="285">
        <f t="shared" ref="W6469" si="1504">(P6469*Q6469)*(1+U6469)</f>
        <v>2183.5768599970179</v>
      </c>
      <c r="X6469" s="443">
        <f t="shared" ref="X6469" si="1505">P6469/K6469</f>
        <v>7.6608784473953015</v>
      </c>
    </row>
    <row r="6470" spans="1:24" ht="15" customHeight="1">
      <c r="A6470" s="3">
        <v>44798</v>
      </c>
      <c r="B6470" s="4">
        <v>33700</v>
      </c>
      <c r="C6470" s="4">
        <v>0</v>
      </c>
      <c r="D6470" s="4">
        <v>2400</v>
      </c>
      <c r="E6470" s="4">
        <v>38100</v>
      </c>
      <c r="F6470" s="4">
        <v>0</v>
      </c>
      <c r="G6470" s="4">
        <v>25</v>
      </c>
      <c r="H6470" s="4">
        <v>3275</v>
      </c>
      <c r="I6470" s="118">
        <f t="shared" ref="I6470" si="1506">H6470/E6470</f>
        <v>8.5958005249343827E-2</v>
      </c>
      <c r="J6470" s="4">
        <v>84897</v>
      </c>
      <c r="K6470" s="22">
        <v>1997</v>
      </c>
      <c r="L6470" s="6">
        <v>1999</v>
      </c>
      <c r="M6470" s="125">
        <f t="shared" ref="M6470" si="1507">L6470-K6470</f>
        <v>2</v>
      </c>
      <c r="P6470" s="247">
        <v>15075</v>
      </c>
      <c r="Q6470" s="25">
        <f>194.73/1336.9</f>
        <v>0.14565786521056173</v>
      </c>
      <c r="W6470" s="285">
        <f>(P6470*Q6470)*(1+U6470)</f>
        <v>2195.792318049218</v>
      </c>
      <c r="X6470" s="443">
        <f t="shared" ref="X6470" si="1508">P6470/K6470</f>
        <v>7.5488232348522786</v>
      </c>
    </row>
    <row r="6471" spans="1:24" ht="15" customHeight="1">
      <c r="A6471" s="3">
        <v>44799</v>
      </c>
      <c r="B6471" s="4">
        <v>33600</v>
      </c>
      <c r="C6471" s="4">
        <v>0</v>
      </c>
      <c r="D6471" s="4">
        <v>2375</v>
      </c>
      <c r="E6471" s="4">
        <v>37975</v>
      </c>
      <c r="F6471" s="4">
        <v>0</v>
      </c>
      <c r="G6471" s="4">
        <v>125</v>
      </c>
      <c r="H6471" s="4">
        <v>6450</v>
      </c>
      <c r="I6471" s="118">
        <f t="shared" ref="I6471" si="1509">H6471/E6471</f>
        <v>0.16984858459512836</v>
      </c>
      <c r="J6471" s="4">
        <v>85337</v>
      </c>
      <c r="K6471" s="22">
        <v>1997.5</v>
      </c>
      <c r="L6471" s="6">
        <v>1997</v>
      </c>
      <c r="M6471" s="125">
        <f t="shared" ref="M6471" si="1510">L6471-K6471</f>
        <v>-0.5</v>
      </c>
      <c r="P6471" s="247">
        <v>15000</v>
      </c>
      <c r="Q6471" s="25">
        <f>194.2/1332.5</f>
        <v>0.14574108818011255</v>
      </c>
      <c r="W6471" s="285">
        <f>(P6471*Q6471)*(1+U6471)</f>
        <v>2186.1163227016882</v>
      </c>
      <c r="X6471" s="443">
        <f t="shared" ref="X6471" si="1511">P6471/K6471</f>
        <v>7.509386733416771</v>
      </c>
    </row>
    <row r="6472" spans="1:24" ht="15" customHeight="1">
      <c r="A6472" s="3">
        <v>44802</v>
      </c>
      <c r="B6472" s="1318" t="s">
        <v>61</v>
      </c>
      <c r="C6472" s="1318"/>
      <c r="D6472" s="1318"/>
      <c r="E6472" s="1318"/>
      <c r="F6472" s="1318"/>
      <c r="G6472" s="1318"/>
      <c r="H6472" s="1318"/>
      <c r="I6472" s="1318"/>
      <c r="J6472" s="1318"/>
      <c r="K6472" s="1318"/>
      <c r="L6472" s="1318"/>
      <c r="M6472" s="1318"/>
      <c r="P6472" s="247">
        <v>14900</v>
      </c>
      <c r="Q6472" s="25">
        <f>194.85/1347.7</f>
        <v>0.14457965422571789</v>
      </c>
      <c r="W6472" s="285">
        <f>(P6472*Q6472)*(1+U6472)</f>
        <v>2154.2368479631964</v>
      </c>
    </row>
    <row r="6473" spans="1:24" ht="15" customHeight="1">
      <c r="A6473" s="3">
        <v>44803</v>
      </c>
      <c r="B6473" s="4">
        <v>33200</v>
      </c>
      <c r="C6473" s="4">
        <v>0</v>
      </c>
      <c r="D6473" s="4">
        <v>2325</v>
      </c>
      <c r="E6473" s="4">
        <v>37525</v>
      </c>
      <c r="F6473" s="4">
        <v>0</v>
      </c>
      <c r="G6473" s="4">
        <v>450</v>
      </c>
      <c r="H6473" s="4">
        <v>6075</v>
      </c>
      <c r="I6473" s="118">
        <f t="shared" ref="I6473" si="1512">H6473/E6473</f>
        <v>0.16189207195203198</v>
      </c>
      <c r="J6473" s="4">
        <v>85766</v>
      </c>
      <c r="K6473" s="22">
        <v>1979</v>
      </c>
      <c r="L6473" s="6">
        <v>1980</v>
      </c>
      <c r="M6473" s="125">
        <f t="shared" ref="M6473" si="1513">L6473-K6473</f>
        <v>1</v>
      </c>
      <c r="P6473" s="247">
        <v>14825</v>
      </c>
      <c r="Q6473" s="25">
        <f>193.75/1318.44</f>
        <v>0.14695397591092502</v>
      </c>
      <c r="W6473" s="285">
        <f>(P6473*Q6473)*(1+U6473)</f>
        <v>2178.5926928794634</v>
      </c>
      <c r="X6473" s="443">
        <f t="shared" ref="X6473" si="1514">P6473/K6473</f>
        <v>7.4911571500757956</v>
      </c>
    </row>
    <row r="6474" spans="1:24" ht="15" customHeight="1">
      <c r="A6474" s="3">
        <v>44804</v>
      </c>
      <c r="B6474" s="4">
        <v>33200</v>
      </c>
      <c r="C6474" s="4">
        <v>0</v>
      </c>
      <c r="D6474" s="4">
        <v>2325</v>
      </c>
      <c r="E6474" s="4">
        <v>37525</v>
      </c>
      <c r="F6474" s="4">
        <v>0</v>
      </c>
      <c r="G6474" s="4">
        <v>0</v>
      </c>
      <c r="H6474" s="4">
        <v>6075</v>
      </c>
      <c r="I6474" s="118">
        <f t="shared" ref="I6474:I6476" si="1515">H6474/E6474</f>
        <v>0.16189207195203198</v>
      </c>
      <c r="J6474" s="4">
        <v>86794</v>
      </c>
      <c r="K6474" s="22">
        <v>1950</v>
      </c>
      <c r="L6474" s="6">
        <v>1950</v>
      </c>
      <c r="M6474" s="125">
        <f t="shared" ref="M6474:M6476" si="1516">L6474-K6474</f>
        <v>0</v>
      </c>
      <c r="N6474" s="448">
        <f>AVERAGE($K$6452:K6474)</f>
        <v>2077.909090909091</v>
      </c>
      <c r="O6474" s="395">
        <f>AVERAGE($K$6296:K6474)</f>
        <v>2206.4427710843374</v>
      </c>
      <c r="P6474" s="247">
        <v>14825</v>
      </c>
      <c r="Q6474" s="25">
        <f>194.61/1345.1</f>
        <v>0.14468069288528737</v>
      </c>
      <c r="W6474" s="285">
        <f>(P6474*Q6474)*(1+U6474)</f>
        <v>2144.8912720243852</v>
      </c>
      <c r="X6474" s="443">
        <f t="shared" ref="X6474" si="1517">P6474/K6474</f>
        <v>7.6025641025641022</v>
      </c>
    </row>
    <row r="6475" spans="1:24" ht="15" customHeight="1" thickBot="1">
      <c r="A6475" s="394"/>
      <c r="B6475" s="394"/>
      <c r="C6475" s="394"/>
      <c r="D6475" s="394"/>
      <c r="E6475" s="216"/>
      <c r="F6475" s="407"/>
      <c r="G6475" s="164"/>
      <c r="H6475" s="164"/>
      <c r="I6475" s="166"/>
      <c r="J6475" s="166"/>
      <c r="K6475" s="166"/>
      <c r="L6475" s="167"/>
      <c r="M6475" s="167"/>
      <c r="N6475" s="167"/>
      <c r="O6475" s="180"/>
      <c r="P6475" s="180"/>
      <c r="Q6475" s="180"/>
      <c r="R6475" s="248"/>
      <c r="S6475" s="249"/>
      <c r="T6475" s="249"/>
      <c r="U6475" s="152"/>
      <c r="V6475" s="153">
        <f>AVERAGE(P6452:P6474)</f>
        <v>15014.782608695652</v>
      </c>
      <c r="W6475" s="152"/>
      <c r="X6475" s="447">
        <f>V6475/N6474</f>
        <v>7.2259092923678594</v>
      </c>
    </row>
    <row r="6476" spans="1:24" ht="15" customHeight="1">
      <c r="A6476" s="3">
        <v>44805</v>
      </c>
      <c r="B6476" s="4">
        <v>33200</v>
      </c>
      <c r="C6476" s="4">
        <v>0</v>
      </c>
      <c r="D6476" s="4">
        <v>2300</v>
      </c>
      <c r="E6476" s="4">
        <v>37500</v>
      </c>
      <c r="F6476" s="4">
        <v>0</v>
      </c>
      <c r="G6476" s="4">
        <v>25</v>
      </c>
      <c r="H6476" s="4">
        <v>6450</v>
      </c>
      <c r="I6476" s="118">
        <f t="shared" si="1515"/>
        <v>0.17199999999999999</v>
      </c>
      <c r="J6476" s="4">
        <v>86569</v>
      </c>
      <c r="K6476" s="22">
        <v>1915</v>
      </c>
      <c r="L6476" s="6">
        <v>1917</v>
      </c>
      <c r="M6476" s="125">
        <f t="shared" si="1516"/>
        <v>2</v>
      </c>
      <c r="N6476" s="450"/>
      <c r="O6476" s="451"/>
      <c r="P6476" s="247">
        <v>14775</v>
      </c>
      <c r="Q6476" s="25">
        <f>195.37/1351.4</f>
        <v>0.14456859553056089</v>
      </c>
      <c r="W6476" s="285">
        <f>(P6476*Q6476)*(1+U6476)</f>
        <v>2136.0009989640371</v>
      </c>
      <c r="X6476" s="443">
        <f t="shared" ref="X6476" si="1518">P6476/K6476</f>
        <v>7.7154046997389036</v>
      </c>
    </row>
    <row r="6477" spans="1:24" ht="15" customHeight="1">
      <c r="A6477" s="3">
        <v>44806</v>
      </c>
      <c r="B6477" s="4">
        <v>33200</v>
      </c>
      <c r="C6477" s="4">
        <v>0</v>
      </c>
      <c r="D6477" s="4">
        <v>2275</v>
      </c>
      <c r="E6477" s="4">
        <v>37475</v>
      </c>
      <c r="F6477" s="4">
        <v>0</v>
      </c>
      <c r="G6477" s="4">
        <v>25</v>
      </c>
      <c r="H6477" s="9">
        <v>6425</v>
      </c>
      <c r="I6477" s="118">
        <f t="shared" ref="I6477" si="1519">H6477/E6477</f>
        <v>0.171447631754503</v>
      </c>
      <c r="J6477" s="4">
        <v>88748</v>
      </c>
      <c r="K6477" s="22">
        <v>1890</v>
      </c>
      <c r="L6477" s="6">
        <v>1886</v>
      </c>
      <c r="M6477" s="125">
        <f t="shared" ref="M6477" si="1520">L6477-K6477</f>
        <v>-4</v>
      </c>
      <c r="N6477" s="449"/>
      <c r="O6477" s="245"/>
      <c r="P6477" s="247">
        <v>14800</v>
      </c>
      <c r="Q6477" s="25">
        <f>196.35/1356.5</f>
        <v>0.14474751197935865</v>
      </c>
      <c r="W6477" s="285">
        <f>(P6477*Q6477)*(1+U6477)</f>
        <v>2142.2631772945078</v>
      </c>
      <c r="X6477" s="443">
        <f t="shared" ref="X6477" si="1521">P6477/K6477</f>
        <v>7.8306878306878307</v>
      </c>
    </row>
    <row r="6478" spans="1:24" ht="15" customHeight="1">
      <c r="A6478" s="3">
        <v>44809</v>
      </c>
      <c r="B6478" s="4">
        <v>33200</v>
      </c>
      <c r="C6478" s="4">
        <v>0</v>
      </c>
      <c r="D6478" s="4">
        <v>2250</v>
      </c>
      <c r="E6478" s="4">
        <v>37450</v>
      </c>
      <c r="F6478" s="4">
        <v>0</v>
      </c>
      <c r="G6478" s="4">
        <v>25</v>
      </c>
      <c r="H6478" s="9">
        <v>6400</v>
      </c>
      <c r="I6478" s="118">
        <f t="shared" ref="I6478" si="1522">H6478/E6478</f>
        <v>0.17089452603471295</v>
      </c>
      <c r="J6478" s="4">
        <v>89348</v>
      </c>
      <c r="K6478" s="22">
        <v>1882</v>
      </c>
      <c r="L6478" s="6">
        <v>1886</v>
      </c>
      <c r="M6478" s="125">
        <f t="shared" ref="M6478" si="1523">L6478-K6478</f>
        <v>4</v>
      </c>
      <c r="N6478" s="449"/>
      <c r="O6478" s="245"/>
      <c r="P6478" s="247">
        <v>14800</v>
      </c>
      <c r="Q6478" s="25">
        <f>197.45/1369.7</f>
        <v>0.1441556545228882</v>
      </c>
      <c r="W6478" s="285">
        <f>(P6478*Q6478)*(1+U6478)</f>
        <v>2133.5036869387454</v>
      </c>
      <c r="X6478" s="443">
        <f t="shared" ref="X6478" si="1524">P6478/K6478</f>
        <v>7.8639744952178532</v>
      </c>
    </row>
    <row r="6479" spans="1:24" ht="15" customHeight="1">
      <c r="A6479" s="3">
        <v>44810</v>
      </c>
      <c r="B6479" s="4">
        <v>33200</v>
      </c>
      <c r="C6479" s="4">
        <v>0</v>
      </c>
      <c r="D6479" s="4">
        <v>2225</v>
      </c>
      <c r="E6479" s="4">
        <v>37425</v>
      </c>
      <c r="F6479" s="4">
        <v>0</v>
      </c>
      <c r="G6479" s="4">
        <v>25</v>
      </c>
      <c r="H6479" s="9">
        <v>6375</v>
      </c>
      <c r="I6479" s="118">
        <f t="shared" ref="I6479" si="1525">H6479/E6479</f>
        <v>0.17034068136272545</v>
      </c>
      <c r="J6479" s="4">
        <v>89852</v>
      </c>
      <c r="K6479" s="22">
        <v>1895</v>
      </c>
      <c r="L6479" s="6">
        <v>1897</v>
      </c>
      <c r="M6479" s="125">
        <f t="shared" ref="M6479" si="1526">L6479-K6479</f>
        <v>2</v>
      </c>
      <c r="N6479" s="449"/>
      <c r="O6479" s="245"/>
      <c r="P6479" s="247">
        <v>14900</v>
      </c>
      <c r="Q6479" s="25">
        <f>197.52/1370.3</f>
        <v>0.14414361818579874</v>
      </c>
      <c r="W6479" s="285">
        <f>(P6479*Q6479)*(1+U6479)</f>
        <v>2147.7399109684011</v>
      </c>
      <c r="X6479" s="443">
        <f t="shared" ref="X6479" si="1527">P6479/K6479</f>
        <v>7.8627968337730874</v>
      </c>
    </row>
    <row r="6480" spans="1:24" ht="15" customHeight="1">
      <c r="A6480" s="3">
        <v>44811</v>
      </c>
      <c r="B6480" s="4">
        <v>33200</v>
      </c>
      <c r="C6480" s="4">
        <v>0</v>
      </c>
      <c r="D6480" s="4">
        <v>2225</v>
      </c>
      <c r="E6480" s="4">
        <v>37425</v>
      </c>
      <c r="F6480" s="4">
        <v>0</v>
      </c>
      <c r="G6480" s="4">
        <v>0</v>
      </c>
      <c r="H6480" s="9">
        <v>6375</v>
      </c>
      <c r="I6480" s="118">
        <f t="shared" ref="I6480:I6484" si="1528">H6480/E6480</f>
        <v>0.17034068136272545</v>
      </c>
      <c r="J6480" s="4">
        <v>90637</v>
      </c>
      <c r="K6480" s="22">
        <v>1895</v>
      </c>
      <c r="L6480" s="6">
        <v>1891</v>
      </c>
      <c r="M6480" s="125">
        <f t="shared" ref="M6480:M6484" si="1529">L6480-K6480</f>
        <v>-4</v>
      </c>
      <c r="P6480" s="247">
        <v>14925</v>
      </c>
      <c r="Q6480" s="25">
        <f>198.52/1385.3</f>
        <v>0.14330469934310258</v>
      </c>
      <c r="W6480" s="285">
        <f>(P6480*Q6480)*(1+U6480)</f>
        <v>2138.822637695806</v>
      </c>
      <c r="X6480" s="443">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18">
        <f t="shared" si="1528"/>
        <v>0.15930388219544847</v>
      </c>
      <c r="J6481" s="4">
        <v>93011</v>
      </c>
      <c r="K6481" s="22">
        <v>1888</v>
      </c>
      <c r="L6481" s="6">
        <v>1894</v>
      </c>
      <c r="M6481" s="125">
        <f t="shared" si="1529"/>
        <v>6</v>
      </c>
      <c r="Q6481" s="25">
        <f>198.52/1385.3</f>
        <v>0.14330469934310258</v>
      </c>
      <c r="W6481" s="285">
        <f t="shared" ref="W6481:W6484" si="1531">(P6481*Q6481)*(1+U6481)</f>
        <v>0</v>
      </c>
      <c r="X6481" s="443">
        <f t="shared" si="1530"/>
        <v>0</v>
      </c>
    </row>
    <row r="6482" spans="1:24" ht="15" customHeight="1">
      <c r="A6482" s="3">
        <v>44813</v>
      </c>
      <c r="B6482" s="4">
        <v>32875</v>
      </c>
      <c r="C6482" s="4">
        <v>0</v>
      </c>
      <c r="D6482" s="4">
        <v>2225</v>
      </c>
      <c r="E6482" s="4">
        <v>36750</v>
      </c>
      <c r="F6482" s="4">
        <v>0</v>
      </c>
      <c r="G6482" s="4">
        <v>600</v>
      </c>
      <c r="H6482" s="4">
        <v>5350</v>
      </c>
      <c r="I6482" s="118">
        <f t="shared" si="1528"/>
        <v>0.14557823129251701</v>
      </c>
      <c r="J6482" s="4">
        <v>93039</v>
      </c>
      <c r="K6482" s="22">
        <v>1918</v>
      </c>
      <c r="L6482" s="6">
        <v>1924.5</v>
      </c>
      <c r="M6482" s="125">
        <f t="shared" si="1529"/>
        <v>6.5</v>
      </c>
      <c r="Q6482" s="25">
        <f>198.52/1385.3</f>
        <v>0.14330469934310258</v>
      </c>
      <c r="W6482" s="285">
        <f t="shared" si="1531"/>
        <v>0</v>
      </c>
      <c r="X6482" s="443">
        <f t="shared" si="1530"/>
        <v>0</v>
      </c>
    </row>
    <row r="6483" spans="1:24" ht="15" customHeight="1">
      <c r="A6483" s="3">
        <v>44816</v>
      </c>
      <c r="B6483" s="4">
        <v>32875</v>
      </c>
      <c r="C6483" s="4">
        <v>0</v>
      </c>
      <c r="D6483" s="4">
        <v>2225</v>
      </c>
      <c r="E6483" s="4">
        <v>36750</v>
      </c>
      <c r="F6483" s="4">
        <v>0</v>
      </c>
      <c r="G6483" s="4">
        <v>0</v>
      </c>
      <c r="H6483" s="4">
        <v>5350</v>
      </c>
      <c r="I6483" s="118">
        <f t="shared" si="1528"/>
        <v>0.14557823129251701</v>
      </c>
      <c r="J6483" s="4">
        <v>92895</v>
      </c>
      <c r="K6483" s="22">
        <v>1929</v>
      </c>
      <c r="L6483" s="6">
        <v>1934</v>
      </c>
      <c r="M6483" s="125">
        <f t="shared" si="1529"/>
        <v>5</v>
      </c>
      <c r="P6483" s="247">
        <v>14875</v>
      </c>
      <c r="Q6483" s="25">
        <f>198.27/1381.2</f>
        <v>0.14354908774978281</v>
      </c>
      <c r="W6483" s="285">
        <f t="shared" si="1531"/>
        <v>2135.2926802780194</v>
      </c>
      <c r="X6483" s="443">
        <f t="shared" si="1530"/>
        <v>7.7112493519958525</v>
      </c>
    </row>
    <row r="6484" spans="1:24" ht="15" customHeight="1">
      <c r="A6484" s="3">
        <v>44817</v>
      </c>
      <c r="B6484" s="4">
        <v>32400</v>
      </c>
      <c r="C6484" s="4">
        <v>0</v>
      </c>
      <c r="D6484" s="4">
        <v>2225</v>
      </c>
      <c r="E6484" s="4">
        <v>36275</v>
      </c>
      <c r="F6484" s="4">
        <v>0</v>
      </c>
      <c r="G6484" s="4">
        <v>475</v>
      </c>
      <c r="H6484" s="4">
        <v>4875</v>
      </c>
      <c r="I6484" s="118">
        <f t="shared" si="1528"/>
        <v>0.13439007580978635</v>
      </c>
      <c r="J6484" s="4">
        <v>91679</v>
      </c>
      <c r="K6484" s="22">
        <v>1956</v>
      </c>
      <c r="L6484" s="6">
        <v>1965</v>
      </c>
      <c r="M6484" s="125">
        <f t="shared" si="1529"/>
        <v>9</v>
      </c>
      <c r="P6484" s="247">
        <v>15025</v>
      </c>
      <c r="Q6484" s="25">
        <f>198.66/1374.8</f>
        <v>0.14450101832993889</v>
      </c>
      <c r="W6484" s="285">
        <f t="shared" si="1531"/>
        <v>2171.127800407332</v>
      </c>
      <c r="X6484" s="443">
        <f t="shared" si="1530"/>
        <v>7.6814928425357873</v>
      </c>
    </row>
    <row r="6485" spans="1:24" ht="15" customHeight="1">
      <c r="A6485" s="3">
        <v>44818</v>
      </c>
      <c r="B6485" s="4">
        <v>31850</v>
      </c>
      <c r="C6485" s="4">
        <v>0</v>
      </c>
      <c r="D6485" s="4">
        <v>2225</v>
      </c>
      <c r="E6485" s="4">
        <v>35725</v>
      </c>
      <c r="F6485" s="4">
        <v>0</v>
      </c>
      <c r="G6485" s="4">
        <v>550</v>
      </c>
      <c r="H6485" s="4">
        <v>4325</v>
      </c>
      <c r="I6485" s="118">
        <f t="shared" ref="I6485" si="1532">H6485/E6485</f>
        <v>0.12106368089573127</v>
      </c>
      <c r="J6485" s="4">
        <v>92281</v>
      </c>
      <c r="K6485" s="22">
        <v>1930</v>
      </c>
      <c r="L6485" s="6">
        <v>1937</v>
      </c>
      <c r="M6485" s="125">
        <f t="shared" ref="M6485" si="1533">L6485-K6485</f>
        <v>7</v>
      </c>
      <c r="P6485" s="247">
        <v>14900</v>
      </c>
      <c r="Q6485" s="25">
        <f>199.62/1391.7</f>
        <v>0.14343608536322483</v>
      </c>
      <c r="W6485" s="285">
        <f t="shared" ref="W6485" si="1534">(P6485*Q6485)*(1+U6485)</f>
        <v>2137.1976719120498</v>
      </c>
      <c r="X6485" s="443">
        <f t="shared" ref="X6485" si="1535">P6485/K6485</f>
        <v>7.7202072538860103</v>
      </c>
    </row>
    <row r="6486" spans="1:24" ht="15" customHeight="1">
      <c r="A6486" s="3">
        <v>44819</v>
      </c>
      <c r="B6486" s="4">
        <v>31100</v>
      </c>
      <c r="C6486" s="4">
        <v>0</v>
      </c>
      <c r="D6486" s="4">
        <v>2225</v>
      </c>
      <c r="E6486" s="4">
        <v>34975</v>
      </c>
      <c r="F6486" s="4">
        <v>0</v>
      </c>
      <c r="G6486" s="4">
        <v>750</v>
      </c>
      <c r="H6486" s="4">
        <v>3575</v>
      </c>
      <c r="I6486" s="118">
        <f t="shared" ref="I6486" si="1536">H6486/E6486</f>
        <v>0.10221586847748391</v>
      </c>
      <c r="J6486" s="4">
        <v>92044</v>
      </c>
      <c r="K6486" s="22">
        <v>1936</v>
      </c>
      <c r="L6486" s="6">
        <v>1942</v>
      </c>
      <c r="M6486" s="125">
        <f t="shared" ref="M6486" si="1537">L6486-K6486</f>
        <v>6</v>
      </c>
      <c r="N6486" s="449"/>
      <c r="O6486" s="245"/>
      <c r="P6486" s="247">
        <v>14925</v>
      </c>
      <c r="Q6486" s="25">
        <f>199.92/1394.2</f>
        <v>0.14339406111031414</v>
      </c>
      <c r="W6486" s="285">
        <f t="shared" ref="W6486" si="1538">(P6486*Q6486)*(1+U6486)</f>
        <v>2140.1563620714387</v>
      </c>
      <c r="X6486" s="443">
        <f t="shared" ref="X6486" si="1539">P6486/K6486</f>
        <v>7.7091942148760326</v>
      </c>
    </row>
    <row r="6487" spans="1:24" ht="15" customHeight="1">
      <c r="A6487" s="3">
        <v>44820</v>
      </c>
      <c r="B6487" s="4">
        <v>30675</v>
      </c>
      <c r="C6487" s="4">
        <v>0</v>
      </c>
      <c r="D6487" s="4">
        <v>2225</v>
      </c>
      <c r="E6487" s="4">
        <v>34400</v>
      </c>
      <c r="F6487" s="4">
        <v>0</v>
      </c>
      <c r="G6487" s="4">
        <v>575</v>
      </c>
      <c r="H6487" s="4">
        <v>3575</v>
      </c>
      <c r="I6487" s="118">
        <f t="shared" ref="I6487" si="1540">H6487/E6487</f>
        <v>0.10392441860465117</v>
      </c>
      <c r="J6487" s="4">
        <v>93137</v>
      </c>
      <c r="K6487" s="22">
        <v>1882</v>
      </c>
      <c r="L6487" s="6">
        <v>1900</v>
      </c>
      <c r="M6487" s="125">
        <f t="shared" ref="M6487" si="1541">L6487-K6487</f>
        <v>18</v>
      </c>
      <c r="N6487" s="449"/>
      <c r="O6487" s="245"/>
      <c r="P6487" s="247">
        <v>14900</v>
      </c>
      <c r="Q6487" s="25">
        <f>198.85/1394.2</f>
        <v>0.14262659589728877</v>
      </c>
      <c r="W6487" s="285">
        <f t="shared" ref="W6487" si="1542">(P6487*Q6487)*(1+U6487)</f>
        <v>2125.1362788696024</v>
      </c>
      <c r="X6487" s="443">
        <f t="shared" ref="X6487" si="1543">P6487/K6487</f>
        <v>7.9171094580233792</v>
      </c>
    </row>
    <row r="6488" spans="1:24" ht="15" customHeight="1">
      <c r="A6488" s="3">
        <v>44823</v>
      </c>
      <c r="B6488" s="4">
        <v>30425</v>
      </c>
      <c r="C6488" s="4">
        <v>0</v>
      </c>
      <c r="D6488" s="4">
        <v>2225</v>
      </c>
      <c r="E6488" s="4">
        <v>34150</v>
      </c>
      <c r="F6488" s="4">
        <v>0</v>
      </c>
      <c r="G6488" s="4">
        <v>250</v>
      </c>
      <c r="H6488" s="4">
        <v>3575</v>
      </c>
      <c r="I6488" s="118">
        <f t="shared" ref="I6488" si="1544">H6488/E6488</f>
        <v>0.10468521229868229</v>
      </c>
      <c r="J6488" s="4">
        <v>93050</v>
      </c>
      <c r="K6488" s="22">
        <v>1882</v>
      </c>
      <c r="L6488" s="6">
        <v>1895</v>
      </c>
      <c r="M6488" s="125">
        <f t="shared" ref="M6488" si="1545">L6488-K6488</f>
        <v>13</v>
      </c>
      <c r="N6488" s="449"/>
      <c r="O6488" s="245"/>
      <c r="P6488" s="247">
        <v>14800</v>
      </c>
      <c r="Q6488" s="25">
        <f>198.32/1390.1</f>
        <v>0.14266599525214013</v>
      </c>
      <c r="W6488" s="285">
        <f t="shared" ref="W6488" si="1546">(P6488*Q6488)*(1+U6488)</f>
        <v>2111.4567297316739</v>
      </c>
      <c r="X6488" s="443">
        <f t="shared" ref="X6488" si="1547">P6488/K6488</f>
        <v>7.8639744952178532</v>
      </c>
    </row>
    <row r="6489" spans="1:24" ht="15" customHeight="1">
      <c r="A6489" s="3">
        <v>44824</v>
      </c>
      <c r="B6489" s="4">
        <v>29875</v>
      </c>
      <c r="C6489" s="4">
        <v>0</v>
      </c>
      <c r="D6489" s="4">
        <v>2225</v>
      </c>
      <c r="E6489" s="4">
        <v>33600</v>
      </c>
      <c r="F6489" s="4">
        <v>0</v>
      </c>
      <c r="G6489" s="4">
        <v>550</v>
      </c>
      <c r="H6489" s="9">
        <v>2225</v>
      </c>
      <c r="I6489" s="118">
        <f t="shared" ref="I6489" si="1548">H6489/E6489</f>
        <v>6.6220238095238096E-2</v>
      </c>
      <c r="J6489" s="4">
        <v>91272</v>
      </c>
      <c r="K6489" s="22">
        <v>1874</v>
      </c>
      <c r="L6489" s="6">
        <v>1898</v>
      </c>
      <c r="M6489" s="125">
        <f t="shared" ref="M6489" si="1549">L6489-K6489</f>
        <v>24</v>
      </c>
      <c r="N6489" s="449"/>
      <c r="O6489" s="245"/>
      <c r="P6489" s="247">
        <v>14850</v>
      </c>
      <c r="Q6489" s="25">
        <f>198.08/1389.1</f>
        <v>0.14259592541933627</v>
      </c>
      <c r="W6489" s="285">
        <f t="shared" ref="W6489" si="1550">(P6489*Q6489)*(1+U6489)</f>
        <v>2117.5494924771438</v>
      </c>
      <c r="X6489" s="443">
        <f t="shared" ref="X6489" si="1551">P6489/K6489</f>
        <v>7.9242262540021349</v>
      </c>
    </row>
    <row r="6490" spans="1:24" ht="15" customHeight="1">
      <c r="A6490" s="3">
        <v>44825</v>
      </c>
      <c r="B6490" s="4">
        <v>29775</v>
      </c>
      <c r="C6490" s="4">
        <v>0</v>
      </c>
      <c r="D6490" s="4">
        <v>2225</v>
      </c>
      <c r="E6490" s="4">
        <v>33500</v>
      </c>
      <c r="F6490" s="4">
        <v>0</v>
      </c>
      <c r="G6490" s="4">
        <v>100</v>
      </c>
      <c r="H6490" s="9">
        <v>2125</v>
      </c>
      <c r="I6490" s="118">
        <f t="shared" ref="I6490" si="1552">H6490/E6490</f>
        <v>6.3432835820895525E-2</v>
      </c>
      <c r="J6490" s="4">
        <v>90681</v>
      </c>
      <c r="K6490" s="22">
        <v>1847</v>
      </c>
      <c r="L6490" s="6">
        <v>1870</v>
      </c>
      <c r="M6490" s="125">
        <f t="shared" ref="M6490" si="1553">L6490-K6490</f>
        <v>23</v>
      </c>
      <c r="N6490" s="449"/>
      <c r="O6490" s="245"/>
      <c r="P6490" s="247">
        <v>14900</v>
      </c>
      <c r="Q6490" s="25">
        <f>197.8/1393.6</f>
        <v>0.1419345579793341</v>
      </c>
      <c r="W6490" s="285">
        <f t="shared" ref="W6490:W6495" si="1554">(P6490*Q6490)*(1+U6490)</f>
        <v>2114.8249138920783</v>
      </c>
      <c r="X6490" s="443">
        <f t="shared" ref="X6490" si="1555">P6490/K6490</f>
        <v>8.0671358960476454</v>
      </c>
    </row>
    <row r="6491" spans="1:24" ht="15" customHeight="1">
      <c r="A6491" s="3">
        <v>44826</v>
      </c>
      <c r="B6491" s="4">
        <v>29775</v>
      </c>
      <c r="C6491" s="4">
        <v>0</v>
      </c>
      <c r="D6491" s="4">
        <v>2225</v>
      </c>
      <c r="E6491" s="4">
        <v>33100</v>
      </c>
      <c r="F6491" s="4">
        <v>0</v>
      </c>
      <c r="G6491" s="4">
        <v>400</v>
      </c>
      <c r="H6491" s="9">
        <v>2225</v>
      </c>
      <c r="I6491" s="118">
        <f t="shared" ref="I6491" si="1556">H6491/E6491</f>
        <v>6.7220543806646521E-2</v>
      </c>
      <c r="J6491" s="4">
        <v>89396</v>
      </c>
      <c r="K6491" s="22">
        <v>1877</v>
      </c>
      <c r="L6491" s="6">
        <v>1889</v>
      </c>
      <c r="M6491" s="125">
        <f t="shared" ref="M6491" si="1557">L6491-K6491</f>
        <v>12</v>
      </c>
      <c r="N6491" s="449"/>
      <c r="O6491" s="245"/>
      <c r="P6491" s="247">
        <v>14900</v>
      </c>
      <c r="Q6491" s="25">
        <f>198.45/1408</f>
        <v>0.14094460227272726</v>
      </c>
      <c r="W6491" s="285">
        <f t="shared" si="1554"/>
        <v>2100.074573863636</v>
      </c>
      <c r="X6491" s="443">
        <f t="shared" ref="X6491" si="1558">P6491/K6491</f>
        <v>7.9381992541289295</v>
      </c>
    </row>
    <row r="6492" spans="1:24" ht="15" customHeight="1">
      <c r="A6492" s="3">
        <v>44827</v>
      </c>
      <c r="B6492" s="4">
        <v>29700</v>
      </c>
      <c r="C6492" s="4">
        <v>0</v>
      </c>
      <c r="D6492" s="4">
        <v>2225</v>
      </c>
      <c r="E6492" s="4">
        <v>33025</v>
      </c>
      <c r="F6492" s="4">
        <v>0</v>
      </c>
      <c r="G6492" s="4">
        <v>75</v>
      </c>
      <c r="H6492" s="9">
        <v>2225</v>
      </c>
      <c r="I6492" s="118">
        <f t="shared" ref="I6492" si="1559">H6492/E6492</f>
        <v>6.737320211960636E-2</v>
      </c>
      <c r="J6492" s="4">
        <v>91015</v>
      </c>
      <c r="K6492" s="22">
        <v>1802</v>
      </c>
      <c r="L6492" s="6">
        <v>1825</v>
      </c>
      <c r="M6492" s="125">
        <f t="shared" ref="M6492:M6493" si="1560">L6492-K6492</f>
        <v>23</v>
      </c>
      <c r="N6492" s="449"/>
      <c r="O6492" s="245"/>
      <c r="P6492" s="247">
        <v>14825</v>
      </c>
      <c r="Q6492" s="25">
        <f>198.4/1408.4</f>
        <v>0.14086907128656631</v>
      </c>
      <c r="W6492" s="285">
        <f t="shared" si="1554"/>
        <v>2088.3839818233455</v>
      </c>
      <c r="X6492" s="443">
        <f t="shared" ref="X6492" si="1561">P6492/K6492</f>
        <v>8.2269700332963378</v>
      </c>
    </row>
    <row r="6493" spans="1:24" ht="15" customHeight="1">
      <c r="A6493" s="3">
        <v>44830</v>
      </c>
      <c r="B6493" s="4">
        <v>29650</v>
      </c>
      <c r="C6493" s="4">
        <v>0</v>
      </c>
      <c r="D6493" s="4">
        <v>2225</v>
      </c>
      <c r="E6493" s="4">
        <v>32975</v>
      </c>
      <c r="F6493" s="4">
        <v>0</v>
      </c>
      <c r="G6493" s="4">
        <v>50</v>
      </c>
      <c r="H6493" s="9">
        <v>2100</v>
      </c>
      <c r="I6493" s="118">
        <f>H6493/E6493</f>
        <v>6.3684609552691437E-2</v>
      </c>
      <c r="J6493" s="4">
        <v>92679</v>
      </c>
      <c r="K6493" s="22">
        <v>1776</v>
      </c>
      <c r="L6493" s="6">
        <v>1790</v>
      </c>
      <c r="M6493" s="125">
        <f t="shared" si="1560"/>
        <v>14</v>
      </c>
      <c r="N6493" s="452"/>
      <c r="O6493" s="453"/>
      <c r="P6493" s="247">
        <v>14850</v>
      </c>
      <c r="Q6493" s="25">
        <f>199.66/1429.7</f>
        <v>0.13965167517661048</v>
      </c>
      <c r="W6493" s="285">
        <f t="shared" si="1554"/>
        <v>2073.8273763726656</v>
      </c>
      <c r="X6493" s="443">
        <f t="shared" ref="X6493" si="1562">P6493/K6493</f>
        <v>8.361486486486486</v>
      </c>
    </row>
    <row r="6494" spans="1:24" ht="15" customHeight="1">
      <c r="A6494" s="3">
        <v>44831</v>
      </c>
      <c r="B6494" s="4">
        <v>29600</v>
      </c>
      <c r="C6494" s="4">
        <v>0</v>
      </c>
      <c r="D6494" s="4">
        <v>2225</v>
      </c>
      <c r="E6494" s="4">
        <v>32925</v>
      </c>
      <c r="F6494" s="4">
        <v>0</v>
      </c>
      <c r="G6494" s="4">
        <v>50</v>
      </c>
      <c r="H6494" s="9">
        <v>2850</v>
      </c>
      <c r="I6494" s="118">
        <f>H6494/E6494</f>
        <v>8.656036446469248E-2</v>
      </c>
      <c r="J6494" s="4">
        <v>97173</v>
      </c>
      <c r="K6494" s="22">
        <v>1754</v>
      </c>
      <c r="L6494" s="6">
        <v>1767</v>
      </c>
      <c r="M6494" s="125">
        <f t="shared" ref="M6494" si="1563">L6494-K6494</f>
        <v>13</v>
      </c>
      <c r="N6494" s="449"/>
      <c r="O6494" s="245"/>
      <c r="P6494" s="247">
        <v>14800</v>
      </c>
      <c r="Q6494" s="25">
        <f>199.31/1427.2</f>
        <v>0.13965106502242153</v>
      </c>
      <c r="W6494" s="285">
        <f t="shared" si="1554"/>
        <v>2066.8357623318384</v>
      </c>
      <c r="X6494" s="443">
        <f t="shared" ref="X6494" si="1564">P6494/K6494</f>
        <v>8.4378563283922468</v>
      </c>
    </row>
    <row r="6495" spans="1:24" ht="15" customHeight="1">
      <c r="A6495" s="3">
        <v>44832</v>
      </c>
      <c r="B6495" s="4">
        <v>29425</v>
      </c>
      <c r="C6495" s="4">
        <v>0</v>
      </c>
      <c r="D6495" s="4">
        <v>2225</v>
      </c>
      <c r="E6495" s="4">
        <v>32750</v>
      </c>
      <c r="F6495" s="4">
        <v>0</v>
      </c>
      <c r="G6495" s="4">
        <v>175</v>
      </c>
      <c r="H6495" s="9">
        <v>3150</v>
      </c>
      <c r="I6495" s="118">
        <f>H6495/E6495</f>
        <v>9.6183206106870228E-2</v>
      </c>
      <c r="J6495" s="4">
        <v>96985</v>
      </c>
      <c r="K6495" s="22">
        <v>1765</v>
      </c>
      <c r="L6495" s="6">
        <v>1776</v>
      </c>
      <c r="M6495" s="125">
        <f t="shared" ref="M6495" si="1565">L6495-K6495</f>
        <v>11</v>
      </c>
      <c r="N6495" s="449"/>
      <c r="O6495" s="245"/>
      <c r="P6495" s="247">
        <v>14800</v>
      </c>
      <c r="Q6495" s="25">
        <f>199.06/1436.5</f>
        <v>0.13857292029237731</v>
      </c>
      <c r="W6495" s="285">
        <f t="shared" si="1554"/>
        <v>2050.8792203271842</v>
      </c>
      <c r="X6495" s="443">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18">
        <f>H6496/E6496</f>
        <v>9.6183206106870228E-2</v>
      </c>
      <c r="J6496" s="4">
        <v>96305</v>
      </c>
      <c r="K6496" s="22">
        <v>1856</v>
      </c>
      <c r="L6496" s="6">
        <v>1867</v>
      </c>
      <c r="M6496" s="125">
        <f t="shared" ref="M6496:M6497" si="1567">L6496-K6496</f>
        <v>11</v>
      </c>
      <c r="P6496" s="247">
        <v>14950</v>
      </c>
      <c r="Q6496" s="25">
        <f>199.66/1434.8</f>
        <v>0.13915528296626709</v>
      </c>
      <c r="W6496" s="285">
        <f>(P6496*Q6496)*(1+U6496)</f>
        <v>2080.3714803456928</v>
      </c>
      <c r="X6496" s="443">
        <f t="shared" ref="X6496" si="1568">P6496/K6496</f>
        <v>8.0549568965517242</v>
      </c>
    </row>
    <row r="6497" spans="1:24" ht="15" customHeight="1">
      <c r="A6497" s="3">
        <v>44834</v>
      </c>
      <c r="B6497" s="4">
        <v>29425</v>
      </c>
      <c r="C6497" s="5">
        <v>0</v>
      </c>
      <c r="D6497" s="5">
        <v>2225</v>
      </c>
      <c r="E6497" s="5">
        <v>32750</v>
      </c>
      <c r="F6497" s="4">
        <v>0</v>
      </c>
      <c r="G6497" s="4">
        <v>0</v>
      </c>
      <c r="H6497" s="9">
        <v>4725</v>
      </c>
      <c r="I6497" s="118">
        <f>H6497/E6497</f>
        <v>0.14427480916030536</v>
      </c>
      <c r="J6497" s="5">
        <v>96804</v>
      </c>
      <c r="K6497" s="22">
        <v>1889</v>
      </c>
      <c r="L6497" s="6">
        <v>1887</v>
      </c>
      <c r="M6497" s="125">
        <f t="shared" si="1567"/>
        <v>-2</v>
      </c>
      <c r="N6497" s="448">
        <f>AVERAGE($K$6476:K6497)</f>
        <v>1874.4545454545455</v>
      </c>
      <c r="O6497" s="395">
        <f>AVERAGE($K$6296:K6497)</f>
        <v>2167.5930851063831</v>
      </c>
      <c r="P6497" s="247">
        <v>14950</v>
      </c>
      <c r="W6497" s="285">
        <f>(P6497*Q6497)*(1+U6497)</f>
        <v>0</v>
      </c>
      <c r="X6497" s="443">
        <f>P6497/K6497</f>
        <v>7.9142403388035998</v>
      </c>
    </row>
    <row r="6498" spans="1:24" ht="15" customHeight="1" thickBot="1">
      <c r="A6498" s="394"/>
      <c r="B6498" s="394"/>
      <c r="C6498" s="394"/>
      <c r="D6498" s="394"/>
      <c r="E6498" s="216"/>
      <c r="F6498" s="407"/>
      <c r="G6498" s="164"/>
      <c r="H6498" s="164"/>
      <c r="I6498" s="166"/>
      <c r="J6498" s="166"/>
      <c r="K6498" s="166"/>
      <c r="L6498" s="167"/>
      <c r="M6498" s="167"/>
      <c r="N6498" s="167"/>
      <c r="O6498" s="180"/>
      <c r="P6498" s="180"/>
      <c r="Q6498" s="180"/>
      <c r="R6498" s="248"/>
      <c r="S6498" s="249"/>
      <c r="T6498" s="249"/>
      <c r="U6498" s="152"/>
      <c r="V6498" s="153">
        <f>AVERAGE(P6475:P6497)</f>
        <v>14872.5</v>
      </c>
      <c r="W6498" s="152"/>
      <c r="X6498" s="447">
        <f>V6498/N6497</f>
        <v>7.9343081623745091</v>
      </c>
    </row>
    <row r="6499" spans="1:24" ht="15" customHeight="1">
      <c r="A6499" s="3">
        <v>44837</v>
      </c>
      <c r="B6499" s="4">
        <v>28950</v>
      </c>
      <c r="C6499" s="5">
        <v>0</v>
      </c>
      <c r="D6499" s="5">
        <v>2225</v>
      </c>
      <c r="E6499" s="5">
        <v>32275</v>
      </c>
      <c r="F6499" s="4">
        <v>0</v>
      </c>
      <c r="G6499" s="4">
        <v>475</v>
      </c>
      <c r="H6499" s="9">
        <v>4250</v>
      </c>
      <c r="I6499" s="118">
        <f t="shared" ref="I6499:I6504" si="1569">H6499/E6499</f>
        <v>0.13168086754453912</v>
      </c>
      <c r="J6499" s="5">
        <v>98034</v>
      </c>
      <c r="K6499" s="22">
        <v>1865.5</v>
      </c>
      <c r="L6499" s="6">
        <v>1870</v>
      </c>
      <c r="M6499" s="125">
        <f t="shared" ref="M6499:M6500" si="1570">L6499-K6499</f>
        <v>4.5</v>
      </c>
      <c r="P6499" s="1329"/>
      <c r="Q6499" s="25">
        <f>201.26/1432.1</f>
        <v>0.14053487884924237</v>
      </c>
      <c r="W6499" s="285">
        <f>(P6499*Q6499)*(1+U6499)</f>
        <v>0</v>
      </c>
      <c r="X6499" s="443">
        <f t="shared" ref="X6499:X6504" si="1571">P6499/K6499</f>
        <v>0</v>
      </c>
    </row>
    <row r="6500" spans="1:24" ht="15" customHeight="1">
      <c r="A6500" s="3">
        <v>44838</v>
      </c>
      <c r="B6500" s="4">
        <v>28850</v>
      </c>
      <c r="C6500" s="5">
        <v>0</v>
      </c>
      <c r="D6500" s="5">
        <v>2225</v>
      </c>
      <c r="E6500" s="5">
        <v>32175</v>
      </c>
      <c r="F6500" s="4">
        <v>0</v>
      </c>
      <c r="G6500" s="4">
        <v>100</v>
      </c>
      <c r="H6500" s="9">
        <v>4150</v>
      </c>
      <c r="I6500" s="118">
        <f t="shared" si="1569"/>
        <v>0.12898212898212899</v>
      </c>
      <c r="J6500" s="5">
        <v>97874</v>
      </c>
      <c r="K6500" s="22">
        <v>1877</v>
      </c>
      <c r="L6500" s="6">
        <v>1877</v>
      </c>
      <c r="M6500" s="125">
        <f t="shared" si="1570"/>
        <v>0</v>
      </c>
      <c r="P6500" s="1325"/>
      <c r="Q6500" s="25">
        <f>201.79/1431.2</f>
        <v>0.14099357182783678</v>
      </c>
      <c r="W6500" s="285">
        <f t="shared" ref="W6500" si="1572">(P6500*Q6500)*(1+U6500)</f>
        <v>0</v>
      </c>
      <c r="X6500" s="443">
        <f t="shared" si="1571"/>
        <v>0</v>
      </c>
    </row>
    <row r="6501" spans="1:24" ht="15" customHeight="1">
      <c r="A6501" s="3">
        <v>44839</v>
      </c>
      <c r="B6501" s="4">
        <v>28550</v>
      </c>
      <c r="C6501" s="5">
        <v>0</v>
      </c>
      <c r="D6501" s="5">
        <v>2225</v>
      </c>
      <c r="E6501" s="5">
        <v>31875</v>
      </c>
      <c r="F6501" s="4">
        <v>0</v>
      </c>
      <c r="G6501" s="4">
        <v>300</v>
      </c>
      <c r="H6501" s="9">
        <v>3850</v>
      </c>
      <c r="I6501" s="118">
        <f t="shared" si="1569"/>
        <v>0.1207843137254902</v>
      </c>
      <c r="J6501" s="5">
        <v>99429</v>
      </c>
      <c r="K6501" s="22">
        <v>1965.5</v>
      </c>
      <c r="L6501" s="6">
        <v>1947</v>
      </c>
      <c r="M6501" s="125">
        <f t="shared" ref="M6501" si="1573">L6501-K6501</f>
        <v>-18.5</v>
      </c>
      <c r="P6501" s="1325"/>
      <c r="Q6501" s="25">
        <f>201.52/1419.1</f>
        <v>0.14200549644140653</v>
      </c>
      <c r="W6501" s="285">
        <f>(P6501*Q6501)*(1+U6501)</f>
        <v>0</v>
      </c>
      <c r="X6501" s="443">
        <f t="shared" si="1571"/>
        <v>0</v>
      </c>
    </row>
    <row r="6502" spans="1:24" ht="15" customHeight="1">
      <c r="A6502" s="3">
        <v>44840</v>
      </c>
      <c r="B6502" s="4">
        <v>28550</v>
      </c>
      <c r="C6502" s="5">
        <v>0</v>
      </c>
      <c r="D6502" s="5">
        <v>2225</v>
      </c>
      <c r="E6502" s="5">
        <v>31875</v>
      </c>
      <c r="F6502" s="4">
        <v>0</v>
      </c>
      <c r="G6502" s="4">
        <v>0</v>
      </c>
      <c r="H6502" s="9">
        <v>16275</v>
      </c>
      <c r="I6502" s="118">
        <f t="shared" si="1569"/>
        <v>0.51058823529411768</v>
      </c>
      <c r="J6502" s="5">
        <v>99673</v>
      </c>
      <c r="K6502" s="22">
        <v>2049</v>
      </c>
      <c r="L6502" s="6">
        <v>2022</v>
      </c>
      <c r="M6502" s="125">
        <f t="shared" ref="M6502" si="1574">L6502-K6502</f>
        <v>-27</v>
      </c>
      <c r="P6502" s="1325"/>
      <c r="Q6502" s="25">
        <f>199.4/1404.2</f>
        <v>0.14200256373735934</v>
      </c>
      <c r="W6502" s="285">
        <f>(P6502*Q6502)*(1+U6502)</f>
        <v>0</v>
      </c>
      <c r="X6502" s="443">
        <f t="shared" si="1571"/>
        <v>0</v>
      </c>
    </row>
    <row r="6503" spans="1:24" ht="15" customHeight="1">
      <c r="A6503" s="3">
        <v>44841</v>
      </c>
      <c r="B6503" s="4">
        <v>28550</v>
      </c>
      <c r="C6503" s="5">
        <v>0</v>
      </c>
      <c r="D6503" s="5">
        <v>2225</v>
      </c>
      <c r="E6503" s="5">
        <v>31875</v>
      </c>
      <c r="F6503" s="4">
        <v>0</v>
      </c>
      <c r="G6503" s="4">
        <v>0</v>
      </c>
      <c r="H6503" s="9">
        <v>20950</v>
      </c>
      <c r="I6503" s="118">
        <f t="shared" si="1569"/>
        <v>0.65725490196078429</v>
      </c>
      <c r="J6503" s="5">
        <v>97831</v>
      </c>
      <c r="K6503" s="22">
        <v>2078</v>
      </c>
      <c r="L6503" s="6">
        <v>2050</v>
      </c>
      <c r="M6503" s="125">
        <f t="shared" ref="M6503" si="1575">L6503-K6503</f>
        <v>-28</v>
      </c>
      <c r="P6503" s="1325"/>
      <c r="W6503" s="285">
        <f t="shared" ref="W6503:W6504" si="1576">(P6503*Q6503)*(1+U6503)</f>
        <v>0</v>
      </c>
      <c r="X6503" s="443">
        <f t="shared" si="1571"/>
        <v>0</v>
      </c>
    </row>
    <row r="6504" spans="1:24" ht="15" customHeight="1">
      <c r="A6504" s="3">
        <v>44844</v>
      </c>
      <c r="B6504" s="4">
        <v>27950</v>
      </c>
      <c r="C6504" s="5">
        <v>0</v>
      </c>
      <c r="D6504" s="5">
        <v>2225</v>
      </c>
      <c r="E6504" s="5">
        <v>31275</v>
      </c>
      <c r="F6504" s="4">
        <v>0</v>
      </c>
      <c r="G6504" s="4">
        <v>600</v>
      </c>
      <c r="H6504" s="9">
        <v>20375</v>
      </c>
      <c r="I6504" s="118">
        <f t="shared" si="1569"/>
        <v>0.65147881694644283</v>
      </c>
      <c r="J6504" s="5">
        <v>96084</v>
      </c>
      <c r="K6504" s="22">
        <v>2096</v>
      </c>
      <c r="L6504" s="6">
        <v>2053</v>
      </c>
      <c r="M6504" s="125">
        <f t="shared" ref="M6504" si="1577">L6504-K6504</f>
        <v>-43</v>
      </c>
      <c r="P6504" s="247">
        <v>15100</v>
      </c>
      <c r="Q6504" s="25">
        <f>198.64/1410.3</f>
        <v>0.14084946465291073</v>
      </c>
      <c r="W6504" s="285">
        <f t="shared" si="1576"/>
        <v>2126.8269162589522</v>
      </c>
      <c r="X6504" s="443">
        <f t="shared" si="1571"/>
        <v>7.2041984732824424</v>
      </c>
    </row>
    <row r="6505" spans="1:24" ht="15" customHeight="1">
      <c r="A6505" s="3">
        <v>44845</v>
      </c>
      <c r="B6505" s="4">
        <v>27950</v>
      </c>
      <c r="C6505" s="5">
        <v>0</v>
      </c>
      <c r="D6505" s="5">
        <v>2225</v>
      </c>
      <c r="E6505" s="5">
        <v>31275</v>
      </c>
      <c r="F6505" s="4">
        <v>0</v>
      </c>
      <c r="G6505" s="4">
        <v>0</v>
      </c>
      <c r="H6505" s="9">
        <v>20400</v>
      </c>
      <c r="I6505" s="118">
        <f t="shared" ref="I6505" si="1578">H6505/E6505</f>
        <v>0.65227817745803363</v>
      </c>
      <c r="J6505" s="5">
        <v>94624</v>
      </c>
      <c r="K6505" s="22">
        <v>2030</v>
      </c>
      <c r="L6505" s="6">
        <v>1991</v>
      </c>
      <c r="M6505" s="125">
        <f t="shared" ref="M6505" si="1579">L6505-K6505</f>
        <v>-39</v>
      </c>
      <c r="P6505" s="247">
        <v>15125</v>
      </c>
      <c r="Q6505" s="25">
        <f>199.66/1433.5</f>
        <v>0.13928147889780257</v>
      </c>
      <c r="W6505" s="285">
        <f t="shared" ref="W6505" si="1580">(P6505*Q6505)*(1+U6505)</f>
        <v>2106.632368329264</v>
      </c>
      <c r="X6505" s="443">
        <f t="shared" ref="X6505" si="1581">P6505/K6505</f>
        <v>7.4507389162561575</v>
      </c>
    </row>
    <row r="6506" spans="1:24" ht="15" customHeight="1">
      <c r="A6506" s="3">
        <v>44846</v>
      </c>
      <c r="B6506" s="4">
        <v>28050</v>
      </c>
      <c r="C6506" s="5">
        <v>0</v>
      </c>
      <c r="D6506" s="5">
        <v>2225</v>
      </c>
      <c r="E6506" s="5">
        <v>31375</v>
      </c>
      <c r="F6506" s="4">
        <v>100</v>
      </c>
      <c r="G6506" s="4">
        <v>0</v>
      </c>
      <c r="H6506" s="9">
        <v>20400</v>
      </c>
      <c r="I6506" s="118">
        <f t="shared" ref="I6506" si="1582">H6506/E6506</f>
        <v>0.650199203187251</v>
      </c>
      <c r="J6506" s="5">
        <v>93051</v>
      </c>
      <c r="K6506" s="22">
        <v>2080</v>
      </c>
      <c r="L6506" s="6">
        <v>2025</v>
      </c>
      <c r="M6506" s="125">
        <f t="shared" ref="M6506" si="1583">L6506-K6506</f>
        <v>-55</v>
      </c>
      <c r="P6506" s="247">
        <v>15125</v>
      </c>
      <c r="Q6506" s="25">
        <f>199.23/1430.4</f>
        <v>0.13928271812080537</v>
      </c>
      <c r="W6506" s="285">
        <f t="shared" ref="W6506" si="1584">(P6506*Q6506)*(1+U6506)</f>
        <v>2106.6511115771809</v>
      </c>
      <c r="X6506" s="443">
        <f t="shared" ref="X6506" si="1585">P6506/K6506</f>
        <v>7.271634615384615</v>
      </c>
    </row>
    <row r="6507" spans="1:24" ht="15" customHeight="1">
      <c r="A6507" s="3">
        <v>44847</v>
      </c>
      <c r="B6507" s="4">
        <v>28050</v>
      </c>
      <c r="C6507" s="5">
        <v>0</v>
      </c>
      <c r="D6507" s="5">
        <v>2225</v>
      </c>
      <c r="E6507" s="5">
        <v>31375</v>
      </c>
      <c r="F6507" s="4">
        <v>0</v>
      </c>
      <c r="G6507" s="4">
        <v>0</v>
      </c>
      <c r="H6507" s="9">
        <v>20400</v>
      </c>
      <c r="I6507" s="118">
        <f t="shared" ref="I6507" si="1586">H6507/E6507</f>
        <v>0.650199203187251</v>
      </c>
      <c r="J6507" s="5">
        <v>92599</v>
      </c>
      <c r="K6507" s="22">
        <v>2079</v>
      </c>
      <c r="L6507" s="6">
        <v>2025</v>
      </c>
      <c r="M6507" s="125">
        <f t="shared" ref="M6507" si="1587">L6507-K6507</f>
        <v>-54</v>
      </c>
      <c r="N6507" s="449"/>
      <c r="O6507" s="245"/>
      <c r="P6507" s="247">
        <v>15125</v>
      </c>
      <c r="Q6507" s="25">
        <f>198.74/1427</f>
        <v>0.13927119831814996</v>
      </c>
      <c r="W6507" s="285">
        <f t="shared" ref="W6507" si="1588">(P6507*Q6507)*(1+U6507)</f>
        <v>2106.4768745620181</v>
      </c>
      <c r="X6507" s="443">
        <f t="shared" ref="X6507" si="1589">P6507/K6507</f>
        <v>7.2751322751322753</v>
      </c>
    </row>
    <row r="6508" spans="1:24" ht="15" customHeight="1">
      <c r="A6508" s="3">
        <v>44848</v>
      </c>
      <c r="B6508" s="4">
        <v>27075</v>
      </c>
      <c r="C6508" s="5">
        <v>0</v>
      </c>
      <c r="D6508" s="5">
        <v>2225</v>
      </c>
      <c r="E6508" s="5">
        <v>30400</v>
      </c>
      <c r="F6508" s="4">
        <v>0</v>
      </c>
      <c r="G6508" s="4">
        <v>975</v>
      </c>
      <c r="H6508" s="9">
        <v>19425</v>
      </c>
      <c r="I6508" s="118">
        <f t="shared" ref="I6508" si="1590">H6508/E6508</f>
        <v>0.63898026315789469</v>
      </c>
      <c r="J6508" s="5">
        <v>93768</v>
      </c>
      <c r="K6508" s="22">
        <v>2060</v>
      </c>
      <c r="L6508" s="6">
        <v>2021</v>
      </c>
      <c r="M6508" s="125">
        <f t="shared" ref="M6508" si="1591">L6508-K6508</f>
        <v>-39</v>
      </c>
      <c r="N6508" s="449"/>
      <c r="O6508" s="245"/>
      <c r="P6508" s="247">
        <v>15150</v>
      </c>
      <c r="Q6508" s="25">
        <f>198.79/1428.9</f>
        <v>0.13912100216950099</v>
      </c>
      <c r="W6508" s="285">
        <f t="shared" ref="W6508" si="1592">(P6508*Q6508)*(1+U6508)</f>
        <v>2107.6831828679401</v>
      </c>
      <c r="X6508" s="443">
        <f t="shared" ref="X6508" si="1593">P6508/K6508</f>
        <v>7.3543689320388346</v>
      </c>
    </row>
    <row r="6509" spans="1:24" ht="15" customHeight="1">
      <c r="A6509" s="3">
        <v>44851</v>
      </c>
      <c r="B6509" s="4">
        <v>26575</v>
      </c>
      <c r="C6509" s="5">
        <v>0</v>
      </c>
      <c r="D6509" s="5">
        <v>2225</v>
      </c>
      <c r="E6509" s="5">
        <v>29900</v>
      </c>
      <c r="F6509" s="4">
        <v>0</v>
      </c>
      <c r="G6509" s="4">
        <v>500</v>
      </c>
      <c r="H6509" s="9">
        <v>18925</v>
      </c>
      <c r="I6509" s="118">
        <f t="shared" ref="I6509" si="1594">H6509/E6509</f>
        <v>0.632943143812709</v>
      </c>
      <c r="J6509" s="5">
        <v>93295</v>
      </c>
      <c r="K6509" s="22">
        <v>2077</v>
      </c>
      <c r="L6509" s="6">
        <v>2031</v>
      </c>
      <c r="M6509" s="125">
        <f t="shared" ref="M6509" si="1595">L6509-K6509</f>
        <v>-46</v>
      </c>
      <c r="N6509" s="449"/>
      <c r="O6509" s="245"/>
      <c r="P6509" s="247">
        <v>15150</v>
      </c>
      <c r="Q6509" s="25">
        <f>199.25/1436.6</f>
        <v>0.13869553111513297</v>
      </c>
      <c r="W6509" s="285">
        <f t="shared" ref="W6509" si="1596">(P6509*Q6509)*(1+U6509)</f>
        <v>2101.2372963942644</v>
      </c>
      <c r="X6509" s="443">
        <f t="shared" ref="X6509" si="1597">P6509/K6509</f>
        <v>7.2941742898411173</v>
      </c>
    </row>
    <row r="6510" spans="1:24" ht="15" customHeight="1">
      <c r="A6510" s="3">
        <v>44852</v>
      </c>
      <c r="B6510" s="4">
        <v>26500</v>
      </c>
      <c r="C6510" s="5">
        <v>0</v>
      </c>
      <c r="D6510" s="5">
        <v>2225</v>
      </c>
      <c r="E6510" s="5">
        <v>29825</v>
      </c>
      <c r="F6510" s="4">
        <v>0</v>
      </c>
      <c r="G6510" s="4">
        <v>75</v>
      </c>
      <c r="H6510" s="9">
        <v>18850</v>
      </c>
      <c r="I6510" s="118">
        <f t="shared" ref="I6510" si="1598">H6510/E6510</f>
        <v>0.63202011735121544</v>
      </c>
      <c r="J6510" s="5">
        <v>92817</v>
      </c>
      <c r="K6510" s="22">
        <v>2044</v>
      </c>
      <c r="L6510" s="6">
        <v>2012</v>
      </c>
      <c r="M6510" s="125">
        <f t="shared" ref="M6510" si="1599">L6510-K6510</f>
        <v>-32</v>
      </c>
      <c r="N6510" s="449"/>
      <c r="O6510" s="245"/>
      <c r="P6510" s="247">
        <v>15150</v>
      </c>
      <c r="Q6510" s="25">
        <f>198.12/1425.6</f>
        <v>0.138973063973064</v>
      </c>
      <c r="W6510" s="285">
        <f t="shared" ref="W6510" si="1600">(P6510*Q6510)*(1+U6510)</f>
        <v>2105.4419191919196</v>
      </c>
      <c r="X6510" s="443">
        <f t="shared" ref="X6510" si="1601">P6510/K6510</f>
        <v>7.4119373776908022</v>
      </c>
    </row>
    <row r="6511" spans="1:24" ht="15" customHeight="1">
      <c r="A6511" s="3">
        <v>44853</v>
      </c>
      <c r="B6511" s="4">
        <v>26500</v>
      </c>
      <c r="C6511" s="5">
        <v>0</v>
      </c>
      <c r="D6511" s="5">
        <v>2225</v>
      </c>
      <c r="E6511" s="5">
        <v>29825</v>
      </c>
      <c r="F6511" s="4">
        <v>0</v>
      </c>
      <c r="G6511" s="4">
        <v>0</v>
      </c>
      <c r="H6511" s="9">
        <v>18850</v>
      </c>
      <c r="I6511" s="118">
        <f t="shared" ref="I6511" si="1602">H6511/E6511</f>
        <v>0.63202011735121544</v>
      </c>
      <c r="J6511" s="5">
        <v>89399</v>
      </c>
      <c r="K6511" s="22">
        <v>2007</v>
      </c>
      <c r="L6511" s="6">
        <v>1972</v>
      </c>
      <c r="M6511" s="125">
        <f t="shared" ref="M6511" si="1603">L6511-K6511</f>
        <v>-35</v>
      </c>
      <c r="N6511" s="449"/>
      <c r="O6511" s="245"/>
      <c r="P6511" s="247">
        <v>15175</v>
      </c>
      <c r="Q6511" s="25">
        <f>196.21/1420.6</f>
        <v>0.13811769674785304</v>
      </c>
      <c r="W6511" s="285">
        <f t="shared" ref="W6511" si="1604">(P6511*Q6511)*(1+U6511)</f>
        <v>2095.9360481486701</v>
      </c>
      <c r="X6511" s="443">
        <f t="shared" ref="X6511" si="1605">P6511/K6511</f>
        <v>7.5610363726955656</v>
      </c>
    </row>
    <row r="6512" spans="1:24" ht="15" customHeight="1">
      <c r="A6512" s="3">
        <v>44854</v>
      </c>
      <c r="B6512" s="4">
        <v>25900</v>
      </c>
      <c r="C6512" s="5">
        <v>0</v>
      </c>
      <c r="D6512" s="5">
        <v>2225</v>
      </c>
      <c r="E6512" s="5">
        <v>29225</v>
      </c>
      <c r="F6512" s="4">
        <v>0</v>
      </c>
      <c r="G6512" s="4">
        <v>600</v>
      </c>
      <c r="H6512" s="9">
        <v>18250</v>
      </c>
      <c r="I6512" s="118">
        <f t="shared" ref="I6512" si="1606">H6512/E6512</f>
        <v>0.62446535500427713</v>
      </c>
      <c r="J6512" s="5">
        <v>89894</v>
      </c>
      <c r="K6512" s="22">
        <v>1989</v>
      </c>
      <c r="L6512" s="6">
        <v>1956</v>
      </c>
      <c r="M6512" s="125">
        <f t="shared" ref="M6512" si="1607">L6512-K6512</f>
        <v>-33</v>
      </c>
      <c r="P6512" s="247">
        <v>15175</v>
      </c>
      <c r="Q6512" s="25">
        <f>197.35/1431.7</f>
        <v>0.1378431235594049</v>
      </c>
      <c r="W6512" s="285">
        <f t="shared" ref="W6512" si="1608">(P6512*Q6512)*(1+U6512)</f>
        <v>2091.7694000139691</v>
      </c>
      <c r="X6512" s="443">
        <f t="shared" ref="X6512" si="1609">P6512/K6512</f>
        <v>7.6294620412267475</v>
      </c>
    </row>
    <row r="6513" spans="1:24" ht="15" customHeight="1">
      <c r="A6513" s="3">
        <v>44855</v>
      </c>
      <c r="B6513" s="4">
        <v>25750</v>
      </c>
      <c r="C6513" s="5">
        <v>0</v>
      </c>
      <c r="D6513" s="5">
        <v>2225</v>
      </c>
      <c r="E6513" s="5">
        <v>29075</v>
      </c>
      <c r="F6513" s="4">
        <v>0</v>
      </c>
      <c r="G6513" s="4">
        <v>150</v>
      </c>
      <c r="H6513" s="9">
        <v>18100</v>
      </c>
      <c r="I6513" s="118">
        <f t="shared" ref="I6513" si="1610">H6513/E6513</f>
        <v>0.62252794496990538</v>
      </c>
      <c r="J6513" s="5">
        <v>90765</v>
      </c>
      <c r="K6513" s="22">
        <v>1930</v>
      </c>
      <c r="L6513" s="6">
        <v>1910</v>
      </c>
      <c r="M6513" s="125">
        <f t="shared" ref="M6513" si="1611">L6513-K6513</f>
        <v>-20</v>
      </c>
      <c r="P6513" s="247">
        <v>15275</v>
      </c>
      <c r="Q6513" s="25">
        <f>197.77/1436.6</f>
        <v>0.13766532089656133</v>
      </c>
      <c r="W6513" s="285">
        <f t="shared" ref="W6513" si="1612">(P6513*Q6513)*(1+U6513)</f>
        <v>2102.8377766949743</v>
      </c>
      <c r="X6513" s="443">
        <f t="shared" ref="X6513" si="1613">P6513/K6513</f>
        <v>7.9145077720207251</v>
      </c>
    </row>
    <row r="6514" spans="1:24" ht="15" customHeight="1">
      <c r="A6514" s="3">
        <v>44858</v>
      </c>
      <c r="B6514" s="4">
        <v>25250</v>
      </c>
      <c r="C6514" s="5">
        <v>0</v>
      </c>
      <c r="D6514" s="5">
        <v>2225</v>
      </c>
      <c r="E6514" s="5">
        <v>28400</v>
      </c>
      <c r="F6514" s="4">
        <v>0</v>
      </c>
      <c r="G6514" s="4">
        <v>675</v>
      </c>
      <c r="H6514" s="9">
        <v>17425</v>
      </c>
      <c r="I6514" s="118">
        <f t="shared" ref="I6514" si="1614">H6514/E6514</f>
        <v>0.613556338028169</v>
      </c>
      <c r="J6514" s="5">
        <v>90715</v>
      </c>
      <c r="K6514" s="22">
        <v>1937</v>
      </c>
      <c r="L6514" s="6">
        <v>1915</v>
      </c>
      <c r="M6514" s="125">
        <f t="shared" ref="M6514" si="1615">L6514-K6514</f>
        <v>-22</v>
      </c>
      <c r="P6514" s="247">
        <v>15175</v>
      </c>
      <c r="Q6514" s="25">
        <f>197.86/1436.6</f>
        <v>0.13772796881525826</v>
      </c>
      <c r="W6514" s="285">
        <f t="shared" ref="W6514" si="1616">(P6514*Q6514)*(1+U6514)</f>
        <v>2090.0219267715443</v>
      </c>
      <c r="X6514" s="443">
        <f t="shared" ref="X6514" si="1617">P6514/K6514</f>
        <v>7.8342798141455861</v>
      </c>
    </row>
    <row r="6515" spans="1:24" ht="15" customHeight="1">
      <c r="A6515" s="3">
        <v>44859</v>
      </c>
      <c r="B6515" s="4">
        <v>25250</v>
      </c>
      <c r="C6515" s="5">
        <v>0</v>
      </c>
      <c r="D6515" s="5">
        <v>2225</v>
      </c>
      <c r="E6515" s="5">
        <v>28400</v>
      </c>
      <c r="F6515" s="4">
        <v>0</v>
      </c>
      <c r="G6515" s="4">
        <v>0</v>
      </c>
      <c r="H6515" s="9">
        <v>18325</v>
      </c>
      <c r="I6515" s="118">
        <f t="shared" ref="I6515" si="1618">H6515/E6515</f>
        <v>0.64524647887323938</v>
      </c>
      <c r="J6515" s="5">
        <v>90649</v>
      </c>
      <c r="K6515" s="22">
        <v>1893</v>
      </c>
      <c r="L6515" s="6">
        <v>1875.5</v>
      </c>
      <c r="M6515" s="125">
        <f t="shared" ref="M6515" si="1619">L6515-K6515</f>
        <v>-17.5</v>
      </c>
      <c r="P6515" s="247">
        <v>15175</v>
      </c>
      <c r="Q6515" s="25">
        <f>195.58/1436.5</f>
        <v>0.13615036547163245</v>
      </c>
      <c r="W6515" s="285">
        <f t="shared" ref="W6515" si="1620">(P6515*Q6515)*(1+U6515)</f>
        <v>2066.0817960320223</v>
      </c>
      <c r="X6515" s="443">
        <f t="shared" ref="X6515" si="1621">P6515/K6515</f>
        <v>8.0163761225567889</v>
      </c>
    </row>
    <row r="6516" spans="1:24" ht="15" customHeight="1">
      <c r="A6516" s="3">
        <v>44860</v>
      </c>
      <c r="B6516" s="4">
        <v>25250</v>
      </c>
      <c r="C6516" s="5">
        <v>0</v>
      </c>
      <c r="D6516" s="5">
        <v>2225</v>
      </c>
      <c r="E6516" s="5">
        <v>28400</v>
      </c>
      <c r="F6516" s="4">
        <v>0</v>
      </c>
      <c r="G6516" s="4">
        <v>0</v>
      </c>
      <c r="H6516" s="9">
        <v>18325</v>
      </c>
      <c r="I6516" s="118">
        <f t="shared" ref="I6516" si="1622">H6516/E6516</f>
        <v>0.64524647887323938</v>
      </c>
      <c r="J6516" s="5">
        <v>91219</v>
      </c>
      <c r="K6516" s="22">
        <v>1900</v>
      </c>
      <c r="L6516" s="6">
        <v>1889</v>
      </c>
      <c r="M6516" s="125">
        <f t="shared" ref="M6516" si="1623">L6516-K6516</f>
        <v>-11</v>
      </c>
      <c r="P6516" s="247">
        <v>15075</v>
      </c>
      <c r="Q6516" s="25">
        <f>195.17/1428.2</f>
        <v>0.13665453017784623</v>
      </c>
      <c r="W6516" s="285">
        <f t="shared" ref="W6516" si="1624">(P6516*Q6516)*(1+U6516)</f>
        <v>2060.067042431032</v>
      </c>
      <c r="X6516" s="443">
        <f t="shared" ref="X6516" si="1625">P6516/K6516</f>
        <v>7.9342105263157894</v>
      </c>
    </row>
    <row r="6517" spans="1:24" ht="15" customHeight="1">
      <c r="A6517" s="3">
        <v>44861</v>
      </c>
      <c r="B6517" s="4">
        <v>25250</v>
      </c>
      <c r="C6517" s="5">
        <v>0</v>
      </c>
      <c r="D6517" s="5">
        <v>2225</v>
      </c>
      <c r="E6517" s="5">
        <v>28400</v>
      </c>
      <c r="F6517" s="4">
        <v>0</v>
      </c>
      <c r="G6517" s="4">
        <v>0</v>
      </c>
      <c r="H6517" s="9">
        <v>3100</v>
      </c>
      <c r="I6517" s="118">
        <f t="shared" ref="I6517" si="1626">H6517/E6517</f>
        <v>0.10915492957746478</v>
      </c>
      <c r="J6517" s="5">
        <v>91661</v>
      </c>
      <c r="K6517" s="22">
        <v>1885</v>
      </c>
      <c r="L6517" s="6">
        <v>1879</v>
      </c>
      <c r="M6517" s="125">
        <f t="shared" ref="M6517" si="1627">L6517-K6517</f>
        <v>-6</v>
      </c>
      <c r="N6517" s="449"/>
      <c r="O6517" s="245"/>
      <c r="P6517" s="247">
        <v>15025</v>
      </c>
      <c r="Q6517" s="25">
        <f>196.77/1418.1</f>
        <v>0.13875608208165857</v>
      </c>
      <c r="W6517" s="285">
        <f t="shared" ref="W6517" si="1628">(P6517*Q6517)*(1+U6517)</f>
        <v>2084.8101332769202</v>
      </c>
      <c r="X6517" s="443">
        <f t="shared" ref="X6517" si="1629">P6517/K6517</f>
        <v>7.9708222811671083</v>
      </c>
    </row>
    <row r="6518" spans="1:24" ht="15" customHeight="1">
      <c r="A6518" s="3">
        <v>44862</v>
      </c>
      <c r="B6518" s="4">
        <v>25100</v>
      </c>
      <c r="C6518" s="5">
        <v>0</v>
      </c>
      <c r="D6518" s="5">
        <v>2225</v>
      </c>
      <c r="E6518" s="5">
        <v>28250</v>
      </c>
      <c r="F6518" s="4">
        <v>0</v>
      </c>
      <c r="G6518" s="4">
        <v>150</v>
      </c>
      <c r="H6518" s="9">
        <v>2950</v>
      </c>
      <c r="I6518" s="118">
        <f t="shared" ref="I6518" si="1630">H6518/E6518</f>
        <v>0.10442477876106195</v>
      </c>
      <c r="J6518" s="5">
        <v>91344</v>
      </c>
      <c r="K6518" s="22">
        <v>1942</v>
      </c>
      <c r="L6518" s="6">
        <v>1930</v>
      </c>
      <c r="M6518" s="125">
        <f t="shared" ref="M6518" si="1631">L6518-K6518</f>
        <v>-12</v>
      </c>
      <c r="N6518" s="449"/>
      <c r="O6518" s="245"/>
      <c r="P6518" s="247">
        <v>14975</v>
      </c>
      <c r="Q6518" s="25">
        <f>195.94/1419.3</f>
        <v>0.13805397026703306</v>
      </c>
      <c r="W6518" s="285">
        <f t="shared" ref="W6518" si="1632">(P6518*Q6518)*(1+U6518)</f>
        <v>2067.3582047488203</v>
      </c>
      <c r="X6518" s="443">
        <f t="shared" ref="X6518" si="1633">P6518/K6518</f>
        <v>7.7111225540679715</v>
      </c>
    </row>
    <row r="6519" spans="1:24" ht="15" customHeight="1">
      <c r="A6519" s="3">
        <v>44865</v>
      </c>
      <c r="B6519" s="4">
        <v>24475</v>
      </c>
      <c r="C6519" s="5">
        <v>0</v>
      </c>
      <c r="D6519" s="5">
        <v>2225</v>
      </c>
      <c r="E6519" s="5">
        <v>27625</v>
      </c>
      <c r="F6519" s="4">
        <v>0</v>
      </c>
      <c r="G6519" s="4">
        <v>625</v>
      </c>
      <c r="H6519" s="9">
        <v>2950</v>
      </c>
      <c r="I6519" s="118">
        <f t="shared" ref="I6519" si="1634">H6519/E6519</f>
        <v>0.10678733031674208</v>
      </c>
      <c r="J6519" s="5">
        <v>94320</v>
      </c>
      <c r="K6519" s="22">
        <v>1966</v>
      </c>
      <c r="L6519" s="6">
        <v>1959</v>
      </c>
      <c r="M6519" s="125">
        <f t="shared" ref="M6519" si="1635">L6519-K6519</f>
        <v>-7</v>
      </c>
      <c r="N6519" s="448">
        <f>AVERAGE($K$6499:K6519)</f>
        <v>1988.0952380952381</v>
      </c>
      <c r="O6519" s="395">
        <f>AVERAGE($K$6296:K6519)</f>
        <v>2149.5574162679427</v>
      </c>
      <c r="P6519" s="247">
        <v>15075</v>
      </c>
      <c r="Q6519" s="25">
        <f>195.2/1422.2</f>
        <v>0.13725214456475882</v>
      </c>
      <c r="W6519" s="285">
        <f t="shared" ref="W6519" si="1636">(P6519*Q6519)*(1+U6519)</f>
        <v>2069.0760793137392</v>
      </c>
      <c r="X6519" s="443">
        <f t="shared" ref="X6519" si="1637">P6519/K6519</f>
        <v>7.667853509664293</v>
      </c>
    </row>
    <row r="6520" spans="1:24" ht="15" customHeight="1" thickBot="1">
      <c r="A6520" s="394"/>
      <c r="B6520" s="394"/>
      <c r="C6520" s="394"/>
      <c r="D6520" s="394"/>
      <c r="E6520" s="216"/>
      <c r="F6520" s="407"/>
      <c r="G6520" s="164"/>
      <c r="H6520" s="164"/>
      <c r="I6520" s="166"/>
      <c r="J6520" s="166"/>
      <c r="K6520" s="166"/>
      <c r="L6520" s="167"/>
      <c r="M6520" s="167"/>
      <c r="N6520" s="167"/>
      <c r="O6520" s="180"/>
      <c r="P6520" s="180"/>
      <c r="Q6520" s="180"/>
      <c r="R6520" s="248"/>
      <c r="S6520" s="249"/>
      <c r="T6520" s="249"/>
      <c r="U6520" s="152"/>
      <c r="V6520" s="153">
        <f>AVERAGE(P6499:P6519)</f>
        <v>15128.125</v>
      </c>
      <c r="W6520" s="152"/>
      <c r="X6520" s="447">
        <f>V6520/N6519</f>
        <v>7.6093562874251495</v>
      </c>
    </row>
    <row r="6521" spans="1:24" ht="15" customHeight="1">
      <c r="A6521" s="3">
        <v>44866</v>
      </c>
      <c r="B6521" s="4">
        <v>24475</v>
      </c>
      <c r="C6521" s="5">
        <v>0</v>
      </c>
      <c r="D6521" s="5">
        <v>2225</v>
      </c>
      <c r="E6521" s="5">
        <v>27625</v>
      </c>
      <c r="F6521" s="4">
        <v>0</v>
      </c>
      <c r="G6521" s="4" t="s">
        <v>59</v>
      </c>
      <c r="H6521" s="9">
        <v>2950</v>
      </c>
      <c r="I6521" s="118">
        <f t="shared" ref="I6521" si="1638">H6521/E6521</f>
        <v>0.10678733031674208</v>
      </c>
      <c r="J6521" s="5">
        <v>94169</v>
      </c>
      <c r="K6521" s="22">
        <v>2009</v>
      </c>
      <c r="L6521" s="6">
        <v>1997</v>
      </c>
      <c r="M6521" s="125">
        <f t="shared" ref="M6521" si="1639">L6521-K6521</f>
        <v>-12</v>
      </c>
      <c r="N6521" s="450"/>
      <c r="O6521" s="451"/>
      <c r="P6521" s="247">
        <v>15025</v>
      </c>
      <c r="Q6521" s="25">
        <f>193.88/1421.7</f>
        <v>0.13637194907505099</v>
      </c>
      <c r="W6521" s="285">
        <f t="shared" ref="W6521" si="1640">(P6521*Q6521)*(1+U6521)</f>
        <v>2048.9885348526409</v>
      </c>
      <c r="X6521" s="443">
        <f t="shared" ref="X6521" si="1641">P6521/K6521</f>
        <v>7.4788451966152314</v>
      </c>
    </row>
    <row r="6522" spans="1:24" ht="15" customHeight="1">
      <c r="A6522" s="3">
        <v>44867</v>
      </c>
      <c r="B6522" s="4">
        <v>24475</v>
      </c>
      <c r="C6522" s="5">
        <v>0</v>
      </c>
      <c r="D6522" s="5">
        <v>2225</v>
      </c>
      <c r="E6522" s="5">
        <v>27625</v>
      </c>
      <c r="F6522" s="4">
        <v>0</v>
      </c>
      <c r="G6522" s="4" t="s">
        <v>59</v>
      </c>
      <c r="H6522" s="9">
        <v>3575</v>
      </c>
      <c r="I6522" s="118">
        <f t="shared" ref="I6522" si="1642">H6522/E6522</f>
        <v>0.12941176470588237</v>
      </c>
      <c r="J6522" s="5">
        <v>94115</v>
      </c>
      <c r="K6522" s="22">
        <v>1978</v>
      </c>
      <c r="L6522" s="6">
        <v>1965</v>
      </c>
      <c r="M6522" s="125">
        <f t="shared" ref="M6522" si="1643">L6522-K6522</f>
        <v>-13</v>
      </c>
      <c r="N6522" s="449"/>
      <c r="O6522" s="245"/>
      <c r="P6522" s="247">
        <v>15025</v>
      </c>
      <c r="Q6522" s="25">
        <f>194.53/1418</f>
        <v>0.13718617771509167</v>
      </c>
      <c r="W6522" s="285">
        <f t="shared" ref="W6522" si="1644">(P6522*Q6522)*(1+U6522)</f>
        <v>2061.2223201692523</v>
      </c>
      <c r="X6522" s="443">
        <f t="shared" ref="X6522" si="1645">P6522/K6522</f>
        <v>7.5960566228513651</v>
      </c>
    </row>
    <row r="6523" spans="1:24" ht="15" customHeight="1">
      <c r="A6523" s="3">
        <v>44868</v>
      </c>
      <c r="B6523" s="4">
        <v>24475</v>
      </c>
      <c r="C6523" s="5">
        <v>0</v>
      </c>
      <c r="D6523" s="5">
        <v>2225</v>
      </c>
      <c r="E6523" s="5">
        <v>27625</v>
      </c>
      <c r="F6523" s="4">
        <v>0</v>
      </c>
      <c r="G6523" s="4" t="s">
        <v>59</v>
      </c>
      <c r="H6523" s="9">
        <v>3600</v>
      </c>
      <c r="I6523" s="118">
        <f t="shared" ref="I6523" si="1646">H6523/E6523</f>
        <v>0.13031674208144797</v>
      </c>
      <c r="J6523" s="5">
        <v>93133</v>
      </c>
      <c r="K6523" s="22">
        <v>1986</v>
      </c>
      <c r="L6523" s="6">
        <v>1980</v>
      </c>
      <c r="M6523" s="125">
        <f t="shared" ref="M6523" si="1647">L6523-K6523</f>
        <v>-6</v>
      </c>
      <c r="P6523" s="247">
        <v>15000</v>
      </c>
      <c r="Q6523" s="25">
        <f>193.88/1422.1</f>
        <v>0.13633359116799101</v>
      </c>
      <c r="W6523" s="285">
        <f t="shared" ref="W6523" si="1648">(P6523*Q6523)*(1+U6523)</f>
        <v>2045.0038675198653</v>
      </c>
      <c r="X6523" s="443">
        <f t="shared" ref="X6523" si="1649">P6523/K6523</f>
        <v>7.5528700906344408</v>
      </c>
    </row>
    <row r="6524" spans="1:24" ht="15" customHeight="1">
      <c r="A6524" s="3">
        <v>44869</v>
      </c>
      <c r="B6524" s="4">
        <v>24475</v>
      </c>
      <c r="C6524" s="5">
        <v>0</v>
      </c>
      <c r="D6524" s="5">
        <v>2225</v>
      </c>
      <c r="E6524" s="5">
        <v>27625</v>
      </c>
      <c r="F6524" s="4">
        <v>0</v>
      </c>
      <c r="G6524" s="4">
        <v>0</v>
      </c>
      <c r="H6524" s="9">
        <v>3600</v>
      </c>
      <c r="I6524" s="118">
        <f t="shared" ref="I6524" si="1650">H6524/E6524</f>
        <v>0.13031674208144797</v>
      </c>
      <c r="J6524" s="5">
        <v>92813</v>
      </c>
      <c r="K6524" s="22">
        <v>2022</v>
      </c>
      <c r="L6524" s="6">
        <v>2015</v>
      </c>
      <c r="M6524" s="125">
        <f t="shared" ref="M6524" si="1651">L6524-K6524</f>
        <v>-7</v>
      </c>
      <c r="P6524" s="247">
        <v>15100</v>
      </c>
      <c r="Q6524" s="25">
        <f>194.89/1422.4</f>
        <v>0.1370149043869516</v>
      </c>
      <c r="W6524" s="285">
        <f t="shared" ref="W6524" si="1652">(P6524*Q6524)*(1+U6524)</f>
        <v>2068.9250562429693</v>
      </c>
      <c r="X6524" s="443">
        <f t="shared" ref="X6524" si="1653">P6524/K6524</f>
        <v>7.4678536102868449</v>
      </c>
    </row>
    <row r="6525" spans="1:24" ht="15" customHeight="1">
      <c r="A6525" s="3">
        <v>44872</v>
      </c>
      <c r="B6525" s="4">
        <v>24475</v>
      </c>
      <c r="C6525" s="5">
        <v>0</v>
      </c>
      <c r="D6525" s="5">
        <v>2225</v>
      </c>
      <c r="E6525" s="5">
        <v>27625</v>
      </c>
      <c r="F6525" s="4">
        <v>0</v>
      </c>
      <c r="G6525" s="4">
        <v>0</v>
      </c>
      <c r="H6525" s="9">
        <v>5100</v>
      </c>
      <c r="I6525" s="118">
        <f t="shared" ref="I6525" si="1654">H6525/E6525</f>
        <v>0.18461538461538463</v>
      </c>
      <c r="J6525" s="5">
        <v>95713</v>
      </c>
      <c r="K6525" s="22">
        <v>2015</v>
      </c>
      <c r="L6525" s="6">
        <v>2010</v>
      </c>
      <c r="M6525" s="125">
        <f t="shared" ref="M6525" si="1655">L6525-K6525</f>
        <v>-5</v>
      </c>
      <c r="P6525" s="247">
        <v>15050</v>
      </c>
      <c r="Q6525" s="25">
        <f>194.62/1406.5</f>
        <v>0.13837184500533239</v>
      </c>
      <c r="W6525" s="285">
        <f t="shared" ref="W6525" si="1656">(P6525*Q6525)*(1+U6525)</f>
        <v>2082.4962673302525</v>
      </c>
      <c r="X6525" s="443">
        <f t="shared" ref="X6525" si="1657">P6525/K6525</f>
        <v>7.4689826302729525</v>
      </c>
    </row>
    <row r="6526" spans="1:24" ht="15" customHeight="1">
      <c r="A6526" s="3">
        <v>44873</v>
      </c>
      <c r="B6526" s="4">
        <v>24475</v>
      </c>
      <c r="C6526" s="5">
        <v>0</v>
      </c>
      <c r="D6526" s="5">
        <v>2225</v>
      </c>
      <c r="E6526" s="5">
        <v>27625</v>
      </c>
      <c r="F6526" s="4">
        <v>0</v>
      </c>
      <c r="G6526" s="4">
        <v>0</v>
      </c>
      <c r="H6526" s="9">
        <v>5100</v>
      </c>
      <c r="I6526" s="118">
        <f t="shared" ref="I6526" si="1658">H6526/E6526</f>
        <v>0.18461538461538463</v>
      </c>
      <c r="J6526" s="5">
        <v>97346</v>
      </c>
      <c r="K6526" s="22">
        <v>2030</v>
      </c>
      <c r="L6526" s="6">
        <v>2034</v>
      </c>
      <c r="M6526" s="125">
        <f t="shared" ref="M6526" si="1659">L6526-K6526</f>
        <v>4</v>
      </c>
      <c r="P6526" s="247">
        <v>15075</v>
      </c>
      <c r="Q6526" s="25">
        <f>191.37/1387.3</f>
        <v>0.13794420817415123</v>
      </c>
      <c r="W6526" s="285">
        <f t="shared" ref="W6526" si="1660">(P6526*Q6526)*(1+U6526)</f>
        <v>2079.50893822533</v>
      </c>
      <c r="X6526" s="443">
        <f t="shared" ref="X6526" si="1661">P6526/K6526</f>
        <v>7.4261083743842367</v>
      </c>
    </row>
    <row r="6527" spans="1:24" ht="15" customHeight="1">
      <c r="A6527" s="3">
        <v>44874</v>
      </c>
      <c r="B6527" s="4">
        <v>23975</v>
      </c>
      <c r="C6527" s="5">
        <v>0</v>
      </c>
      <c r="D6527" s="5">
        <v>2225</v>
      </c>
      <c r="E6527" s="5">
        <v>27125</v>
      </c>
      <c r="F6527" s="4">
        <v>0</v>
      </c>
      <c r="G6527" s="4">
        <v>500</v>
      </c>
      <c r="H6527" s="9">
        <v>7100</v>
      </c>
      <c r="I6527" s="118">
        <f t="shared" ref="I6527" si="1662">H6527/E6527</f>
        <v>0.26175115207373273</v>
      </c>
      <c r="J6527" s="5">
        <v>96534</v>
      </c>
      <c r="K6527" s="22">
        <v>2060</v>
      </c>
      <c r="L6527" s="6">
        <v>2054</v>
      </c>
      <c r="M6527" s="125">
        <f t="shared" ref="M6527" si="1663">L6527-K6527</f>
        <v>-6</v>
      </c>
      <c r="P6527" s="247">
        <v>15175</v>
      </c>
      <c r="Q6527" s="25">
        <f>188.42/1368.3</f>
        <v>0.13770371994445663</v>
      </c>
      <c r="W6527" s="285">
        <f t="shared" ref="W6527" si="1664">(P6527*Q6527)*(1+U6527)</f>
        <v>2089.6539501571292</v>
      </c>
      <c r="X6527" s="443">
        <f t="shared" ref="X6527" si="1665">P6527/K6527</f>
        <v>7.366504854368932</v>
      </c>
    </row>
    <row r="6528" spans="1:24" ht="15" customHeight="1">
      <c r="A6528" s="3">
        <v>44875</v>
      </c>
      <c r="B6528" s="4">
        <v>23975</v>
      </c>
      <c r="C6528" s="5">
        <v>0</v>
      </c>
      <c r="D6528" s="5">
        <v>2200</v>
      </c>
      <c r="E6528" s="5">
        <v>27100</v>
      </c>
      <c r="F6528" s="4">
        <v>0</v>
      </c>
      <c r="G6528" s="4">
        <v>25</v>
      </c>
      <c r="H6528" s="9">
        <v>7075</v>
      </c>
      <c r="I6528" s="118">
        <f t="shared" ref="I6528" si="1666">H6528/E6528</f>
        <v>0.26107011070110703</v>
      </c>
      <c r="J6528" s="5">
        <v>100942</v>
      </c>
      <c r="K6528" s="22">
        <v>2065</v>
      </c>
      <c r="L6528" s="6">
        <v>2058</v>
      </c>
      <c r="M6528" s="125">
        <f t="shared" ref="M6528" si="1667">L6528-K6528</f>
        <v>-7</v>
      </c>
      <c r="N6528" s="449"/>
      <c r="O6528" s="245"/>
      <c r="P6528" s="247">
        <v>15350</v>
      </c>
      <c r="Q6528" s="25">
        <f>188.87/1370.1</f>
        <v>0.13785125173345011</v>
      </c>
      <c r="W6528" s="285">
        <f t="shared" ref="W6528" si="1668">(P6528*Q6528)*(1+U6528)</f>
        <v>2116.0167141084594</v>
      </c>
      <c r="X6528" s="443">
        <f t="shared" ref="X6528" si="1669">P6528/K6528</f>
        <v>7.433414043583535</v>
      </c>
    </row>
    <row r="6529" spans="1:24" ht="15" customHeight="1">
      <c r="A6529" s="3">
        <v>44876</v>
      </c>
      <c r="B6529" s="4">
        <v>23675</v>
      </c>
      <c r="C6529" s="5">
        <v>0</v>
      </c>
      <c r="D6529" s="5">
        <v>2200</v>
      </c>
      <c r="E6529" s="5">
        <v>26800</v>
      </c>
      <c r="F6529" s="4">
        <v>0</v>
      </c>
      <c r="G6529" s="4">
        <v>300</v>
      </c>
      <c r="H6529" s="9">
        <v>6775</v>
      </c>
      <c r="I6529" s="118">
        <f t="shared" ref="I6529" si="1670">H6529/E6529</f>
        <v>0.25279850746268656</v>
      </c>
      <c r="J6529" s="5">
        <v>102574</v>
      </c>
      <c r="K6529" s="22">
        <v>2156.5</v>
      </c>
      <c r="L6529" s="6">
        <v>2157</v>
      </c>
      <c r="M6529" s="125">
        <f t="shared" ref="M6529" si="1671">L6529-K6529</f>
        <v>0.5</v>
      </c>
      <c r="N6529" s="454"/>
      <c r="O6529" s="245"/>
      <c r="P6529" s="247">
        <v>15375</v>
      </c>
      <c r="Q6529" s="25">
        <f>186.43/1334.1</f>
        <v>0.13974214826474779</v>
      </c>
      <c r="W6529" s="285">
        <f t="shared" ref="W6529" si="1672">(P6529*Q6529)*(1+U6529)</f>
        <v>2148.5355295704971</v>
      </c>
      <c r="X6529" s="443">
        <f t="shared" ref="X6529" si="1673">P6529/K6529</f>
        <v>7.1296081613725946</v>
      </c>
    </row>
    <row r="6530" spans="1:24" ht="15" customHeight="1">
      <c r="A6530" s="3">
        <v>44879</v>
      </c>
      <c r="B6530" s="4">
        <v>23675</v>
      </c>
      <c r="C6530" s="5">
        <v>0</v>
      </c>
      <c r="D6530" s="5">
        <v>2150</v>
      </c>
      <c r="E6530" s="5">
        <v>26750</v>
      </c>
      <c r="F6530" s="4">
        <v>0</v>
      </c>
      <c r="G6530" s="4">
        <v>50</v>
      </c>
      <c r="H6530" s="9">
        <v>6725</v>
      </c>
      <c r="I6530" s="118">
        <f t="shared" ref="I6530" si="1674">H6530/E6530</f>
        <v>0.25140186915887852</v>
      </c>
      <c r="J6530" s="5">
        <v>103257</v>
      </c>
      <c r="K6530" s="22">
        <v>2175</v>
      </c>
      <c r="L6530" s="6">
        <v>2169</v>
      </c>
      <c r="M6530" s="125">
        <f t="shared" ref="M6530" si="1675">L6530-K6530</f>
        <v>-6</v>
      </c>
      <c r="N6530" s="449"/>
      <c r="O6530" s="245"/>
      <c r="P6530" s="247">
        <v>15400</v>
      </c>
      <c r="Q6530" s="25">
        <f>187.67/1320.3</f>
        <v>0.14214193743846096</v>
      </c>
      <c r="W6530" s="285">
        <f t="shared" ref="W6530" si="1676">(P6530*Q6530)*(1+U6530)</f>
        <v>2188.9858365522987</v>
      </c>
      <c r="X6530" s="443">
        <f t="shared" ref="X6530" si="1677">P6530/K6530</f>
        <v>7.0804597701149428</v>
      </c>
    </row>
    <row r="6531" spans="1:24" ht="15" customHeight="1">
      <c r="A6531" s="3">
        <v>44880</v>
      </c>
      <c r="B6531" s="4">
        <v>23675</v>
      </c>
      <c r="C6531" s="5">
        <v>0</v>
      </c>
      <c r="D6531" s="5">
        <v>2150</v>
      </c>
      <c r="E6531" s="5">
        <v>26750</v>
      </c>
      <c r="F6531" s="4">
        <v>0</v>
      </c>
      <c r="G6531" s="4">
        <v>0</v>
      </c>
      <c r="H6531" s="9">
        <v>6725</v>
      </c>
      <c r="I6531" s="118">
        <f t="shared" ref="I6531" si="1678">H6531/E6531</f>
        <v>0.25140186915887852</v>
      </c>
      <c r="J6531" s="5">
        <v>101921</v>
      </c>
      <c r="K6531" s="22">
        <v>2212.5</v>
      </c>
      <c r="L6531" s="6">
        <v>2219</v>
      </c>
      <c r="M6531" s="125">
        <f t="shared" ref="M6531" si="1679">L6531-K6531</f>
        <v>6.5</v>
      </c>
      <c r="N6531" s="449"/>
      <c r="O6531" s="245"/>
      <c r="P6531" s="247">
        <v>15600</v>
      </c>
      <c r="Q6531" s="25">
        <f>187.62/1322.4</f>
        <v>0.14187840290381123</v>
      </c>
      <c r="W6531" s="285">
        <f t="shared" ref="W6531" si="1680">(P6531*Q6531)*(1+U6531)</f>
        <v>2213.3030852994552</v>
      </c>
      <c r="X6531" s="443">
        <f t="shared" ref="X6531" si="1681">P6531/K6531</f>
        <v>7.0508474576271185</v>
      </c>
    </row>
    <row r="6532" spans="1:24" ht="15" customHeight="1">
      <c r="A6532" s="3">
        <v>44881</v>
      </c>
      <c r="B6532" s="4">
        <v>26975</v>
      </c>
      <c r="C6532" s="5">
        <v>0</v>
      </c>
      <c r="D6532" s="5">
        <v>2125</v>
      </c>
      <c r="E6532" s="5">
        <v>30025</v>
      </c>
      <c r="F6532" s="4">
        <v>3300</v>
      </c>
      <c r="G6532" s="4">
        <v>25</v>
      </c>
      <c r="H6532" s="9">
        <v>6700</v>
      </c>
      <c r="I6532" s="118">
        <f t="shared" ref="I6532" si="1682">H6532/E6532</f>
        <v>0.22314737718567859</v>
      </c>
      <c r="J6532" s="5">
        <v>108263</v>
      </c>
      <c r="K6532" s="22">
        <v>2209</v>
      </c>
      <c r="L6532" s="6">
        <v>2200</v>
      </c>
      <c r="M6532" s="125">
        <f t="shared" ref="M6532" si="1683">L6532-K6532</f>
        <v>-9</v>
      </c>
      <c r="N6532" s="449"/>
      <c r="O6532" s="245"/>
      <c r="P6532" s="247">
        <v>15625</v>
      </c>
      <c r="Q6532" s="25">
        <f>187.62/1325.6</f>
        <v>0.14153590826795415</v>
      </c>
      <c r="W6532" s="285">
        <f t="shared" ref="W6532" si="1684">(P6532*Q6532)*(1+U6532)</f>
        <v>2211.4985666867838</v>
      </c>
      <c r="X6532" s="443">
        <f t="shared" ref="X6532" si="1685">P6532/K6532</f>
        <v>7.0733363512901768</v>
      </c>
    </row>
    <row r="6533" spans="1:24" ht="15" customHeight="1">
      <c r="A6533" s="3">
        <v>44882</v>
      </c>
      <c r="B6533" s="4">
        <v>26575</v>
      </c>
      <c r="C6533" s="5">
        <v>0</v>
      </c>
      <c r="D6533" s="5">
        <v>2125</v>
      </c>
      <c r="E6533" s="5">
        <v>29625</v>
      </c>
      <c r="F6533" s="4">
        <v>0</v>
      </c>
      <c r="G6533" s="4">
        <v>400</v>
      </c>
      <c r="H6533" s="9">
        <v>6300</v>
      </c>
      <c r="I6533" s="118">
        <f t="shared" ref="I6533:I6535" si="1686">H6533/E6533</f>
        <v>0.21265822784810126</v>
      </c>
      <c r="J6533" s="5">
        <v>100034</v>
      </c>
      <c r="K6533" s="22">
        <v>2147</v>
      </c>
      <c r="L6533" s="6">
        <v>2160</v>
      </c>
      <c r="M6533" s="125">
        <f t="shared" ref="M6533:M6536" si="1687">L6533-K6533</f>
        <v>13</v>
      </c>
      <c r="P6533" s="247">
        <v>15475</v>
      </c>
      <c r="Q6533" s="25">
        <f>187.99/1338.4</f>
        <v>0.1404587567244471</v>
      </c>
      <c r="W6533" s="285">
        <f t="shared" ref="W6533:W6535" si="1688">(P6533*Q6533)*(1+U6533)</f>
        <v>2173.5992603108189</v>
      </c>
      <c r="X6533" s="443">
        <f t="shared" ref="X6533" si="1689">P6533/K6533</f>
        <v>7.2077317186772243</v>
      </c>
    </row>
    <row r="6534" spans="1:24" ht="15" customHeight="1">
      <c r="A6534" s="3">
        <v>44883</v>
      </c>
      <c r="B6534" s="4">
        <v>26575</v>
      </c>
      <c r="C6534" s="5">
        <v>0</v>
      </c>
      <c r="D6534" s="5">
        <v>2125</v>
      </c>
      <c r="E6534" s="5">
        <v>29625</v>
      </c>
      <c r="F6534" s="4">
        <v>0</v>
      </c>
      <c r="G6534" s="4">
        <v>0</v>
      </c>
      <c r="H6534" s="5">
        <v>6300</v>
      </c>
      <c r="I6534" s="118">
        <f t="shared" si="1686"/>
        <v>0.21265822784810126</v>
      </c>
      <c r="J6534" s="5">
        <v>100588</v>
      </c>
      <c r="K6534" s="22">
        <v>2175</v>
      </c>
      <c r="L6534" s="6">
        <v>2184</v>
      </c>
      <c r="M6534" s="125">
        <f t="shared" si="1687"/>
        <v>9</v>
      </c>
      <c r="P6534" s="247">
        <v>15450</v>
      </c>
      <c r="Q6534" s="25">
        <f>187.49/1340</f>
        <v>0.1399179104477612</v>
      </c>
      <c r="W6534" s="285">
        <f t="shared" si="1688"/>
        <v>2161.7317164179103</v>
      </c>
      <c r="X6534" s="443">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18">
        <f t="shared" si="1686"/>
        <v>0.1956896551724138</v>
      </c>
      <c r="J6535" s="5">
        <v>100514</v>
      </c>
      <c r="K6535" s="22">
        <v>2113</v>
      </c>
      <c r="L6535" s="6">
        <v>2127</v>
      </c>
      <c r="M6535" s="125">
        <f t="shared" si="1687"/>
        <v>14</v>
      </c>
      <c r="P6535" s="247">
        <v>15450</v>
      </c>
      <c r="Q6535" s="25">
        <f>189.06/1352.3</f>
        <v>0.1398062560082822</v>
      </c>
      <c r="W6535" s="285">
        <f t="shared" si="1688"/>
        <v>2160.0066553279598</v>
      </c>
      <c r="X6535" s="443">
        <f t="shared" si="1690"/>
        <v>7.3118788452437293</v>
      </c>
    </row>
    <row r="6536" spans="1:24" ht="15" customHeight="1">
      <c r="A6536" s="3">
        <v>44887</v>
      </c>
      <c r="B6536" s="4">
        <v>25325</v>
      </c>
      <c r="C6536" s="5">
        <v>0</v>
      </c>
      <c r="D6536" s="5">
        <v>2125</v>
      </c>
      <c r="E6536" s="5">
        <v>28375</v>
      </c>
      <c r="F6536" s="4">
        <v>0</v>
      </c>
      <c r="G6536" s="4">
        <v>625</v>
      </c>
      <c r="H6536" s="5">
        <v>5050</v>
      </c>
      <c r="I6536" s="118">
        <f t="shared" ref="I6536" si="1691">H6536/E6536</f>
        <v>0.17797356828193833</v>
      </c>
      <c r="J6536" s="5">
        <v>98894</v>
      </c>
      <c r="K6536" s="22">
        <v>2095.5</v>
      </c>
      <c r="L6536" s="6">
        <v>2113</v>
      </c>
      <c r="M6536" s="125">
        <f t="shared" si="1687"/>
        <v>17.5</v>
      </c>
      <c r="P6536" s="247">
        <v>15450</v>
      </c>
      <c r="Q6536" s="25">
        <f>189.19/1355.7</f>
        <v>0.13955152319834771</v>
      </c>
      <c r="W6536" s="285">
        <f t="shared" ref="W6536" si="1692">(P6536*Q6536)*(1+U6536)</f>
        <v>2156.0710334144719</v>
      </c>
      <c r="X6536" s="443">
        <f t="shared" si="1690"/>
        <v>7.3729420186113099</v>
      </c>
    </row>
    <row r="6537" spans="1:24" ht="15" customHeight="1">
      <c r="A6537" s="3">
        <v>44888</v>
      </c>
      <c r="B6537" s="4">
        <v>24525</v>
      </c>
      <c r="C6537" s="5">
        <v>0</v>
      </c>
      <c r="D6537" s="5">
        <v>2125</v>
      </c>
      <c r="E6537" s="5">
        <v>27575</v>
      </c>
      <c r="F6537" s="4">
        <v>0</v>
      </c>
      <c r="G6537" s="4">
        <v>800</v>
      </c>
      <c r="H6537" s="5">
        <v>4250</v>
      </c>
      <c r="I6537" s="118">
        <f t="shared" ref="I6537:I6539" si="1693">H6537/E6537</f>
        <v>0.1541251133272892</v>
      </c>
      <c r="J6537" s="5">
        <v>99309</v>
      </c>
      <c r="K6537" s="22">
        <v>2082</v>
      </c>
      <c r="L6537" s="6">
        <v>2096</v>
      </c>
      <c r="M6537" s="125">
        <f t="shared" ref="M6537:M6538" si="1694">L6537-K6537</f>
        <v>14</v>
      </c>
      <c r="P6537" s="247">
        <v>15450</v>
      </c>
      <c r="Q6537" s="25">
        <f>189.11/1352.3</f>
        <v>0.13984323005250315</v>
      </c>
      <c r="W6537" s="285">
        <f t="shared" ref="W6537:W6538" si="1695">(P6537*Q6537)*(1+U6537)</f>
        <v>2160.5779043111738</v>
      </c>
      <c r="X6537" s="443">
        <f t="shared" si="1690"/>
        <v>7.4207492795389047</v>
      </c>
    </row>
    <row r="6538" spans="1:24" ht="15" customHeight="1">
      <c r="A6538" s="3">
        <v>44889</v>
      </c>
      <c r="B6538" s="4">
        <v>23600</v>
      </c>
      <c r="C6538" s="5">
        <v>0</v>
      </c>
      <c r="D6538" s="5">
        <v>2125</v>
      </c>
      <c r="E6538" s="5">
        <v>26650</v>
      </c>
      <c r="F6538" s="4">
        <v>0</v>
      </c>
      <c r="G6538" s="4">
        <v>925</v>
      </c>
      <c r="H6538" s="5">
        <v>3325</v>
      </c>
      <c r="I6538" s="118">
        <f t="shared" si="1693"/>
        <v>0.124765478424015</v>
      </c>
      <c r="J6538" s="5">
        <v>99349</v>
      </c>
      <c r="K6538" s="22">
        <v>2128</v>
      </c>
      <c r="L6538" s="6">
        <v>2140</v>
      </c>
      <c r="M6538" s="125">
        <f t="shared" si="1694"/>
        <v>12</v>
      </c>
      <c r="P6538" s="247">
        <v>15475</v>
      </c>
      <c r="Q6538" s="25">
        <f>186.88/1333.2</f>
        <v>0.14017401740174015</v>
      </c>
      <c r="W6538" s="285">
        <f t="shared" si="1695"/>
        <v>2169.1929192919288</v>
      </c>
      <c r="X6538" s="443">
        <f t="shared" si="1690"/>
        <v>7.2720864661654137</v>
      </c>
    </row>
    <row r="6539" spans="1:24" ht="15" customHeight="1">
      <c r="A6539" s="3">
        <v>44890</v>
      </c>
      <c r="B6539" s="4">
        <v>22300</v>
      </c>
      <c r="C6539" s="5">
        <v>0</v>
      </c>
      <c r="D6539" s="5">
        <v>2125</v>
      </c>
      <c r="E6539" s="5">
        <v>25350</v>
      </c>
      <c r="F6539" s="4">
        <v>0</v>
      </c>
      <c r="G6539" s="4">
        <v>1300</v>
      </c>
      <c r="H6539" s="5">
        <v>2025</v>
      </c>
      <c r="I6539" s="118">
        <f t="shared" si="1693"/>
        <v>7.9881656804733733E-2</v>
      </c>
      <c r="J6539" s="5">
        <v>100427</v>
      </c>
      <c r="K6539" s="22">
        <v>2135</v>
      </c>
      <c r="L6539" s="6">
        <v>2140</v>
      </c>
      <c r="M6539" s="125">
        <f t="shared" ref="M6539" si="1696">L6539-K6539</f>
        <v>5</v>
      </c>
      <c r="N6539" s="449"/>
      <c r="O6539" s="245"/>
      <c r="P6539" s="247">
        <v>15400</v>
      </c>
      <c r="Q6539" s="25">
        <f>184.92/1326.8</f>
        <v>0.13937292734398551</v>
      </c>
      <c r="W6539" s="285">
        <f t="shared" ref="W6539" si="1697">(P6539*Q6539)*(1+U6539)</f>
        <v>2146.3430810973769</v>
      </c>
      <c r="X6539" s="443">
        <f t="shared" si="1690"/>
        <v>7.2131147540983607</v>
      </c>
    </row>
    <row r="6540" spans="1:24" ht="15" customHeight="1">
      <c r="A6540" s="3">
        <v>44893</v>
      </c>
      <c r="B6540" s="4">
        <v>21300</v>
      </c>
      <c r="C6540" s="5">
        <v>0</v>
      </c>
      <c r="D6540" s="5">
        <v>2125</v>
      </c>
      <c r="E6540" s="5">
        <v>24350</v>
      </c>
      <c r="F6540" s="4">
        <v>0</v>
      </c>
      <c r="G6540" s="4">
        <v>1000</v>
      </c>
      <c r="H6540" s="5">
        <v>1025</v>
      </c>
      <c r="I6540" s="118">
        <f t="shared" ref="I6540" si="1698">H6540/E6540</f>
        <v>4.2094455852156057E-2</v>
      </c>
      <c r="J6540" s="5">
        <v>99972</v>
      </c>
      <c r="K6540" s="22">
        <v>2107</v>
      </c>
      <c r="L6540" s="6">
        <v>2116</v>
      </c>
      <c r="M6540" s="125">
        <f t="shared" ref="M6540" si="1699">L6540-K6540</f>
        <v>9</v>
      </c>
      <c r="N6540" s="449"/>
      <c r="O6540" s="245"/>
      <c r="P6540" s="247">
        <v>15400</v>
      </c>
      <c r="Q6540" s="25">
        <f>185.43/1339</f>
        <v>0.13848394324122479</v>
      </c>
      <c r="W6540" s="285">
        <f t="shared" ref="W6540" si="1700">(P6540*Q6540)*(1+U6540)</f>
        <v>2132.6527259148615</v>
      </c>
      <c r="X6540" s="443">
        <f t="shared" ref="X6540" si="1701">P6540/K6540</f>
        <v>7.308970099667774</v>
      </c>
    </row>
    <row r="6541" spans="1:24" ht="15" customHeight="1">
      <c r="A6541" s="3">
        <v>44894</v>
      </c>
      <c r="B6541" s="4">
        <v>20950</v>
      </c>
      <c r="C6541" s="5">
        <v>0</v>
      </c>
      <c r="D6541" s="5">
        <v>2075</v>
      </c>
      <c r="E6541" s="5">
        <v>23950</v>
      </c>
      <c r="F6541" s="4">
        <v>0</v>
      </c>
      <c r="G6541" s="4">
        <v>400</v>
      </c>
      <c r="H6541" s="5">
        <v>625</v>
      </c>
      <c r="I6541" s="118">
        <f t="shared" ref="I6541" si="1702">H6541/E6541</f>
        <v>2.6096033402922755E-2</v>
      </c>
      <c r="J6541" s="5">
        <v>99902</v>
      </c>
      <c r="K6541" s="22">
        <v>2122</v>
      </c>
      <c r="L6541" s="6">
        <v>2137</v>
      </c>
      <c r="M6541" s="125">
        <f t="shared" ref="M6541" si="1703">L6541-K6541</f>
        <v>15</v>
      </c>
      <c r="N6541" s="449"/>
      <c r="O6541" s="245"/>
      <c r="P6541" s="247">
        <v>15425</v>
      </c>
      <c r="Q6541" s="25">
        <f>184.64/1331.5</f>
        <v>0.13867067217423956</v>
      </c>
      <c r="W6541" s="285">
        <f>(P6541*Q6541)*(1+U6541)</f>
        <v>2138.9951182876453</v>
      </c>
      <c r="X6541" s="443">
        <f t="shared" ref="X6541" si="1704">P6541/K6541</f>
        <v>7.2690857681432615</v>
      </c>
    </row>
    <row r="6542" spans="1:24" ht="15" customHeight="1">
      <c r="A6542" s="3">
        <v>44895</v>
      </c>
      <c r="B6542" s="4">
        <v>20800</v>
      </c>
      <c r="C6542" s="5">
        <v>0</v>
      </c>
      <c r="D6542" s="5">
        <v>2025</v>
      </c>
      <c r="E6542" s="5">
        <v>23750</v>
      </c>
      <c r="F6542" s="4">
        <v>0</v>
      </c>
      <c r="G6542" s="4">
        <v>200</v>
      </c>
      <c r="H6542" s="5">
        <v>625</v>
      </c>
      <c r="I6542" s="118">
        <f t="shared" ref="I6542" si="1705">H6542/E6542</f>
        <v>2.6315789473684209E-2</v>
      </c>
      <c r="J6542" s="5">
        <v>99834</v>
      </c>
      <c r="K6542" s="22">
        <v>2164</v>
      </c>
      <c r="L6542" s="6">
        <v>2170</v>
      </c>
      <c r="M6542" s="125">
        <f t="shared" ref="M6542" si="1706">L6542-K6542</f>
        <v>6</v>
      </c>
      <c r="N6542" s="448">
        <f>AVERAGE($K$6521:K6542)</f>
        <v>2099.3863636363635</v>
      </c>
      <c r="O6542" s="395">
        <f>AVERAGE($K$6296:K6542)</f>
        <v>2144.7792207792209</v>
      </c>
      <c r="P6542" s="247">
        <v>15500</v>
      </c>
      <c r="Q6542" s="25">
        <f>184.62/1320.1</f>
        <v>0.13985304143625485</v>
      </c>
      <c r="W6542" s="285">
        <f>(P6542*Q6542)*(1+U6542)</f>
        <v>2167.72214226195</v>
      </c>
      <c r="X6542" s="443">
        <f t="shared" ref="X6542" si="1707">P6542/K6542</f>
        <v>7.1626617375231056</v>
      </c>
    </row>
    <row r="6543" spans="1:24" ht="15" customHeight="1" thickBot="1">
      <c r="A6543" s="394"/>
      <c r="B6543" s="394"/>
      <c r="C6543" s="394"/>
      <c r="D6543" s="394"/>
      <c r="E6543" s="216"/>
      <c r="F6543" s="407"/>
      <c r="G6543" s="164"/>
      <c r="H6543" s="164"/>
      <c r="I6543" s="166"/>
      <c r="J6543" s="166"/>
      <c r="K6543" s="166"/>
      <c r="L6543" s="167"/>
      <c r="M6543" s="167"/>
      <c r="N6543" s="167"/>
      <c r="O6543" s="180"/>
      <c r="P6543" s="180"/>
      <c r="Q6543" s="180"/>
      <c r="R6543" s="248"/>
      <c r="S6543" s="249"/>
      <c r="T6543" s="249"/>
      <c r="U6543" s="152"/>
      <c r="V6543" s="153">
        <f>AVERAGE(P6521:P6542)</f>
        <v>15330.681818181818</v>
      </c>
      <c r="W6543" s="152"/>
      <c r="X6543" s="447">
        <f>V6543/N6542</f>
        <v>7.3024585106037483</v>
      </c>
    </row>
    <row r="6544" spans="1:24" ht="15" customHeight="1">
      <c r="A6544" s="3">
        <v>44896</v>
      </c>
      <c r="B6544" s="4">
        <v>20800</v>
      </c>
      <c r="C6544" s="5">
        <v>0</v>
      </c>
      <c r="D6544" s="5">
        <v>2025</v>
      </c>
      <c r="E6544" s="5">
        <v>23750</v>
      </c>
      <c r="F6544" s="4">
        <v>0</v>
      </c>
      <c r="G6544" s="4">
        <v>0</v>
      </c>
      <c r="H6544" s="5">
        <v>425</v>
      </c>
      <c r="I6544" s="118">
        <f t="shared" ref="I6544:I6547" si="1708">H6544/E6544</f>
        <v>1.7894736842105262E-2</v>
      </c>
      <c r="J6544" s="5">
        <v>99151</v>
      </c>
      <c r="K6544" s="22">
        <v>2155</v>
      </c>
      <c r="L6544" s="6">
        <v>2170</v>
      </c>
      <c r="M6544" s="125">
        <f t="shared" ref="M6544:M6546" si="1709">L6544-K6544</f>
        <v>15</v>
      </c>
      <c r="P6544" s="247">
        <v>15525</v>
      </c>
      <c r="Q6544" s="25">
        <f>184.52/1300.8</f>
        <v>0.14185116851168514</v>
      </c>
      <c r="W6544" s="285">
        <f t="shared" ref="W6544:W6549" si="1710">(P6544*Q6544)*(1+U6544)</f>
        <v>2202.2393911439117</v>
      </c>
      <c r="X6544" s="443">
        <f t="shared" ref="X6544:X6546" si="1711">P6544/K6544</f>
        <v>7.2041763341067284</v>
      </c>
    </row>
    <row r="6545" spans="1:24" ht="15" customHeight="1">
      <c r="A6545" s="3">
        <v>44897</v>
      </c>
      <c r="B6545" s="4">
        <v>20800</v>
      </c>
      <c r="C6545" s="5">
        <v>0</v>
      </c>
      <c r="D6545" s="5">
        <v>2025</v>
      </c>
      <c r="E6545" s="5">
        <v>23750</v>
      </c>
      <c r="F6545" s="4">
        <v>0</v>
      </c>
      <c r="G6545" s="4">
        <v>0</v>
      </c>
      <c r="H6545" s="5">
        <v>425</v>
      </c>
      <c r="I6545" s="118">
        <f t="shared" si="1708"/>
        <v>1.7894736842105262E-2</v>
      </c>
      <c r="J6545" s="5">
        <v>99866</v>
      </c>
      <c r="K6545" s="22">
        <v>2171</v>
      </c>
      <c r="L6545" s="6">
        <v>2185</v>
      </c>
      <c r="M6545" s="125">
        <f t="shared" si="1709"/>
        <v>14</v>
      </c>
      <c r="P6545" s="247">
        <v>15500</v>
      </c>
      <c r="Q6545" s="25">
        <f>184.3/1300.4</f>
        <v>0.14172562288526608</v>
      </c>
      <c r="W6545" s="285">
        <f t="shared" si="1710"/>
        <v>2196.7471547216242</v>
      </c>
      <c r="X6545" s="443">
        <f t="shared" si="1711"/>
        <v>7.1395670198065408</v>
      </c>
    </row>
    <row r="6546" spans="1:24" ht="15" customHeight="1">
      <c r="A6546" s="3">
        <v>44900</v>
      </c>
      <c r="B6546" s="4">
        <v>20800</v>
      </c>
      <c r="C6546" s="5">
        <v>0</v>
      </c>
      <c r="D6546" s="5">
        <v>2025</v>
      </c>
      <c r="E6546" s="5">
        <v>23750</v>
      </c>
      <c r="F6546" s="4">
        <v>0</v>
      </c>
      <c r="G6546" s="4">
        <v>0</v>
      </c>
      <c r="H6546" s="5">
        <v>425</v>
      </c>
      <c r="I6546" s="118">
        <f t="shared" si="1708"/>
        <v>1.7894736842105262E-2</v>
      </c>
      <c r="J6546" s="5">
        <v>100684</v>
      </c>
      <c r="K6546" s="22">
        <v>2194.5</v>
      </c>
      <c r="L6546" s="6">
        <v>2214</v>
      </c>
      <c r="M6546" s="125">
        <f t="shared" si="1709"/>
        <v>19.5</v>
      </c>
      <c r="P6546" s="247">
        <v>15700</v>
      </c>
      <c r="Q6546" s="25">
        <f>185.82/1293.2</f>
        <v>0.14369007114135476</v>
      </c>
      <c r="W6546" s="285">
        <f t="shared" si="1710"/>
        <v>2255.9341169192699</v>
      </c>
      <c r="X6546" s="443">
        <f t="shared" si="1711"/>
        <v>7.154249259512417</v>
      </c>
    </row>
    <row r="6547" spans="1:24" ht="15" customHeight="1">
      <c r="A6547" s="3">
        <v>44901</v>
      </c>
      <c r="B6547" s="4">
        <v>20800</v>
      </c>
      <c r="C6547" s="5">
        <v>0</v>
      </c>
      <c r="D6547" s="5">
        <v>2025</v>
      </c>
      <c r="E6547" s="5">
        <v>23750</v>
      </c>
      <c r="F6547" s="4">
        <v>0</v>
      </c>
      <c r="G6547" s="4">
        <v>0</v>
      </c>
      <c r="H6547" s="5">
        <v>425</v>
      </c>
      <c r="I6547" s="118">
        <f t="shared" si="1708"/>
        <v>1.7894736842105262E-2</v>
      </c>
      <c r="J6547" s="5">
        <v>100859</v>
      </c>
      <c r="K6547" s="22">
        <v>2210</v>
      </c>
      <c r="L6547" s="6">
        <v>2228</v>
      </c>
      <c r="M6547" s="125">
        <f t="shared" ref="M6547" si="1712">L6547-K6547</f>
        <v>18</v>
      </c>
      <c r="P6547" s="247">
        <v>15700</v>
      </c>
      <c r="Q6547" s="25">
        <f>187.81/1309</f>
        <v>0.14347593582887699</v>
      </c>
      <c r="W6547" s="285">
        <f t="shared" si="1710"/>
        <v>2252.5721925133689</v>
      </c>
      <c r="X6547" s="443">
        <f t="shared" ref="X6547" si="1713">P6547/K6547</f>
        <v>7.1040723981900449</v>
      </c>
    </row>
    <row r="6548" spans="1:24" ht="15" customHeight="1">
      <c r="A6548" s="3">
        <v>44902</v>
      </c>
      <c r="B6548" s="4">
        <v>20800</v>
      </c>
      <c r="C6548" s="5">
        <v>0</v>
      </c>
      <c r="D6548" s="5">
        <v>2025</v>
      </c>
      <c r="E6548" s="5">
        <v>23750</v>
      </c>
      <c r="F6548" s="4">
        <v>0</v>
      </c>
      <c r="G6548" s="4">
        <v>0</v>
      </c>
      <c r="H6548" s="5">
        <v>425</v>
      </c>
      <c r="I6548" s="118">
        <f t="shared" ref="I6548:I6549" si="1714">H6548/E6548</f>
        <v>1.7894736842105262E-2</v>
      </c>
      <c r="J6548" s="5">
        <v>101135</v>
      </c>
      <c r="K6548" s="22">
        <v>2206</v>
      </c>
      <c r="L6548" s="6">
        <v>2224</v>
      </c>
      <c r="M6548" s="125">
        <f t="shared" ref="M6548" si="1715">L6548-K6548</f>
        <v>18</v>
      </c>
      <c r="P6548" s="247">
        <v>15600</v>
      </c>
      <c r="Q6548" s="25">
        <f>189.02/1319.5</f>
        <v>0.1432512315270936</v>
      </c>
      <c r="W6548" s="285">
        <f t="shared" si="1710"/>
        <v>2234.7192118226603</v>
      </c>
      <c r="X6548" s="443">
        <f t="shared" ref="X6548" si="1716">P6548/K6548</f>
        <v>7.071622846781505</v>
      </c>
    </row>
    <row r="6549" spans="1:24" ht="15" customHeight="1">
      <c r="A6549" s="3">
        <v>44903</v>
      </c>
      <c r="B6549" s="4">
        <v>20800</v>
      </c>
      <c r="C6549" s="5">
        <v>0</v>
      </c>
      <c r="D6549" s="5">
        <v>2025</v>
      </c>
      <c r="E6549" s="5">
        <v>23750</v>
      </c>
      <c r="F6549" s="4">
        <v>0</v>
      </c>
      <c r="G6549" s="4">
        <v>0</v>
      </c>
      <c r="H6549" s="5">
        <v>425</v>
      </c>
      <c r="I6549" s="118">
        <f t="shared" si="1714"/>
        <v>1.7894736842105262E-2</v>
      </c>
      <c r="J6549" s="5">
        <v>100975</v>
      </c>
      <c r="K6549" s="22">
        <v>2199</v>
      </c>
      <c r="L6549" s="6">
        <v>2218</v>
      </c>
      <c r="M6549" s="125">
        <f t="shared" ref="M6549" si="1717">L6549-K6549</f>
        <v>19</v>
      </c>
      <c r="N6549" s="449"/>
      <c r="O6549" s="245"/>
      <c r="P6549" s="247">
        <v>15550</v>
      </c>
      <c r="Q6549" s="25">
        <f>189.55/1320.4</f>
        <v>0.14355498333838232</v>
      </c>
      <c r="W6549" s="285">
        <f t="shared" si="1710"/>
        <v>2232.2799909118453</v>
      </c>
      <c r="X6549" s="443">
        <f t="shared" ref="X6549" si="1718">P6549/K6549</f>
        <v>7.0713960891314231</v>
      </c>
    </row>
    <row r="6550" spans="1:24" ht="15" customHeight="1">
      <c r="A6550" s="3">
        <v>44904</v>
      </c>
      <c r="B6550" s="4">
        <v>21400</v>
      </c>
      <c r="C6550" s="5">
        <v>0</v>
      </c>
      <c r="D6550" s="5">
        <v>2025</v>
      </c>
      <c r="E6550" s="5">
        <v>24350</v>
      </c>
      <c r="F6550" s="4">
        <v>600</v>
      </c>
      <c r="G6550" s="4">
        <v>0</v>
      </c>
      <c r="H6550" s="5">
        <v>425</v>
      </c>
      <c r="I6550" s="118">
        <f t="shared" ref="I6550:I6556" si="1719">H6550/E6550</f>
        <v>1.7453798767967144E-2</v>
      </c>
      <c r="J6550" s="5">
        <v>102422</v>
      </c>
      <c r="K6550" s="22">
        <v>2207</v>
      </c>
      <c r="L6550" s="6">
        <v>2222</v>
      </c>
      <c r="M6550" s="125">
        <f t="shared" ref="M6550" si="1720">L6550-K6550</f>
        <v>15</v>
      </c>
      <c r="N6550" s="449"/>
      <c r="O6550" s="245"/>
      <c r="P6550" s="247">
        <v>15575</v>
      </c>
      <c r="Q6550" s="25">
        <f>188.07/1306.6</f>
        <v>0.14393846624827797</v>
      </c>
      <c r="W6550" s="285">
        <f t="shared" ref="W6550" si="1721">(P6550*Q6550)*(1+U6550)</f>
        <v>2241.8416118169293</v>
      </c>
      <c r="X6550" s="443">
        <f t="shared" ref="X6550" si="1722">P6550/K6550</f>
        <v>7.0570910738559132</v>
      </c>
    </row>
    <row r="6551" spans="1:24" ht="15" customHeight="1">
      <c r="A6551" s="3">
        <v>44907</v>
      </c>
      <c r="B6551" s="4">
        <v>21400</v>
      </c>
      <c r="C6551" s="5">
        <v>0</v>
      </c>
      <c r="D6551" s="5">
        <v>2025</v>
      </c>
      <c r="E6551" s="5">
        <v>24350</v>
      </c>
      <c r="F6551" s="4">
        <v>0</v>
      </c>
      <c r="G6551" s="4">
        <v>0</v>
      </c>
      <c r="H6551" s="5">
        <v>425</v>
      </c>
      <c r="I6551" s="118">
        <f t="shared" si="1719"/>
        <v>1.7453798767967144E-2</v>
      </c>
      <c r="J6551" s="5">
        <v>103121</v>
      </c>
      <c r="K6551" s="22">
        <v>2190</v>
      </c>
      <c r="L6551" s="6">
        <v>2195</v>
      </c>
      <c r="M6551" s="125">
        <f t="shared" ref="M6551" si="1723">L6551-K6551</f>
        <v>5</v>
      </c>
      <c r="N6551" s="449"/>
      <c r="O6551" s="245"/>
      <c r="P6551" s="247">
        <v>15425</v>
      </c>
      <c r="Q6551" s="25">
        <f>187.67/1310</f>
        <v>0.14325954198473281</v>
      </c>
      <c r="W6551" s="285">
        <f t="shared" ref="W6551" si="1724">(P6551*Q6551)*(1+U6551)</f>
        <v>2209.7784351145037</v>
      </c>
      <c r="X6551" s="443">
        <f t="shared" ref="X6551" si="1725">P6551/K6551</f>
        <v>7.0433789954337902</v>
      </c>
    </row>
    <row r="6552" spans="1:24" ht="15" customHeight="1">
      <c r="A6552" s="3">
        <v>44908</v>
      </c>
      <c r="B6552" s="4">
        <v>21400</v>
      </c>
      <c r="C6552" s="5">
        <v>0</v>
      </c>
      <c r="D6552" s="5">
        <v>2025</v>
      </c>
      <c r="E6552" s="5">
        <v>24350</v>
      </c>
      <c r="F6552" s="4">
        <v>0</v>
      </c>
      <c r="G6552" s="4">
        <v>0</v>
      </c>
      <c r="H6552" s="5">
        <v>425</v>
      </c>
      <c r="I6552" s="118">
        <f t="shared" si="1719"/>
        <v>1.7453798767967144E-2</v>
      </c>
      <c r="J6552" s="5">
        <v>104341</v>
      </c>
      <c r="K6552" s="22">
        <v>2201</v>
      </c>
      <c r="L6552" s="6">
        <v>2210</v>
      </c>
      <c r="M6552" s="125">
        <f t="shared" ref="M6552" si="1726">L6552-K6552</f>
        <v>9</v>
      </c>
      <c r="N6552" s="449"/>
      <c r="O6552" s="245"/>
      <c r="P6552" s="247">
        <v>15425</v>
      </c>
      <c r="Q6552" s="25">
        <f>187.12/1304.4</f>
        <v>0.14345292854952468</v>
      </c>
      <c r="W6552" s="285">
        <f t="shared" ref="W6552" si="1727">(P6552*Q6552)*(1+U6552)</f>
        <v>2212.7614228764182</v>
      </c>
      <c r="X6552" s="443">
        <f t="shared" ref="X6552" si="1728">P6552/K6552</f>
        <v>7.008178100863244</v>
      </c>
    </row>
    <row r="6553" spans="1:24" ht="15" customHeight="1">
      <c r="A6553" s="3">
        <v>44909</v>
      </c>
      <c r="B6553" s="4">
        <v>21400</v>
      </c>
      <c r="C6553" s="5">
        <v>0</v>
      </c>
      <c r="D6553" s="5">
        <v>2025</v>
      </c>
      <c r="E6553" s="5">
        <v>24350</v>
      </c>
      <c r="F6553" s="4">
        <v>0</v>
      </c>
      <c r="G6553" s="4">
        <v>0</v>
      </c>
      <c r="H6553" s="5">
        <v>425</v>
      </c>
      <c r="I6553" s="118">
        <f t="shared" si="1719"/>
        <v>1.7453798767967144E-2</v>
      </c>
      <c r="J6553" s="5">
        <v>105906</v>
      </c>
      <c r="K6553" s="22">
        <v>2147</v>
      </c>
      <c r="L6553" s="6">
        <v>2153</v>
      </c>
      <c r="M6553" s="125">
        <f t="shared" ref="M6553" si="1729">L6553-K6553</f>
        <v>6</v>
      </c>
      <c r="N6553" s="449"/>
      <c r="O6553" s="245"/>
      <c r="P6553" s="247">
        <v>15400</v>
      </c>
      <c r="Q6553" s="25">
        <f>186.12/1296</f>
        <v>0.14361111111111111</v>
      </c>
      <c r="W6553" s="285">
        <f t="shared" ref="W6553" si="1730">(P6553*Q6553)*(1+U6553)</f>
        <v>2211.6111111111109</v>
      </c>
      <c r="X6553" s="443">
        <f t="shared" ref="X6553" si="1731">P6553/K6553</f>
        <v>7.1727992547741035</v>
      </c>
    </row>
    <row r="6554" spans="1:24" ht="15" customHeight="1">
      <c r="A6554" s="3">
        <v>44910</v>
      </c>
      <c r="B6554" s="4">
        <v>21400</v>
      </c>
      <c r="C6554" s="5">
        <v>0</v>
      </c>
      <c r="D6554" s="5">
        <v>2025</v>
      </c>
      <c r="E6554" s="5">
        <v>24350</v>
      </c>
      <c r="F6554" s="4">
        <v>0</v>
      </c>
      <c r="G6554" s="4">
        <v>0</v>
      </c>
      <c r="H6554" s="5">
        <v>425</v>
      </c>
      <c r="I6554" s="118">
        <f t="shared" si="1719"/>
        <v>1.7453798767967144E-2</v>
      </c>
      <c r="J6554" s="5">
        <v>105983</v>
      </c>
      <c r="K6554" s="22">
        <v>2133</v>
      </c>
      <c r="L6554" s="6">
        <v>2144</v>
      </c>
      <c r="M6554" s="125">
        <f t="shared" ref="M6554:M6557" si="1732">L6554-K6554</f>
        <v>11</v>
      </c>
      <c r="P6554" s="247">
        <v>15325</v>
      </c>
      <c r="Q6554" s="25">
        <f>186.99/1301</f>
        <v>0.14372790161414298</v>
      </c>
      <c r="W6554" s="285">
        <f t="shared" ref="W6554" si="1733">(P6554*Q6554)*(1+U6554)</f>
        <v>2202.6300922367413</v>
      </c>
      <c r="X6554" s="443">
        <f t="shared" ref="X6554" si="1734">P6554/K6554</f>
        <v>7.1847163619315522</v>
      </c>
    </row>
    <row r="6555" spans="1:24" ht="15" customHeight="1">
      <c r="A6555" s="3">
        <v>44911</v>
      </c>
      <c r="B6555" s="4">
        <v>21400</v>
      </c>
      <c r="C6555" s="5">
        <v>0</v>
      </c>
      <c r="D6555" s="5">
        <v>2025</v>
      </c>
      <c r="E6555" s="5">
        <v>24350</v>
      </c>
      <c r="F6555" s="4">
        <v>0</v>
      </c>
      <c r="G6555" s="5">
        <v>0</v>
      </c>
      <c r="H6555" s="5">
        <v>425</v>
      </c>
      <c r="I6555" s="118">
        <f t="shared" si="1719"/>
        <v>1.7453798767967144E-2</v>
      </c>
      <c r="J6555" s="5">
        <v>105679</v>
      </c>
      <c r="K6555" s="22">
        <v>2156</v>
      </c>
      <c r="L6555" s="6">
        <v>2162</v>
      </c>
      <c r="M6555" s="125">
        <f t="shared" si="1732"/>
        <v>6</v>
      </c>
      <c r="P6555" s="247">
        <v>15375</v>
      </c>
      <c r="Q6555" s="25">
        <f>187.57/1310.1</f>
        <v>0.14317227692542556</v>
      </c>
      <c r="W6555" s="285">
        <f t="shared" ref="W6555:W6556" si="1735">(P6555*Q6555)*(1+U6555)</f>
        <v>2201.2737577284179</v>
      </c>
      <c r="X6555" s="443">
        <f t="shared" ref="X6555:X6556" si="1736">P6555/K6555</f>
        <v>7.1312615955473095</v>
      </c>
    </row>
    <row r="6556" spans="1:24" ht="15" customHeight="1">
      <c r="A6556" s="3">
        <v>44914</v>
      </c>
      <c r="B6556" s="4">
        <v>21400</v>
      </c>
      <c r="C6556" s="5">
        <v>0</v>
      </c>
      <c r="D6556" s="5">
        <v>2025</v>
      </c>
      <c r="E6556" s="5">
        <v>24350</v>
      </c>
      <c r="F6556" s="4">
        <v>0</v>
      </c>
      <c r="G6556" s="5">
        <v>0</v>
      </c>
      <c r="H6556" s="5">
        <v>425</v>
      </c>
      <c r="I6556" s="118">
        <f t="shared" si="1719"/>
        <v>1.7453798767967144E-2</v>
      </c>
      <c r="J6556" s="5">
        <v>104575</v>
      </c>
      <c r="K6556" s="22">
        <v>2179</v>
      </c>
      <c r="L6556" s="6">
        <v>2168.5</v>
      </c>
      <c r="M6556" s="125">
        <f t="shared" si="1732"/>
        <v>-10.5</v>
      </c>
      <c r="P6556" s="247">
        <v>15350</v>
      </c>
      <c r="Q6556" s="25">
        <f>186.4/1302</f>
        <v>0.14316436251920123</v>
      </c>
      <c r="W6556" s="285">
        <f t="shared" si="1735"/>
        <v>2197.5729646697387</v>
      </c>
      <c r="X6556" s="443">
        <f t="shared" si="1736"/>
        <v>7.0445158329508946</v>
      </c>
    </row>
    <row r="6557" spans="1:24" ht="15" customHeight="1">
      <c r="A6557" s="3">
        <v>44915</v>
      </c>
      <c r="B6557" s="4">
        <v>21400</v>
      </c>
      <c r="C6557" s="5">
        <v>0</v>
      </c>
      <c r="D6557" s="5">
        <v>2025</v>
      </c>
      <c r="E6557" s="5">
        <v>24350</v>
      </c>
      <c r="F6557" s="4">
        <v>0</v>
      </c>
      <c r="G6557" s="5">
        <v>0</v>
      </c>
      <c r="H6557" s="5">
        <v>425</v>
      </c>
      <c r="I6557" s="118">
        <f t="shared" ref="I6557" si="1737">H6557/E6557</f>
        <v>1.7453798767967144E-2</v>
      </c>
      <c r="J6557" s="5">
        <v>101532</v>
      </c>
      <c r="K6557" s="22">
        <v>2175</v>
      </c>
      <c r="L6557" s="6">
        <v>2167</v>
      </c>
      <c r="M6557" s="125">
        <f t="shared" si="1732"/>
        <v>-8</v>
      </c>
      <c r="P6557" s="247">
        <v>15325</v>
      </c>
      <c r="Q6557" s="25">
        <f>186.32/1298</f>
        <v>0.14354391371340525</v>
      </c>
      <c r="W6557" s="285">
        <f t="shared" ref="W6557" si="1738">(P6557*Q6557)*(1+U6557)</f>
        <v>2199.8104776579353</v>
      </c>
      <c r="X6557" s="443">
        <f t="shared" ref="X6557" si="1739">P6557/K6557</f>
        <v>7.0459770114942533</v>
      </c>
    </row>
    <row r="6558" spans="1:24" ht="15" customHeight="1">
      <c r="A6558" s="3">
        <v>44916</v>
      </c>
      <c r="B6558" s="4">
        <v>21400</v>
      </c>
      <c r="C6558" s="5">
        <v>0</v>
      </c>
      <c r="D6558" s="5">
        <v>2025</v>
      </c>
      <c r="E6558" s="5">
        <v>24350</v>
      </c>
      <c r="F6558" s="4">
        <v>0</v>
      </c>
      <c r="G6558" s="5">
        <v>0</v>
      </c>
      <c r="H6558" s="5">
        <v>1875</v>
      </c>
      <c r="I6558" s="118">
        <f t="shared" ref="I6558" si="1740">H6558/E6558</f>
        <v>7.7002053388090352E-2</v>
      </c>
      <c r="J6558" s="5">
        <v>100113</v>
      </c>
      <c r="K6558" s="22">
        <v>2217</v>
      </c>
      <c r="L6558" s="6">
        <v>2187.5</v>
      </c>
      <c r="M6558" s="125">
        <f t="shared" ref="M6558" si="1741">L6558-K6558</f>
        <v>-29.5</v>
      </c>
      <c r="P6558" s="247">
        <v>15375</v>
      </c>
      <c r="Q6558" s="25">
        <f>184.6/1286.6</f>
        <v>0.14347893673247319</v>
      </c>
      <c r="W6558" s="285">
        <f t="shared" ref="W6558" si="1742">(P6558*Q6558)*(1+U6558)</f>
        <v>2205.9886522617753</v>
      </c>
      <c r="X6558" s="443">
        <f t="shared" ref="X6558" si="1743">P6558/K6558</f>
        <v>6.9350473612990529</v>
      </c>
    </row>
    <row r="6559" spans="1:24" ht="15" customHeight="1">
      <c r="A6559" s="3">
        <v>44917</v>
      </c>
      <c r="B6559" s="4">
        <v>21400</v>
      </c>
      <c r="C6559" s="5">
        <v>0</v>
      </c>
      <c r="D6559" s="5">
        <v>2025</v>
      </c>
      <c r="E6559" s="5">
        <v>24350</v>
      </c>
      <c r="F6559" s="4">
        <v>0</v>
      </c>
      <c r="G6559" s="5">
        <v>0</v>
      </c>
      <c r="H6559" s="5">
        <v>8275</v>
      </c>
      <c r="I6559" s="118">
        <f t="shared" ref="I6559" si="1744">H6559/E6559</f>
        <v>0.33983572895277209</v>
      </c>
      <c r="J6559" s="5">
        <v>101650</v>
      </c>
      <c r="K6559" s="22">
        <v>2277</v>
      </c>
      <c r="L6559" s="6">
        <v>2236</v>
      </c>
      <c r="M6559" s="125">
        <f t="shared" ref="M6559" si="1745">L6559-K6559</f>
        <v>-41</v>
      </c>
      <c r="N6559" s="449"/>
      <c r="O6559" s="245"/>
      <c r="P6559" s="247">
        <v>15575</v>
      </c>
      <c r="Q6559" s="25">
        <f>182.86/1276.1</f>
        <v>0.14329597993887627</v>
      </c>
      <c r="W6559" s="285">
        <f t="shared" ref="W6559" si="1746">(P6559*Q6559)*(1+U6559)</f>
        <v>2231.8348875479978</v>
      </c>
      <c r="X6559" s="443">
        <f t="shared" ref="X6559" si="1747">P6559/K6559</f>
        <v>6.8401405357927096</v>
      </c>
    </row>
    <row r="6560" spans="1:24" ht="15" customHeight="1">
      <c r="A6560" s="3">
        <v>44918</v>
      </c>
      <c r="B6560" s="4">
        <v>21400</v>
      </c>
      <c r="C6560" s="5">
        <v>0</v>
      </c>
      <c r="D6560" s="5">
        <v>2025</v>
      </c>
      <c r="E6560" s="5">
        <v>24350</v>
      </c>
      <c r="F6560" s="4">
        <v>0</v>
      </c>
      <c r="G6560" s="5">
        <v>0</v>
      </c>
      <c r="H6560" s="5">
        <v>9775</v>
      </c>
      <c r="I6560" s="118">
        <f t="shared" ref="I6560" si="1748">H6560/E6560</f>
        <v>0.40143737166324434</v>
      </c>
      <c r="J6560" s="5">
        <v>102381</v>
      </c>
      <c r="K6560" s="22">
        <v>2280</v>
      </c>
      <c r="L6560" s="6">
        <v>2238</v>
      </c>
      <c r="M6560" s="125">
        <f t="shared" ref="M6560" si="1749">L6560-K6560</f>
        <v>-42</v>
      </c>
      <c r="N6560" s="449"/>
      <c r="O6560" s="245"/>
      <c r="P6560" s="247">
        <v>15675</v>
      </c>
      <c r="Q6560" s="25">
        <f>183.22/1282.2</f>
        <v>0.14289502417719543</v>
      </c>
      <c r="W6560" s="285">
        <f t="shared" ref="W6560" si="1750">(P6560*Q6560)*(1+U6560)</f>
        <v>2239.8795039775382</v>
      </c>
      <c r="X6560" s="443">
        <f t="shared" ref="X6560" si="1751">P6560/K6560</f>
        <v>6.875</v>
      </c>
    </row>
    <row r="6561" spans="1:24" ht="15" customHeight="1">
      <c r="A6561" s="3">
        <v>44921</v>
      </c>
      <c r="B6561" s="1318" t="s">
        <v>61</v>
      </c>
      <c r="C6561" s="1318"/>
      <c r="D6561" s="1318"/>
      <c r="E6561" s="1318"/>
      <c r="F6561" s="1318"/>
      <c r="G6561" s="1318"/>
      <c r="H6561" s="1318"/>
      <c r="I6561" s="1318"/>
      <c r="J6561" s="1318"/>
      <c r="K6561" s="1318"/>
      <c r="L6561" s="1318"/>
      <c r="M6561" s="1318"/>
      <c r="N6561" s="449"/>
      <c r="O6561" s="245"/>
      <c r="P6561" s="247">
        <v>15825</v>
      </c>
      <c r="Q6561" s="25">
        <f>182.61/1276.4</f>
        <v>0.14306643685365089</v>
      </c>
      <c r="W6561" s="285">
        <f t="shared" ref="W6561" si="1752">(P6561*Q6561)*(1+U6561)</f>
        <v>2264.0263632090255</v>
      </c>
      <c r="X6561" s="443" t="e">
        <f>P6561/K6561</f>
        <v>#DIV/0!</v>
      </c>
    </row>
    <row r="6562" spans="1:24" ht="15" customHeight="1">
      <c r="A6562" s="3">
        <v>44922</v>
      </c>
      <c r="B6562" s="1318"/>
      <c r="C6562" s="1318"/>
      <c r="D6562" s="1318"/>
      <c r="E6562" s="1318"/>
      <c r="F6562" s="1318"/>
      <c r="G6562" s="1318"/>
      <c r="H6562" s="1318"/>
      <c r="I6562" s="1318"/>
      <c r="J6562" s="1318"/>
      <c r="K6562" s="1318"/>
      <c r="L6562" s="1318"/>
      <c r="M6562" s="1318"/>
      <c r="N6562" s="449"/>
      <c r="O6562" s="245"/>
      <c r="P6562" s="247">
        <v>15875</v>
      </c>
      <c r="Q6562" s="25">
        <f>181.75/1268.3</f>
        <v>0.14330205787274305</v>
      </c>
      <c r="W6562" s="285">
        <f t="shared" ref="W6562:W6563" si="1753">(P6562*Q6562)*(1+U6562)</f>
        <v>2274.9201687297959</v>
      </c>
      <c r="X6562" s="443" t="e">
        <f>P6562/K6562</f>
        <v>#DIV/0!</v>
      </c>
    </row>
    <row r="6563" spans="1:24" ht="15" customHeight="1">
      <c r="A6563" s="3">
        <v>44923</v>
      </c>
      <c r="B6563" s="4">
        <v>22050</v>
      </c>
      <c r="C6563" s="5">
        <v>0</v>
      </c>
      <c r="D6563" s="5">
        <v>2025</v>
      </c>
      <c r="E6563" s="5">
        <v>25000</v>
      </c>
      <c r="F6563" s="4">
        <v>650</v>
      </c>
      <c r="G6563" s="5">
        <v>0</v>
      </c>
      <c r="H6563" s="5">
        <v>9775</v>
      </c>
      <c r="I6563" s="118">
        <f t="shared" ref="I6563" si="1754">H6563/E6563</f>
        <v>0.39100000000000001</v>
      </c>
      <c r="J6563" s="5">
        <v>103241</v>
      </c>
      <c r="K6563" s="22">
        <v>2303</v>
      </c>
      <c r="L6563" s="6">
        <v>2268</v>
      </c>
      <c r="M6563" s="125">
        <f t="shared" ref="M6563" si="1755">L6563-K6563</f>
        <v>-35</v>
      </c>
      <c r="N6563" s="449"/>
      <c r="O6563" s="245"/>
      <c r="P6563" s="247">
        <v>15675</v>
      </c>
      <c r="Q6563" s="25">
        <f>181.98/1268.4</f>
        <v>0.14347209082308418</v>
      </c>
      <c r="W6563" s="285">
        <f t="shared" si="1753"/>
        <v>2248.9250236518446</v>
      </c>
      <c r="X6563" s="443">
        <f t="shared" ref="X6563" si="1756">P6563/K6563</f>
        <v>6.8063395570994354</v>
      </c>
    </row>
    <row r="6564" spans="1:24" ht="15" customHeight="1">
      <c r="A6564" s="3">
        <v>44924</v>
      </c>
      <c r="B6564" s="4">
        <v>22275</v>
      </c>
      <c r="C6564" s="5">
        <v>0</v>
      </c>
      <c r="D6564" s="5">
        <v>1950</v>
      </c>
      <c r="E6564" s="5">
        <v>25150</v>
      </c>
      <c r="F6564" s="4">
        <v>225</v>
      </c>
      <c r="G6564" s="5">
        <v>75</v>
      </c>
      <c r="H6564" s="5">
        <v>11100</v>
      </c>
      <c r="I6564" s="118">
        <f t="shared" ref="I6564" si="1757">H6564/E6564</f>
        <v>0.44135188866799202</v>
      </c>
      <c r="J6564" s="5">
        <v>104010</v>
      </c>
      <c r="K6564" s="22">
        <v>2314</v>
      </c>
      <c r="L6564" s="6">
        <v>2270</v>
      </c>
      <c r="M6564" s="125">
        <f t="shared" ref="M6564" si="1758">L6564-K6564</f>
        <v>-44</v>
      </c>
      <c r="P6564" s="247">
        <v>15700</v>
      </c>
      <c r="Q6564" s="25">
        <f>181.44/1267.3</f>
        <v>0.14317052000315633</v>
      </c>
      <c r="W6564" s="285">
        <f t="shared" ref="W6564" si="1759">(P6564*Q6564)*(1+U6564)</f>
        <v>2247.7771640495544</v>
      </c>
      <c r="X6564" s="443">
        <f t="shared" ref="X6564" si="1760">P6564/K6564</f>
        <v>6.7847882454624031</v>
      </c>
    </row>
    <row r="6565" spans="1:24" ht="15" customHeight="1">
      <c r="A6565" s="3">
        <v>44925</v>
      </c>
      <c r="B6565" s="4">
        <v>22275</v>
      </c>
      <c r="C6565" s="5">
        <v>0</v>
      </c>
      <c r="D6565" s="5">
        <v>1950</v>
      </c>
      <c r="E6565" s="5">
        <v>25150</v>
      </c>
      <c r="F6565" s="4">
        <v>0</v>
      </c>
      <c r="G6565" s="5">
        <v>0</v>
      </c>
      <c r="H6565" s="5">
        <v>12500</v>
      </c>
      <c r="I6565" s="118">
        <f t="shared" ref="I6565" si="1761">H6565/E6565</f>
        <v>0.49701789264413521</v>
      </c>
      <c r="J6565" s="5">
        <v>104611</v>
      </c>
      <c r="K6565" s="22">
        <v>2335</v>
      </c>
      <c r="L6565" s="6">
        <v>2281</v>
      </c>
      <c r="M6565" s="125">
        <f t="shared" ref="M6565" si="1762">L6565-K6565</f>
        <v>-54</v>
      </c>
      <c r="N6565" s="448">
        <f>AVERAGE($K$6544:K6565)</f>
        <v>2212.4749999999999</v>
      </c>
      <c r="O6565" s="395">
        <f>AVERAGE($K$6296:K6565)</f>
        <v>2150.1733067729083</v>
      </c>
      <c r="P6565" s="247">
        <v>15725</v>
      </c>
      <c r="Q6565" s="25">
        <f>181.44/1267.3</f>
        <v>0.14317052000315633</v>
      </c>
      <c r="W6565" s="285">
        <f>(P6565*Q6565)*(1+U6565)</f>
        <v>2251.3564270496331</v>
      </c>
      <c r="X6565" s="443">
        <f>P6565/K6565</f>
        <v>6.7344753747323338</v>
      </c>
    </row>
    <row r="6566" spans="1:24" ht="15" customHeight="1" thickBot="1">
      <c r="A6566" s="394"/>
      <c r="B6566" s="394"/>
      <c r="C6566" s="394"/>
      <c r="D6566" s="394"/>
      <c r="E6566" s="216"/>
      <c r="F6566" s="407"/>
      <c r="G6566" s="164"/>
      <c r="H6566" s="164"/>
      <c r="I6566" s="166"/>
      <c r="J6566" s="166"/>
      <c r="K6566" s="166"/>
      <c r="L6566" s="167"/>
      <c r="M6566" s="167"/>
      <c r="N6566" s="167"/>
      <c r="O6566" s="180"/>
      <c r="P6566" s="180"/>
      <c r="Q6566" s="180"/>
      <c r="R6566" s="248"/>
      <c r="S6566" s="249"/>
      <c r="T6566" s="249"/>
      <c r="U6566" s="152"/>
      <c r="V6566" s="153">
        <f>AVERAGE(P6544:P6565)</f>
        <v>15554.545454545454</v>
      </c>
      <c r="W6566" s="152"/>
      <c r="X6566" s="447">
        <f>V6566/N6565</f>
        <v>7.0303824696529702</v>
      </c>
    </row>
    <row r="6567" spans="1:24" ht="15" customHeight="1">
      <c r="A6567" s="3">
        <v>44928</v>
      </c>
      <c r="B6567" s="1328" t="s">
        <v>61</v>
      </c>
      <c r="C6567" s="1328"/>
      <c r="D6567" s="1328"/>
      <c r="E6567" s="1328"/>
      <c r="F6567" s="1328"/>
      <c r="G6567" s="1328"/>
      <c r="H6567" s="1328"/>
      <c r="I6567" s="1328"/>
      <c r="J6567" s="1328"/>
      <c r="K6567" s="1328"/>
      <c r="L6567" s="1328"/>
      <c r="M6567" s="1328"/>
      <c r="P6567" s="5"/>
      <c r="Q6567" s="25">
        <f>183.2/1268.9</f>
        <v>0.14437701946567891</v>
      </c>
      <c r="W6567" s="285">
        <f t="shared" ref="W6567:W6572" si="1763">(P6567*Q6567)*(1+U6567)</f>
        <v>0</v>
      </c>
      <c r="X6567" s="443" t="e">
        <f t="shared" ref="X6567:X6572" si="1764">P6567/K6567</f>
        <v>#DIV/0!</v>
      </c>
    </row>
    <row r="6568" spans="1:24" ht="15" customHeight="1">
      <c r="A6568" s="3">
        <v>44929</v>
      </c>
      <c r="B6568" s="4">
        <v>22275</v>
      </c>
      <c r="C6568" s="5">
        <v>0</v>
      </c>
      <c r="D6568" s="5">
        <v>1950</v>
      </c>
      <c r="E6568" s="5">
        <v>25150</v>
      </c>
      <c r="F6568" s="4">
        <v>0</v>
      </c>
      <c r="G6568" s="5">
        <v>0</v>
      </c>
      <c r="H6568" s="5">
        <v>13900</v>
      </c>
      <c r="I6568" s="118">
        <f t="shared" ref="I6568:I6569" si="1765">H6568/E6568</f>
        <v>0.55268389662027828</v>
      </c>
      <c r="J6568" s="5">
        <v>105740</v>
      </c>
      <c r="K6568" s="22">
        <v>2322</v>
      </c>
      <c r="L6568" s="6">
        <v>2268</v>
      </c>
      <c r="M6568" s="125">
        <f t="shared" ref="M6568:M6570" si="1766">L6568-K6568</f>
        <v>-54</v>
      </c>
      <c r="P6568" s="247">
        <v>15700</v>
      </c>
      <c r="Q6568" s="25">
        <f>184.01/1272.1</f>
        <v>0.14465057778476534</v>
      </c>
      <c r="W6568" s="285">
        <f t="shared" si="1763"/>
        <v>2271.0140712208158</v>
      </c>
      <c r="X6568" s="443">
        <f t="shared" si="1764"/>
        <v>6.7614125753660641</v>
      </c>
    </row>
    <row r="6569" spans="1:24" ht="15" customHeight="1">
      <c r="A6569" s="3">
        <v>44930</v>
      </c>
      <c r="B6569" s="4">
        <v>22275</v>
      </c>
      <c r="C6569" s="5">
        <v>0</v>
      </c>
      <c r="D6569" s="5">
        <v>1950</v>
      </c>
      <c r="E6569" s="5">
        <v>25150</v>
      </c>
      <c r="F6569" s="4">
        <v>0</v>
      </c>
      <c r="G6569" s="5">
        <v>0</v>
      </c>
      <c r="H6569" s="5">
        <v>15300</v>
      </c>
      <c r="I6569" s="118">
        <f t="shared" si="1765"/>
        <v>0.60834990059642147</v>
      </c>
      <c r="J6569" s="5">
        <v>106425</v>
      </c>
      <c r="K6569" s="22">
        <v>2331</v>
      </c>
      <c r="L6569" s="6">
        <v>2267</v>
      </c>
      <c r="M6569" s="125">
        <f t="shared" si="1766"/>
        <v>-64</v>
      </c>
      <c r="P6569" s="247">
        <v>15625</v>
      </c>
      <c r="Q6569" s="25">
        <f>184.68/1274.7</f>
        <v>0.14488114850553072</v>
      </c>
      <c r="W6569" s="285">
        <f t="shared" si="1763"/>
        <v>2263.7679453989176</v>
      </c>
      <c r="X6569" s="443">
        <f t="shared" si="1764"/>
        <v>6.703131703131703</v>
      </c>
    </row>
    <row r="6570" spans="1:24" ht="15" customHeight="1">
      <c r="A6570" s="3">
        <v>44931</v>
      </c>
      <c r="B6570" s="4">
        <v>23075</v>
      </c>
      <c r="C6570" s="5">
        <v>0</v>
      </c>
      <c r="D6570" s="5">
        <v>1900</v>
      </c>
      <c r="E6570" s="5">
        <v>25900</v>
      </c>
      <c r="F6570" s="4">
        <v>800</v>
      </c>
      <c r="G6570" s="5">
        <v>50</v>
      </c>
      <c r="H6570" s="5">
        <v>16650</v>
      </c>
      <c r="I6570" s="118">
        <f t="shared" ref="I6570" si="1767">H6570/E6570</f>
        <v>0.6428571428571429</v>
      </c>
      <c r="J6570" s="5">
        <v>107369</v>
      </c>
      <c r="K6570" s="22">
        <v>2298.5</v>
      </c>
      <c r="L6570" s="6">
        <v>2243</v>
      </c>
      <c r="M6570" s="125">
        <f t="shared" si="1766"/>
        <v>-55.5</v>
      </c>
      <c r="N6570" s="449"/>
      <c r="O6570" s="245"/>
      <c r="P6570" s="247">
        <v>15525</v>
      </c>
      <c r="Q6570" s="25">
        <f>184.48/1270.3</f>
        <v>0.14522553727465953</v>
      </c>
      <c r="W6570" s="285">
        <f t="shared" si="1763"/>
        <v>2254.6264661890891</v>
      </c>
      <c r="X6570" s="443">
        <f t="shared" si="1764"/>
        <v>6.7544050467696319</v>
      </c>
    </row>
    <row r="6571" spans="1:24" ht="15" customHeight="1">
      <c r="A6571" s="3">
        <v>44932</v>
      </c>
      <c r="B6571" s="4">
        <v>23075</v>
      </c>
      <c r="C6571" s="5">
        <v>0</v>
      </c>
      <c r="D6571" s="5">
        <v>1800</v>
      </c>
      <c r="E6571" s="5">
        <v>25800</v>
      </c>
      <c r="F6571" s="4">
        <v>0</v>
      </c>
      <c r="G6571" s="5">
        <v>100</v>
      </c>
      <c r="H6571" s="5">
        <v>16575</v>
      </c>
      <c r="I6571" s="118">
        <f t="shared" ref="I6571" si="1768">H6571/E6571</f>
        <v>0.64244186046511631</v>
      </c>
      <c r="J6571" s="5">
        <v>108154</v>
      </c>
      <c r="K6571" s="22">
        <v>2235</v>
      </c>
      <c r="L6571" s="6">
        <v>2196</v>
      </c>
      <c r="M6571" s="125">
        <f t="shared" ref="M6571" si="1769">L6571-K6571</f>
        <v>-39</v>
      </c>
      <c r="N6571" s="449"/>
      <c r="O6571" s="245"/>
      <c r="P6571" s="247">
        <v>15525</v>
      </c>
      <c r="Q6571" s="25">
        <f>184.56/1267.2</f>
        <v>0.14564393939393938</v>
      </c>
      <c r="W6571" s="285">
        <f t="shared" si="1763"/>
        <v>2261.122159090909</v>
      </c>
      <c r="X6571" s="443">
        <f t="shared" si="1764"/>
        <v>6.9463087248322148</v>
      </c>
    </row>
    <row r="6572" spans="1:24" ht="15" customHeight="1">
      <c r="A6572" s="3">
        <v>44935</v>
      </c>
      <c r="B6572" s="4">
        <v>23075</v>
      </c>
      <c r="C6572" s="5">
        <v>0</v>
      </c>
      <c r="D6572" s="5">
        <v>1775</v>
      </c>
      <c r="E6572" s="5">
        <v>25775</v>
      </c>
      <c r="F6572" s="4">
        <v>0</v>
      </c>
      <c r="G6572" s="5">
        <v>25</v>
      </c>
      <c r="H6572" s="5">
        <v>16550</v>
      </c>
      <c r="I6572" s="118">
        <f t="shared" ref="I6572" si="1770">H6572/E6572</f>
        <v>0.64209505334626571</v>
      </c>
      <c r="J6572" s="5">
        <v>108209</v>
      </c>
      <c r="K6572" s="22">
        <v>2318</v>
      </c>
      <c r="L6572" s="6">
        <v>2287</v>
      </c>
      <c r="M6572" s="125">
        <f t="shared" ref="M6572" si="1771">L6572-K6572</f>
        <v>-31</v>
      </c>
      <c r="N6572" s="449"/>
      <c r="O6572" s="245"/>
      <c r="P6572" s="247">
        <v>15450</v>
      </c>
      <c r="Q6572" s="25">
        <f>183.24/1246.8</f>
        <v>0.14696823869104911</v>
      </c>
      <c r="W6572" s="285">
        <f t="shared" si="1763"/>
        <v>2270.6592877767089</v>
      </c>
      <c r="X6572" s="443">
        <f t="shared" si="1764"/>
        <v>6.6652286453839515</v>
      </c>
    </row>
    <row r="6573" spans="1:24" ht="15" customHeight="1">
      <c r="A6573" s="3">
        <v>44936</v>
      </c>
      <c r="B6573" s="4">
        <v>20675</v>
      </c>
      <c r="C6573" s="5">
        <v>0</v>
      </c>
      <c r="D6573" s="5">
        <v>1775</v>
      </c>
      <c r="E6573" s="5">
        <v>23375</v>
      </c>
      <c r="F6573" s="4">
        <v>600</v>
      </c>
      <c r="G6573" s="5">
        <v>3000</v>
      </c>
      <c r="H6573" s="5">
        <v>13550</v>
      </c>
      <c r="I6573" s="118">
        <f t="shared" ref="I6573" si="1772">H6573/E6573</f>
        <v>0.57967914438502677</v>
      </c>
      <c r="J6573" s="5">
        <v>109100</v>
      </c>
      <c r="K6573" s="22">
        <v>2208</v>
      </c>
      <c r="L6573" s="6">
        <v>2195</v>
      </c>
      <c r="M6573" s="125">
        <f t="shared" ref="M6573" si="1773">L6573-K6573</f>
        <v>-13</v>
      </c>
      <c r="N6573" s="449"/>
      <c r="O6573" s="245"/>
      <c r="P6573" s="247">
        <v>15450</v>
      </c>
      <c r="Q6573" s="25">
        <f>182.9/1240.8</f>
        <v>0.14740490006447454</v>
      </c>
      <c r="W6573" s="285">
        <f t="shared" ref="W6573" si="1774">(P6573*Q6573)*(1+U6573)</f>
        <v>2277.4057059961315</v>
      </c>
      <c r="X6573" s="443">
        <f t="shared" ref="X6573" si="1775">P6573/K6573</f>
        <v>6.9972826086956523</v>
      </c>
    </row>
    <row r="6574" spans="1:24" ht="15" customHeight="1">
      <c r="A6574" s="3">
        <v>44937</v>
      </c>
      <c r="B6574" s="4">
        <v>19175</v>
      </c>
      <c r="C6574" s="5">
        <v>0</v>
      </c>
      <c r="D6574" s="5">
        <v>1750</v>
      </c>
      <c r="E6574" s="5">
        <v>21850</v>
      </c>
      <c r="F6574" s="4">
        <v>0</v>
      </c>
      <c r="G6574" s="5">
        <v>1525</v>
      </c>
      <c r="H6574" s="5">
        <v>12025</v>
      </c>
      <c r="I6574" s="118">
        <f t="shared" ref="I6574" si="1776">H6574/E6574</f>
        <v>0.55034324942791757</v>
      </c>
      <c r="J6574" s="5">
        <v>109701</v>
      </c>
      <c r="K6574" s="22">
        <v>2202</v>
      </c>
      <c r="L6574" s="6">
        <v>2183</v>
      </c>
      <c r="M6574" s="125">
        <f t="shared" ref="M6574" si="1777">L6574-K6574</f>
        <v>-19</v>
      </c>
      <c r="N6574" s="449"/>
      <c r="O6574" s="245"/>
      <c r="P6574" s="247">
        <v>15325</v>
      </c>
      <c r="Q6574" s="25">
        <f>183.81/1245.3</f>
        <v>0.14760298723199231</v>
      </c>
      <c r="W6574" s="285">
        <f t="shared" ref="W6574" si="1778">(P6574*Q6574)*(1+U6574)</f>
        <v>2262.0157793302819</v>
      </c>
      <c r="X6574" s="443">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18">
        <f t="shared" ref="I6575:I6580" si="1780">H6575/E6575</f>
        <v>0.53016241299303946</v>
      </c>
      <c r="J6575" s="5">
        <v>111371</v>
      </c>
      <c r="K6575" s="22">
        <v>2155</v>
      </c>
      <c r="L6575" s="6">
        <v>2142</v>
      </c>
      <c r="M6575" s="125">
        <f t="shared" ref="M6575:M6580" si="1781">L6575-K6575</f>
        <v>-13</v>
      </c>
      <c r="P6575" s="247">
        <v>15225</v>
      </c>
      <c r="Q6575" s="25">
        <f>183.83/1244.6</f>
        <v>0.14770207295516635</v>
      </c>
      <c r="W6575" s="285">
        <f t="shared" ref="W6575" si="1782">(P6575*Q6575)*(1+U6575)</f>
        <v>2248.7640607424078</v>
      </c>
      <c r="X6575" s="443">
        <f t="shared" ref="X6575" si="1783">P6575/K6575</f>
        <v>7.064965197215777</v>
      </c>
    </row>
    <row r="6576" spans="1:24" ht="15" customHeight="1">
      <c r="A6576" s="3">
        <v>44939</v>
      </c>
      <c r="B6576" s="4">
        <v>18975</v>
      </c>
      <c r="C6576" s="5">
        <v>0</v>
      </c>
      <c r="D6576" s="5">
        <v>1650</v>
      </c>
      <c r="E6576" s="5">
        <v>21550</v>
      </c>
      <c r="F6576" s="4">
        <v>0</v>
      </c>
      <c r="G6576" s="5">
        <v>0</v>
      </c>
      <c r="H6576" s="5">
        <v>11425</v>
      </c>
      <c r="I6576" s="118">
        <f t="shared" si="1780"/>
        <v>0.53016241299303946</v>
      </c>
      <c r="J6576" s="5">
        <v>114564</v>
      </c>
      <c r="K6576" s="22">
        <v>2215</v>
      </c>
      <c r="L6576" s="6">
        <v>2195</v>
      </c>
      <c r="M6576" s="125">
        <f t="shared" si="1781"/>
        <v>-20</v>
      </c>
      <c r="P6576" s="247">
        <v>15200</v>
      </c>
      <c r="Q6576" s="25">
        <f>184.45/1240.6</f>
        <v>0.1486780590037079</v>
      </c>
      <c r="W6576" s="285">
        <f t="shared" ref="W6576:W6581" si="1784">(P6576*Q6576)*(1+U6576)</f>
        <v>2259.9064968563598</v>
      </c>
      <c r="X6576" s="443">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18">
        <f t="shared" si="1780"/>
        <v>0.52961672473867594</v>
      </c>
      <c r="J6577" s="5">
        <v>118090</v>
      </c>
      <c r="K6577" s="22">
        <v>2288</v>
      </c>
      <c r="L6577" s="6">
        <v>2245</v>
      </c>
      <c r="M6577" s="125">
        <f t="shared" si="1781"/>
        <v>-43</v>
      </c>
      <c r="P6577" s="247">
        <v>15225</v>
      </c>
      <c r="Q6577" s="25">
        <f>183.87/1234</f>
        <v>0.1490032414910859</v>
      </c>
      <c r="W6577" s="285">
        <f t="shared" si="1784"/>
        <v>2268.5743517017827</v>
      </c>
      <c r="X6577" s="443">
        <f t="shared" si="1785"/>
        <v>6.6542832167832167</v>
      </c>
    </row>
    <row r="6578" spans="1:24" ht="15" customHeight="1">
      <c r="A6578" s="3">
        <v>44943</v>
      </c>
      <c r="B6578" s="4">
        <v>18975</v>
      </c>
      <c r="C6578" s="5">
        <v>0</v>
      </c>
      <c r="D6578" s="5">
        <v>1625</v>
      </c>
      <c r="E6578" s="5">
        <v>21525</v>
      </c>
      <c r="F6578" s="4">
        <v>0</v>
      </c>
      <c r="G6578" s="5">
        <v>0</v>
      </c>
      <c r="H6578" s="5">
        <v>11400</v>
      </c>
      <c r="I6578" s="118">
        <f t="shared" si="1780"/>
        <v>0.52961672473867594</v>
      </c>
      <c r="J6578" s="5">
        <v>119012</v>
      </c>
      <c r="K6578" s="22">
        <v>2241</v>
      </c>
      <c r="L6578" s="6">
        <v>2224</v>
      </c>
      <c r="M6578" s="125">
        <f t="shared" si="1781"/>
        <v>-17</v>
      </c>
      <c r="P6578" s="247">
        <v>15225</v>
      </c>
      <c r="Q6578" s="25">
        <f>182.95/1238.5</f>
        <v>0.14771901493742429</v>
      </c>
      <c r="W6578" s="285">
        <f t="shared" si="1784"/>
        <v>2249.0220024222849</v>
      </c>
      <c r="X6578" s="443">
        <f t="shared" si="1785"/>
        <v>6.7938420348058903</v>
      </c>
    </row>
    <row r="6579" spans="1:24" ht="15" customHeight="1">
      <c r="A6579" s="3">
        <v>44944</v>
      </c>
      <c r="B6579" s="4">
        <v>18425</v>
      </c>
      <c r="C6579" s="5">
        <v>0</v>
      </c>
      <c r="D6579" s="5">
        <v>1625</v>
      </c>
      <c r="E6579" s="5">
        <v>20975</v>
      </c>
      <c r="F6579" s="4">
        <v>0</v>
      </c>
      <c r="G6579" s="5">
        <v>550</v>
      </c>
      <c r="H6579" s="5">
        <v>4025</v>
      </c>
      <c r="I6579" s="118">
        <f t="shared" si="1780"/>
        <v>0.19189511323003575</v>
      </c>
      <c r="J6579" s="5">
        <v>116514</v>
      </c>
      <c r="K6579" s="22">
        <v>2218</v>
      </c>
      <c r="L6579" s="6">
        <v>2209</v>
      </c>
      <c r="M6579" s="125">
        <f t="shared" si="1781"/>
        <v>-9</v>
      </c>
      <c r="P6579" s="247">
        <v>15200</v>
      </c>
      <c r="Q6579" s="25">
        <f>182.74/1239.8</f>
        <v>0.14739474108727216</v>
      </c>
      <c r="W6579" s="285">
        <f t="shared" si="1784"/>
        <v>2240.4000645265369</v>
      </c>
      <c r="X6579" s="443">
        <f t="shared" si="1785"/>
        <v>6.8530207394048697</v>
      </c>
    </row>
    <row r="6580" spans="1:24" ht="15" customHeight="1">
      <c r="A6580" s="3">
        <v>44945</v>
      </c>
      <c r="B6580" s="4">
        <v>18425</v>
      </c>
      <c r="C6580" s="5">
        <v>0</v>
      </c>
      <c r="D6580" s="5">
        <v>1625</v>
      </c>
      <c r="E6580" s="5">
        <v>20975</v>
      </c>
      <c r="F6580" s="4">
        <v>0</v>
      </c>
      <c r="G6580" s="5">
        <v>0</v>
      </c>
      <c r="H6580" s="5">
        <v>4025</v>
      </c>
      <c r="I6580" s="118">
        <f t="shared" si="1780"/>
        <v>0.19189511323003575</v>
      </c>
      <c r="J6580" s="5">
        <v>116818</v>
      </c>
      <c r="K6580" s="22">
        <v>2163</v>
      </c>
      <c r="L6580" s="6">
        <v>2155</v>
      </c>
      <c r="M6580" s="125">
        <f t="shared" si="1781"/>
        <v>-8</v>
      </c>
      <c r="P6580" s="247">
        <v>15175</v>
      </c>
      <c r="Q6580" s="25">
        <f>182.41/1236</f>
        <v>0.14758090614886732</v>
      </c>
      <c r="W6580" s="285">
        <f t="shared" si="1784"/>
        <v>2239.5402508090615</v>
      </c>
      <c r="X6580" s="443">
        <f t="shared" si="1785"/>
        <v>7.0157189089227927</v>
      </c>
    </row>
    <row r="6581" spans="1:24" ht="15" customHeight="1">
      <c r="A6581" s="3">
        <v>44946</v>
      </c>
      <c r="B6581" s="4">
        <v>17775</v>
      </c>
      <c r="C6581" s="5">
        <v>0</v>
      </c>
      <c r="D6581" s="5">
        <v>1550</v>
      </c>
      <c r="E6581" s="5">
        <v>20250</v>
      </c>
      <c r="F6581" s="4">
        <v>0</v>
      </c>
      <c r="G6581" s="5">
        <v>725</v>
      </c>
      <c r="H6581" s="5">
        <v>3300</v>
      </c>
      <c r="I6581" s="118">
        <f t="shared" ref="I6581" si="1786">H6581/E6581</f>
        <v>0.16296296296296298</v>
      </c>
      <c r="J6581" s="5">
        <v>125131</v>
      </c>
      <c r="K6581" s="22">
        <v>2142</v>
      </c>
      <c r="L6581" s="6">
        <v>2144</v>
      </c>
      <c r="M6581" s="125">
        <f t="shared" ref="M6581" si="1787">L6581-K6581</f>
        <v>2</v>
      </c>
      <c r="P6581" s="247">
        <v>15100</v>
      </c>
      <c r="Q6581" s="25">
        <f>182.41/1236</f>
        <v>0.14758090614886732</v>
      </c>
      <c r="W6581" s="285">
        <f t="shared" si="1784"/>
        <v>2228.4716828478963</v>
      </c>
      <c r="X6581" s="443">
        <f t="shared" si="1785"/>
        <v>7.049486461251167</v>
      </c>
    </row>
    <row r="6582" spans="1:24" ht="15" customHeight="1">
      <c r="A6582" s="3">
        <v>44949</v>
      </c>
      <c r="B6582" s="4">
        <v>17775</v>
      </c>
      <c r="C6582" s="5">
        <v>0</v>
      </c>
      <c r="D6582" s="5">
        <v>1550</v>
      </c>
      <c r="E6582" s="5">
        <v>20250</v>
      </c>
      <c r="F6582" s="4">
        <v>0</v>
      </c>
      <c r="G6582" s="5">
        <v>0</v>
      </c>
      <c r="H6582" s="5">
        <v>3300</v>
      </c>
      <c r="I6582" s="118">
        <f t="shared" ref="I6582" si="1788">H6582/E6582</f>
        <v>0.16296296296296298</v>
      </c>
      <c r="J6582" s="5">
        <v>112728</v>
      </c>
      <c r="K6582" s="22">
        <v>2105</v>
      </c>
      <c r="L6582" s="6">
        <v>2105</v>
      </c>
      <c r="M6582" s="125">
        <f t="shared" ref="M6582" si="1789">L6582-K6582</f>
        <v>0</v>
      </c>
      <c r="P6582" s="1325"/>
      <c r="Q6582" s="25">
        <f>182.41/1236</f>
        <v>0.14758090614886732</v>
      </c>
      <c r="W6582" s="285">
        <f t="shared" ref="W6582:W6583" si="1790">(P6582*Q6582)*(1+U6582)</f>
        <v>0</v>
      </c>
      <c r="X6582" s="443">
        <f t="shared" si="1785"/>
        <v>0</v>
      </c>
    </row>
    <row r="6583" spans="1:24" ht="15" customHeight="1">
      <c r="A6583" s="3">
        <v>44950</v>
      </c>
      <c r="B6583" s="4">
        <v>17775</v>
      </c>
      <c r="C6583" s="5">
        <v>0</v>
      </c>
      <c r="D6583" s="5">
        <v>1550</v>
      </c>
      <c r="E6583" s="5">
        <v>20250</v>
      </c>
      <c r="F6583" s="4">
        <v>0</v>
      </c>
      <c r="G6583" s="5">
        <v>0</v>
      </c>
      <c r="H6583" s="5">
        <v>3300</v>
      </c>
      <c r="I6583" s="118">
        <f t="shared" ref="I6583:I6584" si="1791">H6583/E6583</f>
        <v>0.16296296296296298</v>
      </c>
      <c r="J6583" s="5">
        <v>112619</v>
      </c>
      <c r="K6583" s="22">
        <v>2063</v>
      </c>
      <c r="L6583" s="6">
        <v>2068</v>
      </c>
      <c r="M6583" s="125">
        <f t="shared" ref="M6583:M6584" si="1792">L6583-K6583</f>
        <v>5</v>
      </c>
      <c r="P6583" s="1325"/>
      <c r="Q6583" s="25">
        <f>182.3/1234.4</f>
        <v>0.14768308489954635</v>
      </c>
      <c r="W6583" s="285">
        <f t="shared" si="1790"/>
        <v>0</v>
      </c>
      <c r="X6583" s="443">
        <f t="shared" si="1785"/>
        <v>0</v>
      </c>
    </row>
    <row r="6584" spans="1:24" ht="15" customHeight="1">
      <c r="A6584" s="3">
        <v>44951</v>
      </c>
      <c r="B6584" s="4">
        <v>17775</v>
      </c>
      <c r="C6584" s="5">
        <v>0</v>
      </c>
      <c r="D6584" s="5">
        <v>1550</v>
      </c>
      <c r="E6584" s="5">
        <v>20250</v>
      </c>
      <c r="F6584" s="4">
        <v>0</v>
      </c>
      <c r="G6584" s="5">
        <v>0</v>
      </c>
      <c r="H6584" s="5">
        <v>3400</v>
      </c>
      <c r="I6584" s="118">
        <f t="shared" si="1791"/>
        <v>0.16790123456790124</v>
      </c>
      <c r="J6584" s="5">
        <v>112842</v>
      </c>
      <c r="K6584" s="22">
        <v>2148</v>
      </c>
      <c r="L6584" s="6">
        <v>2147</v>
      </c>
      <c r="M6584" s="125">
        <f t="shared" si="1792"/>
        <v>-1</v>
      </c>
      <c r="N6584" s="449"/>
      <c r="O6584" s="245"/>
      <c r="P6584" s="1325"/>
      <c r="Q6584" s="25">
        <f>181.94/1233.4</f>
        <v>0.14751094535430517</v>
      </c>
      <c r="W6584" s="285">
        <f t="shared" ref="W6584" si="1793">(P6584*Q6584)*(1+U6584)</f>
        <v>0</v>
      </c>
      <c r="X6584" s="443">
        <f t="shared" ref="X6584" si="1794">P6584/K6584</f>
        <v>0</v>
      </c>
    </row>
    <row r="6585" spans="1:24" ht="15" customHeight="1">
      <c r="A6585" s="3">
        <v>44952</v>
      </c>
      <c r="B6585" s="4">
        <v>17775</v>
      </c>
      <c r="C6585" s="5">
        <v>0</v>
      </c>
      <c r="D6585" s="5">
        <v>1550</v>
      </c>
      <c r="E6585" s="5">
        <v>20250</v>
      </c>
      <c r="F6585" s="4">
        <v>0</v>
      </c>
      <c r="G6585" s="5">
        <v>0</v>
      </c>
      <c r="H6585" s="5">
        <v>3400</v>
      </c>
      <c r="I6585" s="118">
        <f t="shared" ref="I6585" si="1795">H6585/E6585</f>
        <v>0.16790123456790124</v>
      </c>
      <c r="J6585" s="5">
        <v>113098</v>
      </c>
      <c r="K6585" s="22">
        <v>2199</v>
      </c>
      <c r="L6585" s="6">
        <v>2188</v>
      </c>
      <c r="M6585" s="125">
        <f t="shared" ref="M6585" si="1796">L6585-K6585</f>
        <v>-11</v>
      </c>
      <c r="N6585" s="449"/>
      <c r="O6585" s="245"/>
      <c r="P6585" s="1325"/>
      <c r="Q6585" s="25">
        <f>182/1231.4</f>
        <v>0.1477992528828975</v>
      </c>
      <c r="W6585" s="285">
        <f t="shared" ref="W6585" si="1797">(P6585*Q6585)*(1+U6585)</f>
        <v>0</v>
      </c>
      <c r="X6585" s="443">
        <f t="shared" ref="X6585" si="1798">P6585/K6585</f>
        <v>0</v>
      </c>
    </row>
    <row r="6586" spans="1:24" ht="15" customHeight="1">
      <c r="A6586" s="3">
        <v>44953</v>
      </c>
      <c r="B6586" s="4">
        <v>17775</v>
      </c>
      <c r="C6586" s="5">
        <v>0</v>
      </c>
      <c r="D6586" s="5">
        <v>1550</v>
      </c>
      <c r="E6586" s="5">
        <v>20250</v>
      </c>
      <c r="F6586" s="4">
        <v>0</v>
      </c>
      <c r="G6586" s="5">
        <v>0</v>
      </c>
      <c r="H6586" s="5">
        <v>3400</v>
      </c>
      <c r="I6586" s="118">
        <f t="shared" ref="I6586" si="1799">H6586/E6586</f>
        <v>0.16790123456790124</v>
      </c>
      <c r="J6586" s="5">
        <v>114100</v>
      </c>
      <c r="K6586" s="22">
        <v>2207</v>
      </c>
      <c r="L6586" s="6">
        <v>2199</v>
      </c>
      <c r="M6586" s="125">
        <f t="shared" ref="M6586" si="1800">L6586-K6586</f>
        <v>-8</v>
      </c>
      <c r="N6586" s="449"/>
      <c r="O6586" s="245"/>
      <c r="P6586" s="1325"/>
      <c r="Q6586" s="25">
        <f>182.33/1230.2</f>
        <v>0.14821167289871567</v>
      </c>
      <c r="W6586" s="285">
        <f>(P6586*Q6586)*(1+U6586)</f>
        <v>0</v>
      </c>
      <c r="X6586" s="443">
        <f t="shared" ref="X6586" si="1801">P6586/K6586</f>
        <v>0</v>
      </c>
    </row>
    <row r="6587" spans="1:24" ht="15" customHeight="1">
      <c r="A6587" s="3">
        <v>44956</v>
      </c>
      <c r="B6587" s="4">
        <v>17775</v>
      </c>
      <c r="C6587" s="5">
        <v>0</v>
      </c>
      <c r="D6587" s="5">
        <v>1550</v>
      </c>
      <c r="E6587" s="5">
        <v>20250</v>
      </c>
      <c r="F6587" s="4">
        <v>0</v>
      </c>
      <c r="G6587" s="5">
        <v>0</v>
      </c>
      <c r="H6587" s="10">
        <v>3400</v>
      </c>
      <c r="I6587" s="118">
        <f t="shared" ref="I6587" si="1802">H6587/E6587</f>
        <v>0.16790123456790124</v>
      </c>
      <c r="J6587" s="5">
        <v>114048</v>
      </c>
      <c r="K6587" s="22">
        <v>2171</v>
      </c>
      <c r="L6587" s="6">
        <v>2168</v>
      </c>
      <c r="M6587" s="125">
        <f t="shared" ref="M6587" si="1803">L6587-K6587</f>
        <v>-3</v>
      </c>
      <c r="N6587" s="449"/>
      <c r="O6587" s="245"/>
      <c r="P6587" s="247">
        <v>15150</v>
      </c>
      <c r="Q6587" s="25">
        <f>183.16/1247.25</f>
        <v>0.1468510723591902</v>
      </c>
      <c r="W6587" s="285">
        <f>(P6587*Q6587)*(1+U6587)</f>
        <v>2224.7937462417317</v>
      </c>
      <c r="X6587" s="443">
        <f t="shared" ref="X6587" si="1804">P6587/K6587</f>
        <v>6.978350990327038</v>
      </c>
    </row>
    <row r="6588" spans="1:24" ht="15" customHeight="1">
      <c r="A6588" s="3">
        <v>44957</v>
      </c>
      <c r="B6588" s="4">
        <v>17775</v>
      </c>
      <c r="C6588" s="5">
        <v>0</v>
      </c>
      <c r="D6588" s="5">
        <v>1550</v>
      </c>
      <c r="E6588" s="5">
        <v>20250</v>
      </c>
      <c r="F6588" s="4">
        <v>0</v>
      </c>
      <c r="G6588" s="5">
        <v>0</v>
      </c>
      <c r="H6588" s="10">
        <v>3400</v>
      </c>
      <c r="I6588" s="118">
        <f t="shared" ref="I6588" si="1805">H6588/E6588</f>
        <v>0.16790123456790124</v>
      </c>
      <c r="J6588" s="5">
        <v>111806</v>
      </c>
      <c r="K6588" s="22">
        <v>2142</v>
      </c>
      <c r="L6588" s="6">
        <v>2150</v>
      </c>
      <c r="M6588" s="125">
        <f t="shared" ref="M6588" si="1806">L6588-K6588</f>
        <v>8</v>
      </c>
      <c r="N6588" s="448">
        <f>AVERAGE($K$6568:K6588)</f>
        <v>2208.1666666666665</v>
      </c>
      <c r="O6588" s="395">
        <f>AVERAGE($K$6567:K6588)</f>
        <v>2208.1666666666665</v>
      </c>
      <c r="P6588" s="247">
        <v>15125</v>
      </c>
      <c r="Q6588" s="25">
        <f>182.09/1230.8</f>
        <v>0.14794442638934027</v>
      </c>
      <c r="W6588" s="285">
        <f>(P6588*Q6588)*(1+U6588)</f>
        <v>2237.6594491387718</v>
      </c>
      <c r="X6588" s="443">
        <f t="shared" ref="X6588" si="1807">P6588/K6588</f>
        <v>7.0611577964519139</v>
      </c>
    </row>
    <row r="6589" spans="1:24" ht="15" customHeight="1" thickBot="1">
      <c r="A6589" s="394"/>
      <c r="B6589" s="394"/>
      <c r="C6589" s="394"/>
      <c r="D6589" s="394"/>
      <c r="E6589" s="216"/>
      <c r="F6589" s="407"/>
      <c r="G6589" s="164"/>
      <c r="H6589" s="164"/>
      <c r="I6589" s="166"/>
      <c r="J6589" s="166"/>
      <c r="K6589" s="166"/>
      <c r="L6589" s="167"/>
      <c r="M6589" s="167"/>
      <c r="N6589" s="167"/>
      <c r="O6589" s="180"/>
      <c r="P6589" s="180"/>
      <c r="Q6589" s="180"/>
      <c r="R6589" s="248"/>
      <c r="S6589" s="249"/>
      <c r="T6589" s="249"/>
      <c r="U6589" s="152"/>
      <c r="V6589" s="153">
        <f>AVERAGE(P6567:P6588)</f>
        <v>15326.5625</v>
      </c>
      <c r="W6589" s="152"/>
      <c r="X6589" s="447">
        <f>V6589/N6588</f>
        <v>6.9408540267189984</v>
      </c>
    </row>
    <row r="6590" spans="1:24" ht="15" customHeight="1">
      <c r="A6590" s="3">
        <v>44958</v>
      </c>
      <c r="B6590" s="4">
        <v>17775</v>
      </c>
      <c r="C6590" s="5">
        <v>0</v>
      </c>
      <c r="D6590" s="5">
        <v>1525</v>
      </c>
      <c r="E6590" s="5">
        <v>20225</v>
      </c>
      <c r="F6590" s="4">
        <v>0</v>
      </c>
      <c r="G6590" s="5">
        <v>25</v>
      </c>
      <c r="H6590" s="10">
        <v>3375</v>
      </c>
      <c r="I6590" s="118">
        <f t="shared" ref="I6590:I6596" si="1808">H6590/E6590</f>
        <v>0.1668726823238566</v>
      </c>
      <c r="J6590" s="5">
        <v>110807</v>
      </c>
      <c r="K6590" s="22">
        <v>2145</v>
      </c>
      <c r="L6590" s="6">
        <v>2154</v>
      </c>
      <c r="M6590" s="125">
        <f t="shared" ref="M6590" si="1809">L6590-K6590</f>
        <v>9</v>
      </c>
      <c r="N6590" s="450"/>
      <c r="O6590" s="451"/>
      <c r="P6590" s="247">
        <v>15075</v>
      </c>
      <c r="Q6590" s="25">
        <f>182.22/1231.1</f>
        <v>0.14801397124522786</v>
      </c>
      <c r="W6590" s="285">
        <f t="shared" ref="W6590:W6596" si="1810">(P6590*Q6590)*(1+U6590)</f>
        <v>2231.3106165218101</v>
      </c>
      <c r="X6590" s="443">
        <f t="shared" ref="X6590" si="1811">P6590/K6590</f>
        <v>7.0279720279720284</v>
      </c>
    </row>
    <row r="6591" spans="1:24" ht="15" customHeight="1">
      <c r="A6591" s="3">
        <v>44959</v>
      </c>
      <c r="B6591" s="4">
        <v>17775</v>
      </c>
      <c r="C6591" s="5">
        <v>0</v>
      </c>
      <c r="D6591" s="5">
        <v>1525</v>
      </c>
      <c r="E6591" s="5">
        <v>20225</v>
      </c>
      <c r="F6591" s="4">
        <v>0</v>
      </c>
      <c r="G6591" s="4">
        <v>0</v>
      </c>
      <c r="H6591" s="10">
        <v>3375</v>
      </c>
      <c r="I6591" s="118">
        <f t="shared" si="1808"/>
        <v>0.1668726823238566</v>
      </c>
      <c r="J6591" s="5">
        <v>110255</v>
      </c>
      <c r="K6591" s="22">
        <v>2131</v>
      </c>
      <c r="L6591" s="6">
        <v>2140</v>
      </c>
      <c r="M6591" s="125">
        <f t="shared" ref="M6591:M6596" si="1812">L6591-K6591</f>
        <v>9</v>
      </c>
      <c r="P6591" s="247">
        <v>15150</v>
      </c>
      <c r="Q6591" s="25">
        <f>181.49/1219.3</f>
        <v>0.14884769949971297</v>
      </c>
      <c r="W6591" s="285">
        <f t="shared" si="1810"/>
        <v>2255.0426474206515</v>
      </c>
      <c r="X6591" s="443">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18">
        <f t="shared" si="1808"/>
        <v>0.16584158415841585</v>
      </c>
      <c r="J6592" s="5">
        <v>110600</v>
      </c>
      <c r="K6592" s="22">
        <v>2113.5</v>
      </c>
      <c r="L6592" s="6">
        <v>2127</v>
      </c>
      <c r="M6592" s="125">
        <f t="shared" si="1812"/>
        <v>13.5</v>
      </c>
      <c r="P6592" s="247">
        <v>15125</v>
      </c>
      <c r="Q6592" s="25">
        <f>181.99/1227.2</f>
        <v>0.14829693611473271</v>
      </c>
      <c r="W6592" s="285">
        <f t="shared" si="1810"/>
        <v>2242.9911587353322</v>
      </c>
      <c r="X6592" s="443">
        <f t="shared" si="1813"/>
        <v>7.1563756801514078</v>
      </c>
    </row>
    <row r="6593" spans="1:24" ht="15" customHeight="1">
      <c r="A6593" s="3">
        <v>44963</v>
      </c>
      <c r="B6593" s="4">
        <v>17775</v>
      </c>
      <c r="C6593" s="5">
        <v>0</v>
      </c>
      <c r="D6593" s="5">
        <v>1500</v>
      </c>
      <c r="E6593" s="5">
        <v>20200</v>
      </c>
      <c r="F6593" s="4">
        <v>0</v>
      </c>
      <c r="G6593" s="5">
        <v>0</v>
      </c>
      <c r="H6593" s="5">
        <v>3195</v>
      </c>
      <c r="I6593" s="118">
        <f t="shared" si="1808"/>
        <v>0.15816831683168317</v>
      </c>
      <c r="J6593" s="5">
        <v>110932</v>
      </c>
      <c r="K6593" s="22">
        <v>2102</v>
      </c>
      <c r="L6593" s="6">
        <v>2116</v>
      </c>
      <c r="M6593" s="125">
        <f t="shared" si="1812"/>
        <v>14</v>
      </c>
      <c r="P6593" s="247">
        <v>15100</v>
      </c>
      <c r="Q6593" s="25">
        <f>183.46/1247.5</f>
        <v>0.14706212424849699</v>
      </c>
      <c r="W6593" s="285">
        <f t="shared" si="1810"/>
        <v>2220.6380761523046</v>
      </c>
      <c r="X6593" s="443">
        <f t="shared" si="1813"/>
        <v>7.1836346336822077</v>
      </c>
    </row>
    <row r="6594" spans="1:24" ht="15" customHeight="1">
      <c r="A6594" s="3">
        <v>44964</v>
      </c>
      <c r="B6594" s="4">
        <v>19775</v>
      </c>
      <c r="C6594" s="5">
        <v>0</v>
      </c>
      <c r="D6594" s="5">
        <v>1475</v>
      </c>
      <c r="E6594" s="5">
        <v>22175</v>
      </c>
      <c r="F6594" s="4">
        <v>2000</v>
      </c>
      <c r="G6594" s="5">
        <v>25</v>
      </c>
      <c r="H6594" s="5">
        <v>3325</v>
      </c>
      <c r="I6594" s="118">
        <f t="shared" si="1808"/>
        <v>0.14994363021420518</v>
      </c>
      <c r="J6594" s="5">
        <v>110016</v>
      </c>
      <c r="K6594" s="22">
        <v>2069</v>
      </c>
      <c r="L6594" s="6">
        <v>2081</v>
      </c>
      <c r="M6594" s="125">
        <f t="shared" si="1812"/>
        <v>12</v>
      </c>
      <c r="P6594" s="247">
        <v>15050</v>
      </c>
      <c r="Q6594" s="25">
        <f>184.89/1256</f>
        <v>0.14720541401273884</v>
      </c>
      <c r="W6594" s="285">
        <f t="shared" si="1810"/>
        <v>2215.4414808917195</v>
      </c>
      <c r="X6594" s="443">
        <f t="shared" si="1813"/>
        <v>7.2740454325761235</v>
      </c>
    </row>
    <row r="6595" spans="1:24" ht="15" customHeight="1">
      <c r="A6595" s="3">
        <v>44965</v>
      </c>
      <c r="B6595" s="4">
        <v>19775</v>
      </c>
      <c r="C6595" s="5">
        <v>0</v>
      </c>
      <c r="D6595" s="5">
        <v>1475</v>
      </c>
      <c r="E6595" s="5">
        <v>22175</v>
      </c>
      <c r="F6595" s="4">
        <v>0</v>
      </c>
      <c r="G6595" s="5">
        <v>0</v>
      </c>
      <c r="H6595" s="5">
        <v>3325</v>
      </c>
      <c r="I6595" s="118">
        <f t="shared" si="1808"/>
        <v>0.14994363021420518</v>
      </c>
      <c r="J6595" s="5">
        <v>109749</v>
      </c>
      <c r="K6595" s="22">
        <v>2130</v>
      </c>
      <c r="L6595" s="6">
        <v>2121</v>
      </c>
      <c r="M6595" s="125">
        <f t="shared" si="1812"/>
        <v>-9</v>
      </c>
      <c r="P6595" s="247">
        <v>15100</v>
      </c>
      <c r="Q6595" s="25">
        <f>185.19/1257.1</f>
        <v>0.14731524938350171</v>
      </c>
      <c r="W6595" s="285">
        <f t="shared" si="1810"/>
        <v>2224.460265690876</v>
      </c>
      <c r="X6595" s="443">
        <f t="shared" si="1813"/>
        <v>7.089201877934272</v>
      </c>
    </row>
    <row r="6596" spans="1:24" ht="15" customHeight="1">
      <c r="A6596" s="3">
        <v>44966</v>
      </c>
      <c r="B6596" s="4">
        <v>19775</v>
      </c>
      <c r="C6596" s="5">
        <v>0</v>
      </c>
      <c r="D6596" s="5">
        <v>1450</v>
      </c>
      <c r="E6596" s="5">
        <v>22150</v>
      </c>
      <c r="F6596" s="4">
        <v>0</v>
      </c>
      <c r="G6596" s="5">
        <v>25</v>
      </c>
      <c r="H6596" s="5">
        <v>3300</v>
      </c>
      <c r="I6596" s="118">
        <f t="shared" si="1808"/>
        <v>0.1489841986455982</v>
      </c>
      <c r="J6596" s="5">
        <v>107191</v>
      </c>
      <c r="K6596" s="22">
        <v>2130</v>
      </c>
      <c r="L6596" s="6">
        <v>2125</v>
      </c>
      <c r="M6596" s="125">
        <f t="shared" si="1812"/>
        <v>-5</v>
      </c>
      <c r="P6596" s="247">
        <v>15100</v>
      </c>
      <c r="Q6596" s="25">
        <f>185.86/1263.1</f>
        <v>0.1471459108542475</v>
      </c>
      <c r="W6596" s="285">
        <f t="shared" si="1810"/>
        <v>2221.9032538991373</v>
      </c>
      <c r="X6596" s="443">
        <f t="shared" si="1813"/>
        <v>7.089201877934272</v>
      </c>
    </row>
    <row r="6597" spans="1:24" ht="15" customHeight="1">
      <c r="A6597" s="3">
        <v>44967</v>
      </c>
      <c r="B6597" s="4">
        <v>19775</v>
      </c>
      <c r="C6597" s="5">
        <v>0</v>
      </c>
      <c r="D6597" s="5">
        <v>1425</v>
      </c>
      <c r="E6597" s="5">
        <v>22125</v>
      </c>
      <c r="F6597" s="4">
        <v>0</v>
      </c>
      <c r="G6597" s="5">
        <v>25</v>
      </c>
      <c r="H6597" s="5">
        <v>3275</v>
      </c>
      <c r="I6597" s="118">
        <f t="shared" ref="I6597" si="1814">H6597/E6597</f>
        <v>0.1480225988700565</v>
      </c>
      <c r="J6597" s="5">
        <v>107773</v>
      </c>
      <c r="K6597" s="22">
        <v>2096</v>
      </c>
      <c r="L6597" s="6">
        <v>2097</v>
      </c>
      <c r="M6597" s="125">
        <f t="shared" ref="M6597" si="1815">L6597-K6597</f>
        <v>1</v>
      </c>
      <c r="P6597" s="247">
        <v>15175</v>
      </c>
      <c r="Q6597" s="25">
        <f>185.92/1264.3</f>
        <v>0.14705370560784622</v>
      </c>
      <c r="W6597" s="285">
        <f t="shared" ref="W6597" si="1816">(P6597*Q6597)*(1+U6597)</f>
        <v>2231.5399825990667</v>
      </c>
      <c r="X6597" s="443">
        <f t="shared" ref="X6597" si="1817">P6597/K6597</f>
        <v>7.2399809160305342</v>
      </c>
    </row>
    <row r="6598" spans="1:24" ht="15" customHeight="1">
      <c r="A6598" s="3">
        <v>44970</v>
      </c>
      <c r="B6598" s="4">
        <v>19775</v>
      </c>
      <c r="C6598" s="5">
        <v>0</v>
      </c>
      <c r="D6598" s="5">
        <v>1425</v>
      </c>
      <c r="E6598" s="5">
        <v>22125</v>
      </c>
      <c r="F6598" s="4">
        <v>0</v>
      </c>
      <c r="G6598" s="4">
        <v>0</v>
      </c>
      <c r="H6598" s="5">
        <v>3275</v>
      </c>
      <c r="I6598" s="118">
        <f t="shared" ref="I6598" si="1818">H6598/E6598</f>
        <v>0.1480225988700565</v>
      </c>
      <c r="J6598" s="5">
        <v>107594</v>
      </c>
      <c r="K6598" s="22">
        <v>2089</v>
      </c>
      <c r="L6598" s="6">
        <v>2094</v>
      </c>
      <c r="M6598" s="125">
        <f t="shared" ref="M6598" si="1819">L6598-K6598</f>
        <v>5</v>
      </c>
      <c r="P6598" s="247">
        <v>15075</v>
      </c>
      <c r="Q6598" s="25">
        <f>186.58/1274.6</f>
        <v>0.14638317903656051</v>
      </c>
      <c r="W6598" s="285">
        <f t="shared" ref="W6598" si="1820">(P6598*Q6598)*(1+U6598)</f>
        <v>2206.7264239761498</v>
      </c>
      <c r="X6598" s="443">
        <f t="shared" ref="X6598" si="1821">P6598/K6598</f>
        <v>7.2163714696026808</v>
      </c>
    </row>
    <row r="6599" spans="1:24" ht="15" customHeight="1">
      <c r="A6599" s="3">
        <v>44971</v>
      </c>
      <c r="B6599" s="4">
        <v>19775</v>
      </c>
      <c r="C6599" s="5">
        <v>0</v>
      </c>
      <c r="D6599" s="5">
        <v>1425</v>
      </c>
      <c r="E6599" s="5">
        <v>22125</v>
      </c>
      <c r="F6599" s="4">
        <v>0</v>
      </c>
      <c r="G6599" s="4">
        <v>0</v>
      </c>
      <c r="H6599" s="5">
        <v>5375</v>
      </c>
      <c r="I6599" s="118">
        <f t="shared" ref="I6599" si="1822">H6599/E6599</f>
        <v>0.24293785310734464</v>
      </c>
      <c r="J6599" s="5">
        <v>105697</v>
      </c>
      <c r="K6599" s="22">
        <v>2096.5</v>
      </c>
      <c r="L6599" s="6">
        <v>2111</v>
      </c>
      <c r="M6599" s="125">
        <f t="shared" ref="M6599" si="1823">L6599-K6599</f>
        <v>14.5</v>
      </c>
      <c r="P6599" s="247">
        <v>15100</v>
      </c>
      <c r="Q6599" s="25">
        <f>186.21/1269.9</f>
        <v>0.14663359319631467</v>
      </c>
      <c r="W6599" s="285">
        <f t="shared" ref="W6599" si="1824">(P6599*Q6599)*(1+U6599)</f>
        <v>2214.1672572643515</v>
      </c>
      <c r="X6599" s="443">
        <f t="shared" ref="X6599" si="1825">P6599/K6599</f>
        <v>7.2024803243501072</v>
      </c>
    </row>
    <row r="6600" spans="1:24" ht="15" customHeight="1">
      <c r="A6600" s="3">
        <v>44972</v>
      </c>
      <c r="B6600" s="4">
        <v>22150</v>
      </c>
      <c r="C6600" s="5">
        <v>0</v>
      </c>
      <c r="D6600" s="5">
        <v>1425</v>
      </c>
      <c r="E6600" s="5">
        <v>24500</v>
      </c>
      <c r="F6600" s="4">
        <v>2375</v>
      </c>
      <c r="G6600" s="4">
        <v>0</v>
      </c>
      <c r="H6600" s="5">
        <v>5375</v>
      </c>
      <c r="I6600" s="118">
        <f t="shared" ref="I6600" si="1826">H6600/E6600</f>
        <v>0.21938775510204081</v>
      </c>
      <c r="J6600" s="5">
        <v>104758</v>
      </c>
      <c r="K6600" s="22">
        <v>2062.5</v>
      </c>
      <c r="L6600" s="6">
        <v>2067</v>
      </c>
      <c r="M6600" s="125">
        <f t="shared" ref="M6600" si="1827">L6600-K6600</f>
        <v>4.5</v>
      </c>
      <c r="P6600" s="247">
        <v>15075</v>
      </c>
      <c r="Q6600" s="25">
        <f>186.77/1279.3</f>
        <v>0.145993902915657</v>
      </c>
      <c r="W6600" s="285">
        <f t="shared" ref="W6600" si="1828">(P6600*Q6600)*(1+U6600)</f>
        <v>2200.8580864535293</v>
      </c>
      <c r="X6600" s="443">
        <f t="shared" ref="X6600" si="1829">P6600/K6600</f>
        <v>7.3090909090909095</v>
      </c>
    </row>
    <row r="6601" spans="1:24" ht="15" customHeight="1">
      <c r="A6601" s="3">
        <v>44973</v>
      </c>
      <c r="B6601" s="4">
        <v>22350</v>
      </c>
      <c r="C6601" s="5">
        <v>0</v>
      </c>
      <c r="D6601" s="5">
        <v>1425</v>
      </c>
      <c r="E6601" s="5">
        <v>24700</v>
      </c>
      <c r="F6601" s="4">
        <v>200</v>
      </c>
      <c r="G6601" s="4">
        <v>0</v>
      </c>
      <c r="H6601" s="5">
        <v>5375</v>
      </c>
      <c r="I6601" s="118">
        <f t="shared" ref="I6601" si="1830">H6601/E6601</f>
        <v>0.21761133603238866</v>
      </c>
      <c r="J6601" s="5">
        <v>104785</v>
      </c>
      <c r="K6601" s="22">
        <v>2034</v>
      </c>
      <c r="L6601" s="6">
        <v>2047</v>
      </c>
      <c r="M6601" s="125">
        <f t="shared" ref="M6601" si="1831">L6601-K6601</f>
        <v>13</v>
      </c>
      <c r="N6601" s="449"/>
      <c r="O6601" s="245"/>
      <c r="P6601" s="247">
        <v>15025</v>
      </c>
      <c r="Q6601" s="25">
        <f>187/1283.7</f>
        <v>0.1456726649528706</v>
      </c>
      <c r="W6601" s="285">
        <f t="shared" ref="W6601" si="1832">(P6601*Q6601)*(1+U6601)</f>
        <v>2188.7317909168805</v>
      </c>
      <c r="X6601" s="443">
        <f t="shared" ref="X6601" si="1833">P6601/K6601</f>
        <v>7.3869223205506396</v>
      </c>
    </row>
    <row r="6602" spans="1:24" ht="15" customHeight="1">
      <c r="A6602" s="3">
        <v>44974</v>
      </c>
      <c r="B6602" s="4">
        <v>22650</v>
      </c>
      <c r="C6602" s="5">
        <v>0</v>
      </c>
      <c r="D6602" s="5">
        <v>1425</v>
      </c>
      <c r="E6602" s="5">
        <v>25000</v>
      </c>
      <c r="F6602" s="4">
        <v>300</v>
      </c>
      <c r="G6602" s="4">
        <v>0</v>
      </c>
      <c r="H6602" s="5">
        <v>5375</v>
      </c>
      <c r="I6602" s="118">
        <f>H6602/E6602</f>
        <v>0.215</v>
      </c>
      <c r="J6602" s="5">
        <v>104202</v>
      </c>
      <c r="K6602" s="22">
        <v>2048</v>
      </c>
      <c r="L6602" s="6">
        <v>2050.5</v>
      </c>
      <c r="M6602" s="125">
        <f t="shared" ref="M6602" si="1834">L6602-K6602</f>
        <v>2.5</v>
      </c>
      <c r="N6602" s="449"/>
      <c r="O6602" s="245"/>
      <c r="P6602" s="247">
        <v>14975</v>
      </c>
      <c r="Q6602" s="25">
        <f>188.73/1297.7</f>
        <v>0.14543422979116899</v>
      </c>
      <c r="W6602" s="285">
        <f t="shared" ref="W6602" si="1835">(P6602*Q6602)*(1+U6602)</f>
        <v>2177.8775911227558</v>
      </c>
      <c r="X6602" s="443">
        <f t="shared" ref="X6602" si="1836">P6602/K6602</f>
        <v>7.31201171875</v>
      </c>
    </row>
    <row r="6603" spans="1:24" ht="15" customHeight="1">
      <c r="A6603" s="3">
        <v>44977</v>
      </c>
      <c r="B6603" s="4">
        <v>22650</v>
      </c>
      <c r="C6603" s="5">
        <v>0</v>
      </c>
      <c r="D6603" s="5">
        <v>1400</v>
      </c>
      <c r="E6603" s="5">
        <v>24975</v>
      </c>
      <c r="F6603" s="4">
        <v>0</v>
      </c>
      <c r="G6603" s="4">
        <v>25</v>
      </c>
      <c r="H6603" s="5">
        <v>5350</v>
      </c>
      <c r="I6603" s="118">
        <f t="shared" ref="I6603" si="1837">H6603/E6603</f>
        <v>0.21421421421421422</v>
      </c>
      <c r="J6603" s="5">
        <v>113866</v>
      </c>
      <c r="K6603" s="22">
        <v>2087</v>
      </c>
      <c r="L6603" s="6">
        <v>2096</v>
      </c>
      <c r="M6603" s="125">
        <f t="shared" ref="M6603" si="1838">L6603-K6603</f>
        <v>9</v>
      </c>
      <c r="N6603" s="449"/>
      <c r="O6603" s="245"/>
      <c r="P6603" s="247">
        <v>15000</v>
      </c>
      <c r="Q6603" s="25">
        <f>188.58/1296.4</f>
        <v>0.14546436285097192</v>
      </c>
      <c r="W6603" s="285">
        <f t="shared" ref="W6603" si="1839">(P6603*Q6603)*(1+U6603)</f>
        <v>2181.9654427645787</v>
      </c>
      <c r="X6603" s="443">
        <f t="shared" ref="X6603" si="1840">P6603/K6603</f>
        <v>7.1873502635361763</v>
      </c>
    </row>
    <row r="6604" spans="1:24" ht="15" customHeight="1">
      <c r="A6604" s="3">
        <v>44978</v>
      </c>
      <c r="B6604" s="4">
        <v>22825</v>
      </c>
      <c r="C6604" s="5">
        <v>0</v>
      </c>
      <c r="D6604" s="5">
        <v>1400</v>
      </c>
      <c r="E6604" s="5">
        <v>25150</v>
      </c>
      <c r="F6604" s="4">
        <v>175</v>
      </c>
      <c r="G6604" s="4">
        <v>0</v>
      </c>
      <c r="H6604" s="5">
        <v>5350</v>
      </c>
      <c r="I6604" s="118">
        <f t="shared" ref="I6604:I6609" si="1841">H6604/E6604</f>
        <v>0.21272365805168986</v>
      </c>
      <c r="J6604" s="5">
        <v>102740</v>
      </c>
      <c r="K6604" s="22">
        <v>2156</v>
      </c>
      <c r="L6604" s="6">
        <v>2160</v>
      </c>
      <c r="M6604" s="125">
        <f t="shared" ref="M6604:M6612" si="1842">L6604-K6604</f>
        <v>4</v>
      </c>
      <c r="P6604" s="247">
        <v>15200</v>
      </c>
      <c r="Q6604" s="25">
        <f>188.64 /1295.8</f>
        <v>0.14557802129958328</v>
      </c>
      <c r="W6604" s="285">
        <f t="shared" ref="W6604:W6609" si="1843">(P6604*Q6604)*(1+U6604)</f>
        <v>2212.7859237536659</v>
      </c>
      <c r="X6604" s="443">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18">
        <f t="shared" si="1841"/>
        <v>0.20641282565130262</v>
      </c>
      <c r="J6605" s="5">
        <v>103064</v>
      </c>
      <c r="K6605" s="22">
        <v>2143</v>
      </c>
      <c r="L6605" s="6">
        <v>2144</v>
      </c>
      <c r="M6605" s="125">
        <f t="shared" si="1842"/>
        <v>1</v>
      </c>
      <c r="P6605" s="247">
        <v>15225</v>
      </c>
      <c r="Q6605" s="25">
        <f>188.95/1303.8</f>
        <v>0.14492253413100167</v>
      </c>
      <c r="W6605" s="285">
        <f t="shared" si="1843"/>
        <v>2206.4455821445003</v>
      </c>
      <c r="X6605" s="443">
        <f t="shared" si="1844"/>
        <v>7.104526364909006</v>
      </c>
    </row>
    <row r="6606" spans="1:24" ht="15" customHeight="1">
      <c r="A6606" s="3">
        <v>44980</v>
      </c>
      <c r="B6606" s="4">
        <v>22775</v>
      </c>
      <c r="C6606" s="5">
        <v>0</v>
      </c>
      <c r="D6606" s="5">
        <v>1400</v>
      </c>
      <c r="E6606" s="5">
        <v>25100</v>
      </c>
      <c r="F6606" s="4">
        <v>150</v>
      </c>
      <c r="G6606" s="5">
        <v>0</v>
      </c>
      <c r="H6606" s="5">
        <v>5150</v>
      </c>
      <c r="I6606" s="118">
        <f t="shared" si="1841"/>
        <v>0.20517928286852591</v>
      </c>
      <c r="J6606" s="5">
        <v>102404</v>
      </c>
      <c r="K6606" s="22">
        <v>2089.5</v>
      </c>
      <c r="L6606" s="6">
        <v>2092</v>
      </c>
      <c r="M6606" s="125">
        <f t="shared" si="1842"/>
        <v>2.5</v>
      </c>
      <c r="P6606" s="247">
        <v>15200</v>
      </c>
      <c r="Q6606" s="25">
        <f>188.26/1299.6</f>
        <v>0.1448599569098184</v>
      </c>
      <c r="W6606" s="285">
        <f t="shared" si="1843"/>
        <v>2201.8713450292398</v>
      </c>
      <c r="X6606" s="443">
        <f t="shared" si="1844"/>
        <v>7.2744675759751134</v>
      </c>
    </row>
    <row r="6607" spans="1:24" ht="15" customHeight="1">
      <c r="A6607" s="3">
        <v>44981</v>
      </c>
      <c r="B6607" s="4">
        <v>22775</v>
      </c>
      <c r="C6607" s="5">
        <v>0</v>
      </c>
      <c r="D6607" s="5">
        <v>1400</v>
      </c>
      <c r="E6607" s="5">
        <v>25100</v>
      </c>
      <c r="F6607" s="4">
        <v>0</v>
      </c>
      <c r="G6607" s="5">
        <v>0</v>
      </c>
      <c r="H6607" s="5">
        <v>5150</v>
      </c>
      <c r="I6607" s="118">
        <f t="shared" si="1841"/>
        <v>0.20517928286852591</v>
      </c>
      <c r="J6607" s="5">
        <v>104483</v>
      </c>
      <c r="K6607" s="22">
        <v>2066</v>
      </c>
      <c r="L6607" s="6">
        <v>2068</v>
      </c>
      <c r="M6607" s="125">
        <f t="shared" si="1842"/>
        <v>2</v>
      </c>
      <c r="P6607" s="247">
        <v>15125</v>
      </c>
      <c r="Q6607" s="25">
        <f>187.76/1300.5</f>
        <v>0.14437524029219531</v>
      </c>
      <c r="W6607" s="285">
        <f t="shared" si="1843"/>
        <v>2183.6755094194541</v>
      </c>
      <c r="X6607" s="443">
        <f t="shared" si="1844"/>
        <v>7.3209099709583736</v>
      </c>
    </row>
    <row r="6608" spans="1:24" ht="15" customHeight="1">
      <c r="A6608" s="3">
        <v>44984</v>
      </c>
      <c r="B6608" s="4">
        <v>22775</v>
      </c>
      <c r="C6608" s="5">
        <v>0</v>
      </c>
      <c r="D6608" s="5">
        <v>1400</v>
      </c>
      <c r="E6608" s="5">
        <v>25100</v>
      </c>
      <c r="F6608" s="4">
        <v>0</v>
      </c>
      <c r="G6608" s="5">
        <v>0</v>
      </c>
      <c r="H6608" s="5">
        <v>5150</v>
      </c>
      <c r="I6608" s="118">
        <f t="shared" si="1841"/>
        <v>0.20517928286852591</v>
      </c>
      <c r="J6608" s="5">
        <v>103326</v>
      </c>
      <c r="K6608" s="22">
        <v>2107</v>
      </c>
      <c r="L6608" s="6">
        <v>2102</v>
      </c>
      <c r="M6608" s="125">
        <f t="shared" si="1842"/>
        <v>-5</v>
      </c>
      <c r="P6608" s="247">
        <v>15175</v>
      </c>
      <c r="Q6608" s="25">
        <f>188.79/1317.4</f>
        <v>0.14330499468650371</v>
      </c>
      <c r="W6608" s="285">
        <f t="shared" si="1843"/>
        <v>2174.6532943676939</v>
      </c>
      <c r="X6608" s="443">
        <f>P6608/K6608</f>
        <v>7.2021831988609399</v>
      </c>
    </row>
    <row r="6609" spans="1:24" ht="15" customHeight="1">
      <c r="A6609" s="3">
        <v>44985</v>
      </c>
      <c r="B6609" s="4">
        <v>22775</v>
      </c>
      <c r="C6609" s="5">
        <v>0</v>
      </c>
      <c r="D6609" s="5">
        <v>1400</v>
      </c>
      <c r="E6609" s="5">
        <v>25100</v>
      </c>
      <c r="F6609" s="4">
        <v>0</v>
      </c>
      <c r="G6609" s="5">
        <v>0</v>
      </c>
      <c r="H6609" s="5">
        <v>5150</v>
      </c>
      <c r="I6609" s="118">
        <f t="shared" si="1841"/>
        <v>0.20517928286852591</v>
      </c>
      <c r="J6609" s="5">
        <v>103333</v>
      </c>
      <c r="K6609" s="22">
        <v>2083</v>
      </c>
      <c r="L6609" s="6">
        <v>2083</v>
      </c>
      <c r="M6609" s="125">
        <f t="shared" si="1842"/>
        <v>0</v>
      </c>
      <c r="N6609" s="448">
        <f>AVERAGE($K$6590:K6609)</f>
        <v>2098.9</v>
      </c>
      <c r="O6609" s="395">
        <f>AVERAGE($K$6567:K6609)</f>
        <v>2154.8658536585367</v>
      </c>
      <c r="P6609" s="247">
        <v>15175</v>
      </c>
      <c r="W6609" s="285">
        <f t="shared" si="1843"/>
        <v>0</v>
      </c>
      <c r="X6609" s="443">
        <f t="shared" si="1844"/>
        <v>7.2851656265002402</v>
      </c>
    </row>
    <row r="6610" spans="1:24" ht="15" customHeight="1" thickBot="1">
      <c r="A6610" s="394"/>
      <c r="B6610" s="394"/>
      <c r="C6610" s="394"/>
      <c r="D6610" s="394"/>
      <c r="E6610" s="216"/>
      <c r="F6610" s="407"/>
      <c r="G6610" s="164"/>
      <c r="H6610" s="164"/>
      <c r="I6610" s="166"/>
      <c r="J6610" s="166"/>
      <c r="K6610" s="166"/>
      <c r="L6610" s="167"/>
      <c r="M6610" s="167"/>
      <c r="N6610" s="167"/>
      <c r="O6610" s="180"/>
      <c r="P6610" s="180"/>
      <c r="Q6610" s="180"/>
      <c r="R6610" s="248"/>
      <c r="S6610" s="249"/>
      <c r="T6610" s="249"/>
      <c r="U6610" s="152"/>
      <c r="V6610" s="153">
        <f>AVERAGE(P6590:P6609)</f>
        <v>15111.25</v>
      </c>
      <c r="W6610" s="152"/>
      <c r="X6610" s="447">
        <f>V6610/N6609</f>
        <v>7.1996045547667826</v>
      </c>
    </row>
    <row r="6611" spans="1:24" ht="15" customHeight="1">
      <c r="A6611" s="3">
        <v>44986</v>
      </c>
      <c r="B6611" s="4">
        <v>22775</v>
      </c>
      <c r="C6611" s="5">
        <v>0</v>
      </c>
      <c r="D6611" s="5">
        <v>1400</v>
      </c>
      <c r="E6611" s="5">
        <v>25100</v>
      </c>
      <c r="F6611" s="4">
        <v>0</v>
      </c>
      <c r="G6611" s="5">
        <v>0</v>
      </c>
      <c r="H6611" s="5">
        <v>5150</v>
      </c>
      <c r="I6611" s="118">
        <f t="shared" ref="I6611:I6616" si="1845">H6611/E6611</f>
        <v>0.20517928286852591</v>
      </c>
      <c r="J6611" s="5">
        <v>102874</v>
      </c>
      <c r="K6611" s="22">
        <v>2138</v>
      </c>
      <c r="L6611" s="6">
        <v>2135</v>
      </c>
      <c r="M6611" s="125">
        <f t="shared" si="1842"/>
        <v>-3</v>
      </c>
      <c r="P6611" s="247">
        <v>15125</v>
      </c>
      <c r="Q6611" s="25">
        <f>189.4/1319.2</f>
        <v>0.14357186173438446</v>
      </c>
      <c r="W6611" s="285">
        <f t="shared" ref="W6611:W6616" si="1846">(P6611*Q6611)*(1+U6611)</f>
        <v>2171.524408732565</v>
      </c>
      <c r="X6611" s="443">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18">
        <f t="shared" si="1845"/>
        <v>0.20438683948155534</v>
      </c>
      <c r="J6612" s="5">
        <v>103546</v>
      </c>
      <c r="K6612" s="22">
        <v>2108</v>
      </c>
      <c r="L6612" s="6">
        <v>2110</v>
      </c>
      <c r="M6612" s="125">
        <f t="shared" si="1842"/>
        <v>2</v>
      </c>
      <c r="P6612" s="247">
        <v>15125</v>
      </c>
      <c r="Q6612" s="25">
        <f>190.13/1310.4</f>
        <v>0.14509310134310133</v>
      </c>
      <c r="W6612" s="285">
        <f t="shared" si="1846"/>
        <v>2194.5331578144078</v>
      </c>
      <c r="X6612" s="443">
        <f t="shared" si="1847"/>
        <v>7.1750474383301706</v>
      </c>
    </row>
    <row r="6613" spans="1:24" ht="15" customHeight="1">
      <c r="A6613" s="3">
        <v>44988</v>
      </c>
      <c r="B6613" s="4">
        <v>22675</v>
      </c>
      <c r="C6613" s="5">
        <v>0</v>
      </c>
      <c r="D6613" s="5">
        <v>1375</v>
      </c>
      <c r="E6613" s="5">
        <v>24975</v>
      </c>
      <c r="F6613" s="4">
        <v>0</v>
      </c>
      <c r="G6613" s="5">
        <v>100</v>
      </c>
      <c r="H6613" s="5">
        <v>5025</v>
      </c>
      <c r="I6613" s="118">
        <f t="shared" si="1845"/>
        <v>0.20120120120120119</v>
      </c>
      <c r="J6613" s="5">
        <v>102286</v>
      </c>
      <c r="K6613" s="22">
        <v>2138</v>
      </c>
      <c r="L6613" s="6">
        <v>2138</v>
      </c>
      <c r="M6613" s="125">
        <f t="shared" ref="M6613" si="1848">L6613-K6613</f>
        <v>0</v>
      </c>
      <c r="P6613" s="247">
        <v>15075</v>
      </c>
      <c r="Q6613" s="25">
        <f>188.84/1304.8</f>
        <v>0.1447271612507664</v>
      </c>
      <c r="W6613" s="285">
        <f t="shared" si="1846"/>
        <v>2181.7619558553033</v>
      </c>
      <c r="X6613" s="443">
        <f t="shared" si="1847"/>
        <v>7.0509822263797943</v>
      </c>
    </row>
    <row r="6614" spans="1:24" ht="15" customHeight="1">
      <c r="A6614" s="3">
        <v>44991</v>
      </c>
      <c r="B6614" s="4">
        <v>22475</v>
      </c>
      <c r="C6614" s="5">
        <v>0</v>
      </c>
      <c r="D6614" s="5">
        <v>1375</v>
      </c>
      <c r="E6614" s="5">
        <v>24775</v>
      </c>
      <c r="F6614" s="4">
        <v>0</v>
      </c>
      <c r="G6614" s="5">
        <v>200</v>
      </c>
      <c r="H6614" s="5">
        <v>4825</v>
      </c>
      <c r="I6614" s="118">
        <f t="shared" si="1845"/>
        <v>0.19475277497477295</v>
      </c>
      <c r="J6614" s="5">
        <v>101724</v>
      </c>
      <c r="K6614" s="22">
        <v>2117</v>
      </c>
      <c r="L6614" s="6">
        <v>2123</v>
      </c>
      <c r="M6614" s="125">
        <f t="shared" ref="M6614" si="1849">L6614-K6614</f>
        <v>6</v>
      </c>
      <c r="N6614" s="449"/>
      <c r="O6614" s="245"/>
      <c r="P6614" s="247">
        <v>15100</v>
      </c>
      <c r="Q6614" s="25">
        <f>187.52/1296.7</f>
        <v>0.14461324901673478</v>
      </c>
      <c r="W6614" s="285">
        <f t="shared" si="1846"/>
        <v>2183.6600601526952</v>
      </c>
      <c r="X6614" s="443">
        <f t="shared" si="1847"/>
        <v>7.1327350023618328</v>
      </c>
    </row>
    <row r="6615" spans="1:24" ht="15" customHeight="1">
      <c r="A6615" s="3">
        <v>44992</v>
      </c>
      <c r="B6615" s="4">
        <v>22475</v>
      </c>
      <c r="C6615" s="5">
        <v>0</v>
      </c>
      <c r="D6615" s="5">
        <v>1375</v>
      </c>
      <c r="E6615" s="5">
        <v>24775</v>
      </c>
      <c r="F6615" s="4">
        <v>0</v>
      </c>
      <c r="G6615" s="4">
        <v>0</v>
      </c>
      <c r="H6615" s="5">
        <v>4825</v>
      </c>
      <c r="I6615" s="118">
        <f t="shared" si="1845"/>
        <v>0.19475277497477295</v>
      </c>
      <c r="J6615" s="5">
        <v>100719</v>
      </c>
      <c r="K6615" s="22">
        <v>2088</v>
      </c>
      <c r="L6615" s="6">
        <v>2092</v>
      </c>
      <c r="M6615" s="125">
        <f t="shared" ref="M6615" si="1850">L6615-K6615</f>
        <v>4</v>
      </c>
      <c r="P6615" s="247">
        <v>15100</v>
      </c>
      <c r="Q6615" s="25">
        <f>187.04/1299.1</f>
        <v>0.14397659918405051</v>
      </c>
      <c r="W6615" s="285">
        <f t="shared" si="1846"/>
        <v>2174.0466476791626</v>
      </c>
      <c r="X6615" s="443">
        <f t="shared" si="1847"/>
        <v>7.2318007662835253</v>
      </c>
    </row>
    <row r="6616" spans="1:24" ht="15" customHeight="1">
      <c r="A6616" s="3">
        <v>44993</v>
      </c>
      <c r="B6616" s="4">
        <v>22475</v>
      </c>
      <c r="C6616" s="5">
        <v>0</v>
      </c>
      <c r="D6616" s="5">
        <v>1375</v>
      </c>
      <c r="E6616" s="5">
        <v>24775</v>
      </c>
      <c r="F6616" s="4">
        <v>0</v>
      </c>
      <c r="G6616" s="4">
        <v>0</v>
      </c>
      <c r="H6616" s="5">
        <v>4825</v>
      </c>
      <c r="I6616" s="118">
        <f t="shared" si="1845"/>
        <v>0.19475277497477295</v>
      </c>
      <c r="J6616" s="5">
        <v>101477</v>
      </c>
      <c r="K6616" s="22">
        <v>2087</v>
      </c>
      <c r="L6616" s="6">
        <v>2090</v>
      </c>
      <c r="M6616" s="125">
        <f t="shared" ref="M6616" si="1851">L6616-K6616</f>
        <v>3</v>
      </c>
      <c r="P6616" s="247">
        <v>15050</v>
      </c>
      <c r="Q6616" s="25">
        <f>188.86/1319.5</f>
        <v>0.14312997347480108</v>
      </c>
      <c r="W6616" s="285">
        <f t="shared" si="1846"/>
        <v>2154.1061007957564</v>
      </c>
      <c r="X6616" s="443">
        <f t="shared" si="1847"/>
        <v>7.2113080977479633</v>
      </c>
    </row>
    <row r="6617" spans="1:24" ht="15" customHeight="1">
      <c r="A6617" s="3">
        <v>44994</v>
      </c>
      <c r="B6617" s="4">
        <v>23275</v>
      </c>
      <c r="C6617" s="5">
        <v>0</v>
      </c>
      <c r="D6617" s="5">
        <v>1375</v>
      </c>
      <c r="E6617" s="5">
        <v>25575</v>
      </c>
      <c r="F6617" s="4">
        <v>800</v>
      </c>
      <c r="G6617" s="4">
        <v>0</v>
      </c>
      <c r="H6617" s="5">
        <v>4825</v>
      </c>
      <c r="I6617" s="118">
        <f t="shared" ref="I6617" si="1852">H6617/E6617</f>
        <v>0.18866080156402737</v>
      </c>
      <c r="J6617" s="5">
        <v>101168</v>
      </c>
      <c r="K6617" s="22">
        <v>2076</v>
      </c>
      <c r="L6617" s="6">
        <v>2081.5</v>
      </c>
      <c r="M6617" s="125">
        <f t="shared" ref="M6617" si="1853">L6617-K6617</f>
        <v>5.5</v>
      </c>
      <c r="N6617" s="449"/>
      <c r="O6617" s="245"/>
      <c r="P6617" s="247">
        <v>15050</v>
      </c>
      <c r="Q6617" s="25">
        <f>189.22/1319.7</f>
        <v>0.14338107145563386</v>
      </c>
      <c r="W6617" s="285">
        <f t="shared" ref="W6617" si="1854">(P6617*Q6617)*(1+U6617)</f>
        <v>2157.8851254072897</v>
      </c>
      <c r="X6617" s="443">
        <f t="shared" ref="X6617" si="1855">P6617/K6617</f>
        <v>7.2495183044315992</v>
      </c>
    </row>
    <row r="6618" spans="1:24" ht="15" customHeight="1">
      <c r="A6618" s="3">
        <v>44995</v>
      </c>
      <c r="B6618" s="4">
        <v>22975</v>
      </c>
      <c r="C6618" s="5">
        <v>0</v>
      </c>
      <c r="D6618" s="5">
        <v>1375</v>
      </c>
      <c r="E6618" s="5">
        <v>25275</v>
      </c>
      <c r="F6618" s="4">
        <v>0</v>
      </c>
      <c r="G6618" s="4">
        <v>300</v>
      </c>
      <c r="H6618" s="5">
        <v>4525</v>
      </c>
      <c r="I6618" s="118">
        <f t="shared" ref="I6618" si="1856">H6618/E6618</f>
        <v>0.17903066271018794</v>
      </c>
      <c r="J6618" s="5">
        <v>101354</v>
      </c>
      <c r="K6618" s="22">
        <v>2077</v>
      </c>
      <c r="L6618" s="6">
        <v>2075</v>
      </c>
      <c r="M6618" s="125">
        <f t="shared" ref="M6618" si="1857">L6618-K6618</f>
        <v>-2</v>
      </c>
      <c r="N6618" s="449"/>
      <c r="O6618" s="245"/>
      <c r="P6618" s="247">
        <v>15050</v>
      </c>
      <c r="Q6618" s="25">
        <f>190.19/1325.7</f>
        <v>0.14346383042920721</v>
      </c>
      <c r="W6618" s="285">
        <f t="shared" ref="W6618" si="1858">(P6618*Q6618)*(1+U6618)</f>
        <v>2159.1306479595687</v>
      </c>
      <c r="X6618" s="443">
        <f t="shared" ref="X6618" si="1859">P6618/K6618</f>
        <v>7.2460279248916706</v>
      </c>
    </row>
    <row r="6619" spans="1:24" ht="15" customHeight="1">
      <c r="A6619" s="3">
        <v>44998</v>
      </c>
      <c r="B6619" s="4">
        <v>22975</v>
      </c>
      <c r="C6619" s="5">
        <v>0</v>
      </c>
      <c r="D6619" s="5">
        <v>1375</v>
      </c>
      <c r="E6619" s="5">
        <v>25275</v>
      </c>
      <c r="F6619" s="4">
        <v>0</v>
      </c>
      <c r="G6619" s="4">
        <v>0</v>
      </c>
      <c r="H6619" s="10">
        <v>4525</v>
      </c>
      <c r="I6619" s="118">
        <f t="shared" ref="I6619" si="1860">H6619/E6619</f>
        <v>0.17903066271018794</v>
      </c>
      <c r="J6619" s="5">
        <v>99606</v>
      </c>
      <c r="K6619" s="22">
        <v>2063</v>
      </c>
      <c r="L6619" s="6">
        <v>2070</v>
      </c>
      <c r="M6619" s="125">
        <f t="shared" ref="M6619" si="1861">L6619-K6619</f>
        <v>7</v>
      </c>
      <c r="N6619" s="449"/>
      <c r="O6619" s="245"/>
      <c r="P6619" s="247">
        <v>15050</v>
      </c>
      <c r="Q6619" s="25">
        <f>189.36/1307.3</f>
        <v>0.14484816033045209</v>
      </c>
      <c r="W6619" s="285">
        <f t="shared" ref="W6619" si="1862">(P6619*Q6619)*(1+U6619)</f>
        <v>2179.9648129733041</v>
      </c>
      <c r="X6619" s="443">
        <f t="shared" ref="X6619" si="1863">P6619/K6619</f>
        <v>7.2952011633543385</v>
      </c>
    </row>
    <row r="6620" spans="1:24" ht="15" customHeight="1">
      <c r="A6620" s="3">
        <v>44999</v>
      </c>
      <c r="B6620" s="4">
        <v>22975</v>
      </c>
      <c r="C6620" s="5">
        <v>0</v>
      </c>
      <c r="D6620" s="5">
        <v>1375</v>
      </c>
      <c r="E6620" s="5">
        <v>25275</v>
      </c>
      <c r="F6620" s="4">
        <v>0</v>
      </c>
      <c r="G6620" s="4">
        <v>0</v>
      </c>
      <c r="H6620" s="10">
        <v>4525</v>
      </c>
      <c r="I6620" s="118">
        <f t="shared" ref="I6620:I6625" si="1864">H6620/E6620</f>
        <v>0.17903066271018794</v>
      </c>
      <c r="J6620" s="5">
        <v>99520</v>
      </c>
      <c r="K6620" s="22">
        <v>2099</v>
      </c>
      <c r="L6620" s="6">
        <v>2100</v>
      </c>
      <c r="M6620" s="125">
        <f t="shared" ref="M6620:M6627" si="1865">L6620-K6620</f>
        <v>1</v>
      </c>
      <c r="P6620" s="247">
        <v>15125</v>
      </c>
      <c r="Q6620" s="25">
        <f>189.99/1304.9</f>
        <v>0.14559736378266533</v>
      </c>
      <c r="W6620" s="285">
        <f t="shared" ref="W6620:W6621" si="1866">(P6620*Q6620)*(1+U6620)</f>
        <v>2202.1601272128132</v>
      </c>
      <c r="X6620" s="443">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18">
        <f t="shared" si="1864"/>
        <v>0.17903066271018794</v>
      </c>
      <c r="J6621" s="5">
        <v>100266</v>
      </c>
      <c r="K6621" s="22">
        <v>2079</v>
      </c>
      <c r="L6621" s="6">
        <v>2084</v>
      </c>
      <c r="M6621" s="125">
        <f t="shared" si="1865"/>
        <v>5</v>
      </c>
      <c r="P6621" s="247">
        <v>15150</v>
      </c>
      <c r="Q6621" s="25">
        <f>189.03/1302</f>
        <v>0.14518433179723503</v>
      </c>
      <c r="W6621" s="285">
        <f t="shared" si="1866"/>
        <v>2199.5426267281105</v>
      </c>
      <c r="X6621" s="443">
        <f t="shared" si="1867"/>
        <v>7.2871572871572869</v>
      </c>
    </row>
    <row r="6622" spans="1:24" ht="15" customHeight="1">
      <c r="A6622" s="3">
        <v>45001</v>
      </c>
      <c r="B6622" s="4">
        <v>23425</v>
      </c>
      <c r="C6622" s="5">
        <v>0</v>
      </c>
      <c r="D6622" s="5">
        <v>1375</v>
      </c>
      <c r="E6622" s="5">
        <v>25725</v>
      </c>
      <c r="F6622" s="4">
        <v>450</v>
      </c>
      <c r="G6622" s="5">
        <v>0</v>
      </c>
      <c r="H6622" s="10">
        <v>4525</v>
      </c>
      <c r="I6622" s="118">
        <f t="shared" si="1864"/>
        <v>0.17589893100097181</v>
      </c>
      <c r="J6622" s="5">
        <v>103033</v>
      </c>
      <c r="K6622" s="22">
        <v>2055</v>
      </c>
      <c r="L6622" s="6">
        <v>2064</v>
      </c>
      <c r="M6622" s="125">
        <f t="shared" si="1865"/>
        <v>9</v>
      </c>
      <c r="P6622" s="247">
        <v>15175</v>
      </c>
      <c r="Q6622" s="25">
        <f>190.1/1312.1</f>
        <v>0.14488224982851916</v>
      </c>
      <c r="W6622" s="285">
        <f t="shared" ref="W6622:W6627" si="1868">(P6622*Q6622)*(1+U6622)</f>
        <v>2198.5881411477781</v>
      </c>
      <c r="X6622" s="443">
        <f t="shared" si="1867"/>
        <v>7.3844282238442824</v>
      </c>
    </row>
    <row r="6623" spans="1:24" ht="15" customHeight="1">
      <c r="A6623" s="3">
        <v>45002</v>
      </c>
      <c r="B6623" s="4">
        <v>23425</v>
      </c>
      <c r="C6623" s="5">
        <v>0</v>
      </c>
      <c r="D6623" s="5">
        <v>1375</v>
      </c>
      <c r="E6623" s="5">
        <v>25725</v>
      </c>
      <c r="F6623" s="4">
        <v>0</v>
      </c>
      <c r="G6623" s="5">
        <v>0</v>
      </c>
      <c r="H6623" s="10">
        <v>4525</v>
      </c>
      <c r="I6623" s="118">
        <f t="shared" si="1864"/>
        <v>0.17589893100097181</v>
      </c>
      <c r="J6623" s="5">
        <v>104772</v>
      </c>
      <c r="K6623" s="22">
        <v>2067.5</v>
      </c>
      <c r="L6623" s="6">
        <v>2069</v>
      </c>
      <c r="M6623" s="125">
        <f t="shared" si="1865"/>
        <v>1.5</v>
      </c>
      <c r="P6623" s="247">
        <v>15275</v>
      </c>
      <c r="Q6623" s="25">
        <f>189.26/1303.6</f>
        <v>0.14518257134090212</v>
      </c>
      <c r="W6623" s="285">
        <f t="shared" si="1868"/>
        <v>2217.6637772322797</v>
      </c>
      <c r="X6623" s="443">
        <f t="shared" si="1867"/>
        <v>7.3881499395405079</v>
      </c>
    </row>
    <row r="6624" spans="1:24" ht="15" customHeight="1">
      <c r="A6624" s="3">
        <v>45005</v>
      </c>
      <c r="B6624" s="4">
        <v>23425</v>
      </c>
      <c r="C6624" s="5">
        <v>0</v>
      </c>
      <c r="D6624" s="5">
        <v>1375</v>
      </c>
      <c r="E6624" s="5">
        <v>25725</v>
      </c>
      <c r="F6624" s="4">
        <v>0</v>
      </c>
      <c r="G6624" s="5">
        <v>0</v>
      </c>
      <c r="H6624" s="10">
        <v>4525</v>
      </c>
      <c r="I6624" s="118">
        <f t="shared" si="1864"/>
        <v>0.17589893100097181</v>
      </c>
      <c r="J6624" s="5">
        <v>104738</v>
      </c>
      <c r="K6624" s="22">
        <v>2104</v>
      </c>
      <c r="L6624" s="6">
        <v>2096</v>
      </c>
      <c r="M6624" s="125">
        <f t="shared" si="1865"/>
        <v>-8</v>
      </c>
      <c r="P6624" s="247">
        <v>15275</v>
      </c>
      <c r="Q6624" s="25">
        <f>189.84/1308.4</f>
        <v>0.14509324365637419</v>
      </c>
      <c r="W6624" s="285">
        <f t="shared" si="1868"/>
        <v>2216.2992968511157</v>
      </c>
      <c r="X6624" s="443">
        <f t="shared" si="1867"/>
        <v>7.2599809885931563</v>
      </c>
    </row>
    <row r="6625" spans="1:25" ht="15" customHeight="1">
      <c r="A6625" s="3">
        <v>45006</v>
      </c>
      <c r="B6625" s="4">
        <v>23425</v>
      </c>
      <c r="C6625" s="5">
        <v>0</v>
      </c>
      <c r="D6625" s="5">
        <v>1375</v>
      </c>
      <c r="E6625" s="5">
        <v>25725</v>
      </c>
      <c r="F6625" s="4">
        <v>0</v>
      </c>
      <c r="G6625" s="5">
        <v>0</v>
      </c>
      <c r="H6625" s="10">
        <v>4525</v>
      </c>
      <c r="I6625" s="118">
        <f t="shared" si="1864"/>
        <v>0.17589893100097181</v>
      </c>
      <c r="J6625" s="5">
        <v>104741</v>
      </c>
      <c r="K6625" s="22">
        <v>2130</v>
      </c>
      <c r="L6625" s="6">
        <v>2111</v>
      </c>
      <c r="M6625" s="125">
        <f t="shared" si="1865"/>
        <v>-19</v>
      </c>
      <c r="P6625" s="247">
        <v>15250</v>
      </c>
      <c r="Q6625" s="25">
        <f>190.05/1307.8</f>
        <v>0.14532038538002753</v>
      </c>
      <c r="W6625" s="285">
        <f t="shared" si="1868"/>
        <v>2216.1358770454199</v>
      </c>
      <c r="X6625" s="443">
        <f t="shared" si="1867"/>
        <v>7.15962441314554</v>
      </c>
    </row>
    <row r="6626" spans="1:25" ht="15" customHeight="1">
      <c r="A6626" s="3">
        <v>45007</v>
      </c>
      <c r="B6626" s="4">
        <v>23425</v>
      </c>
      <c r="C6626" s="5">
        <v>0</v>
      </c>
      <c r="D6626" s="5">
        <v>1375</v>
      </c>
      <c r="E6626" s="5">
        <v>25725</v>
      </c>
      <c r="F6626" s="4">
        <v>0</v>
      </c>
      <c r="G6626" s="5">
        <v>0</v>
      </c>
      <c r="H6626" s="5">
        <v>4525</v>
      </c>
      <c r="I6626" s="118">
        <f t="shared" ref="I6626:I6631" si="1869">H6626/E6626</f>
        <v>0.17589893100097181</v>
      </c>
      <c r="J6626" s="5">
        <v>114583</v>
      </c>
      <c r="K6626" s="22">
        <v>2150</v>
      </c>
      <c r="L6626" s="6">
        <v>2123</v>
      </c>
      <c r="M6626" s="125">
        <f t="shared" si="1865"/>
        <v>-27</v>
      </c>
      <c r="P6626" s="247">
        <v>15225</v>
      </c>
      <c r="Q6626" s="25">
        <f>189.92/1307.1</f>
        <v>0.14529875296457809</v>
      </c>
      <c r="W6626" s="285">
        <f t="shared" si="1868"/>
        <v>2212.1735138857016</v>
      </c>
      <c r="X6626" s="443">
        <f t="shared" si="1867"/>
        <v>7.0813953488372094</v>
      </c>
    </row>
    <row r="6627" spans="1:25" ht="15" customHeight="1">
      <c r="A6627" s="3">
        <v>45008</v>
      </c>
      <c r="B6627" s="4">
        <v>23425</v>
      </c>
      <c r="C6627" s="5">
        <v>0</v>
      </c>
      <c r="D6627" s="5">
        <v>1375</v>
      </c>
      <c r="E6627" s="5">
        <v>25725</v>
      </c>
      <c r="F6627" s="4">
        <v>0</v>
      </c>
      <c r="G6627" s="5">
        <v>0</v>
      </c>
      <c r="H6627" s="5">
        <v>4525</v>
      </c>
      <c r="I6627" s="118">
        <f t="shared" si="1869"/>
        <v>0.17589893100097181</v>
      </c>
      <c r="J6627" s="5">
        <v>102928</v>
      </c>
      <c r="K6627" s="22">
        <v>2146.5</v>
      </c>
      <c r="L6627" s="6">
        <v>2134</v>
      </c>
      <c r="M6627" s="125">
        <f t="shared" si="1865"/>
        <v>-12.5</v>
      </c>
      <c r="P6627" s="247">
        <v>15250</v>
      </c>
      <c r="Q6627" s="25">
        <f>187.39/1287.2</f>
        <v>0.14557955251709134</v>
      </c>
      <c r="W6627" s="285">
        <f t="shared" si="1868"/>
        <v>2220.0881758856431</v>
      </c>
      <c r="X6627" s="443">
        <f t="shared" si="1867"/>
        <v>7.1045888655951552</v>
      </c>
    </row>
    <row r="6628" spans="1:25" ht="15" customHeight="1">
      <c r="A6628" s="3">
        <v>45009</v>
      </c>
      <c r="B6628" s="4">
        <v>23425</v>
      </c>
      <c r="C6628" s="5">
        <v>0</v>
      </c>
      <c r="D6628" s="5">
        <v>1350</v>
      </c>
      <c r="E6628" s="5">
        <v>25700</v>
      </c>
      <c r="F6628" s="4">
        <v>0</v>
      </c>
      <c r="G6628" s="5">
        <v>25</v>
      </c>
      <c r="H6628" s="5">
        <v>4500</v>
      </c>
      <c r="I6628" s="118">
        <f t="shared" si="1869"/>
        <v>0.17509727626459143</v>
      </c>
      <c r="J6628" s="5">
        <v>104235</v>
      </c>
      <c r="K6628" s="22">
        <v>2135</v>
      </c>
      <c r="L6628" s="6">
        <v>2116</v>
      </c>
      <c r="M6628" s="125">
        <f t="shared" ref="M6628" si="1870">L6628-K6628</f>
        <v>-19</v>
      </c>
      <c r="P6628" s="247">
        <v>15250</v>
      </c>
      <c r="Q6628" s="25">
        <f>188.68/1289.7</f>
        <v>0.14629758858649297</v>
      </c>
      <c r="W6628" s="285">
        <f t="shared" ref="W6628" si="1871">(P6628*Q6628)*(1+U6628)</f>
        <v>2231.038225944018</v>
      </c>
      <c r="X6628" s="443">
        <f t="shared" ref="X6628" si="1872">P6628/K6628</f>
        <v>7.1428571428571432</v>
      </c>
    </row>
    <row r="6629" spans="1:25" ht="15" customHeight="1">
      <c r="A6629" s="3">
        <v>45012</v>
      </c>
      <c r="B6629" s="4">
        <v>23425</v>
      </c>
      <c r="C6629" s="5">
        <v>0</v>
      </c>
      <c r="D6629" s="5">
        <v>1325</v>
      </c>
      <c r="E6629" s="5">
        <v>25675</v>
      </c>
      <c r="F6629" s="4">
        <v>0</v>
      </c>
      <c r="G6629" s="5">
        <v>25</v>
      </c>
      <c r="H6629" s="5">
        <v>4475</v>
      </c>
      <c r="I6629" s="118">
        <f t="shared" si="1869"/>
        <v>0.17429406037000975</v>
      </c>
      <c r="J6629" s="5">
        <v>103335</v>
      </c>
      <c r="K6629" s="22">
        <v>2125</v>
      </c>
      <c r="L6629" s="6">
        <v>2113</v>
      </c>
      <c r="M6629" s="125">
        <f t="shared" ref="M6629" si="1873">L6629-K6629</f>
        <v>-12</v>
      </c>
      <c r="P6629" s="247">
        <v>15250</v>
      </c>
      <c r="Q6629" s="25">
        <f>163.8/1300.3</f>
        <v>0.12597092978543414</v>
      </c>
      <c r="W6629" s="285">
        <f t="shared" ref="W6629" si="1874">(P6629*Q6629)*(1+U6629)</f>
        <v>1921.0566792278707</v>
      </c>
      <c r="X6629" s="443">
        <f t="shared" ref="X6629" si="1875">P6629/K6629</f>
        <v>7.1764705882352944</v>
      </c>
    </row>
    <row r="6630" spans="1:25" ht="15" customHeight="1">
      <c r="A6630" s="3">
        <v>45013</v>
      </c>
      <c r="B6630" s="4">
        <v>23425</v>
      </c>
      <c r="C6630" s="5">
        <v>0</v>
      </c>
      <c r="D6630" s="5">
        <v>1325</v>
      </c>
      <c r="E6630" s="5">
        <v>25675</v>
      </c>
      <c r="F6630" s="4">
        <v>0</v>
      </c>
      <c r="G6630" s="5">
        <v>0</v>
      </c>
      <c r="H6630" s="5">
        <v>4475</v>
      </c>
      <c r="I6630" s="118">
        <f t="shared" si="1869"/>
        <v>0.17429406037000975</v>
      </c>
      <c r="J6630" s="5">
        <v>103930</v>
      </c>
      <c r="K6630" s="22">
        <v>2156</v>
      </c>
      <c r="L6630" s="6">
        <v>2141</v>
      </c>
      <c r="M6630" s="125">
        <f t="shared" ref="M6630" si="1876">L6630-K6630</f>
        <v>-15</v>
      </c>
      <c r="P6630" s="247">
        <v>15275</v>
      </c>
      <c r="Q6630" s="25">
        <f>188.61/1297.4</f>
        <v>0.14537536611684909</v>
      </c>
      <c r="W6630" s="285">
        <f t="shared" ref="W6630" si="1877">(P6630*Q6630)*(1+U6630)</f>
        <v>2220.60871743487</v>
      </c>
      <c r="X6630" s="443">
        <f t="shared" ref="X6630" si="1878">P6630/K6630</f>
        <v>7.0848794063079774</v>
      </c>
    </row>
    <row r="6631" spans="1:25" ht="15" customHeight="1">
      <c r="A6631" s="3">
        <v>45014</v>
      </c>
      <c r="B6631" s="4">
        <v>23425</v>
      </c>
      <c r="C6631" s="5">
        <v>0</v>
      </c>
      <c r="D6631" s="5">
        <v>1325</v>
      </c>
      <c r="E6631" s="5">
        <v>25675</v>
      </c>
      <c r="F6631" s="4">
        <v>0</v>
      </c>
      <c r="G6631" s="5">
        <v>0</v>
      </c>
      <c r="H6631" s="5">
        <v>4475</v>
      </c>
      <c r="I6631" s="118">
        <f t="shared" si="1869"/>
        <v>0.17429406037000975</v>
      </c>
      <c r="J6631" s="5">
        <v>104375</v>
      </c>
      <c r="K6631" s="22">
        <v>2182</v>
      </c>
      <c r="L6631" s="6">
        <v>2153</v>
      </c>
      <c r="M6631" s="125">
        <f t="shared" ref="M6631" si="1879">L6631-K6631</f>
        <v>-29</v>
      </c>
      <c r="P6631" s="247">
        <v>15150</v>
      </c>
      <c r="Q6631" s="25">
        <f>188.77/1299.3</f>
        <v>0.14528592318940969</v>
      </c>
      <c r="W6631" s="285">
        <f t="shared" ref="W6631" si="1880">(P6631*Q6631)*(1+U6631)</f>
        <v>2201.081736319557</v>
      </c>
      <c r="X6631" s="443">
        <f t="shared" ref="X6631" si="1881">P6631/K6631</f>
        <v>6.9431714023831343</v>
      </c>
    </row>
    <row r="6632" spans="1:25" ht="15" customHeight="1">
      <c r="A6632" s="3">
        <v>45015</v>
      </c>
      <c r="B6632" s="4">
        <v>24125</v>
      </c>
      <c r="C6632" s="5">
        <v>0</v>
      </c>
      <c r="D6632" s="5">
        <v>1325</v>
      </c>
      <c r="E6632" s="5">
        <v>26375</v>
      </c>
      <c r="F6632" s="4">
        <v>700</v>
      </c>
      <c r="G6632" s="5">
        <v>0</v>
      </c>
      <c r="H6632" s="5">
        <v>4475</v>
      </c>
      <c r="I6632" s="118">
        <f>H6632/E6632</f>
        <v>0.16966824644549763</v>
      </c>
      <c r="J6632" s="5">
        <v>103869</v>
      </c>
      <c r="K6632" s="22">
        <v>2174</v>
      </c>
      <c r="L6632" s="6">
        <v>2147</v>
      </c>
      <c r="M6632" s="125">
        <f t="shared" ref="M6632" si="1882">L6632-K6632</f>
        <v>-27</v>
      </c>
      <c r="N6632" s="449"/>
      <c r="O6632" s="245"/>
      <c r="P6632" s="247">
        <v>15125</v>
      </c>
      <c r="Q6632" s="25">
        <f>188.77
/1299.3</f>
        <v>0.14528592318940969</v>
      </c>
      <c r="W6632" s="285">
        <f t="shared" ref="W6632" si="1883">(P6632*Q6632)*(1+U6632)</f>
        <v>2197.4495882398214</v>
      </c>
      <c r="X6632" s="443">
        <f t="shared" ref="X6632" si="1884">P6632/K6632</f>
        <v>6.9572217111315551</v>
      </c>
    </row>
    <row r="6633" spans="1:25" ht="15" customHeight="1">
      <c r="A6633" s="3">
        <v>45016</v>
      </c>
      <c r="B6633" s="4">
        <v>24125</v>
      </c>
      <c r="C6633" s="5">
        <v>0</v>
      </c>
      <c r="D6633" s="5">
        <v>1325</v>
      </c>
      <c r="E6633" s="5">
        <v>26375</v>
      </c>
      <c r="F6633" s="5">
        <v>0</v>
      </c>
      <c r="G6633" s="5">
        <v>0</v>
      </c>
      <c r="H6633" s="5">
        <v>4475</v>
      </c>
      <c r="I6633" s="118">
        <f>H6633/E6633</f>
        <v>0.16966824644549763</v>
      </c>
      <c r="J6633" s="5">
        <v>104318</v>
      </c>
      <c r="K6633" s="22">
        <v>2145</v>
      </c>
      <c r="L6633" s="6">
        <v>2128</v>
      </c>
      <c r="M6633" s="125">
        <f t="shared" ref="M6633" si="1885">L6633-K6633</f>
        <v>-17</v>
      </c>
      <c r="N6633" s="448">
        <f>AVERAGE($K$6611:K6633)</f>
        <v>2114.782608695652</v>
      </c>
      <c r="O6633" s="395">
        <f>AVERAGE($K$6567:K6633)</f>
        <v>2140.4609375</v>
      </c>
      <c r="P6633" s="247">
        <v>15125</v>
      </c>
      <c r="Q6633" s="25">
        <f>188.37 /1295.4</f>
        <v>0.145414543770264</v>
      </c>
      <c r="W6633" s="285">
        <f t="shared" ref="W6633" si="1886">(P6633*Q6633)*(1+U6633)</f>
        <v>2199.394974525243</v>
      </c>
      <c r="X6633" s="443">
        <f t="shared" ref="X6633" si="1887">P6633/K6633</f>
        <v>7.0512820512820511</v>
      </c>
    </row>
    <row r="6634" spans="1:25" ht="15" customHeight="1" thickBot="1">
      <c r="A6634" s="394"/>
      <c r="B6634" s="394"/>
      <c r="C6634" s="394"/>
      <c r="D6634" s="394"/>
      <c r="E6634" s="216"/>
      <c r="F6634" s="407"/>
      <c r="G6634" s="164"/>
      <c r="H6634" s="164"/>
      <c r="I6634" s="166"/>
      <c r="J6634" s="166"/>
      <c r="K6634" s="166"/>
      <c r="L6634" s="167"/>
      <c r="M6634" s="167"/>
      <c r="N6634" s="167"/>
      <c r="O6634" s="180"/>
      <c r="P6634" s="180"/>
      <c r="Q6634" s="180"/>
      <c r="R6634" s="248"/>
      <c r="S6634" s="249"/>
      <c r="T6634" s="249"/>
      <c r="U6634" s="152"/>
      <c r="V6634" s="153">
        <f>AVERAGE(P6611:P6633)</f>
        <v>15157.608695652174</v>
      </c>
      <c r="W6634" s="152"/>
      <c r="X6634" s="447">
        <f>V6634/N6633</f>
        <v>7.1674547697368425</v>
      </c>
    </row>
    <row r="6635" spans="1:25" ht="15" customHeight="1">
      <c r="A6635" s="3">
        <v>45019</v>
      </c>
      <c r="B6635" s="4">
        <v>24125</v>
      </c>
      <c r="C6635" s="5">
        <v>0</v>
      </c>
      <c r="D6635" s="5">
        <v>1325</v>
      </c>
      <c r="E6635" s="5">
        <v>26375</v>
      </c>
      <c r="F6635" s="5">
        <v>0</v>
      </c>
      <c r="G6635" s="5">
        <v>0</v>
      </c>
      <c r="H6635" s="5">
        <v>4475</v>
      </c>
      <c r="I6635" s="118">
        <f>H6635/E6635</f>
        <v>0.16966824644549763</v>
      </c>
      <c r="J6635" s="5">
        <v>101773</v>
      </c>
      <c r="K6635" s="22">
        <v>2137</v>
      </c>
      <c r="L6635" s="6">
        <v>2126</v>
      </c>
      <c r="M6635" s="125">
        <f t="shared" ref="M6635" si="1888">L6635-K6635</f>
        <v>-11</v>
      </c>
      <c r="N6635" s="450"/>
      <c r="O6635" s="451"/>
      <c r="P6635" s="247">
        <v>15050</v>
      </c>
      <c r="Q6635" s="25">
        <f>191.33/1316.3</f>
        <v>0.14535440249183318</v>
      </c>
      <c r="W6635" s="285">
        <f t="shared" ref="W6635" si="1889">(P6635*Q6635)*(1+U6635)</f>
        <v>2187.5837575020892</v>
      </c>
      <c r="X6635" s="443">
        <f t="shared" ref="X6635" si="1890">P6635/K6635</f>
        <v>7.0425830603649979</v>
      </c>
    </row>
    <row r="6636" spans="1:25" ht="15" customHeight="1">
      <c r="A6636" s="3">
        <v>45020</v>
      </c>
      <c r="B6636" s="4">
        <v>24125</v>
      </c>
      <c r="C6636" s="5">
        <v>0</v>
      </c>
      <c r="D6636" s="5">
        <v>1325</v>
      </c>
      <c r="E6636" s="5">
        <v>26375</v>
      </c>
      <c r="F6636" s="5">
        <v>0</v>
      </c>
      <c r="G6636" s="5">
        <v>0</v>
      </c>
      <c r="H6636" s="10">
        <v>4475</v>
      </c>
      <c r="I6636" s="118">
        <f>H6636/E6636</f>
        <v>0.16966824644549763</v>
      </c>
      <c r="J6636" s="5">
        <v>102095</v>
      </c>
      <c r="K6636" s="22">
        <v>2122</v>
      </c>
      <c r="L6636" s="6">
        <v>2119</v>
      </c>
      <c r="M6636" s="125">
        <f t="shared" ref="M6636" si="1891">L6636-K6636</f>
        <v>-3</v>
      </c>
      <c r="N6636" s="449"/>
      <c r="O6636" s="245"/>
      <c r="P6636" s="247">
        <v>15050</v>
      </c>
      <c r="Q6636" s="25">
        <f>190.12/1310.3</f>
        <v>0.14509654277646342</v>
      </c>
      <c r="W6636" s="285">
        <f>(P6636*Q6636)*(1+U6636)</f>
        <v>2183.7029687857744</v>
      </c>
      <c r="X6636" s="443">
        <f t="shared" ref="X6636" si="1892">P6636/K6636</f>
        <v>7.0923656927426952</v>
      </c>
    </row>
    <row r="6637" spans="1:25" ht="15" customHeight="1">
      <c r="A6637" s="3">
        <v>45021</v>
      </c>
      <c r="B6637" s="4">
        <v>24125</v>
      </c>
      <c r="C6637" s="5">
        <v>0</v>
      </c>
      <c r="D6637" s="5">
        <v>1325</v>
      </c>
      <c r="E6637" s="5">
        <v>26375</v>
      </c>
      <c r="F6637" s="5">
        <v>0</v>
      </c>
      <c r="G6637" s="5">
        <v>0</v>
      </c>
      <c r="H6637" s="10">
        <v>4475</v>
      </c>
      <c r="I6637" s="118">
        <f>H6637/E6637</f>
        <v>0.16966824644549763</v>
      </c>
      <c r="J6637" s="5">
        <v>101372</v>
      </c>
      <c r="K6637" s="22">
        <v>2119.5</v>
      </c>
      <c r="L6637" s="6">
        <v>2120</v>
      </c>
      <c r="M6637" s="125">
        <f t="shared" ref="M6637" si="1893">L6637-K6637</f>
        <v>0.5</v>
      </c>
      <c r="N6637" s="449"/>
      <c r="O6637" s="245"/>
      <c r="P6637" s="247"/>
      <c r="Q6637" s="25">
        <f>190.99/1311.9</f>
        <v>0.14558274258708742</v>
      </c>
      <c r="X6637" s="443">
        <f t="shared" ref="X6637" si="1894">P6637/K6637</f>
        <v>0</v>
      </c>
    </row>
    <row r="6638" spans="1:25" ht="15" customHeight="1">
      <c r="A6638" s="3">
        <v>45022</v>
      </c>
      <c r="B6638" s="4">
        <v>24125</v>
      </c>
      <c r="C6638" s="5">
        <v>0</v>
      </c>
      <c r="D6638" s="5">
        <v>1325</v>
      </c>
      <c r="E6638" s="5">
        <v>26375</v>
      </c>
      <c r="F6638" s="5">
        <v>0</v>
      </c>
      <c r="G6638" s="5">
        <v>0</v>
      </c>
      <c r="H6638" s="10">
        <v>4475</v>
      </c>
      <c r="I6638" s="118">
        <f>H6638/E6638</f>
        <v>0.16966824644549763</v>
      </c>
      <c r="J6638" s="5">
        <v>102036</v>
      </c>
      <c r="K6638" s="22">
        <v>2128</v>
      </c>
      <c r="L6638" s="6">
        <v>2120.5</v>
      </c>
      <c r="M6638" s="125">
        <f t="shared" ref="M6638" si="1895">L6638-K6638</f>
        <v>-7.5</v>
      </c>
      <c r="P6638" s="247">
        <v>15100</v>
      </c>
      <c r="Q6638" s="25">
        <f>191.5/1318.7</f>
        <v>0.14521877606733904</v>
      </c>
      <c r="W6638" s="285">
        <f t="shared" ref="W6638:W6643" si="1896">(P6638*Q6638)*(1+U6638)</f>
        <v>2192.8035186168195</v>
      </c>
      <c r="X6638" s="443">
        <f t="shared" ref="X6638:X6640" si="1897">P6638/K6638</f>
        <v>7.0958646616541357</v>
      </c>
    </row>
    <row r="6639" spans="1:25" ht="15" customHeight="1">
      <c r="A6639" s="3">
        <v>45023</v>
      </c>
      <c r="B6639" s="1318"/>
      <c r="C6639" s="1318"/>
      <c r="D6639" s="1318"/>
      <c r="E6639" s="1318"/>
      <c r="F6639" s="1318"/>
      <c r="G6639" s="1318"/>
      <c r="H6639" s="1318"/>
      <c r="I6639" s="1318"/>
      <c r="J6639" s="1318"/>
      <c r="K6639" s="1318"/>
      <c r="L6639" s="1318"/>
      <c r="M6639" s="1318"/>
      <c r="P6639" s="247">
        <v>15175</v>
      </c>
      <c r="Q6639" s="25">
        <f>191.61/1318.9</f>
        <v>0.14528015770718022</v>
      </c>
      <c r="W6639" s="285">
        <f t="shared" si="1896"/>
        <v>2204.6263932064599</v>
      </c>
      <c r="X6639" s="443" t="e">
        <f t="shared" si="1897"/>
        <v>#DIV/0!</v>
      </c>
    </row>
    <row r="6640" spans="1:25" ht="15" customHeight="1">
      <c r="A6640" s="3">
        <v>45026</v>
      </c>
      <c r="B6640" s="1318"/>
      <c r="C6640" s="1318"/>
      <c r="D6640" s="1318"/>
      <c r="E6640" s="1318"/>
      <c r="F6640" s="1318"/>
      <c r="G6640" s="1318"/>
      <c r="H6640" s="1318"/>
      <c r="I6640" s="1318"/>
      <c r="J6640" s="1318"/>
      <c r="K6640" s="1318"/>
      <c r="L6640" s="1318"/>
      <c r="M6640" s="1318"/>
      <c r="P6640" s="247">
        <v>15175</v>
      </c>
      <c r="Q6640" s="25">
        <f>191.72/1320</f>
        <v>0.14524242424242423</v>
      </c>
      <c r="W6640" s="285">
        <f t="shared" si="1896"/>
        <v>2204.0537878787877</v>
      </c>
      <c r="X6640" s="443" t="e">
        <f t="shared" si="1897"/>
        <v>#DIV/0!</v>
      </c>
      <c r="Y6640" s="7" t="s">
        <v>63</v>
      </c>
    </row>
    <row r="6641" spans="1:24" ht="15" customHeight="1">
      <c r="A6641" s="3">
        <v>45027</v>
      </c>
      <c r="B6641" s="4">
        <v>24125</v>
      </c>
      <c r="C6641" s="5">
        <v>0</v>
      </c>
      <c r="D6641" s="5">
        <v>1325</v>
      </c>
      <c r="E6641" s="5">
        <v>26375</v>
      </c>
      <c r="F6641" s="4">
        <v>0</v>
      </c>
      <c r="G6641" s="5">
        <v>0</v>
      </c>
      <c r="H6641" s="5">
        <v>4475</v>
      </c>
      <c r="I6641" s="118">
        <f t="shared" ref="I6641:I6646" si="1898">H6641/E6641</f>
        <v>0.16966824644549763</v>
      </c>
      <c r="J6641" s="5">
        <v>103169</v>
      </c>
      <c r="K6641" s="22">
        <v>2121</v>
      </c>
      <c r="L6641" s="6">
        <v>2098</v>
      </c>
      <c r="M6641" s="125">
        <f t="shared" ref="M6641:M6643" si="1899">L6641-K6641</f>
        <v>-23</v>
      </c>
      <c r="P6641" s="247">
        <v>15150</v>
      </c>
      <c r="Q6641" s="25">
        <f>191.43/1319.5</f>
        <v>0.1450776809397499</v>
      </c>
      <c r="W6641" s="285">
        <f t="shared" si="1896"/>
        <v>2197.926866237211</v>
      </c>
      <c r="X6641" s="443">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18">
        <f t="shared" si="1898"/>
        <v>0.15996168582375478</v>
      </c>
      <c r="J6642" s="5">
        <v>102216</v>
      </c>
      <c r="K6642" s="22">
        <v>2142</v>
      </c>
      <c r="L6642" s="6">
        <v>2107</v>
      </c>
      <c r="M6642" s="125">
        <f t="shared" si="1899"/>
        <v>-35</v>
      </c>
      <c r="P6642" s="247">
        <v>15175</v>
      </c>
      <c r="Q6642" s="25">
        <f>192.11/1324.2</f>
        <v>0.14507627246639482</v>
      </c>
      <c r="W6642" s="285">
        <f t="shared" si="1896"/>
        <v>2201.5324346775415</v>
      </c>
      <c r="X6642" s="443">
        <f t="shared" si="1900"/>
        <v>7.0845004668534077</v>
      </c>
    </row>
    <row r="6643" spans="1:24" ht="15" customHeight="1">
      <c r="A6643" s="3">
        <v>45029</v>
      </c>
      <c r="B6643" s="4">
        <v>24350</v>
      </c>
      <c r="C6643" s="5">
        <v>0</v>
      </c>
      <c r="D6643" s="5">
        <v>1325</v>
      </c>
      <c r="E6643" s="5">
        <v>26600</v>
      </c>
      <c r="F6643" s="4">
        <v>600</v>
      </c>
      <c r="G6643" s="5">
        <v>100</v>
      </c>
      <c r="H6643" s="5">
        <v>4075</v>
      </c>
      <c r="I6643" s="118">
        <f t="shared" si="1898"/>
        <v>0.15319548872180452</v>
      </c>
      <c r="J6643" s="5">
        <v>102355</v>
      </c>
      <c r="K6643" s="22">
        <v>2162</v>
      </c>
      <c r="L6643" s="6">
        <v>2132</v>
      </c>
      <c r="M6643" s="125">
        <f t="shared" si="1899"/>
        <v>-30</v>
      </c>
      <c r="P6643" s="247">
        <v>15200</v>
      </c>
      <c r="Q6643" s="25">
        <f>191.5/1318</f>
        <v>0.1452959028831563</v>
      </c>
      <c r="W6643" s="285">
        <f t="shared" si="1896"/>
        <v>2208.4977238239758</v>
      </c>
      <c r="X6643" s="443">
        <f t="shared" si="1900"/>
        <v>7.0305272895467157</v>
      </c>
    </row>
    <row r="6644" spans="1:24" ht="15" customHeight="1">
      <c r="A6644" s="3">
        <v>45030</v>
      </c>
      <c r="B6644" s="4">
        <v>24150</v>
      </c>
      <c r="C6644" s="5">
        <v>0</v>
      </c>
      <c r="D6644" s="5">
        <v>1325</v>
      </c>
      <c r="E6644" s="5">
        <v>26400</v>
      </c>
      <c r="F6644" s="4">
        <v>0</v>
      </c>
      <c r="G6644" s="5">
        <v>200</v>
      </c>
      <c r="H6644" s="5">
        <v>3875</v>
      </c>
      <c r="I6644" s="118">
        <f t="shared" si="1898"/>
        <v>0.14678030303030304</v>
      </c>
      <c r="J6644" s="5">
        <v>101058</v>
      </c>
      <c r="K6644" s="22">
        <v>2185</v>
      </c>
      <c r="L6644" s="6">
        <v>2164</v>
      </c>
      <c r="M6644" s="125">
        <f t="shared" ref="M6644" si="1901">L6644-K6644</f>
        <v>-21</v>
      </c>
      <c r="P6644" s="247">
        <v>15175</v>
      </c>
      <c r="Q6644" s="25">
        <f>189.58/1299.3</f>
        <v>0.14590933579619797</v>
      </c>
      <c r="W6644" s="285">
        <f t="shared" ref="W6644" si="1902">(P6644*Q6644)*(1+U6644)</f>
        <v>2214.1741707073043</v>
      </c>
      <c r="X6644" s="443">
        <f t="shared" ref="X6644" si="1903">P6644/K6644</f>
        <v>6.945080091533181</v>
      </c>
    </row>
    <row r="6645" spans="1:24" ht="15" customHeight="1">
      <c r="A6645" s="3">
        <v>45033</v>
      </c>
      <c r="B6645" s="4">
        <v>29100</v>
      </c>
      <c r="C6645" s="5">
        <v>0</v>
      </c>
      <c r="D6645" s="5">
        <v>1325</v>
      </c>
      <c r="E6645" s="5">
        <v>31350</v>
      </c>
      <c r="F6645" s="4">
        <v>4950</v>
      </c>
      <c r="G6645" s="4">
        <v>0</v>
      </c>
      <c r="H6645" s="5">
        <v>4950</v>
      </c>
      <c r="I6645" s="118">
        <f t="shared" si="1898"/>
        <v>0.15789473684210525</v>
      </c>
      <c r="J6645" s="5">
        <v>103975</v>
      </c>
      <c r="K6645" s="22">
        <v>2132</v>
      </c>
      <c r="L6645" s="6">
        <v>2108</v>
      </c>
      <c r="M6645" s="125">
        <f t="shared" ref="M6645:M6646" si="1904">L6645-K6645</f>
        <v>-24</v>
      </c>
      <c r="P6645" s="247">
        <v>15250</v>
      </c>
      <c r="Q6645" s="25">
        <f>190.61/1311.3</f>
        <v>0.14535956684206514</v>
      </c>
      <c r="W6645" s="285">
        <f t="shared" ref="W6645" si="1905">(P6645*Q6645)*(1+U6645)</f>
        <v>2216.7333943414933</v>
      </c>
      <c r="X6645" s="443">
        <f t="shared" ref="X6645" si="1906">P6645/K6645</f>
        <v>7.1529080675422136</v>
      </c>
    </row>
    <row r="6646" spans="1:24" ht="15" customHeight="1">
      <c r="A6646" s="3">
        <v>45034</v>
      </c>
      <c r="B6646" s="4">
        <v>29100</v>
      </c>
      <c r="C6646" s="5">
        <v>0</v>
      </c>
      <c r="D6646" s="5">
        <v>1325</v>
      </c>
      <c r="E6646" s="5">
        <v>31350</v>
      </c>
      <c r="F6646" s="4">
        <v>0</v>
      </c>
      <c r="G6646" s="5">
        <v>0</v>
      </c>
      <c r="H6646" s="5">
        <v>3875</v>
      </c>
      <c r="I6646" s="118">
        <f t="shared" si="1898"/>
        <v>0.12360446570972887</v>
      </c>
      <c r="J6646" s="5">
        <v>103677</v>
      </c>
      <c r="K6646" s="22">
        <v>2159</v>
      </c>
      <c r="L6646" s="6">
        <v>2133</v>
      </c>
      <c r="M6646" s="125">
        <f t="shared" si="1904"/>
        <v>-26</v>
      </c>
      <c r="P6646" s="247">
        <v>15225</v>
      </c>
      <c r="Q6646" s="25">
        <f>190.96/1314.05</f>
        <v>0.14532171530763671</v>
      </c>
      <c r="W6646" s="285">
        <f t="shared" ref="W6646" si="1907">(P6646*Q6646)*(1+U6646)</f>
        <v>2212.5231155587689</v>
      </c>
      <c r="X6646" s="443">
        <f t="shared" ref="X6646" si="1908">P6646/K6646</f>
        <v>7.0518758684576195</v>
      </c>
    </row>
    <row r="6647" spans="1:24" ht="15" customHeight="1">
      <c r="A6647" s="3">
        <v>45035</v>
      </c>
      <c r="B6647" s="4">
        <v>29100</v>
      </c>
      <c r="C6647" s="5">
        <v>0</v>
      </c>
      <c r="D6647" s="5">
        <v>1325</v>
      </c>
      <c r="E6647" s="5">
        <v>31350</v>
      </c>
      <c r="F6647" s="4">
        <v>0</v>
      </c>
      <c r="G6647" s="5">
        <v>0</v>
      </c>
      <c r="H6647" s="5">
        <v>3875</v>
      </c>
      <c r="I6647" s="118">
        <f t="shared" ref="I6647" si="1909">H6647/E6647</f>
        <v>0.12360446570972887</v>
      </c>
      <c r="J6647" s="5">
        <v>101336</v>
      </c>
      <c r="K6647" s="22">
        <v>2156</v>
      </c>
      <c r="L6647" s="6">
        <v>2134</v>
      </c>
      <c r="M6647" s="125">
        <f t="shared" ref="M6647" si="1910">L6647-K6647</f>
        <v>-22</v>
      </c>
      <c r="P6647" s="247">
        <v>15275</v>
      </c>
      <c r="Q6647" s="25">
        <f>191.52/1318.8</f>
        <v>0.14522292993630576</v>
      </c>
      <c r="W6647" s="285">
        <f t="shared" ref="W6647" si="1911">(P6647*Q6647)*(1+U6647)</f>
        <v>2218.2802547770702</v>
      </c>
      <c r="X6647" s="443">
        <f t="shared" ref="X6647" si="1912">P6647/K6647</f>
        <v>7.0848794063079774</v>
      </c>
    </row>
    <row r="6648" spans="1:24" ht="15" customHeight="1">
      <c r="A6648" s="3">
        <v>45036</v>
      </c>
      <c r="B6648" s="4">
        <v>30000</v>
      </c>
      <c r="C6648" s="5">
        <v>0</v>
      </c>
      <c r="D6648" s="5">
        <v>1325</v>
      </c>
      <c r="E6648" s="5">
        <v>32250</v>
      </c>
      <c r="F6648" s="4">
        <v>900</v>
      </c>
      <c r="G6648" s="5">
        <v>0</v>
      </c>
      <c r="H6648" s="5">
        <v>3875</v>
      </c>
      <c r="I6648" s="118">
        <f t="shared" ref="I6648" si="1913">H6648/E6648</f>
        <v>0.12015503875968993</v>
      </c>
      <c r="J6648" s="5">
        <v>102303</v>
      </c>
      <c r="K6648" s="22">
        <v>2184</v>
      </c>
      <c r="L6648" s="6">
        <v>2163</v>
      </c>
      <c r="M6648" s="125">
        <f t="shared" ref="M6648" si="1914">L6648-K6648</f>
        <v>-21</v>
      </c>
      <c r="N6648" s="452"/>
      <c r="O6648" s="453"/>
      <c r="P6648" s="247">
        <v>15275</v>
      </c>
      <c r="Q6648" s="25">
        <f>191.11/1315.27</f>
        <v>0.14530096482091132</v>
      </c>
      <c r="W6648" s="285">
        <f t="shared" ref="W6648" si="1915">(P6648*Q6648)*(1+U6648)</f>
        <v>2219.4722376394202</v>
      </c>
      <c r="X6648" s="443">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18">
        <f t="shared" ref="I6649:I6650" si="1917">H6649/E6649</f>
        <v>0.1187888198757764</v>
      </c>
      <c r="J6649" s="5">
        <v>102759</v>
      </c>
      <c r="K6649" s="22">
        <v>2204</v>
      </c>
      <c r="L6649" s="6">
        <v>2165</v>
      </c>
      <c r="M6649" s="125">
        <f t="shared" ref="M6649:M6650" si="1918">L6649-K6649</f>
        <v>-39</v>
      </c>
      <c r="P6649" s="247">
        <v>15225</v>
      </c>
      <c r="Q6649" s="25">
        <f>192.89/1327.9</f>
        <v>0.14525943218615858</v>
      </c>
      <c r="W6649" s="285">
        <f>(P6649*Q6649)*(1+U6649)</f>
        <v>2211.5748550342646</v>
      </c>
      <c r="X6649" s="443">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18">
        <f t="shared" si="1917"/>
        <v>0.11604361370716511</v>
      </c>
      <c r="J6650" s="5">
        <v>103666</v>
      </c>
      <c r="K6650" s="22">
        <v>2164</v>
      </c>
      <c r="L6650" s="6">
        <v>2133</v>
      </c>
      <c r="M6650" s="125">
        <f t="shared" si="1918"/>
        <v>-31</v>
      </c>
      <c r="N6650" s="449"/>
      <c r="O6650" s="462"/>
      <c r="P6650" s="247">
        <v>15200</v>
      </c>
      <c r="Q6650" s="25">
        <f>193.01/1332.7</f>
        <v>0.14482629248893222</v>
      </c>
      <c r="W6650" s="285">
        <f>(P6650*Q6650)*(1+U6650)</f>
        <v>2201.3596458317697</v>
      </c>
      <c r="X6650" s="443">
        <f t="shared" si="1919"/>
        <v>7.0240295748613679</v>
      </c>
    </row>
    <row r="6651" spans="1:24" ht="15" customHeight="1">
      <c r="A6651" s="461">
        <v>45041</v>
      </c>
      <c r="B6651" s="4">
        <v>29800</v>
      </c>
      <c r="C6651" s="460">
        <v>0</v>
      </c>
      <c r="D6651" s="460">
        <v>1275</v>
      </c>
      <c r="E6651" s="460">
        <v>32000</v>
      </c>
      <c r="F6651" s="4">
        <v>0</v>
      </c>
      <c r="G6651" s="460">
        <v>100</v>
      </c>
      <c r="H6651" s="460">
        <v>3625</v>
      </c>
      <c r="I6651" s="118">
        <f t="shared" ref="I6651" si="1920">H6651/E6651</f>
        <v>0.11328125</v>
      </c>
      <c r="J6651" s="460">
        <v>104053</v>
      </c>
      <c r="K6651" s="22">
        <v>2162</v>
      </c>
      <c r="L6651" s="6">
        <v>2134.5</v>
      </c>
      <c r="M6651" s="125">
        <f t="shared" ref="M6651" si="1921">L6651-K6651</f>
        <v>-27.5</v>
      </c>
      <c r="N6651" s="449"/>
      <c r="O6651" s="462"/>
      <c r="P6651" s="247">
        <v>15200</v>
      </c>
      <c r="Q6651" s="25">
        <f>193.29/1333.3</f>
        <v>0.14497112427810696</v>
      </c>
      <c r="W6651" s="285">
        <f>(P6651*Q6651)*(1+U6651)</f>
        <v>2203.561089027226</v>
      </c>
      <c r="X6651" s="443">
        <f t="shared" ref="X6651" si="1922">P6651/K6651</f>
        <v>7.0305272895467157</v>
      </c>
    </row>
    <row r="6652" spans="1:24" ht="15" customHeight="1">
      <c r="A6652" s="464">
        <v>45042</v>
      </c>
      <c r="B6652" s="4">
        <v>29800</v>
      </c>
      <c r="C6652" s="463">
        <v>0</v>
      </c>
      <c r="D6652" s="463">
        <v>1275</v>
      </c>
      <c r="E6652" s="463">
        <v>32000</v>
      </c>
      <c r="F6652" s="4">
        <v>0</v>
      </c>
      <c r="G6652" s="4">
        <v>0</v>
      </c>
      <c r="H6652" s="10">
        <v>3625</v>
      </c>
      <c r="I6652" s="118">
        <f t="shared" ref="I6652" si="1923">H6652/E6652</f>
        <v>0.11328125</v>
      </c>
      <c r="J6652" s="463">
        <v>103847</v>
      </c>
      <c r="K6652" s="22">
        <v>2123</v>
      </c>
      <c r="L6652" s="6">
        <v>2105.5</v>
      </c>
      <c r="M6652" s="125">
        <f t="shared" ref="M6652" si="1924">L6652-K6652</f>
        <v>-17.5</v>
      </c>
      <c r="N6652" s="449"/>
      <c r="O6652" s="462"/>
      <c r="P6652" s="247">
        <v>15175</v>
      </c>
      <c r="Q6652" s="25">
        <f>192.87/1337.3</f>
        <v>0.14422343528004189</v>
      </c>
      <c r="W6652" s="285">
        <f>(P6652*Q6652)*(1+U6652)</f>
        <v>2188.5906303746356</v>
      </c>
      <c r="X6652" s="443">
        <f t="shared" ref="X6652" si="1925">P6652/K6652</f>
        <v>7.1479039095619408</v>
      </c>
    </row>
    <row r="6653" spans="1:24" ht="15" customHeight="1">
      <c r="A6653" s="466">
        <v>45043</v>
      </c>
      <c r="B6653" s="4">
        <v>30100</v>
      </c>
      <c r="C6653" s="465">
        <v>0</v>
      </c>
      <c r="D6653" s="465">
        <v>1275</v>
      </c>
      <c r="E6653" s="465">
        <v>32300</v>
      </c>
      <c r="F6653" s="4">
        <v>300</v>
      </c>
      <c r="G6653" s="4">
        <v>0</v>
      </c>
      <c r="H6653" s="10">
        <v>2825</v>
      </c>
      <c r="I6653" s="118">
        <f t="shared" ref="I6653" si="1926">H6653/E6653</f>
        <v>8.746130030959752E-2</v>
      </c>
      <c r="J6653" s="465">
        <v>103149</v>
      </c>
      <c r="K6653" s="22">
        <v>2122</v>
      </c>
      <c r="L6653" s="6">
        <v>2106</v>
      </c>
      <c r="M6653" s="125">
        <f t="shared" ref="M6653:M6654" si="1927">L6653-K6653</f>
        <v>-16</v>
      </c>
      <c r="P6653" s="247">
        <v>15175</v>
      </c>
      <c r="Q6653" s="25">
        <f>193.37/1339.9</f>
        <v>0.14431674005522799</v>
      </c>
      <c r="W6653" s="285">
        <f>(P6653*Q6653)*(1+U6653)</f>
        <v>2190.0065303380848</v>
      </c>
      <c r="X6653" s="443">
        <f t="shared" ref="X6653" si="1928">P6653/K6653</f>
        <v>7.1512723845428843</v>
      </c>
    </row>
    <row r="6654" spans="1:24" ht="15" customHeight="1">
      <c r="A6654" s="467">
        <v>45044</v>
      </c>
      <c r="B6654" s="4">
        <v>30100</v>
      </c>
      <c r="C6654" s="5">
        <v>0</v>
      </c>
      <c r="D6654" s="5">
        <v>1275</v>
      </c>
      <c r="E6654" s="5">
        <v>32300</v>
      </c>
      <c r="F6654" s="4">
        <v>0</v>
      </c>
      <c r="G6654" s="5">
        <v>0</v>
      </c>
      <c r="H6654" s="5">
        <v>2825</v>
      </c>
      <c r="I6654" s="118">
        <f>H6654/E6654</f>
        <v>8.746130030959752E-2</v>
      </c>
      <c r="J6654" s="5">
        <v>102409</v>
      </c>
      <c r="K6654" s="22">
        <v>2162</v>
      </c>
      <c r="L6654" s="6">
        <v>2131</v>
      </c>
      <c r="M6654" s="125">
        <f t="shared" si="1927"/>
        <v>-31</v>
      </c>
      <c r="N6654" s="448">
        <f>AVERAGE($K6635:K$6654)</f>
        <v>2149.1388888888887</v>
      </c>
      <c r="O6654" s="395">
        <f>AVERAGE($K$6567:K6654)</f>
        <v>2142.3658536585367</v>
      </c>
      <c r="P6654" s="247">
        <v>15150</v>
      </c>
      <c r="X6654" s="443">
        <f>P6654/K6654</f>
        <v>7.0074005550416283</v>
      </c>
    </row>
    <row r="6655" spans="1:24" ht="15" customHeight="1" thickBot="1">
      <c r="A6655" s="468"/>
      <c r="B6655" s="468"/>
      <c r="C6655" s="468"/>
      <c r="D6655" s="468"/>
      <c r="E6655" s="216"/>
      <c r="F6655" s="407"/>
      <c r="G6655" s="164"/>
      <c r="H6655" s="164"/>
      <c r="I6655" s="166"/>
      <c r="J6655" s="166"/>
      <c r="K6655" s="166"/>
      <c r="L6655" s="167"/>
      <c r="M6655" s="167"/>
      <c r="N6655" s="167"/>
      <c r="O6655" s="180"/>
      <c r="P6655" s="180"/>
      <c r="Q6655" s="180"/>
      <c r="R6655" s="248"/>
      <c r="S6655" s="249"/>
      <c r="T6655" s="249"/>
      <c r="U6655" s="152"/>
      <c r="V6655" s="153">
        <f>AVERAGE(P6635:P6654)</f>
        <v>15178.947368421053</v>
      </c>
      <c r="W6655" s="152"/>
      <c r="X6655" s="447">
        <f>V6655/N6654</f>
        <v>7.0628042919406733</v>
      </c>
    </row>
    <row r="6656" spans="1:24" ht="15" customHeight="1">
      <c r="A6656" s="3">
        <v>45047</v>
      </c>
      <c r="B6656" s="1318"/>
      <c r="C6656" s="1318"/>
      <c r="D6656" s="1318"/>
      <c r="E6656" s="1318"/>
      <c r="F6656" s="1318"/>
      <c r="G6656" s="1318"/>
      <c r="H6656" s="1318"/>
      <c r="I6656" s="1318"/>
      <c r="J6656" s="1318"/>
      <c r="K6656" s="1318"/>
      <c r="L6656" s="1318"/>
      <c r="M6656" s="1318"/>
      <c r="P6656" s="1327"/>
      <c r="Q6656" s="25">
        <f>193.44/1339.1</f>
        <v>0.14445523112538272</v>
      </c>
      <c r="W6656" s="285">
        <f t="shared" ref="W6656:W6661" si="1929">(P6656*Q6656)*(1+U6656)</f>
        <v>0</v>
      </c>
      <c r="X6656" s="443" t="e">
        <f t="shared" ref="X6656:X6660" si="1930">P6656/K6656</f>
        <v>#DIV/0!</v>
      </c>
    </row>
    <row r="6657" spans="1:24" ht="15" customHeight="1">
      <c r="A6657" s="469">
        <v>45048</v>
      </c>
      <c r="B6657" s="4">
        <v>30100</v>
      </c>
      <c r="C6657" s="5">
        <v>0</v>
      </c>
      <c r="D6657" s="5">
        <v>1275</v>
      </c>
      <c r="E6657" s="5">
        <v>32300</v>
      </c>
      <c r="F6657" s="4">
        <v>0</v>
      </c>
      <c r="G6657" s="5">
        <v>0</v>
      </c>
      <c r="H6657" s="5">
        <v>2825</v>
      </c>
      <c r="I6657" s="118">
        <f>H6657/E6657</f>
        <v>8.746130030959752E-2</v>
      </c>
      <c r="J6657" s="5">
        <v>100889</v>
      </c>
      <c r="K6657" s="22">
        <v>2171</v>
      </c>
      <c r="L6657" s="6">
        <v>2158</v>
      </c>
      <c r="M6657" s="125">
        <f t="shared" ref="M6657:M6658" si="1931">L6657-K6657</f>
        <v>-13</v>
      </c>
      <c r="P6657" s="1326"/>
      <c r="Q6657" s="25">
        <f>192.72/1340.2</f>
        <v>0.14379943292045963</v>
      </c>
      <c r="W6657" s="285">
        <f t="shared" si="1929"/>
        <v>0</v>
      </c>
      <c r="X6657" s="443">
        <f t="shared" si="1930"/>
        <v>0</v>
      </c>
    </row>
    <row r="6658" spans="1:24" ht="15" customHeight="1">
      <c r="A6658" s="472">
        <v>45049</v>
      </c>
      <c r="B6658" s="4">
        <v>30100</v>
      </c>
      <c r="C6658" s="5">
        <v>0</v>
      </c>
      <c r="D6658" s="5">
        <v>1275</v>
      </c>
      <c r="E6658" s="5">
        <v>32300</v>
      </c>
      <c r="F6658" s="4">
        <v>0</v>
      </c>
      <c r="G6658" s="5">
        <v>0</v>
      </c>
      <c r="H6658" s="5">
        <v>2825</v>
      </c>
      <c r="I6658" s="118">
        <f>H6658/E6658</f>
        <v>8.746130030959752E-2</v>
      </c>
      <c r="J6658" s="471">
        <v>105584</v>
      </c>
      <c r="K6658" s="22">
        <v>2145</v>
      </c>
      <c r="L6658" s="6">
        <v>2146.5</v>
      </c>
      <c r="M6658" s="125">
        <f t="shared" si="1931"/>
        <v>1.5</v>
      </c>
      <c r="P6658" s="1326"/>
      <c r="Q6658" s="25">
        <f>193.3/1339.1</f>
        <v>0.14435068329475023</v>
      </c>
      <c r="W6658" s="285">
        <f t="shared" si="1929"/>
        <v>0</v>
      </c>
      <c r="X6658" s="443">
        <f t="shared" si="1930"/>
        <v>0</v>
      </c>
    </row>
    <row r="6659" spans="1:24" ht="15" customHeight="1">
      <c r="A6659" s="474">
        <v>45050</v>
      </c>
      <c r="B6659" s="4">
        <v>30400</v>
      </c>
      <c r="C6659" s="473">
        <v>0</v>
      </c>
      <c r="D6659" s="473">
        <v>1275</v>
      </c>
      <c r="E6659" s="473">
        <v>32600</v>
      </c>
      <c r="F6659" s="4">
        <v>300</v>
      </c>
      <c r="G6659" s="473">
        <v>0</v>
      </c>
      <c r="H6659" s="473">
        <v>2825</v>
      </c>
      <c r="I6659" s="118">
        <f>H6659/E6659</f>
        <v>8.665644171779141E-2</v>
      </c>
      <c r="J6659" s="473">
        <v>107659</v>
      </c>
      <c r="K6659" s="22">
        <v>2126</v>
      </c>
      <c r="L6659" s="6">
        <v>2132</v>
      </c>
      <c r="M6659" s="125">
        <f t="shared" ref="M6659" si="1932">L6659-K6659</f>
        <v>6</v>
      </c>
      <c r="P6659" s="247">
        <f>P6660+50</f>
        <v>15225</v>
      </c>
      <c r="Q6659" s="25">
        <f>193.3/1339.1</f>
        <v>0.14435068329475023</v>
      </c>
      <c r="W6659" s="285">
        <f t="shared" si="1929"/>
        <v>2197.7391531625722</v>
      </c>
      <c r="X6659" s="443">
        <f t="shared" si="1930"/>
        <v>7.1613358419567259</v>
      </c>
    </row>
    <row r="6660" spans="1:24" ht="15" customHeight="1">
      <c r="A6660" s="474">
        <v>45051</v>
      </c>
      <c r="B6660" s="4">
        <v>30400</v>
      </c>
      <c r="C6660" s="473">
        <v>0</v>
      </c>
      <c r="D6660" s="473">
        <v>1275</v>
      </c>
      <c r="E6660" s="473">
        <v>32600</v>
      </c>
      <c r="F6660" s="4">
        <v>0</v>
      </c>
      <c r="G6660" s="473">
        <v>0</v>
      </c>
      <c r="H6660" s="473">
        <v>2825</v>
      </c>
      <c r="I6660" s="118">
        <f>H6660/E6660</f>
        <v>8.665644171779141E-2</v>
      </c>
      <c r="J6660" s="473">
        <v>108818</v>
      </c>
      <c r="K6660" s="22">
        <v>2104</v>
      </c>
      <c r="L6660" s="6">
        <v>2118</v>
      </c>
      <c r="M6660" s="125">
        <f t="shared" ref="M6660" si="1933">L6660-K6660</f>
        <v>14</v>
      </c>
      <c r="N6660" s="449"/>
      <c r="O6660" s="462"/>
      <c r="P6660" s="247">
        <v>15175</v>
      </c>
      <c r="Q6660" s="25">
        <f>191.7/1325.6</f>
        <v>0.1446137598068799</v>
      </c>
      <c r="W6660" s="285">
        <f t="shared" si="1929"/>
        <v>2194.5138050694027</v>
      </c>
      <c r="X6660" s="443">
        <f t="shared" si="1930"/>
        <v>7.2124524714828899</v>
      </c>
    </row>
    <row r="6661" spans="1:24" ht="15" customHeight="1">
      <c r="A6661" s="475">
        <v>45054</v>
      </c>
      <c r="B6661" s="1318" t="s">
        <v>61</v>
      </c>
      <c r="C6661" s="1318"/>
      <c r="D6661" s="1318"/>
      <c r="E6661" s="1318"/>
      <c r="F6661" s="1318"/>
      <c r="G6661" s="1318"/>
      <c r="H6661" s="1318"/>
      <c r="I6661" s="1318"/>
      <c r="J6661" s="1318"/>
      <c r="K6661" s="1318"/>
      <c r="L6661" s="1318"/>
      <c r="M6661" s="1318"/>
      <c r="N6661" s="449"/>
      <c r="O6661" s="462"/>
      <c r="P6661" s="247">
        <v>15175</v>
      </c>
      <c r="Q6661" s="25">
        <f>191.14/1322.7</f>
        <v>0.14450744688893927</v>
      </c>
      <c r="W6661" s="285">
        <f t="shared" si="1929"/>
        <v>2192.9005065396532</v>
      </c>
      <c r="X6661" s="443" t="e">
        <f t="shared" ref="X6661:X6669" si="1934">P6661/K6661</f>
        <v>#DIV/0!</v>
      </c>
    </row>
    <row r="6662" spans="1:24" ht="15" customHeight="1">
      <c r="A6662" s="477">
        <v>45055</v>
      </c>
      <c r="B6662" s="4">
        <v>30400</v>
      </c>
      <c r="C6662" s="476">
        <v>0</v>
      </c>
      <c r="D6662" s="476">
        <v>1275</v>
      </c>
      <c r="E6662" s="476">
        <v>32600</v>
      </c>
      <c r="F6662" s="4">
        <v>0</v>
      </c>
      <c r="G6662" s="476">
        <v>0</v>
      </c>
      <c r="H6662" s="10">
        <v>2825</v>
      </c>
      <c r="I6662" s="118">
        <f t="shared" ref="I6662:I6669" si="1935">H6662/E6662</f>
        <v>8.665644171779141E-2</v>
      </c>
      <c r="J6662" s="476">
        <v>108757</v>
      </c>
      <c r="K6662" s="22">
        <v>2118</v>
      </c>
      <c r="L6662" s="6">
        <v>2121</v>
      </c>
      <c r="M6662" s="125">
        <f t="shared" ref="M6662" si="1936">L6662-K6662</f>
        <v>3</v>
      </c>
      <c r="N6662" s="449"/>
      <c r="O6662" s="462"/>
      <c r="P6662" s="247">
        <v>15125</v>
      </c>
      <c r="Q6662" s="25">
        <f>191.05/1323</f>
        <v>0.14440665154950871</v>
      </c>
      <c r="W6662" s="285">
        <f t="shared" ref="W6662:W6669" si="1937">(P6662*Q6662)*(1+U6662)</f>
        <v>2184.1506046863192</v>
      </c>
      <c r="X6662" s="443">
        <f t="shared" si="1934"/>
        <v>7.1411709159584511</v>
      </c>
    </row>
    <row r="6663" spans="1:24" ht="15" customHeight="1">
      <c r="A6663" s="479">
        <v>45056</v>
      </c>
      <c r="B6663" s="4">
        <v>30400</v>
      </c>
      <c r="C6663" s="478">
        <v>0</v>
      </c>
      <c r="D6663" s="478">
        <v>1275</v>
      </c>
      <c r="E6663" s="478">
        <v>32600</v>
      </c>
      <c r="F6663" s="4">
        <v>0</v>
      </c>
      <c r="G6663" s="478">
        <v>0</v>
      </c>
      <c r="H6663" s="10">
        <v>2825</v>
      </c>
      <c r="I6663" s="118">
        <f t="shared" si="1935"/>
        <v>8.665644171779141E-2</v>
      </c>
      <c r="J6663" s="478">
        <v>111275</v>
      </c>
      <c r="K6663" s="22">
        <v>2122.5</v>
      </c>
      <c r="L6663" s="6">
        <v>2137</v>
      </c>
      <c r="M6663" s="125">
        <f t="shared" ref="M6663" si="1938">L6663-K6663</f>
        <v>14.5</v>
      </c>
      <c r="N6663" s="449"/>
      <c r="O6663" s="462"/>
      <c r="P6663" s="247">
        <v>15150</v>
      </c>
      <c r="Q6663" s="25">
        <f>191.08/1324.2</f>
        <v>0.14429844434375472</v>
      </c>
      <c r="W6663" s="285">
        <f t="shared" si="1937"/>
        <v>2186.1214318078842</v>
      </c>
      <c r="X6663" s="443">
        <f t="shared" si="1934"/>
        <v>7.137809187279152</v>
      </c>
    </row>
    <row r="6664" spans="1:24" ht="15" customHeight="1">
      <c r="A6664" s="481">
        <v>45057</v>
      </c>
      <c r="B6664" s="4">
        <v>30700</v>
      </c>
      <c r="C6664" s="480">
        <v>0</v>
      </c>
      <c r="D6664" s="480">
        <v>1275</v>
      </c>
      <c r="E6664" s="480">
        <v>32900</v>
      </c>
      <c r="F6664" s="4">
        <v>300</v>
      </c>
      <c r="G6664" s="480">
        <v>0</v>
      </c>
      <c r="H6664" s="10">
        <v>2825</v>
      </c>
      <c r="I6664" s="118">
        <f t="shared" si="1935"/>
        <v>8.5866261398176297E-2</v>
      </c>
      <c r="J6664" s="480">
        <v>113094</v>
      </c>
      <c r="K6664" s="22">
        <v>2120</v>
      </c>
      <c r="L6664" s="6">
        <v>2126</v>
      </c>
      <c r="M6664" s="125">
        <f t="shared" ref="M6664:M6669" si="1939">L6664-K6664</f>
        <v>6</v>
      </c>
      <c r="P6664" s="247">
        <v>15150</v>
      </c>
      <c r="Q6664" s="25">
        <f>190.44/1320.3</f>
        <v>0.14423994546693933</v>
      </c>
      <c r="W6664" s="285">
        <f t="shared" si="1937"/>
        <v>2185.2351738241309</v>
      </c>
      <c r="X6664" s="443">
        <f t="shared" si="1934"/>
        <v>7.1462264150943398</v>
      </c>
    </row>
    <row r="6665" spans="1:24" ht="15" customHeight="1">
      <c r="A6665" s="483">
        <v>45058</v>
      </c>
      <c r="B6665" s="4">
        <v>30700</v>
      </c>
      <c r="C6665" s="5">
        <v>0</v>
      </c>
      <c r="D6665" s="5">
        <v>1275</v>
      </c>
      <c r="E6665" s="5">
        <v>32900</v>
      </c>
      <c r="F6665" s="4">
        <v>0</v>
      </c>
      <c r="G6665" s="5">
        <v>0</v>
      </c>
      <c r="H6665" s="5">
        <v>2825</v>
      </c>
      <c r="I6665" s="118">
        <f t="shared" si="1935"/>
        <v>8.5866261398176297E-2</v>
      </c>
      <c r="J6665" s="482">
        <v>114821</v>
      </c>
      <c r="K6665" s="22">
        <v>2094</v>
      </c>
      <c r="L6665" s="6">
        <v>2095</v>
      </c>
      <c r="M6665" s="125">
        <f t="shared" si="1939"/>
        <v>1</v>
      </c>
      <c r="P6665" s="247">
        <v>15100</v>
      </c>
      <c r="Q6665" s="25">
        <f>191.86/1333.6</f>
        <v>0.14386622675464908</v>
      </c>
      <c r="W6665" s="285">
        <f t="shared" si="1937"/>
        <v>2172.3800239952011</v>
      </c>
      <c r="X6665" s="443">
        <f t="shared" si="1934"/>
        <v>7.2110792741165231</v>
      </c>
    </row>
    <row r="6666" spans="1:24" ht="15" customHeight="1">
      <c r="A6666" s="484">
        <v>45061</v>
      </c>
      <c r="B6666" s="4">
        <v>30700</v>
      </c>
      <c r="C6666" s="5">
        <v>0</v>
      </c>
      <c r="D6666" s="5">
        <v>1275</v>
      </c>
      <c r="E6666" s="5">
        <v>32900</v>
      </c>
      <c r="F6666" s="4">
        <v>0</v>
      </c>
      <c r="G6666" s="5">
        <v>0</v>
      </c>
      <c r="H6666" s="5">
        <v>2825</v>
      </c>
      <c r="I6666" s="118">
        <f t="shared" si="1935"/>
        <v>8.5866261398176297E-2</v>
      </c>
      <c r="J6666" s="5">
        <v>115328</v>
      </c>
      <c r="K6666" s="22">
        <v>2065</v>
      </c>
      <c r="L6666" s="6">
        <v>2077</v>
      </c>
      <c r="M6666" s="125">
        <f t="shared" si="1939"/>
        <v>12</v>
      </c>
      <c r="P6666" s="247">
        <v>15050</v>
      </c>
      <c r="Q6666" s="25">
        <f>192.01/1337.8</f>
        <v>0.14352668560322918</v>
      </c>
      <c r="W6666" s="285">
        <f t="shared" si="1937"/>
        <v>2160.0766183285991</v>
      </c>
      <c r="X6666" s="443">
        <f t="shared" si="1934"/>
        <v>7.2881355932203391</v>
      </c>
    </row>
    <row r="6667" spans="1:24" ht="15" customHeight="1">
      <c r="A6667" s="486">
        <v>45062</v>
      </c>
      <c r="B6667" s="4">
        <v>31100</v>
      </c>
      <c r="C6667" s="5">
        <v>0</v>
      </c>
      <c r="D6667" s="5">
        <v>1275</v>
      </c>
      <c r="E6667" s="5">
        <v>33300</v>
      </c>
      <c r="F6667" s="4">
        <v>400</v>
      </c>
      <c r="G6667" s="5">
        <v>0</v>
      </c>
      <c r="H6667" s="5">
        <v>2825</v>
      </c>
      <c r="I6667" s="118">
        <f t="shared" si="1935"/>
        <v>8.4834834834834838E-2</v>
      </c>
      <c r="J6667" s="485">
        <v>116229</v>
      </c>
      <c r="K6667" s="22">
        <v>2060</v>
      </c>
      <c r="L6667" s="6">
        <v>2074</v>
      </c>
      <c r="M6667" s="125">
        <f t="shared" si="1939"/>
        <v>14</v>
      </c>
      <c r="P6667" s="247">
        <v>15050</v>
      </c>
      <c r="Q6667" s="25">
        <f>191.72/1336</f>
        <v>0.14350299401197605</v>
      </c>
      <c r="W6667" s="285">
        <f t="shared" si="1937"/>
        <v>2159.7200598802397</v>
      </c>
      <c r="X6667" s="443">
        <f t="shared" si="1934"/>
        <v>7.3058252427184467</v>
      </c>
    </row>
    <row r="6668" spans="1:24" ht="15" customHeight="1">
      <c r="A6668" s="488">
        <v>45063</v>
      </c>
      <c r="B6668" s="4">
        <v>31400</v>
      </c>
      <c r="C6668" s="5">
        <v>0</v>
      </c>
      <c r="D6668" s="5">
        <v>1275</v>
      </c>
      <c r="E6668" s="5">
        <v>33600</v>
      </c>
      <c r="F6668" s="4">
        <v>300</v>
      </c>
      <c r="G6668" s="5">
        <v>0</v>
      </c>
      <c r="H6668" s="5">
        <v>2825</v>
      </c>
      <c r="I6668" s="118">
        <f t="shared" si="1935"/>
        <v>8.4077380952380959E-2</v>
      </c>
      <c r="J6668" s="487">
        <v>114230</v>
      </c>
      <c r="K6668" s="22">
        <v>2050</v>
      </c>
      <c r="L6668" s="6">
        <v>2060</v>
      </c>
      <c r="M6668" s="125">
        <f t="shared" si="1939"/>
        <v>10</v>
      </c>
      <c r="P6668" s="247">
        <v>15050</v>
      </c>
      <c r="Q6668" s="25">
        <f>191.29/1339.4</f>
        <v>0.14281767955801103</v>
      </c>
      <c r="W6668" s="285">
        <f t="shared" si="1937"/>
        <v>2149.406077348066</v>
      </c>
      <c r="X6668" s="443">
        <f t="shared" si="1934"/>
        <v>7.3414634146341466</v>
      </c>
    </row>
    <row r="6669" spans="1:24" ht="15" customHeight="1">
      <c r="A6669" s="490">
        <v>45064</v>
      </c>
      <c r="B6669" s="4">
        <v>31725</v>
      </c>
      <c r="C6669" s="5">
        <v>0</v>
      </c>
      <c r="D6669" s="5">
        <v>1275</v>
      </c>
      <c r="E6669" s="5">
        <v>33925</v>
      </c>
      <c r="F6669" s="4">
        <v>325</v>
      </c>
      <c r="G6669" s="5">
        <v>0</v>
      </c>
      <c r="H6669" s="5">
        <v>2825</v>
      </c>
      <c r="I6669" s="118">
        <f t="shared" si="1935"/>
        <v>8.3271923360353717E-2</v>
      </c>
      <c r="J6669" s="489">
        <v>113145</v>
      </c>
      <c r="K6669" s="22">
        <v>2049.5</v>
      </c>
      <c r="L6669" s="6">
        <v>2054</v>
      </c>
      <c r="M6669" s="125">
        <f t="shared" si="1939"/>
        <v>4.5</v>
      </c>
      <c r="P6669" s="247">
        <v>15075</v>
      </c>
      <c r="Q6669" s="25">
        <f>189.72/1332.7</f>
        <v>0.14235761986943798</v>
      </c>
      <c r="W6669" s="285">
        <f t="shared" si="1937"/>
        <v>2146.0411195317774</v>
      </c>
      <c r="X6669" s="443">
        <f t="shared" si="1934"/>
        <v>7.3554525494022931</v>
      </c>
    </row>
    <row r="6670" spans="1:24" ht="15" customHeight="1">
      <c r="A6670" s="492">
        <v>45065</v>
      </c>
      <c r="B6670" s="4">
        <v>31725</v>
      </c>
      <c r="C6670" s="491">
        <v>0</v>
      </c>
      <c r="D6670" s="491">
        <v>1275</v>
      </c>
      <c r="E6670" s="491">
        <v>33925</v>
      </c>
      <c r="F6670" s="4">
        <v>0</v>
      </c>
      <c r="G6670" s="491">
        <v>0</v>
      </c>
      <c r="H6670" s="491">
        <v>2825</v>
      </c>
      <c r="I6670" s="118">
        <f t="shared" ref="I6670" si="1940">H6670/E6670</f>
        <v>8.3271923360353717E-2</v>
      </c>
      <c r="J6670" s="491">
        <v>112829</v>
      </c>
      <c r="K6670" s="22">
        <v>2096</v>
      </c>
      <c r="L6670" s="6">
        <v>2086</v>
      </c>
      <c r="M6670" s="125">
        <f t="shared" ref="M6670" si="1941">L6670-K6670</f>
        <v>-10</v>
      </c>
      <c r="P6670" s="247">
        <v>15175</v>
      </c>
      <c r="Q6670" s="25">
        <f>188.66/1331.2</f>
        <v>0.14172175480769231</v>
      </c>
      <c r="W6670" s="285">
        <f t="shared" ref="W6670" si="1942">(P6670*Q6670)*(1+U6670)</f>
        <v>2150.6276292067309</v>
      </c>
      <c r="X6670" s="443">
        <f t="shared" ref="X6670" si="1943">P6670/K6670</f>
        <v>7.2399809160305342</v>
      </c>
    </row>
    <row r="6671" spans="1:24" ht="15" customHeight="1">
      <c r="A6671" s="494">
        <v>45068</v>
      </c>
      <c r="B6671" s="4">
        <v>31975</v>
      </c>
      <c r="C6671" s="493">
        <v>0</v>
      </c>
      <c r="D6671" s="493">
        <v>1275</v>
      </c>
      <c r="E6671" s="493">
        <v>34175</v>
      </c>
      <c r="F6671" s="4">
        <v>250</v>
      </c>
      <c r="G6671" s="493">
        <v>0</v>
      </c>
      <c r="H6671" s="493">
        <v>2825</v>
      </c>
      <c r="I6671" s="118">
        <f t="shared" ref="I6671" si="1944">H6671/E6671</f>
        <v>8.2662765179224579E-2</v>
      </c>
      <c r="J6671" s="493">
        <v>111669</v>
      </c>
      <c r="K6671" s="22">
        <v>2095</v>
      </c>
      <c r="L6671" s="6">
        <v>2085</v>
      </c>
      <c r="M6671" s="125">
        <f t="shared" ref="M6671" si="1945">L6671-K6671</f>
        <v>-10</v>
      </c>
      <c r="P6671" s="247">
        <v>15200</v>
      </c>
      <c r="Q6671" s="25">
        <f>187.69/1319.1</f>
        <v>0.14228640739898415</v>
      </c>
      <c r="W6671" s="285">
        <f t="shared" ref="W6671" si="1946">(P6671*Q6671)*(1+U6671)</f>
        <v>2162.7533924645591</v>
      </c>
      <c r="X6671" s="443">
        <f t="shared" ref="X6671" si="1947">P6671/K6671</f>
        <v>7.2553699284009543</v>
      </c>
    </row>
    <row r="6672" spans="1:24" ht="15" customHeight="1">
      <c r="A6672" s="496">
        <v>45069</v>
      </c>
      <c r="B6672" s="4">
        <v>32275</v>
      </c>
      <c r="C6672" s="495">
        <v>0</v>
      </c>
      <c r="D6672" s="495">
        <v>1275</v>
      </c>
      <c r="E6672" s="495">
        <v>34475</v>
      </c>
      <c r="F6672" s="4">
        <v>300</v>
      </c>
      <c r="G6672" s="495">
        <v>0</v>
      </c>
      <c r="H6672" s="495">
        <v>2925</v>
      </c>
      <c r="I6672" s="118">
        <f t="shared" ref="I6672" si="1948">H6672/E6672</f>
        <v>8.4844089920232055E-2</v>
      </c>
      <c r="J6672" s="495">
        <v>110877</v>
      </c>
      <c r="K6672" s="22">
        <v>2072</v>
      </c>
      <c r="L6672" s="6">
        <v>2071</v>
      </c>
      <c r="M6672" s="125">
        <f t="shared" ref="M6672" si="1949">L6672-K6672</f>
        <v>-1</v>
      </c>
      <c r="P6672" s="247">
        <v>15150</v>
      </c>
      <c r="Q6672" s="25">
        <f>187.69/1319.1</f>
        <v>0.14228640739898415</v>
      </c>
      <c r="W6672" s="285">
        <f t="shared" ref="W6672" si="1950">(P6672*Q6672)*(1+U6672)</f>
        <v>2155.6390720946101</v>
      </c>
      <c r="X6672" s="443">
        <f t="shared" ref="X6672" si="1951">P6672/K6672</f>
        <v>7.3117760617760617</v>
      </c>
    </row>
    <row r="6673" spans="1:24" ht="15" customHeight="1">
      <c r="A6673" s="498">
        <v>45070</v>
      </c>
      <c r="B6673" s="4">
        <v>32800</v>
      </c>
      <c r="C6673" s="497">
        <v>0</v>
      </c>
      <c r="D6673" s="497">
        <v>1250</v>
      </c>
      <c r="E6673" s="497">
        <v>34975</v>
      </c>
      <c r="F6673" s="4">
        <v>525</v>
      </c>
      <c r="G6673" s="497">
        <v>25</v>
      </c>
      <c r="H6673" s="497">
        <v>2900</v>
      </c>
      <c r="I6673" s="118">
        <f t="shared" ref="I6673" si="1952">H6673/E6673</f>
        <v>8.2916368834882057E-2</v>
      </c>
      <c r="J6673" s="497">
        <v>111702</v>
      </c>
      <c r="K6673" s="22">
        <v>2057</v>
      </c>
      <c r="L6673" s="6">
        <v>2058.5</v>
      </c>
      <c r="M6673" s="125">
        <f t="shared" ref="M6673" si="1953">L6673-K6673</f>
        <v>1.5</v>
      </c>
      <c r="P6673" s="247">
        <v>15125</v>
      </c>
      <c r="Q6673" s="25">
        <f>186.32/1317.5</f>
        <v>0.14141935483870968</v>
      </c>
      <c r="W6673" s="285">
        <f t="shared" ref="W6673" si="1954">(P6673*Q6673)*(1+U6673)</f>
        <v>2138.9677419354839</v>
      </c>
      <c r="X6673" s="443">
        <f t="shared" ref="X6673" si="1955">P6673/K6673</f>
        <v>7.3529411764705879</v>
      </c>
    </row>
    <row r="6674" spans="1:24" ht="15" customHeight="1">
      <c r="A6674" s="500">
        <v>45071</v>
      </c>
      <c r="B6674" s="4">
        <v>33325</v>
      </c>
      <c r="C6674" s="499">
        <v>0</v>
      </c>
      <c r="D6674" s="499">
        <v>1225</v>
      </c>
      <c r="E6674" s="499">
        <v>35475</v>
      </c>
      <c r="F6674" s="4">
        <v>525</v>
      </c>
      <c r="G6674" s="499">
        <v>25</v>
      </c>
      <c r="H6674" s="499">
        <v>2875</v>
      </c>
      <c r="I6674" s="118">
        <f t="shared" ref="I6674:I6675" si="1956">H6674/E6674</f>
        <v>8.1042988019732212E-2</v>
      </c>
      <c r="J6674" s="499">
        <v>113580</v>
      </c>
      <c r="K6674" s="22">
        <v>2032.5</v>
      </c>
      <c r="L6674" s="6">
        <v>2031.5</v>
      </c>
      <c r="M6674" s="125">
        <f t="shared" ref="M6674:M6675" si="1957">L6674-K6674</f>
        <v>-1</v>
      </c>
      <c r="P6674" s="247">
        <v>15100</v>
      </c>
      <c r="Q6674" s="25">
        <f>186.32/1323.4</f>
        <v>0.14078887713465316</v>
      </c>
      <c r="W6674" s="285">
        <f t="shared" ref="W6674:W6675" si="1958">(P6674*Q6674)*(1+U6674)</f>
        <v>2125.9120447332625</v>
      </c>
      <c r="X6674" s="443">
        <f t="shared" ref="X6674:X6675" si="1959">P6674/K6674</f>
        <v>7.4292742927429272</v>
      </c>
    </row>
    <row r="6675" spans="1:24" ht="15" customHeight="1">
      <c r="A6675" s="502">
        <v>45072</v>
      </c>
      <c r="B6675" s="4">
        <v>33325</v>
      </c>
      <c r="C6675" s="5">
        <v>0</v>
      </c>
      <c r="D6675" s="5">
        <v>1225</v>
      </c>
      <c r="E6675" s="5">
        <v>35475</v>
      </c>
      <c r="F6675" s="4">
        <v>0</v>
      </c>
      <c r="G6675" s="5">
        <v>0</v>
      </c>
      <c r="H6675" s="5">
        <v>2875</v>
      </c>
      <c r="I6675" s="118">
        <f t="shared" si="1956"/>
        <v>8.1042988019732212E-2</v>
      </c>
      <c r="J6675" s="501">
        <v>114734</v>
      </c>
      <c r="K6675" s="22">
        <v>2059</v>
      </c>
      <c r="L6675" s="6">
        <v>2063</v>
      </c>
      <c r="M6675" s="125">
        <f t="shared" si="1957"/>
        <v>4</v>
      </c>
      <c r="N6675" s="449"/>
      <c r="O6675" s="462"/>
      <c r="P6675" s="247">
        <v>15100</v>
      </c>
      <c r="Q6675" s="25">
        <f>186.93/1323.4</f>
        <v>0.14124981109264018</v>
      </c>
      <c r="W6675" s="285">
        <f t="shared" si="1958"/>
        <v>2132.8721474988665</v>
      </c>
      <c r="X6675" s="443">
        <f t="shared" si="1959"/>
        <v>7.3336571151044199</v>
      </c>
    </row>
    <row r="6676" spans="1:24" ht="15" customHeight="1">
      <c r="A6676" s="502">
        <v>45075</v>
      </c>
      <c r="B6676" s="1318"/>
      <c r="C6676" s="1318"/>
      <c r="D6676" s="1318"/>
      <c r="E6676" s="1318"/>
      <c r="F6676" s="1318"/>
      <c r="G6676" s="1318"/>
      <c r="H6676" s="1318"/>
      <c r="I6676" s="1318"/>
      <c r="J6676" s="1318"/>
      <c r="K6676" s="1318"/>
      <c r="L6676" s="1318"/>
      <c r="M6676" s="1318"/>
      <c r="P6676" s="505">
        <v>15100</v>
      </c>
      <c r="Q6676" s="25">
        <f>187.25/1325.6</f>
        <v>0.1412567893783947</v>
      </c>
      <c r="W6676" s="285">
        <f t="shared" ref="W6676:W6677" si="1960">(P6676*Q6676)*(1+U6676)</f>
        <v>2132.9775196137598</v>
      </c>
      <c r="X6676" s="443" t="e">
        <f>P6676/K6676</f>
        <v>#DIV/0!</v>
      </c>
    </row>
    <row r="6677" spans="1:24" ht="15" customHeight="1">
      <c r="A6677" s="504">
        <v>45076</v>
      </c>
      <c r="B6677" s="4">
        <v>33675</v>
      </c>
      <c r="C6677" s="503">
        <v>0</v>
      </c>
      <c r="D6677" s="503">
        <v>1225</v>
      </c>
      <c r="E6677" s="503">
        <v>35825</v>
      </c>
      <c r="F6677" s="4">
        <v>350</v>
      </c>
      <c r="G6677" s="503">
        <v>0</v>
      </c>
      <c r="H6677" s="503">
        <v>2875</v>
      </c>
      <c r="I6677" s="118">
        <f t="shared" ref="I6677" si="1961">H6677/E6677</f>
        <v>8.0251221214235863E-2</v>
      </c>
      <c r="J6677" s="503">
        <v>116121</v>
      </c>
      <c r="K6677" s="22">
        <v>2078</v>
      </c>
      <c r="L6677" s="6">
        <v>2073</v>
      </c>
      <c r="M6677" s="125">
        <f t="shared" ref="M6677" si="1962">L6677-K6677</f>
        <v>-5</v>
      </c>
      <c r="N6677" s="449"/>
      <c r="O6677" s="462"/>
      <c r="P6677" s="247">
        <v>15075</v>
      </c>
      <c r="Q6677" s="25">
        <f>186.31/1322.2</f>
        <v>0.1409090909090909</v>
      </c>
      <c r="W6677" s="285">
        <f t="shared" si="1960"/>
        <v>2124.2045454545455</v>
      </c>
      <c r="X6677" s="443">
        <f t="shared" ref="X6677" si="1963">P6677/K6677</f>
        <v>7.2545717035611164</v>
      </c>
    </row>
    <row r="6678" spans="1:24" ht="15" customHeight="1">
      <c r="A6678" s="507">
        <v>45077</v>
      </c>
      <c r="B6678" s="4">
        <v>34025</v>
      </c>
      <c r="C6678" s="506">
        <v>0</v>
      </c>
      <c r="D6678" s="506">
        <v>1225</v>
      </c>
      <c r="E6678" s="506">
        <v>36175</v>
      </c>
      <c r="F6678" s="4">
        <v>350</v>
      </c>
      <c r="G6678" s="506">
        <v>0</v>
      </c>
      <c r="H6678" s="506">
        <v>2875</v>
      </c>
      <c r="I6678" s="118">
        <f t="shared" ref="I6678" si="1964">H6678/E6678</f>
        <v>7.9474775397373881E-2</v>
      </c>
      <c r="J6678" s="506">
        <v>114772</v>
      </c>
      <c r="K6678" s="22">
        <v>2035.5</v>
      </c>
      <c r="L6678" s="6">
        <v>2032</v>
      </c>
      <c r="M6678" s="125">
        <f t="shared" ref="M6678" si="1965">L6678-K6678</f>
        <v>-3.5</v>
      </c>
      <c r="N6678" s="448">
        <f>AVERAGE($K$6657:K6678)</f>
        <v>2087.5</v>
      </c>
      <c r="O6678" s="395">
        <f>AVERAGE($K$6567:K6678)</f>
        <v>2131.6078431372548</v>
      </c>
      <c r="P6678" s="247">
        <v>15050</v>
      </c>
      <c r="Q6678" s="25">
        <f>185.92/1321.6</f>
        <v>0.14067796610169492</v>
      </c>
      <c r="W6678" s="285">
        <f t="shared" ref="W6678" si="1966">(P6678*Q6678)*(1+U6678)</f>
        <v>2117.2033898305085</v>
      </c>
      <c r="X6678" s="443">
        <f t="shared" ref="X6678" si="1967">P6678/K6678</f>
        <v>7.3937607467452713</v>
      </c>
    </row>
    <row r="6679" spans="1:24" ht="15" customHeight="1" thickBot="1">
      <c r="A6679" s="508"/>
      <c r="B6679" s="508"/>
      <c r="C6679" s="508"/>
      <c r="D6679" s="508"/>
      <c r="E6679" s="216"/>
      <c r="F6679" s="407"/>
      <c r="G6679" s="164"/>
      <c r="H6679" s="164"/>
      <c r="I6679" s="166"/>
      <c r="J6679" s="166"/>
      <c r="K6679" s="166"/>
      <c r="L6679" s="167"/>
      <c r="M6679" s="167"/>
      <c r="N6679" s="167"/>
      <c r="O6679" s="180"/>
      <c r="P6679" s="180"/>
      <c r="Q6679" s="180"/>
      <c r="R6679" s="248"/>
      <c r="S6679" s="249"/>
      <c r="T6679" s="249"/>
      <c r="U6679" s="152"/>
      <c r="V6679" s="153">
        <f>AVERAGE(P6659:P6678)</f>
        <v>15120</v>
      </c>
      <c r="W6679" s="152"/>
      <c r="X6679" s="447">
        <f>V6679/N6678</f>
        <v>7.2431137724550902</v>
      </c>
    </row>
    <row r="6680" spans="1:24" ht="15" customHeight="1">
      <c r="A6680" s="510">
        <v>45078</v>
      </c>
      <c r="B6680" s="4">
        <v>34300</v>
      </c>
      <c r="C6680" s="509">
        <v>0</v>
      </c>
      <c r="D6680" s="509">
        <v>1225</v>
      </c>
      <c r="E6680" s="509">
        <v>36450</v>
      </c>
      <c r="F6680" s="4">
        <v>275</v>
      </c>
      <c r="G6680" s="509">
        <v>0</v>
      </c>
      <c r="H6680" s="509">
        <v>2875</v>
      </c>
      <c r="I6680" s="118">
        <f t="shared" ref="I6680" si="1968">H6680/E6680</f>
        <v>7.8875171467764058E-2</v>
      </c>
      <c r="J6680" s="509">
        <v>116268</v>
      </c>
      <c r="K6680" s="22">
        <v>1989</v>
      </c>
      <c r="L6680" s="6">
        <v>1991</v>
      </c>
      <c r="M6680" s="125">
        <f t="shared" ref="M6680:M6685" si="1969">L6680-K6680</f>
        <v>2</v>
      </c>
      <c r="P6680" s="247">
        <v>14975</v>
      </c>
      <c r="Q6680" s="25">
        <f>185.58/1320.7</f>
        <v>0.14051639282198836</v>
      </c>
      <c r="W6680" s="285">
        <f t="shared" ref="W6680" si="1970">(P6680*Q6680)*(1+U6680)</f>
        <v>2104.2329825092756</v>
      </c>
      <c r="X6680" s="443">
        <f t="shared" ref="X6680" si="1971">P6680/K6680</f>
        <v>7.5289089994972347</v>
      </c>
    </row>
    <row r="6681" spans="1:24" ht="15" customHeight="1">
      <c r="A6681" s="514">
        <v>45079</v>
      </c>
      <c r="B6681" s="4">
        <v>34300</v>
      </c>
      <c r="C6681" s="5">
        <v>0</v>
      </c>
      <c r="D6681" s="5">
        <v>1225</v>
      </c>
      <c r="E6681" s="5">
        <v>36450</v>
      </c>
      <c r="F6681" s="4">
        <v>0</v>
      </c>
      <c r="G6681" s="5">
        <v>0</v>
      </c>
      <c r="H6681" s="5">
        <v>2875</v>
      </c>
      <c r="I6681" s="118">
        <f t="shared" ref="I6681:I6686" si="1972">H6681/E6681</f>
        <v>7.8875171467764058E-2</v>
      </c>
      <c r="J6681" s="489">
        <v>117186</v>
      </c>
      <c r="K6681" s="22">
        <v>2010</v>
      </c>
      <c r="L6681" s="6">
        <v>2006</v>
      </c>
      <c r="M6681" s="125">
        <f t="shared" si="1969"/>
        <v>-4</v>
      </c>
      <c r="P6681" s="505">
        <v>14900</v>
      </c>
      <c r="Q6681" s="25">
        <f>184.32/1308.8</f>
        <v>0.14083129584352078</v>
      </c>
      <c r="W6681" s="285">
        <f t="shared" ref="W6681:W6685" si="1973">(P6681*Q6681)*(1+U6681)</f>
        <v>2098.3863080684596</v>
      </c>
      <c r="X6681" s="443">
        <f t="shared" ref="X6681:X6685" si="1974">P6681/K6681</f>
        <v>7.4129353233830848</v>
      </c>
    </row>
    <row r="6682" spans="1:24" ht="15" customHeight="1">
      <c r="A6682" s="514">
        <v>45082</v>
      </c>
      <c r="B6682" s="4">
        <v>34650</v>
      </c>
      <c r="C6682" s="513">
        <v>0</v>
      </c>
      <c r="D6682" s="513">
        <v>1225</v>
      </c>
      <c r="E6682" s="513">
        <v>36800</v>
      </c>
      <c r="F6682" s="4">
        <v>350</v>
      </c>
      <c r="G6682" s="513">
        <v>0</v>
      </c>
      <c r="H6682" s="513">
        <v>2875</v>
      </c>
      <c r="I6682" s="118">
        <f t="shared" si="1972"/>
        <v>7.8125E-2</v>
      </c>
      <c r="J6682" s="513">
        <v>116086</v>
      </c>
      <c r="K6682" s="22">
        <v>2040</v>
      </c>
      <c r="L6682" s="6">
        <v>2028.5</v>
      </c>
      <c r="M6682" s="125">
        <f t="shared" si="1969"/>
        <v>-11.5</v>
      </c>
      <c r="P6682" s="247">
        <v>14900</v>
      </c>
      <c r="W6682" s="285">
        <f t="shared" si="1973"/>
        <v>0</v>
      </c>
      <c r="X6682" s="443">
        <f t="shared" si="1974"/>
        <v>7.3039215686274508</v>
      </c>
    </row>
    <row r="6683" spans="1:24" ht="15" customHeight="1">
      <c r="A6683" s="514">
        <v>45083</v>
      </c>
      <c r="B6683" s="4">
        <v>35000</v>
      </c>
      <c r="C6683" s="513">
        <v>0</v>
      </c>
      <c r="D6683" s="513">
        <v>1225</v>
      </c>
      <c r="E6683" s="513">
        <v>37150</v>
      </c>
      <c r="F6683" s="4">
        <v>350</v>
      </c>
      <c r="G6683" s="513">
        <v>0</v>
      </c>
      <c r="H6683" s="513">
        <v>2875</v>
      </c>
      <c r="I6683" s="118">
        <f t="shared" si="1972"/>
        <v>7.7388963660834462E-2</v>
      </c>
      <c r="J6683" s="513">
        <v>115955</v>
      </c>
      <c r="K6683" s="22">
        <v>2035</v>
      </c>
      <c r="L6683" s="6">
        <v>2029</v>
      </c>
      <c r="M6683" s="125">
        <f t="shared" si="1969"/>
        <v>-6</v>
      </c>
      <c r="P6683" s="247">
        <v>14900</v>
      </c>
      <c r="Q6683" s="25">
        <f>183.99/1308.3</f>
        <v>0.14063288236642973</v>
      </c>
      <c r="W6683" s="285">
        <f t="shared" si="1973"/>
        <v>2095.4299472598032</v>
      </c>
      <c r="X6683" s="443">
        <f t="shared" si="1974"/>
        <v>7.3218673218673223</v>
      </c>
    </row>
    <row r="6684" spans="1:24" ht="15" customHeight="1">
      <c r="A6684" s="515">
        <v>45084</v>
      </c>
      <c r="B6684" s="4">
        <v>35000</v>
      </c>
      <c r="C6684" s="5">
        <v>0</v>
      </c>
      <c r="D6684" s="5">
        <v>1225</v>
      </c>
      <c r="E6684" s="5">
        <v>37150</v>
      </c>
      <c r="F6684" s="4">
        <v>0</v>
      </c>
      <c r="G6684" s="5">
        <v>0</v>
      </c>
      <c r="H6684" s="5">
        <v>2875</v>
      </c>
      <c r="I6684" s="118">
        <f t="shared" si="1972"/>
        <v>7.7388963660834462E-2</v>
      </c>
      <c r="J6684" s="489">
        <v>116618</v>
      </c>
      <c r="K6684" s="22">
        <v>2057</v>
      </c>
      <c r="L6684" s="6">
        <v>2039</v>
      </c>
      <c r="M6684" s="125">
        <f t="shared" si="1969"/>
        <v>-18</v>
      </c>
      <c r="P6684" s="247">
        <v>14975</v>
      </c>
      <c r="Q6684" s="25">
        <f>182.46/1300.5</f>
        <v>0.14029988465974627</v>
      </c>
      <c r="W6684" s="285">
        <f t="shared" si="1973"/>
        <v>2100.9907727797004</v>
      </c>
      <c r="X6684" s="443">
        <f t="shared" si="1974"/>
        <v>7.2800194457948466</v>
      </c>
    </row>
    <row r="6685" spans="1:24" ht="15" customHeight="1">
      <c r="A6685" s="517">
        <v>45085</v>
      </c>
      <c r="B6685" s="4">
        <v>35000</v>
      </c>
      <c r="C6685" s="5">
        <v>0</v>
      </c>
      <c r="D6685" s="5">
        <v>1225</v>
      </c>
      <c r="E6685" s="5">
        <v>37150</v>
      </c>
      <c r="F6685" s="4">
        <v>0</v>
      </c>
      <c r="G6685" s="5">
        <v>0</v>
      </c>
      <c r="H6685" s="5">
        <v>2875</v>
      </c>
      <c r="I6685" s="118">
        <f t="shared" si="1972"/>
        <v>7.7388963660834462E-2</v>
      </c>
      <c r="J6685" s="516">
        <v>116947</v>
      </c>
      <c r="K6685" s="22">
        <v>2029.5</v>
      </c>
      <c r="L6685" s="6">
        <v>2020.5</v>
      </c>
      <c r="M6685" s="125">
        <f t="shared" si="1969"/>
        <v>-9</v>
      </c>
      <c r="P6685" s="247">
        <v>15000</v>
      </c>
      <c r="Q6685" s="25">
        <f>182.72/1306.1</f>
        <v>0.13989740448663962</v>
      </c>
      <c r="W6685" s="285">
        <f t="shared" si="1973"/>
        <v>2098.4610672995941</v>
      </c>
      <c r="X6685" s="443">
        <f t="shared" si="1974"/>
        <v>7.390983000739098</v>
      </c>
    </row>
    <row r="6686" spans="1:24" ht="15" customHeight="1">
      <c r="A6686" s="519">
        <v>45086</v>
      </c>
      <c r="B6686" s="4">
        <v>35000</v>
      </c>
      <c r="C6686" s="518">
        <v>0</v>
      </c>
      <c r="D6686" s="518">
        <v>1225</v>
      </c>
      <c r="E6686" s="518">
        <v>37150</v>
      </c>
      <c r="F6686" s="4">
        <v>0</v>
      </c>
      <c r="G6686" s="518">
        <v>0</v>
      </c>
      <c r="H6686" s="518">
        <v>2875</v>
      </c>
      <c r="I6686" s="118">
        <f t="shared" si="1972"/>
        <v>7.7388963660834462E-2</v>
      </c>
      <c r="J6686" s="518">
        <v>114780</v>
      </c>
      <c r="K6686" s="22">
        <v>2060</v>
      </c>
      <c r="L6686" s="6">
        <v>2048</v>
      </c>
      <c r="M6686" s="125">
        <f t="shared" ref="M6686" si="1975">L6686-K6686</f>
        <v>-12</v>
      </c>
      <c r="P6686" s="247">
        <v>15000</v>
      </c>
      <c r="Q6686" s="25">
        <f>181.78/1294.9</f>
        <v>0.14038149664066724</v>
      </c>
      <c r="W6686" s="285">
        <f t="shared" ref="W6686" si="1976">(P6686*Q6686)*(1+U6686)</f>
        <v>2105.7224496100084</v>
      </c>
      <c r="X6686" s="443">
        <f t="shared" ref="X6686" si="1977">P6686/K6686</f>
        <v>7.2815533980582527</v>
      </c>
    </row>
    <row r="6687" spans="1:24" ht="15" customHeight="1">
      <c r="A6687" s="521">
        <v>45089</v>
      </c>
      <c r="B6687" s="4">
        <v>35000</v>
      </c>
      <c r="C6687" s="520">
        <v>0</v>
      </c>
      <c r="D6687" s="520">
        <v>1225</v>
      </c>
      <c r="E6687" s="520">
        <v>37150</v>
      </c>
      <c r="F6687" s="4">
        <v>0</v>
      </c>
      <c r="G6687" s="520">
        <v>0</v>
      </c>
      <c r="H6687" s="520">
        <v>2875</v>
      </c>
      <c r="I6687" s="118">
        <f t="shared" ref="I6687:I6688" si="1978">H6687/E6687</f>
        <v>7.7388963660834462E-2</v>
      </c>
      <c r="J6687" s="520">
        <v>115764</v>
      </c>
      <c r="K6687" s="22">
        <v>2090</v>
      </c>
      <c r="L6687" s="6">
        <v>2073</v>
      </c>
      <c r="M6687" s="125">
        <f t="shared" ref="M6687:M6688" si="1979">L6687-K6687</f>
        <v>-17</v>
      </c>
      <c r="P6687" s="247">
        <v>15075</v>
      </c>
      <c r="Q6687" s="25">
        <f>180.59/1291.1</f>
        <v>0.13987297653163969</v>
      </c>
      <c r="W6687" s="285">
        <f t="shared" ref="W6687:W6688" si="1980">(P6687*Q6687)*(1+U6687)</f>
        <v>2108.5851212144685</v>
      </c>
      <c r="X6687" s="443">
        <f t="shared" ref="X6687:X6688" si="1981">P6687/K6687</f>
        <v>7.2129186602870812</v>
      </c>
    </row>
    <row r="6688" spans="1:24" ht="15" customHeight="1">
      <c r="A6688" s="523">
        <v>45090</v>
      </c>
      <c r="B6688" s="4">
        <v>35700</v>
      </c>
      <c r="C6688" s="5">
        <v>0</v>
      </c>
      <c r="D6688" s="5">
        <v>1225</v>
      </c>
      <c r="E6688" s="5">
        <v>37850</v>
      </c>
      <c r="F6688" s="4">
        <v>800</v>
      </c>
      <c r="G6688" s="5">
        <v>100</v>
      </c>
      <c r="H6688" s="5">
        <v>2775</v>
      </c>
      <c r="I6688" s="118">
        <f t="shared" si="1978"/>
        <v>7.3315719947159838E-2</v>
      </c>
      <c r="J6688" s="522">
        <v>117532</v>
      </c>
      <c r="K6688" s="22">
        <v>2106</v>
      </c>
      <c r="L6688" s="6">
        <v>2077</v>
      </c>
      <c r="M6688" s="125">
        <f t="shared" si="1979"/>
        <v>-29</v>
      </c>
      <c r="P6688" s="247">
        <v>15125</v>
      </c>
      <c r="Q6688" s="25">
        <f>178.19/1227.5</f>
        <v>0.14516496945010182</v>
      </c>
      <c r="W6688" s="285">
        <f t="shared" si="1980"/>
        <v>2195.6201629327902</v>
      </c>
      <c r="X6688" s="443">
        <f t="shared" si="1981"/>
        <v>7.1818613485280149</v>
      </c>
    </row>
    <row r="6689" spans="1:24" ht="15" customHeight="1">
      <c r="A6689" s="525">
        <v>45091</v>
      </c>
      <c r="B6689" s="4">
        <v>36250</v>
      </c>
      <c r="C6689" s="524">
        <v>0</v>
      </c>
      <c r="D6689" s="524">
        <v>1225</v>
      </c>
      <c r="E6689" s="524">
        <v>38400</v>
      </c>
      <c r="F6689" s="4">
        <v>650</v>
      </c>
      <c r="G6689" s="524">
        <v>100</v>
      </c>
      <c r="H6689" s="524">
        <v>2675</v>
      </c>
      <c r="I6689" s="118">
        <f t="shared" ref="I6689" si="1982">H6689/E6689</f>
        <v>6.9661458333333329E-2</v>
      </c>
      <c r="J6689" s="524">
        <v>128248</v>
      </c>
      <c r="K6689" s="22">
        <v>2147</v>
      </c>
      <c r="L6689" s="6">
        <v>2107</v>
      </c>
      <c r="M6689" s="125">
        <f t="shared" ref="M6689" si="1983">L6689-K6689</f>
        <v>-40</v>
      </c>
      <c r="P6689" s="247">
        <v>15125</v>
      </c>
      <c r="Q6689" s="25">
        <f>177.98/1275.9</f>
        <v>0.13949369072811346</v>
      </c>
      <c r="W6689" s="285">
        <f t="shared" ref="W6689" si="1984">(P6689*Q6689)*(1+U6689)</f>
        <v>2109.8420722627161</v>
      </c>
      <c r="X6689" s="443">
        <f t="shared" ref="X6689" si="1985">P6689/K6689</f>
        <v>7.0447135537959946</v>
      </c>
    </row>
    <row r="6690" spans="1:24" ht="15" customHeight="1">
      <c r="A6690" s="527">
        <v>45092</v>
      </c>
      <c r="B6690" s="4">
        <v>36250</v>
      </c>
      <c r="C6690" s="526">
        <v>0</v>
      </c>
      <c r="D6690" s="526">
        <v>1225</v>
      </c>
      <c r="E6690" s="526">
        <v>38400</v>
      </c>
      <c r="F6690" s="4">
        <v>0</v>
      </c>
      <c r="G6690" s="526">
        <v>0</v>
      </c>
      <c r="H6690" s="526">
        <v>2675</v>
      </c>
      <c r="I6690" s="118">
        <f t="shared" ref="I6690" si="1986">H6690/E6690</f>
        <v>6.9661458333333329E-2</v>
      </c>
      <c r="J6690" s="526">
        <v>120236</v>
      </c>
      <c r="K6690" s="22">
        <v>2165</v>
      </c>
      <c r="L6690" s="6">
        <v>2133</v>
      </c>
      <c r="M6690" s="125">
        <f t="shared" ref="M6690" si="1987">L6690-K6690</f>
        <v>-32</v>
      </c>
      <c r="N6690" s="449"/>
      <c r="O6690" s="462"/>
      <c r="P6690" s="247">
        <v>15125</v>
      </c>
      <c r="Q6690" s="25">
        <f>178.67/1280.1</f>
        <v>0.13957503320053122</v>
      </c>
      <c r="W6690" s="285">
        <f t="shared" ref="W6690" si="1988">(P6690*Q6690)*(1+U6690)</f>
        <v>2111.0723771580347</v>
      </c>
      <c r="X6690" s="443">
        <f t="shared" ref="X6690" si="1989">P6690/K6690</f>
        <v>6.9861431870669746</v>
      </c>
    </row>
    <row r="6691" spans="1:24" ht="15" customHeight="1">
      <c r="A6691" s="529">
        <v>45093</v>
      </c>
      <c r="B6691" s="4">
        <v>36250</v>
      </c>
      <c r="C6691" s="528">
        <v>0</v>
      </c>
      <c r="D6691" s="528">
        <v>1225</v>
      </c>
      <c r="E6691" s="528">
        <v>38400</v>
      </c>
      <c r="F6691" s="4">
        <v>0</v>
      </c>
      <c r="G6691" s="528">
        <v>0</v>
      </c>
      <c r="H6691" s="10">
        <v>2675</v>
      </c>
      <c r="I6691" s="118">
        <f t="shared" ref="I6691" si="1990">H6691/E6691</f>
        <v>6.9661458333333329E-2</v>
      </c>
      <c r="J6691" s="528">
        <v>126615</v>
      </c>
      <c r="K6691" s="22">
        <v>2174</v>
      </c>
      <c r="L6691" s="6">
        <v>2132</v>
      </c>
      <c r="M6691" s="125">
        <f t="shared" ref="M6691" si="1991">L6691-K6691</f>
        <v>-42</v>
      </c>
      <c r="N6691" s="449"/>
      <c r="O6691" s="462"/>
      <c r="P6691" s="247">
        <v>15175</v>
      </c>
      <c r="Q6691" s="25">
        <f>178.66/1273.5</f>
        <v>0.14029053788771104</v>
      </c>
      <c r="W6691" s="285">
        <f t="shared" ref="W6691" si="1992">(P6691*Q6691)*(1+U6691)</f>
        <v>2128.9089124460152</v>
      </c>
      <c r="X6691" s="443">
        <f t="shared" ref="X6691" si="1993">P6691/K6691</f>
        <v>6.9802207911683531</v>
      </c>
    </row>
    <row r="6692" spans="1:24" ht="15" customHeight="1">
      <c r="A6692" s="531">
        <v>45096</v>
      </c>
      <c r="B6692" s="4">
        <v>36250</v>
      </c>
      <c r="C6692" s="530">
        <v>0</v>
      </c>
      <c r="D6692" s="530">
        <v>1225</v>
      </c>
      <c r="E6692" s="530">
        <v>38400</v>
      </c>
      <c r="F6692" s="4">
        <v>0</v>
      </c>
      <c r="G6692" s="530">
        <v>0</v>
      </c>
      <c r="H6692" s="10">
        <v>2675</v>
      </c>
      <c r="I6692" s="118">
        <f t="shared" ref="I6692" si="1994">H6692/E6692</f>
        <v>6.9661458333333329E-2</v>
      </c>
      <c r="J6692" s="530">
        <v>127180</v>
      </c>
      <c r="K6692" s="22">
        <v>2197</v>
      </c>
      <c r="L6692" s="6">
        <v>2148</v>
      </c>
      <c r="M6692" s="125">
        <f t="shared" ref="M6692" si="1995">L6692-K6692</f>
        <v>-49</v>
      </c>
      <c r="N6692" s="449"/>
      <c r="O6692" s="462"/>
      <c r="P6692" s="247">
        <v>15225</v>
      </c>
      <c r="Q6692" s="25">
        <f>179.46/1280.7</f>
        <v>0.14012649332396346</v>
      </c>
      <c r="W6692" s="285">
        <f t="shared" ref="W6692" si="1996">(P6692*Q6692)*(1+U6692)</f>
        <v>2133.4258608573437</v>
      </c>
      <c r="X6692" s="443">
        <f t="shared" ref="X6692" si="1997">P6692/K6692</f>
        <v>6.9299044151115154</v>
      </c>
    </row>
    <row r="6693" spans="1:24" ht="15" customHeight="1">
      <c r="A6693" s="533">
        <v>45097</v>
      </c>
      <c r="B6693" s="4">
        <v>36950</v>
      </c>
      <c r="C6693" s="532">
        <v>0</v>
      </c>
      <c r="D6693" s="532">
        <v>1225</v>
      </c>
      <c r="E6693" s="532">
        <v>39100</v>
      </c>
      <c r="F6693" s="4">
        <v>700</v>
      </c>
      <c r="G6693" s="532">
        <v>0</v>
      </c>
      <c r="H6693" s="10">
        <v>2675</v>
      </c>
      <c r="I6693" s="118">
        <f t="shared" ref="I6693:I6699" si="1998">H6693/E6693</f>
        <v>6.8414322250639384E-2</v>
      </c>
      <c r="J6693" s="532">
        <v>125575</v>
      </c>
      <c r="K6693" s="22">
        <v>2185</v>
      </c>
      <c r="L6693" s="6">
        <v>2122</v>
      </c>
      <c r="M6693" s="125">
        <f t="shared" ref="M6693" si="1999">L6693-K6693</f>
        <v>-63</v>
      </c>
      <c r="N6693" s="449"/>
      <c r="O6693" s="462"/>
      <c r="P6693" s="247">
        <v>15250</v>
      </c>
      <c r="Q6693" s="25">
        <f>178.29/1282.2</f>
        <v>0.13905007019185772</v>
      </c>
      <c r="W6693" s="285">
        <f t="shared" ref="W6693" si="2000">(P6693*Q6693)*(1+U6693)</f>
        <v>2120.51357042583</v>
      </c>
      <c r="X6693" s="443">
        <f t="shared" ref="X6693" si="2001">P6693/K6693</f>
        <v>6.9794050343249427</v>
      </c>
    </row>
    <row r="6694" spans="1:24" ht="15" customHeight="1">
      <c r="A6694" s="535">
        <v>45098</v>
      </c>
      <c r="B6694" s="4">
        <v>37625</v>
      </c>
      <c r="C6694" s="534">
        <v>0</v>
      </c>
      <c r="D6694" s="534">
        <v>1225</v>
      </c>
      <c r="E6694" s="534">
        <v>39775</v>
      </c>
      <c r="F6694" s="4">
        <v>675</v>
      </c>
      <c r="G6694" s="534">
        <v>0</v>
      </c>
      <c r="H6694" s="10">
        <v>2725</v>
      </c>
      <c r="I6694" s="118">
        <f t="shared" si="1998"/>
        <v>6.8510370835952225E-2</v>
      </c>
      <c r="J6694" s="534">
        <v>121794</v>
      </c>
      <c r="K6694" s="22">
        <v>2242</v>
      </c>
      <c r="L6694" s="6">
        <v>2146.5</v>
      </c>
      <c r="M6694" s="125">
        <f t="shared" ref="M6694" si="2002">L6694-K6694</f>
        <v>-95.5</v>
      </c>
      <c r="N6694" s="449"/>
      <c r="O6694" s="462"/>
      <c r="P6694" s="247">
        <v>15300</v>
      </c>
      <c r="Q6694" s="25">
        <f>179.54/1291.5</f>
        <v>0.13901664730933022</v>
      </c>
      <c r="W6694" s="285">
        <f t="shared" ref="W6694:W6699" si="2003">(P6694*Q6694)*(1+U6694)</f>
        <v>2126.9547038327523</v>
      </c>
      <c r="X6694" s="443">
        <f t="shared" ref="X6694" si="2004">P6694/K6694</f>
        <v>6.8242640499553966</v>
      </c>
    </row>
    <row r="6695" spans="1:24" ht="15" customHeight="1">
      <c r="A6695" s="537">
        <v>45099</v>
      </c>
      <c r="B6695" s="4">
        <v>37625</v>
      </c>
      <c r="C6695" s="536">
        <v>0</v>
      </c>
      <c r="D6695" s="536">
        <v>1225</v>
      </c>
      <c r="E6695" s="536">
        <v>39775</v>
      </c>
      <c r="F6695" s="536">
        <v>0</v>
      </c>
      <c r="G6695" s="536">
        <v>0</v>
      </c>
      <c r="H6695" s="10">
        <v>2725</v>
      </c>
      <c r="I6695" s="118">
        <f t="shared" si="1998"/>
        <v>6.8510370835952225E-2</v>
      </c>
      <c r="J6695" s="536">
        <v>124906</v>
      </c>
      <c r="K6695" s="22">
        <v>2222</v>
      </c>
      <c r="L6695" s="6">
        <v>2164</v>
      </c>
      <c r="M6695" s="125">
        <f t="shared" ref="M6695:M6699" si="2005">L6695-K6695</f>
        <v>-58</v>
      </c>
      <c r="P6695" s="1325"/>
      <c r="Q6695" s="25">
        <f>179.71/1291.4</f>
        <v>0.13915905219142016</v>
      </c>
      <c r="W6695" s="285">
        <f t="shared" si="2003"/>
        <v>0</v>
      </c>
      <c r="X6695" s="443">
        <f t="shared" ref="X6695:X6699" si="2006">P6695/K6695</f>
        <v>0</v>
      </c>
    </row>
    <row r="6696" spans="1:24" ht="15" customHeight="1">
      <c r="A6696" s="538">
        <v>45100</v>
      </c>
      <c r="B6696" s="4">
        <v>37625</v>
      </c>
      <c r="C6696" s="5">
        <v>0</v>
      </c>
      <c r="D6696" s="5">
        <v>1225</v>
      </c>
      <c r="E6696" s="5">
        <v>39775</v>
      </c>
      <c r="F6696" s="4">
        <v>0</v>
      </c>
      <c r="G6696" s="5">
        <v>0</v>
      </c>
      <c r="H6696" s="10">
        <v>2725</v>
      </c>
      <c r="I6696" s="118">
        <f t="shared" si="1998"/>
        <v>6.8510370835952225E-2</v>
      </c>
      <c r="J6696" s="5">
        <v>127102</v>
      </c>
      <c r="K6696" s="22">
        <v>2190</v>
      </c>
      <c r="L6696" s="6">
        <v>2137.5</v>
      </c>
      <c r="M6696" s="125">
        <f t="shared" si="2005"/>
        <v>-52.5</v>
      </c>
      <c r="P6696" s="1325"/>
      <c r="Q6696" s="25">
        <f>180.57/1302.2</f>
        <v>0.1386653355859315</v>
      </c>
      <c r="W6696" s="285">
        <f t="shared" si="2003"/>
        <v>0</v>
      </c>
      <c r="X6696" s="443">
        <f t="shared" si="2006"/>
        <v>0</v>
      </c>
    </row>
    <row r="6697" spans="1:24" ht="15" customHeight="1">
      <c r="A6697" s="540">
        <v>45103</v>
      </c>
      <c r="B6697" s="4">
        <v>37625</v>
      </c>
      <c r="C6697" s="5">
        <v>0</v>
      </c>
      <c r="D6697" s="5">
        <v>1225</v>
      </c>
      <c r="E6697" s="5">
        <v>39775</v>
      </c>
      <c r="F6697" s="4">
        <v>0</v>
      </c>
      <c r="G6697" s="5">
        <v>0</v>
      </c>
      <c r="H6697" s="10">
        <v>2725</v>
      </c>
      <c r="I6697" s="118">
        <f t="shared" si="1998"/>
        <v>6.8510370835952225E-2</v>
      </c>
      <c r="J6697" s="5">
        <v>127986</v>
      </c>
      <c r="K6697" s="22">
        <v>2159</v>
      </c>
      <c r="L6697" s="6">
        <v>2099</v>
      </c>
      <c r="M6697" s="125">
        <f t="shared" si="2005"/>
        <v>-60</v>
      </c>
      <c r="P6697" s="505">
        <v>15325</v>
      </c>
      <c r="Q6697" s="25">
        <f>180.66/1303.8</f>
        <v>0.13856419696272435</v>
      </c>
      <c r="W6697" s="285">
        <f t="shared" si="2003"/>
        <v>2123.4963184537505</v>
      </c>
      <c r="X6697" s="443">
        <f t="shared" si="2006"/>
        <v>7.0981936081519219</v>
      </c>
    </row>
    <row r="6698" spans="1:24" ht="15" customHeight="1">
      <c r="A6698" s="542">
        <v>45104</v>
      </c>
      <c r="B6698" s="4">
        <v>37775</v>
      </c>
      <c r="C6698" s="5">
        <v>0</v>
      </c>
      <c r="D6698" s="5">
        <v>1200</v>
      </c>
      <c r="E6698" s="5">
        <v>39900</v>
      </c>
      <c r="F6698" s="4">
        <v>250</v>
      </c>
      <c r="G6698" s="5">
        <v>125</v>
      </c>
      <c r="H6698" s="5">
        <v>2600</v>
      </c>
      <c r="I6698" s="118">
        <f t="shared" si="1998"/>
        <v>6.5162907268170422E-2</v>
      </c>
      <c r="J6698" s="541">
        <v>127551</v>
      </c>
      <c r="K6698" s="22">
        <v>2169</v>
      </c>
      <c r="L6698" s="6">
        <v>2095.5</v>
      </c>
      <c r="M6698" s="125">
        <f t="shared" si="2005"/>
        <v>-73.5</v>
      </c>
      <c r="P6698" s="505">
        <v>15225</v>
      </c>
      <c r="Q6698" s="25">
        <f>180.45/1303.1</f>
        <v>0.1384774767861254</v>
      </c>
      <c r="W6698" s="285">
        <f t="shared" si="2003"/>
        <v>2108.3195840687595</v>
      </c>
      <c r="X6698" s="443">
        <f t="shared" si="2006"/>
        <v>7.0193637621023512</v>
      </c>
    </row>
    <row r="6699" spans="1:24" ht="15" customHeight="1">
      <c r="A6699" s="544">
        <v>45105</v>
      </c>
      <c r="B6699" s="4">
        <v>38025</v>
      </c>
      <c r="C6699" s="5">
        <v>0</v>
      </c>
      <c r="D6699" s="5">
        <v>1200</v>
      </c>
      <c r="E6699" s="5">
        <v>40150</v>
      </c>
      <c r="F6699" s="4">
        <v>0</v>
      </c>
      <c r="G6699" s="5">
        <v>425</v>
      </c>
      <c r="H6699" s="5">
        <v>2600</v>
      </c>
      <c r="I6699" s="118">
        <f t="shared" si="1998"/>
        <v>6.4757160647571602E-2</v>
      </c>
      <c r="J6699" s="543">
        <v>126466</v>
      </c>
      <c r="K6699" s="22">
        <v>2130.5</v>
      </c>
      <c r="L6699" s="6">
        <v>2088</v>
      </c>
      <c r="M6699" s="125">
        <f t="shared" si="2005"/>
        <v>-42.5</v>
      </c>
      <c r="N6699" s="449"/>
      <c r="O6699" s="462"/>
      <c r="P6699" s="505">
        <v>15200</v>
      </c>
      <c r="Q6699" s="25">
        <f>180.28/1304.3</f>
        <v>0.13821973472360655</v>
      </c>
      <c r="W6699" s="285">
        <f t="shared" si="2003"/>
        <v>2100.9399677988195</v>
      </c>
      <c r="X6699" s="443">
        <f t="shared" si="2006"/>
        <v>7.1344754752405537</v>
      </c>
    </row>
    <row r="6700" spans="1:24" ht="15" customHeight="1">
      <c r="A6700" s="546">
        <v>45106</v>
      </c>
      <c r="B6700" s="4">
        <v>39100</v>
      </c>
      <c r="C6700" s="545">
        <v>0</v>
      </c>
      <c r="D6700" s="545">
        <v>1200</v>
      </c>
      <c r="E6700" s="545">
        <v>41225</v>
      </c>
      <c r="F6700" s="4">
        <v>1075</v>
      </c>
      <c r="G6700" s="4">
        <v>0</v>
      </c>
      <c r="H6700" s="10">
        <v>2600</v>
      </c>
      <c r="I6700" s="118">
        <f t="shared" ref="I6700" si="2007">H6700/E6700</f>
        <v>6.3068526379624013E-2</v>
      </c>
      <c r="J6700" s="545">
        <v>125902</v>
      </c>
      <c r="K6700" s="22">
        <v>2102</v>
      </c>
      <c r="L6700" s="6">
        <v>2054</v>
      </c>
      <c r="M6700" s="125">
        <f t="shared" ref="M6700" si="2008">L6700-K6700</f>
        <v>-48</v>
      </c>
      <c r="N6700" s="449"/>
      <c r="O6700" s="462"/>
      <c r="P6700" s="505">
        <v>15200</v>
      </c>
      <c r="Q6700" s="25">
        <f>181.05/1312.8</f>
        <v>0.13791133455210239</v>
      </c>
      <c r="W6700" s="285">
        <f t="shared" ref="W6700" si="2009">(P6700*Q6700)*(1+U6700)</f>
        <v>2096.2522851919562</v>
      </c>
      <c r="X6700" s="443">
        <f t="shared" ref="X6700" si="2010">P6700/K6700</f>
        <v>7.2312083729781165</v>
      </c>
    </row>
    <row r="6701" spans="1:24" ht="15" customHeight="1">
      <c r="A6701" s="549">
        <v>45107</v>
      </c>
      <c r="B6701" s="4">
        <v>39100</v>
      </c>
      <c r="C6701" s="547">
        <v>0</v>
      </c>
      <c r="D6701" s="547">
        <v>1200</v>
      </c>
      <c r="E6701" s="547">
        <v>41225</v>
      </c>
      <c r="F6701" s="4">
        <v>0</v>
      </c>
      <c r="G6701" s="4">
        <v>0</v>
      </c>
      <c r="H6701" s="10">
        <v>2600</v>
      </c>
      <c r="I6701" s="118">
        <f t="shared" ref="I6701" si="2011">H6701/E6701</f>
        <v>6.3068526379624013E-2</v>
      </c>
      <c r="J6701" s="547">
        <v>125060</v>
      </c>
      <c r="K6701" s="22">
        <v>2105</v>
      </c>
      <c r="L6701" s="6">
        <v>2065</v>
      </c>
      <c r="M6701" s="125">
        <f t="shared" ref="M6701" si="2012">L6701-K6701</f>
        <v>-40</v>
      </c>
      <c r="N6701" s="448">
        <f>AVERAGE($K$6680:K6701)</f>
        <v>2118.3636363636365</v>
      </c>
      <c r="O6701" s="395">
        <f>AVERAGE($K$6567:K6701)</f>
        <v>2129.2580645161293</v>
      </c>
      <c r="P6701" s="505">
        <v>15175</v>
      </c>
      <c r="Q6701" s="25">
        <f>181.77 /1319.4</f>
        <v>0.13776716689404275</v>
      </c>
      <c r="W6701" s="285">
        <f t="shared" ref="W6701" si="2013">(P6701*Q6701)*(1+U6701)</f>
        <v>2090.6167576170988</v>
      </c>
      <c r="X6701" s="443">
        <f t="shared" ref="X6701" si="2014">P6701/K6701</f>
        <v>7.2090261282660331</v>
      </c>
    </row>
    <row r="6702" spans="1:24" ht="15" customHeight="1" thickBot="1">
      <c r="A6702" s="548"/>
      <c r="B6702" s="548"/>
      <c r="C6702" s="548"/>
      <c r="D6702" s="548"/>
      <c r="E6702" s="216"/>
      <c r="F6702" s="407"/>
      <c r="G6702" s="164"/>
      <c r="H6702" s="164"/>
      <c r="I6702" s="166"/>
      <c r="J6702" s="166"/>
      <c r="K6702" s="166"/>
      <c r="L6702" s="167"/>
      <c r="M6702" s="167"/>
      <c r="N6702" s="167"/>
      <c r="O6702" s="180"/>
      <c r="P6702" s="180"/>
      <c r="Q6702" s="180"/>
      <c r="R6702" s="248"/>
      <c r="S6702" s="249"/>
      <c r="T6702" s="249"/>
      <c r="U6702" s="152"/>
      <c r="V6702" s="153">
        <f>AVERAGE(P6680:P6701)</f>
        <v>15108.75</v>
      </c>
      <c r="W6702" s="152"/>
      <c r="X6702" s="447">
        <f>V6702/N6701</f>
        <v>7.1322740537292928</v>
      </c>
    </row>
    <row r="6703" spans="1:24" ht="15" customHeight="1">
      <c r="A6703" s="551">
        <v>45110</v>
      </c>
      <c r="B6703" s="4">
        <v>39250</v>
      </c>
      <c r="C6703" s="550">
        <v>0</v>
      </c>
      <c r="D6703" s="550">
        <v>1200</v>
      </c>
      <c r="E6703" s="550">
        <v>41375</v>
      </c>
      <c r="F6703" s="4">
        <v>200</v>
      </c>
      <c r="G6703" s="4">
        <v>50</v>
      </c>
      <c r="H6703" s="10">
        <v>2550</v>
      </c>
      <c r="I6703" s="118">
        <f t="shared" ref="I6703:I6708" si="2015">H6703/E6703</f>
        <v>6.1631419939577041E-2</v>
      </c>
      <c r="J6703" s="550">
        <v>125347</v>
      </c>
      <c r="K6703" s="22">
        <v>2117.5</v>
      </c>
      <c r="L6703" s="6">
        <v>2082</v>
      </c>
      <c r="M6703" s="125">
        <f t="shared" ref="M6703" si="2016">L6703-K6703</f>
        <v>-35.5</v>
      </c>
      <c r="P6703" s="505">
        <v>15325</v>
      </c>
      <c r="Q6703" s="25">
        <f>180.88/1310</f>
        <v>0.13807633587786258</v>
      </c>
      <c r="W6703" s="285">
        <f t="shared" ref="W6703" si="2017">(P6703*Q6703)*(1+U6703)</f>
        <v>2116.0198473282439</v>
      </c>
      <c r="X6703" s="443">
        <f t="shared" ref="X6703" si="2018">P6703/K6703</f>
        <v>7.2373081463990552</v>
      </c>
    </row>
    <row r="6704" spans="1:24" ht="15" customHeight="1">
      <c r="A6704" s="554">
        <v>45111</v>
      </c>
      <c r="B6704" s="4">
        <v>39250</v>
      </c>
      <c r="C6704" s="553">
        <v>0</v>
      </c>
      <c r="D6704" s="553">
        <v>1200</v>
      </c>
      <c r="E6704" s="553">
        <v>41375</v>
      </c>
      <c r="F6704" s="4">
        <v>0</v>
      </c>
      <c r="G6704" s="4">
        <v>0</v>
      </c>
      <c r="H6704" s="10">
        <v>2550</v>
      </c>
      <c r="I6704" s="118">
        <f t="shared" si="2015"/>
        <v>6.1631419939577041E-2</v>
      </c>
      <c r="J6704" s="553">
        <v>124748</v>
      </c>
      <c r="K6704" s="22">
        <v>2115</v>
      </c>
      <c r="L6704" s="6">
        <v>2091</v>
      </c>
      <c r="M6704" s="125">
        <f t="shared" ref="M6704" si="2019">L6704-K6704</f>
        <v>-24</v>
      </c>
      <c r="P6704" s="505">
        <v>15275</v>
      </c>
      <c r="Q6704" s="25">
        <f>179.53/1301.7</f>
        <v>0.13791964354305908</v>
      </c>
      <c r="W6704" s="285">
        <f t="shared" ref="W6704" si="2020">(P6704*Q6704)*(1+U6704)</f>
        <v>2106.7225551202273</v>
      </c>
      <c r="X6704" s="443">
        <f t="shared" ref="X6704" si="2021">P6704/K6704</f>
        <v>7.2222222222222223</v>
      </c>
    </row>
    <row r="6705" spans="1:24" ht="15" customHeight="1">
      <c r="A6705" s="558">
        <v>45112</v>
      </c>
      <c r="B6705" s="4">
        <v>40250</v>
      </c>
      <c r="C6705" s="557">
        <v>0</v>
      </c>
      <c r="D6705" s="557">
        <v>1200</v>
      </c>
      <c r="E6705" s="557">
        <v>42375</v>
      </c>
      <c r="F6705" s="4">
        <v>1000</v>
      </c>
      <c r="G6705" s="4">
        <v>0</v>
      </c>
      <c r="H6705" s="10">
        <v>2550</v>
      </c>
      <c r="I6705" s="118">
        <f t="shared" si="2015"/>
        <v>6.0176991150442477E-2</v>
      </c>
      <c r="J6705" s="557">
        <v>124430</v>
      </c>
      <c r="K6705" s="22">
        <v>2092</v>
      </c>
      <c r="L6705" s="6">
        <v>2077.5</v>
      </c>
      <c r="M6705" s="125">
        <f t="shared" ref="M6705" si="2022">L6705-K6705</f>
        <v>-14.5</v>
      </c>
      <c r="P6705" s="505">
        <v>15225</v>
      </c>
      <c r="Q6705" s="25">
        <f>180.51/1307.98</f>
        <v>0.13800669735011237</v>
      </c>
      <c r="W6705" s="285">
        <f t="shared" ref="W6705" si="2023">(P6705*Q6705)*(1+U6705)</f>
        <v>2101.1519671554606</v>
      </c>
      <c r="X6705" s="443">
        <f t="shared" ref="X6705" si="2024">P6705/K6705</f>
        <v>7.2777246653919692</v>
      </c>
    </row>
    <row r="6706" spans="1:24" ht="15" customHeight="1">
      <c r="A6706" s="561">
        <v>45113</v>
      </c>
      <c r="B6706" s="4">
        <v>40800</v>
      </c>
      <c r="C6706" s="560">
        <v>0</v>
      </c>
      <c r="D6706" s="560">
        <v>1200</v>
      </c>
      <c r="E6706" s="560">
        <v>42375</v>
      </c>
      <c r="F6706" s="4">
        <v>550</v>
      </c>
      <c r="G6706" s="4">
        <v>0</v>
      </c>
      <c r="H6706" s="10">
        <v>2550</v>
      </c>
      <c r="I6706" s="118">
        <f t="shared" si="2015"/>
        <v>6.0176991150442477E-2</v>
      </c>
      <c r="J6706" s="560">
        <v>124284</v>
      </c>
      <c r="K6706" s="22">
        <v>2059</v>
      </c>
      <c r="L6706" s="6">
        <v>2061</v>
      </c>
      <c r="M6706" s="125">
        <f t="shared" ref="M6706" si="2025">L6706-K6706</f>
        <v>2</v>
      </c>
      <c r="N6706" s="449"/>
      <c r="O6706" s="462"/>
      <c r="P6706" s="505">
        <v>15250</v>
      </c>
      <c r="Q6706" s="25">
        <f>179.44/1303.8</f>
        <v>0.1376284706243289</v>
      </c>
      <c r="W6706" s="285">
        <f t="shared" ref="W6706" si="2026">(P6706*Q6706)*(1+U6706)</f>
        <v>2098.8341770210159</v>
      </c>
      <c r="X6706" s="443">
        <f t="shared" ref="X6706" si="2027">P6706/K6706</f>
        <v>7.4065080135988346</v>
      </c>
    </row>
    <row r="6707" spans="1:24" ht="15" customHeight="1">
      <c r="A6707" s="564">
        <v>45114</v>
      </c>
      <c r="B6707" s="4">
        <v>41975</v>
      </c>
      <c r="C6707" s="563">
        <v>0</v>
      </c>
      <c r="D6707" s="563">
        <v>1200</v>
      </c>
      <c r="E6707" s="563">
        <v>44100</v>
      </c>
      <c r="F6707" s="4">
        <v>1175</v>
      </c>
      <c r="G6707" s="4">
        <v>0</v>
      </c>
      <c r="H6707" s="10">
        <v>2550</v>
      </c>
      <c r="I6707" s="118">
        <f t="shared" si="2015"/>
        <v>5.7823129251700682E-2</v>
      </c>
      <c r="J6707" s="563">
        <v>124961</v>
      </c>
      <c r="K6707" s="22">
        <v>2038</v>
      </c>
      <c r="L6707" s="6">
        <v>2033</v>
      </c>
      <c r="M6707" s="125">
        <f t="shared" ref="M6707" si="2028">L6707-K6707</f>
        <v>-5</v>
      </c>
      <c r="N6707" s="449"/>
      <c r="O6707" s="462"/>
      <c r="P6707" s="505">
        <v>15225</v>
      </c>
      <c r="Q6707" s="25">
        <f>180.29/1307.3</f>
        <v>0.13791019658838827</v>
      </c>
      <c r="W6707" s="285">
        <f t="shared" ref="W6707" si="2029">(P6707*Q6707)*(1+U6707)</f>
        <v>2099.6827430582111</v>
      </c>
      <c r="X6707" s="443">
        <f t="shared" ref="X6707" si="2030">P6707/K6707</f>
        <v>7.4705593719332679</v>
      </c>
    </row>
    <row r="6708" spans="1:24" ht="15" customHeight="1">
      <c r="A6708" s="567">
        <v>45117</v>
      </c>
      <c r="B6708" s="4">
        <v>42225</v>
      </c>
      <c r="C6708" s="566">
        <v>0</v>
      </c>
      <c r="D6708" s="566">
        <v>1200</v>
      </c>
      <c r="E6708" s="566">
        <v>44350</v>
      </c>
      <c r="F6708" s="4">
        <v>250</v>
      </c>
      <c r="G6708" s="4">
        <v>0</v>
      </c>
      <c r="H6708" s="10">
        <v>2550</v>
      </c>
      <c r="I6708" s="118">
        <f t="shared" si="2015"/>
        <v>5.749718151071026E-2</v>
      </c>
      <c r="J6708" s="566">
        <v>124348</v>
      </c>
      <c r="K6708" s="22">
        <v>2066</v>
      </c>
      <c r="L6708" s="6">
        <v>2058</v>
      </c>
      <c r="M6708" s="125">
        <f t="shared" ref="M6708" si="2031">L6708-K6708</f>
        <v>-8</v>
      </c>
      <c r="N6708" s="449"/>
      <c r="O6708" s="462"/>
      <c r="P6708" s="505">
        <v>15200</v>
      </c>
      <c r="Q6708" s="25">
        <f>180.16/1303.8</f>
        <v>0.13818070256174261</v>
      </c>
      <c r="W6708" s="285">
        <f t="shared" ref="W6708" si="2032">(P6708*Q6708)*(1+U6708)</f>
        <v>2100.3466789384879</v>
      </c>
      <c r="X6708" s="443">
        <f t="shared" ref="X6708" si="2033">P6708/K6708</f>
        <v>7.3572120038722169</v>
      </c>
    </row>
    <row r="6709" spans="1:24" ht="15" customHeight="1">
      <c r="A6709" s="570">
        <v>45118</v>
      </c>
      <c r="B6709" s="4">
        <v>43675</v>
      </c>
      <c r="C6709" s="569">
        <v>0</v>
      </c>
      <c r="D6709" s="569">
        <v>1200</v>
      </c>
      <c r="E6709" s="569">
        <v>45800</v>
      </c>
      <c r="F6709" s="4">
        <v>1550</v>
      </c>
      <c r="G6709" s="4">
        <v>100</v>
      </c>
      <c r="H6709" s="10">
        <v>2450</v>
      </c>
      <c r="I6709" s="118">
        <f t="shared" ref="I6709" si="2034">H6709/E6709</f>
        <v>5.3493449781659388E-2</v>
      </c>
      <c r="J6709" s="569">
        <v>122428</v>
      </c>
      <c r="K6709" s="22">
        <v>2072</v>
      </c>
      <c r="L6709" s="6">
        <v>2057.5</v>
      </c>
      <c r="M6709" s="125">
        <f t="shared" ref="M6709" si="2035">L6709-K6709</f>
        <v>-14.5</v>
      </c>
      <c r="N6709" s="449"/>
      <c r="O6709" s="462"/>
      <c r="P6709" s="505">
        <v>15275</v>
      </c>
      <c r="Q6709" s="25">
        <f>179.26/1295</f>
        <v>0.13842471042471041</v>
      </c>
      <c r="W6709" s="285">
        <f t="shared" ref="W6709" si="2036">(P6709*Q6709)*(1+U6709)</f>
        <v>2114.4374517374517</v>
      </c>
      <c r="X6709" s="443">
        <f t="shared" ref="X6709" si="2037">P6709/K6709</f>
        <v>7.3721042471042475</v>
      </c>
    </row>
    <row r="6710" spans="1:24" ht="15" customHeight="1">
      <c r="A6710" s="573">
        <v>45119</v>
      </c>
      <c r="B6710" s="4">
        <v>43550</v>
      </c>
      <c r="C6710" s="572">
        <v>0</v>
      </c>
      <c r="D6710" s="572">
        <v>1200</v>
      </c>
      <c r="E6710" s="572">
        <v>45675</v>
      </c>
      <c r="F6710" s="4">
        <v>0</v>
      </c>
      <c r="G6710" s="4">
        <v>125</v>
      </c>
      <c r="H6710" s="10">
        <v>2450</v>
      </c>
      <c r="I6710" s="118">
        <f t="shared" ref="I6710" si="2038">H6710/E6710</f>
        <v>5.3639846743295021E-2</v>
      </c>
      <c r="J6710" s="572">
        <v>118962</v>
      </c>
      <c r="K6710" s="22">
        <v>2077</v>
      </c>
      <c r="L6710" s="6">
        <v>2071</v>
      </c>
      <c r="M6710" s="125">
        <f t="shared" ref="M6710" si="2039">L6710-K6710</f>
        <v>-6</v>
      </c>
      <c r="N6710" s="449"/>
      <c r="O6710" s="462"/>
      <c r="P6710" s="505">
        <v>15225</v>
      </c>
      <c r="Q6710" s="25">
        <f>178.82/1284.2</f>
        <v>0.13924622332969941</v>
      </c>
      <c r="W6710" s="285">
        <f t="shared" ref="W6710" si="2040">(P6710*Q6710)*(1+U6710)</f>
        <v>2120.0237501946735</v>
      </c>
      <c r="X6710" s="443">
        <f t="shared" ref="X6710" si="2041">P6710/K6710</f>
        <v>7.3302840635532016</v>
      </c>
    </row>
    <row r="6711" spans="1:24" ht="15" customHeight="1">
      <c r="A6711" s="576">
        <v>45120</v>
      </c>
      <c r="C6711" s="575">
        <v>0</v>
      </c>
      <c r="D6711" s="575"/>
      <c r="E6711" s="575">
        <v>46650</v>
      </c>
      <c r="F6711" s="4">
        <v>975</v>
      </c>
      <c r="G6711" s="4">
        <v>0</v>
      </c>
      <c r="H6711" s="10">
        <v>2325</v>
      </c>
      <c r="I6711" s="118">
        <f t="shared" ref="I6711:I6717" si="2042">H6711/E6711</f>
        <v>4.9839228295819937E-2</v>
      </c>
      <c r="J6711" s="575">
        <v>118105</v>
      </c>
      <c r="K6711" s="22">
        <v>2115</v>
      </c>
      <c r="L6711" s="6">
        <v>2111</v>
      </c>
      <c r="M6711" s="125">
        <f t="shared" ref="M6711:M6717" si="2043">L6711-K6711</f>
        <v>-4</v>
      </c>
      <c r="P6711" s="505">
        <v>15350</v>
      </c>
      <c r="Q6711" s="25">
        <f>177.82/1276.2</f>
        <v>0.13933552734681084</v>
      </c>
      <c r="W6711" s="285">
        <f t="shared" ref="W6711:W6717" si="2044">(P6711*Q6711)*(1+U6711)</f>
        <v>2138.8003447735464</v>
      </c>
      <c r="X6711" s="443">
        <f t="shared" ref="X6711:X6717" si="2045">P6711/K6711</f>
        <v>7.2576832151300232</v>
      </c>
    </row>
    <row r="6712" spans="1:24" ht="15" customHeight="1">
      <c r="A6712" s="578">
        <v>45121</v>
      </c>
      <c r="B6712" s="4">
        <v>45275</v>
      </c>
      <c r="C6712" s="5">
        <v>0</v>
      </c>
      <c r="D6712" s="5">
        <v>1200</v>
      </c>
      <c r="E6712" s="5">
        <v>47400</v>
      </c>
      <c r="F6712" s="4">
        <v>825</v>
      </c>
      <c r="G6712" s="5">
        <v>75</v>
      </c>
      <c r="H6712" s="5">
        <v>2250</v>
      </c>
      <c r="I6712" s="118">
        <f t="shared" si="2042"/>
        <v>4.746835443037975E-2</v>
      </c>
      <c r="J6712" s="5">
        <v>119183</v>
      </c>
      <c r="K6712" s="22">
        <v>2114</v>
      </c>
      <c r="L6712" s="6">
        <v>2125</v>
      </c>
      <c r="M6712" s="125">
        <f t="shared" si="2043"/>
        <v>11</v>
      </c>
      <c r="P6712" s="505">
        <v>15525</v>
      </c>
      <c r="Q6712" s="25">
        <f>177.15/1265.8</f>
        <v>0.13995101911834415</v>
      </c>
      <c r="W6712" s="285">
        <f t="shared" si="2044"/>
        <v>2172.739571812293</v>
      </c>
      <c r="X6712" s="443">
        <f t="shared" si="2045"/>
        <v>7.3438978240302744</v>
      </c>
    </row>
    <row r="6713" spans="1:24" ht="15" customHeight="1">
      <c r="A6713" s="579">
        <v>45124</v>
      </c>
      <c r="B6713" s="4">
        <v>46300</v>
      </c>
      <c r="C6713" s="5">
        <v>0</v>
      </c>
      <c r="D6713" s="5">
        <v>1200</v>
      </c>
      <c r="E6713" s="5">
        <v>48425</v>
      </c>
      <c r="F6713" s="4">
        <v>1125</v>
      </c>
      <c r="G6713" s="5">
        <v>100</v>
      </c>
      <c r="H6713" s="5">
        <v>2150</v>
      </c>
      <c r="I6713" s="118">
        <f t="shared" si="2042"/>
        <v>4.4398554465668559E-2</v>
      </c>
      <c r="J6713" s="5">
        <v>117925</v>
      </c>
      <c r="K6713" s="22">
        <v>2080.5</v>
      </c>
      <c r="L6713" s="6">
        <v>2093</v>
      </c>
      <c r="M6713" s="125">
        <f t="shared" si="2043"/>
        <v>12.5</v>
      </c>
      <c r="P6713" s="505">
        <v>15475</v>
      </c>
      <c r="Q6713" s="25">
        <f>176.69/1266.1</f>
        <v>0.13955453755627517</v>
      </c>
      <c r="W6713" s="285">
        <f t="shared" si="2044"/>
        <v>2159.6064686833583</v>
      </c>
      <c r="X6713" s="443">
        <f t="shared" si="2045"/>
        <v>7.438115837539053</v>
      </c>
    </row>
    <row r="6714" spans="1:24" ht="15" customHeight="1">
      <c r="A6714" s="580">
        <v>45125</v>
      </c>
      <c r="B6714" s="4">
        <v>46900</v>
      </c>
      <c r="C6714" s="5">
        <v>0</v>
      </c>
      <c r="D6714" s="5">
        <v>1200</v>
      </c>
      <c r="E6714" s="5">
        <v>49025</v>
      </c>
      <c r="F6714" s="4">
        <v>600</v>
      </c>
      <c r="G6714" s="5">
        <v>0</v>
      </c>
      <c r="H6714" s="5">
        <v>2150</v>
      </c>
      <c r="I6714" s="118">
        <f t="shared" si="2042"/>
        <v>4.3855175930647632E-2</v>
      </c>
      <c r="J6714" s="5">
        <v>117018</v>
      </c>
      <c r="K6714" s="22">
        <v>2094</v>
      </c>
      <c r="L6714" s="6">
        <v>2103</v>
      </c>
      <c r="M6714" s="125">
        <f t="shared" si="2043"/>
        <v>9</v>
      </c>
      <c r="P6714" s="505">
        <v>15475</v>
      </c>
      <c r="Q6714" s="25">
        <f>175.66/1261.6</f>
        <v>0.13923589093214966</v>
      </c>
      <c r="W6714" s="285">
        <f t="shared" si="2044"/>
        <v>2154.6754121750159</v>
      </c>
      <c r="X6714" s="443">
        <f t="shared" si="2045"/>
        <v>7.3901623686723976</v>
      </c>
    </row>
    <row r="6715" spans="1:24" ht="15" customHeight="1">
      <c r="A6715" s="582">
        <v>45126</v>
      </c>
      <c r="B6715" s="4">
        <v>48225</v>
      </c>
      <c r="C6715" s="5">
        <v>0</v>
      </c>
      <c r="D6715" s="5">
        <v>1200</v>
      </c>
      <c r="E6715" s="5">
        <v>50350</v>
      </c>
      <c r="F6715" s="4">
        <v>1325</v>
      </c>
      <c r="G6715" s="5">
        <v>0</v>
      </c>
      <c r="H6715" s="5">
        <v>2150</v>
      </c>
      <c r="I6715" s="118">
        <f t="shared" si="2042"/>
        <v>4.2701092353525323E-2</v>
      </c>
      <c r="J6715" s="581">
        <v>113280</v>
      </c>
      <c r="K6715" s="22">
        <v>2082</v>
      </c>
      <c r="L6715" s="6">
        <v>2094</v>
      </c>
      <c r="M6715" s="125">
        <f t="shared" si="2043"/>
        <v>12</v>
      </c>
      <c r="P6715" s="505">
        <v>15475</v>
      </c>
      <c r="Q6715" s="25">
        <f>175.55/1265.4</f>
        <v>0.13873083609925715</v>
      </c>
      <c r="W6715" s="285">
        <f t="shared" si="2044"/>
        <v>2146.8596886360046</v>
      </c>
      <c r="X6715" s="443">
        <f t="shared" si="2045"/>
        <v>7.4327569644572522</v>
      </c>
    </row>
    <row r="6716" spans="1:24" ht="15" customHeight="1">
      <c r="A6716" s="584">
        <v>45127</v>
      </c>
      <c r="B6716" s="4">
        <v>48275</v>
      </c>
      <c r="C6716" s="5">
        <v>0</v>
      </c>
      <c r="D6716" s="5">
        <v>1200</v>
      </c>
      <c r="E6716" s="5">
        <v>50400</v>
      </c>
      <c r="F6716" s="4">
        <v>50</v>
      </c>
      <c r="G6716" s="5">
        <v>0</v>
      </c>
      <c r="H6716" s="5">
        <v>2150</v>
      </c>
      <c r="I6716" s="118">
        <f t="shared" si="2042"/>
        <v>4.265873015873016E-2</v>
      </c>
      <c r="J6716" s="583">
        <v>114071</v>
      </c>
      <c r="K6716" s="22">
        <v>2082</v>
      </c>
      <c r="L6716" s="6">
        <v>2092.5</v>
      </c>
      <c r="M6716" s="125">
        <f t="shared" si="2043"/>
        <v>10.5</v>
      </c>
      <c r="P6716" s="505">
        <v>15550</v>
      </c>
      <c r="Q6716" s="25">
        <f>175.97/1265.8</f>
        <v>0.1390188023384421</v>
      </c>
      <c r="W6716" s="285">
        <f t="shared" si="2044"/>
        <v>2161.7423763627748</v>
      </c>
      <c r="X6716" s="443">
        <f t="shared" si="2045"/>
        <v>7.4687800192122955</v>
      </c>
    </row>
    <row r="6717" spans="1:24" ht="15" customHeight="1">
      <c r="A6717" s="586">
        <v>45128</v>
      </c>
      <c r="B6717" s="4">
        <v>49225</v>
      </c>
      <c r="C6717" s="5">
        <v>0</v>
      </c>
      <c r="D6717" s="5">
        <v>1200</v>
      </c>
      <c r="E6717" s="5">
        <v>51350</v>
      </c>
      <c r="F6717" s="4">
        <v>950</v>
      </c>
      <c r="G6717" s="5">
        <v>0</v>
      </c>
      <c r="H6717" s="5">
        <v>2150</v>
      </c>
      <c r="I6717" s="118">
        <f t="shared" si="2042"/>
        <v>4.1869522882181112E-2</v>
      </c>
      <c r="J6717" s="585">
        <v>113886</v>
      </c>
      <c r="K6717" s="22">
        <v>2130</v>
      </c>
      <c r="L6717" s="6">
        <v>2136</v>
      </c>
      <c r="M6717" s="125">
        <f t="shared" si="2043"/>
        <v>6</v>
      </c>
      <c r="P6717" s="505">
        <v>15625</v>
      </c>
      <c r="Q6717" s="25">
        <f>178.55/1281.7</f>
        <v>0.1393071701646251</v>
      </c>
      <c r="W6717" s="285">
        <f t="shared" si="2044"/>
        <v>2176.6745338222672</v>
      </c>
      <c r="X6717" s="443">
        <f t="shared" si="2045"/>
        <v>7.335680751173709</v>
      </c>
    </row>
    <row r="6718" spans="1:24" ht="15" customHeight="1">
      <c r="A6718" s="588">
        <v>45131</v>
      </c>
      <c r="B6718" s="4">
        <v>49500</v>
      </c>
      <c r="C6718" s="589">
        <v>0</v>
      </c>
      <c r="D6718" s="589">
        <v>1200</v>
      </c>
      <c r="E6718" s="587">
        <v>51625</v>
      </c>
      <c r="F6718" s="4">
        <v>275</v>
      </c>
      <c r="G6718" s="587">
        <v>0</v>
      </c>
      <c r="H6718" s="587">
        <v>2350</v>
      </c>
      <c r="I6718" s="118">
        <f t="shared" ref="I6718" si="2046">H6718/E6718</f>
        <v>4.5520581113801452E-2</v>
      </c>
      <c r="J6718" s="587">
        <v>115866</v>
      </c>
      <c r="K6718" s="22">
        <v>2136.5</v>
      </c>
      <c r="L6718" s="6">
        <v>2142</v>
      </c>
      <c r="M6718" s="125">
        <f t="shared" ref="M6718" si="2047">L6718-K6718</f>
        <v>5.5</v>
      </c>
      <c r="P6718" s="505">
        <v>15700</v>
      </c>
      <c r="Q6718" s="25">
        <f>178.3/1283.8</f>
        <v>0.13888456145817107</v>
      </c>
      <c r="W6718" s="285">
        <f t="shared" ref="W6718" si="2048">(P6718*Q6718)*(1+U6718)</f>
        <v>2180.4876148932858</v>
      </c>
      <c r="X6718" s="443">
        <f t="shared" ref="X6718" si="2049">P6718/K6718</f>
        <v>7.3484671191200563</v>
      </c>
    </row>
    <row r="6719" spans="1:24" ht="15" customHeight="1">
      <c r="A6719" s="591">
        <v>45132</v>
      </c>
      <c r="B6719" s="4">
        <v>49725</v>
      </c>
      <c r="C6719" s="590">
        <v>0</v>
      </c>
      <c r="D6719" s="590">
        <v>1200</v>
      </c>
      <c r="E6719" s="590">
        <v>51850</v>
      </c>
      <c r="F6719" s="4">
        <v>225</v>
      </c>
      <c r="G6719" s="590">
        <v>0</v>
      </c>
      <c r="H6719" s="590">
        <v>2350</v>
      </c>
      <c r="I6719" s="118">
        <f t="shared" ref="I6719" si="2050">H6719/E6719</f>
        <v>4.5323047251687558E-2</v>
      </c>
      <c r="J6719" s="590">
        <v>118514</v>
      </c>
      <c r="K6719" s="22">
        <v>2157</v>
      </c>
      <c r="L6719" s="6">
        <v>2159</v>
      </c>
      <c r="M6719" s="125">
        <f t="shared" ref="M6719" si="2051">L6719-K6719</f>
        <v>2</v>
      </c>
      <c r="P6719" s="505">
        <v>15900</v>
      </c>
      <c r="Q6719" s="25">
        <f>178.87/1280.7</f>
        <v>0.13966580776138049</v>
      </c>
      <c r="W6719" s="285">
        <f t="shared" ref="W6719" si="2052">(P6719*Q6719)*(1+U6719)</f>
        <v>2220.6863434059496</v>
      </c>
      <c r="X6719" s="443">
        <f t="shared" ref="X6719" si="2053">P6719/K6719</f>
        <v>7.3713490959666199</v>
      </c>
    </row>
    <row r="6720" spans="1:24" ht="15" customHeight="1">
      <c r="A6720" s="593">
        <v>45133</v>
      </c>
      <c r="B6720" s="4">
        <v>49975</v>
      </c>
      <c r="C6720" s="592">
        <v>0</v>
      </c>
      <c r="D6720" s="592">
        <v>1200</v>
      </c>
      <c r="E6720" s="592">
        <v>52100</v>
      </c>
      <c r="F6720" s="4">
        <v>250</v>
      </c>
      <c r="G6720" s="592">
        <v>0</v>
      </c>
      <c r="H6720" s="592">
        <v>2350</v>
      </c>
      <c r="I6720" s="118">
        <f t="shared" ref="I6720" si="2054">H6720/E6720</f>
        <v>4.5105566218809984E-2</v>
      </c>
      <c r="J6720" s="592">
        <v>120335</v>
      </c>
      <c r="K6720" s="22">
        <v>2140</v>
      </c>
      <c r="L6720" s="6">
        <v>2153</v>
      </c>
      <c r="M6720" s="125">
        <f t="shared" ref="M6720" si="2055">L6720-K6720</f>
        <v>13</v>
      </c>
      <c r="P6720" s="505">
        <v>15775</v>
      </c>
      <c r="Q6720" s="25">
        <f>178.64/1278.7</f>
        <v>0.13970438726831938</v>
      </c>
      <c r="W6720" s="285">
        <f t="shared" ref="W6720" si="2056">(P6720*Q6720)*(1+U6720)</f>
        <v>2203.8367091577384</v>
      </c>
      <c r="X6720" s="443">
        <f t="shared" ref="X6720" si="2057">P6720/K6720</f>
        <v>7.3714953271028039</v>
      </c>
    </row>
    <row r="6721" spans="1:24" ht="15" customHeight="1">
      <c r="A6721" s="595">
        <v>45134</v>
      </c>
      <c r="B6721" s="4">
        <v>50850</v>
      </c>
      <c r="C6721" s="594">
        <v>0</v>
      </c>
      <c r="D6721" s="594">
        <v>1200</v>
      </c>
      <c r="E6721" s="594">
        <v>52975</v>
      </c>
      <c r="F6721" s="4">
        <v>875</v>
      </c>
      <c r="G6721" s="594">
        <v>0</v>
      </c>
      <c r="H6721" s="594">
        <v>2725</v>
      </c>
      <c r="I6721" s="118">
        <f t="shared" ref="I6721" si="2058">H6721/E6721</f>
        <v>5.1439358187824448E-2</v>
      </c>
      <c r="J6721" s="594">
        <v>120396</v>
      </c>
      <c r="K6721" s="22">
        <v>2170</v>
      </c>
      <c r="L6721" s="6">
        <v>2173</v>
      </c>
      <c r="M6721" s="125">
        <f t="shared" ref="M6721" si="2059">L6721-K6721</f>
        <v>3</v>
      </c>
      <c r="N6721" s="449"/>
      <c r="O6721" s="462"/>
      <c r="P6721" s="505">
        <v>15725</v>
      </c>
      <c r="Q6721" s="25">
        <f>178.33/1273.4</f>
        <v>0.14004240615674571</v>
      </c>
      <c r="W6721" s="285">
        <f t="shared" ref="W6721" si="2060">(P6721*Q6721)*(1+U6721)</f>
        <v>2202.1668368148262</v>
      </c>
      <c r="X6721" s="443">
        <f t="shared" ref="X6721" si="2061">P6721/K6721</f>
        <v>7.2465437788018434</v>
      </c>
    </row>
    <row r="6722" spans="1:24" ht="15" customHeight="1">
      <c r="A6722" s="597">
        <v>45135</v>
      </c>
      <c r="B6722" s="4">
        <v>50650</v>
      </c>
      <c r="C6722" s="596">
        <v>0</v>
      </c>
      <c r="D6722" s="596">
        <v>1200</v>
      </c>
      <c r="E6722" s="596">
        <v>52775</v>
      </c>
      <c r="F6722" s="4">
        <v>0</v>
      </c>
      <c r="G6722" s="596">
        <v>200</v>
      </c>
      <c r="H6722" s="10">
        <v>3575</v>
      </c>
      <c r="I6722" s="118">
        <f t="shared" ref="I6722" si="2062">H6722/E6722</f>
        <v>6.7740407389862631E-2</v>
      </c>
      <c r="J6722" s="596">
        <v>119661</v>
      </c>
      <c r="K6722" s="22">
        <v>2157</v>
      </c>
      <c r="L6722" s="6">
        <v>2157</v>
      </c>
      <c r="M6722" s="125">
        <f t="shared" ref="M6722" si="2063">L6722-K6722</f>
        <v>0</v>
      </c>
      <c r="N6722" s="449"/>
      <c r="O6722" s="462"/>
      <c r="P6722" s="505">
        <v>15725</v>
      </c>
      <c r="Q6722" s="25">
        <f>178.49/1280</f>
        <v>0.1394453125</v>
      </c>
      <c r="W6722" s="285">
        <f t="shared" ref="W6722" si="2064">(P6722*Q6722)*(1+U6722)</f>
        <v>2192.7775390625002</v>
      </c>
      <c r="X6722" s="443">
        <f t="shared" ref="X6722" si="2065">P6722/K6722</f>
        <v>7.2902178952248491</v>
      </c>
    </row>
    <row r="6723" spans="1:24" ht="15" customHeight="1">
      <c r="A6723" s="599">
        <v>45138</v>
      </c>
      <c r="B6723" s="598">
        <v>52125</v>
      </c>
      <c r="C6723" s="598">
        <v>0</v>
      </c>
      <c r="D6723" s="598">
        <v>1150</v>
      </c>
      <c r="E6723" s="598">
        <v>54200</v>
      </c>
      <c r="F6723" s="4">
        <v>1475</v>
      </c>
      <c r="G6723" s="598">
        <v>50</v>
      </c>
      <c r="H6723" s="10">
        <v>4550</v>
      </c>
      <c r="I6723" s="118">
        <f t="shared" ref="I6723" si="2066">H6723/E6723</f>
        <v>8.3948339483394835E-2</v>
      </c>
      <c r="J6723" s="598">
        <v>121347</v>
      </c>
      <c r="K6723" s="22">
        <v>2150</v>
      </c>
      <c r="L6723" s="6">
        <v>2155</v>
      </c>
      <c r="M6723" s="125">
        <f t="shared" ref="M6723" si="2067">L6723-K6723</f>
        <v>5</v>
      </c>
      <c r="N6723" s="448">
        <f>AVERAGE($K$6703:K6723)</f>
        <v>2106.8809523809523</v>
      </c>
      <c r="O6723" s="395">
        <f>AVERAGE($K$6567:K6723)</f>
        <v>2126.0172413793102</v>
      </c>
      <c r="P6723" s="505">
        <v>15750</v>
      </c>
      <c r="Q6723" s="25">
        <f>178.29/1273.8</f>
        <v>0.13996702779086198</v>
      </c>
      <c r="W6723" s="285">
        <f t="shared" ref="W6723" si="2068">(P6723*Q6723)*(1+U6723)</f>
        <v>2204.4806877060764</v>
      </c>
      <c r="X6723" s="443">
        <f t="shared" ref="X6723" si="2069">P6723/K6723</f>
        <v>7.3255813953488369</v>
      </c>
    </row>
    <row r="6724" spans="1:24" ht="15" customHeight="1" thickBot="1">
      <c r="A6724" s="600"/>
      <c r="B6724" s="600"/>
      <c r="C6724" s="600"/>
      <c r="D6724" s="600"/>
      <c r="E6724" s="216"/>
      <c r="F6724" s="407"/>
      <c r="G6724" s="164"/>
      <c r="H6724" s="164"/>
      <c r="I6724" s="166"/>
      <c r="J6724" s="166"/>
      <c r="K6724" s="166"/>
      <c r="L6724" s="167"/>
      <c r="M6724" s="167"/>
      <c r="N6724" s="167"/>
      <c r="O6724" s="180"/>
      <c r="P6724" s="180"/>
      <c r="Q6724" s="180"/>
      <c r="R6724" s="248"/>
      <c r="S6724" s="249"/>
      <c r="T6724" s="249"/>
      <c r="U6724" s="152"/>
      <c r="V6724" s="153">
        <f>AVERAGE(P6703:P6723)</f>
        <v>15478.571428571429</v>
      </c>
      <c r="W6724" s="152"/>
      <c r="X6724" s="447">
        <f>V6724/N6723</f>
        <v>7.3466758580162512</v>
      </c>
    </row>
    <row r="6725" spans="1:24" ht="15" customHeight="1">
      <c r="A6725" s="602">
        <v>45139</v>
      </c>
      <c r="B6725" s="601">
        <v>53000</v>
      </c>
      <c r="C6725" s="601">
        <v>0</v>
      </c>
      <c r="D6725" s="601">
        <v>1150</v>
      </c>
      <c r="E6725" s="601">
        <v>55075</v>
      </c>
      <c r="F6725" s="4">
        <v>875</v>
      </c>
      <c r="G6725" s="601">
        <v>0</v>
      </c>
      <c r="H6725" s="10">
        <v>5425</v>
      </c>
      <c r="I6725" s="118">
        <f t="shared" ref="I6725" si="2070">H6725/E6725</f>
        <v>9.8502042669087603E-2</v>
      </c>
      <c r="J6725" s="601">
        <v>120555</v>
      </c>
      <c r="K6725" s="22">
        <v>2152</v>
      </c>
      <c r="L6725" s="6">
        <v>2150.5</v>
      </c>
      <c r="M6725" s="125">
        <f t="shared" ref="M6725" si="2071">L6725-K6725</f>
        <v>-1.5</v>
      </c>
      <c r="N6725" s="450"/>
      <c r="O6725" s="556"/>
      <c r="P6725" s="505">
        <v>15700</v>
      </c>
      <c r="Q6725" s="25">
        <f>178.63/1280.7</f>
        <v>0.13947841024439758</v>
      </c>
      <c r="W6725" s="285">
        <f t="shared" ref="W6725" si="2072">(P6725*Q6725)*(1+U6725)</f>
        <v>2189.8110408370421</v>
      </c>
      <c r="X6725" s="443">
        <f t="shared" ref="X6725" si="2073">P6725/K6725</f>
        <v>7.2955390334572492</v>
      </c>
    </row>
    <row r="6726" spans="1:24" ht="15" customHeight="1">
      <c r="A6726" s="604">
        <v>45140</v>
      </c>
      <c r="B6726" s="603">
        <v>53150</v>
      </c>
      <c r="C6726" s="603">
        <v>0</v>
      </c>
      <c r="D6726" s="603">
        <v>1150</v>
      </c>
      <c r="E6726" s="603">
        <v>55225</v>
      </c>
      <c r="F6726" s="4">
        <v>300</v>
      </c>
      <c r="G6726" s="603">
        <v>150</v>
      </c>
      <c r="H6726" s="10">
        <v>5275</v>
      </c>
      <c r="I6726" s="118">
        <f t="shared" ref="I6726" si="2074">H6726/E6726</f>
        <v>9.5518334087822537E-2</v>
      </c>
      <c r="J6726" s="603">
        <v>119715</v>
      </c>
      <c r="K6726" s="22">
        <v>2144</v>
      </c>
      <c r="L6726" s="6">
        <v>2145</v>
      </c>
      <c r="M6726" s="125">
        <f t="shared" ref="M6726" si="2075">L6726-K6726</f>
        <v>1</v>
      </c>
      <c r="N6726" s="449"/>
      <c r="O6726" s="462"/>
      <c r="P6726" s="505">
        <v>15725</v>
      </c>
      <c r="Q6726" s="25">
        <f>179.95/1293</f>
        <v>0.13917246713070378</v>
      </c>
      <c r="W6726" s="285">
        <f t="shared" ref="W6726" si="2076">(P6726*Q6726)*(1+U6726)</f>
        <v>2188.487045630317</v>
      </c>
      <c r="X6726" s="443">
        <f t="shared" ref="X6726" si="2077">P6726/K6726</f>
        <v>7.3344216417910451</v>
      </c>
    </row>
    <row r="6727" spans="1:24" ht="15" customHeight="1">
      <c r="A6727" s="606">
        <v>45141</v>
      </c>
      <c r="B6727" s="605">
        <v>54050</v>
      </c>
      <c r="C6727" s="605">
        <v>0</v>
      </c>
      <c r="D6727" s="605">
        <v>1150</v>
      </c>
      <c r="E6727" s="605">
        <v>56125</v>
      </c>
      <c r="F6727" s="4">
        <v>1050</v>
      </c>
      <c r="G6727" s="605">
        <v>150</v>
      </c>
      <c r="H6727" s="10">
        <v>6175</v>
      </c>
      <c r="I6727" s="118">
        <f t="shared" ref="I6727:I6733" si="2078">H6727/E6727</f>
        <v>0.11002227171492204</v>
      </c>
      <c r="J6727" s="605">
        <v>118134</v>
      </c>
      <c r="K6727" s="22">
        <v>2139.5</v>
      </c>
      <c r="L6727" s="6">
        <v>2147.5</v>
      </c>
      <c r="M6727" s="125">
        <f t="shared" ref="M6727:M6729" si="2079">L6727-K6727</f>
        <v>8</v>
      </c>
      <c r="P6727" s="505">
        <v>15725</v>
      </c>
      <c r="Q6727" s="25">
        <f>180.47/1298.8</f>
        <v>0.13895133969818294</v>
      </c>
      <c r="W6727" s="285">
        <f t="shared" ref="W6727:W6733" si="2080">(P6727*Q6727)*(1+U6727)</f>
        <v>2185.0098167539268</v>
      </c>
      <c r="X6727" s="443">
        <f t="shared" ref="X6727:X6733" si="2081">P6727/K6727</f>
        <v>7.3498480953493806</v>
      </c>
    </row>
    <row r="6728" spans="1:24" ht="15" customHeight="1">
      <c r="A6728" s="607">
        <v>45142</v>
      </c>
      <c r="B6728" s="4">
        <v>55050</v>
      </c>
      <c r="C6728" s="5">
        <v>0</v>
      </c>
      <c r="D6728" s="5">
        <v>1150</v>
      </c>
      <c r="E6728" s="5">
        <v>57125</v>
      </c>
      <c r="F6728" s="4">
        <v>1000</v>
      </c>
      <c r="G6728" s="5">
        <v>0</v>
      </c>
      <c r="H6728" s="5">
        <v>7475</v>
      </c>
      <c r="I6728" s="118">
        <f t="shared" si="2078"/>
        <v>0.13085339168490154</v>
      </c>
      <c r="J6728" s="5">
        <v>119670</v>
      </c>
      <c r="K6728" s="22">
        <v>2128</v>
      </c>
      <c r="L6728" s="6">
        <v>2140</v>
      </c>
      <c r="M6728" s="125">
        <f t="shared" si="2079"/>
        <v>12</v>
      </c>
      <c r="P6728" s="505">
        <v>15775</v>
      </c>
      <c r="Q6728" s="25">
        <f>181.53/1303.9</f>
        <v>0.13922079914103841</v>
      </c>
      <c r="W6728" s="285">
        <f t="shared" si="2080"/>
        <v>2196.2081064498807</v>
      </c>
      <c r="X6728" s="443">
        <f t="shared" si="2081"/>
        <v>7.4130639097744364</v>
      </c>
    </row>
    <row r="6729" spans="1:24" ht="15" customHeight="1">
      <c r="A6729" s="608">
        <v>45145</v>
      </c>
      <c r="B6729" s="4">
        <v>54450</v>
      </c>
      <c r="C6729" s="5">
        <v>0</v>
      </c>
      <c r="D6729" s="5">
        <v>1150</v>
      </c>
      <c r="E6729" s="5">
        <v>56525</v>
      </c>
      <c r="F6729" s="4">
        <v>0</v>
      </c>
      <c r="G6729" s="5">
        <v>600</v>
      </c>
      <c r="H6729" s="5">
        <v>6875</v>
      </c>
      <c r="I6729" s="118">
        <f t="shared" si="2078"/>
        <v>0.12162759840778417</v>
      </c>
      <c r="J6729" s="5">
        <v>118151</v>
      </c>
      <c r="K6729" s="22">
        <v>2143</v>
      </c>
      <c r="L6729" s="6">
        <v>2154</v>
      </c>
      <c r="M6729" s="125">
        <f t="shared" si="2079"/>
        <v>11</v>
      </c>
      <c r="P6729" s="505">
        <v>15700</v>
      </c>
      <c r="Q6729" s="25">
        <f>181.16/1304.1</f>
        <v>0.13891572732152443</v>
      </c>
      <c r="W6729" s="285">
        <f t="shared" si="2080"/>
        <v>2180.9769189479334</v>
      </c>
      <c r="X6729" s="443">
        <f t="shared" si="2081"/>
        <v>7.3261782547830148</v>
      </c>
    </row>
    <row r="6730" spans="1:24" ht="15" customHeight="1">
      <c r="A6730" s="609">
        <v>45146</v>
      </c>
      <c r="B6730" s="4">
        <v>54450</v>
      </c>
      <c r="C6730" s="5">
        <v>0</v>
      </c>
      <c r="D6730" s="5">
        <v>1150</v>
      </c>
      <c r="E6730" s="5">
        <v>56525</v>
      </c>
      <c r="F6730" s="4">
        <v>0</v>
      </c>
      <c r="G6730" s="5">
        <v>0</v>
      </c>
      <c r="H6730" s="5">
        <v>6875</v>
      </c>
      <c r="I6730" s="118">
        <f t="shared" si="2078"/>
        <v>0.12162759840778417</v>
      </c>
      <c r="J6730" s="5">
        <v>120083</v>
      </c>
      <c r="K6730" s="22">
        <v>2110</v>
      </c>
      <c r="L6730" s="6">
        <v>2119.5</v>
      </c>
      <c r="M6730" s="125">
        <f t="shared" ref="M6730:M6735" si="2082">L6730-K6730</f>
        <v>9.5</v>
      </c>
      <c r="P6730" s="505">
        <v>15750</v>
      </c>
      <c r="Q6730" s="25">
        <f>181.9/1312.6</f>
        <v>0.13857991772055464</v>
      </c>
      <c r="W6730" s="285">
        <f t="shared" si="2080"/>
        <v>2182.6337040987355</v>
      </c>
      <c r="X6730" s="443">
        <f t="shared" si="2081"/>
        <v>7.4644549763033172</v>
      </c>
    </row>
    <row r="6731" spans="1:24" ht="15" customHeight="1">
      <c r="A6731" s="611">
        <v>45147</v>
      </c>
      <c r="B6731" s="4">
        <v>54400</v>
      </c>
      <c r="C6731" s="5">
        <v>0</v>
      </c>
      <c r="D6731" s="5">
        <v>1150</v>
      </c>
      <c r="E6731" s="5">
        <v>56475</v>
      </c>
      <c r="F6731" s="4">
        <v>300</v>
      </c>
      <c r="G6731" s="5">
        <v>350</v>
      </c>
      <c r="H6731" s="5">
        <v>6525</v>
      </c>
      <c r="I6731" s="118">
        <f t="shared" si="2078"/>
        <v>0.11553784860557768</v>
      </c>
      <c r="J6731" s="610">
        <v>120513</v>
      </c>
      <c r="K6731" s="22">
        <v>2119</v>
      </c>
      <c r="L6731" s="6">
        <v>2128</v>
      </c>
      <c r="M6731" s="125">
        <f t="shared" si="2082"/>
        <v>9</v>
      </c>
      <c r="P6731" s="505">
        <v>15725</v>
      </c>
      <c r="Q6731" s="25">
        <f>182.64/1318.3</f>
        <v>0.13854206174618827</v>
      </c>
      <c r="W6731" s="285">
        <f t="shared" si="2080"/>
        <v>2178.5739209588105</v>
      </c>
      <c r="X6731" s="443">
        <f t="shared" si="2081"/>
        <v>7.4209532798489857</v>
      </c>
    </row>
    <row r="6732" spans="1:24" ht="15" customHeight="1">
      <c r="A6732" s="613">
        <v>45148</v>
      </c>
      <c r="B6732" s="4">
        <v>53800</v>
      </c>
      <c r="C6732" s="5">
        <v>0</v>
      </c>
      <c r="D6732" s="5">
        <v>1150</v>
      </c>
      <c r="E6732" s="5">
        <v>55875</v>
      </c>
      <c r="F6732" s="4">
        <v>0</v>
      </c>
      <c r="G6732" s="5">
        <v>600</v>
      </c>
      <c r="H6732" s="5">
        <v>5925</v>
      </c>
      <c r="I6732" s="118">
        <f t="shared" si="2078"/>
        <v>0.10604026845637583</v>
      </c>
      <c r="J6732" s="612">
        <v>122556</v>
      </c>
      <c r="K6732" s="22">
        <v>2122</v>
      </c>
      <c r="L6732" s="6">
        <v>2132</v>
      </c>
      <c r="M6732" s="125">
        <f t="shared" si="2082"/>
        <v>10</v>
      </c>
      <c r="P6732" s="505">
        <v>15750</v>
      </c>
      <c r="Q6732" s="25">
        <f>182.32/1317.3</f>
        <v>0.13840431184999621</v>
      </c>
      <c r="W6732" s="285">
        <f t="shared" si="2080"/>
        <v>2179.8679116374406</v>
      </c>
      <c r="X6732" s="443">
        <f t="shared" si="2081"/>
        <v>7.4222431668237512</v>
      </c>
    </row>
    <row r="6733" spans="1:24" ht="15" customHeight="1">
      <c r="A6733" s="615">
        <v>45149</v>
      </c>
      <c r="B6733" s="4">
        <v>53800</v>
      </c>
      <c r="C6733" s="5">
        <v>0</v>
      </c>
      <c r="D6733" s="5">
        <v>1150</v>
      </c>
      <c r="E6733" s="5">
        <v>55875</v>
      </c>
      <c r="F6733" s="4">
        <v>0</v>
      </c>
      <c r="G6733" s="5">
        <v>0</v>
      </c>
      <c r="H6733" s="5">
        <v>6800</v>
      </c>
      <c r="I6733" s="118">
        <f t="shared" si="2078"/>
        <v>0.12170022371364653</v>
      </c>
      <c r="J6733" s="614">
        <v>120713</v>
      </c>
      <c r="K6733" s="22">
        <v>2118</v>
      </c>
      <c r="L6733" s="6">
        <v>2123</v>
      </c>
      <c r="M6733" s="125">
        <f t="shared" si="2082"/>
        <v>5</v>
      </c>
      <c r="P6733" s="505">
        <v>15725</v>
      </c>
      <c r="Q6733" s="25">
        <f>182.59/1321.1</f>
        <v>0.13821058209068202</v>
      </c>
      <c r="W6733" s="285">
        <f t="shared" si="2080"/>
        <v>2173.3614033759745</v>
      </c>
      <c r="X6733" s="443">
        <f t="shared" si="2081"/>
        <v>7.4244570349386212</v>
      </c>
    </row>
    <row r="6734" spans="1:24" ht="15" customHeight="1">
      <c r="A6734" s="617">
        <v>45152</v>
      </c>
      <c r="B6734" s="4">
        <v>54050</v>
      </c>
      <c r="C6734" s="616">
        <v>0</v>
      </c>
      <c r="D6734" s="616">
        <v>1150</v>
      </c>
      <c r="E6734" s="616">
        <v>56125</v>
      </c>
      <c r="F6734" s="4">
        <v>525</v>
      </c>
      <c r="G6734" s="616">
        <v>275</v>
      </c>
      <c r="H6734" s="616">
        <v>7225</v>
      </c>
      <c r="I6734" s="118">
        <f t="shared" ref="I6734" si="2083">H6734/E6734</f>
        <v>0.12873051224944321</v>
      </c>
      <c r="J6734" s="616">
        <v>121010</v>
      </c>
      <c r="K6734" s="22">
        <v>2088</v>
      </c>
      <c r="L6734" s="6">
        <v>2103</v>
      </c>
      <c r="M6734" s="125">
        <f t="shared" si="2082"/>
        <v>15</v>
      </c>
      <c r="P6734" s="505">
        <v>15700</v>
      </c>
      <c r="Q6734" s="25">
        <f>182.59/1321.1</f>
        <v>0.13821058209068202</v>
      </c>
      <c r="W6734" s="285">
        <f t="shared" ref="W6734" si="2084">(P6734*Q6734)*(1+U6734)</f>
        <v>2169.9061388237078</v>
      </c>
      <c r="X6734" s="443">
        <f t="shared" ref="X6734" si="2085">P6734/K6734</f>
        <v>7.5191570881226051</v>
      </c>
    </row>
    <row r="6735" spans="1:24" ht="15" customHeight="1">
      <c r="A6735" s="617">
        <v>45153</v>
      </c>
      <c r="B6735" s="4">
        <v>54025</v>
      </c>
      <c r="C6735" s="616">
        <v>0</v>
      </c>
      <c r="D6735" s="616">
        <v>1150</v>
      </c>
      <c r="E6735" s="616">
        <v>56100</v>
      </c>
      <c r="F6735" s="4">
        <v>300</v>
      </c>
      <c r="G6735" s="616">
        <v>325</v>
      </c>
      <c r="H6735" s="616">
        <v>6900</v>
      </c>
      <c r="I6735" s="118">
        <f t="shared" ref="I6735" si="2086">H6735/E6735</f>
        <v>0.12299465240641712</v>
      </c>
      <c r="J6735" s="616">
        <v>118916</v>
      </c>
      <c r="K6735" s="22">
        <v>2099</v>
      </c>
      <c r="L6735" s="6">
        <v>2107</v>
      </c>
      <c r="M6735" s="125">
        <f t="shared" si="2082"/>
        <v>8</v>
      </c>
      <c r="P6735" s="505">
        <v>15700</v>
      </c>
      <c r="Q6735" s="25">
        <f>183.28/1331.1</f>
        <v>0.13769063180827887</v>
      </c>
      <c r="W6735" s="285">
        <f t="shared" ref="W6735" si="2087">(P6735*Q6735)*(1+U6735)</f>
        <v>2161.7429193899784</v>
      </c>
      <c r="X6735" s="443">
        <f t="shared" ref="X6735" si="2088">P6735/K6735</f>
        <v>7.4797522629823723</v>
      </c>
    </row>
    <row r="6736" spans="1:24" ht="15" customHeight="1">
      <c r="A6736" s="619">
        <v>45154</v>
      </c>
      <c r="B6736" s="4">
        <v>54775</v>
      </c>
      <c r="C6736" s="618">
        <v>0</v>
      </c>
      <c r="D6736" s="618">
        <v>1150</v>
      </c>
      <c r="E6736" s="618">
        <v>56850</v>
      </c>
      <c r="F6736" s="4">
        <v>1025</v>
      </c>
      <c r="G6736" s="618">
        <v>275</v>
      </c>
      <c r="H6736" s="618">
        <v>6625</v>
      </c>
      <c r="I6736" s="118">
        <f t="shared" ref="I6736" si="2089">H6736/E6736</f>
        <v>0.11653474054529464</v>
      </c>
      <c r="J6736" s="618">
        <v>116823</v>
      </c>
      <c r="K6736" s="22">
        <v>2123</v>
      </c>
      <c r="L6736" s="6">
        <v>2125</v>
      </c>
      <c r="M6736" s="125">
        <f t="shared" ref="M6736" si="2090">L6736-K6736</f>
        <v>2</v>
      </c>
      <c r="P6736" s="505">
        <v>15825</v>
      </c>
      <c r="Q6736" s="25">
        <f>182.83/1338.3</f>
        <v>0.13661361428678176</v>
      </c>
      <c r="W6736" s="285">
        <f t="shared" ref="W6736" si="2091">(P6736*Q6736)*(1+U6736)</f>
        <v>2161.9104460883214</v>
      </c>
      <c r="X6736" s="443">
        <f t="shared" ref="X6736" si="2092">P6736/K6736</f>
        <v>7.4540744229863405</v>
      </c>
    </row>
    <row r="6737" spans="1:24" ht="15" customHeight="1">
      <c r="A6737" s="621">
        <v>45155</v>
      </c>
      <c r="B6737" s="4">
        <v>54350</v>
      </c>
      <c r="C6737" s="620">
        <v>0</v>
      </c>
      <c r="D6737" s="620">
        <v>1150</v>
      </c>
      <c r="E6737" s="620">
        <v>56425</v>
      </c>
      <c r="F6737" s="4">
        <v>0</v>
      </c>
      <c r="G6737" s="620">
        <v>425</v>
      </c>
      <c r="H6737" s="620">
        <v>6200</v>
      </c>
      <c r="I6737" s="118">
        <f t="shared" ref="I6737" si="2093">H6737/E6737</f>
        <v>0.10988037217545414</v>
      </c>
      <c r="J6737" s="620">
        <v>117783</v>
      </c>
      <c r="K6737" s="22">
        <v>2144</v>
      </c>
      <c r="L6737" s="6">
        <v>2139</v>
      </c>
      <c r="M6737" s="125">
        <f t="shared" ref="M6737" si="2094">L6737-K6737</f>
        <v>-5</v>
      </c>
      <c r="N6737" s="449"/>
      <c r="O6737" s="462"/>
      <c r="P6737" s="505">
        <v>15825</v>
      </c>
      <c r="Q6737" s="25">
        <f>181.41/1310.37</f>
        <v>0.1384418141440967</v>
      </c>
      <c r="W6737" s="285">
        <f t="shared" ref="W6737" si="2095">(P6737*Q6737)*(1+U6737)</f>
        <v>2190.8417088303304</v>
      </c>
      <c r="X6737" s="443">
        <f t="shared" ref="X6737" si="2096">P6737/K6737</f>
        <v>7.3810634328358207</v>
      </c>
    </row>
    <row r="6738" spans="1:24" ht="15" customHeight="1">
      <c r="A6738" s="623">
        <v>45156</v>
      </c>
      <c r="B6738" s="4">
        <v>54375</v>
      </c>
      <c r="C6738" s="622">
        <v>0</v>
      </c>
      <c r="D6738" s="622">
        <v>1150</v>
      </c>
      <c r="E6738" s="622">
        <v>56450</v>
      </c>
      <c r="F6738" s="4">
        <v>500</v>
      </c>
      <c r="G6738" s="622">
        <v>475</v>
      </c>
      <c r="H6738" s="622">
        <v>6825</v>
      </c>
      <c r="I6738" s="118">
        <f t="shared" ref="I6738" si="2097">H6738/E6738</f>
        <v>0.12090345438441098</v>
      </c>
      <c r="J6738" s="622">
        <v>119907</v>
      </c>
      <c r="K6738" s="22">
        <v>2154</v>
      </c>
      <c r="L6738" s="6">
        <v>2140</v>
      </c>
      <c r="M6738" s="125">
        <f t="shared" ref="M6738" si="2098">L6738-K6738</f>
        <v>-14</v>
      </c>
      <c r="N6738" s="449"/>
      <c r="O6738" s="462"/>
      <c r="P6738" s="505">
        <v>15825</v>
      </c>
      <c r="Q6738" s="25">
        <f>181.41/1310.37</f>
        <v>0.1384418141440967</v>
      </c>
      <c r="W6738" s="285">
        <f t="shared" ref="W6738" si="2099">(P6738*Q6738)*(1+U6738)</f>
        <v>2190.8417088303304</v>
      </c>
      <c r="X6738" s="443">
        <f t="shared" ref="X6738" si="2100">P6738/K6738</f>
        <v>7.3467966573816152</v>
      </c>
    </row>
    <row r="6739" spans="1:24" ht="15" customHeight="1">
      <c r="A6739" s="625">
        <v>45159</v>
      </c>
      <c r="B6739" s="4">
        <v>54150</v>
      </c>
      <c r="C6739" s="624">
        <v>0</v>
      </c>
      <c r="D6739" s="624">
        <v>1150</v>
      </c>
      <c r="E6739" s="624">
        <v>56225</v>
      </c>
      <c r="F6739" s="4">
        <v>0</v>
      </c>
      <c r="G6739" s="624">
        <v>225</v>
      </c>
      <c r="H6739" s="624">
        <v>6600</v>
      </c>
      <c r="I6739" s="118">
        <f t="shared" ref="I6739" si="2101">H6739/E6739</f>
        <v>0.11738550466874166</v>
      </c>
      <c r="J6739" s="624">
        <v>121251</v>
      </c>
      <c r="K6739" s="22">
        <v>2168</v>
      </c>
      <c r="L6739" s="6">
        <v>2147</v>
      </c>
      <c r="M6739" s="125">
        <f t="shared" ref="M6739" si="2102">L6739-K6739</f>
        <v>-21</v>
      </c>
      <c r="N6739" s="449"/>
      <c r="O6739" s="462"/>
      <c r="P6739" s="505">
        <v>15900</v>
      </c>
      <c r="Q6739" s="25">
        <f xml:space="preserve"> 183.13/1341.5</f>
        <v>0.13651136787178531</v>
      </c>
      <c r="W6739" s="285">
        <f t="shared" ref="W6739" si="2103">(P6739*Q6739)*(1+U6739)</f>
        <v>2170.5307491613862</v>
      </c>
      <c r="X6739" s="443">
        <f t="shared" ref="X6739" si="2104">P6739/K6739</f>
        <v>7.3339483394833946</v>
      </c>
    </row>
    <row r="6740" spans="1:24" ht="15" customHeight="1">
      <c r="A6740" s="627">
        <v>45160</v>
      </c>
      <c r="B6740" s="4">
        <v>53950</v>
      </c>
      <c r="C6740" s="626">
        <v>0</v>
      </c>
      <c r="D6740" s="626">
        <v>1150</v>
      </c>
      <c r="E6740" s="626">
        <v>56025</v>
      </c>
      <c r="F6740" s="4">
        <v>300</v>
      </c>
      <c r="G6740" s="626">
        <v>500</v>
      </c>
      <c r="H6740" s="626">
        <v>6100</v>
      </c>
      <c r="I6740" s="118">
        <f t="shared" ref="I6740" si="2105">H6740/E6740</f>
        <v>0.10887996430165105</v>
      </c>
      <c r="J6740" s="626">
        <v>123568</v>
      </c>
      <c r="K6740" s="22">
        <v>2195</v>
      </c>
      <c r="L6740" s="6">
        <v>2182</v>
      </c>
      <c r="M6740" s="125">
        <f t="shared" ref="M6740" si="2106">L6740-K6740</f>
        <v>-13</v>
      </c>
      <c r="N6740" s="449"/>
      <c r="O6740" s="462"/>
      <c r="P6740" s="505">
        <v>16000</v>
      </c>
      <c r="Q6740" s="25">
        <f>183.37/1338.7</f>
        <v>0.13697617091207889</v>
      </c>
      <c r="W6740" s="285">
        <f t="shared" ref="W6740" si="2107">(P6740*Q6740)*(1+U6740)</f>
        <v>2191.6187345932622</v>
      </c>
      <c r="X6740" s="443">
        <f t="shared" ref="X6740" si="2108">P6740/K6740</f>
        <v>7.2892938496583142</v>
      </c>
    </row>
    <row r="6741" spans="1:24" ht="15" customHeight="1">
      <c r="A6741" s="629">
        <v>45161</v>
      </c>
      <c r="B6741" s="4">
        <v>53200</v>
      </c>
      <c r="C6741" s="628">
        <v>0</v>
      </c>
      <c r="D6741" s="628">
        <v>1150</v>
      </c>
      <c r="E6741" s="628">
        <v>55275</v>
      </c>
      <c r="F6741" s="4">
        <v>0</v>
      </c>
      <c r="G6741" s="628">
        <v>750</v>
      </c>
      <c r="H6741" s="628">
        <v>5350</v>
      </c>
      <c r="I6741" s="118">
        <f>H6741/E6741</f>
        <v>9.6788783355947539E-2</v>
      </c>
      <c r="J6741" s="628">
        <v>123998</v>
      </c>
      <c r="K6741" s="22">
        <v>2190</v>
      </c>
      <c r="L6741" s="6">
        <v>2178</v>
      </c>
      <c r="M6741" s="125">
        <f t="shared" ref="M6741" si="2109">L6741-K6741</f>
        <v>-12</v>
      </c>
      <c r="N6741" s="449"/>
      <c r="O6741" s="462"/>
      <c r="P6741" s="505">
        <v>16100</v>
      </c>
      <c r="Q6741" s="25">
        <f>183.29/1338</f>
        <v>0.13698804185351271</v>
      </c>
      <c r="W6741" s="285">
        <f t="shared" ref="W6741" si="2110">(P6741*Q6741)*(1+U6741)</f>
        <v>2205.5074738415547</v>
      </c>
      <c r="X6741" s="443">
        <f t="shared" ref="X6741" si="2111">P6741/K6741</f>
        <v>7.3515981735159821</v>
      </c>
    </row>
    <row r="6742" spans="1:24" ht="15" customHeight="1">
      <c r="A6742" s="631">
        <v>45162</v>
      </c>
      <c r="B6742" s="4">
        <v>52600</v>
      </c>
      <c r="C6742" s="630">
        <v>0</v>
      </c>
      <c r="D6742" s="630">
        <v>1125</v>
      </c>
      <c r="E6742" s="630">
        <v>54650</v>
      </c>
      <c r="F6742" s="4">
        <v>0</v>
      </c>
      <c r="G6742" s="630">
        <v>625</v>
      </c>
      <c r="H6742" s="630">
        <v>5725</v>
      </c>
      <c r="I6742" s="118">
        <f>H6742/E6742</f>
        <v>0.10475754803293687</v>
      </c>
      <c r="J6742" s="630">
        <v>126581</v>
      </c>
      <c r="K6742" s="22">
        <v>2214</v>
      </c>
      <c r="L6742" s="6">
        <v>2189</v>
      </c>
      <c r="M6742" s="125">
        <f t="shared" ref="M6742:M6747" si="2112">L6742-K6742</f>
        <v>-25</v>
      </c>
      <c r="P6742" s="505">
        <v>16125</v>
      </c>
      <c r="Q6742" s="25">
        <f>181.54/1324</f>
        <v>0.13711480362537765</v>
      </c>
      <c r="W6742" s="285">
        <f t="shared" ref="W6742:W6745" si="2113">(P6742*Q6742)*(1+U6742)</f>
        <v>2210.9762084592144</v>
      </c>
      <c r="X6742" s="443">
        <f t="shared" ref="X6742:X6745" si="2114">P6742/K6742</f>
        <v>7.2831978319783195</v>
      </c>
    </row>
    <row r="6743" spans="1:24" ht="15" customHeight="1">
      <c r="A6743" s="632">
        <v>45163</v>
      </c>
      <c r="B6743" s="4">
        <v>52550</v>
      </c>
      <c r="C6743" s="5">
        <v>0</v>
      </c>
      <c r="D6743" s="5">
        <v>1100</v>
      </c>
      <c r="E6743" s="5">
        <v>54575</v>
      </c>
      <c r="F6743" s="4">
        <v>0</v>
      </c>
      <c r="G6743" s="5">
        <v>75</v>
      </c>
      <c r="H6743" s="5">
        <v>6650</v>
      </c>
      <c r="I6743" s="118">
        <f>H6743/E6743</f>
        <v>0.12185066422354558</v>
      </c>
      <c r="J6743" s="5">
        <v>128757</v>
      </c>
      <c r="K6743" s="22">
        <v>2178</v>
      </c>
      <c r="L6743" s="6">
        <v>2166</v>
      </c>
      <c r="M6743" s="125">
        <f t="shared" si="2112"/>
        <v>-12</v>
      </c>
      <c r="P6743" s="505">
        <v>16125</v>
      </c>
      <c r="Q6743" s="25">
        <f>182.1/1326.6</f>
        <v>0.13726820443238355</v>
      </c>
      <c r="W6743" s="285">
        <f t="shared" si="2113"/>
        <v>2213.449796472185</v>
      </c>
      <c r="X6743" s="443">
        <f t="shared" si="2114"/>
        <v>7.4035812672176311</v>
      </c>
    </row>
    <row r="6744" spans="1:24" ht="15" customHeight="1">
      <c r="A6744" s="633">
        <v>45166</v>
      </c>
      <c r="B6744" s="1318"/>
      <c r="C6744" s="1318"/>
      <c r="D6744" s="1318"/>
      <c r="E6744" s="1318"/>
      <c r="F6744" s="1318"/>
      <c r="G6744" s="1318"/>
      <c r="H6744" s="1318"/>
      <c r="I6744" s="1318"/>
      <c r="J6744" s="1318"/>
      <c r="K6744" s="1318"/>
      <c r="L6744" s="1318"/>
      <c r="M6744" s="1318"/>
      <c r="N6744" s="1318"/>
      <c r="O6744" s="1318"/>
      <c r="P6744" s="505">
        <v>16125</v>
      </c>
      <c r="Q6744" s="25">
        <f>181.65/1322.5</f>
        <v>0.13735349716446124</v>
      </c>
      <c r="W6744" s="285">
        <f t="shared" si="2113"/>
        <v>2214.8251417769375</v>
      </c>
      <c r="X6744" s="443" t="e">
        <f t="shared" si="2114"/>
        <v>#DIV/0!</v>
      </c>
    </row>
    <row r="6745" spans="1:24" ht="15" customHeight="1">
      <c r="A6745" s="635">
        <v>45167</v>
      </c>
      <c r="B6745" s="4">
        <v>52850</v>
      </c>
      <c r="C6745" s="634">
        <v>0</v>
      </c>
      <c r="D6745" s="634">
        <v>1100</v>
      </c>
      <c r="E6745" s="634">
        <v>54875</v>
      </c>
      <c r="F6745" s="4">
        <v>300</v>
      </c>
      <c r="G6745" s="634">
        <v>0</v>
      </c>
      <c r="H6745" s="634">
        <v>7650</v>
      </c>
      <c r="I6745" s="118">
        <f>H6745/E6745</f>
        <v>0.13940774487471527</v>
      </c>
      <c r="J6745" s="634">
        <v>127076</v>
      </c>
      <c r="K6745" s="22">
        <v>2175</v>
      </c>
      <c r="L6745" s="6">
        <v>2154</v>
      </c>
      <c r="M6745" s="125">
        <f t="shared" si="2112"/>
        <v>-21</v>
      </c>
      <c r="P6745" s="505">
        <v>16025</v>
      </c>
      <c r="Q6745" s="25">
        <f>181.34/1322</f>
        <v>0.13717095310136157</v>
      </c>
      <c r="W6745" s="285">
        <f t="shared" si="2113"/>
        <v>2198.1645234493189</v>
      </c>
      <c r="X6745" s="443">
        <f t="shared" si="2114"/>
        <v>7.3678160919540234</v>
      </c>
    </row>
    <row r="6746" spans="1:24" ht="15" customHeight="1">
      <c r="A6746" s="637">
        <v>45168</v>
      </c>
      <c r="B6746" s="4">
        <v>52650</v>
      </c>
      <c r="C6746" s="5">
        <v>0</v>
      </c>
      <c r="D6746" s="5">
        <v>1100</v>
      </c>
      <c r="E6746" s="5">
        <v>54675</v>
      </c>
      <c r="F6746" s="4">
        <v>0</v>
      </c>
      <c r="G6746" s="5">
        <v>200</v>
      </c>
      <c r="H6746" s="5">
        <v>8050</v>
      </c>
      <c r="I6746" s="118">
        <f>H6746/E6746</f>
        <v>0.14723365340649291</v>
      </c>
      <c r="J6746" s="636">
        <v>131103</v>
      </c>
      <c r="K6746" s="22">
        <v>2221</v>
      </c>
      <c r="L6746" s="6">
        <v>2203</v>
      </c>
      <c r="M6746" s="125">
        <f t="shared" si="2112"/>
        <v>-18</v>
      </c>
      <c r="P6746" s="505">
        <v>16050</v>
      </c>
      <c r="Q6746" s="25">
        <f>181.09/1321.4</f>
        <v>0.13704404419555016</v>
      </c>
      <c r="W6746" s="285">
        <f t="shared" ref="W6746:W6747" si="2115">(P6746*Q6746)*(1+U6746)</f>
        <v>2199.5569093385802</v>
      </c>
      <c r="X6746" s="443">
        <f t="shared" ref="X6746:X6747" si="2116">P6746/K6746</f>
        <v>7.2264745610085548</v>
      </c>
    </row>
    <row r="6747" spans="1:24" ht="15" customHeight="1">
      <c r="A6747" s="639">
        <v>45169</v>
      </c>
      <c r="B6747" s="4">
        <v>53075</v>
      </c>
      <c r="C6747" s="5">
        <v>0</v>
      </c>
      <c r="D6747" s="5">
        <v>1100</v>
      </c>
      <c r="E6747" s="5">
        <v>55100</v>
      </c>
      <c r="F6747" s="4">
        <v>475</v>
      </c>
      <c r="G6747" s="5">
        <v>50</v>
      </c>
      <c r="H6747" s="5">
        <v>8000</v>
      </c>
      <c r="I6747" s="118">
        <f>H6747/E6747</f>
        <v>0.14519056261343014</v>
      </c>
      <c r="J6747" s="5">
        <v>132483</v>
      </c>
      <c r="K6747" s="22">
        <v>2213.5</v>
      </c>
      <c r="L6747" s="6">
        <v>2192</v>
      </c>
      <c r="M6747" s="125">
        <f t="shared" si="2112"/>
        <v>-21.5</v>
      </c>
      <c r="N6747" s="448">
        <f>AVERAGE($K$6725:K6747)</f>
        <v>2151.7272727272725</v>
      </c>
      <c r="O6747" s="395">
        <f>AVERAGE($K$6567:K6747)</f>
        <v>2129.4041916167666</v>
      </c>
      <c r="P6747" s="505">
        <v>16075</v>
      </c>
      <c r="Q6747" s="25">
        <f>181.35/1322.3</f>
        <v>0.1371473946910686</v>
      </c>
      <c r="W6747" s="285">
        <f t="shared" si="2115"/>
        <v>2204.6443696589276</v>
      </c>
      <c r="X6747" s="443">
        <f t="shared" si="2116"/>
        <v>7.2622543483171444</v>
      </c>
    </row>
    <row r="6748" spans="1:24" ht="15" customHeight="1" thickBot="1">
      <c r="A6748" s="638"/>
      <c r="B6748" s="638"/>
      <c r="C6748" s="638"/>
      <c r="D6748" s="638"/>
      <c r="E6748" s="216"/>
      <c r="F6748" s="407"/>
      <c r="G6748" s="164"/>
      <c r="H6748" s="164"/>
      <c r="I6748" s="166"/>
      <c r="J6748" s="166"/>
      <c r="K6748" s="166"/>
      <c r="L6748" s="167"/>
      <c r="M6748" s="167"/>
      <c r="N6748" s="167"/>
      <c r="O6748" s="180"/>
      <c r="P6748" s="180"/>
      <c r="Q6748" s="180"/>
      <c r="R6748" s="248"/>
      <c r="S6748" s="249"/>
      <c r="T6748" s="249"/>
      <c r="U6748" s="152"/>
      <c r="V6748" s="153">
        <f>AVERAGE(P6725:P6747)</f>
        <v>15868.478260869566</v>
      </c>
      <c r="W6748" s="152"/>
      <c r="X6748" s="447">
        <f>V6748/N6747</f>
        <v>7.3747628066063307</v>
      </c>
    </row>
    <row r="6749" spans="1:24" ht="15" customHeight="1">
      <c r="A6749" s="641">
        <v>45170</v>
      </c>
      <c r="B6749" s="4">
        <v>52825</v>
      </c>
      <c r="C6749" s="640">
        <v>0</v>
      </c>
      <c r="D6749" s="640">
        <v>1100</v>
      </c>
      <c r="E6749" s="640">
        <v>54850</v>
      </c>
      <c r="F6749" s="4">
        <v>0</v>
      </c>
      <c r="G6749" s="640">
        <v>250</v>
      </c>
      <c r="H6749" s="640">
        <v>7750</v>
      </c>
      <c r="I6749" s="118">
        <f t="shared" ref="I6749:I6754" si="2117">H6749/E6749</f>
        <v>0.14129443938012762</v>
      </c>
      <c r="J6749" s="640">
        <v>131949</v>
      </c>
      <c r="K6749" s="22">
        <v>2306</v>
      </c>
      <c r="L6749" s="6">
        <v>2271</v>
      </c>
      <c r="M6749" s="125">
        <f t="shared" ref="M6749" si="2118">L6749-K6749</f>
        <v>-35</v>
      </c>
      <c r="P6749" s="505">
        <v>16450</v>
      </c>
      <c r="Q6749" s="25">
        <f>181.77/1319.2</f>
        <v>0.13778805336567618</v>
      </c>
      <c r="W6749" s="285">
        <f t="shared" ref="W6749" si="2119">(P6749*Q6749)*(1+U6749)</f>
        <v>2266.6134778653732</v>
      </c>
      <c r="X6749" s="443">
        <f t="shared" ref="X6749" si="2120">P6749/K6749</f>
        <v>7.1335646140503037</v>
      </c>
    </row>
    <row r="6750" spans="1:24" ht="15" customHeight="1">
      <c r="A6750" s="655">
        <v>45173</v>
      </c>
      <c r="B6750" s="4">
        <v>53325</v>
      </c>
      <c r="C6750" s="654">
        <v>0</v>
      </c>
      <c r="D6750" s="654">
        <v>1100</v>
      </c>
      <c r="E6750" s="654">
        <v>55350</v>
      </c>
      <c r="F6750" s="4">
        <v>500</v>
      </c>
      <c r="G6750" s="654">
        <v>0</v>
      </c>
      <c r="H6750" s="654">
        <v>7750</v>
      </c>
      <c r="I6750" s="118">
        <f t="shared" si="2117"/>
        <v>0.14001806684733514</v>
      </c>
      <c r="J6750" s="654">
        <v>135802</v>
      </c>
      <c r="K6750" s="22">
        <v>2238.5</v>
      </c>
      <c r="L6750" s="6">
        <v>2215</v>
      </c>
      <c r="M6750" s="125">
        <f t="shared" ref="M6750" si="2121">L6750-K6750</f>
        <v>-23.5</v>
      </c>
      <c r="N6750" s="449"/>
      <c r="O6750" s="462"/>
      <c r="P6750" s="505">
        <v>16400</v>
      </c>
      <c r="Q6750" s="25">
        <f>181.37/1319.3</f>
        <v>0.13747441825210341</v>
      </c>
      <c r="W6750" s="285">
        <f t="shared" ref="W6750" si="2122">(P6750*Q6750)*(1+U6750)</f>
        <v>2254.580459334496</v>
      </c>
      <c r="X6750" s="443">
        <f t="shared" ref="X6750" si="2123">P6750/K6750</f>
        <v>7.3263345990618722</v>
      </c>
    </row>
    <row r="6751" spans="1:24" ht="15" customHeight="1">
      <c r="A6751" s="657">
        <v>45174</v>
      </c>
      <c r="B6751" s="4">
        <v>53325</v>
      </c>
      <c r="C6751" s="656">
        <v>0</v>
      </c>
      <c r="D6751" s="656">
        <v>1100</v>
      </c>
      <c r="E6751" s="656">
        <v>55350</v>
      </c>
      <c r="F6751" s="656">
        <v>0</v>
      </c>
      <c r="G6751" s="656">
        <v>0</v>
      </c>
      <c r="H6751" s="656">
        <v>7750</v>
      </c>
      <c r="I6751" s="118">
        <f t="shared" si="2117"/>
        <v>0.14001806684733514</v>
      </c>
      <c r="J6751" s="656">
        <v>136580</v>
      </c>
      <c r="K6751" s="22">
        <v>2274</v>
      </c>
      <c r="L6751" s="6">
        <v>2220</v>
      </c>
      <c r="M6751" s="125">
        <f t="shared" ref="M6751" si="2124">L6751-K6751</f>
        <v>-54</v>
      </c>
      <c r="N6751" s="449"/>
      <c r="O6751" s="462"/>
      <c r="P6751" s="505">
        <v>16175</v>
      </c>
      <c r="Q6751" s="25">
        <f>181.65/1324.3</f>
        <v>0.13716680510458357</v>
      </c>
      <c r="W6751" s="285">
        <f t="shared" ref="W6751" si="2125">(P6751*Q6751)*(1+U6751)</f>
        <v>2218.6730725666393</v>
      </c>
      <c r="X6751" s="443">
        <f t="shared" ref="X6751" si="2126">P6751/K6751</f>
        <v>7.1130167106420403</v>
      </c>
    </row>
    <row r="6752" spans="1:24" ht="15" customHeight="1">
      <c r="A6752" s="659">
        <v>45175</v>
      </c>
      <c r="B6752" s="4">
        <v>53625</v>
      </c>
      <c r="C6752" s="658">
        <v>0</v>
      </c>
      <c r="D6752" s="658">
        <v>1100</v>
      </c>
      <c r="E6752" s="658">
        <v>55650</v>
      </c>
      <c r="F6752" s="658">
        <v>300</v>
      </c>
      <c r="G6752" s="658">
        <v>0</v>
      </c>
      <c r="H6752" s="658">
        <v>7750</v>
      </c>
      <c r="I6752" s="118">
        <f t="shared" si="2117"/>
        <v>0.13926325247079965</v>
      </c>
      <c r="J6752" s="658">
        <v>137054</v>
      </c>
      <c r="K6752" s="22">
        <v>2300</v>
      </c>
      <c r="L6752" s="6">
        <v>2231</v>
      </c>
      <c r="M6752" s="125">
        <f t="shared" ref="M6752" si="2127">L6752-K6752</f>
        <v>-69</v>
      </c>
      <c r="P6752" s="505">
        <v>16275</v>
      </c>
      <c r="Q6752" s="25">
        <f>182.04/1332.6</f>
        <v>0.13660513282305267</v>
      </c>
      <c r="W6752" s="285">
        <f t="shared" ref="W6752" si="2128">(P6752*Q6752)*(1+U6752)</f>
        <v>2223.2485366951823</v>
      </c>
      <c r="X6752" s="443">
        <f t="shared" ref="X6752" si="2129">P6752/K6752</f>
        <v>7.0760869565217392</v>
      </c>
    </row>
    <row r="6753" spans="1:24" ht="15" customHeight="1">
      <c r="A6753" s="661">
        <v>45176</v>
      </c>
      <c r="B6753" s="4">
        <v>52250</v>
      </c>
      <c r="C6753" s="660">
        <v>0</v>
      </c>
      <c r="D6753" s="660">
        <v>1100</v>
      </c>
      <c r="E6753" s="660">
        <v>54275</v>
      </c>
      <c r="F6753" s="660">
        <v>0</v>
      </c>
      <c r="G6753" s="660">
        <v>1375</v>
      </c>
      <c r="H6753" s="660">
        <v>6375</v>
      </c>
      <c r="I6753" s="118">
        <f t="shared" si="2117"/>
        <v>0.11745739290649471</v>
      </c>
      <c r="J6753" s="660">
        <v>137777</v>
      </c>
      <c r="K6753" s="22">
        <v>2287</v>
      </c>
      <c r="L6753" s="6">
        <v>2232.5</v>
      </c>
      <c r="M6753" s="125">
        <f t="shared" ref="M6753" si="2130">L6753-K6753</f>
        <v>-54.5</v>
      </c>
      <c r="P6753" s="505">
        <v>16425</v>
      </c>
      <c r="Q6753" s="25">
        <f>182.02/1334.7</f>
        <v>0.13637521540421069</v>
      </c>
      <c r="W6753" s="285">
        <f t="shared" ref="W6753" si="2131">(P6753*Q6753)*(1+U6753)</f>
        <v>2239.9629130141607</v>
      </c>
      <c r="X6753" s="443">
        <f t="shared" ref="X6753" si="2132">P6753/K6753</f>
        <v>7.1818976825535632</v>
      </c>
    </row>
    <row r="6754" spans="1:24" ht="15" customHeight="1">
      <c r="A6754" s="663">
        <v>45177</v>
      </c>
      <c r="B6754" s="4">
        <v>50950</v>
      </c>
      <c r="C6754" s="664">
        <v>0</v>
      </c>
      <c r="D6754" s="664">
        <v>1100</v>
      </c>
      <c r="E6754" s="662">
        <v>52975</v>
      </c>
      <c r="F6754" s="662">
        <v>0</v>
      </c>
      <c r="G6754" s="662">
        <v>1300</v>
      </c>
      <c r="H6754" s="662">
        <v>5075</v>
      </c>
      <c r="I6754" s="118">
        <f t="shared" si="2117"/>
        <v>9.5799905615856537E-2</v>
      </c>
      <c r="J6754" s="662">
        <v>139889</v>
      </c>
      <c r="K6754" s="22">
        <v>2285</v>
      </c>
      <c r="L6754" s="6">
        <v>2219</v>
      </c>
      <c r="M6754" s="125">
        <f t="shared" ref="M6754" si="2133">L6754-K6754</f>
        <v>-66</v>
      </c>
      <c r="P6754" s="505">
        <v>16500</v>
      </c>
      <c r="Q6754" s="25">
        <f>181.35/1333.4</f>
        <v>0.13600569971501422</v>
      </c>
      <c r="W6754" s="285">
        <f t="shared" ref="W6754" si="2134">(P6754*Q6754)*(1+U6754)</f>
        <v>2244.0940452977347</v>
      </c>
      <c r="X6754" s="443">
        <f t="shared" ref="X6754" si="2135">P6754/K6754</f>
        <v>7.2210065645514225</v>
      </c>
    </row>
    <row r="6755" spans="1:24" ht="15" customHeight="1">
      <c r="A6755" s="666">
        <v>45180</v>
      </c>
      <c r="B6755" s="4">
        <v>50525</v>
      </c>
      <c r="C6755" s="665">
        <v>0</v>
      </c>
      <c r="D6755" s="665">
        <v>1100</v>
      </c>
      <c r="E6755" s="665">
        <v>52550</v>
      </c>
      <c r="F6755" s="665">
        <v>500</v>
      </c>
      <c r="G6755" s="665">
        <v>925</v>
      </c>
      <c r="H6755" s="665">
        <v>4175</v>
      </c>
      <c r="I6755" s="118">
        <f t="shared" ref="I6755:I6757" si="2136">H6755/E6755</f>
        <v>7.9448144624167466E-2</v>
      </c>
      <c r="J6755" s="665">
        <v>140961</v>
      </c>
      <c r="K6755" s="22">
        <v>2314</v>
      </c>
      <c r="L6755" s="6">
        <v>2245</v>
      </c>
      <c r="M6755" s="125">
        <f t="shared" ref="M6755:M6757" si="2137">L6755-K6755</f>
        <v>-69</v>
      </c>
      <c r="P6755" s="505">
        <v>16500</v>
      </c>
      <c r="Q6755" s="25">
        <f>181.82/1332.4</f>
        <v>0.13646052236565595</v>
      </c>
      <c r="W6755" s="285">
        <f t="shared" ref="W6755:W6757" si="2138">(P6755*Q6755)*(1+U6755)</f>
        <v>2251.5986190333233</v>
      </c>
      <c r="X6755" s="443">
        <f t="shared" ref="X6755:X6757" si="2139">P6755/K6755</f>
        <v>7.1305099394987037</v>
      </c>
    </row>
    <row r="6756" spans="1:24" ht="15" customHeight="1">
      <c r="A6756" s="668">
        <v>45181</v>
      </c>
      <c r="B6756" s="4">
        <v>51100</v>
      </c>
      <c r="C6756" s="5">
        <v>0</v>
      </c>
      <c r="D6756" s="5">
        <v>1100</v>
      </c>
      <c r="E6756" s="5">
        <v>53125</v>
      </c>
      <c r="F6756" s="4">
        <v>1100</v>
      </c>
      <c r="G6756" s="5">
        <v>525</v>
      </c>
      <c r="H6756" s="5">
        <v>3650</v>
      </c>
      <c r="I6756" s="118">
        <f t="shared" si="2136"/>
        <v>6.8705882352941172E-2</v>
      </c>
      <c r="J6756" s="5">
        <v>142561</v>
      </c>
      <c r="K6756" s="22">
        <v>2288</v>
      </c>
      <c r="L6756" s="6">
        <v>2233</v>
      </c>
      <c r="M6756" s="125">
        <f t="shared" si="2137"/>
        <v>-55</v>
      </c>
      <c r="P6756" s="505">
        <v>16525</v>
      </c>
      <c r="Q6756" s="25">
        <f>181.46/1326.1</f>
        <v>0.1368373425835156</v>
      </c>
      <c r="W6756" s="285">
        <f t="shared" si="2138"/>
        <v>2261.2370861925951</v>
      </c>
      <c r="X6756" s="443">
        <f t="shared" si="2139"/>
        <v>7.222465034965035</v>
      </c>
    </row>
    <row r="6757" spans="1:24" ht="15" customHeight="1">
      <c r="A6757" s="668">
        <v>45182</v>
      </c>
      <c r="B6757" s="4">
        <v>51100</v>
      </c>
      <c r="C6757" s="667">
        <v>0</v>
      </c>
      <c r="D6757" s="667">
        <v>1100</v>
      </c>
      <c r="E6757" s="5">
        <v>53125</v>
      </c>
      <c r="F6757" s="4">
        <v>0</v>
      </c>
      <c r="G6757" s="5">
        <v>0</v>
      </c>
      <c r="H6757" s="5">
        <v>3650</v>
      </c>
      <c r="I6757" s="118">
        <f t="shared" si="2136"/>
        <v>6.8705882352941172E-2</v>
      </c>
      <c r="J6757" s="5">
        <v>145425</v>
      </c>
      <c r="K6757" s="22">
        <v>2260</v>
      </c>
      <c r="L6757" s="6">
        <v>2210</v>
      </c>
      <c r="M6757" s="125">
        <f t="shared" si="2137"/>
        <v>-50</v>
      </c>
      <c r="P6757" s="505">
        <v>16425</v>
      </c>
      <c r="Q6757" s="25">
        <f>181.9/1327.8</f>
        <v>0.13699352312095195</v>
      </c>
      <c r="W6757" s="285">
        <f t="shared" si="2138"/>
        <v>2250.1186172616358</v>
      </c>
      <c r="X6757" s="443">
        <f t="shared" si="2139"/>
        <v>7.2676991150442474</v>
      </c>
    </row>
    <row r="6758" spans="1:24" ht="15" customHeight="1">
      <c r="A6758" s="670">
        <v>45183</v>
      </c>
      <c r="B6758" s="4">
        <v>52075</v>
      </c>
      <c r="C6758" s="669">
        <v>0</v>
      </c>
      <c r="D6758" s="669">
        <v>1100</v>
      </c>
      <c r="E6758" s="669">
        <v>54100</v>
      </c>
      <c r="F6758" s="4">
        <v>975</v>
      </c>
      <c r="G6758" s="669">
        <v>0</v>
      </c>
      <c r="H6758" s="669">
        <v>3650</v>
      </c>
      <c r="I6758" s="118">
        <f t="shared" ref="I6758:I6760" si="2140">H6758/E6758</f>
        <v>6.7467652495378921E-2</v>
      </c>
      <c r="J6758" s="669">
        <v>147968</v>
      </c>
      <c r="K6758" s="22">
        <v>2279</v>
      </c>
      <c r="L6758" s="6">
        <v>2230</v>
      </c>
      <c r="M6758" s="125">
        <f t="shared" ref="M6758:M6760" si="2141">L6758-K6758</f>
        <v>-49</v>
      </c>
      <c r="P6758" s="505">
        <v>16425</v>
      </c>
      <c r="Q6758" s="25">
        <f>182.26/1326.1</f>
        <v>0.13744061533820978</v>
      </c>
      <c r="W6758" s="285">
        <f t="shared" ref="W6758:W6760" si="2142">(P6758*Q6758)*(1+U6758)</f>
        <v>2257.4621069300956</v>
      </c>
      <c r="X6758" s="443">
        <f t="shared" ref="X6758:X6760" si="2143">P6758/K6758</f>
        <v>7.2071083808688021</v>
      </c>
    </row>
    <row r="6759" spans="1:24" ht="15" customHeight="1">
      <c r="A6759" s="672">
        <v>45184</v>
      </c>
      <c r="B6759" s="4">
        <v>52075</v>
      </c>
      <c r="C6759" s="5">
        <v>0</v>
      </c>
      <c r="D6759" s="5">
        <v>1100</v>
      </c>
      <c r="E6759" s="5">
        <v>54100</v>
      </c>
      <c r="F6759" s="4">
        <v>0</v>
      </c>
      <c r="G6759" s="5">
        <v>0</v>
      </c>
      <c r="H6759" s="5">
        <v>3650</v>
      </c>
      <c r="I6759" s="118">
        <f t="shared" si="2140"/>
        <v>6.7467652495378921E-2</v>
      </c>
      <c r="J6759" s="671">
        <v>146243</v>
      </c>
      <c r="K6759" s="22">
        <v>2281</v>
      </c>
      <c r="L6759" s="6">
        <v>2245.5</v>
      </c>
      <c r="M6759" s="125">
        <f t="shared" si="2141"/>
        <v>-35.5</v>
      </c>
      <c r="P6759" s="505">
        <v>16575</v>
      </c>
      <c r="Q6759" s="25">
        <f>182.58/1327.6</f>
        <v>0.1375263633624586</v>
      </c>
      <c r="W6759" s="285">
        <f t="shared" si="2142"/>
        <v>2279.4994727327512</v>
      </c>
      <c r="X6759" s="443">
        <f t="shared" si="2143"/>
        <v>7.2665497588776855</v>
      </c>
    </row>
    <row r="6760" spans="1:24" ht="15" customHeight="1">
      <c r="A6760" s="673">
        <v>45187</v>
      </c>
      <c r="B6760" s="4">
        <v>58950</v>
      </c>
      <c r="C6760" s="5">
        <v>0</v>
      </c>
      <c r="D6760" s="5">
        <v>1100</v>
      </c>
      <c r="E6760" s="5">
        <v>60975</v>
      </c>
      <c r="F6760" s="4">
        <v>6875</v>
      </c>
      <c r="G6760" s="5">
        <v>0</v>
      </c>
      <c r="H6760" s="5">
        <v>2450</v>
      </c>
      <c r="I6760" s="118">
        <f t="shared" si="2140"/>
        <v>4.0180401804018037E-2</v>
      </c>
      <c r="J6760" s="5">
        <v>145975</v>
      </c>
      <c r="K6760" s="22">
        <v>2266</v>
      </c>
      <c r="L6760" s="6">
        <v>2241.5</v>
      </c>
      <c r="M6760" s="125">
        <f t="shared" si="2141"/>
        <v>-24.5</v>
      </c>
      <c r="N6760" s="449"/>
      <c r="O6760" s="462"/>
      <c r="P6760" s="505">
        <v>16750</v>
      </c>
      <c r="Q6760" s="25">
        <f>182.06/1326</f>
        <v>0.13730015082956259</v>
      </c>
      <c r="W6760" s="285">
        <f t="shared" si="2142"/>
        <v>2299.7775263951735</v>
      </c>
      <c r="X6760" s="443">
        <f t="shared" si="2143"/>
        <v>7.3918799646954989</v>
      </c>
    </row>
    <row r="6761" spans="1:24" ht="15" customHeight="1">
      <c r="A6761" s="675">
        <v>45188</v>
      </c>
      <c r="B6761" s="4">
        <v>68725</v>
      </c>
      <c r="C6761" s="674">
        <v>0</v>
      </c>
      <c r="D6761" s="674">
        <v>1400</v>
      </c>
      <c r="E6761" s="674">
        <v>71050</v>
      </c>
      <c r="F6761" s="4">
        <v>10075</v>
      </c>
      <c r="G6761" s="674">
        <v>0</v>
      </c>
      <c r="H6761" s="674">
        <v>1850</v>
      </c>
      <c r="I6761" s="118">
        <f t="shared" ref="I6761:I6763" si="2144">H6761/E6761</f>
        <v>2.6038001407459536E-2</v>
      </c>
      <c r="J6761" s="674">
        <v>146943</v>
      </c>
      <c r="K6761" s="22">
        <v>2236</v>
      </c>
      <c r="L6761" s="6">
        <v>2222</v>
      </c>
      <c r="M6761" s="125">
        <f t="shared" ref="M6761:M6763" si="2145">L6761-K6761</f>
        <v>-14</v>
      </c>
      <c r="P6761" s="505">
        <v>16775</v>
      </c>
      <c r="Q6761" s="25">
        <f>181.28/1323.7</f>
        <v>0.13694945984739745</v>
      </c>
      <c r="W6761" s="285">
        <f t="shared" ref="W6761:W6763" si="2146">(P6761*Q6761)*(1+U6761)</f>
        <v>2297.3271889400921</v>
      </c>
      <c r="X6761" s="443">
        <f t="shared" ref="X6761:X6763" si="2147">P6761/K6761</f>
        <v>7.502236135957066</v>
      </c>
    </row>
    <row r="6762" spans="1:24" ht="15" customHeight="1">
      <c r="A6762" s="677">
        <v>45189</v>
      </c>
      <c r="B6762" s="4">
        <v>71550</v>
      </c>
      <c r="C6762" s="5">
        <v>0</v>
      </c>
      <c r="D6762" s="5">
        <v>1400</v>
      </c>
      <c r="E6762" s="5">
        <v>73875</v>
      </c>
      <c r="F6762" s="4">
        <v>2875</v>
      </c>
      <c r="G6762" s="5">
        <v>50</v>
      </c>
      <c r="H6762" s="5">
        <v>1800</v>
      </c>
      <c r="I6762" s="118">
        <f t="shared" si="2144"/>
        <v>2.4365482233502538E-2</v>
      </c>
      <c r="J6762" s="676">
        <v>146263</v>
      </c>
      <c r="K6762" s="22">
        <v>2237.5</v>
      </c>
      <c r="L6762" s="6">
        <v>2229.5</v>
      </c>
      <c r="M6762" s="125">
        <f t="shared" si="2145"/>
        <v>-8</v>
      </c>
      <c r="P6762" s="505">
        <v>16825</v>
      </c>
      <c r="Q6762" s="25">
        <f>181.86/1329.3</f>
        <v>0.13680884676145341</v>
      </c>
      <c r="W6762" s="285">
        <f t="shared" si="2146"/>
        <v>2301.8088467614539</v>
      </c>
      <c r="X6762" s="443">
        <f t="shared" si="2147"/>
        <v>7.5195530726256985</v>
      </c>
    </row>
    <row r="6763" spans="1:24" ht="15" customHeight="1">
      <c r="A6763" s="679">
        <v>45190</v>
      </c>
      <c r="B6763" s="4">
        <v>71975</v>
      </c>
      <c r="C6763" s="5">
        <v>0</v>
      </c>
      <c r="D6763" s="5">
        <v>1400</v>
      </c>
      <c r="E6763" s="5">
        <v>74300</v>
      </c>
      <c r="F6763" s="4">
        <v>500</v>
      </c>
      <c r="G6763" s="5">
        <v>75</v>
      </c>
      <c r="H6763" s="5">
        <v>1725</v>
      </c>
      <c r="I6763" s="118">
        <f t="shared" si="2144"/>
        <v>2.3216689098250337E-2</v>
      </c>
      <c r="J6763" s="678">
        <v>144010</v>
      </c>
      <c r="K6763" s="22">
        <v>2204</v>
      </c>
      <c r="L6763" s="6">
        <v>2185</v>
      </c>
      <c r="M6763" s="125">
        <f t="shared" si="2145"/>
        <v>-19</v>
      </c>
      <c r="P6763" s="505">
        <v>16575</v>
      </c>
      <c r="Q6763" s="25">
        <f>183.35/1339.1</f>
        <v>0.13692031961765366</v>
      </c>
      <c r="W6763" s="285">
        <f t="shared" si="2146"/>
        <v>2269.4542976626094</v>
      </c>
      <c r="X6763" s="443">
        <f t="shared" si="2147"/>
        <v>7.5204174228675136</v>
      </c>
    </row>
    <row r="6764" spans="1:24" ht="15" customHeight="1">
      <c r="A6764" s="681">
        <v>45191</v>
      </c>
      <c r="B6764" s="4">
        <v>71975</v>
      </c>
      <c r="C6764" s="680">
        <v>0</v>
      </c>
      <c r="D6764" s="680">
        <v>1400</v>
      </c>
      <c r="E6764" s="680">
        <v>74300</v>
      </c>
      <c r="F6764" s="4">
        <v>0</v>
      </c>
      <c r="G6764" s="680">
        <v>0</v>
      </c>
      <c r="H6764" s="680">
        <v>1725</v>
      </c>
      <c r="I6764" s="118">
        <f t="shared" ref="I6764" si="2148">H6764/E6764</f>
        <v>2.3216689098250337E-2</v>
      </c>
      <c r="J6764" s="680">
        <v>143323</v>
      </c>
      <c r="K6764" s="22">
        <v>2216</v>
      </c>
      <c r="L6764" s="6">
        <v>2197</v>
      </c>
      <c r="M6764" s="125">
        <f t="shared" ref="M6764" si="2149">L6764-K6764</f>
        <v>-19</v>
      </c>
      <c r="P6764" s="505">
        <v>16625</v>
      </c>
      <c r="Q6764" s="25">
        <f>183.16/1337.6</f>
        <v>0.13693181818181818</v>
      </c>
      <c r="W6764" s="285">
        <f t="shared" ref="W6764" si="2150">(P6764*Q6764)*(1+U6764)</f>
        <v>2276.4914772727275</v>
      </c>
      <c r="X6764" s="443">
        <f t="shared" ref="X6764" si="2151">P6764/K6764</f>
        <v>7.5022563176895307</v>
      </c>
    </row>
    <row r="6765" spans="1:24" ht="15" customHeight="1">
      <c r="A6765" s="683">
        <v>45194</v>
      </c>
      <c r="B6765" s="4">
        <v>73875</v>
      </c>
      <c r="C6765" s="682">
        <v>0</v>
      </c>
      <c r="D6765" s="682">
        <v>1400</v>
      </c>
      <c r="E6765" s="682">
        <v>76200</v>
      </c>
      <c r="F6765" s="4">
        <v>1950</v>
      </c>
      <c r="G6765" s="682">
        <v>50</v>
      </c>
      <c r="H6765" s="682">
        <v>1775</v>
      </c>
      <c r="I6765" s="118">
        <f t="shared" ref="I6765" si="2152">H6765/E6765</f>
        <v>2.3293963254593177E-2</v>
      </c>
      <c r="J6765" s="682">
        <v>143403</v>
      </c>
      <c r="K6765" s="22">
        <v>2240</v>
      </c>
      <c r="L6765" s="6">
        <v>2202</v>
      </c>
      <c r="M6765" s="125">
        <f t="shared" ref="M6765" si="2153">L6765-K6765</f>
        <v>-38</v>
      </c>
      <c r="P6765" s="505">
        <v>16650</v>
      </c>
      <c r="Q6765" s="25">
        <f>182.63/1333.7</f>
        <v>0.13693484291819749</v>
      </c>
      <c r="W6765" s="285">
        <f t="shared" ref="W6765" si="2154">(P6765*Q6765)*(1+U6765)</f>
        <v>2279.9651345879884</v>
      </c>
      <c r="X6765" s="443">
        <f t="shared" ref="X6765" si="2155">P6765/K6765</f>
        <v>7.4330357142857144</v>
      </c>
    </row>
    <row r="6766" spans="1:24" ht="15" customHeight="1">
      <c r="A6766" s="685">
        <v>45195</v>
      </c>
      <c r="B6766" s="4">
        <v>74100</v>
      </c>
      <c r="C6766" s="684">
        <v>0</v>
      </c>
      <c r="D6766" s="684">
        <v>1700</v>
      </c>
      <c r="E6766" s="684">
        <v>76725</v>
      </c>
      <c r="F6766" s="4">
        <v>600</v>
      </c>
      <c r="G6766" s="684">
        <v>75</v>
      </c>
      <c r="H6766" s="684">
        <v>1700</v>
      </c>
      <c r="I6766" s="118">
        <f t="shared" ref="I6766" si="2156">H6766/E6766</f>
        <v>2.2157054415118931E-2</v>
      </c>
      <c r="J6766" s="684">
        <v>143395</v>
      </c>
      <c r="K6766" s="22">
        <v>2222.5</v>
      </c>
      <c r="L6766" s="6">
        <v>2190</v>
      </c>
      <c r="M6766" s="125">
        <f t="shared" ref="M6766" si="2157">L6766-K6766</f>
        <v>-32.5</v>
      </c>
      <c r="N6766" s="449"/>
      <c r="O6766" s="462"/>
      <c r="P6766" s="505">
        <v>16625</v>
      </c>
      <c r="Q6766" s="25">
        <f>184.27/1344.8</f>
        <v>0.13702409280190364</v>
      </c>
      <c r="W6766" s="285">
        <f t="shared" ref="W6766" si="2158">(P6766*Q6766)*(1+U6766)</f>
        <v>2278.0255428316482</v>
      </c>
      <c r="X6766" s="443">
        <f t="shared" ref="X6766" si="2159">P6766/K6766</f>
        <v>7.4803149606299213</v>
      </c>
    </row>
    <row r="6767" spans="1:24" ht="15" customHeight="1">
      <c r="A6767" s="687">
        <v>45196</v>
      </c>
      <c r="B6767" s="4">
        <v>74025</v>
      </c>
      <c r="C6767" s="686">
        <v>0</v>
      </c>
      <c r="D6767" s="686">
        <v>1700</v>
      </c>
      <c r="E6767" s="686">
        <v>76650</v>
      </c>
      <c r="F6767" s="4">
        <v>0</v>
      </c>
      <c r="G6767" s="686">
        <v>75</v>
      </c>
      <c r="H6767" s="686">
        <v>1625</v>
      </c>
      <c r="I6767" s="118">
        <f t="shared" ref="I6767" si="2160">H6767/E6767</f>
        <v>2.1200260926288322E-2</v>
      </c>
      <c r="J6767" s="686">
        <v>143724</v>
      </c>
      <c r="K6767" s="22">
        <v>2185.5</v>
      </c>
      <c r="L6767" s="6">
        <v>2160.5</v>
      </c>
      <c r="M6767" s="125">
        <f t="shared" ref="M6767" si="2161">L6767-K6767</f>
        <v>-25</v>
      </c>
      <c r="N6767" s="449"/>
      <c r="O6767" s="462"/>
      <c r="P6767" s="505">
        <v>16500</v>
      </c>
      <c r="Q6767" s="25">
        <f>184.27/1344.8</f>
        <v>0.13702409280190364</v>
      </c>
      <c r="W6767" s="285">
        <f t="shared" ref="W6767" si="2162">(P6767*Q6767)*(1+U6767)</f>
        <v>2260.8975312314101</v>
      </c>
      <c r="X6767" s="443">
        <f t="shared" ref="X6767" si="2163">P6767/K6767</f>
        <v>7.5497597803706249</v>
      </c>
    </row>
    <row r="6768" spans="1:24" ht="15" customHeight="1">
      <c r="A6768" s="689">
        <v>45197</v>
      </c>
      <c r="B6768" s="4">
        <v>74000</v>
      </c>
      <c r="C6768" s="688">
        <v>0</v>
      </c>
      <c r="D6768" s="688">
        <v>1650</v>
      </c>
      <c r="E6768" s="688">
        <v>76575</v>
      </c>
      <c r="F6768" s="4">
        <v>0</v>
      </c>
      <c r="G6768" s="688">
        <v>75</v>
      </c>
      <c r="H6768" s="688">
        <v>2025</v>
      </c>
      <c r="I6768" s="118">
        <f t="shared" ref="I6768" si="2164">H6768/E6768</f>
        <v>2.6444662095984329E-2</v>
      </c>
      <c r="J6768" s="688">
        <v>143059</v>
      </c>
      <c r="K6768" s="22">
        <v>2181</v>
      </c>
      <c r="L6768" s="6">
        <v>2165</v>
      </c>
      <c r="M6768" s="125">
        <f t="shared" ref="M6768" si="2165">L6768-K6768</f>
        <v>-16</v>
      </c>
      <c r="N6768" s="449"/>
      <c r="O6768" s="462"/>
      <c r="P6768" s="505">
        <v>16425</v>
      </c>
      <c r="Q6768" s="25">
        <f>184.27/1344.8</f>
        <v>0.13702409280190364</v>
      </c>
      <c r="W6768" s="285">
        <f t="shared" ref="W6768" si="2166">(P6768*Q6768)*(1+U6768)</f>
        <v>2250.6207242712671</v>
      </c>
      <c r="X6768" s="443">
        <f t="shared" ref="X6768" si="2167">P6768/K6768</f>
        <v>7.5309491059147184</v>
      </c>
    </row>
    <row r="6769" spans="1:24" ht="15" customHeight="1">
      <c r="A6769" s="692">
        <v>45198</v>
      </c>
      <c r="B6769" s="4">
        <v>75750</v>
      </c>
      <c r="C6769" s="691">
        <v>0</v>
      </c>
      <c r="D6769" s="691">
        <v>1650</v>
      </c>
      <c r="E6769" s="691">
        <v>78325</v>
      </c>
      <c r="F6769" s="4">
        <v>1750</v>
      </c>
      <c r="G6769" s="4">
        <v>0</v>
      </c>
      <c r="H6769" s="691">
        <v>3975</v>
      </c>
      <c r="I6769" s="118">
        <f t="shared" ref="I6769" si="2168">H6769/E6769</f>
        <v>5.0750079795722949E-2</v>
      </c>
      <c r="J6769" s="691">
        <v>143967</v>
      </c>
      <c r="K6769" s="22">
        <v>2209</v>
      </c>
      <c r="L6769" s="6">
        <v>2183</v>
      </c>
      <c r="M6769" s="125">
        <f t="shared" ref="M6769" si="2169">L6769-K6769</f>
        <v>-26</v>
      </c>
      <c r="N6769" s="448">
        <f>AVERAGE($K$6749:K6769)</f>
        <v>2252.8571428571427</v>
      </c>
      <c r="O6769" s="395">
        <f>AVERAGE($K$6567:K6769)</f>
        <v>2143.1941489361702</v>
      </c>
      <c r="P6769" s="505"/>
      <c r="Q6769" s="25">
        <f>184.27/1344.8</f>
        <v>0.13702409280190364</v>
      </c>
      <c r="W6769" s="285">
        <f t="shared" ref="W6769" si="2170">(P6769*Q6769)*(1+U6769)</f>
        <v>0</v>
      </c>
      <c r="X6769" s="443">
        <f t="shared" ref="X6769" si="2171">P6769/K6769</f>
        <v>0</v>
      </c>
    </row>
    <row r="6770" spans="1:24" ht="15" customHeight="1" thickBot="1">
      <c r="A6770" s="690"/>
      <c r="B6770" s="690"/>
      <c r="C6770" s="690"/>
      <c r="D6770" s="690"/>
      <c r="E6770" s="216"/>
      <c r="F6770" s="407"/>
      <c r="G6770" s="164"/>
      <c r="H6770" s="164"/>
      <c r="I6770" s="166"/>
      <c r="J6770" s="166"/>
      <c r="K6770" s="166"/>
      <c r="L6770" s="167"/>
      <c r="M6770" s="167"/>
      <c r="N6770" s="167"/>
      <c r="O6770" s="180"/>
      <c r="P6770" s="180"/>
      <c r="Q6770" s="180"/>
      <c r="R6770" s="248"/>
      <c r="S6770" s="249"/>
      <c r="T6770" s="249"/>
      <c r="U6770" s="152"/>
      <c r="V6770" s="153">
        <f>AVERAGE(P6749:P6769)</f>
        <v>16521.25</v>
      </c>
      <c r="W6770" s="152"/>
      <c r="X6770" s="447">
        <f>V6770/N6769</f>
        <v>7.33346544071021</v>
      </c>
    </row>
    <row r="6771" spans="1:24" ht="15" customHeight="1">
      <c r="A6771" s="694">
        <v>45201</v>
      </c>
      <c r="B6771" s="4">
        <v>75750</v>
      </c>
      <c r="C6771" s="693">
        <v>0</v>
      </c>
      <c r="D6771" s="693">
        <v>1650</v>
      </c>
      <c r="E6771" s="693">
        <v>78325</v>
      </c>
      <c r="F6771" s="4">
        <v>0</v>
      </c>
      <c r="G6771" s="4">
        <v>0</v>
      </c>
      <c r="H6771" s="693">
        <v>4000</v>
      </c>
      <c r="I6771" s="118">
        <f t="shared" ref="I6771" si="2172">H6771/E6771</f>
        <v>5.1069262687519948E-2</v>
      </c>
      <c r="J6771" s="693">
        <v>142999</v>
      </c>
      <c r="K6771" s="22">
        <v>2197</v>
      </c>
      <c r="L6771" s="6">
        <v>2173.5</v>
      </c>
      <c r="M6771" s="125">
        <f t="shared" ref="M6771" si="2173">L6771-K6771</f>
        <v>-23.5</v>
      </c>
      <c r="N6771" s="450"/>
      <c r="O6771" s="556"/>
      <c r="P6771" s="505"/>
      <c r="Q6771" s="25">
        <f>184.27/1344.8</f>
        <v>0.13702409280190364</v>
      </c>
      <c r="W6771" s="285">
        <f t="shared" ref="W6771" si="2174">(P6771*Q6771)*(1+U6771)</f>
        <v>0</v>
      </c>
      <c r="X6771" s="443">
        <f t="shared" ref="X6771" si="2175">P6771/K6771</f>
        <v>0</v>
      </c>
    </row>
    <row r="6772" spans="1:24" ht="15" customHeight="1">
      <c r="A6772" s="696">
        <v>45202</v>
      </c>
      <c r="B6772" s="4">
        <v>76025</v>
      </c>
      <c r="C6772" s="695">
        <v>0</v>
      </c>
      <c r="D6772" s="695">
        <v>1650</v>
      </c>
      <c r="E6772" s="695">
        <v>78600</v>
      </c>
      <c r="F6772" s="4">
        <v>300</v>
      </c>
      <c r="G6772" s="4">
        <v>25</v>
      </c>
      <c r="H6772" s="695">
        <v>3975</v>
      </c>
      <c r="I6772" s="118">
        <f t="shared" ref="I6772" si="2176">H6772/E6772</f>
        <v>5.0572519083969467E-2</v>
      </c>
      <c r="J6772" s="695">
        <v>144832</v>
      </c>
      <c r="K6772" s="22">
        <v>2141</v>
      </c>
      <c r="L6772" s="6">
        <v>2129</v>
      </c>
      <c r="M6772" s="125">
        <f t="shared" ref="M6772" si="2177">L6772-K6772</f>
        <v>-12</v>
      </c>
      <c r="N6772" s="449"/>
      <c r="O6772" s="462"/>
      <c r="P6772" s="505"/>
      <c r="Q6772" s="25">
        <f>184.27/1344.8</f>
        <v>0.13702409280190364</v>
      </c>
      <c r="W6772" s="285">
        <f t="shared" ref="W6772" si="2178">(P6772*Q6772)*(1+U6772)</f>
        <v>0</v>
      </c>
      <c r="X6772" s="443">
        <f t="shared" ref="X6772" si="2179">P6772/K6772</f>
        <v>0</v>
      </c>
    </row>
    <row r="6773" spans="1:24" ht="15" customHeight="1">
      <c r="A6773" s="698">
        <v>45203</v>
      </c>
      <c r="B6773" s="4">
        <v>76325</v>
      </c>
      <c r="C6773" s="697">
        <v>0</v>
      </c>
      <c r="D6773" s="697">
        <v>1650</v>
      </c>
      <c r="E6773" s="697">
        <v>78900</v>
      </c>
      <c r="F6773" s="4">
        <v>300</v>
      </c>
      <c r="G6773" s="4">
        <v>0</v>
      </c>
      <c r="H6773" s="697">
        <v>3975</v>
      </c>
      <c r="I6773" s="118">
        <f t="shared" ref="I6773" si="2180">H6773/E6773</f>
        <v>5.038022813688213E-2</v>
      </c>
      <c r="J6773" s="697">
        <v>145852</v>
      </c>
      <c r="K6773" s="22">
        <v>2150.5</v>
      </c>
      <c r="L6773" s="6">
        <v>2134</v>
      </c>
      <c r="M6773" s="125">
        <f t="shared" ref="M6773" si="2181">L6773-K6773</f>
        <v>-16.5</v>
      </c>
      <c r="N6773" s="449"/>
      <c r="O6773" s="462"/>
      <c r="P6773" s="505"/>
      <c r="Q6773" s="25">
        <f>185.76/1360.6</f>
        <v>0.13652800235190357</v>
      </c>
      <c r="W6773" s="285">
        <f t="shared" ref="W6773" si="2182">(P6773*Q6773)*(1+U6773)</f>
        <v>0</v>
      </c>
      <c r="X6773" s="443">
        <f t="shared" ref="X6773" si="2183">P6773/K6773</f>
        <v>0</v>
      </c>
    </row>
    <row r="6774" spans="1:24" ht="15" customHeight="1">
      <c r="A6774" s="700">
        <v>45204</v>
      </c>
      <c r="B6774" s="4">
        <v>81025</v>
      </c>
      <c r="C6774" s="699">
        <v>0</v>
      </c>
      <c r="D6774" s="699">
        <v>1650</v>
      </c>
      <c r="E6774" s="699">
        <v>83600</v>
      </c>
      <c r="F6774" s="4">
        <v>4950</v>
      </c>
      <c r="G6774" s="4">
        <v>250</v>
      </c>
      <c r="H6774" s="10">
        <v>3725</v>
      </c>
      <c r="I6774" s="118">
        <f t="shared" ref="I6774:I6779" si="2184">H6774/E6774</f>
        <v>4.455741626794258E-2</v>
      </c>
      <c r="J6774" s="699">
        <v>145383</v>
      </c>
      <c r="K6774" s="22">
        <v>2141.5</v>
      </c>
      <c r="L6774" s="6">
        <v>2113.5</v>
      </c>
      <c r="M6774" s="125">
        <f t="shared" ref="M6774:M6779" si="2185">L6774-K6774</f>
        <v>-28</v>
      </c>
      <c r="P6774" s="505"/>
      <c r="Q6774" s="25">
        <f>184.31/1349.4</f>
        <v>0.13658663109530161</v>
      </c>
      <c r="W6774" s="285">
        <f t="shared" ref="W6774:W6776" si="2186">(P6774*Q6774)*(1+U6774)</f>
        <v>0</v>
      </c>
      <c r="X6774" s="443">
        <f t="shared" ref="X6774:X6776" si="2187">P6774/K6774</f>
        <v>0</v>
      </c>
    </row>
    <row r="6775" spans="1:24" ht="15" customHeight="1">
      <c r="A6775" s="701">
        <v>45205</v>
      </c>
      <c r="B6775" s="4">
        <v>82025</v>
      </c>
      <c r="C6775" s="5">
        <v>0</v>
      </c>
      <c r="D6775" s="5">
        <v>1650</v>
      </c>
      <c r="E6775" s="5">
        <v>84600</v>
      </c>
      <c r="F6775" s="4">
        <v>1000</v>
      </c>
      <c r="G6775" s="5">
        <v>0</v>
      </c>
      <c r="H6775" s="5">
        <v>3725</v>
      </c>
      <c r="I6775" s="118">
        <f t="shared" si="2184"/>
        <v>4.4030732860520096E-2</v>
      </c>
      <c r="J6775" s="5">
        <v>144491</v>
      </c>
      <c r="K6775" s="22">
        <v>2207</v>
      </c>
      <c r="L6775" s="6">
        <v>2161</v>
      </c>
      <c r="M6775" s="125">
        <f t="shared" si="2185"/>
        <v>-46</v>
      </c>
      <c r="P6775" s="505">
        <f>16550-125</f>
        <v>16425</v>
      </c>
      <c r="W6775" s="285">
        <f t="shared" si="2186"/>
        <v>0</v>
      </c>
      <c r="X6775" s="443">
        <f t="shared" si="2187"/>
        <v>7.4422292705029456</v>
      </c>
    </row>
    <row r="6776" spans="1:24" ht="15" customHeight="1">
      <c r="A6776" s="701">
        <v>45208</v>
      </c>
      <c r="B6776" s="4">
        <v>82325</v>
      </c>
      <c r="C6776" s="5">
        <v>0</v>
      </c>
      <c r="D6776" s="5">
        <v>1650</v>
      </c>
      <c r="E6776" s="5">
        <v>84900</v>
      </c>
      <c r="F6776" s="4">
        <v>675</v>
      </c>
      <c r="G6776" s="5">
        <v>375</v>
      </c>
      <c r="H6776" s="5">
        <v>3350</v>
      </c>
      <c r="I6776" s="118">
        <f t="shared" si="2184"/>
        <v>3.9458186101295645E-2</v>
      </c>
      <c r="J6776" s="5">
        <v>144127</v>
      </c>
      <c r="K6776" s="22">
        <v>2176.5</v>
      </c>
      <c r="L6776" s="6">
        <v>2146</v>
      </c>
      <c r="M6776" s="125">
        <f t="shared" si="2185"/>
        <v>-30.5</v>
      </c>
      <c r="P6776" s="505">
        <v>16550</v>
      </c>
      <c r="Q6776" s="25">
        <f>184.44/1348.3</f>
        <v>0.13679448194022104</v>
      </c>
      <c r="W6776" s="285">
        <f t="shared" si="2186"/>
        <v>2263.9486761106582</v>
      </c>
      <c r="X6776" s="443">
        <f t="shared" si="2187"/>
        <v>7.6039512979554331</v>
      </c>
    </row>
    <row r="6777" spans="1:24" ht="15" customHeight="1">
      <c r="A6777" s="703">
        <v>45209</v>
      </c>
      <c r="B6777" s="4">
        <v>82725</v>
      </c>
      <c r="C6777" s="5">
        <v>0</v>
      </c>
      <c r="D6777" s="5">
        <v>1650</v>
      </c>
      <c r="E6777" s="5">
        <v>85300</v>
      </c>
      <c r="F6777" s="4">
        <v>400</v>
      </c>
      <c r="G6777" s="5">
        <v>0</v>
      </c>
      <c r="H6777" s="5">
        <v>3350</v>
      </c>
      <c r="I6777" s="118">
        <f t="shared" si="2184"/>
        <v>3.9273153575615477E-2</v>
      </c>
      <c r="J6777" s="702">
        <v>142091</v>
      </c>
      <c r="K6777" s="22">
        <v>2127</v>
      </c>
      <c r="L6777" s="6">
        <v>2103</v>
      </c>
      <c r="M6777" s="125">
        <f t="shared" si="2185"/>
        <v>-24</v>
      </c>
      <c r="P6777" s="505">
        <v>16400</v>
      </c>
      <c r="Q6777" s="25">
        <f>185/1348.3</f>
        <v>0.13720981977304755</v>
      </c>
      <c r="W6777" s="285">
        <f t="shared" ref="W6777" si="2188">(P6777*Q6777)*(1+U6777)</f>
        <v>2250.2410442779797</v>
      </c>
      <c r="X6777" s="443">
        <f t="shared" ref="X6777" si="2189">P6777/K6777</f>
        <v>7.7103902209684998</v>
      </c>
    </row>
    <row r="6778" spans="1:24" ht="15" customHeight="1">
      <c r="A6778" s="705">
        <v>45210</v>
      </c>
      <c r="B6778" s="4">
        <v>82625</v>
      </c>
      <c r="C6778" s="5">
        <v>0</v>
      </c>
      <c r="D6778" s="5">
        <v>1650</v>
      </c>
      <c r="E6778" s="5">
        <v>85200</v>
      </c>
      <c r="F6778" s="4">
        <v>0</v>
      </c>
      <c r="G6778" s="5">
        <v>100</v>
      </c>
      <c r="H6778" s="5">
        <v>3250</v>
      </c>
      <c r="I6778" s="118">
        <f t="shared" si="2184"/>
        <v>3.8145539906103289E-2</v>
      </c>
      <c r="J6778" s="704">
        <v>142381</v>
      </c>
      <c r="K6778" s="22">
        <v>2132</v>
      </c>
      <c r="L6778" s="6">
        <v>2100</v>
      </c>
      <c r="M6778" s="125">
        <f t="shared" si="2185"/>
        <v>-32</v>
      </c>
      <c r="P6778" s="505">
        <v>16325</v>
      </c>
      <c r="Q6778" s="25">
        <f>183.68/1339.6</f>
        <v>0.13711555688265156</v>
      </c>
      <c r="W6778" s="285">
        <f t="shared" ref="W6778" si="2190">(P6778*Q6778)*(1+U6778)</f>
        <v>2238.4114661092867</v>
      </c>
      <c r="X6778" s="443">
        <f t="shared" ref="X6778" si="2191">P6778/K6778</f>
        <v>7.6571294559099439</v>
      </c>
    </row>
    <row r="6779" spans="1:24" ht="15" customHeight="1">
      <c r="A6779" s="706">
        <v>45211</v>
      </c>
      <c r="B6779" s="4">
        <v>85000</v>
      </c>
      <c r="C6779" s="5">
        <v>0</v>
      </c>
      <c r="D6779" s="5">
        <v>1650</v>
      </c>
      <c r="E6779" s="5">
        <v>88075</v>
      </c>
      <c r="F6779" s="4">
        <v>2875</v>
      </c>
      <c r="G6779" s="5">
        <v>0</v>
      </c>
      <c r="H6779" s="5">
        <v>3250</v>
      </c>
      <c r="I6779" s="118">
        <f t="shared" si="2184"/>
        <v>3.6900369003690037E-2</v>
      </c>
      <c r="J6779" s="704">
        <v>140264</v>
      </c>
      <c r="K6779" s="22">
        <v>2104</v>
      </c>
      <c r="L6779" s="6">
        <v>2078</v>
      </c>
      <c r="M6779" s="125">
        <f t="shared" si="2185"/>
        <v>-26</v>
      </c>
      <c r="P6779" s="505">
        <f>16250+75</f>
        <v>16325</v>
      </c>
      <c r="Q6779" s="25">
        <f>183.63/1339.9</f>
        <v>0.13704754086125828</v>
      </c>
      <c r="W6779" s="285">
        <f t="shared" ref="W6779" si="2192">(P6779*Q6779)*(1+U6779)</f>
        <v>2237.3011045600415</v>
      </c>
      <c r="X6779" s="443">
        <f t="shared" ref="X6779" si="2193">P6779/K6779</f>
        <v>7.7590304182509504</v>
      </c>
    </row>
    <row r="6780" spans="1:24" ht="15" customHeight="1">
      <c r="A6780" s="708">
        <v>45212</v>
      </c>
      <c r="B6780" s="4">
        <v>88125</v>
      </c>
      <c r="C6780" s="707">
        <v>0</v>
      </c>
      <c r="D6780" s="707">
        <v>1650</v>
      </c>
      <c r="E6780" s="707">
        <v>91200</v>
      </c>
      <c r="F6780" s="4">
        <v>330</v>
      </c>
      <c r="G6780" s="707">
        <v>175</v>
      </c>
      <c r="H6780" s="707">
        <v>3075</v>
      </c>
      <c r="I6780" s="118">
        <f t="shared" ref="I6780" si="2194">H6780/E6780</f>
        <v>3.3717105263157895E-2</v>
      </c>
      <c r="J6780" s="707">
        <v>139907</v>
      </c>
      <c r="K6780" s="22">
        <v>2067</v>
      </c>
      <c r="L6780" s="6">
        <v>2045</v>
      </c>
      <c r="M6780" s="125">
        <f t="shared" ref="M6780" si="2195">L6780-K6780</f>
        <v>-22</v>
      </c>
      <c r="P6780" s="505">
        <v>16250</v>
      </c>
      <c r="Q6780" s="25">
        <f>184.7/1349.4</f>
        <v>0.13687564843634206</v>
      </c>
      <c r="W6780" s="285">
        <f t="shared" ref="W6780" si="2196">(P6780*Q6780)*(1+U6780)</f>
        <v>2224.2292870905585</v>
      </c>
      <c r="X6780" s="443">
        <f t="shared" ref="X6780" si="2197">P6780/K6780</f>
        <v>7.8616352201257858</v>
      </c>
    </row>
    <row r="6781" spans="1:24" ht="15" customHeight="1">
      <c r="A6781" s="710">
        <v>45215</v>
      </c>
      <c r="B6781" s="4">
        <v>91650</v>
      </c>
      <c r="C6781" s="709">
        <v>0</v>
      </c>
      <c r="D6781" s="709">
        <v>1650</v>
      </c>
      <c r="E6781" s="709">
        <v>96225</v>
      </c>
      <c r="F6781" s="4">
        <v>5050</v>
      </c>
      <c r="G6781" s="709">
        <v>25</v>
      </c>
      <c r="H6781" s="709">
        <v>3050</v>
      </c>
      <c r="I6781" s="118">
        <f t="shared" ref="I6781" si="2198">H6781/E6781</f>
        <v>3.1696544557027799E-2</v>
      </c>
      <c r="J6781" s="709">
        <v>140081</v>
      </c>
      <c r="K6781" s="22">
        <v>2095</v>
      </c>
      <c r="L6781" s="6">
        <v>2047</v>
      </c>
      <c r="M6781" s="125">
        <f t="shared" ref="M6781" si="2199">L6781-K6781</f>
        <v>-48</v>
      </c>
      <c r="P6781" s="505">
        <v>16200</v>
      </c>
      <c r="Q6781" s="25">
        <f>185.25/1353.8</f>
        <v>0.13683705126311124</v>
      </c>
      <c r="W6781" s="285">
        <f t="shared" ref="W6781" si="2200">(P6781*Q6781)*(1+U6781)</f>
        <v>2216.760230462402</v>
      </c>
      <c r="X6781" s="443">
        <f t="shared" ref="X6781" si="2201">P6781/K6781</f>
        <v>7.7326968973747015</v>
      </c>
    </row>
    <row r="6782" spans="1:24" ht="15" customHeight="1">
      <c r="A6782" s="712">
        <v>45216</v>
      </c>
      <c r="B6782" s="4">
        <v>98725</v>
      </c>
      <c r="C6782" s="711">
        <v>0</v>
      </c>
      <c r="D6782" s="711">
        <v>1650</v>
      </c>
      <c r="E6782" s="711">
        <v>105625</v>
      </c>
      <c r="F6782" s="4">
        <v>10750</v>
      </c>
      <c r="G6782" s="711">
        <v>1350</v>
      </c>
      <c r="H6782" s="711">
        <v>1700</v>
      </c>
      <c r="I6782" s="118">
        <f t="shared" ref="I6782" si="2202">H6782/E6782</f>
        <v>1.6094674556213016E-2</v>
      </c>
      <c r="J6782" s="711">
        <v>136483</v>
      </c>
      <c r="K6782" s="22">
        <v>2085</v>
      </c>
      <c r="L6782" s="6">
        <v>2064</v>
      </c>
      <c r="M6782" s="125">
        <f t="shared" ref="M6782" si="2203">L6782-K6782</f>
        <v>-21</v>
      </c>
      <c r="P6782" s="505">
        <v>16175</v>
      </c>
      <c r="Q6782" s="25">
        <f>184.75/1351.9</f>
        <v>0.13665951623640801</v>
      </c>
      <c r="W6782" s="285">
        <f t="shared" ref="W6782" si="2204">(P6782*Q6782)*(1+U6782)</f>
        <v>2210.4676751238994</v>
      </c>
      <c r="X6782" s="443">
        <f t="shared" ref="X6782" si="2205">P6782/K6782</f>
        <v>7.7577937649880093</v>
      </c>
    </row>
    <row r="6783" spans="1:24" ht="15" customHeight="1">
      <c r="A6783" s="714">
        <v>45217</v>
      </c>
      <c r="B6783" s="4">
        <v>101200</v>
      </c>
      <c r="C6783" s="713">
        <v>0</v>
      </c>
      <c r="D6783" s="713">
        <v>1650</v>
      </c>
      <c r="E6783" s="713">
        <v>108100</v>
      </c>
      <c r="F6783" s="4">
        <v>2500</v>
      </c>
      <c r="G6783" s="713">
        <v>25</v>
      </c>
      <c r="H6783" s="713">
        <v>1425</v>
      </c>
      <c r="I6783" s="118">
        <f t="shared" ref="I6783" si="2206">H6783/E6783</f>
        <v>1.3182238667900092E-2</v>
      </c>
      <c r="J6783" s="713">
        <v>133221</v>
      </c>
      <c r="K6783" s="22">
        <v>2132</v>
      </c>
      <c r="L6783" s="6">
        <v>2111.5</v>
      </c>
      <c r="M6783" s="125">
        <f t="shared" ref="M6783" si="2207">L6783-K6783</f>
        <v>-20.5</v>
      </c>
      <c r="N6783" s="452"/>
      <c r="O6783" s="719"/>
      <c r="P6783" s="505">
        <v>16300</v>
      </c>
      <c r="Q6783" s="25">
        <f>184.76/1351.7</f>
        <v>0.13668713471924243</v>
      </c>
      <c r="W6783" s="285">
        <f t="shared" ref="W6783" si="2208">(P6783*Q6783)*(1+U6783)</f>
        <v>2228.0002959236517</v>
      </c>
      <c r="X6783" s="443">
        <f t="shared" ref="X6783" si="2209">P6783/K6783</f>
        <v>7.6454033771106946</v>
      </c>
    </row>
    <row r="6784" spans="1:24" ht="15" customHeight="1">
      <c r="A6784" s="716">
        <v>45218</v>
      </c>
      <c r="B6784" s="4">
        <v>101775</v>
      </c>
      <c r="C6784" s="715">
        <v>0</v>
      </c>
      <c r="D6784" s="715">
        <v>1650</v>
      </c>
      <c r="E6784" s="715">
        <v>108675</v>
      </c>
      <c r="F6784" s="4">
        <v>625</v>
      </c>
      <c r="G6784" s="715">
        <v>50</v>
      </c>
      <c r="H6784" s="715">
        <v>1375</v>
      </c>
      <c r="I6784" s="118">
        <f t="shared" ref="I6784" si="2210">H6784/E6784</f>
        <v>1.2652403956751783E-2</v>
      </c>
      <c r="J6784" s="715">
        <v>131522</v>
      </c>
      <c r="K6784" s="22">
        <v>2117</v>
      </c>
      <c r="L6784" s="6">
        <v>2098</v>
      </c>
      <c r="M6784" s="125">
        <f t="shared" ref="M6784" si="2211">L6784-K6784</f>
        <v>-19</v>
      </c>
      <c r="N6784" s="449"/>
      <c r="O6784" s="462"/>
      <c r="P6784" s="505">
        <v>16325</v>
      </c>
      <c r="Q6784" s="25">
        <f>185.41/1357.6</f>
        <v>0.13657189157336477</v>
      </c>
      <c r="W6784" s="285">
        <f t="shared" ref="W6784" si="2212">(P6784*Q6784)*(1+U6784)</f>
        <v>2229.5361299351798</v>
      </c>
      <c r="X6784" s="443">
        <f t="shared" ref="X6784" si="2213">P6784/K6784</f>
        <v>7.7113840340103916</v>
      </c>
    </row>
    <row r="6785" spans="1:24" ht="15" customHeight="1">
      <c r="A6785" s="718">
        <v>45219</v>
      </c>
      <c r="B6785" s="4">
        <v>103775</v>
      </c>
      <c r="C6785" s="717">
        <v>0</v>
      </c>
      <c r="D6785" s="717">
        <v>1650</v>
      </c>
      <c r="E6785" s="717">
        <v>110675</v>
      </c>
      <c r="F6785" s="4">
        <v>2000</v>
      </c>
      <c r="G6785" s="717">
        <v>0</v>
      </c>
      <c r="H6785" s="717">
        <v>1375</v>
      </c>
      <c r="I6785" s="118">
        <f t="shared" ref="I6785" si="2214">H6785/E6785</f>
        <v>1.2423763270838039E-2</v>
      </c>
      <c r="J6785" s="717">
        <v>131517</v>
      </c>
      <c r="K6785" s="22">
        <v>2129</v>
      </c>
      <c r="L6785" s="6">
        <v>2082.5</v>
      </c>
      <c r="M6785" s="125">
        <f t="shared" ref="M6785" si="2215">L6785-K6785</f>
        <v>-46.5</v>
      </c>
      <c r="N6785" s="449"/>
      <c r="O6785" s="462"/>
      <c r="P6785" s="505">
        <v>16375</v>
      </c>
      <c r="Q6785" s="25">
        <f>184.76/1355.1</f>
        <v>0.13634418124123682</v>
      </c>
      <c r="W6785" s="285">
        <f t="shared" ref="W6785" si="2216">(P6785*Q6785)*(1+U6785)</f>
        <v>2232.6359678252529</v>
      </c>
      <c r="X6785" s="443">
        <f t="shared" ref="X6785" si="2217">P6785/K6785</f>
        <v>7.691404415218412</v>
      </c>
    </row>
    <row r="6786" spans="1:24" ht="15" customHeight="1">
      <c r="A6786" s="721">
        <v>45222</v>
      </c>
      <c r="B6786" s="4">
        <v>108325</v>
      </c>
      <c r="C6786" s="724">
        <v>0</v>
      </c>
      <c r="D6786" s="720">
        <v>1650</v>
      </c>
      <c r="E6786" s="720">
        <v>115225</v>
      </c>
      <c r="F6786" s="4">
        <v>4550</v>
      </c>
      <c r="G6786" s="720">
        <v>0</v>
      </c>
      <c r="H6786" s="720">
        <v>1375</v>
      </c>
      <c r="I6786" s="118">
        <f t="shared" ref="I6786" si="2218">H6786/E6786</f>
        <v>1.1933174224343675E-2</v>
      </c>
      <c r="J6786" s="720">
        <v>131730</v>
      </c>
      <c r="K6786" s="22">
        <v>2171</v>
      </c>
      <c r="L6786" s="6">
        <v>2095</v>
      </c>
      <c r="M6786" s="125">
        <f t="shared" ref="M6786" si="2219">L6786-K6786</f>
        <v>-76</v>
      </c>
      <c r="N6786" s="449"/>
      <c r="O6786" s="462"/>
      <c r="P6786" s="505">
        <v>16400</v>
      </c>
      <c r="Q6786" s="25">
        <f>184.48/1353.2</f>
        <v>0.13632870233520542</v>
      </c>
      <c r="W6786" s="285">
        <f t="shared" ref="W6786" si="2220">(P6786*Q6786)*(1+U6786)</f>
        <v>2235.7907182973686</v>
      </c>
      <c r="X6786" s="443">
        <f t="shared" ref="X6786" si="2221">P6786/K6786</f>
        <v>7.5541225241824046</v>
      </c>
    </row>
    <row r="6787" spans="1:24" ht="15" customHeight="1">
      <c r="A6787" s="723">
        <v>45223</v>
      </c>
      <c r="B6787" s="4">
        <v>109975</v>
      </c>
      <c r="C6787" s="724">
        <v>0</v>
      </c>
      <c r="D6787" s="722">
        <v>1950</v>
      </c>
      <c r="E6787" s="722">
        <v>117175</v>
      </c>
      <c r="F6787" s="4">
        <v>1950</v>
      </c>
      <c r="G6787" s="722">
        <v>0</v>
      </c>
      <c r="H6787" s="722">
        <v>1375</v>
      </c>
      <c r="I6787" s="118">
        <f t="shared" ref="I6787" si="2222">H6787/E6787</f>
        <v>1.1734585022402389E-2</v>
      </c>
      <c r="J6787" s="722">
        <v>129951</v>
      </c>
      <c r="K6787" s="22">
        <v>2157</v>
      </c>
      <c r="L6787" s="6">
        <v>2101</v>
      </c>
      <c r="M6787" s="125">
        <f t="shared" ref="M6787" si="2223">L6787-K6787</f>
        <v>-56</v>
      </c>
      <c r="N6787" s="449"/>
      <c r="O6787" s="462"/>
      <c r="P6787" s="505">
        <v>16350</v>
      </c>
      <c r="Q6787" s="25">
        <f>183.94/1343.9</f>
        <v>0.13687030284991442</v>
      </c>
      <c r="W6787" s="285">
        <f t="shared" ref="W6787" si="2224">(P6787*Q6787)*(1+U6787)</f>
        <v>2237.8294515961006</v>
      </c>
      <c r="X6787" s="443">
        <f t="shared" ref="X6787" si="2225">P6787/K6787</f>
        <v>7.5799721835883167</v>
      </c>
    </row>
    <row r="6788" spans="1:24" ht="15" customHeight="1">
      <c r="A6788" s="726">
        <v>45224</v>
      </c>
      <c r="B6788" s="4">
        <v>114075</v>
      </c>
      <c r="C6788" s="725">
        <v>0</v>
      </c>
      <c r="D6788" s="725">
        <v>2400</v>
      </c>
      <c r="E6788" s="725">
        <v>121725</v>
      </c>
      <c r="F6788" s="4">
        <v>4550</v>
      </c>
      <c r="G6788" s="725">
        <v>0</v>
      </c>
      <c r="H6788" s="725">
        <v>1375</v>
      </c>
      <c r="I6788" s="118">
        <f t="shared" ref="I6788" si="2226">H6788/E6788</f>
        <v>1.1295953994660095E-2</v>
      </c>
      <c r="J6788" s="725">
        <v>131341</v>
      </c>
      <c r="K6788" s="22">
        <v>2134</v>
      </c>
      <c r="L6788" s="6">
        <v>2097</v>
      </c>
      <c r="M6788" s="125">
        <f t="shared" ref="M6788" si="2227">L6788-K6788</f>
        <v>-37</v>
      </c>
      <c r="N6788" s="449"/>
      <c r="O6788" s="462"/>
      <c r="P6788" s="505">
        <v>16350</v>
      </c>
      <c r="Q6788" s="25">
        <f>184.18/1347</f>
        <v>0.13673348181143283</v>
      </c>
      <c r="W6788" s="285">
        <f>(P6788*Q6788)*(1+U6788)</f>
        <v>2235.5924276169267</v>
      </c>
      <c r="X6788" s="443">
        <f t="shared" ref="X6788" si="2228">P6788/K6788</f>
        <v>7.661668228678538</v>
      </c>
    </row>
    <row r="6789" spans="1:24" ht="15" customHeight="1">
      <c r="A6789" s="728">
        <v>45225</v>
      </c>
      <c r="B6789" s="4">
        <v>115625</v>
      </c>
      <c r="C6789" s="729">
        <v>0</v>
      </c>
      <c r="D6789" s="727">
        <v>2500</v>
      </c>
      <c r="E6789" s="727">
        <v>123375</v>
      </c>
      <c r="F6789" s="4">
        <v>1650</v>
      </c>
      <c r="G6789" s="729">
        <v>0</v>
      </c>
      <c r="H6789" s="727">
        <v>1375</v>
      </c>
      <c r="I6789" s="118">
        <f t="shared" ref="I6789:I6792" si="2229">H6789/E6789</f>
        <v>1.1144883485309016E-2</v>
      </c>
      <c r="J6789" s="727">
        <v>133109</v>
      </c>
      <c r="K6789" s="22">
        <v>2131</v>
      </c>
      <c r="L6789" s="6">
        <v>2090</v>
      </c>
      <c r="M6789" s="125">
        <f t="shared" ref="M6789:M6792" si="2230">L6789-K6789</f>
        <v>-41</v>
      </c>
      <c r="P6789" s="505">
        <v>16275</v>
      </c>
      <c r="Q6789" s="25">
        <f>185.18/1357.1</f>
        <v>0.13645273008621325</v>
      </c>
      <c r="W6789" s="285">
        <f>(P6789*Q6789)*(1+U6789)</f>
        <v>2220.7681821531205</v>
      </c>
      <c r="X6789" s="443">
        <f t="shared" ref="X6789:X6792" si="2231">P6789/K6789</f>
        <v>7.6372595025809478</v>
      </c>
    </row>
    <row r="6790" spans="1:24" ht="15" customHeight="1">
      <c r="A6790" s="730">
        <v>45226</v>
      </c>
      <c r="B6790" s="4">
        <v>117350</v>
      </c>
      <c r="C6790" s="5">
        <v>0</v>
      </c>
      <c r="D6790" s="5">
        <v>2625</v>
      </c>
      <c r="E6790" s="5">
        <v>125225</v>
      </c>
      <c r="F6790" s="4">
        <v>1850</v>
      </c>
      <c r="G6790" s="5">
        <v>0</v>
      </c>
      <c r="H6790" s="5">
        <v>1375</v>
      </c>
      <c r="I6790" s="118">
        <f t="shared" si="2229"/>
        <v>1.0980235575963266E-2</v>
      </c>
      <c r="J6790" s="704">
        <v>133095</v>
      </c>
      <c r="K6790" s="22">
        <v>2141</v>
      </c>
      <c r="L6790" s="6">
        <v>2106.5</v>
      </c>
      <c r="M6790" s="125">
        <f t="shared" si="2230"/>
        <v>-34.5</v>
      </c>
      <c r="P6790" s="505">
        <v>16250</v>
      </c>
      <c r="Q6790" s="25">
        <f>184.42/1352.3</f>
        <v>0.13637506470457739</v>
      </c>
      <c r="W6790" s="285">
        <f>(P6790*Q6790)*(1+U6790)</f>
        <v>2216.0948014493824</v>
      </c>
      <c r="X6790" s="443">
        <f t="shared" si="2231"/>
        <v>7.5899112564222326</v>
      </c>
    </row>
    <row r="6791" spans="1:24" ht="15" customHeight="1">
      <c r="A6791" s="731">
        <v>45229</v>
      </c>
      <c r="B6791" s="4">
        <v>118600</v>
      </c>
      <c r="C6791" s="5">
        <v>0</v>
      </c>
      <c r="D6791" s="5">
        <v>2725</v>
      </c>
      <c r="E6791" s="5">
        <v>126575</v>
      </c>
      <c r="F6791" s="4">
        <v>1350</v>
      </c>
      <c r="G6791" s="5">
        <v>0</v>
      </c>
      <c r="H6791" s="5">
        <v>1375</v>
      </c>
      <c r="I6791" s="118">
        <f t="shared" si="2229"/>
        <v>1.0863124629666206E-2</v>
      </c>
      <c r="J6791" s="5">
        <v>132912</v>
      </c>
      <c r="K6791" s="22">
        <v>2154.5</v>
      </c>
      <c r="L6791" s="6">
        <v>2132.5</v>
      </c>
      <c r="M6791" s="125">
        <f t="shared" si="2230"/>
        <v>-22</v>
      </c>
      <c r="P6791" s="505">
        <v>16300</v>
      </c>
      <c r="Q6791" s="25">
        <f>184.51/1352.8</f>
        <v>0.13639118864577174</v>
      </c>
      <c r="W6791" s="285">
        <f>(P6791*Q6791)*(1+U6791)</f>
        <v>2223.1763749260795</v>
      </c>
      <c r="X6791" s="443">
        <f t="shared" si="2231"/>
        <v>7.5655604548619166</v>
      </c>
    </row>
    <row r="6792" spans="1:24" ht="15" customHeight="1">
      <c r="A6792" s="733">
        <v>45230</v>
      </c>
      <c r="B6792" s="4">
        <v>119725</v>
      </c>
      <c r="C6792" s="5">
        <v>0</v>
      </c>
      <c r="D6792" s="5">
        <v>2675</v>
      </c>
      <c r="E6792" s="5">
        <v>127650</v>
      </c>
      <c r="F6792" s="4">
        <v>1125</v>
      </c>
      <c r="G6792" s="5">
        <v>50</v>
      </c>
      <c r="H6792" s="5">
        <v>1325</v>
      </c>
      <c r="I6792" s="118">
        <f t="shared" si="2229"/>
        <v>1.0379945162553859E-2</v>
      </c>
      <c r="J6792" s="5">
        <v>132829</v>
      </c>
      <c r="K6792" s="22">
        <v>2110.5</v>
      </c>
      <c r="L6792" s="6">
        <v>2107</v>
      </c>
      <c r="M6792" s="125">
        <f t="shared" si="2230"/>
        <v>-3.5</v>
      </c>
      <c r="N6792" s="448">
        <f>AVERAGE($K$6771:K6792)</f>
        <v>2136.3863636363635</v>
      </c>
      <c r="O6792" s="395">
        <f>AVERAGE($K$6567:K6792)</f>
        <v>2142.4809523809522</v>
      </c>
      <c r="P6792" s="505">
        <v>16300</v>
      </c>
      <c r="Q6792" s="25">
        <f>184.29/1349.6</f>
        <v>0.13655157083580322</v>
      </c>
      <c r="W6792" s="285">
        <f>(P6792*Q6792)*(1+U6792)</f>
        <v>2225.7906046235926</v>
      </c>
      <c r="X6792" s="443">
        <f t="shared" si="2231"/>
        <v>7.7232883203032454</v>
      </c>
    </row>
    <row r="6793" spans="1:24" ht="15" customHeight="1" thickBot="1">
      <c r="A6793" s="732"/>
      <c r="B6793" s="732"/>
      <c r="C6793" s="732"/>
      <c r="D6793" s="732"/>
      <c r="E6793" s="216"/>
      <c r="F6793" s="407"/>
      <c r="G6793" s="164"/>
      <c r="H6793" s="164"/>
      <c r="I6793" s="166"/>
      <c r="J6793" s="166"/>
      <c r="K6793" s="166"/>
      <c r="L6793" s="167"/>
      <c r="M6793" s="167"/>
      <c r="N6793" s="167"/>
      <c r="O6793" s="180"/>
      <c r="P6793" s="180"/>
      <c r="Q6793" s="180"/>
      <c r="R6793" s="248"/>
      <c r="S6793" s="249"/>
      <c r="T6793" s="249"/>
      <c r="U6793" s="152"/>
      <c r="V6793" s="153">
        <f>AVERAGE(P6771:P6792)</f>
        <v>16326.388888888889</v>
      </c>
      <c r="W6793" s="152"/>
      <c r="X6793" s="447">
        <f>V6793/N6792</f>
        <v>7.6420581814141464</v>
      </c>
    </row>
    <row r="6794" spans="1:24" ht="15" customHeight="1">
      <c r="A6794" s="735">
        <v>45231</v>
      </c>
      <c r="B6794" s="4">
        <v>120425</v>
      </c>
      <c r="C6794" s="734">
        <v>0</v>
      </c>
      <c r="D6794" s="734">
        <v>2675</v>
      </c>
      <c r="E6794" s="734">
        <v>128350</v>
      </c>
      <c r="F6794" s="4">
        <v>725</v>
      </c>
      <c r="G6794" s="734">
        <v>25</v>
      </c>
      <c r="H6794" s="734">
        <v>1300</v>
      </c>
      <c r="I6794" s="118">
        <f t="shared" ref="I6794:I6795" si="2232">H6794/E6794</f>
        <v>1.0128554733151539E-2</v>
      </c>
      <c r="J6794" s="734">
        <v>132940</v>
      </c>
      <c r="K6794" s="22">
        <v>2097</v>
      </c>
      <c r="L6794" s="6">
        <v>2106</v>
      </c>
      <c r="M6794" s="125">
        <f t="shared" ref="M6794:M6795" si="2233">L6794-K6794</f>
        <v>9</v>
      </c>
      <c r="P6794" s="505">
        <v>16275</v>
      </c>
      <c r="Q6794" s="25">
        <f>185.02/1356.9</f>
        <v>0.13635492667108851</v>
      </c>
      <c r="W6794" s="285">
        <f t="shared" ref="W6794:W6799" si="2234">(P6794*Q6794)*(1+U6794)</f>
        <v>2219.1764315719656</v>
      </c>
      <c r="X6794" s="443">
        <f t="shared" ref="X6794:X6795" si="2235">P6794/K6794</f>
        <v>7.7610872675250357</v>
      </c>
    </row>
    <row r="6795" spans="1:24" ht="15" customHeight="1">
      <c r="A6795" s="736">
        <v>45232</v>
      </c>
      <c r="B6795" s="4">
        <v>121725</v>
      </c>
      <c r="C6795" s="5">
        <v>0</v>
      </c>
      <c r="D6795" s="5">
        <v>2675</v>
      </c>
      <c r="E6795" s="5">
        <v>129650</v>
      </c>
      <c r="F6795" s="4">
        <v>1300</v>
      </c>
      <c r="G6795" s="5">
        <v>0</v>
      </c>
      <c r="H6795" s="5">
        <v>1300</v>
      </c>
      <c r="I6795" s="118">
        <f t="shared" si="2232"/>
        <v>1.0026995757809487E-2</v>
      </c>
      <c r="J6795" s="5">
        <v>132700</v>
      </c>
      <c r="K6795" s="22">
        <v>2100</v>
      </c>
      <c r="L6795" s="6">
        <v>2114.5</v>
      </c>
      <c r="M6795" s="125">
        <f t="shared" si="2233"/>
        <v>14.5</v>
      </c>
      <c r="P6795" s="505">
        <v>16375</v>
      </c>
      <c r="Q6795" s="25">
        <f>183.2/1343.2</f>
        <v>0.13639070875521142</v>
      </c>
      <c r="W6795" s="285">
        <f t="shared" si="2234"/>
        <v>2233.3978558665872</v>
      </c>
      <c r="X6795" s="443">
        <f t="shared" si="2235"/>
        <v>7.7976190476190474</v>
      </c>
    </row>
    <row r="6796" spans="1:24" ht="15" customHeight="1">
      <c r="A6796" s="738">
        <v>45233</v>
      </c>
      <c r="B6796" s="4">
        <v>121450</v>
      </c>
      <c r="C6796" s="737">
        <v>0</v>
      </c>
      <c r="D6796" s="737">
        <v>2675</v>
      </c>
      <c r="E6796" s="737">
        <v>129375</v>
      </c>
      <c r="F6796" s="737">
        <v>0</v>
      </c>
      <c r="G6796" s="737">
        <v>275</v>
      </c>
      <c r="H6796" s="737">
        <v>1025</v>
      </c>
      <c r="I6796" s="118">
        <f t="shared" ref="I6796" si="2236">H6796/E6796</f>
        <v>7.9227053140096624E-3</v>
      </c>
      <c r="J6796" s="737">
        <v>132574</v>
      </c>
      <c r="K6796" s="22">
        <v>2164</v>
      </c>
      <c r="L6796" s="6">
        <v>2162</v>
      </c>
      <c r="M6796" s="125">
        <f t="shared" ref="M6796" si="2237">L6796-K6796</f>
        <v>-2</v>
      </c>
      <c r="P6796" s="505">
        <v>16525</v>
      </c>
      <c r="Q6796" s="25">
        <f>180.49/1325.8</f>
        <v>0.13613667219791825</v>
      </c>
      <c r="W6796" s="285">
        <f t="shared" si="2234"/>
        <v>2249.6585080705991</v>
      </c>
      <c r="X6796" s="443">
        <f t="shared" ref="X6796" si="2238">P6796/K6796</f>
        <v>7.6363216266173755</v>
      </c>
    </row>
    <row r="6797" spans="1:24" ht="15" customHeight="1">
      <c r="A6797" s="740">
        <v>45236</v>
      </c>
      <c r="B6797" s="4">
        <v>121950</v>
      </c>
      <c r="C6797" s="739">
        <v>0</v>
      </c>
      <c r="D6797" s="739">
        <v>2675</v>
      </c>
      <c r="E6797" s="739">
        <v>129875</v>
      </c>
      <c r="F6797" s="739">
        <v>500</v>
      </c>
      <c r="G6797" s="739">
        <v>0</v>
      </c>
      <c r="H6797" s="739">
        <v>1025</v>
      </c>
      <c r="I6797" s="118">
        <f t="shared" ref="I6797" si="2239">H6797/E6797</f>
        <v>7.8922040423484111E-3</v>
      </c>
      <c r="J6797" s="739">
        <v>132934</v>
      </c>
      <c r="K6797" s="22">
        <v>2166.5</v>
      </c>
      <c r="L6797" s="6">
        <v>2174</v>
      </c>
      <c r="M6797" s="125">
        <f t="shared" ref="M6797" si="2240">L6797-K6797</f>
        <v>7.5</v>
      </c>
      <c r="P6797" s="505">
        <v>16550</v>
      </c>
      <c r="Q6797" s="25">
        <f>178.58/1303.2</f>
        <v>0.13703192142418663</v>
      </c>
      <c r="W6797" s="285">
        <f t="shared" si="2234"/>
        <v>2267.8782995702886</v>
      </c>
      <c r="X6797" s="443">
        <f t="shared" ref="X6797" si="2241">P6797/K6797</f>
        <v>7.6390491576275101</v>
      </c>
    </row>
    <row r="6798" spans="1:24" ht="15" customHeight="1">
      <c r="A6798" s="742">
        <v>45237</v>
      </c>
      <c r="B6798" s="4">
        <v>123425</v>
      </c>
      <c r="C6798" s="741">
        <v>0</v>
      </c>
      <c r="D6798" s="741">
        <v>2675</v>
      </c>
      <c r="E6798" s="741">
        <v>131350</v>
      </c>
      <c r="F6798" s="741">
        <v>1475</v>
      </c>
      <c r="G6798" s="741">
        <v>0</v>
      </c>
      <c r="H6798" s="741">
        <v>1025</v>
      </c>
      <c r="I6798" s="118">
        <f t="shared" ref="I6798" si="2242">H6798/E6798</f>
        <v>7.8035782261134373E-3</v>
      </c>
      <c r="J6798" s="741">
        <v>133325</v>
      </c>
      <c r="K6798" s="22">
        <v>2166</v>
      </c>
      <c r="L6798" s="6">
        <v>2171</v>
      </c>
      <c r="M6798" s="125">
        <f t="shared" ref="M6798" si="2243">L6798-K6798</f>
        <v>5</v>
      </c>
      <c r="P6798" s="505">
        <v>16475</v>
      </c>
      <c r="Q6798" s="25">
        <f>179.41/1306.1</f>
        <v>0.13736314217900622</v>
      </c>
      <c r="W6798" s="285">
        <f t="shared" si="2234"/>
        <v>2263.0577673991274</v>
      </c>
      <c r="X6798" s="443">
        <f t="shared" ref="X6798" si="2244">P6798/K6798</f>
        <v>7.6061865189289009</v>
      </c>
    </row>
    <row r="6799" spans="1:24" ht="15" customHeight="1">
      <c r="A6799" s="744">
        <v>45238</v>
      </c>
      <c r="B6799" s="4">
        <v>125125</v>
      </c>
      <c r="C6799" s="743">
        <v>0</v>
      </c>
      <c r="D6799" s="743">
        <v>2675</v>
      </c>
      <c r="E6799" s="743">
        <v>133050</v>
      </c>
      <c r="F6799" s="743">
        <v>1700</v>
      </c>
      <c r="G6799" s="743">
        <v>0</v>
      </c>
      <c r="H6799" s="743">
        <v>1025</v>
      </c>
      <c r="I6799" s="118">
        <f t="shared" ref="I6799" si="2245">H6799/E6799</f>
        <v>7.7038707252912435E-3</v>
      </c>
      <c r="J6799" s="743">
        <v>135548</v>
      </c>
      <c r="K6799" s="22">
        <v>2201</v>
      </c>
      <c r="L6799" s="6">
        <v>2196</v>
      </c>
      <c r="M6799" s="125">
        <f t="shared" ref="M6799" si="2246">L6799-K6799</f>
        <v>-5</v>
      </c>
      <c r="P6799" s="505">
        <v>16425</v>
      </c>
      <c r="Q6799" s="25">
        <f>179.22/1305.5</f>
        <v>0.13728073535044044</v>
      </c>
      <c r="W6799" s="285">
        <f t="shared" si="2234"/>
        <v>2254.8360781309843</v>
      </c>
      <c r="X6799" s="443">
        <f t="shared" ref="X6799" si="2247">P6799/K6799</f>
        <v>7.462517037710132</v>
      </c>
    </row>
    <row r="6800" spans="1:24" ht="15" customHeight="1">
      <c r="A6800" s="746">
        <v>45239</v>
      </c>
      <c r="B6800" s="4">
        <v>125125</v>
      </c>
      <c r="C6800" s="745">
        <v>0</v>
      </c>
      <c r="D6800" s="745">
        <v>2675</v>
      </c>
      <c r="E6800" s="745">
        <v>133050</v>
      </c>
      <c r="F6800" s="745">
        <v>0</v>
      </c>
      <c r="G6800" s="745">
        <v>0</v>
      </c>
      <c r="H6800" s="745">
        <v>1025</v>
      </c>
      <c r="I6800" s="118">
        <f t="shared" ref="I6800" si="2248">H6800/E6800</f>
        <v>7.7038707252912435E-3</v>
      </c>
      <c r="J6800" s="745">
        <v>137748</v>
      </c>
      <c r="K6800" s="22">
        <v>2181.5</v>
      </c>
      <c r="L6800" s="6">
        <v>2179</v>
      </c>
      <c r="M6800" s="125">
        <f t="shared" ref="M6800" si="2249">L6800-K6800</f>
        <v>-2.5</v>
      </c>
      <c r="N6800" s="449"/>
      <c r="O6800" s="462"/>
      <c r="P6800" s="505">
        <v>16450</v>
      </c>
      <c r="Q6800" s="25">
        <f>179.36/1309</f>
        <v>0.13702062643239116</v>
      </c>
      <c r="W6800" s="285">
        <f t="shared" ref="W6800" si="2250">(P6800*Q6800)*(1+U6800)</f>
        <v>2253.9893048128347</v>
      </c>
      <c r="X6800" s="443">
        <f t="shared" ref="X6800" si="2251">P6800/K6800</f>
        <v>7.5406830162732064</v>
      </c>
    </row>
    <row r="6801" spans="1:24" ht="15" customHeight="1">
      <c r="A6801" s="748">
        <v>45240</v>
      </c>
      <c r="B6801" s="4">
        <v>125975</v>
      </c>
      <c r="C6801" s="747">
        <v>0</v>
      </c>
      <c r="D6801" s="747">
        <v>2675</v>
      </c>
      <c r="E6801" s="747">
        <v>133900</v>
      </c>
      <c r="F6801" s="747">
        <v>850</v>
      </c>
      <c r="G6801" s="747">
        <v>0</v>
      </c>
      <c r="H6801" s="747">
        <v>1025</v>
      </c>
      <c r="I6801" s="118">
        <f t="shared" ref="I6801" si="2252">H6801/E6801</f>
        <v>7.6549663928304704E-3</v>
      </c>
      <c r="J6801" s="10">
        <v>139104</v>
      </c>
      <c r="K6801" s="22">
        <v>2190</v>
      </c>
      <c r="L6801" s="6">
        <v>2190</v>
      </c>
      <c r="M6801" s="125">
        <f t="shared" ref="M6801" si="2253">L6801-K6801</f>
        <v>0</v>
      </c>
      <c r="N6801" s="449"/>
      <c r="O6801" s="462"/>
      <c r="P6801" s="505">
        <v>16425</v>
      </c>
      <c r="Q6801" s="25">
        <f>180.3/1316.7</f>
        <v>0.1369332421964001</v>
      </c>
      <c r="W6801" s="285">
        <f t="shared" ref="W6801" si="2254">(P6801*Q6801)*(1+U6801)</f>
        <v>2249.1285030758718</v>
      </c>
      <c r="X6801" s="443">
        <f t="shared" ref="X6801" si="2255">P6801/K6801</f>
        <v>7.5</v>
      </c>
    </row>
    <row r="6802" spans="1:24" ht="15" customHeight="1">
      <c r="A6802" s="750">
        <v>45243</v>
      </c>
      <c r="B6802" s="4">
        <v>127375</v>
      </c>
      <c r="C6802" s="749">
        <v>0</v>
      </c>
      <c r="D6802" s="749">
        <v>2675</v>
      </c>
      <c r="E6802" s="749">
        <v>135300</v>
      </c>
      <c r="F6802" s="749">
        <v>1400</v>
      </c>
      <c r="G6802" s="749">
        <v>0</v>
      </c>
      <c r="H6802" s="10">
        <v>1025</v>
      </c>
      <c r="I6802" s="118">
        <f t="shared" ref="I6802" si="2256">H6802/E6802</f>
        <v>7.575757575757576E-3</v>
      </c>
      <c r="J6802" s="10">
        <v>141245</v>
      </c>
      <c r="K6802" s="22">
        <v>2176</v>
      </c>
      <c r="L6802" s="6">
        <v>2177</v>
      </c>
      <c r="M6802" s="125">
        <f t="shared" ref="M6802" si="2257">L6802-K6802</f>
        <v>1</v>
      </c>
      <c r="N6802" s="449"/>
      <c r="O6802" s="462"/>
      <c r="P6802" s="505">
        <v>16425</v>
      </c>
      <c r="Q6802" s="25">
        <f>181.2/1322.7</f>
        <v>0.136992515309594</v>
      </c>
      <c r="W6802" s="285">
        <f t="shared" ref="W6802" si="2258">(P6802*Q6802)*(1+U6802)</f>
        <v>2250.1020639600815</v>
      </c>
      <c r="X6802" s="443">
        <f t="shared" ref="X6802" si="2259">P6802/K6802</f>
        <v>7.5482536764705879</v>
      </c>
    </row>
    <row r="6803" spans="1:24" ht="15" customHeight="1">
      <c r="A6803" s="752">
        <v>45244</v>
      </c>
      <c r="B6803" s="4">
        <v>127375</v>
      </c>
      <c r="C6803" s="751">
        <v>0</v>
      </c>
      <c r="D6803" s="751">
        <v>2675</v>
      </c>
      <c r="E6803" s="751">
        <v>135300</v>
      </c>
      <c r="F6803" s="751">
        <v>0</v>
      </c>
      <c r="G6803" s="751">
        <v>0</v>
      </c>
      <c r="H6803" s="10">
        <v>1025</v>
      </c>
      <c r="I6803" s="118">
        <f t="shared" ref="I6803:I6804" si="2260">H6803/E6803</f>
        <v>7.575757575757576E-3</v>
      </c>
      <c r="J6803" s="10">
        <v>139292</v>
      </c>
      <c r="K6803" s="22">
        <v>2159.5</v>
      </c>
      <c r="L6803" s="6">
        <v>2164</v>
      </c>
      <c r="M6803" s="125">
        <f t="shared" ref="M6803:M6804" si="2261">L6803-K6803</f>
        <v>4.5</v>
      </c>
      <c r="P6803" s="505">
        <v>16375</v>
      </c>
      <c r="Q6803" s="25">
        <f>181.68/1325.3</f>
        <v>0.13708594280540257</v>
      </c>
      <c r="W6803" s="285">
        <f t="shared" ref="W6803:W6804" si="2262">(P6803*Q6803)*(1+U6803)</f>
        <v>2244.7823134384671</v>
      </c>
      <c r="X6803" s="443">
        <f t="shared" ref="X6803:X6804" si="2263">P6803/K6803</f>
        <v>7.5827737902292194</v>
      </c>
    </row>
    <row r="6804" spans="1:24" ht="15" customHeight="1">
      <c r="A6804" s="753">
        <v>45245</v>
      </c>
      <c r="B6804" s="4">
        <v>127400</v>
      </c>
      <c r="C6804" s="5">
        <v>0</v>
      </c>
      <c r="D6804" s="5">
        <v>2675</v>
      </c>
      <c r="E6804" s="5">
        <v>135325</v>
      </c>
      <c r="F6804" s="4">
        <v>25</v>
      </c>
      <c r="G6804" s="5">
        <v>0</v>
      </c>
      <c r="H6804" s="5">
        <v>1025</v>
      </c>
      <c r="I6804" s="118">
        <f t="shared" si="2260"/>
        <v>7.574358026972104E-3</v>
      </c>
      <c r="J6804" s="10">
        <v>132492</v>
      </c>
      <c r="K6804" s="22">
        <v>2226.5</v>
      </c>
      <c r="L6804" s="6">
        <v>2221</v>
      </c>
      <c r="M6804" s="125">
        <f t="shared" si="2261"/>
        <v>-5.5</v>
      </c>
      <c r="N6804" s="449"/>
      <c r="O6804" s="462"/>
      <c r="P6804" s="505">
        <v>16375</v>
      </c>
      <c r="Q6804" s="25">
        <f>179.41/1302</f>
        <v>0.13779569892473117</v>
      </c>
      <c r="W6804" s="285">
        <f t="shared" si="2262"/>
        <v>2256.4045698924729</v>
      </c>
      <c r="X6804" s="443">
        <f t="shared" si="2263"/>
        <v>7.3545924096114978</v>
      </c>
    </row>
    <row r="6805" spans="1:24" ht="15" customHeight="1">
      <c r="A6805" s="755">
        <v>45246</v>
      </c>
      <c r="B6805" s="4">
        <v>128000</v>
      </c>
      <c r="C6805" s="754">
        <v>0</v>
      </c>
      <c r="D6805" s="754">
        <v>2675</v>
      </c>
      <c r="E6805" s="754">
        <v>135925</v>
      </c>
      <c r="F6805" s="4">
        <v>600</v>
      </c>
      <c r="G6805" s="754">
        <v>0</v>
      </c>
      <c r="H6805" s="754">
        <v>30225</v>
      </c>
      <c r="I6805" s="118">
        <f t="shared" ref="I6805" si="2264">H6805/E6805</f>
        <v>0.22236527496781314</v>
      </c>
      <c r="J6805" s="10">
        <v>135925</v>
      </c>
      <c r="K6805" s="22">
        <v>2268.5</v>
      </c>
      <c r="L6805" s="6">
        <v>2264</v>
      </c>
      <c r="M6805" s="125">
        <f t="shared" ref="M6805" si="2265">L6805-K6805</f>
        <v>-4.5</v>
      </c>
      <c r="N6805" s="449"/>
      <c r="O6805" s="462"/>
      <c r="P6805" s="505">
        <v>16525</v>
      </c>
      <c r="Q6805" s="25">
        <f>179.49/1303.9</f>
        <v>0.13765626198328093</v>
      </c>
      <c r="W6805" s="285">
        <f t="shared" ref="W6805" si="2266">(P6805*Q6805)*(1+U6805)</f>
        <v>2274.7697292737175</v>
      </c>
      <c r="X6805" s="443">
        <f t="shared" ref="X6805" si="2267">P6805/K6805</f>
        <v>7.2845492616266254</v>
      </c>
    </row>
    <row r="6806" spans="1:24" ht="15" customHeight="1">
      <c r="A6806" s="757">
        <v>45247</v>
      </c>
      <c r="B6806" s="4">
        <v>128000</v>
      </c>
      <c r="C6806" s="756">
        <v>0</v>
      </c>
      <c r="D6806" s="756">
        <v>2675</v>
      </c>
      <c r="E6806" s="756">
        <v>135925</v>
      </c>
      <c r="F6806" s="756">
        <v>0</v>
      </c>
      <c r="G6806" s="756">
        <v>0</v>
      </c>
      <c r="H6806" s="756">
        <v>42375</v>
      </c>
      <c r="I6806" s="118">
        <f t="shared" ref="I6806" si="2268">H6806/E6806</f>
        <v>0.3117528048556189</v>
      </c>
      <c r="J6806" s="10">
        <v>135925</v>
      </c>
      <c r="K6806" s="22">
        <v>2281</v>
      </c>
      <c r="L6806" s="6">
        <v>2281</v>
      </c>
      <c r="M6806" s="125">
        <f t="shared" ref="M6806" si="2269">L6806-K6806</f>
        <v>0</v>
      </c>
      <c r="N6806" s="449"/>
      <c r="O6806" s="462"/>
      <c r="P6806" s="505">
        <v>16625</v>
      </c>
      <c r="Q6806" s="25">
        <f>178.38/1294.4</f>
        <v>0.13780902348578492</v>
      </c>
      <c r="W6806" s="285">
        <f t="shared" ref="W6806" si="2270">(P6806*Q6806)*(1+U6806)</f>
        <v>2291.0750154511743</v>
      </c>
      <c r="X6806" s="443">
        <f t="shared" ref="X6806" si="2271">P6806/K6806</f>
        <v>7.2884699693117057</v>
      </c>
    </row>
    <row r="6807" spans="1:24" ht="15" customHeight="1">
      <c r="A6807" s="759">
        <v>45250</v>
      </c>
      <c r="B6807" s="4">
        <v>128000</v>
      </c>
      <c r="C6807" s="758">
        <v>0</v>
      </c>
      <c r="D6807" s="758">
        <v>2675</v>
      </c>
      <c r="E6807" s="758">
        <v>135925</v>
      </c>
      <c r="F6807" s="758">
        <v>0</v>
      </c>
      <c r="G6807" s="758">
        <v>0</v>
      </c>
      <c r="H6807" s="758">
        <v>59400</v>
      </c>
      <c r="I6807" s="118">
        <f t="shared" ref="I6807:I6810" si="2272">H6807/E6807</f>
        <v>0.43700570167371711</v>
      </c>
      <c r="J6807" s="10">
        <v>142454</v>
      </c>
      <c r="K6807" s="22">
        <v>2285</v>
      </c>
      <c r="L6807" s="6">
        <v>2284.5</v>
      </c>
      <c r="M6807" s="125">
        <f t="shared" ref="M6807:M6810" si="2273">L6807-K6807</f>
        <v>-0.5</v>
      </c>
      <c r="P6807" s="505">
        <v>16700</v>
      </c>
      <c r="Q6807" s="25">
        <f>179.57/1292.4</f>
        <v>0.13894305168678425</v>
      </c>
      <c r="W6807" s="285">
        <f t="shared" ref="W6807:W6810" si="2274">(P6807*Q6807)*(1+U6807)</f>
        <v>2320.3489631692969</v>
      </c>
      <c r="X6807" s="443">
        <f t="shared" ref="X6807:X6810" si="2275">P6807/K6807</f>
        <v>7.3085339168490151</v>
      </c>
    </row>
    <row r="6808" spans="1:24" ht="15" customHeight="1">
      <c r="A6808" s="761">
        <v>45251</v>
      </c>
      <c r="B6808" s="4">
        <v>128000</v>
      </c>
      <c r="C6808" s="760">
        <v>0</v>
      </c>
      <c r="D6808" s="760">
        <v>2675</v>
      </c>
      <c r="E6808" s="5">
        <v>135925</v>
      </c>
      <c r="F6808" s="4">
        <v>0</v>
      </c>
      <c r="G6808" s="5">
        <v>0</v>
      </c>
      <c r="H6808" s="5">
        <v>59400</v>
      </c>
      <c r="I6808" s="118">
        <f t="shared" si="2272"/>
        <v>0.43700570167371711</v>
      </c>
      <c r="J6808" s="5">
        <v>144321</v>
      </c>
      <c r="K6808" s="22">
        <v>2265.5</v>
      </c>
      <c r="L6808" s="6">
        <v>2268</v>
      </c>
      <c r="M6808" s="125">
        <f t="shared" si="2273"/>
        <v>2.5</v>
      </c>
      <c r="P6808" s="505">
        <v>16600</v>
      </c>
      <c r="Q6808" s="25">
        <f>180.22/1287.7</f>
        <v>0.13995495845305583</v>
      </c>
      <c r="W6808" s="285">
        <f t="shared" si="2274"/>
        <v>2323.2523103207268</v>
      </c>
      <c r="X6808" s="443">
        <f t="shared" si="2275"/>
        <v>7.3273008165967779</v>
      </c>
    </row>
    <row r="6809" spans="1:24" ht="15" customHeight="1">
      <c r="A6809" s="762">
        <v>45252</v>
      </c>
      <c r="B6809" s="4">
        <v>128000</v>
      </c>
      <c r="C6809" s="5">
        <v>0</v>
      </c>
      <c r="D6809" s="5">
        <v>2675</v>
      </c>
      <c r="E6809" s="5">
        <v>135925</v>
      </c>
      <c r="F6809" s="4">
        <v>0</v>
      </c>
      <c r="G6809" s="5">
        <v>0</v>
      </c>
      <c r="H6809" s="5">
        <v>59400</v>
      </c>
      <c r="I6809" s="118">
        <f t="shared" si="2272"/>
        <v>0.43700570167371711</v>
      </c>
      <c r="J6809" s="5">
        <v>143275</v>
      </c>
      <c r="K6809" s="22">
        <v>2238.5</v>
      </c>
      <c r="L6809" s="6">
        <v>2246</v>
      </c>
      <c r="M6809" s="125">
        <f t="shared" si="2273"/>
        <v>7.5</v>
      </c>
      <c r="P6809" s="505">
        <v>16475</v>
      </c>
      <c r="Q6809" s="25">
        <f>181.31/1295.7</f>
        <v>0.1399320830439145</v>
      </c>
      <c r="W6809" s="285">
        <f t="shared" si="2274"/>
        <v>2305.3810681484915</v>
      </c>
      <c r="X6809" s="443">
        <f t="shared" si="2275"/>
        <v>7.3598391780209962</v>
      </c>
    </row>
    <row r="6810" spans="1:24" ht="15" customHeight="1">
      <c r="A6810" s="764">
        <v>45253</v>
      </c>
      <c r="B6810" s="4">
        <v>128300</v>
      </c>
      <c r="C6810" s="5">
        <v>0</v>
      </c>
      <c r="D6810" s="5">
        <v>2975</v>
      </c>
      <c r="E6810" s="5">
        <v>136525</v>
      </c>
      <c r="F6810" s="4">
        <v>600</v>
      </c>
      <c r="G6810" s="5">
        <v>0</v>
      </c>
      <c r="H6810" s="5">
        <v>59400</v>
      </c>
      <c r="I6810" s="118">
        <f t="shared" si="2272"/>
        <v>0.43508514924006592</v>
      </c>
      <c r="J6810" s="763">
        <v>145648</v>
      </c>
      <c r="K6810" s="22">
        <v>2203.5</v>
      </c>
      <c r="L6810" s="6">
        <v>2214</v>
      </c>
      <c r="M6810" s="125">
        <f t="shared" si="2273"/>
        <v>10.5</v>
      </c>
      <c r="P6810" s="505">
        <v>16325</v>
      </c>
      <c r="Q6810" s="25">
        <f>181.61/1298.7</f>
        <v>0.13983983983983986</v>
      </c>
      <c r="W6810" s="285">
        <f t="shared" si="2274"/>
        <v>2282.8853853853857</v>
      </c>
      <c r="X6810" s="443">
        <f t="shared" si="2275"/>
        <v>7.4086680281370549</v>
      </c>
    </row>
    <row r="6811" spans="1:24" ht="15" customHeight="1">
      <c r="A6811" s="766">
        <v>45254</v>
      </c>
      <c r="B6811" s="4">
        <v>129050</v>
      </c>
      <c r="C6811" s="765">
        <v>0</v>
      </c>
      <c r="D6811" s="765">
        <v>2925</v>
      </c>
      <c r="E6811" s="765">
        <v>137225</v>
      </c>
      <c r="F6811" s="4">
        <v>750</v>
      </c>
      <c r="G6811" s="765">
        <v>50</v>
      </c>
      <c r="H6811" s="765">
        <v>59350</v>
      </c>
      <c r="I6811" s="118">
        <f t="shared" ref="I6811" si="2276">H6811/E6811</f>
        <v>0.43250136636910186</v>
      </c>
      <c r="J6811" s="765">
        <v>146750</v>
      </c>
      <c r="K6811" s="22">
        <v>2189</v>
      </c>
      <c r="L6811" s="6">
        <v>2205</v>
      </c>
      <c r="M6811" s="125">
        <f t="shared" ref="M6811" si="2277">L6811-K6811</f>
        <v>16</v>
      </c>
      <c r="N6811" s="449"/>
      <c r="O6811" s="462"/>
      <c r="P6811" s="505">
        <v>16300</v>
      </c>
      <c r="Q6811" s="25">
        <f>182.04/1302.1</f>
        <v>0.13980493049688963</v>
      </c>
      <c r="W6811" s="285">
        <f t="shared" ref="W6811" si="2278">(P6811*Q6811)*(1+U6811)</f>
        <v>2278.8203670993012</v>
      </c>
      <c r="X6811" s="443">
        <f t="shared" ref="X6811" si="2279">P6811/K6811</f>
        <v>7.4463225216994058</v>
      </c>
    </row>
    <row r="6812" spans="1:24" ht="15" customHeight="1">
      <c r="A6812" s="768">
        <v>45257</v>
      </c>
      <c r="B6812" s="4">
        <v>129800</v>
      </c>
      <c r="C6812" s="769">
        <v>0</v>
      </c>
      <c r="D6812" s="767">
        <v>2925</v>
      </c>
      <c r="E6812" s="767">
        <v>137975</v>
      </c>
      <c r="F6812" s="4">
        <v>750</v>
      </c>
      <c r="G6812" s="767">
        <v>0</v>
      </c>
      <c r="H6812" s="767">
        <v>59350</v>
      </c>
      <c r="I6812" s="118">
        <f t="shared" ref="I6812" si="2280">H6812/E6812</f>
        <v>0.43015038956332668</v>
      </c>
      <c r="J6812" s="767">
        <v>147987</v>
      </c>
      <c r="K6812" s="22">
        <v>2154.5</v>
      </c>
      <c r="L6812" s="6">
        <v>2174</v>
      </c>
      <c r="M6812" s="125">
        <f t="shared" ref="M6812" si="2281">L6812-K6812</f>
        <v>19.5</v>
      </c>
      <c r="P6812" s="505">
        <v>16150</v>
      </c>
      <c r="Q6812" s="25">
        <f>182.54/1304.7</f>
        <v>0.13990955775274008</v>
      </c>
      <c r="W6812" s="285">
        <f t="shared" ref="W6812" si="2282">(P6812*Q6812)*(1+U6812)</f>
        <v>2259.5393577067525</v>
      </c>
      <c r="X6812" s="443">
        <f t="shared" ref="X6812" si="2283">P6812/K6812</f>
        <v>7.4959387328846603</v>
      </c>
    </row>
    <row r="6813" spans="1:24" ht="15" customHeight="1">
      <c r="A6813" s="771">
        <v>45258</v>
      </c>
      <c r="B6813" s="4">
        <v>130850</v>
      </c>
      <c r="C6813" s="770">
        <v>0</v>
      </c>
      <c r="D6813" s="770">
        <v>2925</v>
      </c>
      <c r="E6813" s="770">
        <v>138475</v>
      </c>
      <c r="F6813" s="4">
        <v>1050</v>
      </c>
      <c r="G6813" s="770">
        <v>550</v>
      </c>
      <c r="H6813" s="770">
        <v>58800</v>
      </c>
      <c r="I6813" s="118">
        <f t="shared" ref="I6813" si="2284">H6813/E6813</f>
        <v>0.42462538364325692</v>
      </c>
      <c r="J6813" s="770">
        <v>146932</v>
      </c>
      <c r="K6813" s="22">
        <v>2128</v>
      </c>
      <c r="L6813" s="6">
        <v>2151</v>
      </c>
      <c r="M6813" s="125">
        <f t="shared" ref="M6813" si="2285">L6813-K6813</f>
        <v>23</v>
      </c>
      <c r="N6813" s="449"/>
      <c r="O6813" s="462"/>
      <c r="P6813" s="505">
        <v>16050</v>
      </c>
      <c r="Q6813" s="25">
        <f>180.74/1294</f>
        <v>0.13967542503863989</v>
      </c>
      <c r="W6813" s="285">
        <f t="shared" ref="W6813" si="2286">(P6813*Q6813)*(1+U6813)</f>
        <v>2241.7905718701704</v>
      </c>
      <c r="X6813" s="443">
        <f t="shared" ref="X6813" si="2287">P6813/K6813</f>
        <v>7.5422932330827068</v>
      </c>
    </row>
    <row r="6814" spans="1:24" ht="15" customHeight="1">
      <c r="A6814" s="773">
        <v>45259</v>
      </c>
      <c r="B6814" s="4">
        <v>139250</v>
      </c>
      <c r="C6814" s="772">
        <v>0</v>
      </c>
      <c r="D6814" s="772">
        <v>2925</v>
      </c>
      <c r="E6814" s="772">
        <v>144450</v>
      </c>
      <c r="F6814" s="4">
        <v>8400</v>
      </c>
      <c r="G6814" s="772">
        <v>2425</v>
      </c>
      <c r="H6814" s="772">
        <v>56375</v>
      </c>
      <c r="I6814" s="118">
        <f t="shared" ref="I6814" si="2288">H6814/E6814</f>
        <v>0.39027345102111455</v>
      </c>
      <c r="J6814" s="772">
        <v>146430</v>
      </c>
      <c r="K6814" s="22">
        <v>2118</v>
      </c>
      <c r="L6814" s="6">
        <v>2142</v>
      </c>
      <c r="M6814" s="125">
        <f t="shared" ref="M6814" si="2289">L6814-K6814</f>
        <v>24</v>
      </c>
      <c r="N6814" s="449"/>
      <c r="O6814" s="462"/>
      <c r="P6814" s="505">
        <v>16000</v>
      </c>
      <c r="Q6814" s="25">
        <f>180.91/1289</f>
        <v>0.14034910783553142</v>
      </c>
      <c r="W6814" s="285">
        <f t="shared" ref="W6814" si="2290">(P6814*Q6814)*(1+U6814)</f>
        <v>2245.5857253685026</v>
      </c>
      <c r="X6814" s="443">
        <f t="shared" ref="X6814" si="2291">P6814/K6814</f>
        <v>7.5542965061378657</v>
      </c>
    </row>
    <row r="6815" spans="1:24" ht="15" customHeight="1">
      <c r="A6815" s="776">
        <v>45260</v>
      </c>
      <c r="B6815" s="4">
        <v>137300</v>
      </c>
      <c r="C6815" s="775">
        <v>0</v>
      </c>
      <c r="D6815" s="775">
        <v>2925</v>
      </c>
      <c r="E6815" s="775">
        <v>141575</v>
      </c>
      <c r="F6815" s="4">
        <v>500</v>
      </c>
      <c r="G6815" s="775">
        <v>3375</v>
      </c>
      <c r="H6815" s="775">
        <v>53000</v>
      </c>
      <c r="I6815" s="118">
        <f t="shared" ref="I6815" si="2292">H6815/E6815</f>
        <v>0.37435987992230269</v>
      </c>
      <c r="J6815" s="775">
        <v>145918</v>
      </c>
      <c r="K6815" s="22">
        <v>2112</v>
      </c>
      <c r="L6815" s="6">
        <v>2138</v>
      </c>
      <c r="M6815" s="125">
        <f t="shared" ref="M6815" si="2293">L6815-K6815</f>
        <v>26</v>
      </c>
      <c r="N6815" s="448">
        <f>AVERAGE($K$6794:K6815)</f>
        <v>2185.068181818182</v>
      </c>
      <c r="O6815" s="395">
        <f>AVERAGE($K$6567:K6815)</f>
        <v>2146.5193965517242</v>
      </c>
      <c r="P6815" s="505">
        <v>15825</v>
      </c>
      <c r="Q6815" s="25">
        <f>180.7/1290.4</f>
        <v>0.14003409795412272</v>
      </c>
      <c r="W6815" s="285">
        <f t="shared" ref="W6815" si="2294">(P6815*Q6815)*(1+U6815)</f>
        <v>2216.0396001239919</v>
      </c>
      <c r="X6815" s="443">
        <f t="shared" ref="X6815" si="2295">P6815/K6815</f>
        <v>7.4928977272727275</v>
      </c>
    </row>
    <row r="6816" spans="1:24" ht="15" customHeight="1" thickBot="1">
      <c r="A6816" s="774"/>
      <c r="B6816" s="774"/>
      <c r="C6816" s="774"/>
      <c r="D6816" s="774"/>
      <c r="E6816" s="216"/>
      <c r="F6816" s="407"/>
      <c r="G6816" s="164"/>
      <c r="H6816" s="164"/>
      <c r="I6816" s="166"/>
      <c r="J6816" s="166"/>
      <c r="K6816" s="166"/>
      <c r="L6816" s="167"/>
      <c r="M6816" s="167"/>
      <c r="N6816" s="167"/>
      <c r="O6816" s="180"/>
      <c r="P6816" s="180"/>
      <c r="Q6816" s="180"/>
      <c r="R6816" s="248"/>
      <c r="S6816" s="249"/>
      <c r="T6816" s="249"/>
      <c r="U6816" s="152"/>
      <c r="V6816" s="153">
        <f>AVERAGE(P6794:P6815)</f>
        <v>16375</v>
      </c>
      <c r="W6816" s="152"/>
      <c r="X6816" s="447">
        <f>V6816/N6815</f>
        <v>7.4940453283130335</v>
      </c>
    </row>
    <row r="6817" spans="1:24" ht="15" customHeight="1">
      <c r="A6817" s="778">
        <v>45261</v>
      </c>
      <c r="B6817" s="4">
        <v>135050</v>
      </c>
      <c r="C6817" s="777">
        <v>0</v>
      </c>
      <c r="D6817" s="777">
        <v>2925</v>
      </c>
      <c r="E6817" s="777">
        <v>139325</v>
      </c>
      <c r="F6817" s="4">
        <v>500</v>
      </c>
      <c r="G6817" s="777">
        <v>2750</v>
      </c>
      <c r="H6817" s="777">
        <v>50250</v>
      </c>
      <c r="I6817" s="118">
        <f t="shared" ref="I6817" si="2296">H6817/E6817</f>
        <v>0.36066750403732278</v>
      </c>
      <c r="J6817" s="777">
        <v>143959</v>
      </c>
      <c r="K6817" s="22">
        <v>2099</v>
      </c>
      <c r="L6817" s="6">
        <v>2124</v>
      </c>
      <c r="M6817" s="125">
        <f t="shared" ref="M6817" si="2297">L6817-K6817</f>
        <v>25</v>
      </c>
      <c r="P6817" s="505">
        <v>15775</v>
      </c>
      <c r="Q6817" s="25">
        <f>189.29/1303.2</f>
        <v>0.14525015346838549</v>
      </c>
      <c r="W6817" s="285">
        <f t="shared" ref="W6817" si="2298">(P6817*Q6817)*(1+U6817)</f>
        <v>2291.3211709637812</v>
      </c>
      <c r="X6817" s="443">
        <f t="shared" ref="X6817" si="2299">P6817/K6817</f>
        <v>7.5154835636017152</v>
      </c>
    </row>
    <row r="6818" spans="1:24" ht="15" customHeight="1">
      <c r="A6818" s="780">
        <v>45264</v>
      </c>
      <c r="B6818" s="4">
        <v>130325</v>
      </c>
      <c r="C6818" s="779">
        <v>0</v>
      </c>
      <c r="D6818" s="779">
        <v>2925</v>
      </c>
      <c r="E6818" s="779">
        <v>134600</v>
      </c>
      <c r="F6818" s="4">
        <v>0</v>
      </c>
      <c r="G6818" s="779">
        <v>4725</v>
      </c>
      <c r="H6818" s="779">
        <v>45525</v>
      </c>
      <c r="I6818" s="118">
        <f t="shared" ref="I6818" si="2300">H6818/E6818</f>
        <v>0.33822436849925708</v>
      </c>
      <c r="J6818" s="779">
        <v>145242</v>
      </c>
      <c r="K6818" s="22">
        <v>2088</v>
      </c>
      <c r="L6818" s="6">
        <v>2121</v>
      </c>
      <c r="M6818" s="125">
        <f t="shared" ref="M6818" si="2301">L6818-K6818</f>
        <v>33</v>
      </c>
      <c r="P6818" s="505">
        <v>15700</v>
      </c>
      <c r="Q6818" s="25">
        <f>182.48/1301.8</f>
        <v>0.14017514211092333</v>
      </c>
      <c r="W6818" s="285">
        <f t="shared" ref="W6818" si="2302">(P6818*Q6818)*(1+U6818)</f>
        <v>2200.7497311414963</v>
      </c>
      <c r="X6818" s="443">
        <f t="shared" ref="X6818" si="2303">P6818/K6818</f>
        <v>7.5191570881226051</v>
      </c>
    </row>
    <row r="6819" spans="1:24" ht="15" customHeight="1">
      <c r="A6819" s="782">
        <v>45265</v>
      </c>
      <c r="B6819" s="4">
        <v>127100</v>
      </c>
      <c r="C6819" s="781">
        <v>0</v>
      </c>
      <c r="D6819" s="781">
        <v>2925</v>
      </c>
      <c r="E6819" s="781">
        <v>131375</v>
      </c>
      <c r="F6819" s="4">
        <v>1300</v>
      </c>
      <c r="G6819" s="781">
        <v>4525</v>
      </c>
      <c r="H6819" s="781">
        <v>41000</v>
      </c>
      <c r="I6819" s="118">
        <f t="shared" ref="I6819" si="2304">H6819/E6819</f>
        <v>0.31208372978116078</v>
      </c>
      <c r="J6819" s="781">
        <v>145363</v>
      </c>
      <c r="K6819" s="22">
        <v>2038</v>
      </c>
      <c r="L6819" s="6">
        <v>2074</v>
      </c>
      <c r="M6819" s="125">
        <f t="shared" ref="M6819" si="2305">L6819-K6819</f>
        <v>36</v>
      </c>
      <c r="P6819" s="505">
        <v>15650</v>
      </c>
      <c r="Q6819" s="25">
        <f>183.6/1311.7</f>
        <v>0.13997102996111915</v>
      </c>
      <c r="W6819" s="285">
        <f t="shared" ref="W6819" si="2306">(P6819*Q6819)*(1+U6819)</f>
        <v>2190.5466188915148</v>
      </c>
      <c r="X6819" s="443">
        <f t="shared" ref="X6819" si="2307">P6819/K6819</f>
        <v>7.6790971540726201</v>
      </c>
    </row>
    <row r="6820" spans="1:24" ht="15" customHeight="1">
      <c r="A6820" s="784">
        <v>45266</v>
      </c>
      <c r="B6820" s="4">
        <v>131825</v>
      </c>
      <c r="C6820" s="783">
        <v>0</v>
      </c>
      <c r="D6820" s="783">
        <v>2925</v>
      </c>
      <c r="E6820" s="783">
        <v>136100</v>
      </c>
      <c r="F6820" s="4">
        <v>6350</v>
      </c>
      <c r="G6820" s="783">
        <v>1625</v>
      </c>
      <c r="H6820" s="783">
        <v>39375</v>
      </c>
      <c r="I6820" s="118">
        <f t="shared" ref="I6820" si="2308">H6820/E6820</f>
        <v>0.28930933137398973</v>
      </c>
      <c r="J6820" s="783">
        <v>144186</v>
      </c>
      <c r="K6820" s="22">
        <v>2007</v>
      </c>
      <c r="L6820" s="6">
        <v>2036</v>
      </c>
      <c r="M6820" s="125">
        <f t="shared" ref="M6820" si="2309">L6820-K6820</f>
        <v>29</v>
      </c>
      <c r="P6820" s="505">
        <v>15600</v>
      </c>
      <c r="Q6820" s="25">
        <f>183.16/1312.4</f>
        <v>0.1395611094178604</v>
      </c>
      <c r="W6820" s="285">
        <f t="shared" ref="W6820" si="2310">(P6820*Q6820)*(1+U6820)</f>
        <v>2177.1533069186221</v>
      </c>
      <c r="X6820" s="443">
        <f t="shared" ref="X6820" si="2311">P6820/K6820</f>
        <v>7.7727952167414047</v>
      </c>
    </row>
    <row r="6821" spans="1:24" ht="15" customHeight="1">
      <c r="A6821" s="786">
        <v>45267</v>
      </c>
      <c r="B6821" s="4">
        <v>128850</v>
      </c>
      <c r="C6821" s="785">
        <v>0</v>
      </c>
      <c r="D6821" s="785">
        <v>2925</v>
      </c>
      <c r="E6821" s="785">
        <v>133625</v>
      </c>
      <c r="F6821" s="4">
        <v>2200</v>
      </c>
      <c r="G6821" s="785">
        <v>4675</v>
      </c>
      <c r="H6821" s="785">
        <v>39375</v>
      </c>
      <c r="I6821" s="118">
        <f t="shared" ref="I6821:I6844" si="2312">H6821/E6821</f>
        <v>0.29466791393826003</v>
      </c>
      <c r="J6821" s="785">
        <v>143056</v>
      </c>
      <c r="K6821" s="22">
        <v>1998</v>
      </c>
      <c r="L6821" s="6">
        <v>2027</v>
      </c>
      <c r="M6821" s="125">
        <f t="shared" ref="M6821:M6834" si="2313">L6821-K6821</f>
        <v>29</v>
      </c>
      <c r="P6821" s="505">
        <v>15525</v>
      </c>
      <c r="Q6821" s="25">
        <f>184.27/1322.7</f>
        <v>0.13931352536478417</v>
      </c>
      <c r="W6821" s="285">
        <f t="shared" ref="W6821:W6834" si="2314">(P6821*Q6821)*(1+U6821)</f>
        <v>2162.842481288274</v>
      </c>
      <c r="X6821" s="443">
        <f t="shared" ref="X6821:X6835" si="2315">P6821/K6821</f>
        <v>7.7702702702702702</v>
      </c>
    </row>
    <row r="6822" spans="1:24" ht="15" customHeight="1">
      <c r="A6822" s="788">
        <v>45268</v>
      </c>
      <c r="B6822" s="4">
        <v>129200</v>
      </c>
      <c r="C6822" s="5">
        <v>0</v>
      </c>
      <c r="D6822" s="5">
        <v>2625</v>
      </c>
      <c r="E6822" s="5">
        <v>133675</v>
      </c>
      <c r="F6822" s="4">
        <v>3500</v>
      </c>
      <c r="G6822" s="5">
        <v>3450</v>
      </c>
      <c r="H6822" s="5">
        <v>34325</v>
      </c>
      <c r="I6822" s="118">
        <f t="shared" si="2312"/>
        <v>0.25677950252478027</v>
      </c>
      <c r="J6822" s="787">
        <v>144202</v>
      </c>
      <c r="K6822" s="22">
        <v>1995</v>
      </c>
      <c r="L6822" s="6">
        <v>2036</v>
      </c>
      <c r="M6822" s="125">
        <f t="shared" si="2313"/>
        <v>41</v>
      </c>
      <c r="P6822" s="505">
        <v>15425</v>
      </c>
      <c r="Q6822" s="25">
        <f>182.55/1307.9</f>
        <v>0.13957489104671611</v>
      </c>
      <c r="W6822" s="285">
        <f t="shared" si="2314"/>
        <v>2152.9426943955959</v>
      </c>
      <c r="X6822" s="443">
        <f t="shared" si="2315"/>
        <v>7.7318295739348368</v>
      </c>
    </row>
    <row r="6823" spans="1:24" ht="15" customHeight="1">
      <c r="A6823" s="790">
        <v>45271</v>
      </c>
      <c r="B6823" s="4">
        <v>126375</v>
      </c>
      <c r="C6823" s="5">
        <v>0</v>
      </c>
      <c r="D6823" s="5">
        <v>2625</v>
      </c>
      <c r="E6823" s="5">
        <v>130850</v>
      </c>
      <c r="F6823" s="4">
        <v>0</v>
      </c>
      <c r="G6823" s="5">
        <v>2825</v>
      </c>
      <c r="H6823" s="5">
        <v>31000</v>
      </c>
      <c r="I6823" s="118">
        <f t="shared" si="2312"/>
        <v>0.23691249522353841</v>
      </c>
      <c r="J6823" s="789">
        <v>144653</v>
      </c>
      <c r="K6823" s="22">
        <v>1985</v>
      </c>
      <c r="L6823" s="6">
        <v>2026.5</v>
      </c>
      <c r="M6823" s="125">
        <f t="shared" si="2313"/>
        <v>41.5</v>
      </c>
      <c r="P6823" s="505">
        <v>15500</v>
      </c>
      <c r="Q6823" s="25">
        <f>183.31/1318.3</f>
        <v>0.13905029204278238</v>
      </c>
      <c r="W6823" s="285">
        <f t="shared" si="2314"/>
        <v>2155.2795266631269</v>
      </c>
      <c r="X6823" s="443">
        <f t="shared" si="2315"/>
        <v>7.8085642317380355</v>
      </c>
    </row>
    <row r="6824" spans="1:24" ht="15" customHeight="1">
      <c r="A6824" s="793">
        <v>45272</v>
      </c>
      <c r="B6824" s="4">
        <v>123900</v>
      </c>
      <c r="C6824" s="5">
        <v>0</v>
      </c>
      <c r="D6824" s="5">
        <v>2625</v>
      </c>
      <c r="E6824" s="5">
        <v>128900</v>
      </c>
      <c r="F6824" s="4">
        <v>525</v>
      </c>
      <c r="G6824" s="5">
        <v>2475</v>
      </c>
      <c r="H6824" s="5">
        <v>40625</v>
      </c>
      <c r="I6824" s="118">
        <f t="shared" si="2312"/>
        <v>0.315166795965865</v>
      </c>
      <c r="J6824" s="792">
        <v>143172</v>
      </c>
      <c r="K6824" s="22">
        <v>2044</v>
      </c>
      <c r="L6824" s="6">
        <v>2077</v>
      </c>
      <c r="M6824" s="125">
        <f t="shared" si="2313"/>
        <v>33</v>
      </c>
      <c r="P6824" s="505">
        <v>15500</v>
      </c>
      <c r="Q6824" s="25">
        <f>183.08/1315.7</f>
        <v>0.13915026221783081</v>
      </c>
      <c r="W6824" s="285">
        <f t="shared" si="2314"/>
        <v>2156.8290643763776</v>
      </c>
      <c r="X6824" s="443">
        <f t="shared" si="2315"/>
        <v>7.5831702544031314</v>
      </c>
    </row>
    <row r="6825" spans="1:24" ht="15" customHeight="1">
      <c r="A6825" s="794">
        <v>45273</v>
      </c>
      <c r="B6825" s="4">
        <v>123625</v>
      </c>
      <c r="C6825" s="5">
        <v>0</v>
      </c>
      <c r="D6825" s="5">
        <v>2500</v>
      </c>
      <c r="E6825" s="5">
        <v>128500</v>
      </c>
      <c r="F6825" s="4">
        <v>900</v>
      </c>
      <c r="G6825" s="5">
        <v>1300</v>
      </c>
      <c r="H6825" s="5">
        <v>50150</v>
      </c>
      <c r="I6825" s="118">
        <f t="shared" si="2312"/>
        <v>0.39027237354085603</v>
      </c>
      <c r="J6825" s="5">
        <v>144075</v>
      </c>
      <c r="K6825" s="22">
        <v>2011.5</v>
      </c>
      <c r="L6825" s="6">
        <v>2043</v>
      </c>
      <c r="M6825" s="125">
        <f t="shared" si="2313"/>
        <v>31.5</v>
      </c>
      <c r="P6825" s="505">
        <v>15475</v>
      </c>
      <c r="Q6825" s="25">
        <f>183/1316.5</f>
        <v>0.13900493733383973</v>
      </c>
      <c r="W6825" s="285">
        <f t="shared" si="2314"/>
        <v>2151.1014052411697</v>
      </c>
      <c r="X6825" s="443">
        <f t="shared" si="2315"/>
        <v>7.6932637335321896</v>
      </c>
    </row>
    <row r="6826" spans="1:24" ht="15" customHeight="1">
      <c r="A6826" s="796">
        <v>45274</v>
      </c>
      <c r="B6826" s="4">
        <v>123675</v>
      </c>
      <c r="C6826" s="5">
        <v>0</v>
      </c>
      <c r="D6826" s="5">
        <v>1650</v>
      </c>
      <c r="E6826" s="5">
        <v>128650</v>
      </c>
      <c r="F6826" s="4">
        <v>2525</v>
      </c>
      <c r="G6826" s="5">
        <v>2375</v>
      </c>
      <c r="H6826" s="5">
        <v>51525</v>
      </c>
      <c r="I6826" s="118">
        <f t="shared" si="2312"/>
        <v>0.40050524679362609</v>
      </c>
      <c r="J6826" s="795">
        <v>142304</v>
      </c>
      <c r="K6826" s="22">
        <v>2034.5</v>
      </c>
      <c r="L6826" s="6">
        <v>2065</v>
      </c>
      <c r="M6826" s="125">
        <f t="shared" si="2313"/>
        <v>30.5</v>
      </c>
      <c r="P6826" s="505">
        <v>15475</v>
      </c>
      <c r="Q6826" s="25">
        <f>181.5/1295.6</f>
        <v>0.14008953380673048</v>
      </c>
      <c r="W6826" s="285">
        <f t="shared" si="2314"/>
        <v>2167.8855356591539</v>
      </c>
      <c r="X6826" s="443">
        <f t="shared" si="2315"/>
        <v>7.606291472106169</v>
      </c>
    </row>
    <row r="6827" spans="1:24" ht="15" customHeight="1">
      <c r="A6827" s="799">
        <v>45275</v>
      </c>
      <c r="B6827" s="4">
        <v>123275</v>
      </c>
      <c r="C6827" s="798">
        <v>0</v>
      </c>
      <c r="D6827" s="5">
        <v>1550</v>
      </c>
      <c r="E6827" s="798">
        <v>128150</v>
      </c>
      <c r="F6827" s="4">
        <v>825</v>
      </c>
      <c r="G6827" s="5">
        <v>1325</v>
      </c>
      <c r="H6827" s="5">
        <v>52500</v>
      </c>
      <c r="I6827" s="118">
        <f t="shared" si="2312"/>
        <v>0.40967616074912211</v>
      </c>
      <c r="J6827" s="797">
        <v>141455</v>
      </c>
      <c r="K6827" s="22">
        <v>2055.5</v>
      </c>
      <c r="L6827" s="6">
        <v>2085.5</v>
      </c>
      <c r="M6827" s="125">
        <f t="shared" si="2313"/>
        <v>30</v>
      </c>
      <c r="P6827" s="505">
        <v>15500</v>
      </c>
      <c r="Q6827" s="25">
        <f>181.72/1294.7</f>
        <v>0.14035683942225999</v>
      </c>
      <c r="W6827" s="285">
        <f t="shared" si="2314"/>
        <v>2175.53101104503</v>
      </c>
      <c r="X6827" s="443">
        <f t="shared" si="2315"/>
        <v>7.5407443444417419</v>
      </c>
    </row>
    <row r="6828" spans="1:24" ht="15" customHeight="1">
      <c r="A6828" s="800">
        <v>45278</v>
      </c>
      <c r="B6828" s="4">
        <v>123225</v>
      </c>
      <c r="C6828" s="801">
        <v>0</v>
      </c>
      <c r="D6828" s="5">
        <v>1425</v>
      </c>
      <c r="E6828" s="5">
        <v>130800</v>
      </c>
      <c r="F6828" s="4">
        <v>4375</v>
      </c>
      <c r="G6828" s="5">
        <v>1725</v>
      </c>
      <c r="H6828" s="5">
        <v>61950</v>
      </c>
      <c r="I6828" s="118">
        <f t="shared" si="2312"/>
        <v>0.47362385321100919</v>
      </c>
      <c r="J6828" s="5">
        <v>143479</v>
      </c>
      <c r="K6828" s="22">
        <v>2052</v>
      </c>
      <c r="L6828" s="6">
        <v>2092</v>
      </c>
      <c r="M6828" s="125">
        <f t="shared" si="2313"/>
        <v>40</v>
      </c>
      <c r="P6828" s="505">
        <v>15525</v>
      </c>
      <c r="Q6828" s="25">
        <f>181.93/1298.7</f>
        <v>0.1400862400862401</v>
      </c>
      <c r="W6828" s="285">
        <f t="shared" si="2314"/>
        <v>2174.8388773388774</v>
      </c>
      <c r="X6828" s="443">
        <f t="shared" si="2315"/>
        <v>7.5657894736842106</v>
      </c>
    </row>
    <row r="6829" spans="1:24" ht="15" customHeight="1">
      <c r="A6829" s="803">
        <v>45279</v>
      </c>
      <c r="B6829" s="4">
        <v>120725</v>
      </c>
      <c r="C6829" s="802">
        <v>0</v>
      </c>
      <c r="D6829" s="5">
        <v>1725</v>
      </c>
      <c r="E6829" s="5">
        <v>128600</v>
      </c>
      <c r="F6829" s="4">
        <v>625</v>
      </c>
      <c r="G6829" s="5">
        <v>2825</v>
      </c>
      <c r="H6829" s="5">
        <v>59125</v>
      </c>
      <c r="I6829" s="118">
        <f t="shared" si="2312"/>
        <v>0.4597589424572317</v>
      </c>
      <c r="J6829" s="804">
        <v>143350</v>
      </c>
      <c r="K6829" s="22">
        <v>2021.5</v>
      </c>
      <c r="L6829" s="6">
        <v>2062</v>
      </c>
      <c r="M6829" s="125">
        <f t="shared" si="2313"/>
        <v>40.5</v>
      </c>
      <c r="P6829" s="505">
        <v>15525</v>
      </c>
      <c r="Q6829" s="25">
        <f>182.56/1304.7</f>
        <v>0.13992488694719094</v>
      </c>
      <c r="W6829" s="285">
        <f t="shared" si="2314"/>
        <v>2172.3338698551393</v>
      </c>
      <c r="X6829" s="443">
        <f t="shared" si="2315"/>
        <v>7.6799406381399953</v>
      </c>
    </row>
    <row r="6830" spans="1:24" ht="15" customHeight="1">
      <c r="A6830" s="806">
        <v>45280</v>
      </c>
      <c r="B6830" s="4">
        <v>116925</v>
      </c>
      <c r="C6830" s="805">
        <v>0</v>
      </c>
      <c r="D6830" s="5">
        <v>1625</v>
      </c>
      <c r="E6830" s="5">
        <v>126300</v>
      </c>
      <c r="F6830" s="4">
        <v>2125</v>
      </c>
      <c r="G6830" s="5">
        <v>4425</v>
      </c>
      <c r="H6830" s="5">
        <v>56875</v>
      </c>
      <c r="I6830" s="118">
        <f t="shared" si="2312"/>
        <v>0.45031670625494852</v>
      </c>
      <c r="J6830" s="807">
        <v>141642</v>
      </c>
      <c r="K6830" s="22">
        <v>2045</v>
      </c>
      <c r="L6830" s="6">
        <v>2084</v>
      </c>
      <c r="M6830" s="125">
        <f t="shared" si="2313"/>
        <v>39</v>
      </c>
      <c r="P6830" s="505">
        <v>15525</v>
      </c>
      <c r="Q6830" s="25">
        <f>182.1/1300.2</f>
        <v>0.14005537609598523</v>
      </c>
      <c r="W6830" s="285">
        <f t="shared" si="2314"/>
        <v>2174.3597138901705</v>
      </c>
      <c r="X6830" s="443">
        <f t="shared" si="2315"/>
        <v>7.5916870415647919</v>
      </c>
    </row>
    <row r="6831" spans="1:24" ht="15" customHeight="1">
      <c r="A6831" s="809">
        <v>45281</v>
      </c>
      <c r="B6831" s="4">
        <v>118675</v>
      </c>
      <c r="C6831" s="808">
        <v>0</v>
      </c>
      <c r="D6831" s="5">
        <v>1550</v>
      </c>
      <c r="E6831" s="5">
        <v>127975</v>
      </c>
      <c r="F6831" s="4">
        <v>2800</v>
      </c>
      <c r="G6831" s="5">
        <v>1125</v>
      </c>
      <c r="H6831" s="5">
        <v>55750</v>
      </c>
      <c r="I6831" s="118">
        <f t="shared" si="2312"/>
        <v>0.43563195936706389</v>
      </c>
      <c r="J6831" s="810">
        <v>139984</v>
      </c>
      <c r="K6831" s="22">
        <v>2046.5</v>
      </c>
      <c r="L6831" s="6">
        <v>2074</v>
      </c>
      <c r="M6831" s="125">
        <f t="shared" si="2313"/>
        <v>27.5</v>
      </c>
      <c r="P6831" s="505">
        <v>15525</v>
      </c>
      <c r="Q6831" s="25">
        <f>182.39/1303.8</f>
        <v>0.13989108759012117</v>
      </c>
      <c r="W6831" s="285">
        <f t="shared" si="2314"/>
        <v>2171.8091348366311</v>
      </c>
      <c r="X6831" s="443">
        <f t="shared" si="2315"/>
        <v>7.5861226484241389</v>
      </c>
    </row>
    <row r="6832" spans="1:24" ht="15" customHeight="1">
      <c r="A6832" s="812">
        <v>45282</v>
      </c>
      <c r="B6832" s="4">
        <v>119400</v>
      </c>
      <c r="C6832" s="811">
        <v>0</v>
      </c>
      <c r="D6832" s="5">
        <v>1550</v>
      </c>
      <c r="E6832" s="5">
        <v>128700</v>
      </c>
      <c r="F6832" s="4">
        <v>775</v>
      </c>
      <c r="G6832" s="5">
        <v>50</v>
      </c>
      <c r="H6832" s="5">
        <v>55700</v>
      </c>
      <c r="I6832" s="118">
        <f t="shared" si="2312"/>
        <v>0.43278943278943277</v>
      </c>
      <c r="J6832" s="5">
        <v>140073</v>
      </c>
      <c r="K6832" s="22">
        <v>2040</v>
      </c>
      <c r="L6832" s="6">
        <v>2070.5</v>
      </c>
      <c r="M6832" s="125">
        <f t="shared" si="2313"/>
        <v>30.5</v>
      </c>
      <c r="P6832" s="505">
        <v>15525</v>
      </c>
      <c r="Q6832" s="25">
        <f>181.85/1300.7</f>
        <v>0.13980933343584223</v>
      </c>
      <c r="W6832" s="285">
        <f t="shared" si="2314"/>
        <v>2170.5399015914504</v>
      </c>
      <c r="X6832" s="443">
        <f t="shared" si="2315"/>
        <v>7.6102941176470589</v>
      </c>
    </row>
    <row r="6833" spans="1:24" ht="15" customHeight="1">
      <c r="A6833" s="816">
        <v>45287</v>
      </c>
      <c r="B6833" s="4">
        <v>118450</v>
      </c>
      <c r="C6833" s="815">
        <v>0</v>
      </c>
      <c r="D6833" s="5">
        <v>1550</v>
      </c>
      <c r="E6833" s="5">
        <v>127750</v>
      </c>
      <c r="F6833" s="4">
        <v>0</v>
      </c>
      <c r="G6833" s="5">
        <v>950</v>
      </c>
      <c r="H6833" s="5">
        <v>55250</v>
      </c>
      <c r="I6833" s="118">
        <f t="shared" si="2312"/>
        <v>0.43248532289628178</v>
      </c>
      <c r="J6833" s="5">
        <v>139386</v>
      </c>
      <c r="K6833" s="22">
        <v>2046</v>
      </c>
      <c r="L6833" s="6">
        <v>2080</v>
      </c>
      <c r="M6833" s="125">
        <f t="shared" si="2313"/>
        <v>34</v>
      </c>
      <c r="P6833" s="505">
        <v>15550</v>
      </c>
      <c r="Q6833" s="25">
        <f>181.04/1294.4</f>
        <v>0.13986402966625461</v>
      </c>
      <c r="W6833" s="285">
        <f t="shared" si="2314"/>
        <v>2174.8856613102594</v>
      </c>
      <c r="X6833" s="443">
        <f t="shared" si="2315"/>
        <v>7.6001955034213102</v>
      </c>
    </row>
    <row r="6834" spans="1:24" ht="15" customHeight="1">
      <c r="A6834" s="818">
        <v>45288</v>
      </c>
      <c r="B6834" s="4">
        <v>115250</v>
      </c>
      <c r="C6834" s="817">
        <v>0</v>
      </c>
      <c r="D6834" s="5">
        <v>1550</v>
      </c>
      <c r="E6834" s="5">
        <v>124550</v>
      </c>
      <c r="F6834" s="4">
        <v>0</v>
      </c>
      <c r="G6834" s="5">
        <v>3200</v>
      </c>
      <c r="H6834" s="5">
        <v>52050</v>
      </c>
      <c r="I6834" s="118">
        <f t="shared" si="2312"/>
        <v>0.41790445604175031</v>
      </c>
      <c r="J6834" s="5">
        <v>138982</v>
      </c>
      <c r="K6834" s="22">
        <v>2054</v>
      </c>
      <c r="L6834" s="6">
        <v>2083</v>
      </c>
      <c r="M6834" s="125">
        <f t="shared" si="2313"/>
        <v>29</v>
      </c>
      <c r="P6834" s="505">
        <v>15625</v>
      </c>
      <c r="Q6834" s="25">
        <f>180.84/1289.4</f>
        <v>0.14025127966496043</v>
      </c>
      <c r="W6834" s="285">
        <f t="shared" si="2314"/>
        <v>2191.4262447650067</v>
      </c>
      <c r="X6834" s="443">
        <f t="shared" si="2315"/>
        <v>7.6071080817916261</v>
      </c>
    </row>
    <row r="6835" spans="1:24" ht="15" customHeight="1">
      <c r="A6835" s="820">
        <v>45289</v>
      </c>
      <c r="B6835" s="4">
        <v>126400</v>
      </c>
      <c r="C6835" s="819">
        <v>0</v>
      </c>
      <c r="D6835" s="5">
        <v>1550</v>
      </c>
      <c r="E6835" s="5">
        <v>135700</v>
      </c>
      <c r="F6835" s="4">
        <v>11150</v>
      </c>
      <c r="G6835" s="5">
        <v>0</v>
      </c>
      <c r="H6835" s="5">
        <v>52050</v>
      </c>
      <c r="I6835" s="118">
        <f t="shared" si="2312"/>
        <v>0.38356669123065584</v>
      </c>
      <c r="J6835" s="5">
        <v>140227</v>
      </c>
      <c r="K6835" s="22">
        <v>2031</v>
      </c>
      <c r="L6835" s="6">
        <v>2068</v>
      </c>
      <c r="M6835" s="125">
        <f>L6835-K6835</f>
        <v>37</v>
      </c>
      <c r="N6835" s="448">
        <f>AVERAGE($K$6817:K6835)</f>
        <v>2036.3947368421052</v>
      </c>
      <c r="O6835" s="395">
        <f>AVERAGE($K$6567:K6835)</f>
        <v>2138.1832669322707</v>
      </c>
      <c r="P6835" s="505">
        <v>15625</v>
      </c>
      <c r="Q6835" s="25">
        <f>180.84/1289.4</f>
        <v>0.14025127966496043</v>
      </c>
      <c r="W6835" s="285">
        <f>(P6835*Q6835)*(1+U6835)</f>
        <v>2191.4262447650067</v>
      </c>
      <c r="X6835" s="443">
        <f t="shared" si="2315"/>
        <v>7.6932545544066961</v>
      </c>
    </row>
    <row r="6836" spans="1:24" ht="15" customHeight="1" thickBot="1">
      <c r="A6836" s="821"/>
      <c r="B6836" s="821"/>
      <c r="C6836" s="821"/>
      <c r="D6836" s="821"/>
      <c r="E6836" s="216"/>
      <c r="F6836" s="407"/>
      <c r="G6836" s="164"/>
      <c r="H6836" s="164"/>
      <c r="I6836" s="166"/>
      <c r="J6836" s="166"/>
      <c r="K6836" s="166"/>
      <c r="L6836" s="167"/>
      <c r="M6836" s="167"/>
      <c r="N6836" s="167"/>
      <c r="O6836" s="180"/>
      <c r="P6836" s="180"/>
      <c r="Q6836" s="180"/>
      <c r="R6836" s="248"/>
      <c r="S6836" s="249"/>
      <c r="T6836" s="249"/>
      <c r="U6836" s="152"/>
      <c r="V6836" s="153">
        <f>AVERAGE(P6817:P6835)</f>
        <v>15555.263157894737</v>
      </c>
      <c r="W6836" s="152"/>
      <c r="X6836" s="447">
        <f>V6836/N6835</f>
        <v>7.6386286393652352</v>
      </c>
    </row>
    <row r="6837" spans="1:24" ht="15" customHeight="1">
      <c r="A6837" s="823">
        <v>45293</v>
      </c>
      <c r="B6837" s="4">
        <v>124600</v>
      </c>
      <c r="C6837" s="822">
        <v>0</v>
      </c>
      <c r="D6837" s="5">
        <v>1550</v>
      </c>
      <c r="E6837" s="5">
        <v>133900</v>
      </c>
      <c r="F6837" s="4">
        <v>0</v>
      </c>
      <c r="G6837" s="5">
        <v>1800</v>
      </c>
      <c r="H6837" s="5">
        <v>50250</v>
      </c>
      <c r="I6837" s="118">
        <f t="shared" si="2312"/>
        <v>0.37528005974607914</v>
      </c>
      <c r="J6837" s="5">
        <v>137995</v>
      </c>
      <c r="K6837" s="22">
        <v>2033</v>
      </c>
      <c r="L6837" s="6">
        <v>2067</v>
      </c>
      <c r="M6837" s="125">
        <f t="shared" ref="M6837:M6844" si="2316">L6837-K6837</f>
        <v>34</v>
      </c>
      <c r="P6837" s="505">
        <v>15700</v>
      </c>
      <c r="Q6837" s="25">
        <f>182.63/1299.3</f>
        <v>0.14056030170091588</v>
      </c>
      <c r="W6837" s="285">
        <f t="shared" ref="W6837:W6844" si="2317">(P6837*Q6837)*(1+U6837)</f>
        <v>2206.7967367043793</v>
      </c>
      <c r="X6837" s="443">
        <f t="shared" ref="X6837:X6844" si="2318">P6837/K6837</f>
        <v>7.7225774717166749</v>
      </c>
    </row>
    <row r="6838" spans="1:24" ht="15" customHeight="1">
      <c r="A6838" s="825">
        <v>45294</v>
      </c>
      <c r="B6838" s="4">
        <v>122800</v>
      </c>
      <c r="C6838" s="824">
        <v>0</v>
      </c>
      <c r="D6838" s="5">
        <v>1550</v>
      </c>
      <c r="E6838" s="5">
        <v>132100</v>
      </c>
      <c r="F6838" s="4">
        <v>0</v>
      </c>
      <c r="G6838" s="5">
        <v>1800</v>
      </c>
      <c r="H6838" s="5">
        <v>48450</v>
      </c>
      <c r="I6838" s="118">
        <f t="shared" si="2312"/>
        <v>0.36676760030280092</v>
      </c>
      <c r="J6838" s="824">
        <v>137319</v>
      </c>
      <c r="K6838" s="22">
        <v>2025</v>
      </c>
      <c r="L6838" s="6">
        <v>2060</v>
      </c>
      <c r="M6838" s="125">
        <f t="shared" si="2316"/>
        <v>35</v>
      </c>
      <c r="P6838" s="505">
        <v>15725</v>
      </c>
      <c r="Q6838" s="25">
        <f>183.19/1308.8</f>
        <v>0.13996790953545232</v>
      </c>
      <c r="W6838" s="285">
        <f t="shared" si="2317"/>
        <v>2200.9953774449878</v>
      </c>
      <c r="X6838" s="443">
        <f t="shared" si="2318"/>
        <v>7.7654320987654319</v>
      </c>
    </row>
    <row r="6839" spans="1:24" ht="15" customHeight="1">
      <c r="A6839" s="828">
        <v>45295</v>
      </c>
      <c r="B6839" s="4">
        <v>121150</v>
      </c>
      <c r="C6839" s="827">
        <v>0</v>
      </c>
      <c r="D6839" s="5">
        <v>1550</v>
      </c>
      <c r="E6839" s="5">
        <v>130450</v>
      </c>
      <c r="F6839" s="4">
        <v>900</v>
      </c>
      <c r="G6839" s="5">
        <v>2550</v>
      </c>
      <c r="H6839" s="5">
        <v>45900</v>
      </c>
      <c r="I6839" s="118">
        <f t="shared" si="2312"/>
        <v>0.35185894978919124</v>
      </c>
      <c r="J6839" s="827">
        <v>139749</v>
      </c>
      <c r="K6839" s="22">
        <v>2012</v>
      </c>
      <c r="L6839" s="6">
        <v>2045</v>
      </c>
      <c r="M6839" s="125">
        <f t="shared" si="2316"/>
        <v>33</v>
      </c>
      <c r="P6839" s="505">
        <v>15775</v>
      </c>
      <c r="Q6839" s="25">
        <f>182.94/1310.2</f>
        <v>0.13962753778049153</v>
      </c>
      <c r="W6839" s="285">
        <f t="shared" si="2317"/>
        <v>2202.6244084872537</v>
      </c>
      <c r="X6839" s="443">
        <f t="shared" si="2318"/>
        <v>7.8404572564612325</v>
      </c>
    </row>
    <row r="6840" spans="1:24" ht="15" customHeight="1">
      <c r="A6840" s="830">
        <v>45296</v>
      </c>
      <c r="B6840" s="4">
        <v>118475</v>
      </c>
      <c r="C6840" s="829">
        <v>0</v>
      </c>
      <c r="D6840" s="5">
        <v>1550</v>
      </c>
      <c r="E6840" s="5">
        <v>127725</v>
      </c>
      <c r="F6840" s="4">
        <v>625</v>
      </c>
      <c r="G6840" s="5">
        <v>3350</v>
      </c>
      <c r="H6840" s="5">
        <v>42800</v>
      </c>
      <c r="I6840" s="118">
        <f t="shared" si="2312"/>
        <v>0.33509493051477784</v>
      </c>
      <c r="J6840" s="5">
        <v>140415</v>
      </c>
      <c r="K6840" s="22">
        <v>2024</v>
      </c>
      <c r="L6840" s="6">
        <v>2055</v>
      </c>
      <c r="M6840" s="125">
        <f t="shared" si="2316"/>
        <v>31</v>
      </c>
      <c r="P6840" s="505">
        <v>15850</v>
      </c>
      <c r="Q6840" s="25">
        <f>183/1313.7</f>
        <v>0.13930121032199133</v>
      </c>
      <c r="W6840" s="285">
        <f t="shared" si="2317"/>
        <v>2207.9241836035626</v>
      </c>
      <c r="X6840" s="443">
        <f t="shared" si="2318"/>
        <v>7.8310276679841895</v>
      </c>
    </row>
    <row r="6841" spans="1:24" ht="15" customHeight="1">
      <c r="A6841" s="831">
        <v>45299</v>
      </c>
      <c r="B6841" s="4">
        <v>117150</v>
      </c>
      <c r="C6841" s="5">
        <v>0</v>
      </c>
      <c r="D6841" s="5">
        <v>1550</v>
      </c>
      <c r="E6841" s="5">
        <v>126400</v>
      </c>
      <c r="F6841" s="4">
        <v>0</v>
      </c>
      <c r="G6841" s="5">
        <v>1325</v>
      </c>
      <c r="H6841" s="5">
        <v>41825</v>
      </c>
      <c r="I6841" s="118">
        <f t="shared" si="2312"/>
        <v>0.33089398734177217</v>
      </c>
      <c r="J6841" s="5">
        <v>140666</v>
      </c>
      <c r="K6841" s="22">
        <v>2030</v>
      </c>
      <c r="L6841" s="6">
        <v>2061</v>
      </c>
      <c r="M6841" s="125">
        <f t="shared" si="2316"/>
        <v>31</v>
      </c>
      <c r="P6841" s="505">
        <v>15900</v>
      </c>
      <c r="Q6841" s="25">
        <f>183.47/1314.8</f>
        <v>0.13954213568603591</v>
      </c>
      <c r="W6841" s="285">
        <f t="shared" si="2317"/>
        <v>2218.7199574079709</v>
      </c>
      <c r="X6841" s="443">
        <f t="shared" si="2318"/>
        <v>7.8325123152709359</v>
      </c>
    </row>
    <row r="6842" spans="1:24" ht="15" customHeight="1">
      <c r="A6842" s="832">
        <v>45300</v>
      </c>
      <c r="B6842" s="4">
        <v>115675</v>
      </c>
      <c r="C6842" s="5">
        <v>0</v>
      </c>
      <c r="D6842" s="5">
        <v>1550</v>
      </c>
      <c r="E6842" s="5">
        <v>124925</v>
      </c>
      <c r="F6842" s="4">
        <v>25</v>
      </c>
      <c r="G6842" s="5">
        <v>1500</v>
      </c>
      <c r="H6842" s="5">
        <v>40325</v>
      </c>
      <c r="I6842" s="118">
        <f t="shared" si="2312"/>
        <v>0.32279367620572341</v>
      </c>
      <c r="J6842" s="5">
        <v>142626</v>
      </c>
      <c r="K6842" s="22">
        <v>2033</v>
      </c>
      <c r="L6842" s="6">
        <v>2067</v>
      </c>
      <c r="M6842" s="125">
        <f t="shared" si="2316"/>
        <v>34</v>
      </c>
      <c r="P6842" s="505">
        <v>15950</v>
      </c>
      <c r="Q6842" s="25">
        <f>182.96/1312.1</f>
        <v>0.13944059141833703</v>
      </c>
      <c r="W6842" s="285">
        <f t="shared" si="2317"/>
        <v>2224.0774331224757</v>
      </c>
      <c r="X6842" s="443">
        <f t="shared" si="2318"/>
        <v>7.8455484505656665</v>
      </c>
    </row>
    <row r="6843" spans="1:24" ht="15" customHeight="1">
      <c r="A6843" s="833">
        <v>45301</v>
      </c>
      <c r="B6843" s="4">
        <v>114100</v>
      </c>
      <c r="C6843" s="5">
        <v>0</v>
      </c>
      <c r="D6843" s="5">
        <v>1550</v>
      </c>
      <c r="E6843" s="5">
        <v>123350</v>
      </c>
      <c r="F6843" s="4">
        <v>0</v>
      </c>
      <c r="G6843" s="5">
        <v>1575</v>
      </c>
      <c r="H6843" s="5">
        <v>38750</v>
      </c>
      <c r="I6843" s="118">
        <f t="shared" si="2312"/>
        <v>0.31414673692744222</v>
      </c>
      <c r="J6843" s="5">
        <v>144180</v>
      </c>
      <c r="K6843" s="22">
        <v>2050.5</v>
      </c>
      <c r="L6843" s="6">
        <v>2084</v>
      </c>
      <c r="M6843" s="125">
        <f t="shared" si="2316"/>
        <v>33.5</v>
      </c>
      <c r="P6843" s="505">
        <v>16050</v>
      </c>
      <c r="Q6843" s="25">
        <f>183.83/1320.1</f>
        <v>0.13925460192409667</v>
      </c>
      <c r="W6843" s="285">
        <f t="shared" si="2317"/>
        <v>2235.0363608817515</v>
      </c>
      <c r="X6843" s="443">
        <f t="shared" si="2318"/>
        <v>7.8273591806876368</v>
      </c>
    </row>
    <row r="6844" spans="1:24" ht="15" customHeight="1">
      <c r="A6844" s="835">
        <v>45302</v>
      </c>
      <c r="B6844" s="4">
        <v>111900</v>
      </c>
      <c r="C6844" s="5">
        <v>0</v>
      </c>
      <c r="D6844" s="5">
        <v>1550</v>
      </c>
      <c r="E6844" s="5">
        <v>121150</v>
      </c>
      <c r="F6844" s="4">
        <v>0</v>
      </c>
      <c r="G6844" s="5">
        <v>2200</v>
      </c>
      <c r="H6844" s="5">
        <v>36550</v>
      </c>
      <c r="I6844" s="118">
        <f t="shared" si="2312"/>
        <v>0.30169211721007017</v>
      </c>
      <c r="J6844" s="834">
        <v>143442</v>
      </c>
      <c r="K6844" s="22">
        <v>2095</v>
      </c>
      <c r="L6844" s="6">
        <v>2117</v>
      </c>
      <c r="M6844" s="125">
        <f t="shared" si="2316"/>
        <v>22</v>
      </c>
      <c r="N6844" s="449"/>
      <c r="O6844" s="462"/>
      <c r="P6844" s="505">
        <v>16175</v>
      </c>
      <c r="Q6844" s="25">
        <f>183.51/1316</f>
        <v>0.13944528875379938</v>
      </c>
      <c r="W6844" s="285">
        <f t="shared" si="2317"/>
        <v>2255.5275455927049</v>
      </c>
      <c r="X6844" s="443">
        <f t="shared" si="2318"/>
        <v>7.7207637231503581</v>
      </c>
    </row>
    <row r="6845" spans="1:24" ht="15" customHeight="1">
      <c r="A6845" s="837">
        <v>45303</v>
      </c>
      <c r="B6845" s="4">
        <v>110400</v>
      </c>
      <c r="C6845" s="836">
        <v>0</v>
      </c>
      <c r="D6845" s="836">
        <v>1550</v>
      </c>
      <c r="E6845" s="836">
        <v>119650</v>
      </c>
      <c r="F6845" s="4">
        <v>0</v>
      </c>
      <c r="G6845" s="836">
        <v>1500</v>
      </c>
      <c r="H6845" s="836">
        <v>35800</v>
      </c>
      <c r="I6845" s="118">
        <f t="shared" ref="I6845" si="2319">H6845/E6845</f>
        <v>0.29920601755119097</v>
      </c>
      <c r="J6845" s="836">
        <v>143647</v>
      </c>
      <c r="K6845" s="22">
        <v>2058</v>
      </c>
      <c r="L6845" s="6">
        <v>2088.5</v>
      </c>
      <c r="M6845" s="125">
        <f t="shared" ref="M6845" si="2320">L6845-K6845</f>
        <v>30.5</v>
      </c>
      <c r="N6845" s="449"/>
      <c r="O6845" s="462"/>
      <c r="P6845" s="505">
        <v>16250</v>
      </c>
      <c r="Q6845" s="25">
        <f>183.35/1314.1</f>
        <v>0.13952515029297619</v>
      </c>
      <c r="W6845" s="285">
        <f t="shared" ref="W6845" si="2321">(P6845*Q6845)*(1+U6845)</f>
        <v>2267.2836922608631</v>
      </c>
      <c r="X6845" s="443">
        <f t="shared" ref="X6845" si="2322">P6845/K6845</f>
        <v>7.8960155490767736</v>
      </c>
    </row>
    <row r="6846" spans="1:24" ht="15" customHeight="1">
      <c r="A6846" s="839">
        <v>45306</v>
      </c>
      <c r="B6846" s="4">
        <v>109800</v>
      </c>
      <c r="C6846" s="838">
        <v>0</v>
      </c>
      <c r="D6846" s="838">
        <v>1550</v>
      </c>
      <c r="E6846" s="838">
        <v>119050</v>
      </c>
      <c r="F6846" s="4">
        <v>900</v>
      </c>
      <c r="G6846" s="838">
        <v>1500</v>
      </c>
      <c r="H6846" s="838">
        <v>35050</v>
      </c>
      <c r="I6846" s="118">
        <f t="shared" ref="I6846" si="2323">H6846/E6846</f>
        <v>0.29441411171776566</v>
      </c>
      <c r="J6846" s="838">
        <v>146250</v>
      </c>
      <c r="K6846" s="22">
        <v>2078</v>
      </c>
      <c r="L6846" s="6">
        <v>2099</v>
      </c>
      <c r="M6846" s="125">
        <f t="shared" ref="M6846" si="2324">L6846-K6846</f>
        <v>21</v>
      </c>
      <c r="N6846" s="449"/>
      <c r="O6846" s="462"/>
      <c r="P6846" s="505">
        <v>16025</v>
      </c>
      <c r="Q6846" s="25">
        <f>183.63/1319.3</f>
        <v>0.13918744788903206</v>
      </c>
      <c r="W6846" s="285">
        <f t="shared" ref="W6846" si="2325">(P6846*Q6846)*(1+U6846)</f>
        <v>2230.4788524217388</v>
      </c>
      <c r="X6846" s="443">
        <f t="shared" ref="X6846" si="2326">P6846/K6846</f>
        <v>7.7117420596727619</v>
      </c>
    </row>
    <row r="6847" spans="1:24" ht="15" customHeight="1">
      <c r="A6847" s="841">
        <v>45307</v>
      </c>
      <c r="B6847" s="4">
        <v>107125</v>
      </c>
      <c r="C6847" s="840">
        <v>0</v>
      </c>
      <c r="D6847" s="840">
        <v>1550</v>
      </c>
      <c r="E6847" s="840">
        <v>116375</v>
      </c>
      <c r="F6847" s="4">
        <v>25</v>
      </c>
      <c r="G6847" s="840">
        <v>2700</v>
      </c>
      <c r="H6847" s="840">
        <v>32350</v>
      </c>
      <c r="I6847" s="118">
        <f t="shared" ref="I6847" si="2327">H6847/E6847</f>
        <v>0.27798066595059079</v>
      </c>
      <c r="J6847" s="840">
        <v>144316</v>
      </c>
      <c r="K6847" s="22">
        <v>2086</v>
      </c>
      <c r="L6847" s="6">
        <v>2108</v>
      </c>
      <c r="M6847" s="125">
        <f t="shared" ref="M6847" si="2328">L6847-K6847</f>
        <v>22</v>
      </c>
      <c r="N6847" s="449"/>
      <c r="O6847" s="462"/>
      <c r="P6847" s="505">
        <v>16025</v>
      </c>
      <c r="Q6847" s="25">
        <f>184.7/1329</f>
        <v>0.13897667419112114</v>
      </c>
      <c r="W6847" s="285">
        <f t="shared" ref="W6847" si="2329">(P6847*Q6847)*(1+U6847)</f>
        <v>2227.1012039127163</v>
      </c>
      <c r="X6847" s="443">
        <f t="shared" ref="X6847" si="2330">P6847/K6847</f>
        <v>7.6821668264621286</v>
      </c>
    </row>
    <row r="6848" spans="1:24" ht="15" customHeight="1">
      <c r="A6848" s="843">
        <v>45308</v>
      </c>
      <c r="B6848" s="4">
        <v>105100</v>
      </c>
      <c r="C6848" s="842">
        <v>0</v>
      </c>
      <c r="D6848" s="842">
        <v>1550</v>
      </c>
      <c r="E6848" s="844">
        <v>114350</v>
      </c>
      <c r="F6848" s="4">
        <v>0</v>
      </c>
      <c r="G6848" s="844">
        <v>2025</v>
      </c>
      <c r="H6848" s="842">
        <v>30975</v>
      </c>
      <c r="I6848" s="118">
        <f t="shared" ref="I6848" si="2331">H6848/E6848</f>
        <v>0.27087888062964582</v>
      </c>
      <c r="J6848" s="842">
        <v>141122</v>
      </c>
      <c r="K6848" s="22">
        <v>2033</v>
      </c>
      <c r="L6848" s="6">
        <v>2061</v>
      </c>
      <c r="M6848" s="125">
        <f t="shared" ref="M6848" si="2332">L6848-K6848</f>
        <v>28</v>
      </c>
      <c r="N6848" s="449"/>
      <c r="O6848" s="462"/>
      <c r="P6848" s="505">
        <v>16025</v>
      </c>
      <c r="Q6848" s="25">
        <f>186.19/1343.2</f>
        <v>0.13861673615247169</v>
      </c>
      <c r="W6848" s="285">
        <f t="shared" ref="W6848" si="2333">(P6848*Q6848)*(1+U6848)</f>
        <v>2221.333196843359</v>
      </c>
      <c r="X6848" s="443">
        <f t="shared" ref="X6848" si="2334">P6848/K6848</f>
        <v>7.8824397442203642</v>
      </c>
    </row>
    <row r="6849" spans="1:24" ht="15" customHeight="1">
      <c r="A6849" s="846">
        <v>45309</v>
      </c>
      <c r="B6849" s="4">
        <v>103375</v>
      </c>
      <c r="C6849" s="845">
        <v>0</v>
      </c>
      <c r="D6849" s="845">
        <v>1550</v>
      </c>
      <c r="E6849" s="845">
        <v>112625</v>
      </c>
      <c r="F6849" s="4">
        <v>0</v>
      </c>
      <c r="G6849" s="845">
        <v>1725</v>
      </c>
      <c r="H6849" s="845">
        <v>29250</v>
      </c>
      <c r="I6849" s="118">
        <f t="shared" ref="I6849" si="2335">H6849/E6849</f>
        <v>0.25971143174250833</v>
      </c>
      <c r="J6849" s="845">
        <v>139020</v>
      </c>
      <c r="K6849" s="22">
        <v>2030</v>
      </c>
      <c r="L6849" s="6">
        <v>2061</v>
      </c>
      <c r="M6849" s="125">
        <f t="shared" ref="M6849:M6851" si="2336">L6849-K6849</f>
        <v>31</v>
      </c>
      <c r="P6849" s="505">
        <v>16050</v>
      </c>
      <c r="Q6849" s="25">
        <f>186.06/1342.4</f>
        <v>0.13860250297973778</v>
      </c>
      <c r="W6849" s="285">
        <f t="shared" ref="W6849" si="2337">(P6849*Q6849)*(1+U6849)</f>
        <v>2224.5701728247914</v>
      </c>
      <c r="X6849" s="443">
        <f t="shared" ref="X6849" si="2338">P6849/K6849</f>
        <v>7.9064039408866993</v>
      </c>
    </row>
    <row r="6850" spans="1:24" ht="15" customHeight="1">
      <c r="A6850" s="848">
        <v>45310</v>
      </c>
      <c r="B6850" s="4">
        <v>102975</v>
      </c>
      <c r="C6850" s="847">
        <v>0</v>
      </c>
      <c r="D6850" s="5">
        <v>1550</v>
      </c>
      <c r="E6850" s="5">
        <v>112225</v>
      </c>
      <c r="F6850" s="4">
        <v>0</v>
      </c>
      <c r="G6850" s="5">
        <v>400</v>
      </c>
      <c r="H6850" s="5">
        <v>28850</v>
      </c>
      <c r="I6850" s="118">
        <f t="shared" ref="I6850:I6860" si="2339">H6850/E6850</f>
        <v>0.25707284473156605</v>
      </c>
      <c r="J6850" s="5">
        <v>138350</v>
      </c>
      <c r="K6850" s="22">
        <v>2077</v>
      </c>
      <c r="L6850" s="6">
        <v>2093</v>
      </c>
      <c r="M6850" s="125">
        <f t="shared" si="2336"/>
        <v>16</v>
      </c>
      <c r="P6850" s="505">
        <v>16200</v>
      </c>
      <c r="Q6850" s="25">
        <f>185.35/1336.5</f>
        <v>0.13868312757201645</v>
      </c>
      <c r="W6850" s="285">
        <f t="shared" ref="W6850:W6858" si="2340">(P6850*Q6850)*(1+U6850)</f>
        <v>2246.6666666666665</v>
      </c>
      <c r="X6850" s="443">
        <f t="shared" ref="X6850:X6858" si="2341">P6850/K6850</f>
        <v>7.7997111218103035</v>
      </c>
    </row>
    <row r="6851" spans="1:24" ht="15" customHeight="1">
      <c r="A6851" s="850">
        <v>45313</v>
      </c>
      <c r="B6851" s="4">
        <v>102875</v>
      </c>
      <c r="C6851" s="849">
        <v>0</v>
      </c>
      <c r="D6851" s="5">
        <v>1550</v>
      </c>
      <c r="E6851" s="5">
        <v>111325</v>
      </c>
      <c r="F6851" s="4">
        <v>25</v>
      </c>
      <c r="G6851" s="5">
        <v>925</v>
      </c>
      <c r="H6851" s="5">
        <v>27925</v>
      </c>
      <c r="I6851" s="118">
        <f t="shared" si="2339"/>
        <v>0.25084212890186391</v>
      </c>
      <c r="J6851" s="5">
        <v>139089</v>
      </c>
      <c r="K6851" s="22">
        <v>2087</v>
      </c>
      <c r="L6851" s="6">
        <v>2099.5</v>
      </c>
      <c r="M6851" s="125">
        <f t="shared" si="2336"/>
        <v>12.5</v>
      </c>
      <c r="P6851" s="505">
        <v>16300</v>
      </c>
      <c r="Q6851" s="25">
        <f>185.11/1334.7</f>
        <v>0.13869034239904099</v>
      </c>
      <c r="W6851" s="285">
        <f t="shared" si="2340"/>
        <v>2260.652581104368</v>
      </c>
      <c r="X6851" s="443">
        <f t="shared" si="2341"/>
        <v>7.8102539530426451</v>
      </c>
    </row>
    <row r="6852" spans="1:24" ht="15" customHeight="1">
      <c r="A6852" s="852">
        <v>45314</v>
      </c>
      <c r="B6852" s="4">
        <v>101900</v>
      </c>
      <c r="C6852" s="851">
        <v>0</v>
      </c>
      <c r="D6852" s="5">
        <v>1550</v>
      </c>
      <c r="E6852" s="5">
        <v>110350</v>
      </c>
      <c r="F6852" s="4">
        <v>275</v>
      </c>
      <c r="G6852" s="5">
        <v>1250</v>
      </c>
      <c r="H6852" s="5">
        <v>26775</v>
      </c>
      <c r="I6852" s="118">
        <f t="shared" si="2339"/>
        <v>0.24263706388763026</v>
      </c>
      <c r="J6852" s="5">
        <v>137618</v>
      </c>
      <c r="K6852" s="22">
        <v>2162</v>
      </c>
      <c r="L6852" s="6">
        <v>2153</v>
      </c>
      <c r="M6852" s="125">
        <f t="shared" ref="M6852:M6860" si="2342">L6852-K6852</f>
        <v>-9</v>
      </c>
      <c r="P6852" s="505">
        <v>16400</v>
      </c>
      <c r="Q6852" s="25">
        <f>186/1336</f>
        <v>0.13922155688622753</v>
      </c>
      <c r="W6852" s="285">
        <f t="shared" si="2340"/>
        <v>2283.2335329341317</v>
      </c>
      <c r="X6852" s="443">
        <f t="shared" si="2341"/>
        <v>7.5855689176688248</v>
      </c>
    </row>
    <row r="6853" spans="1:24" ht="15" customHeight="1">
      <c r="A6853" s="854">
        <v>45315</v>
      </c>
      <c r="B6853" s="4">
        <v>100225</v>
      </c>
      <c r="C6853" s="853">
        <v>0</v>
      </c>
      <c r="D6853" s="5">
        <v>1550</v>
      </c>
      <c r="E6853" s="5">
        <v>108475</v>
      </c>
      <c r="F6853" s="4">
        <v>25</v>
      </c>
      <c r="G6853" s="5">
        <v>1900</v>
      </c>
      <c r="H6853" s="5">
        <v>24875</v>
      </c>
      <c r="I6853" s="118">
        <f t="shared" si="2339"/>
        <v>0.22931551048628715</v>
      </c>
      <c r="J6853" s="5">
        <v>134915</v>
      </c>
      <c r="K6853" s="22">
        <v>2175.5</v>
      </c>
      <c r="L6853" s="6">
        <v>2168.5</v>
      </c>
      <c r="M6853" s="125">
        <f t="shared" si="2342"/>
        <v>-7</v>
      </c>
      <c r="P6853" s="505">
        <v>16475</v>
      </c>
      <c r="Q6853" s="25">
        <f>186.65/1339.1</f>
        <v>0.13938466133970578</v>
      </c>
      <c r="W6853" s="285">
        <f t="shared" si="2340"/>
        <v>2296.3622955716528</v>
      </c>
      <c r="X6853" s="443">
        <f t="shared" si="2341"/>
        <v>7.5729717306366355</v>
      </c>
    </row>
    <row r="6854" spans="1:24" ht="15" customHeight="1">
      <c r="A6854" s="856">
        <v>45316</v>
      </c>
      <c r="B6854" s="4">
        <v>101625</v>
      </c>
      <c r="C6854" s="855">
        <v>0</v>
      </c>
      <c r="D6854" s="5">
        <v>1550</v>
      </c>
      <c r="E6854" s="5">
        <v>109575</v>
      </c>
      <c r="F6854" s="4">
        <v>2200</v>
      </c>
      <c r="G6854" s="5">
        <v>1100</v>
      </c>
      <c r="H6854" s="5">
        <v>23775</v>
      </c>
      <c r="I6854" s="118">
        <f t="shared" si="2339"/>
        <v>0.21697467488021902</v>
      </c>
      <c r="J6854" s="5">
        <v>134557</v>
      </c>
      <c r="K6854" s="22">
        <v>2169</v>
      </c>
      <c r="L6854" s="6">
        <v>2157.5</v>
      </c>
      <c r="M6854" s="125">
        <f t="shared" si="2342"/>
        <v>-11.5</v>
      </c>
      <c r="P6854" s="505">
        <v>16250</v>
      </c>
      <c r="Q6854" s="25">
        <f>186.45/1335.7</f>
        <v>0.13958972823238749</v>
      </c>
      <c r="W6854" s="285">
        <f t="shared" si="2340"/>
        <v>2268.3330837762969</v>
      </c>
      <c r="X6854" s="443">
        <f t="shared" si="2341"/>
        <v>7.491931765790687</v>
      </c>
    </row>
    <row r="6855" spans="1:24" ht="15" customHeight="1">
      <c r="A6855" s="857">
        <v>45317</v>
      </c>
      <c r="B6855" s="4">
        <v>103225</v>
      </c>
      <c r="C6855" s="5">
        <v>0</v>
      </c>
      <c r="D6855" s="5">
        <v>1550</v>
      </c>
      <c r="E6855" s="5">
        <v>110675</v>
      </c>
      <c r="F6855" s="4">
        <v>2200</v>
      </c>
      <c r="G6855" s="5">
        <v>1100</v>
      </c>
      <c r="H6855" s="5">
        <v>22675</v>
      </c>
      <c r="I6855" s="118">
        <f t="shared" si="2339"/>
        <v>0.20487915066636547</v>
      </c>
      <c r="J6855" s="5">
        <v>137885</v>
      </c>
      <c r="K6855" s="22">
        <v>2149</v>
      </c>
      <c r="L6855" s="6">
        <v>2144</v>
      </c>
      <c r="M6855" s="125">
        <f t="shared" si="2342"/>
        <v>-5</v>
      </c>
      <c r="P6855" s="505">
        <v>16150</v>
      </c>
      <c r="Q6855" s="25">
        <f>186.12/1336.6</f>
        <v>0.13924884034116417</v>
      </c>
      <c r="W6855" s="285">
        <f t="shared" si="2340"/>
        <v>2248.8687715098013</v>
      </c>
      <c r="X6855" s="443">
        <f t="shared" si="2341"/>
        <v>7.5151233131689157</v>
      </c>
    </row>
    <row r="6856" spans="1:24" ht="15" customHeight="1">
      <c r="A6856" s="858">
        <v>45318</v>
      </c>
      <c r="B6856" s="4">
        <v>103200</v>
      </c>
      <c r="C6856" s="5">
        <v>0</v>
      </c>
      <c r="D6856" s="5">
        <v>1550</v>
      </c>
      <c r="E6856" s="5">
        <v>110650</v>
      </c>
      <c r="F6856" s="4">
        <v>2200</v>
      </c>
      <c r="G6856" s="5">
        <v>2225</v>
      </c>
      <c r="H6856" s="5">
        <v>20450</v>
      </c>
      <c r="I6856" s="118">
        <f t="shared" si="2339"/>
        <v>0.18481699051061906</v>
      </c>
      <c r="J6856" s="5">
        <v>139271</v>
      </c>
      <c r="K6856" s="22">
        <v>2180</v>
      </c>
      <c r="L6856" s="6">
        <v>2167</v>
      </c>
      <c r="M6856" s="125">
        <f t="shared" si="2342"/>
        <v>-13</v>
      </c>
      <c r="P6856" s="505">
        <v>16150</v>
      </c>
      <c r="Q6856" s="25">
        <f>185.85/1336.9</f>
        <v>0.13901563318124016</v>
      </c>
      <c r="W6856" s="285">
        <f t="shared" si="2340"/>
        <v>2245.1024758770286</v>
      </c>
      <c r="X6856" s="443">
        <f t="shared" si="2341"/>
        <v>7.4082568807339451</v>
      </c>
    </row>
    <row r="6857" spans="1:24" ht="15" customHeight="1">
      <c r="A6857" s="860">
        <v>45321</v>
      </c>
      <c r="B6857" s="4">
        <v>104025</v>
      </c>
      <c r="C6857" s="5">
        <v>0</v>
      </c>
      <c r="D6857" s="5">
        <v>1550</v>
      </c>
      <c r="E6857" s="5">
        <v>111175</v>
      </c>
      <c r="F6857" s="4">
        <v>2525</v>
      </c>
      <c r="G6857" s="5">
        <v>2000</v>
      </c>
      <c r="H6857" s="5">
        <v>18975</v>
      </c>
      <c r="I6857" s="118">
        <f t="shared" si="2339"/>
        <v>0.17067686080503711</v>
      </c>
      <c r="J6857" s="859">
        <v>144278</v>
      </c>
      <c r="K6857" s="22">
        <v>2165</v>
      </c>
      <c r="L6857" s="6">
        <v>2163</v>
      </c>
      <c r="M6857" s="125">
        <f t="shared" si="2342"/>
        <v>-2</v>
      </c>
      <c r="P6857" s="505">
        <v>16125</v>
      </c>
      <c r="Q6857" s="25">
        <f>185.15/1330.6</f>
        <v>0.13914775289343154</v>
      </c>
      <c r="W6857" s="285">
        <f t="shared" si="2340"/>
        <v>2243.7575154065835</v>
      </c>
      <c r="X6857" s="443">
        <f t="shared" si="2341"/>
        <v>7.4480369515011544</v>
      </c>
    </row>
    <row r="6858" spans="1:24" ht="15" customHeight="1">
      <c r="A6858" s="862">
        <v>45322</v>
      </c>
      <c r="B6858" s="4">
        <v>107250</v>
      </c>
      <c r="C6858" s="5">
        <v>0</v>
      </c>
      <c r="D6858" s="5">
        <v>1550</v>
      </c>
      <c r="E6858" s="5">
        <v>114400</v>
      </c>
      <c r="F6858" s="4">
        <v>4800</v>
      </c>
      <c r="G6858" s="5">
        <v>1575</v>
      </c>
      <c r="H6858" s="5">
        <v>17800</v>
      </c>
      <c r="I6858" s="118">
        <f t="shared" si="2339"/>
        <v>0.1555944055944056</v>
      </c>
      <c r="J6858" s="861">
        <v>149536</v>
      </c>
      <c r="K6858" s="22">
        <v>2173</v>
      </c>
      <c r="L6858" s="6">
        <v>2169.5</v>
      </c>
      <c r="M6858" s="125">
        <f t="shared" si="2342"/>
        <v>-3.5</v>
      </c>
      <c r="N6858" s="448">
        <f>AVERAGE($K$6837:K6858)</f>
        <v>2087.5</v>
      </c>
      <c r="O6858" s="395">
        <f>AVERAGE($K$6837:K6858)</f>
        <v>2087.5</v>
      </c>
      <c r="P6858" s="505">
        <v>16125</v>
      </c>
      <c r="Q6858" s="25">
        <f>185.63/1333.5</f>
        <v>0.13920509936257969</v>
      </c>
      <c r="W6858" s="285">
        <f t="shared" si="2340"/>
        <v>2244.6822272215973</v>
      </c>
      <c r="X6858" s="443">
        <f t="shared" si="2341"/>
        <v>7.4206166589967788</v>
      </c>
    </row>
    <row r="6859" spans="1:24" ht="15" customHeight="1" thickBot="1">
      <c r="A6859" s="863"/>
      <c r="B6859" s="863"/>
      <c r="C6859" s="863"/>
      <c r="D6859" s="863"/>
      <c r="E6859" s="216"/>
      <c r="F6859" s="407"/>
      <c r="G6859" s="164"/>
      <c r="H6859" s="164"/>
      <c r="I6859" s="166"/>
      <c r="J6859" s="166"/>
      <c r="K6859" s="166"/>
      <c r="L6859" s="167"/>
      <c r="M6859" s="167"/>
      <c r="N6859" s="167"/>
      <c r="O6859" s="180"/>
      <c r="P6859" s="180"/>
      <c r="Q6859" s="180"/>
      <c r="R6859" s="248"/>
      <c r="S6859" s="249"/>
      <c r="T6859" s="249"/>
      <c r="U6859" s="152"/>
      <c r="V6859" s="153">
        <f>AVERAGE(P6840:P6858)</f>
        <v>16130.263157894737</v>
      </c>
      <c r="W6859" s="152"/>
      <c r="X6859" s="447">
        <f>V6859/N6858</f>
        <v>7.7270721714465802</v>
      </c>
    </row>
    <row r="6860" spans="1:24" ht="15" customHeight="1">
      <c r="A6860" s="3">
        <v>45323</v>
      </c>
      <c r="B6860" s="4">
        <v>113175</v>
      </c>
      <c r="C6860" s="5">
        <v>0</v>
      </c>
      <c r="D6860" s="866">
        <v>1550</v>
      </c>
      <c r="E6860" s="5">
        <v>120325</v>
      </c>
      <c r="F6860" s="4">
        <v>5925</v>
      </c>
      <c r="G6860" s="5">
        <v>0</v>
      </c>
      <c r="H6860" s="5">
        <v>17800</v>
      </c>
      <c r="I6860" s="118">
        <f t="shared" si="2339"/>
        <v>0.14793268231872014</v>
      </c>
      <c r="J6860" s="864">
        <v>150345</v>
      </c>
      <c r="K6860" s="22">
        <v>2162</v>
      </c>
      <c r="L6860" s="6">
        <v>2150</v>
      </c>
      <c r="M6860" s="125">
        <f t="shared" si="2342"/>
        <v>-12</v>
      </c>
      <c r="N6860" s="450"/>
      <c r="O6860" s="556"/>
      <c r="P6860" s="505">
        <v>16050</v>
      </c>
      <c r="Q6860" s="25">
        <f>185.21/1332.5</f>
        <v>0.13899437148217636</v>
      </c>
      <c r="W6860" s="285">
        <f t="shared" ref="W6860" si="2343">(P6860*Q6860)*(1+U6860)</f>
        <v>2230.8596622889304</v>
      </c>
      <c r="X6860" s="443">
        <f t="shared" ref="X6860" si="2344">P6860/K6860</f>
        <v>7.4236817761332103</v>
      </c>
    </row>
    <row r="6861" spans="1:24" ht="15" customHeight="1">
      <c r="A6861" s="867">
        <v>45324</v>
      </c>
      <c r="B6861" s="4">
        <v>118625</v>
      </c>
      <c r="C6861" s="866">
        <v>0</v>
      </c>
      <c r="D6861" s="866">
        <v>1550</v>
      </c>
      <c r="E6861" s="866">
        <v>125775</v>
      </c>
      <c r="F6861" s="4">
        <v>5550</v>
      </c>
      <c r="G6861" s="866">
        <v>100</v>
      </c>
      <c r="H6861" s="866">
        <v>19525</v>
      </c>
      <c r="I6861" s="118">
        <f t="shared" ref="I6861:I6862" si="2345">H6861/E6861</f>
        <v>0.15523752733055057</v>
      </c>
      <c r="J6861" s="866">
        <v>153103</v>
      </c>
      <c r="K6861" s="22">
        <v>2145.5</v>
      </c>
      <c r="L6861" s="6">
        <v>2140</v>
      </c>
      <c r="M6861" s="125">
        <f t="shared" ref="M6861" si="2346">L6861-K6861</f>
        <v>-5.5</v>
      </c>
      <c r="N6861" s="449"/>
      <c r="O6861" s="462"/>
      <c r="P6861" s="505">
        <v>16050</v>
      </c>
      <c r="Q6861" s="25">
        <f>184.48/1325.1</f>
        <v>0.13921968153346917</v>
      </c>
      <c r="W6861" s="285">
        <f t="shared" ref="W6861" si="2347">(P6861*Q6861)*(1+U6861)</f>
        <v>2234.4758886121804</v>
      </c>
      <c r="X6861" s="443">
        <f t="shared" ref="X6861" si="2348">P6861/K6861</f>
        <v>7.4807737124213469</v>
      </c>
    </row>
    <row r="6862" spans="1:24" ht="15" customHeight="1">
      <c r="A6862" s="869">
        <v>45327</v>
      </c>
      <c r="B6862" s="4">
        <v>123200</v>
      </c>
      <c r="C6862" s="868">
        <v>0</v>
      </c>
      <c r="D6862" s="868">
        <v>1550</v>
      </c>
      <c r="E6862" s="868">
        <v>130350</v>
      </c>
      <c r="F6862" s="4">
        <v>5550</v>
      </c>
      <c r="G6862" s="868">
        <v>975</v>
      </c>
      <c r="H6862" s="868">
        <v>21525</v>
      </c>
      <c r="I6862" s="118">
        <f t="shared" si="2345"/>
        <v>0.16513233601841196</v>
      </c>
      <c r="J6862" s="868">
        <v>155896</v>
      </c>
      <c r="K6862" s="22">
        <v>2132</v>
      </c>
      <c r="L6862" s="6">
        <v>2127</v>
      </c>
      <c r="M6862" s="125">
        <f t="shared" ref="M6862" si="2349">L6862-K6862</f>
        <v>-5</v>
      </c>
      <c r="N6862" s="452"/>
      <c r="O6862" s="719"/>
      <c r="P6862" s="505">
        <v>16050</v>
      </c>
      <c r="Q6862" s="25">
        <f>185.18/1334.6</f>
        <v>0.13875318447474899</v>
      </c>
      <c r="W6862" s="285">
        <f t="shared" ref="W6862" si="2350">(P6862*Q6862)*(1+U6862)</f>
        <v>2226.9886108197215</v>
      </c>
      <c r="X6862" s="443">
        <f t="shared" ref="X6862" si="2351">P6862/K6862</f>
        <v>7.5281425891181986</v>
      </c>
    </row>
    <row r="6863" spans="1:24" ht="15" customHeight="1">
      <c r="A6863" s="871">
        <v>45328</v>
      </c>
      <c r="B6863" s="4">
        <v>128275</v>
      </c>
      <c r="C6863" s="870">
        <v>0</v>
      </c>
      <c r="D6863" s="870">
        <v>1550</v>
      </c>
      <c r="E6863" s="870">
        <v>134925</v>
      </c>
      <c r="F6863" s="4">
        <v>6575</v>
      </c>
      <c r="G6863" s="870">
        <v>2000</v>
      </c>
      <c r="H6863" s="870">
        <v>20725</v>
      </c>
      <c r="I6863" s="118">
        <f t="shared" ref="I6863" si="2352">H6863/E6863</f>
        <v>0.15360385399295906</v>
      </c>
      <c r="J6863" s="870">
        <v>161779</v>
      </c>
      <c r="K6863" s="22">
        <v>2119</v>
      </c>
      <c r="L6863" s="6">
        <v>2117</v>
      </c>
      <c r="M6863" s="125">
        <f t="shared" ref="M6863" si="2353">L6863-K6863</f>
        <v>-2</v>
      </c>
      <c r="N6863" s="449"/>
      <c r="O6863" s="462"/>
      <c r="P6863" s="505">
        <v>16050</v>
      </c>
      <c r="Q6863" s="25">
        <f>184.51/1329.6</f>
        <v>0.13877105896510228</v>
      </c>
      <c r="W6863" s="285">
        <f t="shared" ref="W6863" si="2354">(P6863*Q6863)*(1+U6863)</f>
        <v>2227.2754963898915</v>
      </c>
      <c r="X6863" s="443">
        <f t="shared" ref="X6863" si="2355">P6863/K6863</f>
        <v>7.5743275129778196</v>
      </c>
    </row>
    <row r="6864" spans="1:24" ht="15" customHeight="1">
      <c r="A6864" s="873">
        <v>45329</v>
      </c>
      <c r="B6864" s="4">
        <v>133025</v>
      </c>
      <c r="C6864" s="872">
        <v>0</v>
      </c>
      <c r="D6864" s="872">
        <v>1550</v>
      </c>
      <c r="E6864" s="872">
        <v>139675</v>
      </c>
      <c r="F6864" s="4">
        <v>6250</v>
      </c>
      <c r="G6864" s="872">
        <v>1500</v>
      </c>
      <c r="H6864" s="872">
        <v>19225</v>
      </c>
      <c r="I6864" s="118">
        <f t="shared" ref="I6864:I6901" si="2356">H6864/E6864</f>
        <v>0.13764095221048864</v>
      </c>
      <c r="J6864" s="872">
        <v>162987</v>
      </c>
      <c r="K6864" s="22">
        <v>2119</v>
      </c>
      <c r="L6864" s="6">
        <v>2109.5</v>
      </c>
      <c r="M6864" s="125">
        <f t="shared" ref="M6864:M6880" si="2357">L6864-K6864</f>
        <v>-9.5</v>
      </c>
      <c r="N6864" s="449"/>
      <c r="O6864" s="462"/>
      <c r="P6864" s="505">
        <v>16025</v>
      </c>
      <c r="Q6864" s="25">
        <f>184.13/1325.3</f>
        <v>0.13893458084961896</v>
      </c>
      <c r="W6864" s="285">
        <f t="shared" ref="W6864:W6866" si="2358">(P6864*Q6864)*(1+U6864)</f>
        <v>2226.4266581151437</v>
      </c>
      <c r="X6864" s="443">
        <f t="shared" ref="X6864:X6866" si="2359">P6864/K6864</f>
        <v>7.5625294950448323</v>
      </c>
    </row>
    <row r="6865" spans="1:24" ht="15" customHeight="1">
      <c r="A6865" s="875">
        <v>45330</v>
      </c>
      <c r="B6865" s="874">
        <v>137775</v>
      </c>
      <c r="C6865" s="874">
        <v>0</v>
      </c>
      <c r="D6865" s="874">
        <v>1550</v>
      </c>
      <c r="E6865" s="5">
        <v>144425</v>
      </c>
      <c r="F6865" s="4">
        <v>6250</v>
      </c>
      <c r="G6865" s="5">
        <v>1500</v>
      </c>
      <c r="H6865" s="5">
        <v>17725</v>
      </c>
      <c r="I6865" s="118">
        <f t="shared" si="2356"/>
        <v>0.12272805954647741</v>
      </c>
      <c r="J6865" s="5">
        <v>160280</v>
      </c>
      <c r="K6865" s="22">
        <v>2099</v>
      </c>
      <c r="L6865" s="6">
        <v>2092</v>
      </c>
      <c r="M6865" s="125">
        <f t="shared" si="2357"/>
        <v>-7</v>
      </c>
      <c r="N6865" s="452"/>
      <c r="O6865" s="719"/>
      <c r="P6865" s="505">
        <v>16100</v>
      </c>
      <c r="Q6865" s="1318"/>
      <c r="W6865" s="285">
        <f t="shared" si="2358"/>
        <v>0</v>
      </c>
      <c r="X6865" s="443">
        <f t="shared" si="2359"/>
        <v>7.6703191996188664</v>
      </c>
    </row>
    <row r="6866" spans="1:24" ht="15" customHeight="1">
      <c r="A6866" s="875">
        <v>45331</v>
      </c>
      <c r="B6866" s="874">
        <v>149275</v>
      </c>
      <c r="C6866" s="874">
        <v>0</v>
      </c>
      <c r="D6866" s="874">
        <v>1550</v>
      </c>
      <c r="E6866" s="5">
        <v>150675</v>
      </c>
      <c r="F6866" s="4">
        <v>6250</v>
      </c>
      <c r="G6866" s="5">
        <v>0</v>
      </c>
      <c r="H6866" s="5">
        <v>17725</v>
      </c>
      <c r="I6866" s="118">
        <f t="shared" si="2356"/>
        <v>0.11763729882196781</v>
      </c>
      <c r="J6866" s="5">
        <v>161570</v>
      </c>
      <c r="K6866" s="22">
        <v>2050</v>
      </c>
      <c r="L6866" s="6">
        <v>2045.5</v>
      </c>
      <c r="M6866" s="125">
        <f t="shared" si="2357"/>
        <v>-4.5</v>
      </c>
      <c r="N6866" s="449"/>
      <c r="O6866" s="462"/>
      <c r="P6866" s="1318"/>
      <c r="Q6866" s="1318"/>
      <c r="W6866" s="285">
        <f t="shared" si="2358"/>
        <v>0</v>
      </c>
      <c r="X6866" s="443">
        <f t="shared" si="2359"/>
        <v>0</v>
      </c>
    </row>
    <row r="6867" spans="1:24" ht="15" customHeight="1">
      <c r="A6867" s="875">
        <v>45334</v>
      </c>
      <c r="B6867" s="874">
        <v>149275</v>
      </c>
      <c r="C6867" s="874">
        <v>0</v>
      </c>
      <c r="D6867" s="874">
        <v>1550</v>
      </c>
      <c r="E6867" s="5">
        <v>155925</v>
      </c>
      <c r="F6867" s="4">
        <v>6300</v>
      </c>
      <c r="G6867" s="5">
        <v>1050</v>
      </c>
      <c r="H6867" s="5">
        <v>17550</v>
      </c>
      <c r="I6867" s="118">
        <f t="shared" si="2356"/>
        <v>0.11255411255411256</v>
      </c>
      <c r="J6867" s="5">
        <v>162297</v>
      </c>
      <c r="K6867" s="22">
        <v>2053</v>
      </c>
      <c r="L6867" s="6">
        <v>2045</v>
      </c>
      <c r="M6867" s="125">
        <f t="shared" si="2357"/>
        <v>-8</v>
      </c>
      <c r="N6867" s="452"/>
      <c r="O6867" s="719"/>
      <c r="P6867" s="1318"/>
      <c r="Q6867" s="25">
        <f>184.2/1327.2</f>
        <v>0.13878842676311029</v>
      </c>
      <c r="W6867" s="285">
        <f t="shared" ref="W6867:W6875" si="2360">(P6867*Q6867)*(1+U6867)</f>
        <v>0</v>
      </c>
      <c r="X6867" s="443">
        <f t="shared" ref="X6867:X6880" si="2361">P6867/K6867</f>
        <v>0</v>
      </c>
    </row>
    <row r="6868" spans="1:24" ht="15" customHeight="1">
      <c r="A6868" s="878">
        <v>45335</v>
      </c>
      <c r="B6868" s="4">
        <v>155525</v>
      </c>
      <c r="C6868" s="877">
        <v>0</v>
      </c>
      <c r="D6868" s="5">
        <v>1850</v>
      </c>
      <c r="E6868" s="5">
        <v>162475</v>
      </c>
      <c r="F6868" s="4">
        <v>6550</v>
      </c>
      <c r="G6868" s="5">
        <v>0</v>
      </c>
      <c r="H6868" s="5">
        <v>17550</v>
      </c>
      <c r="I6868" s="118">
        <f t="shared" si="2356"/>
        <v>0.10801661794122172</v>
      </c>
      <c r="J6868" s="5">
        <v>162361</v>
      </c>
      <c r="K6868" s="22">
        <v>2017</v>
      </c>
      <c r="L6868" s="6">
        <v>2020</v>
      </c>
      <c r="M6868" s="125">
        <f t="shared" si="2357"/>
        <v>3</v>
      </c>
      <c r="N6868" s="449"/>
      <c r="O6868" s="462"/>
      <c r="P6868" s="1318"/>
      <c r="Q6868" s="25">
        <f>183.93/1328.4</f>
        <v>0.1384598012646793</v>
      </c>
      <c r="W6868" s="285">
        <f t="shared" si="2360"/>
        <v>0</v>
      </c>
      <c r="X6868" s="443">
        <f t="shared" si="2361"/>
        <v>0</v>
      </c>
    </row>
    <row r="6869" spans="1:24" ht="15" customHeight="1">
      <c r="A6869" s="880">
        <v>45336</v>
      </c>
      <c r="B6869" s="4">
        <v>161775</v>
      </c>
      <c r="C6869" s="879">
        <v>0</v>
      </c>
      <c r="D6869" s="5">
        <v>1850</v>
      </c>
      <c r="E6869" s="5">
        <v>168725</v>
      </c>
      <c r="F6869" s="4">
        <v>6250</v>
      </c>
      <c r="G6869" s="5">
        <v>0</v>
      </c>
      <c r="H6869" s="5">
        <v>21400</v>
      </c>
      <c r="I6869" s="118">
        <f t="shared" si="2356"/>
        <v>0.12683360497851534</v>
      </c>
      <c r="J6869" s="5">
        <v>163275</v>
      </c>
      <c r="K6869" s="22">
        <v>2023</v>
      </c>
      <c r="L6869" s="6">
        <v>2011</v>
      </c>
      <c r="M6869" s="125">
        <f t="shared" si="2357"/>
        <v>-12</v>
      </c>
      <c r="N6869" s="452"/>
      <c r="O6869" s="719"/>
      <c r="P6869" s="1318"/>
      <c r="Q6869" s="25">
        <f>185.09/1336.9</f>
        <v>0.13844715386341536</v>
      </c>
      <c r="W6869" s="285">
        <f t="shared" si="2360"/>
        <v>0</v>
      </c>
      <c r="X6869" s="443">
        <f t="shared" si="2361"/>
        <v>0</v>
      </c>
    </row>
    <row r="6870" spans="1:24" ht="15" customHeight="1">
      <c r="A6870" s="882">
        <v>45337</v>
      </c>
      <c r="B6870" s="4">
        <v>166125</v>
      </c>
      <c r="C6870" s="881">
        <v>0</v>
      </c>
      <c r="D6870" s="5">
        <v>1850</v>
      </c>
      <c r="E6870" s="5">
        <v>173075</v>
      </c>
      <c r="F6870" s="4">
        <v>6300</v>
      </c>
      <c r="G6870" s="5">
        <v>1950</v>
      </c>
      <c r="H6870" s="5">
        <v>20950</v>
      </c>
      <c r="I6870" s="118">
        <f t="shared" si="2356"/>
        <v>0.12104578939765998</v>
      </c>
      <c r="J6870" s="5">
        <v>161063</v>
      </c>
      <c r="K6870" s="22">
        <v>2057</v>
      </c>
      <c r="L6870" s="6">
        <v>2046</v>
      </c>
      <c r="M6870" s="125">
        <f t="shared" si="2357"/>
        <v>-11</v>
      </c>
      <c r="P6870" s="1318"/>
      <c r="Q6870" s="25">
        <f>184.49/1333.2</f>
        <v>0.13838133813381337</v>
      </c>
      <c r="W6870" s="285">
        <f t="shared" si="2360"/>
        <v>0</v>
      </c>
      <c r="X6870" s="443">
        <f t="shared" si="2361"/>
        <v>0</v>
      </c>
    </row>
    <row r="6871" spans="1:24" ht="15" customHeight="1">
      <c r="A6871" s="883">
        <v>45338</v>
      </c>
      <c r="B6871" s="4">
        <v>170625</v>
      </c>
      <c r="C6871" s="5">
        <v>0</v>
      </c>
      <c r="D6871" s="5">
        <v>1850</v>
      </c>
      <c r="E6871" s="5">
        <v>177575</v>
      </c>
      <c r="F6871" s="4">
        <v>6000</v>
      </c>
      <c r="G6871" s="5">
        <v>1500</v>
      </c>
      <c r="H6871" s="5">
        <v>20100</v>
      </c>
      <c r="I6871" s="118">
        <f t="shared" si="2356"/>
        <v>0.11319160917922005</v>
      </c>
      <c r="J6871" s="5">
        <v>155508</v>
      </c>
      <c r="K6871" s="22">
        <v>2062</v>
      </c>
      <c r="L6871" s="6">
        <v>2055</v>
      </c>
      <c r="M6871" s="125">
        <f t="shared" si="2357"/>
        <v>-7</v>
      </c>
      <c r="N6871" s="452"/>
      <c r="P6871" s="1318"/>
      <c r="Q6871" s="25">
        <f>184.64/1333</f>
        <v>0.13851462865716427</v>
      </c>
      <c r="W6871" s="285">
        <f t="shared" si="2360"/>
        <v>0</v>
      </c>
      <c r="X6871" s="443">
        <f t="shared" si="2361"/>
        <v>0</v>
      </c>
    </row>
    <row r="6872" spans="1:24" ht="15" customHeight="1">
      <c r="A6872" s="885">
        <v>45341</v>
      </c>
      <c r="B6872" s="4">
        <v>173000</v>
      </c>
      <c r="C6872" s="884">
        <v>0</v>
      </c>
      <c r="D6872" s="5">
        <v>1850</v>
      </c>
      <c r="E6872" s="5">
        <v>179950</v>
      </c>
      <c r="F6872" s="4">
        <v>3025</v>
      </c>
      <c r="G6872" s="5">
        <v>650</v>
      </c>
      <c r="H6872" s="5">
        <v>22400</v>
      </c>
      <c r="I6872" s="118">
        <f t="shared" si="2356"/>
        <v>0.12447902195054182</v>
      </c>
      <c r="J6872" s="5">
        <v>155318</v>
      </c>
      <c r="K6872" s="22">
        <v>2044.5</v>
      </c>
      <c r="L6872" s="6">
        <v>2046</v>
      </c>
      <c r="M6872" s="125">
        <f t="shared" si="2357"/>
        <v>1.5</v>
      </c>
      <c r="P6872" s="505">
        <v>15925</v>
      </c>
      <c r="Q6872" s="25">
        <f>185.07/1333.8</f>
        <v>0.13875393612235717</v>
      </c>
      <c r="W6872" s="285">
        <f t="shared" si="2360"/>
        <v>2209.656432748538</v>
      </c>
      <c r="X6872" s="443">
        <f t="shared" si="2361"/>
        <v>7.7891905111274147</v>
      </c>
    </row>
    <row r="6873" spans="1:24" ht="15" customHeight="1">
      <c r="A6873" s="886">
        <v>45342</v>
      </c>
      <c r="B6873" s="4">
        <v>171550</v>
      </c>
      <c r="C6873" s="5">
        <v>0</v>
      </c>
      <c r="D6873" s="5">
        <v>1850</v>
      </c>
      <c r="E6873" s="5">
        <v>178500</v>
      </c>
      <c r="F6873" s="4">
        <v>0</v>
      </c>
      <c r="G6873" s="5">
        <v>1450</v>
      </c>
      <c r="H6873" s="5">
        <v>20950</v>
      </c>
      <c r="I6873" s="118">
        <f t="shared" si="2356"/>
        <v>0.11736694677871148</v>
      </c>
      <c r="J6873" s="887">
        <v>154079</v>
      </c>
      <c r="K6873" s="22">
        <v>2041</v>
      </c>
      <c r="L6873" s="6">
        <v>2041</v>
      </c>
      <c r="M6873" s="125">
        <f t="shared" si="2357"/>
        <v>0</v>
      </c>
      <c r="P6873" s="505">
        <v>15750</v>
      </c>
      <c r="Q6873" s="25">
        <f>185.63/1337.9</f>
        <v>0.13874729052993495</v>
      </c>
      <c r="W6873" s="285">
        <f t="shared" si="2360"/>
        <v>2185.2698258464757</v>
      </c>
      <c r="X6873" s="443">
        <f t="shared" si="2361"/>
        <v>7.7168054875061243</v>
      </c>
    </row>
    <row r="6874" spans="1:24" ht="15" customHeight="1">
      <c r="A6874" s="888">
        <v>45343</v>
      </c>
      <c r="B6874" s="4">
        <v>170150</v>
      </c>
      <c r="C6874" s="5">
        <v>0</v>
      </c>
      <c r="D6874" s="5">
        <v>1850</v>
      </c>
      <c r="E6874" s="5">
        <v>177100</v>
      </c>
      <c r="F6874" s="4">
        <v>0</v>
      </c>
      <c r="G6874" s="5">
        <v>1400</v>
      </c>
      <c r="H6874" s="5">
        <v>19550</v>
      </c>
      <c r="I6874" s="118">
        <f t="shared" si="2356"/>
        <v>0.11038961038961038</v>
      </c>
      <c r="J6874" s="887">
        <v>151998</v>
      </c>
      <c r="K6874" s="22">
        <v>2082</v>
      </c>
      <c r="L6874" s="6">
        <v>2072</v>
      </c>
      <c r="M6874" s="125">
        <f t="shared" si="2357"/>
        <v>-10</v>
      </c>
      <c r="P6874" s="505">
        <v>15700</v>
      </c>
      <c r="Q6874" s="25">
        <f>185.65/1335</f>
        <v>0.13906367041198503</v>
      </c>
      <c r="W6874" s="285">
        <f t="shared" si="2360"/>
        <v>2183.2996254681648</v>
      </c>
      <c r="X6874" s="443">
        <f t="shared" si="2361"/>
        <v>7.5408261287223821</v>
      </c>
    </row>
    <row r="6875" spans="1:24" ht="15" customHeight="1">
      <c r="A6875" s="890">
        <v>45344</v>
      </c>
      <c r="B6875" s="4">
        <v>168650</v>
      </c>
      <c r="C6875" s="5">
        <v>0</v>
      </c>
      <c r="D6875" s="5">
        <v>1850</v>
      </c>
      <c r="E6875" s="5">
        <v>175600</v>
      </c>
      <c r="F6875" s="4">
        <v>0</v>
      </c>
      <c r="G6875" s="5">
        <v>1500</v>
      </c>
      <c r="H6875" s="5">
        <v>22250</v>
      </c>
      <c r="I6875" s="118">
        <f t="shared" si="2356"/>
        <v>0.12670842824601367</v>
      </c>
      <c r="J6875" s="889">
        <v>151362</v>
      </c>
      <c r="K6875" s="22">
        <v>2085</v>
      </c>
      <c r="L6875" s="6">
        <v>2076</v>
      </c>
      <c r="M6875" s="125">
        <f t="shared" si="2357"/>
        <v>-9</v>
      </c>
      <c r="P6875" s="505">
        <v>15725</v>
      </c>
      <c r="Q6875" s="25">
        <f>184.99/1331</f>
        <v>0.13898572501878287</v>
      </c>
      <c r="W6875" s="285">
        <f t="shared" si="2360"/>
        <v>2185.5505259203605</v>
      </c>
      <c r="X6875" s="443">
        <f t="shared" si="2361"/>
        <v>7.5419664268585134</v>
      </c>
    </row>
    <row r="6876" spans="1:24" ht="15" customHeight="1">
      <c r="A6876" s="892">
        <v>45345</v>
      </c>
      <c r="B6876" s="4">
        <v>167150</v>
      </c>
      <c r="C6876" s="891">
        <v>0</v>
      </c>
      <c r="D6876" s="5">
        <v>1850</v>
      </c>
      <c r="E6876" s="5">
        <v>173800</v>
      </c>
      <c r="F6876" s="4">
        <v>0</v>
      </c>
      <c r="G6876" s="5">
        <v>1800</v>
      </c>
      <c r="H6876" s="5">
        <v>20450</v>
      </c>
      <c r="I6876" s="118">
        <f t="shared" si="2356"/>
        <v>0.11766398158803222</v>
      </c>
      <c r="J6876" s="891">
        <v>148958</v>
      </c>
      <c r="K6876" s="22">
        <v>2097</v>
      </c>
      <c r="L6876" s="6">
        <v>2085</v>
      </c>
      <c r="M6876" s="125">
        <f t="shared" si="2357"/>
        <v>-12</v>
      </c>
      <c r="P6876" s="505">
        <v>15725</v>
      </c>
      <c r="Q6876" s="25">
        <f>184.52/1329.3</f>
        <v>0.13880989994734072</v>
      </c>
      <c r="W6876" s="285">
        <f>(P6876*Q6876)*(1+U6876)</f>
        <v>2182.7856766719328</v>
      </c>
      <c r="X6876" s="443">
        <f t="shared" si="2361"/>
        <v>7.498807820696233</v>
      </c>
    </row>
    <row r="6877" spans="1:24" ht="15" customHeight="1">
      <c r="A6877" s="894">
        <v>45348</v>
      </c>
      <c r="B6877" s="4">
        <v>165650</v>
      </c>
      <c r="C6877" s="895">
        <v>0</v>
      </c>
      <c r="D6877" s="5">
        <v>1800</v>
      </c>
      <c r="E6877" s="5">
        <v>172250</v>
      </c>
      <c r="F6877" s="4">
        <v>0</v>
      </c>
      <c r="G6877" s="5">
        <v>1550</v>
      </c>
      <c r="H6877" s="5">
        <v>18900</v>
      </c>
      <c r="I6877" s="118">
        <f t="shared" si="2356"/>
        <v>0.10972423802612481</v>
      </c>
      <c r="J6877" s="893">
        <v>150359</v>
      </c>
      <c r="K6877" s="22">
        <v>2111</v>
      </c>
      <c r="L6877" s="6">
        <v>2094</v>
      </c>
      <c r="M6877" s="125">
        <f t="shared" si="2357"/>
        <v>-17</v>
      </c>
      <c r="P6877" s="505">
        <v>15725</v>
      </c>
      <c r="Q6877" s="25">
        <f>184.76/1331.4</f>
        <v>0.13877121826648639</v>
      </c>
      <c r="W6877" s="285">
        <f>(P6877*Q6877)*(1+U6877)</f>
        <v>2182.1774072404983</v>
      </c>
      <c r="X6877" s="443">
        <f t="shared" si="2361"/>
        <v>7.4490762671719564</v>
      </c>
    </row>
    <row r="6878" spans="1:24" ht="15" customHeight="1">
      <c r="A6878" s="896">
        <v>45349</v>
      </c>
      <c r="B6878" s="4">
        <v>164125</v>
      </c>
      <c r="C6878" s="895">
        <v>0</v>
      </c>
      <c r="D6878" s="5">
        <v>2100</v>
      </c>
      <c r="E6878" s="5">
        <v>171025</v>
      </c>
      <c r="F6878" s="4">
        <v>300</v>
      </c>
      <c r="G6878" s="5">
        <v>1525</v>
      </c>
      <c r="H6878" s="5">
        <v>17375</v>
      </c>
      <c r="I6878" s="118">
        <f t="shared" si="2356"/>
        <v>0.10159333430784973</v>
      </c>
      <c r="J6878" s="895">
        <v>149602</v>
      </c>
      <c r="K6878" s="22">
        <v>2113</v>
      </c>
      <c r="L6878" s="6">
        <v>2105</v>
      </c>
      <c r="M6878" s="125">
        <f t="shared" si="2357"/>
        <v>-8</v>
      </c>
      <c r="P6878" s="505">
        <v>15775</v>
      </c>
      <c r="Q6878" s="25">
        <f>184.67/1331.3</f>
        <v>0.13871403890933673</v>
      </c>
      <c r="W6878" s="285">
        <f>(P6878*Q6878)*(1+U6878)</f>
        <v>2188.2139637947871</v>
      </c>
      <c r="X6878" s="443">
        <f t="shared" si="2361"/>
        <v>7.4656885944155231</v>
      </c>
    </row>
    <row r="6879" spans="1:24" ht="15" customHeight="1">
      <c r="A6879" s="898">
        <v>45350</v>
      </c>
      <c r="B6879" s="4">
        <v>162975</v>
      </c>
      <c r="C6879" s="897">
        <v>0</v>
      </c>
      <c r="D6879" s="5">
        <v>2100</v>
      </c>
      <c r="E6879" s="5">
        <v>169875</v>
      </c>
      <c r="F6879" s="4">
        <v>0</v>
      </c>
      <c r="G6879" s="5">
        <v>1150</v>
      </c>
      <c r="H6879" s="5">
        <v>16350</v>
      </c>
      <c r="I6879" s="118">
        <f t="shared" si="2356"/>
        <v>9.624724061810154E-2</v>
      </c>
      <c r="J6879" s="5">
        <v>149160</v>
      </c>
      <c r="K6879" s="22">
        <v>2090</v>
      </c>
      <c r="L6879" s="6">
        <v>2081</v>
      </c>
      <c r="M6879" s="125">
        <f t="shared" si="2357"/>
        <v>-9</v>
      </c>
      <c r="P6879" s="505">
        <v>15750</v>
      </c>
      <c r="Q6879" s="25">
        <f>184.86/1334</f>
        <v>0.13857571214392805</v>
      </c>
      <c r="W6879" s="285">
        <f>(P6879*Q6879)*(1+U6879)</f>
        <v>2182.5674662668666</v>
      </c>
      <c r="X6879" s="443">
        <f t="shared" si="2361"/>
        <v>7.535885167464115</v>
      </c>
    </row>
    <row r="6880" spans="1:24" ht="15" customHeight="1">
      <c r="A6880" s="900">
        <v>45351</v>
      </c>
      <c r="B6880" s="4">
        <v>172825</v>
      </c>
      <c r="C6880" s="5">
        <v>0</v>
      </c>
      <c r="D6880" s="5">
        <v>3600</v>
      </c>
      <c r="E6880" s="5">
        <v>181225</v>
      </c>
      <c r="F6880" s="4">
        <v>12775</v>
      </c>
      <c r="G6880" s="5">
        <v>1425</v>
      </c>
      <c r="H6880" s="5">
        <v>14925</v>
      </c>
      <c r="I6880" s="118">
        <f t="shared" si="2356"/>
        <v>8.2356187060284178E-2</v>
      </c>
      <c r="J6880" s="5">
        <v>148596</v>
      </c>
      <c r="K6880" s="22">
        <v>2067</v>
      </c>
      <c r="L6880" s="6">
        <v>2066</v>
      </c>
      <c r="M6880" s="125">
        <f t="shared" si="2357"/>
        <v>-1</v>
      </c>
      <c r="N6880" s="448">
        <f>AVERAGE($K$6860:K6880)</f>
        <v>2084.2380952380954</v>
      </c>
      <c r="O6880" s="395">
        <f>AVERAGE($K$6837:K6880)</f>
        <v>2085.9069767441861</v>
      </c>
      <c r="P6880" s="505">
        <v>15750</v>
      </c>
      <c r="W6880" s="285">
        <f>(P6880*Q6880)*(1+U6880)</f>
        <v>0</v>
      </c>
      <c r="X6880" s="443">
        <f t="shared" si="2361"/>
        <v>7.6197387518142232</v>
      </c>
    </row>
    <row r="6881" spans="1:24" ht="15" customHeight="1" thickBot="1">
      <c r="A6881" s="899"/>
      <c r="B6881" s="899"/>
      <c r="C6881" s="899"/>
      <c r="D6881" s="899"/>
      <c r="E6881" s="216"/>
      <c r="F6881" s="407"/>
      <c r="G6881" s="164"/>
      <c r="H6881" s="164"/>
      <c r="I6881" s="166"/>
      <c r="J6881" s="166"/>
      <c r="K6881" s="166"/>
      <c r="L6881" s="167"/>
      <c r="M6881" s="167"/>
      <c r="N6881" s="167"/>
      <c r="O6881" s="180"/>
      <c r="P6881" s="180"/>
      <c r="Q6881" s="180"/>
      <c r="R6881" s="248"/>
      <c r="S6881" s="249"/>
      <c r="T6881" s="249"/>
      <c r="U6881" s="152"/>
      <c r="V6881" s="153">
        <f>AVERAGE(P6862:P6880)</f>
        <v>15850</v>
      </c>
      <c r="W6881" s="152"/>
      <c r="X6881" s="447">
        <f>V6881/N6880</f>
        <v>7.6046973885626805</v>
      </c>
    </row>
    <row r="6882" spans="1:24" ht="15" customHeight="1">
      <c r="A6882" s="900">
        <v>45352</v>
      </c>
      <c r="B6882" s="4">
        <v>170850</v>
      </c>
      <c r="C6882" s="5">
        <v>0</v>
      </c>
      <c r="D6882" s="5">
        <v>3600</v>
      </c>
      <c r="E6882" s="5">
        <v>179250</v>
      </c>
      <c r="F6882" s="4">
        <v>0</v>
      </c>
      <c r="G6882" s="5">
        <v>1975</v>
      </c>
      <c r="H6882" s="5">
        <v>12950</v>
      </c>
      <c r="I6882" s="118">
        <f t="shared" si="2356"/>
        <v>7.2245467224546722E-2</v>
      </c>
      <c r="J6882" s="5">
        <v>149960</v>
      </c>
      <c r="K6882" s="22">
        <v>2052.5</v>
      </c>
      <c r="L6882" s="6">
        <v>2060</v>
      </c>
      <c r="M6882" s="125">
        <f t="shared" ref="M6882:M6887" si="2362">L6882-K6882</f>
        <v>7.5</v>
      </c>
      <c r="P6882" s="505">
        <v>15775</v>
      </c>
      <c r="Q6882" s="25">
        <f>185.12/1334.1</f>
        <v>0.13876021287759541</v>
      </c>
      <c r="W6882" s="285">
        <f t="shared" ref="W6882:W6889" si="2363">(P6882*Q6882)*(1+U6882)</f>
        <v>2188.9423581440674</v>
      </c>
      <c r="X6882" s="443">
        <f t="shared" ref="X6882:X6883" si="2364">P6882/K6882</f>
        <v>7.6857490864799027</v>
      </c>
    </row>
    <row r="6883" spans="1:24" ht="15" customHeight="1">
      <c r="A6883" s="902">
        <v>45355</v>
      </c>
      <c r="B6883" s="4">
        <v>174700</v>
      </c>
      <c r="C6883" s="5">
        <v>0</v>
      </c>
      <c r="D6883" s="5">
        <v>3600</v>
      </c>
      <c r="E6883" s="5">
        <v>183100</v>
      </c>
      <c r="F6883" s="4">
        <v>5650</v>
      </c>
      <c r="G6883" s="5">
        <v>1800</v>
      </c>
      <c r="H6883" s="5">
        <v>11150</v>
      </c>
      <c r="I6883" s="118">
        <f t="shared" si="2356"/>
        <v>6.0895685417804477E-2</v>
      </c>
      <c r="J6883" s="5">
        <v>149278</v>
      </c>
      <c r="K6883" s="22">
        <v>2028</v>
      </c>
      <c r="L6883" s="6">
        <v>2042</v>
      </c>
      <c r="M6883" s="125">
        <f t="shared" si="2362"/>
        <v>14</v>
      </c>
      <c r="P6883" s="505">
        <v>15775</v>
      </c>
      <c r="Q6883" s="25">
        <f>184.55/1330.1</f>
        <v>0.13874896624313962</v>
      </c>
      <c r="W6883" s="285">
        <f t="shared" si="2363"/>
        <v>2188.7649424855276</v>
      </c>
      <c r="X6883" s="443">
        <f t="shared" si="2364"/>
        <v>7.7785996055226825</v>
      </c>
    </row>
    <row r="6884" spans="1:24" ht="15" customHeight="1">
      <c r="A6884" s="904">
        <v>45356</v>
      </c>
      <c r="B6884" s="4">
        <v>179550</v>
      </c>
      <c r="C6884" s="5">
        <v>0</v>
      </c>
      <c r="D6884" s="5">
        <v>3600</v>
      </c>
      <c r="E6884" s="5">
        <v>187750</v>
      </c>
      <c r="F6884" s="4">
        <v>5625</v>
      </c>
      <c r="G6884" s="5">
        <v>975</v>
      </c>
      <c r="H6884" s="5">
        <v>10175</v>
      </c>
      <c r="I6884" s="118">
        <f t="shared" si="2356"/>
        <v>5.4194407456724367E-2</v>
      </c>
      <c r="J6884" s="903">
        <v>150287</v>
      </c>
      <c r="K6884" s="22">
        <v>2023</v>
      </c>
      <c r="L6884" s="6">
        <v>2038</v>
      </c>
      <c r="M6884" s="125">
        <f t="shared" si="2362"/>
        <v>15</v>
      </c>
      <c r="P6884" s="505">
        <v>15775</v>
      </c>
      <c r="Q6884" s="25">
        <f>185.08/1333.2</f>
        <v>0.13882388238823884</v>
      </c>
      <c r="W6884" s="285">
        <f t="shared" si="2363"/>
        <v>2189.9467446744675</v>
      </c>
      <c r="X6884" s="443">
        <f t="shared" ref="X6884:X6885" si="2365">P6884/K6884</f>
        <v>7.7978250123578841</v>
      </c>
    </row>
    <row r="6885" spans="1:24" ht="15" customHeight="1">
      <c r="A6885" s="905">
        <v>45357</v>
      </c>
      <c r="B6885" s="4">
        <v>183600</v>
      </c>
      <c r="C6885" s="5">
        <v>0</v>
      </c>
      <c r="D6885" s="5">
        <v>3600</v>
      </c>
      <c r="E6885" s="5">
        <v>191800</v>
      </c>
      <c r="F6885" s="4">
        <v>5625</v>
      </c>
      <c r="G6885" s="5">
        <v>1575</v>
      </c>
      <c r="H6885" s="5">
        <v>8600</v>
      </c>
      <c r="I6885" s="118">
        <f t="shared" si="2356"/>
        <v>4.4838373305526591E-2</v>
      </c>
      <c r="J6885" s="903">
        <v>150876</v>
      </c>
      <c r="K6885" s="22">
        <v>2060</v>
      </c>
      <c r="L6885" s="6">
        <v>2063.5</v>
      </c>
      <c r="M6885" s="125">
        <f t="shared" si="2362"/>
        <v>3.5</v>
      </c>
      <c r="P6885" s="505">
        <v>15800</v>
      </c>
      <c r="Q6885" s="25">
        <f>185.32/1335.7</f>
        <v>0.13874372987946393</v>
      </c>
      <c r="W6885" s="285">
        <f t="shared" si="2363"/>
        <v>2192.1509320955302</v>
      </c>
      <c r="X6885" s="443">
        <f t="shared" si="2365"/>
        <v>7.6699029126213594</v>
      </c>
    </row>
    <row r="6886" spans="1:24" ht="15" customHeight="1">
      <c r="A6886" s="906">
        <v>45358</v>
      </c>
      <c r="B6886" s="4">
        <v>183400</v>
      </c>
      <c r="C6886" s="5">
        <v>0</v>
      </c>
      <c r="D6886" s="5">
        <v>3600</v>
      </c>
      <c r="E6886" s="5">
        <v>191600</v>
      </c>
      <c r="F6886" s="4">
        <v>0</v>
      </c>
      <c r="G6886" s="5">
        <v>200</v>
      </c>
      <c r="H6886" s="5">
        <v>8400</v>
      </c>
      <c r="I6886" s="118">
        <f t="shared" si="2356"/>
        <v>4.3841336116910233E-2</v>
      </c>
      <c r="J6886" s="903">
        <v>149604</v>
      </c>
      <c r="K6886" s="22">
        <v>2107</v>
      </c>
      <c r="L6886" s="6">
        <v>2095.5</v>
      </c>
      <c r="M6886" s="125">
        <f t="shared" si="2362"/>
        <v>-11.5</v>
      </c>
      <c r="P6886" s="505">
        <v>15850</v>
      </c>
      <c r="Q6886" s="25">
        <f>184.5/1329.6</f>
        <v>0.13876353790613719</v>
      </c>
      <c r="W6886" s="285">
        <f t="shared" si="2363"/>
        <v>2199.4020758122742</v>
      </c>
      <c r="X6886" s="443">
        <f t="shared" ref="X6886:X6895" si="2366">P6886/K6886</f>
        <v>7.522543901281443</v>
      </c>
    </row>
    <row r="6887" spans="1:24" ht="15" customHeight="1">
      <c r="A6887" s="908">
        <v>45359</v>
      </c>
      <c r="B6887" s="4">
        <v>183400</v>
      </c>
      <c r="C6887" s="910">
        <v>0</v>
      </c>
      <c r="D6887" s="5">
        <v>3575</v>
      </c>
      <c r="E6887" s="5">
        <v>191575</v>
      </c>
      <c r="F6887" s="4">
        <v>0</v>
      </c>
      <c r="G6887" s="5">
        <v>25</v>
      </c>
      <c r="H6887" s="5">
        <v>8750</v>
      </c>
      <c r="I6887" s="118">
        <f t="shared" si="2356"/>
        <v>4.5674018008612816E-2</v>
      </c>
      <c r="J6887" s="907">
        <v>148437</v>
      </c>
      <c r="K6887" s="22">
        <v>2125</v>
      </c>
      <c r="L6887" s="6">
        <v>2126.5</v>
      </c>
      <c r="M6887" s="125">
        <f t="shared" si="2362"/>
        <v>1.5</v>
      </c>
      <c r="P6887" s="505">
        <v>15900</v>
      </c>
      <c r="Q6887" s="25">
        <f>183.86/1323.1</f>
        <v>0.13896152974076034</v>
      </c>
      <c r="W6887" s="285">
        <f t="shared" si="2363"/>
        <v>2209.4883228780895</v>
      </c>
      <c r="X6887" s="443">
        <f t="shared" si="2366"/>
        <v>7.4823529411764707</v>
      </c>
    </row>
    <row r="6888" spans="1:24" ht="15" customHeight="1">
      <c r="A6888" s="909">
        <v>45362</v>
      </c>
      <c r="B6888" s="4">
        <v>183400</v>
      </c>
      <c r="C6888" s="910">
        <v>0</v>
      </c>
      <c r="D6888" s="5">
        <v>3575</v>
      </c>
      <c r="E6888" s="5">
        <v>191575</v>
      </c>
      <c r="F6888" s="4">
        <v>0</v>
      </c>
      <c r="G6888" s="5">
        <v>0</v>
      </c>
      <c r="H6888" s="5">
        <v>8750</v>
      </c>
      <c r="I6888" s="118">
        <f t="shared" si="2356"/>
        <v>4.5674018008612816E-2</v>
      </c>
      <c r="J6888" s="910">
        <v>147499</v>
      </c>
      <c r="K6888" s="22">
        <v>2113</v>
      </c>
      <c r="L6888" s="6">
        <v>2125</v>
      </c>
      <c r="M6888" s="125">
        <f t="shared" ref="M6888:M6901" si="2367">L6888-K6888</f>
        <v>12</v>
      </c>
      <c r="P6888" s="505">
        <v>15975</v>
      </c>
      <c r="Q6888" s="25">
        <f>182.69/1314.4</f>
        <v>0.13899117468046257</v>
      </c>
      <c r="W6888" s="285">
        <f t="shared" si="2363"/>
        <v>2220.3840155203898</v>
      </c>
      <c r="X6888" s="443">
        <f t="shared" si="2366"/>
        <v>7.5603407477520115</v>
      </c>
    </row>
    <row r="6889" spans="1:24" ht="15" customHeight="1">
      <c r="A6889" s="912">
        <v>45363</v>
      </c>
      <c r="B6889" s="4">
        <v>183400</v>
      </c>
      <c r="C6889" s="911">
        <v>0</v>
      </c>
      <c r="D6889" s="5">
        <v>3875</v>
      </c>
      <c r="E6889" s="5">
        <v>191875</v>
      </c>
      <c r="F6889" s="4">
        <v>300</v>
      </c>
      <c r="G6889" s="5">
        <v>0</v>
      </c>
      <c r="H6889" s="5">
        <v>8750</v>
      </c>
      <c r="I6889" s="118">
        <f t="shared" si="2356"/>
        <v>4.5602605863192182E-2</v>
      </c>
      <c r="J6889" s="913">
        <v>149777</v>
      </c>
      <c r="K6889" s="22">
        <v>2134</v>
      </c>
      <c r="L6889" s="6">
        <v>2143</v>
      </c>
      <c r="M6889" s="125">
        <f t="shared" si="2367"/>
        <v>9</v>
      </c>
      <c r="P6889" s="505">
        <v>16050</v>
      </c>
      <c r="Q6889" s="25">
        <f>182.63/1311.1</f>
        <v>0.13929524826481582</v>
      </c>
      <c r="W6889" s="285">
        <f t="shared" si="2363"/>
        <v>2235.688734650294</v>
      </c>
      <c r="X6889" s="443">
        <f t="shared" si="2366"/>
        <v>7.5210871602624181</v>
      </c>
    </row>
    <row r="6890" spans="1:24" ht="15" customHeight="1">
      <c r="A6890" s="915">
        <v>45364</v>
      </c>
      <c r="B6890" s="4">
        <v>183400</v>
      </c>
      <c r="C6890" s="914">
        <v>0</v>
      </c>
      <c r="D6890" s="5">
        <v>3875</v>
      </c>
      <c r="E6890" s="5">
        <v>191875</v>
      </c>
      <c r="F6890" s="4">
        <v>0</v>
      </c>
      <c r="G6890" s="5">
        <v>0</v>
      </c>
      <c r="H6890" s="5">
        <v>8750</v>
      </c>
      <c r="I6890" s="118">
        <f t="shared" si="2356"/>
        <v>4.5602605863192182E-2</v>
      </c>
      <c r="J6890" s="903">
        <v>150606</v>
      </c>
      <c r="K6890" s="22">
        <v>2164</v>
      </c>
      <c r="L6890" s="6">
        <v>2160</v>
      </c>
      <c r="M6890" s="125">
        <f t="shared" si="2367"/>
        <v>-4</v>
      </c>
      <c r="P6890" s="505">
        <v>16075</v>
      </c>
      <c r="Q6890" s="25">
        <f>182.53/1312.8</f>
        <v>0.1390386959171237</v>
      </c>
      <c r="W6890" s="285">
        <f t="shared" ref="W6890:W6895" si="2368">(P6890*Q6890)*(1+U6890)</f>
        <v>2235.0470368677634</v>
      </c>
      <c r="X6890" s="443">
        <f t="shared" si="2366"/>
        <v>7.4283733826247689</v>
      </c>
    </row>
    <row r="6891" spans="1:24" ht="15" customHeight="1">
      <c r="A6891" s="917">
        <v>45365</v>
      </c>
      <c r="B6891" s="4">
        <v>182475</v>
      </c>
      <c r="C6891" s="916">
        <v>0</v>
      </c>
      <c r="D6891" s="5">
        <v>3875</v>
      </c>
      <c r="E6891" s="5">
        <v>190950</v>
      </c>
      <c r="F6891" s="4">
        <v>0</v>
      </c>
      <c r="G6891" s="5">
        <v>925</v>
      </c>
      <c r="H6891" s="5">
        <v>7825</v>
      </c>
      <c r="I6891" s="118">
        <f t="shared" si="2356"/>
        <v>4.0979313956533127E-2</v>
      </c>
      <c r="J6891" s="903">
        <v>151495</v>
      </c>
      <c r="K6891" s="22">
        <v>2142</v>
      </c>
      <c r="L6891" s="6">
        <v>2146.5</v>
      </c>
      <c r="M6891" s="125">
        <f t="shared" si="2367"/>
        <v>4.5</v>
      </c>
      <c r="P6891" s="505">
        <v>16150</v>
      </c>
      <c r="Q6891" s="25">
        <f>183.04/1316.9</f>
        <v>0.13899308983218162</v>
      </c>
      <c r="W6891" s="285">
        <f t="shared" si="2368"/>
        <v>2244.7384007897331</v>
      </c>
      <c r="X6891" s="443">
        <f t="shared" si="2366"/>
        <v>7.5396825396825395</v>
      </c>
    </row>
    <row r="6892" spans="1:24" ht="15" customHeight="1">
      <c r="A6892" s="919">
        <v>45366</v>
      </c>
      <c r="B6892" s="4">
        <v>182475</v>
      </c>
      <c r="C6892" s="918">
        <v>0</v>
      </c>
      <c r="D6892" s="5">
        <v>3875</v>
      </c>
      <c r="E6892" s="5">
        <v>190575</v>
      </c>
      <c r="F6892" s="4">
        <v>0</v>
      </c>
      <c r="G6892" s="5">
        <v>375</v>
      </c>
      <c r="H6892" s="5">
        <v>7450</v>
      </c>
      <c r="I6892" s="118">
        <f t="shared" si="2356"/>
        <v>3.9092220910402729E-2</v>
      </c>
      <c r="J6892" s="903">
        <v>152600</v>
      </c>
      <c r="K6892" s="22">
        <v>2107</v>
      </c>
      <c r="L6892" s="6">
        <v>2118</v>
      </c>
      <c r="M6892" s="125">
        <f t="shared" si="2367"/>
        <v>11</v>
      </c>
      <c r="P6892" s="505">
        <v>16150</v>
      </c>
      <c r="Q6892" s="25">
        <f>184.32/1328.4</f>
        <v>0.13875338753387531</v>
      </c>
      <c r="W6892" s="285">
        <f t="shared" si="2368"/>
        <v>2240.8672086720862</v>
      </c>
      <c r="X6892" s="443">
        <f t="shared" si="2366"/>
        <v>7.6649264356905551</v>
      </c>
    </row>
    <row r="6893" spans="1:24" ht="15" customHeight="1">
      <c r="A6893" s="920">
        <v>45369</v>
      </c>
      <c r="B6893" s="4">
        <v>185500</v>
      </c>
      <c r="C6893" s="5">
        <v>0</v>
      </c>
      <c r="D6893" s="5">
        <v>5275</v>
      </c>
      <c r="E6893" s="5">
        <v>195000</v>
      </c>
      <c r="F6893" s="4">
        <v>4475</v>
      </c>
      <c r="G6893" s="5">
        <v>50</v>
      </c>
      <c r="H6893" s="5">
        <v>7900</v>
      </c>
      <c r="I6893" s="118">
        <f t="shared" si="2356"/>
        <v>4.0512820512820513E-2</v>
      </c>
      <c r="J6893" s="903">
        <v>149578</v>
      </c>
      <c r="K6893" s="22">
        <v>2094</v>
      </c>
      <c r="L6893" s="6">
        <v>2122</v>
      </c>
      <c r="M6893" s="125">
        <f t="shared" si="2367"/>
        <v>28</v>
      </c>
      <c r="P6893" s="505">
        <v>16150</v>
      </c>
      <c r="Q6893" s="25">
        <f>185.03/1333</f>
        <v>0.13880720180045011</v>
      </c>
      <c r="W6893" s="285">
        <f t="shared" si="2368"/>
        <v>2241.7363090772692</v>
      </c>
      <c r="X6893" s="443">
        <f t="shared" si="2366"/>
        <v>7.7125119388729706</v>
      </c>
    </row>
    <row r="6894" spans="1:24" ht="15" customHeight="1">
      <c r="A6894" s="921">
        <v>45370</v>
      </c>
      <c r="B6894" s="4">
        <v>189975</v>
      </c>
      <c r="C6894" s="5">
        <v>0</v>
      </c>
      <c r="D6894" s="5">
        <v>5575</v>
      </c>
      <c r="E6894" s="5">
        <v>199775</v>
      </c>
      <c r="F6894" s="4">
        <v>4775</v>
      </c>
      <c r="G6894" s="5">
        <v>0</v>
      </c>
      <c r="H6894" s="5">
        <v>7900</v>
      </c>
      <c r="I6894" s="118">
        <f t="shared" si="2356"/>
        <v>3.9544487548492054E-2</v>
      </c>
      <c r="J6894" s="903">
        <v>147485</v>
      </c>
      <c r="K6894" s="22">
        <v>2042</v>
      </c>
      <c r="L6894" s="6">
        <v>2088.5</v>
      </c>
      <c r="M6894" s="125">
        <f t="shared" si="2367"/>
        <v>46.5</v>
      </c>
      <c r="P6894" s="505">
        <v>16100</v>
      </c>
      <c r="Q6894" s="25">
        <f>185.64/1338.5</f>
        <v>0.13869256630556592</v>
      </c>
      <c r="W6894" s="285">
        <f t="shared" si="2368"/>
        <v>2232.9503175196114</v>
      </c>
      <c r="X6894" s="443">
        <f t="shared" si="2366"/>
        <v>7.8844270323212537</v>
      </c>
    </row>
    <row r="6895" spans="1:24" ht="15" customHeight="1">
      <c r="A6895" s="922">
        <v>45371</v>
      </c>
      <c r="B6895" s="4">
        <v>257300</v>
      </c>
      <c r="C6895" s="5">
        <v>0</v>
      </c>
      <c r="D6895" s="5">
        <v>5550</v>
      </c>
      <c r="E6895" s="5">
        <v>267075</v>
      </c>
      <c r="F6895" s="4">
        <v>67350</v>
      </c>
      <c r="G6895" s="5">
        <v>50</v>
      </c>
      <c r="H6895" s="5">
        <v>4350</v>
      </c>
      <c r="I6895" s="118">
        <f t="shared" si="2356"/>
        <v>1.6287559674248806E-2</v>
      </c>
      <c r="J6895" s="923">
        <v>141775</v>
      </c>
      <c r="K6895" s="22">
        <v>2015.5</v>
      </c>
      <c r="L6895" s="6">
        <v>2072</v>
      </c>
      <c r="M6895" s="125">
        <f t="shared" si="2367"/>
        <v>56.5</v>
      </c>
      <c r="P6895" s="505">
        <v>16125</v>
      </c>
      <c r="Q6895" s="25">
        <f>184.79/1332</f>
        <v>0.13873123123123124</v>
      </c>
      <c r="W6895" s="285">
        <f t="shared" si="2368"/>
        <v>2237.0411036036039</v>
      </c>
      <c r="X6895" s="443">
        <f t="shared" si="2366"/>
        <v>8.0004961548002971</v>
      </c>
    </row>
    <row r="6896" spans="1:24" ht="15" customHeight="1">
      <c r="A6896" s="924">
        <v>45372</v>
      </c>
      <c r="B6896" s="4">
        <v>257300</v>
      </c>
      <c r="C6896" s="5">
        <v>0</v>
      </c>
      <c r="D6896" s="5">
        <v>6250</v>
      </c>
      <c r="E6896" s="5">
        <v>267775</v>
      </c>
      <c r="F6896" s="4">
        <v>700</v>
      </c>
      <c r="G6896" s="5">
        <v>0</v>
      </c>
      <c r="H6896" s="5">
        <v>4350</v>
      </c>
      <c r="I6896" s="118">
        <f t="shared" si="2356"/>
        <v>1.6244981794416954E-2</v>
      </c>
      <c r="J6896" s="923">
        <v>148280</v>
      </c>
      <c r="K6896" s="22">
        <v>2031</v>
      </c>
      <c r="L6896" s="6">
        <v>2073</v>
      </c>
      <c r="M6896" s="125">
        <f t="shared" si="2367"/>
        <v>42</v>
      </c>
      <c r="P6896" s="505">
        <v>16075</v>
      </c>
      <c r="Q6896" s="25">
        <f>184.04/1326.3</f>
        <v>0.13876196938852448</v>
      </c>
      <c r="W6896" s="285">
        <f t="shared" ref="W6896:W6901" si="2369">(P6896*Q6896)*(1+U6896)</f>
        <v>2230.598657920531</v>
      </c>
      <c r="X6896" s="443">
        <f t="shared" ref="X6896:X6901" si="2370">P6896/K6896</f>
        <v>7.9148202855736089</v>
      </c>
    </row>
    <row r="6897" spans="1:24" ht="15" customHeight="1">
      <c r="A6897" s="926">
        <v>45373</v>
      </c>
      <c r="B6897" s="4">
        <v>257300</v>
      </c>
      <c r="C6897" s="925">
        <v>0</v>
      </c>
      <c r="D6897" s="925">
        <v>6250</v>
      </c>
      <c r="E6897" s="925">
        <v>267775</v>
      </c>
      <c r="F6897" s="4">
        <v>0</v>
      </c>
      <c r="G6897" s="5">
        <v>0</v>
      </c>
      <c r="H6897" s="5">
        <v>7675</v>
      </c>
      <c r="I6897" s="118">
        <f t="shared" si="2356"/>
        <v>2.8662123051068994E-2</v>
      </c>
      <c r="J6897" s="925">
        <v>149045</v>
      </c>
      <c r="K6897" s="22">
        <v>1992.5</v>
      </c>
      <c r="L6897" s="6">
        <v>2033</v>
      </c>
      <c r="M6897" s="125">
        <f t="shared" si="2367"/>
        <v>40.5</v>
      </c>
      <c r="P6897" s="505">
        <v>16075</v>
      </c>
      <c r="Q6897" s="25">
        <f>184.49/1336.1</f>
        <v>0.13808098196242799</v>
      </c>
      <c r="W6897" s="285">
        <f t="shared" si="2369"/>
        <v>2219.65178504603</v>
      </c>
      <c r="X6897" s="443">
        <f t="shared" si="2370"/>
        <v>8.0677540777917187</v>
      </c>
    </row>
    <row r="6898" spans="1:24" ht="15" customHeight="1">
      <c r="A6898" s="928">
        <v>45376</v>
      </c>
      <c r="B6898" s="4">
        <v>257275</v>
      </c>
      <c r="C6898" s="927">
        <v>0</v>
      </c>
      <c r="D6898" s="5">
        <v>6250</v>
      </c>
      <c r="E6898" s="5">
        <v>267750</v>
      </c>
      <c r="F6898" s="4">
        <v>0</v>
      </c>
      <c r="G6898" s="5">
        <v>25</v>
      </c>
      <c r="H6898" s="5">
        <v>7650</v>
      </c>
      <c r="I6898" s="118">
        <f t="shared" si="2356"/>
        <v>2.8571428571428571E-2</v>
      </c>
      <c r="J6898" s="927">
        <v>149547</v>
      </c>
      <c r="K6898" s="22">
        <v>1992</v>
      </c>
      <c r="L6898" s="6">
        <v>2031</v>
      </c>
      <c r="M6898" s="125">
        <f t="shared" si="2367"/>
        <v>39</v>
      </c>
      <c r="P6898" s="505">
        <v>16100</v>
      </c>
      <c r="Q6898" s="25">
        <f>184.88/1340.7</f>
        <v>0.13789811292608339</v>
      </c>
      <c r="W6898" s="285">
        <f t="shared" si="2369"/>
        <v>2220.1596181099426</v>
      </c>
      <c r="X6898" s="443">
        <f t="shared" si="2370"/>
        <v>8.0823293172690764</v>
      </c>
    </row>
    <row r="6899" spans="1:24" ht="15" customHeight="1">
      <c r="A6899" s="930">
        <v>45377</v>
      </c>
      <c r="B6899" s="4">
        <v>257275</v>
      </c>
      <c r="C6899" s="929">
        <v>0</v>
      </c>
      <c r="D6899" s="5">
        <v>6350</v>
      </c>
      <c r="E6899" s="5">
        <v>267850</v>
      </c>
      <c r="F6899" s="4">
        <v>100</v>
      </c>
      <c r="G6899" s="5">
        <v>0</v>
      </c>
      <c r="H6899" s="5">
        <v>7650</v>
      </c>
      <c r="I6899" s="118">
        <f t="shared" si="2356"/>
        <v>2.8560761620309873E-2</v>
      </c>
      <c r="J6899" s="903">
        <v>144601</v>
      </c>
      <c r="K6899" s="22">
        <v>1982.5</v>
      </c>
      <c r="L6899" s="6">
        <v>2028</v>
      </c>
      <c r="M6899" s="125">
        <f t="shared" si="2367"/>
        <v>45.5</v>
      </c>
      <c r="P6899" s="505">
        <v>16075</v>
      </c>
      <c r="Q6899" s="25">
        <f>184.86/1338.6</f>
        <v>0.13809950694755718</v>
      </c>
      <c r="W6899" s="285">
        <f t="shared" si="2369"/>
        <v>2219.9495741819819</v>
      </c>
      <c r="X6899" s="443">
        <f t="shared" si="2370"/>
        <v>8.1084489281210601</v>
      </c>
    </row>
    <row r="6900" spans="1:24" ht="15" customHeight="1">
      <c r="A6900" s="932">
        <v>45378</v>
      </c>
      <c r="B6900" s="4">
        <v>257275</v>
      </c>
      <c r="C6900" s="931">
        <v>0</v>
      </c>
      <c r="D6900" s="5">
        <v>6350</v>
      </c>
      <c r="E6900" s="5">
        <v>267850</v>
      </c>
      <c r="F6900" s="4">
        <v>0</v>
      </c>
      <c r="G6900" s="5">
        <v>0</v>
      </c>
      <c r="H6900" s="5">
        <v>10975</v>
      </c>
      <c r="I6900" s="118">
        <f t="shared" si="2356"/>
        <v>4.0974425984692926E-2</v>
      </c>
      <c r="J6900" s="903">
        <v>147342</v>
      </c>
      <c r="K6900" s="22">
        <v>1968</v>
      </c>
      <c r="L6900" s="6">
        <v>2005</v>
      </c>
      <c r="M6900" s="125">
        <f t="shared" si="2367"/>
        <v>37</v>
      </c>
      <c r="P6900" s="505">
        <v>16025</v>
      </c>
      <c r="Q6900" s="25">
        <f>185.57/1345.8</f>
        <v>0.13788824491009066</v>
      </c>
      <c r="W6900" s="285">
        <f t="shared" si="2369"/>
        <v>2209.6591246842027</v>
      </c>
      <c r="X6900" s="443">
        <f t="shared" si="2370"/>
        <v>8.1427845528455283</v>
      </c>
    </row>
    <row r="6901" spans="1:24" ht="15" customHeight="1">
      <c r="A6901" s="934">
        <v>45379</v>
      </c>
      <c r="B6901" s="4">
        <v>261625</v>
      </c>
      <c r="C6901" s="933">
        <v>0</v>
      </c>
      <c r="D6901" s="5">
        <v>6350</v>
      </c>
      <c r="E6901" s="5">
        <v>272200</v>
      </c>
      <c r="F6901" s="4">
        <v>4350</v>
      </c>
      <c r="G6901" s="5">
        <v>0</v>
      </c>
      <c r="H6901" s="5">
        <v>10975</v>
      </c>
      <c r="I6901" s="118">
        <f t="shared" si="2356"/>
        <v>4.0319617927994121E-2</v>
      </c>
      <c r="J6901" s="903">
        <v>148691</v>
      </c>
      <c r="K6901" s="22">
        <v>1965</v>
      </c>
      <c r="L6901" s="6">
        <v>2005.5</v>
      </c>
      <c r="M6901" s="125">
        <f t="shared" si="2367"/>
        <v>40.5</v>
      </c>
      <c r="N6901" s="448">
        <f>AVERAGE($K$6882:K6901)</f>
        <v>2056.9</v>
      </c>
      <c r="O6901" s="395">
        <f>AVERAGE($K$6837:K6901)</f>
        <v>2076.6984126984125</v>
      </c>
      <c r="P6901" s="505">
        <v>16175</v>
      </c>
      <c r="Q6901" s="25">
        <f>185.75/1346.8</f>
        <v>0.13791951291951293</v>
      </c>
      <c r="W6901" s="285">
        <f t="shared" si="2369"/>
        <v>2230.8481214731219</v>
      </c>
      <c r="X6901" s="443">
        <f t="shared" si="2370"/>
        <v>8.2315521628498729</v>
      </c>
    </row>
    <row r="6902" spans="1:24" ht="15" customHeight="1">
      <c r="A6902" s="992">
        <v>45380</v>
      </c>
      <c r="B6902" s="1318"/>
      <c r="C6902" s="1318"/>
      <c r="D6902" s="1318"/>
      <c r="E6902" s="1318"/>
      <c r="F6902" s="1318"/>
      <c r="G6902" s="1318"/>
      <c r="H6902" s="1318"/>
      <c r="I6902" s="1318"/>
      <c r="J6902" s="1318"/>
      <c r="K6902" s="1318"/>
      <c r="L6902" s="1318"/>
      <c r="M6902" s="1318"/>
      <c r="N6902" s="505"/>
      <c r="O6902" s="505"/>
      <c r="P6902" s="505"/>
      <c r="W6902" s="285">
        <f t="shared" ref="W6902" si="2371">(P6902*Q6902)*(1+U6902)</f>
        <v>0</v>
      </c>
      <c r="X6902" s="443" t="e">
        <f t="shared" ref="X6902" si="2372">P6902/K6902</f>
        <v>#DIV/0!</v>
      </c>
    </row>
    <row r="6903" spans="1:24" ht="15" customHeight="1" thickBot="1">
      <c r="A6903" s="936"/>
      <c r="B6903" s="936"/>
      <c r="C6903" s="936"/>
      <c r="D6903" s="936"/>
      <c r="E6903" s="216"/>
      <c r="F6903" s="407"/>
      <c r="G6903" s="164"/>
      <c r="H6903" s="164"/>
      <c r="I6903" s="166"/>
      <c r="J6903" s="166"/>
      <c r="K6903" s="166"/>
      <c r="L6903" s="167"/>
      <c r="M6903" s="167"/>
      <c r="N6903" s="167"/>
      <c r="O6903" s="180"/>
      <c r="P6903" s="180"/>
      <c r="Q6903" s="180"/>
      <c r="R6903" s="248"/>
      <c r="S6903" s="249"/>
      <c r="T6903" s="249"/>
      <c r="U6903" s="152"/>
      <c r="V6903" s="153">
        <f>AVERAGE(P6882:P6901)</f>
        <v>16008.75</v>
      </c>
      <c r="W6903" s="152"/>
      <c r="X6903" s="447">
        <f>V6903/N6901</f>
        <v>7.782950070494433</v>
      </c>
    </row>
    <row r="6904" spans="1:24" ht="15" customHeight="1">
      <c r="A6904" s="992">
        <v>45383</v>
      </c>
      <c r="B6904" s="1328"/>
      <c r="C6904" s="1328"/>
      <c r="D6904" s="1328"/>
      <c r="E6904" s="1328"/>
      <c r="F6904" s="1328"/>
      <c r="G6904" s="1328"/>
      <c r="H6904" s="1328"/>
      <c r="I6904" s="1328"/>
      <c r="J6904" s="1328"/>
      <c r="K6904" s="1328"/>
      <c r="L6904" s="1328"/>
      <c r="M6904" s="1328"/>
      <c r="N6904" s="505"/>
      <c r="O6904" s="505"/>
      <c r="P6904" s="505"/>
      <c r="W6904" s="285">
        <f t="shared" ref="W6904" si="2373">(P6904*Q6904)*(1+U6904)</f>
        <v>0</v>
      </c>
      <c r="X6904" s="443" t="e">
        <f t="shared" ref="X6904" si="2374">P6904/K6904</f>
        <v>#DIV/0!</v>
      </c>
    </row>
    <row r="6905" spans="1:24" ht="15" customHeight="1">
      <c r="A6905" s="937">
        <v>45384</v>
      </c>
      <c r="B6905" s="4">
        <v>263350</v>
      </c>
      <c r="C6905" s="935">
        <v>0</v>
      </c>
      <c r="D6905" s="935">
        <v>6350</v>
      </c>
      <c r="E6905" s="935">
        <v>273425</v>
      </c>
      <c r="F6905" s="4">
        <v>1725</v>
      </c>
      <c r="G6905" s="935">
        <v>500</v>
      </c>
      <c r="H6905" s="935">
        <v>10650</v>
      </c>
      <c r="I6905" s="118">
        <f t="shared" ref="I6905:I6970" si="2375">H6905/E6905</f>
        <v>3.8950352016092163E-2</v>
      </c>
      <c r="J6905" s="935">
        <v>154230</v>
      </c>
      <c r="K6905" s="22">
        <v>2001</v>
      </c>
      <c r="L6905" s="6">
        <v>2035</v>
      </c>
      <c r="M6905" s="125">
        <f t="shared" ref="M6905:M6912" si="2376">L6905-K6905</f>
        <v>34</v>
      </c>
      <c r="N6905" s="449"/>
      <c r="O6905" s="462"/>
      <c r="P6905" s="505">
        <v>16175</v>
      </c>
      <c r="Q6905" s="25">
        <f>186.13/1353</f>
        <v>0.13756836659275684</v>
      </c>
      <c r="W6905" s="285">
        <f t="shared" ref="W6905:W6907" si="2377">(P6905*Q6905)*(1+U6905)</f>
        <v>2225.1683296378419</v>
      </c>
      <c r="X6905" s="443">
        <f t="shared" ref="X6905:X6907" si="2378">P6905/K6905</f>
        <v>8.0834582708645684</v>
      </c>
    </row>
    <row r="6906" spans="1:24" ht="15" customHeight="1">
      <c r="A6906" s="939">
        <v>45385</v>
      </c>
      <c r="B6906" s="4">
        <v>265850</v>
      </c>
      <c r="C6906" s="938">
        <v>0</v>
      </c>
      <c r="D6906" s="5">
        <v>6350</v>
      </c>
      <c r="E6906" s="5">
        <v>275925</v>
      </c>
      <c r="F6906" s="4">
        <v>2500</v>
      </c>
      <c r="G6906" s="5">
        <v>0</v>
      </c>
      <c r="H6906" s="5">
        <v>10650</v>
      </c>
      <c r="I6906" s="118">
        <f t="shared" si="2375"/>
        <v>3.8597444957868987E-2</v>
      </c>
      <c r="J6906" s="903">
        <v>154614</v>
      </c>
      <c r="K6906" s="22">
        <v>2023</v>
      </c>
      <c r="L6906" s="6">
        <v>2050.5</v>
      </c>
      <c r="M6906" s="125">
        <f t="shared" si="2376"/>
        <v>27.5</v>
      </c>
      <c r="N6906" s="505"/>
      <c r="O6906" s="505"/>
      <c r="P6906" s="505">
        <v>16175</v>
      </c>
      <c r="Q6906" s="25">
        <f>185.92/1349.1</f>
        <v>0.13781039211326068</v>
      </c>
      <c r="W6906" s="285">
        <f t="shared" si="2377"/>
        <v>2229.0830924319916</v>
      </c>
      <c r="X6906" s="443">
        <f t="shared" si="2378"/>
        <v>7.995551161641127</v>
      </c>
    </row>
    <row r="6907" spans="1:24" ht="15" customHeight="1">
      <c r="A6907" s="941">
        <v>45386</v>
      </c>
      <c r="B6907" s="4">
        <v>264450</v>
      </c>
      <c r="C6907" s="940">
        <v>0</v>
      </c>
      <c r="D6907" s="5">
        <v>6350</v>
      </c>
      <c r="E6907" s="5">
        <v>274525</v>
      </c>
      <c r="F6907" s="4">
        <v>0</v>
      </c>
      <c r="G6907" s="5">
        <v>1400</v>
      </c>
      <c r="H6907" s="5">
        <v>10725</v>
      </c>
      <c r="I6907" s="118">
        <f t="shared" si="2375"/>
        <v>3.9067480193060743E-2</v>
      </c>
      <c r="J6907" s="903">
        <v>151701</v>
      </c>
      <c r="K6907" s="22">
        <v>2084.5</v>
      </c>
      <c r="L6907" s="6">
        <v>2116</v>
      </c>
      <c r="M6907" s="125">
        <f t="shared" si="2376"/>
        <v>31.5</v>
      </c>
      <c r="P6907" s="1324"/>
      <c r="Q6907" s="25">
        <f>185.88/1346.8</f>
        <v>0.13801603801603801</v>
      </c>
      <c r="W6907" s="285">
        <f t="shared" si="2377"/>
        <v>0</v>
      </c>
      <c r="X6907" s="443">
        <f t="shared" si="2378"/>
        <v>0</v>
      </c>
    </row>
    <row r="6908" spans="1:24" ht="15" customHeight="1">
      <c r="A6908" s="942">
        <v>45387</v>
      </c>
      <c r="B6908" s="4">
        <v>262950</v>
      </c>
      <c r="C6908" s="5">
        <v>0</v>
      </c>
      <c r="D6908" s="5">
        <v>6350</v>
      </c>
      <c r="E6908" s="5">
        <v>273025</v>
      </c>
      <c r="F6908" s="4">
        <v>0</v>
      </c>
      <c r="G6908" s="5">
        <v>1500</v>
      </c>
      <c r="H6908" s="5">
        <v>9225</v>
      </c>
      <c r="I6908" s="118">
        <f t="shared" si="2375"/>
        <v>3.3788114641516348E-2</v>
      </c>
      <c r="J6908" s="903">
        <v>150911</v>
      </c>
      <c r="K6908" s="22">
        <v>2091</v>
      </c>
      <c r="L6908" s="6">
        <v>2118</v>
      </c>
      <c r="M6908" s="125">
        <f t="shared" si="2376"/>
        <v>27</v>
      </c>
      <c r="P6908" s="1324"/>
      <c r="Q6908" s="25">
        <f>186.6/1351.8</f>
        <v>0.1380381713271194</v>
      </c>
      <c r="W6908" s="285">
        <f t="shared" ref="W6908:W6911" si="2379">(P6908*Q6908)*(1+U6908)</f>
        <v>0</v>
      </c>
      <c r="X6908" s="443">
        <f t="shared" ref="X6908:X6911" si="2380">P6908/K6908</f>
        <v>0</v>
      </c>
    </row>
    <row r="6909" spans="1:24" ht="15" customHeight="1">
      <c r="A6909" s="943">
        <v>45390</v>
      </c>
      <c r="B6909" s="4">
        <v>262525</v>
      </c>
      <c r="C6909" s="5">
        <v>0</v>
      </c>
      <c r="D6909" s="5">
        <v>6350</v>
      </c>
      <c r="E6909" s="5">
        <v>272600</v>
      </c>
      <c r="F6909" s="4">
        <v>0</v>
      </c>
      <c r="G6909" s="5">
        <v>425</v>
      </c>
      <c r="H6909" s="5">
        <v>22475</v>
      </c>
      <c r="I6909" s="118">
        <f t="shared" si="2375"/>
        <v>8.2446808510638292E-2</v>
      </c>
      <c r="J6909" s="903">
        <v>148275</v>
      </c>
      <c r="K6909" s="22">
        <v>2111</v>
      </c>
      <c r="L6909" s="6">
        <v>2136.5</v>
      </c>
      <c r="M6909" s="125">
        <f t="shared" si="2376"/>
        <v>25.5</v>
      </c>
      <c r="P6909" s="505">
        <v>16325</v>
      </c>
      <c r="Q6909" s="25">
        <f>186.63/1353.6</f>
        <v>0.13787677304964541</v>
      </c>
      <c r="W6909" s="285">
        <f t="shared" si="2379"/>
        <v>2250.8383200354615</v>
      </c>
      <c r="X6909" s="443">
        <f t="shared" si="2380"/>
        <v>7.7333017527238272</v>
      </c>
    </row>
    <row r="6910" spans="1:24" ht="15" customHeight="1">
      <c r="A6910" s="945">
        <v>45391</v>
      </c>
      <c r="B6910" s="4">
        <v>261450</v>
      </c>
      <c r="C6910" s="5">
        <v>0</v>
      </c>
      <c r="D6910" s="5">
        <v>6350</v>
      </c>
      <c r="E6910" s="5">
        <v>271525</v>
      </c>
      <c r="F6910" s="4">
        <v>0</v>
      </c>
      <c r="G6910" s="5">
        <v>1075</v>
      </c>
      <c r="H6910" s="5">
        <v>36700</v>
      </c>
      <c r="I6910" s="118">
        <f t="shared" si="2375"/>
        <v>0.13516250805634841</v>
      </c>
      <c r="J6910" s="944">
        <v>145636</v>
      </c>
      <c r="K6910" s="22">
        <v>2119.5</v>
      </c>
      <c r="L6910" s="6">
        <v>2157</v>
      </c>
      <c r="M6910" s="125">
        <f t="shared" si="2376"/>
        <v>37.5</v>
      </c>
      <c r="P6910" s="505">
        <v>16300</v>
      </c>
      <c r="W6910" s="285">
        <f t="shared" si="2379"/>
        <v>0</v>
      </c>
      <c r="X6910" s="443">
        <f t="shared" si="2380"/>
        <v>7.6904930408115124</v>
      </c>
    </row>
    <row r="6911" spans="1:24" ht="15" customHeight="1">
      <c r="A6911" s="945">
        <v>45392</v>
      </c>
      <c r="B6911" s="4">
        <v>261450</v>
      </c>
      <c r="C6911" s="5">
        <v>0</v>
      </c>
      <c r="D6911" s="5">
        <v>6350</v>
      </c>
      <c r="E6911" s="5">
        <v>271525</v>
      </c>
      <c r="F6911" s="4">
        <v>0</v>
      </c>
      <c r="G6911" s="5">
        <v>0</v>
      </c>
      <c r="H6911" s="5">
        <v>45150</v>
      </c>
      <c r="I6911" s="118">
        <f t="shared" si="2375"/>
        <v>0.16628303102845041</v>
      </c>
      <c r="J6911" s="944">
        <v>147064</v>
      </c>
      <c r="K6911" s="22">
        <v>2139</v>
      </c>
      <c r="L6911" s="6">
        <v>2175</v>
      </c>
      <c r="M6911" s="125">
        <f t="shared" si="2376"/>
        <v>36</v>
      </c>
      <c r="P6911" s="505">
        <v>16375</v>
      </c>
      <c r="Q6911" s="25">
        <f>187.01/1354.4</f>
        <v>0.13807590076786769</v>
      </c>
      <c r="W6911" s="285">
        <f t="shared" si="2379"/>
        <v>2260.9928750738336</v>
      </c>
      <c r="X6911" s="443">
        <f t="shared" si="2380"/>
        <v>7.6554464703132306</v>
      </c>
    </row>
    <row r="6912" spans="1:24" ht="15" customHeight="1">
      <c r="A6912" s="947">
        <v>45393</v>
      </c>
      <c r="B6912" s="4">
        <v>261450</v>
      </c>
      <c r="C6912" s="946">
        <v>0</v>
      </c>
      <c r="D6912" s="946">
        <v>6350</v>
      </c>
      <c r="E6912" s="946">
        <v>271525</v>
      </c>
      <c r="F6912" s="4">
        <v>0</v>
      </c>
      <c r="G6912" s="946">
        <v>0</v>
      </c>
      <c r="H6912" s="5">
        <v>58800</v>
      </c>
      <c r="I6912" s="118">
        <f t="shared" si="2375"/>
        <v>0.21655464506030753</v>
      </c>
      <c r="J6912" s="944">
        <v>146919</v>
      </c>
      <c r="K6912" s="22">
        <v>2127.5</v>
      </c>
      <c r="L6912" s="6">
        <v>2169</v>
      </c>
      <c r="M6912" s="125">
        <f t="shared" si="2376"/>
        <v>41.5</v>
      </c>
      <c r="P6912" s="505">
        <v>16425</v>
      </c>
      <c r="Q6912" s="25">
        <f>188.03/1363.7</f>
        <v>0.13788223216249909</v>
      </c>
      <c r="W6912" s="285">
        <f t="shared" ref="W6912:W6914" si="2381">(P6912*Q6912)*(1+U6912)</f>
        <v>2264.7156632690476</v>
      </c>
      <c r="X6912" s="443">
        <f t="shared" ref="X6912:X6925" si="2382">P6912/K6912</f>
        <v>7.7203290246768503</v>
      </c>
    </row>
    <row r="6913" spans="1:24" ht="15" customHeight="1">
      <c r="A6913" s="949">
        <v>45394</v>
      </c>
      <c r="B6913" s="4">
        <v>261450</v>
      </c>
      <c r="C6913" s="948">
        <v>0</v>
      </c>
      <c r="D6913" s="5">
        <v>6350</v>
      </c>
      <c r="E6913" s="5">
        <v>271525</v>
      </c>
      <c r="F6913" s="4">
        <v>0</v>
      </c>
      <c r="G6913" s="5">
        <v>0</v>
      </c>
      <c r="H6913" s="5">
        <v>72125</v>
      </c>
      <c r="I6913" s="118">
        <f t="shared" si="2375"/>
        <v>0.26562931590092992</v>
      </c>
      <c r="J6913" s="948">
        <v>142478</v>
      </c>
      <c r="K6913" s="22">
        <v>2140.5</v>
      </c>
      <c r="L6913" s="6">
        <v>2176</v>
      </c>
      <c r="M6913" s="125">
        <f t="shared" ref="M6913:M6949" si="2383">L6913-K6913</f>
        <v>35.5</v>
      </c>
      <c r="P6913" s="505">
        <v>16400</v>
      </c>
      <c r="Q6913" s="25">
        <f>189.14/1371.6</f>
        <v>0.13789734616506269</v>
      </c>
      <c r="W6913" s="285">
        <f t="shared" si="2381"/>
        <v>2261.5164771070281</v>
      </c>
      <c r="X6913" s="443">
        <f t="shared" si="2382"/>
        <v>7.6617612707311373</v>
      </c>
    </row>
    <row r="6914" spans="1:24" ht="15" customHeight="1">
      <c r="A6914" s="950">
        <v>45397</v>
      </c>
      <c r="B6914" s="4">
        <v>265175</v>
      </c>
      <c r="C6914" s="5">
        <v>0</v>
      </c>
      <c r="D6914" s="5">
        <v>6350</v>
      </c>
      <c r="E6914" s="5">
        <v>271525</v>
      </c>
      <c r="F6914" s="4">
        <v>0</v>
      </c>
      <c r="G6914" s="5">
        <v>0</v>
      </c>
      <c r="H6914" s="5">
        <v>87625</v>
      </c>
      <c r="I6914" s="118">
        <f t="shared" si="2375"/>
        <v>0.32271429886750758</v>
      </c>
      <c r="J6914" s="944">
        <v>142411</v>
      </c>
      <c r="K6914" s="22">
        <v>2142</v>
      </c>
      <c r="L6914" s="6">
        <v>2170</v>
      </c>
      <c r="M6914" s="125">
        <f t="shared" si="2383"/>
        <v>28</v>
      </c>
      <c r="P6914" s="505">
        <v>16450</v>
      </c>
      <c r="Q6914" s="25">
        <f>190.58/1383.7</f>
        <v>0.13773216737732169</v>
      </c>
      <c r="W6914" s="285">
        <f t="shared" si="2381"/>
        <v>2265.694153356942</v>
      </c>
      <c r="X6914" s="443">
        <f t="shared" si="2382"/>
        <v>7.6797385620915035</v>
      </c>
    </row>
    <row r="6915" spans="1:24" ht="15" customHeight="1">
      <c r="A6915" s="952">
        <v>45398</v>
      </c>
      <c r="B6915" s="4">
        <v>268050</v>
      </c>
      <c r="C6915" s="5">
        <v>0</v>
      </c>
      <c r="D6915" s="5">
        <v>6650</v>
      </c>
      <c r="E6915" s="5">
        <v>274700</v>
      </c>
      <c r="F6915" s="4">
        <v>3350</v>
      </c>
      <c r="G6915" s="5">
        <v>175</v>
      </c>
      <c r="H6915" s="5">
        <v>102900</v>
      </c>
      <c r="I6915" s="118">
        <f t="shared" si="2375"/>
        <v>0.37459046232253368</v>
      </c>
      <c r="J6915" s="951">
        <v>139883</v>
      </c>
      <c r="K6915" s="22">
        <v>2146</v>
      </c>
      <c r="L6915" s="6">
        <v>2182</v>
      </c>
      <c r="M6915" s="125">
        <f t="shared" si="2383"/>
        <v>36</v>
      </c>
      <c r="P6915" s="505">
        <v>16450</v>
      </c>
      <c r="Q6915" s="25">
        <f>191.99/1395.3</f>
        <v>0.13759764925105714</v>
      </c>
      <c r="W6915" s="285">
        <f t="shared" ref="W6915:W6924" si="2384">(P6915*Q6915)*(1+U6915)</f>
        <v>2263.4813301798899</v>
      </c>
      <c r="X6915" s="443">
        <f t="shared" si="2382"/>
        <v>7.6654240447343893</v>
      </c>
    </row>
    <row r="6916" spans="1:24" ht="15" customHeight="1">
      <c r="A6916" s="954">
        <v>45399</v>
      </c>
      <c r="B6916" s="4">
        <v>267050</v>
      </c>
      <c r="C6916" s="5">
        <v>0</v>
      </c>
      <c r="D6916" s="5">
        <v>6650</v>
      </c>
      <c r="E6916" s="5">
        <v>273700</v>
      </c>
      <c r="F6916" s="4">
        <v>500</v>
      </c>
      <c r="G6916" s="5">
        <v>1500</v>
      </c>
      <c r="H6916" s="5">
        <v>107525</v>
      </c>
      <c r="I6916" s="118">
        <f t="shared" si="2375"/>
        <v>0.39285714285714285</v>
      </c>
      <c r="J6916" s="953">
        <v>138721</v>
      </c>
      <c r="K6916" s="22">
        <v>2116</v>
      </c>
      <c r="L6916" s="6">
        <v>2160</v>
      </c>
      <c r="M6916" s="125">
        <f t="shared" si="2383"/>
        <v>44</v>
      </c>
      <c r="P6916" s="505">
        <v>16525</v>
      </c>
      <c r="Q6916" s="25">
        <f>190.83/1386.3</f>
        <v>0.13765418740532354</v>
      </c>
      <c r="W6916" s="285">
        <f t="shared" si="2384"/>
        <v>2274.7354468729714</v>
      </c>
      <c r="X6916" s="443">
        <f t="shared" si="2382"/>
        <v>7.8095463137996219</v>
      </c>
    </row>
    <row r="6917" spans="1:24" ht="15" customHeight="1">
      <c r="A6917" s="956">
        <v>45400</v>
      </c>
      <c r="B6917" s="4">
        <v>265550</v>
      </c>
      <c r="C6917" s="5">
        <v>0</v>
      </c>
      <c r="D6917" s="5">
        <v>6650</v>
      </c>
      <c r="E6917" s="5">
        <v>272200</v>
      </c>
      <c r="F6917" s="4">
        <v>0</v>
      </c>
      <c r="G6917" s="5">
        <v>1500</v>
      </c>
      <c r="H6917" s="5">
        <v>126625</v>
      </c>
      <c r="I6917" s="118">
        <f t="shared" si="2375"/>
        <v>0.46519103600293904</v>
      </c>
      <c r="J6917" s="955">
        <v>136475</v>
      </c>
      <c r="K6917" s="22">
        <v>2155</v>
      </c>
      <c r="L6917" s="6">
        <v>2187</v>
      </c>
      <c r="M6917" s="125">
        <f t="shared" si="2383"/>
        <v>32</v>
      </c>
      <c r="P6917" s="505">
        <v>16550</v>
      </c>
      <c r="Q6917" s="25">
        <f>189.71/1375.9</f>
        <v>0.13788065993168108</v>
      </c>
      <c r="W6917" s="285">
        <f t="shared" si="2384"/>
        <v>2281.9249218693221</v>
      </c>
      <c r="X6917" s="443">
        <f t="shared" si="2382"/>
        <v>7.6798143851508121</v>
      </c>
    </row>
    <row r="6918" spans="1:24" ht="15" customHeight="1">
      <c r="A6918" s="958">
        <v>45401</v>
      </c>
      <c r="B6918" s="4">
        <v>231400</v>
      </c>
      <c r="C6918" s="957">
        <v>0</v>
      </c>
      <c r="D6918" s="5">
        <v>6650</v>
      </c>
      <c r="E6918" s="957">
        <v>271475</v>
      </c>
      <c r="F6918" s="4">
        <v>0</v>
      </c>
      <c r="G6918" s="5">
        <v>725</v>
      </c>
      <c r="H6918" s="5">
        <v>129650</v>
      </c>
      <c r="I6918" s="118">
        <f t="shared" si="2375"/>
        <v>0.47757620407035639</v>
      </c>
      <c r="J6918" s="957">
        <v>137713</v>
      </c>
      <c r="K6918" s="22">
        <v>2160</v>
      </c>
      <c r="L6918" s="6">
        <v>2188</v>
      </c>
      <c r="M6918" s="125">
        <f t="shared" si="2383"/>
        <v>28</v>
      </c>
      <c r="P6918" s="505">
        <v>16775</v>
      </c>
      <c r="Q6918" s="25">
        <f>191/1385</f>
        <v>0.13790613718411551</v>
      </c>
      <c r="W6918" s="285">
        <f t="shared" si="2384"/>
        <v>2313.3754512635378</v>
      </c>
      <c r="X6918" s="443">
        <f t="shared" si="2382"/>
        <v>7.7662037037037033</v>
      </c>
    </row>
    <row r="6919" spans="1:24" ht="15" customHeight="1">
      <c r="A6919" s="960">
        <v>45404</v>
      </c>
      <c r="B6919" s="4">
        <v>264875</v>
      </c>
      <c r="C6919" s="5">
        <v>0</v>
      </c>
      <c r="D6919" s="5">
        <v>6650</v>
      </c>
      <c r="E6919" s="5">
        <v>271525</v>
      </c>
      <c r="F6919" s="4">
        <v>50</v>
      </c>
      <c r="G6919" s="5">
        <v>0</v>
      </c>
      <c r="H6919" s="5">
        <v>129650</v>
      </c>
      <c r="I6919" s="118">
        <f t="shared" si="2375"/>
        <v>0.47748826074947059</v>
      </c>
      <c r="J6919" s="959">
        <v>139068</v>
      </c>
      <c r="K6919" s="22">
        <v>2148</v>
      </c>
      <c r="L6919" s="6">
        <v>2178</v>
      </c>
      <c r="M6919" s="125">
        <f t="shared" si="2383"/>
        <v>30</v>
      </c>
      <c r="P6919" s="505">
        <v>16775</v>
      </c>
      <c r="Q6919" s="25">
        <f>190.53/1380.6</f>
        <v>0.13800521512385922</v>
      </c>
      <c r="W6919" s="285">
        <f t="shared" si="2384"/>
        <v>2315.0374837027384</v>
      </c>
      <c r="X6919" s="443">
        <f t="shared" si="2382"/>
        <v>7.8095903165735567</v>
      </c>
    </row>
    <row r="6920" spans="1:24" ht="15" customHeight="1">
      <c r="A6920" s="962">
        <v>45405</v>
      </c>
      <c r="B6920" s="4">
        <v>261700</v>
      </c>
      <c r="C6920" s="5">
        <v>0</v>
      </c>
      <c r="D6920" s="5">
        <v>6650</v>
      </c>
      <c r="E6920" s="5">
        <v>268750</v>
      </c>
      <c r="F6920" s="4">
        <v>400</v>
      </c>
      <c r="G6920" s="5">
        <v>3175</v>
      </c>
      <c r="H6920" s="5">
        <v>126475</v>
      </c>
      <c r="I6920" s="118">
        <f t="shared" si="2375"/>
        <v>0.47060465116279071</v>
      </c>
      <c r="J6920" s="961">
        <v>139180</v>
      </c>
      <c r="K6920" s="22">
        <v>2111</v>
      </c>
      <c r="L6920" s="6">
        <v>2145.5</v>
      </c>
      <c r="M6920" s="125">
        <f t="shared" si="2383"/>
        <v>34.5</v>
      </c>
      <c r="P6920" s="505">
        <v>16525</v>
      </c>
      <c r="Q6920" s="25">
        <f>189.9/1377.9</f>
        <v>0.13781841933376876</v>
      </c>
      <c r="W6920" s="285">
        <f t="shared" si="2384"/>
        <v>2277.4493794905288</v>
      </c>
      <c r="X6920" s="443">
        <f t="shared" si="2382"/>
        <v>7.8280435812411175</v>
      </c>
    </row>
    <row r="6921" spans="1:24" ht="15" customHeight="1">
      <c r="A6921" s="964">
        <v>45406</v>
      </c>
      <c r="B6921" s="4">
        <v>258175</v>
      </c>
      <c r="C6921" s="5">
        <v>0</v>
      </c>
      <c r="D6921" s="5">
        <v>6650</v>
      </c>
      <c r="E6921" s="5">
        <v>265225</v>
      </c>
      <c r="F6921" s="4">
        <v>0</v>
      </c>
      <c r="G6921" s="5">
        <v>3525</v>
      </c>
      <c r="H6921" s="5">
        <v>124650</v>
      </c>
      <c r="I6921" s="118">
        <f t="shared" si="2375"/>
        <v>0.46997832029408992</v>
      </c>
      <c r="J6921" s="963">
        <v>138145</v>
      </c>
      <c r="K6921" s="22">
        <v>2164</v>
      </c>
      <c r="L6921" s="6">
        <v>2202</v>
      </c>
      <c r="M6921" s="125">
        <f t="shared" si="2383"/>
        <v>38</v>
      </c>
      <c r="P6921" s="505">
        <v>16675</v>
      </c>
      <c r="Q6921" s="25">
        <f>188.67/1370</f>
        <v>0.13771532846715329</v>
      </c>
      <c r="W6921" s="285">
        <f t="shared" si="2384"/>
        <v>2296.4031021897808</v>
      </c>
      <c r="X6921" s="443">
        <f t="shared" si="2382"/>
        <v>7.7056377079482443</v>
      </c>
    </row>
    <row r="6922" spans="1:24" ht="15" customHeight="1">
      <c r="A6922" s="965">
        <v>45407</v>
      </c>
      <c r="B6922" s="4">
        <v>259900</v>
      </c>
      <c r="C6922" s="5">
        <v>0</v>
      </c>
      <c r="D6922" s="5">
        <v>6650</v>
      </c>
      <c r="E6922" s="5">
        <v>266950</v>
      </c>
      <c r="F6922" s="4">
        <v>5000</v>
      </c>
      <c r="G6922" s="5">
        <v>3275</v>
      </c>
      <c r="H6922" s="5">
        <v>121375</v>
      </c>
      <c r="I6922" s="118">
        <f t="shared" si="2375"/>
        <v>0.45467315976774675</v>
      </c>
      <c r="J6922" s="963">
        <v>138154</v>
      </c>
      <c r="K6922" s="22">
        <v>2186</v>
      </c>
      <c r="L6922" s="6">
        <v>2216</v>
      </c>
      <c r="M6922" s="125">
        <f t="shared" si="2383"/>
        <v>30</v>
      </c>
      <c r="P6922" s="505">
        <v>16675</v>
      </c>
      <c r="Q6922" s="25">
        <f>189.51/1376.6</f>
        <v>0.13766526224030221</v>
      </c>
      <c r="W6922" s="285">
        <f t="shared" si="2384"/>
        <v>2295.5682478570393</v>
      </c>
      <c r="X6922" s="443">
        <f t="shared" si="2382"/>
        <v>7.6280878316559928</v>
      </c>
    </row>
    <row r="6923" spans="1:24" ht="15" customHeight="1">
      <c r="A6923" s="967">
        <v>45408</v>
      </c>
      <c r="B6923" s="4">
        <v>231625</v>
      </c>
      <c r="C6923" s="966">
        <v>0</v>
      </c>
      <c r="D6923" s="5">
        <v>6350</v>
      </c>
      <c r="E6923" s="5">
        <v>269650</v>
      </c>
      <c r="F6923" s="4">
        <v>5275</v>
      </c>
      <c r="G6923" s="5">
        <v>2575</v>
      </c>
      <c r="H6923" s="5">
        <v>118800</v>
      </c>
      <c r="I6923" s="118">
        <f t="shared" si="2375"/>
        <v>0.4405711106990543</v>
      </c>
      <c r="J6923" s="963">
        <v>141349</v>
      </c>
      <c r="K6923" s="22">
        <v>2196.5</v>
      </c>
      <c r="L6923" s="6">
        <v>2232</v>
      </c>
      <c r="M6923" s="125">
        <f t="shared" si="2383"/>
        <v>35.5</v>
      </c>
      <c r="P6923" s="505">
        <v>16725</v>
      </c>
      <c r="Q6923" s="25">
        <f>189.54/1375.9</f>
        <v>0.13775710444072969</v>
      </c>
      <c r="W6923" s="285">
        <f t="shared" si="2384"/>
        <v>2303.9875717712043</v>
      </c>
      <c r="X6923" s="443">
        <f t="shared" si="2382"/>
        <v>7.6143865240154796</v>
      </c>
    </row>
    <row r="6924" spans="1:24" ht="15" customHeight="1">
      <c r="A6924" s="969">
        <v>45411</v>
      </c>
      <c r="B6924" s="4">
        <v>263325</v>
      </c>
      <c r="C6924" s="968">
        <v>0</v>
      </c>
      <c r="D6924" s="5">
        <v>6350</v>
      </c>
      <c r="E6924" s="5">
        <v>270375</v>
      </c>
      <c r="F6924" s="4">
        <v>5000</v>
      </c>
      <c r="G6924" s="5">
        <v>4275</v>
      </c>
      <c r="H6924" s="5">
        <v>114525</v>
      </c>
      <c r="I6924" s="118">
        <f t="shared" si="2375"/>
        <v>0.42357836338418864</v>
      </c>
      <c r="J6924" s="968">
        <v>140865</v>
      </c>
      <c r="K6924" s="22">
        <v>2177.5</v>
      </c>
      <c r="L6924" s="6">
        <v>2212</v>
      </c>
      <c r="M6924" s="125">
        <f t="shared" si="2383"/>
        <v>34.5</v>
      </c>
      <c r="P6924" s="505">
        <v>16800</v>
      </c>
      <c r="Q6924" s="25">
        <f>190.05/1378.7</f>
        <v>0.1378472474069776</v>
      </c>
      <c r="W6924" s="285">
        <f t="shared" si="2384"/>
        <v>2315.8337564372237</v>
      </c>
      <c r="X6924" s="443">
        <f t="shared" si="2382"/>
        <v>7.7152698048220438</v>
      </c>
    </row>
    <row r="6925" spans="1:24" ht="15" customHeight="1">
      <c r="A6925" s="972">
        <v>45412</v>
      </c>
      <c r="B6925" s="4">
        <v>265350</v>
      </c>
      <c r="C6925" s="971">
        <v>0</v>
      </c>
      <c r="D6925" s="5">
        <v>6350</v>
      </c>
      <c r="E6925" s="5">
        <v>272400</v>
      </c>
      <c r="F6925" s="4">
        <v>7225</v>
      </c>
      <c r="G6925" s="5">
        <v>5200</v>
      </c>
      <c r="H6925" s="5">
        <v>109325</v>
      </c>
      <c r="I6925" s="118">
        <f t="shared" si="2375"/>
        <v>0.40133994126284878</v>
      </c>
      <c r="J6925" s="968">
        <v>141449</v>
      </c>
      <c r="K6925" s="22">
        <v>2184</v>
      </c>
      <c r="L6925" s="6">
        <v>2220.5</v>
      </c>
      <c r="M6925" s="125">
        <f t="shared" si="2383"/>
        <v>36.5</v>
      </c>
      <c r="N6925" s="448">
        <f>AVERAGE($K$6905:K6925)</f>
        <v>2129.6666666666665</v>
      </c>
      <c r="O6925" s="395">
        <f>AVERAGE($K$6837:K6925)</f>
        <v>2089.9404761904761</v>
      </c>
      <c r="P6925" s="505">
        <v>16900</v>
      </c>
      <c r="Q6925" s="505"/>
      <c r="V6925" s="980"/>
      <c r="W6925" s="979"/>
      <c r="X6925" s="443">
        <f t="shared" si="2382"/>
        <v>7.7380952380952381</v>
      </c>
    </row>
    <row r="6926" spans="1:24" ht="15" customHeight="1" thickBot="1">
      <c r="A6926" s="970"/>
      <c r="B6926" s="970"/>
      <c r="C6926" s="970"/>
      <c r="D6926" s="970"/>
      <c r="E6926" s="216"/>
      <c r="F6926" s="407"/>
      <c r="G6926" s="164"/>
      <c r="H6926" s="164"/>
      <c r="I6926" s="166"/>
      <c r="J6926" s="166"/>
      <c r="K6926" s="166"/>
      <c r="L6926" s="167"/>
      <c r="M6926" s="167"/>
      <c r="N6926" s="167"/>
      <c r="O6926" s="180"/>
      <c r="P6926" s="180"/>
      <c r="Q6926" s="180"/>
      <c r="R6926" s="248"/>
      <c r="S6926" s="249"/>
      <c r="T6926" s="249"/>
      <c r="U6926" s="152"/>
      <c r="V6926" s="153">
        <f>AVERAGE(P6906:P6925)</f>
        <v>16545.833333333332</v>
      </c>
      <c r="W6926" s="981"/>
      <c r="X6926" s="447">
        <f>V6926/N6925</f>
        <v>7.7692127093441856</v>
      </c>
    </row>
    <row r="6927" spans="1:24" ht="15" customHeight="1">
      <c r="A6927" s="972">
        <v>45413</v>
      </c>
      <c r="B6927" s="4">
        <v>263200</v>
      </c>
      <c r="C6927" s="971">
        <v>0</v>
      </c>
      <c r="D6927" s="5">
        <v>6350</v>
      </c>
      <c r="E6927" s="5">
        <v>270225</v>
      </c>
      <c r="F6927" s="4">
        <v>2475</v>
      </c>
      <c r="G6927" s="5">
        <v>4650</v>
      </c>
      <c r="H6927" s="5">
        <v>103100</v>
      </c>
      <c r="I6927" s="118">
        <f t="shared" si="2375"/>
        <v>0.38153390692941069</v>
      </c>
      <c r="J6927" s="968">
        <v>140908</v>
      </c>
      <c r="K6927" s="22">
        <v>2155.5</v>
      </c>
      <c r="L6927" s="6">
        <v>2190</v>
      </c>
      <c r="M6927" s="125">
        <f t="shared" si="2383"/>
        <v>34.5</v>
      </c>
      <c r="P6927" s="1320"/>
      <c r="Q6927" s="25">
        <f>189.92/1378</f>
        <v>0.13782293178519592</v>
      </c>
      <c r="V6927" s="980"/>
      <c r="W6927" s="1322"/>
      <c r="X6927" s="1322"/>
    </row>
    <row r="6928" spans="1:24" ht="15" customHeight="1">
      <c r="A6928" s="976">
        <v>45414</v>
      </c>
      <c r="B6928" s="4">
        <v>261700</v>
      </c>
      <c r="C6928" s="975">
        <v>0</v>
      </c>
      <c r="D6928" s="5">
        <v>6350</v>
      </c>
      <c r="E6928" s="5">
        <v>268725</v>
      </c>
      <c r="F6928" s="4">
        <v>0</v>
      </c>
      <c r="G6928" s="5">
        <v>1500</v>
      </c>
      <c r="H6928" s="5">
        <v>107550</v>
      </c>
      <c r="I6928" s="118">
        <f t="shared" si="2375"/>
        <v>0.40022327658386825</v>
      </c>
      <c r="J6928" s="968">
        <v>141993</v>
      </c>
      <c r="K6928" s="22">
        <v>2144</v>
      </c>
      <c r="L6928" s="6">
        <v>2189</v>
      </c>
      <c r="M6928" s="125">
        <f t="shared" si="2383"/>
        <v>45</v>
      </c>
      <c r="P6928" s="1321"/>
      <c r="Q6928" s="25">
        <f>190.31/1378.5</f>
        <v>0.13805585781646718</v>
      </c>
      <c r="V6928" s="980"/>
      <c r="W6928" s="1323"/>
      <c r="X6928" s="1323"/>
    </row>
    <row r="6929" spans="1:24" ht="15" customHeight="1">
      <c r="A6929" s="978">
        <v>45415</v>
      </c>
      <c r="B6929" s="4">
        <v>258975</v>
      </c>
      <c r="C6929" s="977">
        <v>0</v>
      </c>
      <c r="D6929" s="5">
        <v>6350</v>
      </c>
      <c r="E6929" s="5">
        <v>266000</v>
      </c>
      <c r="F6929" s="4">
        <v>0</v>
      </c>
      <c r="G6929" s="5">
        <v>2725</v>
      </c>
      <c r="H6929" s="5">
        <v>105875</v>
      </c>
      <c r="I6929" s="118">
        <f t="shared" si="2375"/>
        <v>0.39802631578947367</v>
      </c>
      <c r="J6929" s="968">
        <v>141284</v>
      </c>
      <c r="K6929" s="22">
        <v>2156</v>
      </c>
      <c r="L6929" s="6">
        <v>2194.5</v>
      </c>
      <c r="M6929" s="125">
        <f t="shared" si="2383"/>
        <v>38.5</v>
      </c>
      <c r="P6929" s="1321"/>
      <c r="Q6929" s="25">
        <f>189.55/1365.2</f>
        <v>0.13884412540287139</v>
      </c>
      <c r="V6929" s="980"/>
      <c r="W6929" s="1323"/>
      <c r="X6929" s="1323"/>
    </row>
    <row r="6930" spans="1:24" ht="15" customHeight="1">
      <c r="A6930" s="992">
        <v>45418</v>
      </c>
      <c r="B6930" s="1318"/>
      <c r="C6930" s="1318"/>
      <c r="D6930" s="1318"/>
      <c r="E6930" s="1318"/>
      <c r="F6930" s="1318"/>
      <c r="G6930" s="1318"/>
      <c r="H6930" s="1318"/>
      <c r="I6930" s="1318"/>
      <c r="J6930" s="1318"/>
      <c r="K6930" s="1318"/>
      <c r="L6930" s="1318"/>
      <c r="M6930" s="1318"/>
      <c r="N6930" s="1318"/>
      <c r="O6930" s="1319"/>
      <c r="P6930" s="991"/>
      <c r="W6930" s="990"/>
      <c r="X6930" s="995"/>
    </row>
    <row r="6931" spans="1:24" ht="15" customHeight="1">
      <c r="A6931" s="983">
        <v>45419</v>
      </c>
      <c r="B6931" s="4">
        <v>251800</v>
      </c>
      <c r="C6931" s="982">
        <v>0</v>
      </c>
      <c r="D6931" s="5">
        <v>6350</v>
      </c>
      <c r="E6931" s="5">
        <v>258800</v>
      </c>
      <c r="F6931" s="4">
        <v>0</v>
      </c>
      <c r="G6931" s="5">
        <v>7200</v>
      </c>
      <c r="H6931" s="5">
        <v>99500</v>
      </c>
      <c r="I6931" s="118">
        <f t="shared" si="2375"/>
        <v>0.38446676970633692</v>
      </c>
      <c r="J6931" s="963">
        <v>140006</v>
      </c>
      <c r="K6931" s="22">
        <v>2197</v>
      </c>
      <c r="L6931" s="6">
        <v>2240</v>
      </c>
      <c r="M6931" s="125">
        <f t="shared" si="2383"/>
        <v>43</v>
      </c>
      <c r="P6931" s="505">
        <v>17200</v>
      </c>
      <c r="Q6931" s="25">
        <f>188.13/1357.8</f>
        <v>0.13855501546619531</v>
      </c>
      <c r="W6931" s="285">
        <f t="shared" ref="W6931:W6932" si="2385">(P6931*Q6931)*(1+U6931)</f>
        <v>2383.1462660185593</v>
      </c>
      <c r="X6931" s="443">
        <f t="shared" ref="X6931:X6932" si="2386">P6931/K6931</f>
        <v>7.8288575329995451</v>
      </c>
    </row>
    <row r="6932" spans="1:24" ht="15" customHeight="1">
      <c r="A6932" s="985">
        <v>45420</v>
      </c>
      <c r="B6932" s="4">
        <v>239850</v>
      </c>
      <c r="C6932" s="984">
        <v>0</v>
      </c>
      <c r="D6932" s="5">
        <v>6350</v>
      </c>
      <c r="E6932" s="5">
        <v>246850</v>
      </c>
      <c r="F6932" s="4">
        <v>0</v>
      </c>
      <c r="G6932" s="5">
        <v>11950</v>
      </c>
      <c r="H6932" s="5">
        <v>88450</v>
      </c>
      <c r="I6932" s="118">
        <f t="shared" si="2375"/>
        <v>0.35831476605225848</v>
      </c>
      <c r="J6932" s="963">
        <v>140831</v>
      </c>
      <c r="K6932" s="22">
        <v>2187</v>
      </c>
      <c r="L6932" s="6">
        <v>2228</v>
      </c>
      <c r="M6932" s="125">
        <f t="shared" si="2383"/>
        <v>41</v>
      </c>
      <c r="P6932" s="505">
        <v>17425</v>
      </c>
      <c r="Q6932" s="25">
        <f>188.74/1364.4</f>
        <v>0.13833186748754031</v>
      </c>
      <c r="W6932" s="285">
        <f t="shared" si="2385"/>
        <v>2410.4327909703898</v>
      </c>
      <c r="X6932" s="443">
        <f t="shared" si="2386"/>
        <v>7.9675354366712394</v>
      </c>
    </row>
    <row r="6933" spans="1:24" ht="15" customHeight="1">
      <c r="A6933" s="987">
        <v>45421</v>
      </c>
      <c r="B6933" s="4">
        <v>233875</v>
      </c>
      <c r="C6933" s="986">
        <v>0</v>
      </c>
      <c r="D6933" s="5">
        <v>6350</v>
      </c>
      <c r="E6933" s="5">
        <v>240875</v>
      </c>
      <c r="F6933" s="4">
        <v>0</v>
      </c>
      <c r="G6933" s="5">
        <v>5975</v>
      </c>
      <c r="H6933" s="5">
        <v>83500</v>
      </c>
      <c r="I6933" s="118">
        <f t="shared" si="2375"/>
        <v>0.34665282823040994</v>
      </c>
      <c r="J6933" s="963">
        <v>143298</v>
      </c>
      <c r="K6933" s="22">
        <v>2175.5</v>
      </c>
      <c r="L6933" s="6">
        <v>2217</v>
      </c>
      <c r="M6933" s="125">
        <f t="shared" si="2383"/>
        <v>41.5</v>
      </c>
      <c r="P6933" s="505">
        <v>17550</v>
      </c>
      <c r="Q6933" s="25">
        <f>189.2/1367.9</f>
        <v>0.13831420425469695</v>
      </c>
      <c r="W6933" s="285">
        <f t="shared" ref="W6933" si="2387">(P6933*Q6933)*(1+U6933)</f>
        <v>2427.4142846699315</v>
      </c>
      <c r="X6933" s="443">
        <f t="shared" ref="X6933" si="2388">P6933/K6933</f>
        <v>8.0671110089634563</v>
      </c>
    </row>
    <row r="6934" spans="1:24" ht="15" customHeight="1">
      <c r="A6934" s="989">
        <v>45422</v>
      </c>
      <c r="B6934" s="4">
        <v>227575</v>
      </c>
      <c r="C6934" s="5">
        <v>0</v>
      </c>
      <c r="D6934" s="5">
        <v>6350</v>
      </c>
      <c r="E6934" s="5">
        <v>234575</v>
      </c>
      <c r="F6934" s="4">
        <v>0</v>
      </c>
      <c r="G6934" s="5">
        <v>6300</v>
      </c>
      <c r="H6934" s="5">
        <v>79025</v>
      </c>
      <c r="I6934" s="118">
        <f t="shared" si="2375"/>
        <v>0.33688585740168392</v>
      </c>
      <c r="J6934" s="963">
        <v>143501</v>
      </c>
      <c r="K6934" s="22">
        <v>2192.5</v>
      </c>
      <c r="L6934" s="6">
        <v>2238</v>
      </c>
      <c r="M6934" s="125">
        <f t="shared" si="2383"/>
        <v>45.5</v>
      </c>
      <c r="N6934" s="7"/>
      <c r="O6934" s="7"/>
      <c r="P6934" s="505">
        <v>17500</v>
      </c>
      <c r="Q6934" s="25">
        <f>189.27/1367.9</f>
        <v>0.13836537758608086</v>
      </c>
      <c r="W6934" s="285">
        <f t="shared" ref="W6934:W6935" si="2389">(P6934*Q6934)*(1+U6934)</f>
        <v>2421.394107756415</v>
      </c>
      <c r="X6934" s="443">
        <f t="shared" ref="X6934:X6935" si="2390">P6934/K6934</f>
        <v>7.9817559863169896</v>
      </c>
    </row>
    <row r="6935" spans="1:24" ht="15" customHeight="1">
      <c r="A6935" s="992">
        <v>45425</v>
      </c>
      <c r="B6935" s="4">
        <v>223075</v>
      </c>
      <c r="C6935" s="5">
        <v>0</v>
      </c>
      <c r="D6935" s="5">
        <v>6350</v>
      </c>
      <c r="E6935" s="5">
        <v>230075</v>
      </c>
      <c r="F6935" s="4">
        <v>0</v>
      </c>
      <c r="G6935" s="5">
        <v>4500</v>
      </c>
      <c r="H6935" s="5">
        <v>74475</v>
      </c>
      <c r="I6935" s="118">
        <f t="shared" si="2375"/>
        <v>0.32369879387156364</v>
      </c>
      <c r="J6935" s="963">
        <v>142092</v>
      </c>
      <c r="K6935" s="22">
        <v>2184</v>
      </c>
      <c r="L6935" s="6">
        <v>2236</v>
      </c>
      <c r="M6935" s="125">
        <f t="shared" si="2383"/>
        <v>52</v>
      </c>
      <c r="P6935" s="505">
        <v>17700</v>
      </c>
      <c r="Q6935" s="25">
        <f>189.21/1370.1</f>
        <v>0.13809940880227722</v>
      </c>
      <c r="W6935" s="285">
        <f t="shared" si="2389"/>
        <v>2444.3595358003067</v>
      </c>
      <c r="X6935" s="443">
        <f t="shared" si="2390"/>
        <v>8.104395604395604</v>
      </c>
    </row>
    <row r="6936" spans="1:24" ht="15" customHeight="1">
      <c r="A6936" s="994">
        <v>45426</v>
      </c>
      <c r="B6936" s="4">
        <v>219250</v>
      </c>
      <c r="C6936" s="5">
        <v>0</v>
      </c>
      <c r="D6936" s="5">
        <v>6350</v>
      </c>
      <c r="E6936" s="5">
        <v>226925</v>
      </c>
      <c r="F6936" s="4">
        <v>675</v>
      </c>
      <c r="G6936" s="5">
        <v>3825</v>
      </c>
      <c r="H6936" s="5">
        <v>70775</v>
      </c>
      <c r="I6936" s="118">
        <f t="shared" si="2375"/>
        <v>0.311887187396717</v>
      </c>
      <c r="J6936" s="993">
        <v>143031</v>
      </c>
      <c r="K6936" s="22">
        <v>2201</v>
      </c>
      <c r="L6936" s="6">
        <v>2251</v>
      </c>
      <c r="M6936" s="125">
        <f t="shared" si="2383"/>
        <v>50</v>
      </c>
      <c r="P6936" s="505">
        <f>18125-250</f>
        <v>17875</v>
      </c>
      <c r="W6936" s="285">
        <f t="shared" ref="W6936" si="2391">(P6936*Q6936)*(1+U6936)</f>
        <v>0</v>
      </c>
      <c r="X6936" s="443">
        <f t="shared" ref="X6936" si="2392">P6936/K6936</f>
        <v>8.1213084961381199</v>
      </c>
    </row>
    <row r="6937" spans="1:24" ht="15" customHeight="1">
      <c r="A6937" s="994">
        <v>45427</v>
      </c>
      <c r="B6937" s="4">
        <v>214575</v>
      </c>
      <c r="C6937" s="5">
        <v>0</v>
      </c>
      <c r="D6937" s="5">
        <v>6350</v>
      </c>
      <c r="E6937" s="5">
        <v>222250</v>
      </c>
      <c r="F6937" s="4">
        <v>0</v>
      </c>
      <c r="G6937" s="5">
        <v>4675</v>
      </c>
      <c r="H6937" s="5">
        <v>66100</v>
      </c>
      <c r="I6937" s="118">
        <f t="shared" si="2375"/>
        <v>0.29741282339707537</v>
      </c>
      <c r="J6937" s="993">
        <v>142254</v>
      </c>
      <c r="K6937" s="22">
        <v>2228</v>
      </c>
      <c r="L6937" s="6">
        <v>2278</v>
      </c>
      <c r="M6937" s="125">
        <f t="shared" si="2383"/>
        <v>50</v>
      </c>
      <c r="P6937" s="505">
        <v>18125</v>
      </c>
      <c r="Q6937" s="25">
        <f>189.08/1369</f>
        <v>0.13811541271000732</v>
      </c>
      <c r="W6937" s="285">
        <f t="shared" ref="W6937:W6943" si="2393">(P6937*Q6937)*(1+U6937)</f>
        <v>2503.3418553688825</v>
      </c>
      <c r="X6937" s="443">
        <f t="shared" ref="X6937:X6943" si="2394">P6937/K6937</f>
        <v>8.1350987432675037</v>
      </c>
    </row>
    <row r="6938" spans="1:24" ht="15" customHeight="1">
      <c r="A6938" s="997">
        <v>45428</v>
      </c>
      <c r="B6938" s="4">
        <v>210000</v>
      </c>
      <c r="C6938" s="988">
        <v>0</v>
      </c>
      <c r="D6938" s="5">
        <v>6350</v>
      </c>
      <c r="E6938" s="5">
        <v>217500</v>
      </c>
      <c r="F6938" s="4">
        <v>0</v>
      </c>
      <c r="G6938" s="5">
        <v>4750</v>
      </c>
      <c r="H6938" s="5">
        <v>65650</v>
      </c>
      <c r="I6938" s="118">
        <f t="shared" si="2375"/>
        <v>0.30183908045977009</v>
      </c>
      <c r="J6938" s="996">
        <v>146645</v>
      </c>
      <c r="K6938" s="22">
        <v>2227.5</v>
      </c>
      <c r="L6938" s="6">
        <v>2281</v>
      </c>
      <c r="M6938" s="125">
        <f t="shared" si="2383"/>
        <v>53.5</v>
      </c>
      <c r="P6938" s="505">
        <v>18275</v>
      </c>
      <c r="Q6938" s="25">
        <f>186.89/1349.4</f>
        <v>0.13849859196680003</v>
      </c>
      <c r="W6938" s="285">
        <f t="shared" si="2393"/>
        <v>2531.0617681932704</v>
      </c>
      <c r="X6938" s="443">
        <f t="shared" si="2394"/>
        <v>8.2042648709315369</v>
      </c>
    </row>
    <row r="6939" spans="1:24" ht="15" customHeight="1">
      <c r="A6939" s="998">
        <v>45429</v>
      </c>
      <c r="B6939" s="4">
        <v>205400</v>
      </c>
      <c r="C6939" s="988">
        <v>0</v>
      </c>
      <c r="D6939" s="5">
        <v>6350</v>
      </c>
      <c r="E6939" s="5">
        <v>212900</v>
      </c>
      <c r="F6939" s="4">
        <v>0</v>
      </c>
      <c r="G6939" s="5">
        <v>4600</v>
      </c>
      <c r="H6939" s="5">
        <v>61050</v>
      </c>
      <c r="I6939" s="118">
        <f t="shared" si="2375"/>
        <v>0.28675434476279943</v>
      </c>
      <c r="J6939" s="963">
        <v>149048</v>
      </c>
      <c r="K6939" s="22">
        <v>2237</v>
      </c>
      <c r="L6939" s="6">
        <v>2287</v>
      </c>
      <c r="M6939" s="125">
        <f t="shared" si="2383"/>
        <v>50</v>
      </c>
      <c r="P6939" s="505">
        <v>18325</v>
      </c>
      <c r="Q6939" s="25">
        <f>187.54/1355.2</f>
        <v>0.13838547815820543</v>
      </c>
      <c r="W6939" s="285">
        <f t="shared" si="2393"/>
        <v>2535.9138872491144</v>
      </c>
      <c r="X6939" s="443">
        <f t="shared" si="2394"/>
        <v>8.1917746982565944</v>
      </c>
    </row>
    <row r="6940" spans="1:24" ht="15" customHeight="1">
      <c r="A6940" s="1000">
        <v>45432</v>
      </c>
      <c r="B6940" s="4">
        <v>201925</v>
      </c>
      <c r="C6940" s="988">
        <v>0</v>
      </c>
      <c r="D6940" s="5">
        <v>6350</v>
      </c>
      <c r="E6940" s="5">
        <v>209425</v>
      </c>
      <c r="F6940" s="4">
        <v>0</v>
      </c>
      <c r="G6940" s="5">
        <v>3475</v>
      </c>
      <c r="H6940" s="5">
        <v>57575</v>
      </c>
      <c r="I6940" s="118">
        <f t="shared" si="2375"/>
        <v>0.27491942222752774</v>
      </c>
      <c r="J6940" s="999">
        <v>147737</v>
      </c>
      <c r="K6940" s="22">
        <v>2283.5</v>
      </c>
      <c r="L6940" s="6">
        <v>2337</v>
      </c>
      <c r="M6940" s="125">
        <f t="shared" si="2383"/>
        <v>53.5</v>
      </c>
      <c r="P6940" s="505">
        <v>18425</v>
      </c>
      <c r="Q6940" s="25">
        <f>187.49/1356.2</f>
        <v>0.13824657130216783</v>
      </c>
      <c r="W6940" s="285">
        <f t="shared" si="2393"/>
        <v>2547.1930762424422</v>
      </c>
      <c r="X6940" s="443">
        <f t="shared" si="2394"/>
        <v>8.0687541055397425</v>
      </c>
    </row>
    <row r="6941" spans="1:24" ht="15" customHeight="1">
      <c r="A6941" s="1002">
        <v>45433</v>
      </c>
      <c r="B6941" s="4">
        <v>199400</v>
      </c>
      <c r="C6941" s="988">
        <v>0</v>
      </c>
      <c r="D6941" s="5">
        <v>6350</v>
      </c>
      <c r="E6941" s="5">
        <v>206900</v>
      </c>
      <c r="F6941" s="4">
        <v>0</v>
      </c>
      <c r="G6941" s="5">
        <v>2525</v>
      </c>
      <c r="H6941" s="5">
        <v>55050</v>
      </c>
      <c r="I6941" s="118">
        <f t="shared" si="2375"/>
        <v>0.26607056549057517</v>
      </c>
      <c r="J6941" s="1001">
        <v>149147</v>
      </c>
      <c r="K6941" s="22">
        <v>2291</v>
      </c>
      <c r="L6941" s="6">
        <v>2343</v>
      </c>
      <c r="M6941" s="125">
        <f t="shared" si="2383"/>
        <v>52</v>
      </c>
      <c r="P6941" s="505">
        <v>18525</v>
      </c>
      <c r="Q6941" s="25">
        <f>188.36/1364.4</f>
        <v>0.13805335678686603</v>
      </c>
      <c r="W6941" s="285">
        <f t="shared" si="2393"/>
        <v>2557.4384344766931</v>
      </c>
      <c r="X6941" s="443">
        <f t="shared" si="2394"/>
        <v>8.0859886512439978</v>
      </c>
    </row>
    <row r="6942" spans="1:24" ht="15" customHeight="1">
      <c r="A6942" s="1003">
        <v>45434</v>
      </c>
      <c r="B6942" s="4">
        <v>195275</v>
      </c>
      <c r="C6942" s="988">
        <v>0</v>
      </c>
      <c r="D6942" s="5">
        <v>6350</v>
      </c>
      <c r="E6942" s="5">
        <v>202550</v>
      </c>
      <c r="F6942" s="4">
        <v>0</v>
      </c>
      <c r="G6942" s="5">
        <v>4350</v>
      </c>
      <c r="H6942" s="5">
        <v>50700</v>
      </c>
      <c r="I6942" s="118">
        <f t="shared" si="2375"/>
        <v>0.25030856578622562</v>
      </c>
      <c r="J6942" s="963">
        <v>149061</v>
      </c>
      <c r="K6942" s="22">
        <v>2290</v>
      </c>
      <c r="L6942" s="6">
        <v>2343</v>
      </c>
      <c r="M6942" s="125">
        <f t="shared" si="2383"/>
        <v>53</v>
      </c>
      <c r="P6942" s="505">
        <v>18300</v>
      </c>
      <c r="Q6942" s="25">
        <f>188.01/1363.1</f>
        <v>0.13792825177903309</v>
      </c>
      <c r="W6942" s="285">
        <f t="shared" si="2393"/>
        <v>2524.0870075563057</v>
      </c>
      <c r="X6942" s="443">
        <f t="shared" si="2394"/>
        <v>7.9912663755458517</v>
      </c>
    </row>
    <row r="6943" spans="1:24" ht="15" customHeight="1">
      <c r="A6943" s="1004">
        <v>45435</v>
      </c>
      <c r="B6943" s="4">
        <v>195000</v>
      </c>
      <c r="C6943" s="988">
        <v>0</v>
      </c>
      <c r="D6943" s="5">
        <v>6350</v>
      </c>
      <c r="E6943" s="5">
        <v>202175</v>
      </c>
      <c r="F6943" s="4">
        <v>0</v>
      </c>
      <c r="G6943" s="5">
        <v>375</v>
      </c>
      <c r="H6943" s="5">
        <v>50525</v>
      </c>
      <c r="I6943" s="118">
        <f t="shared" si="2375"/>
        <v>0.24990725856312601</v>
      </c>
      <c r="J6943" s="963">
        <v>151804</v>
      </c>
      <c r="K6943" s="22">
        <v>2235</v>
      </c>
      <c r="L6943" s="6">
        <v>2284</v>
      </c>
      <c r="M6943" s="125">
        <f t="shared" si="2383"/>
        <v>49</v>
      </c>
      <c r="P6943" s="505">
        <v>18225</v>
      </c>
      <c r="Q6943" s="25">
        <f>187.91/1364.5</f>
        <v>0.13771344814950531</v>
      </c>
      <c r="W6943" s="285">
        <f t="shared" si="2393"/>
        <v>2509.8275925247344</v>
      </c>
      <c r="X6943" s="443">
        <f t="shared" si="2394"/>
        <v>8.1543624161073822</v>
      </c>
    </row>
    <row r="6944" spans="1:24" ht="15" customHeight="1">
      <c r="A6944" s="1005">
        <v>45436</v>
      </c>
      <c r="B6944" s="4">
        <v>191700</v>
      </c>
      <c r="C6944" s="988">
        <v>0</v>
      </c>
      <c r="D6944" s="5">
        <v>6350</v>
      </c>
      <c r="E6944" s="5">
        <v>198750</v>
      </c>
      <c r="F6944" s="4">
        <v>0</v>
      </c>
      <c r="G6944" s="5">
        <v>3425</v>
      </c>
      <c r="H6944" s="5">
        <v>47100</v>
      </c>
      <c r="I6944" s="118">
        <f t="shared" si="2375"/>
        <v>0.2369811320754717</v>
      </c>
      <c r="J6944" s="963">
        <v>149507</v>
      </c>
      <c r="K6944" s="22">
        <v>2248.5</v>
      </c>
      <c r="L6944" s="6">
        <v>2297</v>
      </c>
      <c r="M6944" s="125">
        <f t="shared" si="2383"/>
        <v>48.5</v>
      </c>
      <c r="P6944" s="505">
        <v>18225</v>
      </c>
      <c r="Q6944" s="25">
        <f>188.82/1370</f>
        <v>0.13782481751824818</v>
      </c>
      <c r="W6944" s="285">
        <f t="shared" ref="W6944" si="2395">(P6944*Q6944)*(1+U6944)</f>
        <v>2511.8572992700733</v>
      </c>
      <c r="X6944" s="443">
        <f>P6944/K6944</f>
        <v>8.1054036024016014</v>
      </c>
    </row>
    <row r="6945" spans="1:24" ht="15" customHeight="1">
      <c r="A6945" s="1006">
        <v>45439</v>
      </c>
      <c r="B6945" s="1318"/>
      <c r="C6945" s="1318"/>
      <c r="D6945" s="1318"/>
      <c r="E6945" s="1318"/>
      <c r="F6945" s="1318"/>
      <c r="G6945" s="1318"/>
      <c r="H6945" s="1318"/>
      <c r="I6945" s="1318"/>
      <c r="J6945" s="1318"/>
      <c r="K6945" s="1318"/>
      <c r="L6945" s="1318"/>
      <c r="M6945" s="1318"/>
      <c r="N6945" s="1318"/>
      <c r="O6945" s="1318"/>
      <c r="P6945" s="505">
        <v>18350</v>
      </c>
      <c r="Q6945" s="25">
        <f>188.15/1365.4</f>
        <v>0.1377984473414384</v>
      </c>
      <c r="W6945" s="285">
        <f t="shared" ref="W6945" si="2396">(P6945*Q6945)*(1+U6945)</f>
        <v>2528.6015087153946</v>
      </c>
      <c r="X6945" s="443" t="e">
        <f t="shared" ref="X6945" si="2397">P6945/K6945</f>
        <v>#DIV/0!</v>
      </c>
    </row>
    <row r="6946" spans="1:24" ht="15" customHeight="1">
      <c r="A6946" s="1007">
        <v>45440</v>
      </c>
      <c r="B6946" s="4">
        <v>188250</v>
      </c>
      <c r="C6946" s="5">
        <v>0</v>
      </c>
      <c r="D6946" s="5">
        <v>6350</v>
      </c>
      <c r="E6946" s="5">
        <v>195225</v>
      </c>
      <c r="F6946" s="4">
        <v>0</v>
      </c>
      <c r="G6946" s="5">
        <v>325</v>
      </c>
      <c r="H6946" s="5">
        <v>44325</v>
      </c>
      <c r="I6946" s="118">
        <f t="shared" si="2375"/>
        <v>0.22704571648098348</v>
      </c>
      <c r="J6946" s="963">
        <v>149000</v>
      </c>
      <c r="K6946" s="22">
        <v>2283</v>
      </c>
      <c r="L6946" s="6">
        <v>2341.5</v>
      </c>
      <c r="M6946" s="125">
        <f t="shared" si="2383"/>
        <v>58.5</v>
      </c>
      <c r="P6946" s="505">
        <v>18525</v>
      </c>
      <c r="Q6946" s="25">
        <f>187.21/1359.5</f>
        <v>0.13770503861713865</v>
      </c>
      <c r="W6946" s="285">
        <f t="shared" ref="W6946" si="2398">(P6946*Q6946)*(1+U6946)</f>
        <v>2550.9858403824933</v>
      </c>
      <c r="X6946" s="443">
        <f t="shared" ref="X6946" si="2399">P6946/K6946</f>
        <v>8.1143232588699075</v>
      </c>
    </row>
    <row r="6947" spans="1:24" ht="15" customHeight="1">
      <c r="A6947" s="1009">
        <v>45441</v>
      </c>
      <c r="B6947" s="4">
        <v>183850</v>
      </c>
      <c r="C6947" s="5">
        <v>0</v>
      </c>
      <c r="D6947" s="5">
        <v>6350</v>
      </c>
      <c r="E6947" s="5">
        <v>190250</v>
      </c>
      <c r="F6947" s="4">
        <v>300</v>
      </c>
      <c r="G6947" s="5">
        <v>5275</v>
      </c>
      <c r="H6947" s="5">
        <v>39050</v>
      </c>
      <c r="I6947" s="118">
        <f t="shared" si="2375"/>
        <v>0.20525624178712221</v>
      </c>
      <c r="J6947" s="1008">
        <v>150907</v>
      </c>
      <c r="K6947" s="22">
        <v>2260</v>
      </c>
      <c r="L6947" s="6">
        <v>2318</v>
      </c>
      <c r="M6947" s="125">
        <f t="shared" si="2383"/>
        <v>58</v>
      </c>
      <c r="P6947" s="505">
        <v>18600</v>
      </c>
      <c r="Q6947" s="25">
        <f>187.77/1364.8</f>
        <v>0.1375805978898007</v>
      </c>
      <c r="W6947" s="285">
        <f t="shared" ref="W6947:W6952" si="2400">(P6947*Q6947)*(1+U6947)</f>
        <v>2558.9991207502931</v>
      </c>
      <c r="X6947" s="443">
        <f t="shared" ref="X6947:X6952" si="2401">P6947/K6947</f>
        <v>8.230088495575222</v>
      </c>
    </row>
    <row r="6948" spans="1:24" ht="15" customHeight="1">
      <c r="A6948" s="1011">
        <v>45442</v>
      </c>
      <c r="B6948" s="4">
        <v>181875</v>
      </c>
      <c r="C6948" s="5">
        <v>0</v>
      </c>
      <c r="D6948" s="5">
        <v>6350</v>
      </c>
      <c r="E6948" s="5">
        <v>188275</v>
      </c>
      <c r="F6948" s="4">
        <v>0</v>
      </c>
      <c r="G6948" s="5">
        <v>1975</v>
      </c>
      <c r="H6948" s="5">
        <v>37075</v>
      </c>
      <c r="I6948" s="118">
        <f t="shared" si="2375"/>
        <v>0.19691939981410173</v>
      </c>
      <c r="J6948" s="1010">
        <v>152777</v>
      </c>
      <c r="K6948" s="22">
        <v>2224.5</v>
      </c>
      <c r="L6948" s="6">
        <v>2284</v>
      </c>
      <c r="M6948" s="125">
        <f t="shared" si="2383"/>
        <v>59.5</v>
      </c>
      <c r="P6948" s="505">
        <v>18600</v>
      </c>
      <c r="Q6948" s="25">
        <f>189.18/1376.5</f>
        <v>0.13743552488194696</v>
      </c>
      <c r="W6948" s="285">
        <f t="shared" si="2400"/>
        <v>2556.3007628042137</v>
      </c>
      <c r="X6948" s="443">
        <f t="shared" si="2401"/>
        <v>8.3614295347269056</v>
      </c>
    </row>
    <row r="6949" spans="1:24" ht="15" customHeight="1">
      <c r="A6949" s="1014">
        <v>45443</v>
      </c>
      <c r="C6949" s="1012">
        <v>0</v>
      </c>
      <c r="D6949" s="1019">
        <v>6350</v>
      </c>
      <c r="E6949" s="5">
        <v>185400</v>
      </c>
      <c r="F6949" s="4">
        <v>0</v>
      </c>
      <c r="G6949" s="5">
        <v>2875</v>
      </c>
      <c r="H6949" s="5">
        <v>37025</v>
      </c>
      <c r="I6949" s="118">
        <f t="shared" si="2375"/>
        <v>0.19970334412081986</v>
      </c>
      <c r="J6949" s="1012">
        <v>154275</v>
      </c>
      <c r="K6949" s="22">
        <v>2246</v>
      </c>
      <c r="L6949" s="6">
        <v>2302</v>
      </c>
      <c r="M6949" s="125">
        <f t="shared" si="2383"/>
        <v>56</v>
      </c>
      <c r="N6949" s="448">
        <f>AVERAGE($K$6927:K6949)</f>
        <v>2221.2619047619046</v>
      </c>
      <c r="O6949" s="395">
        <f>AVERAGE($K$6837:K6949)</f>
        <v>2116.2047619047621</v>
      </c>
      <c r="P6949" s="505">
        <v>18600</v>
      </c>
      <c r="Q6949" s="25">
        <f>190.48/1381.6</f>
        <v>0.13786913723219457</v>
      </c>
      <c r="W6949" s="285">
        <f t="shared" si="2400"/>
        <v>2564.3659525188191</v>
      </c>
      <c r="X6949" s="443">
        <f t="shared" si="2401"/>
        <v>8.2813891362422076</v>
      </c>
    </row>
    <row r="6950" spans="1:24" ht="15" customHeight="1" thickBot="1">
      <c r="A6950" s="1013"/>
      <c r="B6950" s="1013"/>
      <c r="C6950" s="1013"/>
      <c r="D6950" s="1013"/>
      <c r="E6950" s="216"/>
      <c r="F6950" s="407"/>
      <c r="G6950" s="164"/>
      <c r="H6950" s="164"/>
      <c r="I6950" s="166"/>
      <c r="J6950" s="166"/>
      <c r="K6950" s="166"/>
      <c r="L6950" s="167"/>
      <c r="M6950" s="167"/>
      <c r="N6950" s="167"/>
      <c r="O6950" s="180"/>
      <c r="P6950" s="180"/>
      <c r="Q6950" s="180"/>
      <c r="R6950" s="248"/>
      <c r="S6950" s="249"/>
      <c r="T6950" s="249"/>
      <c r="U6950" s="152"/>
      <c r="V6950" s="153">
        <f>AVERAGE(P6927:P6949)</f>
        <v>18123.684210526317</v>
      </c>
      <c r="W6950" s="981"/>
      <c r="X6950" s="447">
        <f>V6950/N6949</f>
        <v>8.1591838277481195</v>
      </c>
    </row>
    <row r="6951" spans="1:24" ht="15" customHeight="1">
      <c r="A6951" s="1018">
        <v>45446</v>
      </c>
      <c r="B6951" s="4">
        <v>177250</v>
      </c>
      <c r="C6951" s="1017">
        <v>0</v>
      </c>
      <c r="D6951" s="5">
        <v>6350</v>
      </c>
      <c r="E6951" s="5">
        <v>183650</v>
      </c>
      <c r="F6951" s="4">
        <v>0</v>
      </c>
      <c r="G6951" s="5">
        <v>1750</v>
      </c>
      <c r="H6951" s="5">
        <v>35275</v>
      </c>
      <c r="I6951" s="118">
        <f t="shared" si="2375"/>
        <v>0.19207732099101552</v>
      </c>
      <c r="J6951" s="1017">
        <v>153353</v>
      </c>
      <c r="K6951" s="22">
        <v>2224</v>
      </c>
      <c r="L6951" s="6">
        <v>2280</v>
      </c>
      <c r="M6951" s="125">
        <f t="shared" ref="M6951:M6970" si="2402">L6951-K6951</f>
        <v>56</v>
      </c>
      <c r="P6951" s="505">
        <v>18700</v>
      </c>
      <c r="Q6951" s="25">
        <f>189.58/1377.6</f>
        <v>0.13761614401858305</v>
      </c>
      <c r="W6951" s="285">
        <f t="shared" si="2400"/>
        <v>2573.4218931475029</v>
      </c>
      <c r="X6951" s="443">
        <f t="shared" si="2401"/>
        <v>8.4082733812949648</v>
      </c>
    </row>
    <row r="6952" spans="1:24" ht="15" customHeight="1">
      <c r="A6952" s="1021">
        <v>45447</v>
      </c>
      <c r="B6952" s="4">
        <v>175550</v>
      </c>
      <c r="C6952" s="1020">
        <v>0</v>
      </c>
      <c r="D6952" s="5">
        <v>6350</v>
      </c>
      <c r="E6952" s="5">
        <v>181950</v>
      </c>
      <c r="F6952" s="4">
        <v>0</v>
      </c>
      <c r="G6952" s="5">
        <v>1700</v>
      </c>
      <c r="H6952" s="5">
        <v>33775</v>
      </c>
      <c r="I6952" s="118">
        <f t="shared" si="2375"/>
        <v>0.18562791975817533</v>
      </c>
      <c r="J6952" s="963">
        <v>150963</v>
      </c>
      <c r="K6952" s="22">
        <v>2205</v>
      </c>
      <c r="L6952" s="6">
        <v>2265</v>
      </c>
      <c r="M6952" s="125">
        <f t="shared" si="2402"/>
        <v>60</v>
      </c>
      <c r="P6952" s="505">
        <v>18850</v>
      </c>
      <c r="Q6952" s="25">
        <f>189.16/1373.1</f>
        <v>0.13776127011870951</v>
      </c>
      <c r="W6952" s="285">
        <f t="shared" si="2400"/>
        <v>2596.7999417376741</v>
      </c>
      <c r="X6952" s="443">
        <f t="shared" si="2401"/>
        <v>8.5487528344671198</v>
      </c>
    </row>
    <row r="6953" spans="1:24" ht="15" customHeight="1">
      <c r="A6953" s="1022">
        <v>45448</v>
      </c>
      <c r="B6953" s="4">
        <v>174050</v>
      </c>
      <c r="C6953" s="5">
        <v>0</v>
      </c>
      <c r="D6953" s="5">
        <v>6350</v>
      </c>
      <c r="E6953" s="5">
        <v>180450</v>
      </c>
      <c r="F6953" s="4">
        <v>0</v>
      </c>
      <c r="G6953" s="5">
        <v>1500</v>
      </c>
      <c r="H6953" s="5">
        <v>35300</v>
      </c>
      <c r="I6953" s="118">
        <f t="shared" si="2375"/>
        <v>0.19562205597118315</v>
      </c>
      <c r="J6953" s="963">
        <v>151590</v>
      </c>
      <c r="K6953" s="22">
        <v>2176</v>
      </c>
      <c r="L6953" s="6">
        <v>2228</v>
      </c>
      <c r="M6953" s="125">
        <f t="shared" si="2402"/>
        <v>52</v>
      </c>
      <c r="P6953" s="505">
        <v>18625</v>
      </c>
      <c r="W6953" s="285">
        <f t="shared" ref="W6953:W6963" si="2403">(P6953*Q6953)*(1+U6953)</f>
        <v>0</v>
      </c>
      <c r="X6953" s="443">
        <f t="shared" ref="X6953:X6966" si="2404">P6953/K6953</f>
        <v>8.5592830882352935</v>
      </c>
    </row>
    <row r="6954" spans="1:24" ht="15" customHeight="1">
      <c r="A6954" s="1022">
        <v>45449</v>
      </c>
      <c r="B6954" s="4">
        <v>176175</v>
      </c>
      <c r="C6954" s="5">
        <v>0</v>
      </c>
      <c r="D6954" s="5">
        <v>6350</v>
      </c>
      <c r="E6954" s="5">
        <v>182550</v>
      </c>
      <c r="F6954" s="4">
        <v>3625</v>
      </c>
      <c r="G6954" s="5">
        <v>1525</v>
      </c>
      <c r="H6954" s="5">
        <v>33775</v>
      </c>
      <c r="I6954" s="118">
        <f t="shared" si="2375"/>
        <v>0.18501780334155027</v>
      </c>
      <c r="J6954" s="963">
        <v>149377</v>
      </c>
      <c r="K6954" s="22">
        <v>2188</v>
      </c>
      <c r="L6954" s="6">
        <v>2237</v>
      </c>
      <c r="M6954" s="125">
        <f t="shared" si="2402"/>
        <v>49</v>
      </c>
      <c r="P6954" s="505">
        <v>18750</v>
      </c>
      <c r="Q6954" s="25">
        <f>188.96/1371.5</f>
        <v>0.13777615749179731</v>
      </c>
      <c r="W6954" s="285">
        <f t="shared" si="2403"/>
        <v>2583.3029529711994</v>
      </c>
      <c r="X6954" s="443">
        <f t="shared" si="2404"/>
        <v>8.5694698354661796</v>
      </c>
    </row>
    <row r="6955" spans="1:24" ht="15" customHeight="1">
      <c r="A6955" s="1023">
        <v>45450</v>
      </c>
      <c r="B6955" s="4">
        <v>178050</v>
      </c>
      <c r="C6955" s="5">
        <v>0</v>
      </c>
      <c r="D6955" s="5">
        <v>6350</v>
      </c>
      <c r="E6955" s="5">
        <v>185325</v>
      </c>
      <c r="F6955" s="4">
        <v>4575</v>
      </c>
      <c r="G6955" s="5">
        <v>1800</v>
      </c>
      <c r="H6955" s="5">
        <v>35200</v>
      </c>
      <c r="I6955" s="118">
        <f t="shared" si="2375"/>
        <v>0.1899365978686092</v>
      </c>
      <c r="J6955" s="963">
        <v>149387</v>
      </c>
      <c r="K6955" s="22">
        <v>2179</v>
      </c>
      <c r="L6955" s="6">
        <v>2226.5</v>
      </c>
      <c r="M6955" s="125">
        <f t="shared" si="2402"/>
        <v>47.5</v>
      </c>
      <c r="P6955" s="505">
        <v>18725</v>
      </c>
      <c r="Q6955" s="25">
        <f>188.51/1366.9</f>
        <v>0.13791060062916086</v>
      </c>
      <c r="W6955" s="285">
        <f t="shared" si="2403"/>
        <v>2582.375996781037</v>
      </c>
      <c r="X6955" s="443">
        <f t="shared" si="2404"/>
        <v>8.5933914639742994</v>
      </c>
    </row>
    <row r="6956" spans="1:24" ht="15" customHeight="1">
      <c r="A6956" s="1025">
        <v>45453</v>
      </c>
      <c r="B6956" s="4">
        <v>180300</v>
      </c>
      <c r="C6956" s="5">
        <v>0</v>
      </c>
      <c r="D6956" s="5">
        <v>6350</v>
      </c>
      <c r="E6956" s="5">
        <v>187575</v>
      </c>
      <c r="F6956" s="4">
        <v>3750</v>
      </c>
      <c r="G6956" s="5">
        <v>1500</v>
      </c>
      <c r="H6956" s="5">
        <v>34650</v>
      </c>
      <c r="I6956" s="118">
        <f t="shared" si="2375"/>
        <v>0.18472610955617752</v>
      </c>
      <c r="J6956" s="1024">
        <v>148799</v>
      </c>
      <c r="K6956" s="22">
        <v>2128</v>
      </c>
      <c r="L6956" s="6">
        <v>2187.5</v>
      </c>
      <c r="M6956" s="125">
        <f t="shared" si="2402"/>
        <v>59.5</v>
      </c>
      <c r="P6956" s="505"/>
      <c r="Q6956" s="25">
        <f>189.53/1377.9</f>
        <v>0.13754989476739965</v>
      </c>
      <c r="W6956" s="285">
        <f t="shared" si="2403"/>
        <v>0</v>
      </c>
      <c r="X6956" s="443">
        <f t="shared" si="2404"/>
        <v>0</v>
      </c>
    </row>
    <row r="6957" spans="1:24" ht="15" customHeight="1">
      <c r="A6957" s="1026">
        <v>45454</v>
      </c>
      <c r="B6957" s="4">
        <v>181375</v>
      </c>
      <c r="C6957" s="5">
        <v>0</v>
      </c>
      <c r="D6957" s="5">
        <v>6350</v>
      </c>
      <c r="E6957" s="5">
        <v>188625</v>
      </c>
      <c r="F6957" s="4">
        <v>3825</v>
      </c>
      <c r="G6957" s="5">
        <v>2775</v>
      </c>
      <c r="H6957" s="5">
        <v>31875</v>
      </c>
      <c r="I6957" s="118">
        <f t="shared" si="2375"/>
        <v>0.16898608349900596</v>
      </c>
      <c r="J6957" s="963">
        <v>147348</v>
      </c>
      <c r="K6957" s="22">
        <v>2122.5</v>
      </c>
      <c r="L6957" s="6">
        <v>2180</v>
      </c>
      <c r="M6957" s="125">
        <f t="shared" si="2402"/>
        <v>57.5</v>
      </c>
      <c r="P6957" s="505">
        <v>18600</v>
      </c>
      <c r="Q6957" s="25">
        <f>189.52/1377.4</f>
        <v>0.13759256570349934</v>
      </c>
      <c r="W6957" s="285">
        <f t="shared" si="2403"/>
        <v>2559.2217220850875</v>
      </c>
      <c r="X6957" s="443">
        <f t="shared" si="2404"/>
        <v>8.7632508833922262</v>
      </c>
    </row>
    <row r="6958" spans="1:24" ht="15" customHeight="1">
      <c r="A6958" s="1027">
        <v>45455</v>
      </c>
      <c r="B6958" s="4">
        <v>183000</v>
      </c>
      <c r="C6958" s="5">
        <v>0</v>
      </c>
      <c r="D6958" s="5">
        <v>6350</v>
      </c>
      <c r="E6958" s="5">
        <v>190250</v>
      </c>
      <c r="F6958" s="4">
        <v>4000</v>
      </c>
      <c r="G6958" s="5">
        <v>2375</v>
      </c>
      <c r="H6958" s="5">
        <v>28250</v>
      </c>
      <c r="I6958" s="118">
        <f t="shared" si="2375"/>
        <v>0.14848883048620237</v>
      </c>
      <c r="J6958" s="963">
        <v>146749</v>
      </c>
      <c r="K6958" s="22">
        <v>2108</v>
      </c>
      <c r="L6958" s="6">
        <v>2167</v>
      </c>
      <c r="M6958" s="125">
        <f t="shared" si="2402"/>
        <v>59</v>
      </c>
      <c r="P6958" s="505">
        <v>18550</v>
      </c>
      <c r="Q6958" s="25">
        <f>189.43/1377.8</f>
        <v>0.13748729859195821</v>
      </c>
      <c r="W6958" s="285">
        <f t="shared" si="2403"/>
        <v>2550.3893888808248</v>
      </c>
      <c r="X6958" s="443">
        <f t="shared" si="2404"/>
        <v>8.7998102466793178</v>
      </c>
    </row>
    <row r="6959" spans="1:24" ht="15" customHeight="1">
      <c r="A6959" s="1028">
        <v>45456</v>
      </c>
      <c r="B6959" s="4">
        <v>186175</v>
      </c>
      <c r="C6959" s="5">
        <v>0</v>
      </c>
      <c r="D6959" s="5">
        <v>6350</v>
      </c>
      <c r="E6959" s="5">
        <v>193200</v>
      </c>
      <c r="F6959" s="4">
        <v>3975</v>
      </c>
      <c r="G6959" s="5">
        <v>1025</v>
      </c>
      <c r="H6959" s="5">
        <v>28375</v>
      </c>
      <c r="I6959" s="118">
        <f t="shared" si="2375"/>
        <v>0.14686853002070394</v>
      </c>
      <c r="J6959" s="1029">
        <v>146138</v>
      </c>
      <c r="K6959" s="22">
        <v>2111</v>
      </c>
      <c r="L6959" s="6">
        <v>2170</v>
      </c>
      <c r="M6959" s="125">
        <f t="shared" si="2402"/>
        <v>59</v>
      </c>
      <c r="P6959" s="505">
        <v>18500</v>
      </c>
      <c r="Q6959" s="25">
        <f>189.12/1371</f>
        <v>0.13794310722100656</v>
      </c>
      <c r="W6959" s="285">
        <f t="shared" si="2403"/>
        <v>2551.9474835886213</v>
      </c>
      <c r="X6959" s="443">
        <f t="shared" si="2404"/>
        <v>8.7636191378493606</v>
      </c>
    </row>
    <row r="6960" spans="1:24" ht="15" customHeight="1">
      <c r="A6960" s="1030">
        <v>45457</v>
      </c>
      <c r="B6960" s="4">
        <v>189825</v>
      </c>
      <c r="C6960" s="1029">
        <v>0</v>
      </c>
      <c r="D6960" s="5">
        <v>6350</v>
      </c>
      <c r="E6960" s="5">
        <v>196725</v>
      </c>
      <c r="F6960" s="4">
        <v>3975</v>
      </c>
      <c r="G6960" s="5">
        <v>450</v>
      </c>
      <c r="H6960" s="5">
        <v>24775</v>
      </c>
      <c r="I6960" s="118">
        <f t="shared" si="2375"/>
        <v>0.12593722201042062</v>
      </c>
      <c r="J6960" s="1029">
        <v>146257</v>
      </c>
      <c r="K6960" s="22">
        <v>2109</v>
      </c>
      <c r="L6960" s="6">
        <v>2163.5</v>
      </c>
      <c r="M6960" s="125">
        <f t="shared" si="2402"/>
        <v>54.5</v>
      </c>
      <c r="P6960" s="505">
        <v>18450</v>
      </c>
      <c r="Q6960" s="25">
        <f>189.5/1377.7</f>
        <v>0.1375480873920302</v>
      </c>
      <c r="W6960" s="285">
        <f t="shared" si="2403"/>
        <v>2537.7622123829574</v>
      </c>
      <c r="X6960" s="443">
        <f t="shared" si="2404"/>
        <v>8.7482219061166422</v>
      </c>
    </row>
    <row r="6961" spans="1:24" ht="15" customHeight="1">
      <c r="A6961" s="1032">
        <v>45460</v>
      </c>
      <c r="B6961" s="4">
        <v>199425</v>
      </c>
      <c r="C6961" s="1031">
        <v>0</v>
      </c>
      <c r="D6961" s="5">
        <v>6350</v>
      </c>
      <c r="E6961" s="5">
        <v>206300</v>
      </c>
      <c r="F6961" s="4">
        <v>9600</v>
      </c>
      <c r="G6961" s="5">
        <v>25</v>
      </c>
      <c r="H6961" s="5">
        <v>24775</v>
      </c>
      <c r="I6961" s="118">
        <f t="shared" si="2375"/>
        <v>0.12009209888511876</v>
      </c>
      <c r="J6961" s="1029">
        <v>143743</v>
      </c>
      <c r="K6961" s="22">
        <v>2105</v>
      </c>
      <c r="L6961" s="6">
        <v>2150</v>
      </c>
      <c r="M6961" s="125">
        <f t="shared" si="2402"/>
        <v>45</v>
      </c>
      <c r="P6961" s="505">
        <v>18600</v>
      </c>
      <c r="Q6961" s="25">
        <f>189.84/1380.4</f>
        <v>0.13752535496957402</v>
      </c>
      <c r="W6961" s="285">
        <f t="shared" si="2403"/>
        <v>2557.9716024340769</v>
      </c>
      <c r="X6961" s="443">
        <f t="shared" si="2404"/>
        <v>8.8361045130641322</v>
      </c>
    </row>
    <row r="6962" spans="1:24" ht="15" customHeight="1">
      <c r="A6962" s="1034">
        <v>45461</v>
      </c>
      <c r="B6962" s="4">
        <v>209300</v>
      </c>
      <c r="C6962" s="1033">
        <v>0</v>
      </c>
      <c r="D6962" s="5">
        <v>6350</v>
      </c>
      <c r="E6962" s="5">
        <v>216150</v>
      </c>
      <c r="F6962" s="4">
        <v>10125</v>
      </c>
      <c r="G6962" s="5">
        <v>275</v>
      </c>
      <c r="H6962" s="5">
        <v>25375</v>
      </c>
      <c r="I6962" s="118">
        <f t="shared" si="2375"/>
        <v>0.11739532731899144</v>
      </c>
      <c r="J6962" s="1029">
        <v>141563</v>
      </c>
      <c r="K6962" s="22">
        <v>2107</v>
      </c>
      <c r="L6962" s="6">
        <v>2156</v>
      </c>
      <c r="M6962" s="125">
        <f t="shared" si="2402"/>
        <v>49</v>
      </c>
      <c r="P6962" s="505">
        <v>18775</v>
      </c>
      <c r="Q6962" s="25">
        <f>189.88/1380.5</f>
        <v>0.13754436798261499</v>
      </c>
      <c r="W6962" s="285">
        <f t="shared" si="2403"/>
        <v>2582.3955088735966</v>
      </c>
      <c r="X6962" s="443">
        <f t="shared" si="2404"/>
        <v>8.9107736117702903</v>
      </c>
    </row>
    <row r="6963" spans="1:24" ht="15" customHeight="1">
      <c r="A6963" s="1036">
        <v>45462</v>
      </c>
      <c r="B6963" s="4">
        <v>220200</v>
      </c>
      <c r="C6963" s="1035">
        <v>0</v>
      </c>
      <c r="D6963" s="5">
        <v>6350</v>
      </c>
      <c r="E6963" s="5">
        <v>226950</v>
      </c>
      <c r="F6963" s="4">
        <v>10900</v>
      </c>
      <c r="G6963" s="5">
        <v>100</v>
      </c>
      <c r="H6963" s="5">
        <v>25275</v>
      </c>
      <c r="I6963" s="118">
        <f t="shared" si="2375"/>
        <v>0.11136814276272307</v>
      </c>
      <c r="J6963" s="1029">
        <v>137777</v>
      </c>
      <c r="K6963" s="22">
        <v>2189</v>
      </c>
      <c r="L6963" s="6">
        <v>2237.5</v>
      </c>
      <c r="M6963" s="125">
        <f t="shared" si="2402"/>
        <v>48.5</v>
      </c>
      <c r="P6963" s="505">
        <v>19125</v>
      </c>
      <c r="Q6963" s="25">
        <f>189.84/1380.8</f>
        <v>0.13748551564310546</v>
      </c>
      <c r="W6963" s="285">
        <f t="shared" si="2403"/>
        <v>2629.4104866743919</v>
      </c>
      <c r="X6963" s="443">
        <f t="shared" si="2404"/>
        <v>8.7368661489264507</v>
      </c>
    </row>
    <row r="6964" spans="1:24" ht="15" customHeight="1">
      <c r="A6964" s="1037">
        <v>45463</v>
      </c>
      <c r="B6964" s="4">
        <v>219875</v>
      </c>
      <c r="C6964" s="5">
        <v>0</v>
      </c>
      <c r="D6964" s="5">
        <v>6350</v>
      </c>
      <c r="E6964" s="5">
        <v>226575</v>
      </c>
      <c r="F6964" s="4">
        <v>0</v>
      </c>
      <c r="G6964" s="5">
        <v>375</v>
      </c>
      <c r="H6964" s="5">
        <v>24900</v>
      </c>
      <c r="I6964" s="118">
        <f t="shared" si="2375"/>
        <v>0.10989738497186362</v>
      </c>
      <c r="J6964" s="1029">
        <v>138930</v>
      </c>
      <c r="K6964" s="22">
        <v>2138</v>
      </c>
      <c r="L6964" s="6">
        <v>2182</v>
      </c>
      <c r="M6964" s="125">
        <f t="shared" si="2402"/>
        <v>44</v>
      </c>
      <c r="P6964" s="505">
        <v>18825</v>
      </c>
      <c r="Q6964" s="25">
        <f>190.01/1383.8</f>
        <v>0.13731030495736377</v>
      </c>
      <c r="W6964" s="285">
        <f t="shared" ref="W6964:W6970" si="2405">(P6964*Q6964)*(1+U6964)</f>
        <v>2584.8664908223727</v>
      </c>
      <c r="X6964" s="443">
        <f t="shared" si="2404"/>
        <v>8.8049579045837234</v>
      </c>
    </row>
    <row r="6965" spans="1:24" ht="15" customHeight="1">
      <c r="A6965" s="1038">
        <v>45464</v>
      </c>
      <c r="B6965" s="4">
        <v>218575</v>
      </c>
      <c r="C6965" s="5">
        <v>0</v>
      </c>
      <c r="D6965" s="5">
        <v>6350</v>
      </c>
      <c r="E6965" s="5">
        <v>225275</v>
      </c>
      <c r="F6965" s="4">
        <v>200</v>
      </c>
      <c r="G6965" s="5">
        <v>1500</v>
      </c>
      <c r="H6965" s="5">
        <v>23625</v>
      </c>
      <c r="I6965" s="118">
        <f t="shared" si="2375"/>
        <v>0.10487182332704473</v>
      </c>
      <c r="J6965" s="1029">
        <v>141132</v>
      </c>
      <c r="K6965" s="22">
        <v>2145</v>
      </c>
      <c r="L6965" s="6">
        <v>2186</v>
      </c>
      <c r="M6965" s="125">
        <f t="shared" si="2402"/>
        <v>41</v>
      </c>
      <c r="P6965" s="505">
        <v>18625</v>
      </c>
      <c r="Q6965" s="25">
        <f>190.65/1389.1</f>
        <v>0.13724713843495789</v>
      </c>
      <c r="W6965" s="285">
        <f t="shared" si="2405"/>
        <v>2556.2279533510909</v>
      </c>
      <c r="X6965" s="443">
        <f t="shared" si="2404"/>
        <v>8.6829836829836822</v>
      </c>
    </row>
    <row r="6966" spans="1:24" ht="15" customHeight="1">
      <c r="A6966" s="1040">
        <v>45467</v>
      </c>
      <c r="B6966" s="4">
        <v>217250</v>
      </c>
      <c r="C6966" s="1039">
        <v>0</v>
      </c>
      <c r="D6966" s="5">
        <v>6350</v>
      </c>
      <c r="E6966" s="5">
        <v>223950</v>
      </c>
      <c r="F6966" s="4">
        <v>0</v>
      </c>
      <c r="G6966" s="5">
        <v>1325</v>
      </c>
      <c r="H6966" s="5">
        <v>22350</v>
      </c>
      <c r="I6966" s="118">
        <f t="shared" si="2375"/>
        <v>9.9799062290689883E-2</v>
      </c>
      <c r="J6966" s="1039">
        <v>140260</v>
      </c>
      <c r="K6966" s="22">
        <v>2147</v>
      </c>
      <c r="L6966" s="6">
        <v>2190</v>
      </c>
      <c r="M6966" s="125">
        <f t="shared" si="2402"/>
        <v>43</v>
      </c>
      <c r="P6966" s="505">
        <v>18725</v>
      </c>
      <c r="Q6966" s="25">
        <f>190.71/1389.7</f>
        <v>0.13723105706267541</v>
      </c>
      <c r="W6966" s="285">
        <f t="shared" si="2405"/>
        <v>2569.6515434985972</v>
      </c>
      <c r="X6966" s="443">
        <f t="shared" si="2404"/>
        <v>8.7214718211457853</v>
      </c>
    </row>
    <row r="6967" spans="1:24" ht="15" customHeight="1">
      <c r="A6967" s="1042">
        <v>45468</v>
      </c>
      <c r="B6967" s="4">
        <v>216825</v>
      </c>
      <c r="C6967" s="5">
        <v>0</v>
      </c>
      <c r="D6967" s="5">
        <v>6350</v>
      </c>
      <c r="E6967" s="5">
        <v>223525</v>
      </c>
      <c r="F6967" s="4">
        <v>0</v>
      </c>
      <c r="G6967" s="5">
        <v>425</v>
      </c>
      <c r="H6967" s="5">
        <v>31150</v>
      </c>
      <c r="I6967" s="118">
        <f t="shared" si="2375"/>
        <v>0.13935801364500616</v>
      </c>
      <c r="J6967" s="1041">
        <v>141133</v>
      </c>
      <c r="K6967" s="22">
        <v>2116</v>
      </c>
      <c r="L6967" s="6">
        <v>2163</v>
      </c>
      <c r="M6967" s="125">
        <f t="shared" si="2402"/>
        <v>47</v>
      </c>
      <c r="P6967" s="505">
        <v>18725</v>
      </c>
      <c r="Q6967" s="25">
        <f>190.39/1386.4</f>
        <v>0.13732688978649737</v>
      </c>
      <c r="W6967" s="285">
        <f t="shared" si="2405"/>
        <v>2571.4460112521633</v>
      </c>
      <c r="X6967" s="443">
        <f t="shared" ref="X6967:X6970" si="2406">P6967/K6967</f>
        <v>8.8492438563327038</v>
      </c>
    </row>
    <row r="6968" spans="1:24" ht="15" customHeight="1">
      <c r="A6968" s="1044">
        <v>45469</v>
      </c>
      <c r="B6968" s="4">
        <v>216825</v>
      </c>
      <c r="C6968" s="1043">
        <v>0</v>
      </c>
      <c r="D6968" s="5">
        <v>6350</v>
      </c>
      <c r="E6968" s="5">
        <v>223500</v>
      </c>
      <c r="F6968" s="4">
        <v>0</v>
      </c>
      <c r="G6968" s="5">
        <v>25</v>
      </c>
      <c r="H6968" s="5">
        <v>31375</v>
      </c>
      <c r="I6968" s="118">
        <f t="shared" si="2375"/>
        <v>0.14038031319910516</v>
      </c>
      <c r="J6968" s="1043">
        <v>142539</v>
      </c>
      <c r="K6968" s="22">
        <v>2159</v>
      </c>
      <c r="L6968" s="6">
        <v>2207</v>
      </c>
      <c r="M6968" s="125">
        <f t="shared" si="2402"/>
        <v>48</v>
      </c>
      <c r="P6968" s="505">
        <v>18925</v>
      </c>
      <c r="Q6968" s="25">
        <f>190.61/1390.1</f>
        <v>0.13711963168117403</v>
      </c>
      <c r="W6968" s="285">
        <f t="shared" si="2405"/>
        <v>2594.9890295662185</v>
      </c>
      <c r="X6968" s="443">
        <f t="shared" si="2406"/>
        <v>8.7656322371468267</v>
      </c>
    </row>
    <row r="6969" spans="1:24" ht="15" customHeight="1">
      <c r="A6969" s="1046">
        <v>45470</v>
      </c>
      <c r="B6969" s="4">
        <v>216825</v>
      </c>
      <c r="C6969" s="1045">
        <v>0</v>
      </c>
      <c r="D6969" s="5">
        <v>6350</v>
      </c>
      <c r="E6969" s="5">
        <v>223500</v>
      </c>
      <c r="F6969" s="4">
        <v>0</v>
      </c>
      <c r="G6969" s="5">
        <v>0</v>
      </c>
      <c r="H6969" s="5">
        <v>28500</v>
      </c>
      <c r="I6969" s="118">
        <f t="shared" si="2375"/>
        <v>0.12751677852348994</v>
      </c>
      <c r="J6969" s="1045">
        <v>144091</v>
      </c>
      <c r="K6969" s="22">
        <v>2140</v>
      </c>
      <c r="L6969" s="6">
        <v>2189</v>
      </c>
      <c r="M6969" s="125">
        <f t="shared" si="2402"/>
        <v>49</v>
      </c>
      <c r="P6969" s="505">
        <v>19025</v>
      </c>
      <c r="Q6969" s="25">
        <f>190.43/1389.2</f>
        <v>0.13707889432767059</v>
      </c>
      <c r="W6969" s="285">
        <f t="shared" si="2405"/>
        <v>2607.9259645839329</v>
      </c>
      <c r="X6969" s="443">
        <f t="shared" si="2406"/>
        <v>8.8901869158878508</v>
      </c>
    </row>
    <row r="6970" spans="1:24" ht="15" customHeight="1">
      <c r="A6970" s="1049">
        <v>45471</v>
      </c>
      <c r="B6970" s="4">
        <v>192025</v>
      </c>
      <c r="C6970" s="1047">
        <v>0</v>
      </c>
      <c r="D6970" s="5">
        <v>6350</v>
      </c>
      <c r="E6970" s="5">
        <v>224375</v>
      </c>
      <c r="F6970" s="4">
        <v>975</v>
      </c>
      <c r="G6970" s="5">
        <v>100</v>
      </c>
      <c r="H6970" s="5">
        <v>28600</v>
      </c>
      <c r="I6970" s="118">
        <f t="shared" si="2375"/>
        <v>0.12746518105849583</v>
      </c>
      <c r="J6970" s="1047">
        <v>146326</v>
      </c>
      <c r="K6970" s="22">
        <v>2160</v>
      </c>
      <c r="L6970" s="6">
        <v>2210</v>
      </c>
      <c r="M6970" s="125">
        <f t="shared" si="2402"/>
        <v>50</v>
      </c>
      <c r="N6970" s="448">
        <f>AVERAGE($K$6951:K6970)</f>
        <v>2147.8249999999998</v>
      </c>
      <c r="O6970" s="395">
        <f>AVERAGE($K$6837:K6970)</f>
        <v>2121.2640000000001</v>
      </c>
      <c r="P6970" s="505">
        <v>19150</v>
      </c>
      <c r="Q6970" s="25">
        <f>189.35/1382.4</f>
        <v>0.13697193287037035</v>
      </c>
      <c r="W6970" s="285">
        <f t="shared" si="2405"/>
        <v>2623.0125144675922</v>
      </c>
      <c r="X6970" s="443">
        <f t="shared" si="2406"/>
        <v>8.8657407407407405</v>
      </c>
    </row>
    <row r="6971" spans="1:24" ht="15" customHeight="1" thickBot="1">
      <c r="A6971" s="1048"/>
      <c r="B6971" s="1048"/>
      <c r="C6971" s="1048"/>
      <c r="D6971" s="1048"/>
      <c r="E6971" s="216"/>
      <c r="F6971" s="407"/>
      <c r="G6971" s="164"/>
      <c r="H6971" s="164"/>
      <c r="I6971" s="166"/>
      <c r="J6971" s="166"/>
      <c r="K6971" s="166"/>
      <c r="L6971" s="167"/>
      <c r="M6971" s="167"/>
      <c r="N6971" s="167"/>
      <c r="O6971" s="180"/>
      <c r="P6971" s="180"/>
      <c r="Q6971" s="180"/>
      <c r="R6971" s="248"/>
      <c r="S6971" s="249"/>
      <c r="T6971" s="249"/>
      <c r="U6971" s="152"/>
      <c r="V6971" s="153">
        <f>AVERAGE(P6951:P6970)</f>
        <v>18750</v>
      </c>
      <c r="W6971" s="981"/>
      <c r="X6971" s="447">
        <f>V6971/N6970</f>
        <v>8.7297615029157409</v>
      </c>
    </row>
    <row r="6972" spans="1:24" ht="15" customHeight="1">
      <c r="A6972" s="1051">
        <v>45474</v>
      </c>
      <c r="B6972" s="4">
        <v>217100</v>
      </c>
      <c r="C6972" s="1050">
        <v>0</v>
      </c>
      <c r="D6972" s="1050">
        <v>6350</v>
      </c>
      <c r="E6972" s="1050">
        <v>224200</v>
      </c>
      <c r="F6972" s="4">
        <v>0</v>
      </c>
      <c r="G6972" s="1050">
        <v>175</v>
      </c>
      <c r="H6972" s="1050">
        <v>30050</v>
      </c>
      <c r="I6972" s="118">
        <f t="shared" ref="I6972:I7049" si="2407">H6972/E6972</f>
        <v>0.13403211418376448</v>
      </c>
      <c r="J6972" s="1050">
        <v>144151</v>
      </c>
      <c r="K6972" s="22">
        <v>2185</v>
      </c>
      <c r="L6972" s="6">
        <v>2226</v>
      </c>
      <c r="M6972" s="125">
        <f t="shared" ref="M6972:M7012" si="2408">L6972-K6972</f>
        <v>41</v>
      </c>
      <c r="P6972" s="505">
        <v>19375</v>
      </c>
      <c r="Q6972" s="25">
        <f>189.16/1380.8</f>
        <v>0.13699304750869062</v>
      </c>
      <c r="W6972" s="285">
        <f t="shared" ref="W6972:W6978" si="2409">(P6972*Q6972)*(1+U6972)</f>
        <v>2654.2402954808808</v>
      </c>
      <c r="X6972" s="443">
        <f t="shared" ref="X6972:X6978" si="2410">P6972/K6972</f>
        <v>8.8672768878718529</v>
      </c>
    </row>
    <row r="6973" spans="1:24" ht="15" customHeight="1">
      <c r="A6973" s="1053">
        <v>45475</v>
      </c>
      <c r="B6973" s="4">
        <v>219000</v>
      </c>
      <c r="C6973" s="1052">
        <v>0</v>
      </c>
      <c r="D6973" s="5">
        <v>6350</v>
      </c>
      <c r="E6973" s="5">
        <v>226075</v>
      </c>
      <c r="F6973" s="4">
        <v>2400</v>
      </c>
      <c r="G6973" s="5">
        <v>525</v>
      </c>
      <c r="H6973" s="5">
        <v>28925</v>
      </c>
      <c r="I6973" s="118">
        <f t="shared" si="2407"/>
        <v>0.12794426628331307</v>
      </c>
      <c r="J6973" s="1029">
        <v>142421</v>
      </c>
      <c r="K6973" s="22">
        <v>2198</v>
      </c>
      <c r="L6973" s="6">
        <v>2230</v>
      </c>
      <c r="M6973" s="125">
        <f t="shared" si="2408"/>
        <v>32</v>
      </c>
      <c r="P6973" s="505">
        <v>19450</v>
      </c>
      <c r="Q6973" s="25">
        <f>190.09/1387.4</f>
        <v>0.13701167651722646</v>
      </c>
      <c r="W6973" s="285">
        <f t="shared" si="2409"/>
        <v>2664.8771082600547</v>
      </c>
      <c r="X6973" s="443">
        <f t="shared" si="2410"/>
        <v>8.8489535941765247</v>
      </c>
    </row>
    <row r="6974" spans="1:24" ht="15" customHeight="1">
      <c r="A6974" s="1055">
        <v>45476</v>
      </c>
      <c r="B6974" s="4">
        <v>215800</v>
      </c>
      <c r="C6974" s="1054">
        <v>0</v>
      </c>
      <c r="D6974" s="5">
        <v>6350</v>
      </c>
      <c r="E6974" s="5">
        <v>222875</v>
      </c>
      <c r="F6974" s="4">
        <v>0</v>
      </c>
      <c r="G6974" s="5">
        <v>3200</v>
      </c>
      <c r="H6974" s="5">
        <v>23000</v>
      </c>
      <c r="I6974" s="118">
        <f t="shared" si="2407"/>
        <v>0.10319685922602355</v>
      </c>
      <c r="J6974" s="1029">
        <v>140232</v>
      </c>
      <c r="K6974" s="22">
        <v>2171</v>
      </c>
      <c r="L6974" s="6">
        <v>2210.5</v>
      </c>
      <c r="M6974" s="125">
        <f t="shared" si="2408"/>
        <v>39.5</v>
      </c>
      <c r="P6974" s="505">
        <v>19375</v>
      </c>
      <c r="Q6974" s="25">
        <f>190.13/1389.4</f>
        <v>0.13684324168705914</v>
      </c>
      <c r="W6974" s="285">
        <f t="shared" si="2409"/>
        <v>2651.3378076867707</v>
      </c>
      <c r="X6974" s="443">
        <f t="shared" si="2410"/>
        <v>8.9244587747581754</v>
      </c>
    </row>
    <row r="6975" spans="1:24" ht="15" customHeight="1">
      <c r="A6975" s="1057">
        <v>45477</v>
      </c>
      <c r="B6975" s="4">
        <v>216875</v>
      </c>
      <c r="C6975" s="1056">
        <v>0</v>
      </c>
      <c r="D6975" s="5">
        <v>6350</v>
      </c>
      <c r="E6975" s="5">
        <v>223950</v>
      </c>
      <c r="F6975" s="4">
        <v>2575</v>
      </c>
      <c r="G6975" s="5">
        <v>1500</v>
      </c>
      <c r="H6975" s="5">
        <v>21950</v>
      </c>
      <c r="I6975" s="118">
        <f t="shared" si="2407"/>
        <v>9.8012949319044432E-2</v>
      </c>
      <c r="J6975" s="963">
        <v>140956</v>
      </c>
      <c r="K6975" s="22">
        <v>2172</v>
      </c>
      <c r="L6975" s="6">
        <v>2216.5</v>
      </c>
      <c r="M6975" s="125">
        <f t="shared" si="2408"/>
        <v>44.5</v>
      </c>
      <c r="P6975" s="505">
        <v>19375</v>
      </c>
      <c r="Q6975" s="25">
        <f>189.26/1381.9</f>
        <v>0.13695636442579057</v>
      </c>
      <c r="W6975" s="285">
        <f t="shared" si="2409"/>
        <v>2653.5295607496923</v>
      </c>
      <c r="X6975" s="443">
        <f t="shared" si="2410"/>
        <v>8.9203499079189683</v>
      </c>
    </row>
    <row r="6976" spans="1:24" ht="15" customHeight="1">
      <c r="A6976" s="1058">
        <v>45478</v>
      </c>
      <c r="B6976" s="4">
        <v>215075</v>
      </c>
      <c r="C6976" s="5">
        <v>0</v>
      </c>
      <c r="D6976" s="5">
        <v>6350</v>
      </c>
      <c r="E6976" s="5">
        <v>222150</v>
      </c>
      <c r="F6976" s="4">
        <v>0</v>
      </c>
      <c r="G6976" s="5">
        <v>1800</v>
      </c>
      <c r="H6976" s="5">
        <v>20150</v>
      </c>
      <c r="I6976" s="118">
        <f t="shared" si="2407"/>
        <v>9.0704478955660583E-2</v>
      </c>
      <c r="J6976" s="963">
        <v>138875</v>
      </c>
      <c r="K6976" s="22">
        <v>2191</v>
      </c>
      <c r="L6976" s="6">
        <v>2238</v>
      </c>
      <c r="M6976" s="125">
        <f t="shared" si="2408"/>
        <v>47</v>
      </c>
      <c r="P6976" s="505">
        <v>19550</v>
      </c>
      <c r="Q6976" s="25">
        <f>189.18/1379</f>
        <v>0.13718636693255984</v>
      </c>
      <c r="W6976" s="285">
        <f t="shared" si="2409"/>
        <v>2681.9934735315451</v>
      </c>
      <c r="X6976" s="443">
        <f t="shared" si="2410"/>
        <v>8.9228662711090827</v>
      </c>
    </row>
    <row r="6977" spans="1:24" ht="15" customHeight="1">
      <c r="A6977" s="1059">
        <v>45481</v>
      </c>
      <c r="B6977" s="4">
        <v>211725</v>
      </c>
      <c r="C6977" s="5">
        <v>0</v>
      </c>
      <c r="D6977" s="5">
        <v>6350</v>
      </c>
      <c r="E6977" s="5">
        <v>218800</v>
      </c>
      <c r="F6977" s="4">
        <v>0</v>
      </c>
      <c r="G6977" s="5">
        <v>3350</v>
      </c>
      <c r="H6977" s="5">
        <v>21025</v>
      </c>
      <c r="I6977" s="118">
        <f t="shared" si="2407"/>
        <v>9.6092321755027424E-2</v>
      </c>
      <c r="J6977" s="963">
        <v>140527</v>
      </c>
      <c r="K6977" s="22">
        <v>2207.5</v>
      </c>
      <c r="L6977" s="6">
        <v>2244</v>
      </c>
      <c r="M6977" s="125">
        <f t="shared" si="2408"/>
        <v>36.5</v>
      </c>
      <c r="P6977" s="505">
        <v>19450</v>
      </c>
      <c r="Q6977" s="25">
        <f>189.13/1379.4</f>
        <v>0.13711033782804116</v>
      </c>
      <c r="W6977" s="285">
        <f t="shared" si="2409"/>
        <v>2666.7960707554007</v>
      </c>
      <c r="X6977" s="443">
        <f t="shared" si="2410"/>
        <v>8.8108720271800678</v>
      </c>
    </row>
    <row r="6978" spans="1:24" ht="15" customHeight="1">
      <c r="A6978" s="1061">
        <v>45482</v>
      </c>
      <c r="B6978" s="4">
        <v>209850</v>
      </c>
      <c r="C6978" s="5">
        <v>0</v>
      </c>
      <c r="D6978" s="5">
        <v>6350</v>
      </c>
      <c r="E6978" s="5">
        <v>216925</v>
      </c>
      <c r="F6978" s="4">
        <v>0</v>
      </c>
      <c r="G6978" s="5">
        <v>1875</v>
      </c>
      <c r="H6978" s="5">
        <v>19375</v>
      </c>
      <c r="I6978" s="118">
        <f t="shared" si="2407"/>
        <v>8.9316584072836228E-2</v>
      </c>
      <c r="J6978" s="1060">
        <v>140115</v>
      </c>
      <c r="K6978" s="22">
        <v>2155</v>
      </c>
      <c r="L6978" s="6">
        <v>2213</v>
      </c>
      <c r="M6978" s="125">
        <f t="shared" si="2408"/>
        <v>58</v>
      </c>
      <c r="P6978" s="505">
        <v>19425</v>
      </c>
      <c r="Q6978" s="25">
        <f>189.89/1383.4</f>
        <v>0.13726326442099174</v>
      </c>
      <c r="W6978" s="285">
        <f t="shared" si="2409"/>
        <v>2666.3389113777644</v>
      </c>
      <c r="X6978" s="443">
        <f t="shared" si="2410"/>
        <v>9.0139211136890953</v>
      </c>
    </row>
    <row r="6979" spans="1:24" ht="15" customHeight="1">
      <c r="A6979" s="1062">
        <v>45483</v>
      </c>
      <c r="B6979" s="4">
        <v>207275</v>
      </c>
      <c r="C6979" s="5">
        <v>0</v>
      </c>
      <c r="D6979" s="5">
        <v>6350</v>
      </c>
      <c r="E6979" s="5">
        <v>214350</v>
      </c>
      <c r="F6979" s="4">
        <v>0</v>
      </c>
      <c r="G6979" s="5">
        <v>2575</v>
      </c>
      <c r="H6979" s="5">
        <v>16800</v>
      </c>
      <c r="I6979" s="118">
        <f t="shared" si="2407"/>
        <v>7.8376487053883837E-2</v>
      </c>
      <c r="J6979" s="1063">
        <v>141067</v>
      </c>
      <c r="K6979" s="22">
        <v>2136</v>
      </c>
      <c r="L6979" s="6">
        <v>2192</v>
      </c>
      <c r="M6979" s="125">
        <f t="shared" si="2408"/>
        <v>56</v>
      </c>
      <c r="P6979" s="505">
        <v>19325</v>
      </c>
      <c r="Q6979" s="25">
        <f>190.07/1385.6</f>
        <v>0.13717523094688222</v>
      </c>
      <c r="W6979" s="285">
        <f t="shared" ref="W6979:W6984" si="2411">(P6979*Q6979)*(1+U6979)</f>
        <v>2650.9113380484987</v>
      </c>
      <c r="X6979" s="443">
        <f t="shared" ref="X6979:X6984" si="2412">P6979/K6979</f>
        <v>9.0472846441947574</v>
      </c>
    </row>
    <row r="6980" spans="1:24" ht="15" customHeight="1">
      <c r="A6980" s="1064">
        <v>45484</v>
      </c>
      <c r="B6980" s="4">
        <v>206125</v>
      </c>
      <c r="C6980" s="5">
        <v>0</v>
      </c>
      <c r="D6980" s="5">
        <v>6350</v>
      </c>
      <c r="E6980" s="5">
        <v>213200</v>
      </c>
      <c r="F6980" s="4">
        <v>0</v>
      </c>
      <c r="G6980" s="5">
        <v>1150</v>
      </c>
      <c r="H6980" s="5">
        <v>19275</v>
      </c>
      <c r="I6980" s="118">
        <f t="shared" si="2407"/>
        <v>9.040806754221388E-2</v>
      </c>
      <c r="J6980" s="1063">
        <v>142665</v>
      </c>
      <c r="K6980" s="22">
        <v>2131</v>
      </c>
      <c r="L6980" s="6">
        <v>2192</v>
      </c>
      <c r="M6980" s="125">
        <f t="shared" si="2408"/>
        <v>61</v>
      </c>
      <c r="P6980" s="505">
        <v>19325</v>
      </c>
      <c r="Q6980" s="25">
        <f>189.22/1380.1</f>
        <v>0.13710600681110066</v>
      </c>
      <c r="W6980" s="285">
        <f t="shared" si="2411"/>
        <v>2649.5735816245201</v>
      </c>
      <c r="X6980" s="443">
        <f t="shared" si="2412"/>
        <v>9.0685124354763023</v>
      </c>
    </row>
    <row r="6981" spans="1:24" ht="15" customHeight="1">
      <c r="A6981" s="1066">
        <v>45485</v>
      </c>
      <c r="B6981" s="4">
        <v>204400</v>
      </c>
      <c r="C6981" s="1065">
        <v>0</v>
      </c>
      <c r="D6981" s="5">
        <v>6350</v>
      </c>
      <c r="E6981" s="5">
        <v>211475</v>
      </c>
      <c r="F6981" s="4">
        <v>0</v>
      </c>
      <c r="G6981" s="5">
        <v>1725</v>
      </c>
      <c r="H6981" s="5">
        <v>19400</v>
      </c>
      <c r="I6981" s="118">
        <f t="shared" si="2407"/>
        <v>9.1736611892658707E-2</v>
      </c>
      <c r="J6981" s="1063">
        <v>141542</v>
      </c>
      <c r="K6981" s="22">
        <v>2129</v>
      </c>
      <c r="L6981" s="6">
        <v>2182</v>
      </c>
      <c r="M6981" s="125">
        <f t="shared" si="2408"/>
        <v>53</v>
      </c>
      <c r="P6981" s="505">
        <v>19425</v>
      </c>
      <c r="Q6981" s="25">
        <f>189.27/1376.3</f>
        <v>0.13752088934098672</v>
      </c>
      <c r="W6981" s="285">
        <f t="shared" si="2411"/>
        <v>2671.3432754486671</v>
      </c>
      <c r="X6981" s="443">
        <f t="shared" si="2412"/>
        <v>9.1240018788163457</v>
      </c>
    </row>
    <row r="6982" spans="1:24" ht="15" customHeight="1">
      <c r="A6982" s="1068">
        <v>45488</v>
      </c>
      <c r="B6982" s="4">
        <v>204400</v>
      </c>
      <c r="C6982" s="1067">
        <v>0</v>
      </c>
      <c r="D6982" s="5">
        <v>6350</v>
      </c>
      <c r="E6982" s="5">
        <v>211475</v>
      </c>
      <c r="F6982" s="4">
        <v>0</v>
      </c>
      <c r="G6982" s="5">
        <v>0</v>
      </c>
      <c r="H6982" s="5">
        <v>19400</v>
      </c>
      <c r="I6982" s="118">
        <f t="shared" si="2407"/>
        <v>9.1736611892658707E-2</v>
      </c>
      <c r="J6982" s="1067">
        <v>144259</v>
      </c>
      <c r="K6982" s="22">
        <v>2138</v>
      </c>
      <c r="L6982" s="6">
        <v>2195</v>
      </c>
      <c r="M6982" s="125">
        <f t="shared" si="2408"/>
        <v>57</v>
      </c>
      <c r="P6982" s="505">
        <v>19525</v>
      </c>
      <c r="Q6982" s="25">
        <f>189.97/1381.9</f>
        <v>0.13747014979376221</v>
      </c>
      <c r="W6982" s="285">
        <f t="shared" si="2411"/>
        <v>2684.1046747232072</v>
      </c>
      <c r="X6982" s="443">
        <f t="shared" si="2412"/>
        <v>9.1323666978484557</v>
      </c>
    </row>
    <row r="6983" spans="1:24" ht="15" customHeight="1">
      <c r="A6983" s="1070">
        <v>45489</v>
      </c>
      <c r="B6983" s="4">
        <v>202150</v>
      </c>
      <c r="C6983" s="1069">
        <v>0</v>
      </c>
      <c r="D6983" s="5">
        <v>6350</v>
      </c>
      <c r="E6983" s="5">
        <v>209225</v>
      </c>
      <c r="F6983" s="4">
        <v>0</v>
      </c>
      <c r="G6983" s="5">
        <v>2250</v>
      </c>
      <c r="H6983" s="5">
        <v>17150</v>
      </c>
      <c r="I6983" s="118">
        <f t="shared" si="2407"/>
        <v>8.1969171944079336E-2</v>
      </c>
      <c r="J6983" s="1069">
        <v>141364</v>
      </c>
      <c r="K6983" s="22">
        <v>2134</v>
      </c>
      <c r="L6983" s="6">
        <v>2179</v>
      </c>
      <c r="M6983" s="125">
        <f t="shared" si="2408"/>
        <v>45</v>
      </c>
      <c r="P6983" s="505">
        <v>19650</v>
      </c>
      <c r="Q6983" s="25">
        <f>190.41/1386</f>
        <v>0.13738095238095238</v>
      </c>
      <c r="W6983" s="285">
        <f t="shared" si="2411"/>
        <v>2699.5357142857142</v>
      </c>
      <c r="X6983" s="443">
        <f t="shared" si="2412"/>
        <v>9.2080599812558575</v>
      </c>
    </row>
    <row r="6984" spans="1:24" ht="15" customHeight="1">
      <c r="A6984" s="1072">
        <v>45490</v>
      </c>
      <c r="B6984" s="4">
        <v>200675</v>
      </c>
      <c r="C6984" s="1071">
        <v>0</v>
      </c>
      <c r="D6984" s="1073">
        <v>6350</v>
      </c>
      <c r="E6984" s="5">
        <v>207750</v>
      </c>
      <c r="F6984" s="4">
        <v>0</v>
      </c>
      <c r="G6984" s="5">
        <v>1475</v>
      </c>
      <c r="H6984" s="5">
        <v>34350</v>
      </c>
      <c r="I6984" s="118">
        <f t="shared" si="2407"/>
        <v>0.16534296028880865</v>
      </c>
      <c r="J6984" s="1063">
        <v>136175</v>
      </c>
      <c r="K6984" s="22">
        <v>2203</v>
      </c>
      <c r="L6984" s="6">
        <v>2217</v>
      </c>
      <c r="M6984" s="125">
        <f t="shared" si="2408"/>
        <v>14</v>
      </c>
      <c r="P6984" s="505">
        <v>19750</v>
      </c>
      <c r="Q6984" s="25">
        <f>189.6/1381.5</f>
        <v>0.13724212812160694</v>
      </c>
      <c r="W6984" s="285">
        <f t="shared" si="2411"/>
        <v>2710.5320304017368</v>
      </c>
      <c r="X6984" s="443">
        <f t="shared" si="2412"/>
        <v>8.9650476622787103</v>
      </c>
    </row>
    <row r="6985" spans="1:24" ht="15" customHeight="1">
      <c r="A6985" s="1074">
        <v>45491</v>
      </c>
      <c r="B6985" s="4">
        <v>201350</v>
      </c>
      <c r="C6985" s="5">
        <v>0</v>
      </c>
      <c r="D6985" s="5">
        <v>7075</v>
      </c>
      <c r="E6985" s="5">
        <v>208425</v>
      </c>
      <c r="F6985" s="4">
        <v>1000</v>
      </c>
      <c r="G6985" s="5">
        <v>325</v>
      </c>
      <c r="H6985" s="5">
        <v>44775</v>
      </c>
      <c r="I6985" s="118">
        <f t="shared" si="2407"/>
        <v>0.2148254767902123</v>
      </c>
      <c r="J6985" s="1063">
        <v>137343</v>
      </c>
      <c r="K6985" s="22">
        <v>2153</v>
      </c>
      <c r="L6985" s="6">
        <v>2182</v>
      </c>
      <c r="M6985" s="125">
        <f t="shared" si="2408"/>
        <v>29</v>
      </c>
      <c r="P6985" s="505">
        <f>19775</f>
        <v>19775</v>
      </c>
      <c r="Q6985" s="25">
        <f>189.86/1379.9</f>
        <v>0.13758968041162403</v>
      </c>
      <c r="W6985" s="285">
        <f t="shared" ref="W6985:W6986" si="2413">(P6985*Q6985)*(1+U6985)</f>
        <v>2720.835930139865</v>
      </c>
      <c r="X6985" s="443">
        <f t="shared" ref="X6985:X6986" si="2414">P6985/K6985</f>
        <v>9.1848583372039023</v>
      </c>
    </row>
    <row r="6986" spans="1:24" ht="15" customHeight="1">
      <c r="A6986" s="1074">
        <v>45492</v>
      </c>
      <c r="B6986" s="4">
        <v>175950</v>
      </c>
      <c r="C6986" s="5">
        <v>0</v>
      </c>
      <c r="D6986" s="5">
        <v>7075</v>
      </c>
      <c r="E6986" s="5">
        <v>208150</v>
      </c>
      <c r="F6986" s="4">
        <v>0</v>
      </c>
      <c r="G6986" s="5">
        <v>275</v>
      </c>
      <c r="H6986" s="5">
        <v>52700</v>
      </c>
      <c r="I6986" s="118">
        <f t="shared" si="2407"/>
        <v>0.25318280086476097</v>
      </c>
      <c r="J6986" s="1063">
        <v>139834</v>
      </c>
      <c r="K6986" s="22">
        <v>2100</v>
      </c>
      <c r="L6986" s="6">
        <v>2146</v>
      </c>
      <c r="M6986" s="125">
        <f t="shared" si="2408"/>
        <v>46</v>
      </c>
      <c r="P6986" s="505">
        <v>19650</v>
      </c>
      <c r="Q6986" s="25">
        <f>190.48/1386.6</f>
        <v>0.13737198903793452</v>
      </c>
      <c r="W6986" s="285">
        <f t="shared" si="2413"/>
        <v>2699.3595845954133</v>
      </c>
      <c r="X6986" s="443">
        <f t="shared" si="2414"/>
        <v>9.3571428571428577</v>
      </c>
    </row>
    <row r="6987" spans="1:24" ht="15" customHeight="1">
      <c r="A6987" s="1075">
        <v>45495</v>
      </c>
      <c r="B6987" s="4">
        <v>202000</v>
      </c>
      <c r="C6987" s="5">
        <v>0</v>
      </c>
      <c r="D6987" s="5">
        <v>7075</v>
      </c>
      <c r="E6987" s="5">
        <v>209075</v>
      </c>
      <c r="F6987" s="4">
        <v>2100</v>
      </c>
      <c r="G6987" s="5">
        <v>1175</v>
      </c>
      <c r="H6987" s="5">
        <v>58950</v>
      </c>
      <c r="I6987" s="118">
        <f t="shared" si="2407"/>
        <v>0.28195623580055001</v>
      </c>
      <c r="J6987" s="1063">
        <v>138352</v>
      </c>
      <c r="K6987" s="22">
        <v>2050.5</v>
      </c>
      <c r="L6987" s="6">
        <v>2097</v>
      </c>
      <c r="M6987" s="125">
        <f t="shared" si="2408"/>
        <v>46.5</v>
      </c>
      <c r="P6987" s="505">
        <v>19575</v>
      </c>
      <c r="Q6987" s="25">
        <f>190.5/1388.6</f>
        <v>0.13718853521532479</v>
      </c>
      <c r="W6987" s="285">
        <f t="shared" ref="W6987:W6994" si="2415">(P6987*Q6987)*(1+U6987)</f>
        <v>2685.4655768399825</v>
      </c>
      <c r="X6987" s="443">
        <f t="shared" ref="X6987:X6994" si="2416">P6987/K6987</f>
        <v>9.5464520848573517</v>
      </c>
    </row>
    <row r="6988" spans="1:24" ht="15" customHeight="1">
      <c r="A6988" s="1076">
        <v>45496</v>
      </c>
      <c r="B6988" s="4">
        <v>246475</v>
      </c>
      <c r="C6988" s="5">
        <v>0</v>
      </c>
      <c r="D6988" s="5">
        <v>7075</v>
      </c>
      <c r="E6988" s="5">
        <v>253550</v>
      </c>
      <c r="F6988" s="4">
        <v>45725</v>
      </c>
      <c r="G6988" s="5">
        <v>1250</v>
      </c>
      <c r="H6988" s="5">
        <v>58200</v>
      </c>
      <c r="I6988" s="118">
        <f t="shared" si="2407"/>
        <v>0.22954052455137053</v>
      </c>
      <c r="J6988" s="1063">
        <v>140535</v>
      </c>
      <c r="K6988" s="22">
        <v>2032</v>
      </c>
      <c r="L6988" s="6">
        <v>2074</v>
      </c>
      <c r="M6988" s="125">
        <f t="shared" si="2408"/>
        <v>42</v>
      </c>
      <c r="P6988" s="505">
        <v>19525</v>
      </c>
      <c r="Q6988" s="25">
        <f>189.86/1385.1</f>
        <v>0.13707313551368133</v>
      </c>
      <c r="W6988" s="285">
        <f t="shared" si="2415"/>
        <v>2676.3529709046279</v>
      </c>
      <c r="X6988" s="443">
        <f t="shared" si="2416"/>
        <v>9.6087598425196852</v>
      </c>
    </row>
    <row r="6989" spans="1:24" ht="15" customHeight="1">
      <c r="A6989" s="1078">
        <v>45497</v>
      </c>
      <c r="B6989" s="4">
        <v>243975</v>
      </c>
      <c r="C6989" s="5">
        <v>0</v>
      </c>
      <c r="D6989" s="5">
        <v>7075</v>
      </c>
      <c r="E6989" s="5">
        <v>250950</v>
      </c>
      <c r="F6989" s="4">
        <v>0</v>
      </c>
      <c r="G6989" s="5">
        <v>2600</v>
      </c>
      <c r="H6989" s="5">
        <v>57600</v>
      </c>
      <c r="I6989" s="118">
        <f t="shared" si="2407"/>
        <v>0.22952779438135087</v>
      </c>
      <c r="J6989" s="1077">
        <v>141337</v>
      </c>
      <c r="K6989" s="22">
        <v>2033</v>
      </c>
      <c r="L6989" s="6">
        <v>2069</v>
      </c>
      <c r="M6989" s="125">
        <f t="shared" si="2408"/>
        <v>36</v>
      </c>
      <c r="P6989" s="505">
        <v>19400</v>
      </c>
      <c r="Q6989" s="25">
        <f>190.06/1385.1</f>
        <v>0.13721752942025847</v>
      </c>
      <c r="W6989" s="285">
        <f t="shared" si="2415"/>
        <v>2662.0200707530144</v>
      </c>
      <c r="X6989" s="443">
        <f t="shared" si="2416"/>
        <v>9.5425479586817517</v>
      </c>
    </row>
    <row r="6990" spans="1:24" ht="15" customHeight="1">
      <c r="A6990" s="1080">
        <v>45498</v>
      </c>
      <c r="B6990" s="4">
        <v>243975</v>
      </c>
      <c r="C6990" s="1079">
        <v>0</v>
      </c>
      <c r="D6990" s="1079">
        <v>7075</v>
      </c>
      <c r="E6990" s="5">
        <v>250875</v>
      </c>
      <c r="F6990" s="4">
        <v>0</v>
      </c>
      <c r="G6990" s="5">
        <v>75</v>
      </c>
      <c r="H6990" s="5">
        <v>62525</v>
      </c>
      <c r="I6990" s="118">
        <f t="shared" si="2407"/>
        <v>0.24922770303936223</v>
      </c>
      <c r="J6990" s="1079">
        <v>143810</v>
      </c>
      <c r="K6990" s="22">
        <v>2001</v>
      </c>
      <c r="L6990" s="6">
        <v>2033</v>
      </c>
      <c r="M6990" s="125">
        <f t="shared" si="2408"/>
        <v>32</v>
      </c>
      <c r="P6990" s="505">
        <v>19400</v>
      </c>
      <c r="Q6990" s="25">
        <f>190.85/1385.4</f>
        <v>0.1377580482171214</v>
      </c>
      <c r="W6990" s="285">
        <f t="shared" si="2415"/>
        <v>2672.5061354121553</v>
      </c>
      <c r="X6990" s="443">
        <f t="shared" si="2416"/>
        <v>9.6951524237881053</v>
      </c>
    </row>
    <row r="6991" spans="1:24" ht="15" customHeight="1">
      <c r="A6991" s="1082">
        <v>45499</v>
      </c>
      <c r="B6991" s="4">
        <v>240325</v>
      </c>
      <c r="C6991" s="1081">
        <v>0</v>
      </c>
      <c r="D6991" s="5">
        <v>7075</v>
      </c>
      <c r="E6991" s="5">
        <v>247025</v>
      </c>
      <c r="F6991" s="4">
        <v>0</v>
      </c>
      <c r="G6991" s="5">
        <v>3850</v>
      </c>
      <c r="H6991" s="5">
        <v>73975</v>
      </c>
      <c r="I6991" s="118">
        <f t="shared" si="2407"/>
        <v>0.29946361704280944</v>
      </c>
      <c r="J6991" s="1081">
        <v>143922</v>
      </c>
      <c r="K6991" s="22">
        <v>2031</v>
      </c>
      <c r="L6991" s="6">
        <v>2050</v>
      </c>
      <c r="M6991" s="125">
        <f t="shared" si="2408"/>
        <v>19</v>
      </c>
      <c r="P6991" s="505">
        <v>19400</v>
      </c>
      <c r="Q6991" s="25">
        <f>191.1/1385.4</f>
        <v>0.13793850151580769</v>
      </c>
      <c r="W6991" s="285">
        <f t="shared" si="2415"/>
        <v>2676.0069294066693</v>
      </c>
      <c r="X6991" s="443">
        <f t="shared" si="2416"/>
        <v>9.5519448547513548</v>
      </c>
    </row>
    <row r="6992" spans="1:24" ht="15" customHeight="1">
      <c r="A6992" s="1084">
        <v>45502</v>
      </c>
      <c r="B6992" s="4">
        <v>237325</v>
      </c>
      <c r="C6992" s="1083">
        <v>0</v>
      </c>
      <c r="D6992" s="5">
        <v>7075</v>
      </c>
      <c r="E6992" s="5">
        <v>243800</v>
      </c>
      <c r="F6992" s="4">
        <v>0</v>
      </c>
      <c r="G6992" s="5">
        <v>3225</v>
      </c>
      <c r="H6992" s="5">
        <v>78700</v>
      </c>
      <c r="I6992" s="118">
        <f t="shared" si="2407"/>
        <v>0.32280557834290402</v>
      </c>
      <c r="J6992" s="1083">
        <v>142942</v>
      </c>
      <c r="K6992" s="22">
        <v>2054</v>
      </c>
      <c r="L6992" s="6">
        <v>2082</v>
      </c>
      <c r="M6992" s="125">
        <f t="shared" si="2408"/>
        <v>28</v>
      </c>
      <c r="P6992" s="505">
        <v>19350</v>
      </c>
      <c r="Q6992" s="25">
        <f>190.17/1382</f>
        <v>0.13760492040520983</v>
      </c>
      <c r="W6992" s="285">
        <f t="shared" si="2415"/>
        <v>2662.6552098408101</v>
      </c>
      <c r="X6992" s="443">
        <f t="shared" si="2416"/>
        <v>9.4206426484907499</v>
      </c>
    </row>
    <row r="6993" spans="1:24" ht="15" customHeight="1">
      <c r="A6993" s="1086">
        <v>45503</v>
      </c>
      <c r="B6993" s="4">
        <v>234125</v>
      </c>
      <c r="C6993" s="1085">
        <v>0</v>
      </c>
      <c r="D6993" s="5">
        <v>7075</v>
      </c>
      <c r="E6993" s="5">
        <v>239950</v>
      </c>
      <c r="F6993" s="4">
        <v>0</v>
      </c>
      <c r="G6993" s="5">
        <v>3850</v>
      </c>
      <c r="H6993" s="5">
        <v>75725</v>
      </c>
      <c r="I6993" s="118">
        <f t="shared" si="2407"/>
        <v>0.31558658053761202</v>
      </c>
      <c r="J6993" s="1063">
        <v>142347</v>
      </c>
      <c r="K6993" s="22">
        <v>2001</v>
      </c>
      <c r="L6993" s="6">
        <v>2047</v>
      </c>
      <c r="M6993" s="125">
        <f t="shared" si="2408"/>
        <v>46</v>
      </c>
      <c r="P6993" s="505">
        <v>19350</v>
      </c>
      <c r="Q6993" s="25">
        <f>190.39/1384.6</f>
        <v>0.13750541672685251</v>
      </c>
      <c r="W6993" s="285">
        <f t="shared" si="2415"/>
        <v>2660.7298136645963</v>
      </c>
      <c r="X6993" s="443">
        <f t="shared" si="2416"/>
        <v>9.6701649175412285</v>
      </c>
    </row>
    <row r="6994" spans="1:24" ht="15" customHeight="1">
      <c r="A6994" s="1088">
        <v>45504</v>
      </c>
      <c r="B6994" s="4">
        <v>231300</v>
      </c>
      <c r="C6994" s="1087">
        <v>0</v>
      </c>
      <c r="D6994" s="5">
        <v>7075</v>
      </c>
      <c r="E6994" s="5">
        <v>236925</v>
      </c>
      <c r="F6994" s="4">
        <v>0</v>
      </c>
      <c r="G6994" s="5">
        <v>3025</v>
      </c>
      <c r="H6994" s="5">
        <v>72700</v>
      </c>
      <c r="I6994" s="118">
        <f t="shared" si="2407"/>
        <v>0.30684815870001053</v>
      </c>
      <c r="J6994" s="1063">
        <v>142607</v>
      </c>
      <c r="K6994" s="22">
        <v>2024</v>
      </c>
      <c r="L6994" s="6">
        <v>2060</v>
      </c>
      <c r="M6994" s="125">
        <f t="shared" si="2408"/>
        <v>36</v>
      </c>
      <c r="N6994" s="448">
        <f>AVERAGE($K6972:K$6994)</f>
        <v>2114.3478260869565</v>
      </c>
      <c r="O6994" s="395">
        <f>AVERAGE($K$6837:K6994)</f>
        <v>2120.1891891891892</v>
      </c>
      <c r="P6994" s="505">
        <v>19400</v>
      </c>
      <c r="Q6994" s="25">
        <f>190.51/1380.1</f>
        <v>0.13804072168683429</v>
      </c>
      <c r="W6994" s="285">
        <f t="shared" si="2415"/>
        <v>2677.9900007245851</v>
      </c>
      <c r="X6994" s="443">
        <f t="shared" si="2416"/>
        <v>9.5849802371541504</v>
      </c>
    </row>
    <row r="6995" spans="1:24" ht="15" customHeight="1" thickBot="1">
      <c r="A6995" s="1090"/>
      <c r="B6995" s="1090"/>
      <c r="C6995" s="1090"/>
      <c r="D6995" s="1090"/>
      <c r="E6995" s="216"/>
      <c r="F6995" s="407"/>
      <c r="G6995" s="164"/>
      <c r="H6995" s="164"/>
      <c r="I6995" s="166"/>
      <c r="J6995" s="166"/>
      <c r="K6995" s="166"/>
      <c r="L6995" s="167"/>
      <c r="M6995" s="167"/>
      <c r="N6995" s="167"/>
      <c r="O6995" s="180"/>
      <c r="P6995" s="180"/>
      <c r="Q6995" s="180"/>
      <c r="R6995" s="248"/>
      <c r="S6995" s="249"/>
      <c r="T6995" s="249"/>
      <c r="U6995" s="152"/>
      <c r="V6995" s="153">
        <f>AVERAGE(P6972:P6994)</f>
        <v>19470.652173913044</v>
      </c>
      <c r="W6995" s="981"/>
      <c r="X6995" s="447">
        <f>V6995/N6994</f>
        <v>9.2088217149907461</v>
      </c>
    </row>
    <row r="6996" spans="1:24" ht="15" customHeight="1">
      <c r="A6996" s="1091">
        <v>45505</v>
      </c>
      <c r="B6996" s="4">
        <v>228950</v>
      </c>
      <c r="C6996" s="1089">
        <v>0</v>
      </c>
      <c r="D6996" s="5">
        <v>7075</v>
      </c>
      <c r="E6996" s="5">
        <v>234325</v>
      </c>
      <c r="F6996" s="4">
        <v>0</v>
      </c>
      <c r="G6996" s="5">
        <v>2600</v>
      </c>
      <c r="H6996" s="5">
        <v>70600</v>
      </c>
      <c r="I6996" s="118">
        <f t="shared" si="2407"/>
        <v>0.30129094206764112</v>
      </c>
      <c r="J6996" s="1063">
        <v>141183</v>
      </c>
      <c r="K6996" s="22">
        <v>2047</v>
      </c>
      <c r="L6996" s="6">
        <v>2078</v>
      </c>
      <c r="M6996" s="125">
        <f t="shared" si="2408"/>
        <v>31</v>
      </c>
      <c r="P6996" s="505">
        <v>19400</v>
      </c>
      <c r="Q6996" s="25">
        <f>188.51/1365.9</f>
        <v>0.1380115674646753</v>
      </c>
      <c r="W6996" s="285">
        <f t="shared" ref="W6996:W6998" si="2417">(P6996*Q6996)*(1+U6996)</f>
        <v>2677.4244088147007</v>
      </c>
      <c r="X6996" s="443">
        <f t="shared" ref="X6996:X6999" si="2418">P6996/K6996</f>
        <v>9.4772838299951143</v>
      </c>
    </row>
    <row r="6997" spans="1:24" ht="15" customHeight="1">
      <c r="A6997" s="1092">
        <v>45506</v>
      </c>
      <c r="B6997" s="4">
        <v>209775</v>
      </c>
      <c r="C6997" s="5">
        <v>0</v>
      </c>
      <c r="D6997" s="5">
        <v>7075</v>
      </c>
      <c r="E6997" s="5">
        <v>231600</v>
      </c>
      <c r="F6997" s="4">
        <v>0</v>
      </c>
      <c r="G6997" s="5">
        <v>2725</v>
      </c>
      <c r="H6997" s="5">
        <v>67875</v>
      </c>
      <c r="I6997" s="118">
        <f t="shared" si="2407"/>
        <v>0.29306994818652848</v>
      </c>
      <c r="J6997" s="1063">
        <v>143021</v>
      </c>
      <c r="K6997" s="22">
        <v>2000</v>
      </c>
      <c r="L6997" s="6">
        <v>2040</v>
      </c>
      <c r="M6997" s="125">
        <f t="shared" si="2408"/>
        <v>40</v>
      </c>
      <c r="P6997" s="505">
        <v>18725</v>
      </c>
      <c r="Q6997" s="25">
        <f>189.78/1372.8</f>
        <v>0.13824300699300701</v>
      </c>
      <c r="W6997" s="285">
        <f t="shared" si="2417"/>
        <v>2588.6003059440563</v>
      </c>
      <c r="X6997" s="443">
        <f t="shared" si="2418"/>
        <v>9.3625000000000007</v>
      </c>
    </row>
    <row r="6998" spans="1:24" ht="15" customHeight="1">
      <c r="A6998" s="1093">
        <v>45509</v>
      </c>
      <c r="B6998" s="4">
        <v>221475</v>
      </c>
      <c r="C6998" s="5">
        <v>0</v>
      </c>
      <c r="D6998" s="5">
        <v>7075</v>
      </c>
      <c r="E6998" s="5">
        <v>226850</v>
      </c>
      <c r="F6998" s="4">
        <v>0</v>
      </c>
      <c r="G6998" s="5">
        <v>4750</v>
      </c>
      <c r="H6998" s="5">
        <v>62000</v>
      </c>
      <c r="I6998" s="118">
        <f t="shared" si="2407"/>
        <v>0.27330835353757987</v>
      </c>
      <c r="J6998" s="1063">
        <v>146227</v>
      </c>
      <c r="K6998" s="22">
        <v>1917</v>
      </c>
      <c r="L6998" s="6">
        <v>1966</v>
      </c>
      <c r="M6998" s="125">
        <f t="shared" si="2408"/>
        <v>49</v>
      </c>
      <c r="P6998" s="505">
        <v>18425</v>
      </c>
      <c r="Q6998" s="25">
        <f>190.72/1360.6</f>
        <v>0.14017345288843158</v>
      </c>
      <c r="W6998" s="285">
        <f t="shared" si="2417"/>
        <v>2582.6958694693517</v>
      </c>
      <c r="X6998" s="443">
        <f t="shared" si="2418"/>
        <v>9.6113719353155975</v>
      </c>
    </row>
    <row r="6999" spans="1:24" ht="15" customHeight="1">
      <c r="A6999" s="1095">
        <v>45510</v>
      </c>
      <c r="B6999" s="4">
        <v>216600</v>
      </c>
      <c r="C6999" s="5">
        <v>0</v>
      </c>
      <c r="D6999" s="5">
        <v>7075</v>
      </c>
      <c r="E6999" s="5">
        <v>221975</v>
      </c>
      <c r="F6999" s="4">
        <v>400</v>
      </c>
      <c r="G6999" s="5">
        <v>5275</v>
      </c>
      <c r="H6999" s="5">
        <v>56900</v>
      </c>
      <c r="I6999" s="118">
        <f t="shared" si="2407"/>
        <v>0.25633517287982882</v>
      </c>
      <c r="J6999" s="1094">
        <v>149281</v>
      </c>
      <c r="K6999" s="22">
        <v>1905</v>
      </c>
      <c r="L6999" s="6">
        <v>1959</v>
      </c>
      <c r="M6999" s="125">
        <f t="shared" si="2408"/>
        <v>54</v>
      </c>
      <c r="P6999" s="505">
        <v>18125</v>
      </c>
      <c r="Q6999" s="25">
        <f>192.03/1372.2</f>
        <v>0.13994315697420201</v>
      </c>
      <c r="W6999" s="285">
        <f t="shared" ref="W6999:W7017" si="2419">(P6999*Q6999)*(1+U6999)</f>
        <v>2536.4697201574113</v>
      </c>
      <c r="X6999" s="443">
        <f t="shared" si="2418"/>
        <v>9.514435695538058</v>
      </c>
    </row>
    <row r="7000" spans="1:24" ht="15" customHeight="1">
      <c r="A7000" s="1097">
        <v>45511</v>
      </c>
      <c r="B7000" s="4">
        <v>213625</v>
      </c>
      <c r="C7000" s="5">
        <v>0</v>
      </c>
      <c r="D7000" s="5">
        <v>7075</v>
      </c>
      <c r="E7000" s="5">
        <v>218425</v>
      </c>
      <c r="F7000" s="4">
        <v>0</v>
      </c>
      <c r="G7000" s="5">
        <v>3550</v>
      </c>
      <c r="H7000" s="5">
        <v>53350</v>
      </c>
      <c r="I7000" s="118">
        <f t="shared" si="2407"/>
        <v>0.24424859791690512</v>
      </c>
      <c r="J7000" s="1096">
        <v>149516</v>
      </c>
      <c r="K7000" s="22">
        <v>1918</v>
      </c>
      <c r="L7000" s="6">
        <v>1962</v>
      </c>
      <c r="M7000" s="125">
        <f t="shared" si="2408"/>
        <v>44</v>
      </c>
      <c r="P7000" s="505">
        <v>18125</v>
      </c>
      <c r="Q7000" s="25">
        <f>191.57/1376.4</f>
        <v>0.13918192385934319</v>
      </c>
      <c r="W7000" s="285">
        <f t="shared" si="2419"/>
        <v>2522.6723699505956</v>
      </c>
      <c r="X7000" s="443">
        <f t="shared" ref="X7000:X7017" si="2420">P7000/K7000</f>
        <v>9.4499478623566215</v>
      </c>
    </row>
    <row r="7001" spans="1:24" ht="15" customHeight="1">
      <c r="A7001" s="1098">
        <v>45512</v>
      </c>
      <c r="B7001" s="4">
        <v>209925</v>
      </c>
      <c r="C7001" s="5">
        <v>0</v>
      </c>
      <c r="D7001" s="5">
        <v>7075</v>
      </c>
      <c r="E7001" s="5">
        <v>213825</v>
      </c>
      <c r="F7001" s="4">
        <v>0</v>
      </c>
      <c r="G7001" s="5">
        <v>4600</v>
      </c>
      <c r="H7001" s="5">
        <v>48750</v>
      </c>
      <c r="I7001" s="118">
        <f t="shared" si="2407"/>
        <v>0.22799017888460191</v>
      </c>
      <c r="J7001" s="1096">
        <v>147549</v>
      </c>
      <c r="K7001" s="22">
        <v>1919</v>
      </c>
      <c r="L7001" s="6">
        <v>1970</v>
      </c>
      <c r="M7001" s="125">
        <f t="shared" si="2408"/>
        <v>51</v>
      </c>
      <c r="P7001" s="505">
        <v>18075</v>
      </c>
      <c r="Q7001" s="25">
        <f>191.95/1377.7</f>
        <v>0.13932641358786382</v>
      </c>
      <c r="W7001" s="285">
        <f t="shared" si="2419"/>
        <v>2518.3249256006384</v>
      </c>
      <c r="X7001" s="443">
        <f t="shared" si="2420"/>
        <v>9.4189682126107339</v>
      </c>
    </row>
    <row r="7002" spans="1:24" ht="15" customHeight="1">
      <c r="A7002" s="1100">
        <v>45513</v>
      </c>
      <c r="B7002" s="4">
        <v>209250</v>
      </c>
      <c r="C7002" s="1099">
        <v>0</v>
      </c>
      <c r="D7002" s="5">
        <v>7075</v>
      </c>
      <c r="E7002" s="5">
        <v>212850</v>
      </c>
      <c r="F7002" s="4">
        <v>0</v>
      </c>
      <c r="G7002" s="5">
        <v>975</v>
      </c>
      <c r="H7002" s="5">
        <v>47800</v>
      </c>
      <c r="I7002" s="118">
        <f t="shared" si="2407"/>
        <v>0.22457129433873621</v>
      </c>
      <c r="J7002" s="1099">
        <v>147783</v>
      </c>
      <c r="K7002" s="22">
        <v>1990</v>
      </c>
      <c r="L7002" s="6">
        <v>2030</v>
      </c>
      <c r="M7002" s="125">
        <f t="shared" si="2408"/>
        <v>40</v>
      </c>
      <c r="P7002" s="505">
        <v>18250</v>
      </c>
      <c r="Q7002" s="25">
        <f>191.2/1369.4</f>
        <v>0.13962319263911199</v>
      </c>
      <c r="W7002" s="285">
        <f t="shared" si="2419"/>
        <v>2548.123265663794</v>
      </c>
      <c r="X7002" s="443">
        <f t="shared" si="2420"/>
        <v>9.1708542713567844</v>
      </c>
    </row>
    <row r="7003" spans="1:24" ht="15" customHeight="1">
      <c r="A7003" s="1102">
        <v>45516</v>
      </c>
      <c r="B7003" s="4">
        <v>207950</v>
      </c>
      <c r="C7003" s="1101">
        <v>0</v>
      </c>
      <c r="D7003" s="5">
        <v>7075</v>
      </c>
      <c r="E7003" s="5">
        <v>211550</v>
      </c>
      <c r="F7003" s="4">
        <v>0</v>
      </c>
      <c r="G7003" s="5">
        <v>1300</v>
      </c>
      <c r="H7003" s="5">
        <v>47625</v>
      </c>
      <c r="I7003" s="118">
        <f t="shared" si="2407"/>
        <v>0.22512408414086504</v>
      </c>
      <c r="J7003" s="1101">
        <v>147375</v>
      </c>
      <c r="K7003" s="22">
        <v>2031</v>
      </c>
      <c r="L7003" s="6">
        <v>2063.5</v>
      </c>
      <c r="M7003" s="125">
        <f t="shared" si="2408"/>
        <v>32.5</v>
      </c>
      <c r="P7003" s="505">
        <v>18300</v>
      </c>
      <c r="Q7003" s="25">
        <f>190.39/1367.7</f>
        <v>0.13920450391167652</v>
      </c>
      <c r="W7003" s="285">
        <f t="shared" si="2419"/>
        <v>2547.4424215836802</v>
      </c>
      <c r="X7003" s="443">
        <f t="shared" si="2420"/>
        <v>9.0103397341211231</v>
      </c>
    </row>
    <row r="7004" spans="1:24" ht="15" customHeight="1">
      <c r="A7004" s="1104">
        <v>45517</v>
      </c>
      <c r="B7004" s="4">
        <v>203625</v>
      </c>
      <c r="C7004" s="1103">
        <v>0</v>
      </c>
      <c r="D7004" s="5">
        <v>7075</v>
      </c>
      <c r="E7004" s="5">
        <v>207175</v>
      </c>
      <c r="F7004" s="4">
        <v>2975</v>
      </c>
      <c r="G7004" s="5">
        <v>7350</v>
      </c>
      <c r="H7004" s="5">
        <v>40575</v>
      </c>
      <c r="I7004" s="118">
        <f t="shared" si="2407"/>
        <v>0.19584891999517318</v>
      </c>
      <c r="J7004" s="1101">
        <v>148434</v>
      </c>
      <c r="K7004" s="22">
        <v>1971</v>
      </c>
      <c r="L7004" s="6">
        <v>2012</v>
      </c>
      <c r="M7004" s="125">
        <f t="shared" si="2408"/>
        <v>41</v>
      </c>
      <c r="P7004" s="505">
        <v>18225</v>
      </c>
      <c r="Q7004" s="25">
        <f>190.8/1370.3</f>
        <v>0.13923958257315919</v>
      </c>
      <c r="W7004" s="285">
        <f t="shared" si="2419"/>
        <v>2537.6413923958262</v>
      </c>
      <c r="X7004" s="443">
        <f t="shared" si="2420"/>
        <v>9.2465753424657535</v>
      </c>
    </row>
    <row r="7005" spans="1:24" ht="15" customHeight="1">
      <c r="A7005" s="1108">
        <v>45518</v>
      </c>
      <c r="B7005" s="4">
        <v>199800</v>
      </c>
      <c r="C7005" s="5">
        <v>0</v>
      </c>
      <c r="D7005" s="5">
        <v>7075</v>
      </c>
      <c r="E7005" s="5">
        <v>202800</v>
      </c>
      <c r="F7005" s="4">
        <v>0</v>
      </c>
      <c r="G7005" s="5">
        <v>4375</v>
      </c>
      <c r="H7005" s="5">
        <v>36450</v>
      </c>
      <c r="I7005" s="118">
        <f t="shared" si="2407"/>
        <v>0.17973372781065089</v>
      </c>
      <c r="J7005" s="1101">
        <v>148313</v>
      </c>
      <c r="K7005" s="22">
        <v>1959</v>
      </c>
      <c r="L7005" s="6">
        <v>2000</v>
      </c>
      <c r="M7005" s="125">
        <f t="shared" si="2408"/>
        <v>41</v>
      </c>
      <c r="P7005" s="505"/>
      <c r="W7005" s="285">
        <f t="shared" si="2419"/>
        <v>0</v>
      </c>
      <c r="X7005" s="443">
        <f t="shared" si="2420"/>
        <v>0</v>
      </c>
    </row>
    <row r="7006" spans="1:24" ht="15" customHeight="1">
      <c r="A7006" s="1108">
        <v>45519</v>
      </c>
      <c r="B7006" s="4">
        <v>196050</v>
      </c>
      <c r="C7006" s="5">
        <v>0</v>
      </c>
      <c r="D7006" s="5">
        <v>7075</v>
      </c>
      <c r="E7006" s="5">
        <v>198700</v>
      </c>
      <c r="F7006" s="4">
        <v>0</v>
      </c>
      <c r="G7006" s="5">
        <v>4100</v>
      </c>
      <c r="H7006" s="5">
        <v>37425</v>
      </c>
      <c r="I7006" s="118">
        <f t="shared" si="2407"/>
        <v>0.18834927025666834</v>
      </c>
      <c r="J7006" s="1101">
        <v>152412</v>
      </c>
      <c r="K7006" s="22">
        <v>2005</v>
      </c>
      <c r="L7006" s="6">
        <v>2039</v>
      </c>
      <c r="M7006" s="125">
        <f t="shared" si="2408"/>
        <v>34</v>
      </c>
      <c r="P7006" s="505">
        <v>17650</v>
      </c>
      <c r="Q7006" s="25">
        <f>190.32/1361.4</f>
        <v>0.1397972675187307</v>
      </c>
      <c r="W7006" s="285">
        <f t="shared" si="2419"/>
        <v>2467.4217717055967</v>
      </c>
      <c r="X7006" s="443">
        <f t="shared" si="2420"/>
        <v>8.8029925187032418</v>
      </c>
    </row>
    <row r="7007" spans="1:24" ht="15" customHeight="1">
      <c r="A7007" s="1108">
        <v>45520</v>
      </c>
      <c r="B7007" s="4">
        <v>194250</v>
      </c>
      <c r="C7007" s="5">
        <v>0</v>
      </c>
      <c r="D7007" s="5">
        <v>7075</v>
      </c>
      <c r="E7007" s="5">
        <v>196900</v>
      </c>
      <c r="F7007" s="4">
        <v>0</v>
      </c>
      <c r="G7007" s="5">
        <v>1800</v>
      </c>
      <c r="H7007" s="5">
        <v>35625</v>
      </c>
      <c r="I7007" s="118">
        <f t="shared" si="2407"/>
        <v>0.18092940578974098</v>
      </c>
      <c r="J7007" s="1101">
        <v>156111</v>
      </c>
      <c r="K7007" s="22">
        <v>1975</v>
      </c>
      <c r="L7007" s="6">
        <v>2015</v>
      </c>
      <c r="M7007" s="125">
        <f t="shared" si="2408"/>
        <v>40</v>
      </c>
      <c r="P7007" s="505">
        <v>17700</v>
      </c>
      <c r="Q7007" s="25">
        <f>189.42/1360.1</f>
        <v>0.13926917138445702</v>
      </c>
      <c r="W7007" s="285">
        <f t="shared" si="2419"/>
        <v>2465.0643335048894</v>
      </c>
      <c r="X7007" s="443">
        <f t="shared" si="2420"/>
        <v>8.962025316455696</v>
      </c>
    </row>
    <row r="7008" spans="1:24" ht="15" customHeight="1">
      <c r="A7008" s="1109">
        <v>45523</v>
      </c>
      <c r="B7008" s="4">
        <v>191350</v>
      </c>
      <c r="C7008" s="5">
        <v>0</v>
      </c>
      <c r="D7008" s="5">
        <v>7075</v>
      </c>
      <c r="E7008" s="5">
        <v>193825</v>
      </c>
      <c r="F7008" s="4">
        <v>0</v>
      </c>
      <c r="G7008" s="5">
        <v>3075</v>
      </c>
      <c r="H7008" s="5">
        <v>33525</v>
      </c>
      <c r="I7008" s="118">
        <f t="shared" si="2407"/>
        <v>0.17296530375338579</v>
      </c>
      <c r="J7008" s="1101">
        <v>156777</v>
      </c>
      <c r="K7008" s="22">
        <v>2004</v>
      </c>
      <c r="L7008" s="6">
        <v>2052.5</v>
      </c>
      <c r="M7008" s="125">
        <f t="shared" si="2408"/>
        <v>48.5</v>
      </c>
      <c r="P7008" s="505">
        <v>17700</v>
      </c>
      <c r="Q7008" s="25">
        <f>187.01/1337.8</f>
        <v>0.13978920615936613</v>
      </c>
      <c r="W7008" s="285">
        <f t="shared" si="2419"/>
        <v>2474.2689490207804</v>
      </c>
      <c r="X7008" s="443">
        <f t="shared" si="2420"/>
        <v>8.8323353293413174</v>
      </c>
    </row>
    <row r="7009" spans="1:24" ht="15" customHeight="1">
      <c r="A7009" s="1111">
        <v>45524</v>
      </c>
      <c r="B7009" s="4">
        <v>188625</v>
      </c>
      <c r="C7009" s="5">
        <v>0</v>
      </c>
      <c r="D7009" s="5">
        <v>7075</v>
      </c>
      <c r="E7009" s="5">
        <v>191100</v>
      </c>
      <c r="F7009" s="4">
        <v>0</v>
      </c>
      <c r="G7009" s="5">
        <v>2725</v>
      </c>
      <c r="H7009" s="5">
        <v>30300</v>
      </c>
      <c r="I7009" s="118">
        <f t="shared" si="2407"/>
        <v>0.15855572998430142</v>
      </c>
      <c r="J7009" s="1110">
        <v>153733</v>
      </c>
      <c r="K7009" s="22">
        <v>2030</v>
      </c>
      <c r="L7009" s="6">
        <v>2066.5</v>
      </c>
      <c r="M7009" s="125">
        <f t="shared" si="2408"/>
        <v>36.5</v>
      </c>
      <c r="P7009" s="505">
        <v>17475</v>
      </c>
      <c r="Q7009" s="25">
        <f>186.57/1332</f>
        <v>0.14006756756756755</v>
      </c>
      <c r="W7009" s="285">
        <f t="shared" si="2419"/>
        <v>2447.6807432432429</v>
      </c>
      <c r="X7009" s="443">
        <f t="shared" si="2420"/>
        <v>8.6083743842364537</v>
      </c>
    </row>
    <row r="7010" spans="1:24" ht="15" customHeight="1">
      <c r="A7010" s="1113">
        <v>45525</v>
      </c>
      <c r="B7010" s="4">
        <v>183025</v>
      </c>
      <c r="C7010" s="5">
        <v>0</v>
      </c>
      <c r="D7010" s="5">
        <v>7075</v>
      </c>
      <c r="E7010" s="5">
        <v>185500</v>
      </c>
      <c r="F7010" s="4">
        <v>0</v>
      </c>
      <c r="G7010" s="5">
        <v>5600</v>
      </c>
      <c r="H7010" s="5">
        <v>25800</v>
      </c>
      <c r="I7010" s="118">
        <f t="shared" si="2407"/>
        <v>0.13908355795148247</v>
      </c>
      <c r="J7010" s="1112">
        <v>149904</v>
      </c>
      <c r="K7010" s="22">
        <v>2052</v>
      </c>
      <c r="L7010" s="6">
        <v>2084</v>
      </c>
      <c r="M7010" s="125">
        <f t="shared" si="2408"/>
        <v>32</v>
      </c>
      <c r="P7010" s="505">
        <v>17252</v>
      </c>
      <c r="Q7010" s="25">
        <f>186.91/1332.4</f>
        <v>0.14028069648754127</v>
      </c>
      <c r="W7010" s="285">
        <f t="shared" si="2419"/>
        <v>2420.1225758030619</v>
      </c>
      <c r="X7010" s="443">
        <f t="shared" si="2420"/>
        <v>8.4074074074074066</v>
      </c>
    </row>
    <row r="7011" spans="1:24" ht="15" customHeight="1">
      <c r="A7011" s="1115">
        <v>45526</v>
      </c>
      <c r="B7011" s="4">
        <v>180000</v>
      </c>
      <c r="C7011" s="5">
        <v>0</v>
      </c>
      <c r="D7011" s="5">
        <v>7075</v>
      </c>
      <c r="E7011" s="5">
        <v>182475</v>
      </c>
      <c r="F7011" s="4">
        <v>0</v>
      </c>
      <c r="G7011" s="5">
        <v>3025</v>
      </c>
      <c r="H7011" s="5">
        <v>22775</v>
      </c>
      <c r="I7011" s="118">
        <f t="shared" si="2407"/>
        <v>0.12481161802986711</v>
      </c>
      <c r="J7011" s="1114">
        <v>149096</v>
      </c>
      <c r="K7011" s="22">
        <v>2062</v>
      </c>
      <c r="L7011" s="6">
        <v>2082.5</v>
      </c>
      <c r="M7011" s="125">
        <f t="shared" si="2408"/>
        <v>20.5</v>
      </c>
      <c r="P7011" s="505">
        <v>17425</v>
      </c>
      <c r="Q7011" s="25">
        <f>187.6/1335.9</f>
        <v>0.14042967287970656</v>
      </c>
      <c r="W7011" s="285">
        <f t="shared" si="2419"/>
        <v>2446.9870499288868</v>
      </c>
      <c r="X7011" s="443">
        <f t="shared" si="2420"/>
        <v>8.4505334626576136</v>
      </c>
    </row>
    <row r="7012" spans="1:24" ht="15" customHeight="1">
      <c r="A7012" s="1117">
        <v>45527</v>
      </c>
      <c r="B7012" s="4">
        <v>178425</v>
      </c>
      <c r="C7012" s="1116">
        <v>0</v>
      </c>
      <c r="D7012" s="5">
        <v>7075</v>
      </c>
      <c r="E7012" s="5">
        <v>180900</v>
      </c>
      <c r="F7012" s="4">
        <v>0</v>
      </c>
      <c r="G7012" s="5">
        <v>1575</v>
      </c>
      <c r="H7012" s="5">
        <v>21800</v>
      </c>
      <c r="I7012" s="118">
        <f t="shared" si="2407"/>
        <v>0.12050856826976231</v>
      </c>
      <c r="J7012" s="1116">
        <v>150546</v>
      </c>
      <c r="K7012" s="22">
        <v>2086</v>
      </c>
      <c r="L7012" s="6">
        <v>2104</v>
      </c>
      <c r="M7012" s="125">
        <f t="shared" si="2408"/>
        <v>18</v>
      </c>
      <c r="P7012" s="505">
        <v>17275</v>
      </c>
      <c r="Q7012" s="25">
        <f>187.6/1340.1</f>
        <v>0.13998955301843147</v>
      </c>
      <c r="W7012" s="285">
        <f t="shared" si="2419"/>
        <v>2418.3195283934037</v>
      </c>
      <c r="X7012" s="443">
        <f t="shared" si="2420"/>
        <v>8.2813998082454461</v>
      </c>
    </row>
    <row r="7013" spans="1:24" ht="15" customHeight="1">
      <c r="A7013" s="1118">
        <v>45530</v>
      </c>
      <c r="B7013" s="1318"/>
      <c r="C7013" s="1318"/>
      <c r="D7013" s="1318"/>
      <c r="E7013" s="1318"/>
      <c r="F7013" s="1318"/>
      <c r="G7013" s="1318"/>
      <c r="H7013" s="1318"/>
      <c r="I7013" s="1318"/>
      <c r="J7013" s="1318"/>
      <c r="K7013" s="1318"/>
      <c r="L7013" s="1318"/>
      <c r="M7013" s="1318"/>
      <c r="N7013" s="1318"/>
      <c r="O7013" s="1318"/>
      <c r="P7013" s="505">
        <v>17425</v>
      </c>
      <c r="Q7013" s="25">
        <f>186/1323.9</f>
        <v>0.1404939950147292</v>
      </c>
      <c r="W7013" s="285">
        <f t="shared" si="2419"/>
        <v>2448.1078631316564</v>
      </c>
      <c r="X7013" s="443" t="e">
        <f t="shared" si="2420"/>
        <v>#DIV/0!</v>
      </c>
    </row>
    <row r="7014" spans="1:24" ht="15" customHeight="1">
      <c r="A7014" s="1120">
        <v>45531</v>
      </c>
      <c r="B7014" s="4">
        <v>182625</v>
      </c>
      <c r="C7014" s="1119">
        <v>0</v>
      </c>
      <c r="D7014" s="5">
        <v>7075</v>
      </c>
      <c r="E7014" s="5">
        <v>185100</v>
      </c>
      <c r="F7014" s="4">
        <v>5425</v>
      </c>
      <c r="G7014" s="5">
        <v>1225</v>
      </c>
      <c r="H7014" s="5">
        <v>21675</v>
      </c>
      <c r="I7014" s="118">
        <f t="shared" si="2407"/>
        <v>0.11709886547811993</v>
      </c>
      <c r="J7014" s="1119">
        <v>151198</v>
      </c>
      <c r="K7014" s="22">
        <v>2095</v>
      </c>
      <c r="L7014" s="6">
        <v>2115.5</v>
      </c>
      <c r="M7014" s="125">
        <f t="shared" ref="M7014:M7039" si="2421">L7014-K7014</f>
        <v>20.5</v>
      </c>
      <c r="P7014" s="505">
        <v>17525</v>
      </c>
      <c r="Q7014" s="25">
        <f>186.73/1330.4</f>
        <v>0.1403562838244137</v>
      </c>
      <c r="W7014" s="285">
        <f t="shared" si="2419"/>
        <v>2459.7438740228499</v>
      </c>
      <c r="X7014" s="443">
        <f t="shared" si="2420"/>
        <v>8.3651551312649168</v>
      </c>
    </row>
    <row r="7015" spans="1:24" ht="15" customHeight="1">
      <c r="A7015" s="1122">
        <v>45532</v>
      </c>
      <c r="B7015" s="4">
        <v>181100</v>
      </c>
      <c r="C7015" s="1121">
        <v>0</v>
      </c>
      <c r="D7015" s="5">
        <v>7075</v>
      </c>
      <c r="E7015" s="5">
        <v>183475</v>
      </c>
      <c r="F7015" s="4">
        <v>0</v>
      </c>
      <c r="G7015" s="5">
        <v>1625</v>
      </c>
      <c r="H7015" s="5">
        <v>20575</v>
      </c>
      <c r="I7015" s="118">
        <f t="shared" si="2407"/>
        <v>0.11214061861289004</v>
      </c>
      <c r="J7015" s="1101">
        <v>150683</v>
      </c>
      <c r="K7015" s="22">
        <v>2045</v>
      </c>
      <c r="L7015" s="6">
        <v>2083.5</v>
      </c>
      <c r="M7015" s="125">
        <f t="shared" si="2421"/>
        <v>38.5</v>
      </c>
      <c r="P7015" s="505">
        <v>17500</v>
      </c>
      <c r="Q7015" s="25">
        <f>187.39/1334.7</f>
        <v>0.14039859144377012</v>
      </c>
      <c r="W7015" s="285">
        <f t="shared" si="2419"/>
        <v>2456.9753502659773</v>
      </c>
      <c r="X7015" s="443">
        <f t="shared" si="2420"/>
        <v>8.5574572127139366</v>
      </c>
    </row>
    <row r="7016" spans="1:24" ht="15" customHeight="1">
      <c r="A7016" s="1124">
        <v>45533</v>
      </c>
      <c r="B7016" s="4">
        <v>180400</v>
      </c>
      <c r="C7016" s="1123">
        <v>0</v>
      </c>
      <c r="D7016" s="5">
        <v>7075</v>
      </c>
      <c r="E7016" s="5">
        <v>182750</v>
      </c>
      <c r="F7016" s="4">
        <v>950</v>
      </c>
      <c r="G7016" s="5">
        <v>1675</v>
      </c>
      <c r="H7016" s="5">
        <v>19900</v>
      </c>
      <c r="I7016" s="118">
        <f t="shared" si="2407"/>
        <v>0.10889192886456908</v>
      </c>
      <c r="J7016" s="1101">
        <v>148936</v>
      </c>
      <c r="K7016" s="22">
        <v>2013</v>
      </c>
      <c r="L7016" s="6">
        <v>2053</v>
      </c>
      <c r="M7016" s="125">
        <f t="shared" si="2421"/>
        <v>40</v>
      </c>
      <c r="P7016" s="505">
        <v>17300</v>
      </c>
      <c r="Q7016" s="25">
        <f>187.56/1335.3</f>
        <v>0.14046281734441698</v>
      </c>
      <c r="W7016" s="285">
        <f t="shared" si="2419"/>
        <v>2430.0067400584139</v>
      </c>
      <c r="X7016" s="443">
        <f t="shared" si="2420"/>
        <v>8.5941381023348242</v>
      </c>
    </row>
    <row r="7017" spans="1:24" ht="15" customHeight="1">
      <c r="A7017" s="1126">
        <v>45534</v>
      </c>
      <c r="B7017" s="4">
        <v>177650</v>
      </c>
      <c r="C7017" s="5">
        <v>0</v>
      </c>
      <c r="D7017" s="1125">
        <v>7075</v>
      </c>
      <c r="E7017" s="5">
        <v>181225</v>
      </c>
      <c r="F7017" s="4">
        <v>0</v>
      </c>
      <c r="G7017" s="5">
        <v>1525</v>
      </c>
      <c r="H7017" s="5">
        <v>17425</v>
      </c>
      <c r="I7017" s="118">
        <f t="shared" si="2407"/>
        <v>9.6151193268036977E-2</v>
      </c>
      <c r="J7017" s="1101">
        <v>149328</v>
      </c>
      <c r="K7017" s="22">
        <v>2026.5</v>
      </c>
      <c r="L7017" s="6">
        <v>2067</v>
      </c>
      <c r="M7017" s="125">
        <f t="shared" si="2421"/>
        <v>40.5</v>
      </c>
      <c r="N7017" s="448">
        <f>AVERAGE($K$6996:K7017)</f>
        <v>2002.4047619047619</v>
      </c>
      <c r="O7017" s="395">
        <f>AVERAGE($K$6837:K7017)</f>
        <v>2105.5532544378698</v>
      </c>
      <c r="P7017" s="505">
        <v>17200</v>
      </c>
      <c r="Q7017" s="25">
        <f>188.35/1334.8</f>
        <v>0.14110728198981121</v>
      </c>
      <c r="W7017" s="285">
        <f t="shared" si="2419"/>
        <v>2427.0452502247526</v>
      </c>
      <c r="X7017" s="443">
        <f t="shared" si="2420"/>
        <v>8.4875400937577101</v>
      </c>
    </row>
    <row r="7018" spans="1:24" ht="15" customHeight="1" thickBot="1">
      <c r="A7018" s="1128"/>
      <c r="B7018" s="1128"/>
      <c r="C7018" s="1128"/>
      <c r="D7018" s="1128"/>
      <c r="E7018" s="216"/>
      <c r="F7018" s="407"/>
      <c r="G7018" s="164"/>
      <c r="H7018" s="164"/>
      <c r="I7018" s="166"/>
      <c r="J7018" s="166"/>
      <c r="K7018" s="166"/>
      <c r="L7018" s="167"/>
      <c r="M7018" s="167"/>
      <c r="N7018" s="167"/>
      <c r="O7018" s="180"/>
      <c r="P7018" s="180"/>
      <c r="Q7018" s="180"/>
      <c r="R7018" s="248"/>
      <c r="S7018" s="249"/>
      <c r="T7018" s="249"/>
      <c r="U7018" s="152"/>
      <c r="V7018" s="153">
        <f>AVERAGE(P6996:P7017)</f>
        <v>17860.809523809523</v>
      </c>
      <c r="W7018" s="981"/>
      <c r="X7018" s="447">
        <f>V7018/N7017</f>
        <v>8.9196799086812284</v>
      </c>
    </row>
    <row r="7019" spans="1:24" ht="15" customHeight="1">
      <c r="A7019" s="3">
        <v>45537</v>
      </c>
      <c r="B7019" s="4">
        <v>177025</v>
      </c>
      <c r="C7019" s="1129">
        <v>0</v>
      </c>
      <c r="D7019" s="5">
        <v>7075</v>
      </c>
      <c r="E7019" s="5">
        <v>179375</v>
      </c>
      <c r="F7019" s="4">
        <v>0</v>
      </c>
      <c r="G7019" s="5">
        <v>1850</v>
      </c>
      <c r="H7019" s="5">
        <v>15700</v>
      </c>
      <c r="I7019" s="118">
        <f t="shared" si="2407"/>
        <v>8.7526132404181181E-2</v>
      </c>
      <c r="J7019" s="1127">
        <v>149060</v>
      </c>
      <c r="K7019" s="22">
        <v>2020</v>
      </c>
      <c r="L7019" s="6">
        <v>2050</v>
      </c>
      <c r="M7019" s="125">
        <f t="shared" si="2421"/>
        <v>30</v>
      </c>
      <c r="P7019" s="505">
        <v>17175</v>
      </c>
      <c r="Q7019" s="25">
        <f>188.54/1338.8</f>
        <v>0.14082760681207052</v>
      </c>
      <c r="W7019" s="285">
        <f t="shared" ref="W7019:W7026" si="2422">(P7019*Q7019)*(1+U7019)</f>
        <v>2418.7141469973112</v>
      </c>
      <c r="X7019" s="443">
        <f t="shared" ref="X7019:X7026" si="2423">P7019/K7019</f>
        <v>8.5024752475247531</v>
      </c>
    </row>
    <row r="7020" spans="1:24" ht="15" customHeight="1">
      <c r="A7020" s="1131">
        <v>45538</v>
      </c>
      <c r="B7020" s="4">
        <v>175525</v>
      </c>
      <c r="C7020" s="5">
        <v>0</v>
      </c>
      <c r="D7020" s="5">
        <v>7075</v>
      </c>
      <c r="E7020" s="5">
        <v>177875</v>
      </c>
      <c r="F7020" s="4">
        <v>0</v>
      </c>
      <c r="G7020" s="5">
        <v>1500</v>
      </c>
      <c r="H7020" s="5">
        <v>14200</v>
      </c>
      <c r="I7020" s="118">
        <f t="shared" si="2407"/>
        <v>7.9831342234715386E-2</v>
      </c>
      <c r="J7020" s="1130">
        <v>146577</v>
      </c>
      <c r="K7020" s="22">
        <v>2006</v>
      </c>
      <c r="L7020" s="6">
        <v>2043</v>
      </c>
      <c r="M7020" s="125">
        <f t="shared" si="2421"/>
        <v>37</v>
      </c>
      <c r="P7020" s="505">
        <v>17175</v>
      </c>
      <c r="Q7020" s="25">
        <f>188.31/1341</f>
        <v>0.14042505592841165</v>
      </c>
      <c r="W7020" s="285">
        <f t="shared" si="2422"/>
        <v>2411.80033557047</v>
      </c>
      <c r="X7020" s="443">
        <f t="shared" si="2423"/>
        <v>8.5618145563310062</v>
      </c>
    </row>
    <row r="7021" spans="1:24" ht="15" customHeight="1">
      <c r="A7021" s="1133">
        <v>45539</v>
      </c>
      <c r="B7021" s="4">
        <v>175150</v>
      </c>
      <c r="C7021" s="5">
        <v>0</v>
      </c>
      <c r="D7021" s="5">
        <v>7075</v>
      </c>
      <c r="E7021" s="5">
        <v>177500</v>
      </c>
      <c r="F7021" s="4">
        <v>0</v>
      </c>
      <c r="G7021" s="5">
        <v>375</v>
      </c>
      <c r="H7021" s="5">
        <v>14825</v>
      </c>
      <c r="I7021" s="118">
        <f t="shared" si="2407"/>
        <v>8.3521126760563377E-2</v>
      </c>
      <c r="J7021" s="1132">
        <v>146282</v>
      </c>
      <c r="K7021" s="22">
        <v>1989</v>
      </c>
      <c r="L7021" s="6">
        <v>2027</v>
      </c>
      <c r="M7021" s="125">
        <f t="shared" si="2421"/>
        <v>38</v>
      </c>
      <c r="P7021" s="505">
        <v>17075</v>
      </c>
      <c r="Q7021" s="25">
        <f>188.78/1342</f>
        <v>0.14067064083457526</v>
      </c>
      <c r="W7021" s="285">
        <f t="shared" si="2422"/>
        <v>2401.9511922503725</v>
      </c>
      <c r="X7021" s="443">
        <f t="shared" si="2423"/>
        <v>8.5847159376571138</v>
      </c>
    </row>
    <row r="7022" spans="1:24" ht="15" customHeight="1">
      <c r="A7022" s="1135">
        <v>45540</v>
      </c>
      <c r="B7022" s="4">
        <v>175100</v>
      </c>
      <c r="C7022" s="5">
        <v>0</v>
      </c>
      <c r="D7022" s="5">
        <v>6975</v>
      </c>
      <c r="E7022" s="5">
        <v>177350</v>
      </c>
      <c r="F7022" s="4">
        <v>0</v>
      </c>
      <c r="G7022" s="5">
        <v>150</v>
      </c>
      <c r="H7022" s="5">
        <v>14775</v>
      </c>
      <c r="I7022" s="118">
        <f t="shared" si="2407"/>
        <v>8.330983930081759E-2</v>
      </c>
      <c r="J7022" s="1134">
        <v>144012</v>
      </c>
      <c r="K7022" s="22">
        <v>1977</v>
      </c>
      <c r="L7022" s="6">
        <v>2015</v>
      </c>
      <c r="M7022" s="125">
        <f t="shared" si="2421"/>
        <v>38</v>
      </c>
      <c r="P7022" s="505">
        <v>16975</v>
      </c>
      <c r="Q7022" s="25">
        <f>188.05/1335.8</f>
        <v>0.1407770624344962</v>
      </c>
      <c r="W7022" s="285">
        <f t="shared" si="2422"/>
        <v>2389.6906348255729</v>
      </c>
      <c r="X7022" s="443">
        <f t="shared" si="2423"/>
        <v>8.5862417804754685</v>
      </c>
    </row>
    <row r="7023" spans="1:24" ht="15" customHeight="1">
      <c r="A7023" s="1137">
        <v>45541</v>
      </c>
      <c r="B7023" s="4">
        <v>175075</v>
      </c>
      <c r="C7023" s="1136">
        <v>0</v>
      </c>
      <c r="D7023" s="5">
        <v>2450</v>
      </c>
      <c r="E7023" s="5">
        <v>177525</v>
      </c>
      <c r="F7023" s="4">
        <v>200</v>
      </c>
      <c r="G7023" s="5">
        <v>25</v>
      </c>
      <c r="H7023" s="5">
        <v>14750</v>
      </c>
      <c r="I7023" s="118">
        <f t="shared" si="2407"/>
        <v>8.3086889170539358E-2</v>
      </c>
      <c r="J7023" s="1134">
        <v>144819</v>
      </c>
      <c r="K7023" s="22">
        <v>1953</v>
      </c>
      <c r="L7023" s="6">
        <v>1994</v>
      </c>
      <c r="M7023" s="125">
        <f t="shared" si="2421"/>
        <v>41</v>
      </c>
      <c r="P7023" s="505">
        <v>16750</v>
      </c>
      <c r="Q7023" s="25">
        <f>187.74/1330.4</f>
        <v>0.14111545399879735</v>
      </c>
      <c r="W7023" s="285">
        <f t="shared" si="2422"/>
        <v>2363.6838544798557</v>
      </c>
      <c r="X7023" s="443">
        <f t="shared" si="2423"/>
        <v>8.5765488991295449</v>
      </c>
    </row>
    <row r="7024" spans="1:24" ht="15" customHeight="1">
      <c r="A7024" s="1139">
        <v>45544</v>
      </c>
      <c r="B7024" s="4">
        <v>174550</v>
      </c>
      <c r="C7024" s="1138">
        <v>0</v>
      </c>
      <c r="D7024" s="5">
        <v>2450</v>
      </c>
      <c r="E7024" s="5">
        <v>177000</v>
      </c>
      <c r="F7024" s="4">
        <v>0</v>
      </c>
      <c r="G7024" s="5">
        <v>525</v>
      </c>
      <c r="H7024" s="5">
        <v>14225</v>
      </c>
      <c r="I7024" s="118">
        <f t="shared" si="2407"/>
        <v>8.036723163841808E-2</v>
      </c>
      <c r="J7024" s="1138">
        <v>146618</v>
      </c>
      <c r="K7024" s="22">
        <v>1915</v>
      </c>
      <c r="L7024" s="6">
        <v>1953.5</v>
      </c>
      <c r="M7024" s="125">
        <f t="shared" si="2421"/>
        <v>38.5</v>
      </c>
      <c r="P7024" s="505">
        <v>16425</v>
      </c>
      <c r="Q7024" s="25">
        <f>188.51/1339.5</f>
        <v>0.14073161627472938</v>
      </c>
      <c r="W7024" s="285">
        <f t="shared" si="2422"/>
        <v>2311.5167973124303</v>
      </c>
      <c r="X7024" s="443">
        <f t="shared" si="2423"/>
        <v>8.5770234986945173</v>
      </c>
    </row>
    <row r="7025" spans="1:24" ht="15" customHeight="1">
      <c r="A7025" s="1141">
        <v>45545</v>
      </c>
      <c r="B7025" s="4">
        <v>172825</v>
      </c>
      <c r="C7025" s="1140">
        <v>0</v>
      </c>
      <c r="D7025" s="5">
        <v>2450</v>
      </c>
      <c r="E7025" s="5">
        <v>175275</v>
      </c>
      <c r="F7025" s="4">
        <v>0</v>
      </c>
      <c r="G7025" s="5">
        <v>1725</v>
      </c>
      <c r="H7025" s="5">
        <v>13225</v>
      </c>
      <c r="I7025" s="118">
        <f t="shared" si="2407"/>
        <v>7.5452859791755811E-2</v>
      </c>
      <c r="J7025" s="1138">
        <v>147687</v>
      </c>
      <c r="K7025" s="22">
        <v>1912</v>
      </c>
      <c r="L7025" s="6">
        <v>1957</v>
      </c>
      <c r="M7025" s="125">
        <f t="shared" si="2421"/>
        <v>45</v>
      </c>
      <c r="P7025" s="505">
        <v>16225</v>
      </c>
      <c r="Q7025" s="25">
        <f>188.69/1344.3</f>
        <v>0.14036301420813807</v>
      </c>
      <c r="W7025" s="285">
        <f t="shared" si="2422"/>
        <v>2277.3899055270404</v>
      </c>
      <c r="X7025" s="443">
        <f t="shared" si="2423"/>
        <v>8.4858786610878667</v>
      </c>
    </row>
    <row r="7026" spans="1:24" ht="15" customHeight="1">
      <c r="A7026" s="1143">
        <v>45546</v>
      </c>
      <c r="B7026" s="4">
        <v>172625</v>
      </c>
      <c r="C7026" s="1142">
        <v>0</v>
      </c>
      <c r="D7026" s="5">
        <v>2450</v>
      </c>
      <c r="E7026" s="5">
        <v>175075</v>
      </c>
      <c r="F7026" s="4">
        <v>0</v>
      </c>
      <c r="G7026" s="5">
        <v>200</v>
      </c>
      <c r="H7026" s="5">
        <v>13425</v>
      </c>
      <c r="I7026" s="118">
        <f t="shared" si="2407"/>
        <v>7.6681422247608169E-2</v>
      </c>
      <c r="J7026" s="1138">
        <v>148238</v>
      </c>
      <c r="K7026" s="22">
        <v>1960</v>
      </c>
      <c r="L7026" s="6">
        <v>1996.5</v>
      </c>
      <c r="M7026" s="125">
        <f t="shared" si="2421"/>
        <v>36.5</v>
      </c>
      <c r="P7026" s="505">
        <v>16275</v>
      </c>
      <c r="Q7026" s="25">
        <f>188.25/1340.3</f>
        <v>0.14045362978437664</v>
      </c>
      <c r="W7026" s="285">
        <f t="shared" si="2422"/>
        <v>2285.88282474073</v>
      </c>
      <c r="X7026" s="443">
        <f t="shared" si="2423"/>
        <v>8.3035714285714288</v>
      </c>
    </row>
    <row r="7027" spans="1:24" ht="15" customHeight="1">
      <c r="A7027" s="1145">
        <v>45547</v>
      </c>
      <c r="B7027" s="4">
        <v>172325</v>
      </c>
      <c r="C7027" s="5">
        <v>0</v>
      </c>
      <c r="D7027" s="5">
        <v>2450</v>
      </c>
      <c r="E7027" s="5">
        <v>174775</v>
      </c>
      <c r="F7027" s="4">
        <v>0</v>
      </c>
      <c r="G7027" s="5">
        <v>300</v>
      </c>
      <c r="H7027" s="5">
        <v>13925</v>
      </c>
      <c r="I7027" s="118">
        <f t="shared" si="2407"/>
        <v>7.9673866399656706E-2</v>
      </c>
      <c r="J7027" s="1138">
        <v>146969</v>
      </c>
      <c r="K7027" s="22">
        <v>1998</v>
      </c>
      <c r="L7027" s="6">
        <v>2031</v>
      </c>
      <c r="M7027" s="125">
        <f t="shared" si="2421"/>
        <v>33</v>
      </c>
      <c r="P7027" s="1317"/>
      <c r="Q7027" s="1326"/>
      <c r="W7027" s="285">
        <f t="shared" ref="W7027:W7039" si="2424">(P7027*Q7027)*(1+U7027)</f>
        <v>0</v>
      </c>
      <c r="X7027" s="443">
        <f t="shared" ref="X7027:X7039" si="2425">P7027/K7027</f>
        <v>0</v>
      </c>
    </row>
    <row r="7028" spans="1:24" ht="15" customHeight="1">
      <c r="A7028" s="1145">
        <v>45548</v>
      </c>
      <c r="B7028" s="4">
        <v>171225</v>
      </c>
      <c r="C7028" s="5">
        <v>0</v>
      </c>
      <c r="D7028" s="1144">
        <v>2450</v>
      </c>
      <c r="E7028" s="5">
        <v>174775</v>
      </c>
      <c r="F7028" s="4">
        <v>0</v>
      </c>
      <c r="G7028" s="5">
        <v>0</v>
      </c>
      <c r="H7028" s="5">
        <v>14025</v>
      </c>
      <c r="I7028" s="118">
        <f t="shared" si="2407"/>
        <v>8.0246030610785293E-2</v>
      </c>
      <c r="J7028" s="1138">
        <v>148099</v>
      </c>
      <c r="K7028" s="22">
        <v>1991</v>
      </c>
      <c r="L7028" s="6">
        <v>2013</v>
      </c>
      <c r="M7028" s="125">
        <f t="shared" si="2421"/>
        <v>22</v>
      </c>
      <c r="P7028" s="1317"/>
      <c r="Q7028" s="1326"/>
      <c r="W7028" s="285">
        <f t="shared" si="2424"/>
        <v>0</v>
      </c>
      <c r="X7028" s="443">
        <f t="shared" si="2425"/>
        <v>0</v>
      </c>
    </row>
    <row r="7029" spans="1:24" ht="15" customHeight="1">
      <c r="A7029" s="1145">
        <v>45551</v>
      </c>
      <c r="B7029" s="4">
        <v>172325</v>
      </c>
      <c r="C7029" s="5">
        <v>0</v>
      </c>
      <c r="D7029" s="5">
        <v>2450</v>
      </c>
      <c r="E7029" s="1144">
        <v>174775</v>
      </c>
      <c r="F7029" s="4">
        <v>0</v>
      </c>
      <c r="G7029" s="5">
        <v>0</v>
      </c>
      <c r="H7029" s="5">
        <v>14125</v>
      </c>
      <c r="I7029" s="118">
        <f t="shared" si="2407"/>
        <v>8.0818194821913894E-2</v>
      </c>
      <c r="J7029" s="1138">
        <v>154783</v>
      </c>
      <c r="K7029" s="22">
        <v>2019</v>
      </c>
      <c r="L7029" s="6">
        <v>2056</v>
      </c>
      <c r="M7029" s="125">
        <f t="shared" si="2421"/>
        <v>37</v>
      </c>
      <c r="P7029" s="1317"/>
      <c r="Q7029" s="1326"/>
      <c r="W7029" s="285">
        <f t="shared" si="2424"/>
        <v>0</v>
      </c>
      <c r="X7029" s="443">
        <f t="shared" si="2425"/>
        <v>0</v>
      </c>
    </row>
    <row r="7030" spans="1:24" ht="15" customHeight="1">
      <c r="A7030" s="1145">
        <v>45552</v>
      </c>
      <c r="B7030" s="4">
        <v>202550</v>
      </c>
      <c r="C7030" s="5">
        <v>0</v>
      </c>
      <c r="D7030" s="5">
        <v>2450</v>
      </c>
      <c r="E7030" s="5">
        <v>205000</v>
      </c>
      <c r="F7030" s="4">
        <v>31250</v>
      </c>
      <c r="G7030" s="5">
        <v>1025</v>
      </c>
      <c r="H7030" s="5">
        <v>13125</v>
      </c>
      <c r="I7030" s="118">
        <f t="shared" si="2407"/>
        <v>6.402439024390244E-2</v>
      </c>
      <c r="J7030" s="1138">
        <v>148368</v>
      </c>
      <c r="K7030" s="22">
        <v>1983</v>
      </c>
      <c r="L7030" s="6">
        <v>2020</v>
      </c>
      <c r="M7030" s="125">
        <f t="shared" si="2421"/>
        <v>37</v>
      </c>
      <c r="P7030" s="1317"/>
      <c r="Q7030" s="1326"/>
      <c r="W7030" s="285">
        <f t="shared" si="2424"/>
        <v>0</v>
      </c>
      <c r="X7030" s="443">
        <f t="shared" si="2425"/>
        <v>0</v>
      </c>
    </row>
    <row r="7031" spans="1:24" ht="15" customHeight="1">
      <c r="A7031" s="1145">
        <v>45553</v>
      </c>
      <c r="B7031" s="4">
        <v>202100</v>
      </c>
      <c r="C7031" s="5">
        <v>0</v>
      </c>
      <c r="D7031" s="5">
        <v>2450</v>
      </c>
      <c r="E7031" s="5">
        <v>204550</v>
      </c>
      <c r="F7031" s="4">
        <v>0</v>
      </c>
      <c r="G7031" s="5">
        <v>450</v>
      </c>
      <c r="H7031" s="5">
        <v>12875</v>
      </c>
      <c r="I7031" s="118">
        <f t="shared" si="2407"/>
        <v>6.2943045710095333E-2</v>
      </c>
      <c r="J7031" s="1138">
        <v>146719</v>
      </c>
      <c r="K7031" s="22">
        <v>1997.5</v>
      </c>
      <c r="L7031" s="6">
        <v>2036</v>
      </c>
      <c r="M7031" s="125">
        <f t="shared" si="2421"/>
        <v>38.5</v>
      </c>
      <c r="P7031" s="505">
        <v>16325</v>
      </c>
      <c r="Q7031" s="25">
        <f>187.16/1331</f>
        <v>0.14061607813673929</v>
      </c>
      <c r="W7031" s="285">
        <f t="shared" si="2424"/>
        <v>2295.557475582269</v>
      </c>
      <c r="X7031" s="443">
        <f t="shared" si="2425"/>
        <v>8.1727158948685865</v>
      </c>
    </row>
    <row r="7032" spans="1:24" ht="15" customHeight="1">
      <c r="A7032" s="1145">
        <v>45554</v>
      </c>
      <c r="B7032" s="4">
        <v>201300</v>
      </c>
      <c r="C7032" s="5">
        <v>0</v>
      </c>
      <c r="D7032" s="5">
        <v>2450</v>
      </c>
      <c r="E7032" s="5">
        <v>203750</v>
      </c>
      <c r="F7032" s="4">
        <v>0</v>
      </c>
      <c r="G7032" s="5">
        <v>800</v>
      </c>
      <c r="H7032" s="5">
        <v>12375</v>
      </c>
      <c r="I7032" s="118">
        <f t="shared" si="2407"/>
        <v>6.0736196319018408E-2</v>
      </c>
      <c r="J7032" s="1138">
        <v>145014</v>
      </c>
      <c r="K7032" s="22">
        <v>2046</v>
      </c>
      <c r="L7032" s="6">
        <v>2072</v>
      </c>
      <c r="M7032" s="125">
        <f t="shared" si="2421"/>
        <v>26</v>
      </c>
      <c r="P7032" s="505">
        <v>16275</v>
      </c>
      <c r="Q7032" s="25">
        <f>188.1/1331.8</f>
        <v>0.14123742303649198</v>
      </c>
      <c r="W7032" s="285">
        <f t="shared" si="2424"/>
        <v>2298.6390599189072</v>
      </c>
      <c r="X7032" s="443">
        <f t="shared" si="2425"/>
        <v>7.9545454545454541</v>
      </c>
    </row>
    <row r="7033" spans="1:24" ht="15" customHeight="1">
      <c r="A7033" s="1146">
        <v>45555</v>
      </c>
      <c r="B7033" s="4">
        <v>201500</v>
      </c>
      <c r="C7033" s="5">
        <v>0</v>
      </c>
      <c r="D7033" s="5">
        <v>2450</v>
      </c>
      <c r="E7033" s="5">
        <v>203950</v>
      </c>
      <c r="F7033" s="4">
        <v>975</v>
      </c>
      <c r="G7033" s="5">
        <v>775</v>
      </c>
      <c r="H7033" s="5">
        <v>12600</v>
      </c>
      <c r="I7033" s="118">
        <f t="shared" si="2407"/>
        <v>6.1779848001961263E-2</v>
      </c>
      <c r="J7033" s="1138">
        <v>144401</v>
      </c>
      <c r="K7033" s="22">
        <v>2033</v>
      </c>
      <c r="L7033" s="6">
        <v>2078</v>
      </c>
      <c r="M7033" s="125">
        <f t="shared" si="2421"/>
        <v>45</v>
      </c>
      <c r="P7033" s="505">
        <v>16450</v>
      </c>
      <c r="Q7033" s="25">
        <f>188.57/1329.9</f>
        <v>0.14179261598616436</v>
      </c>
      <c r="W7033" s="285">
        <f t="shared" si="2424"/>
        <v>2332.4885329724038</v>
      </c>
      <c r="X7033" s="443">
        <f t="shared" si="2425"/>
        <v>8.091490408263649</v>
      </c>
    </row>
    <row r="7034" spans="1:24" ht="15" customHeight="1">
      <c r="A7034" s="1148">
        <v>45558</v>
      </c>
      <c r="B7034" s="4">
        <v>201525</v>
      </c>
      <c r="C7034" s="1147">
        <v>0</v>
      </c>
      <c r="D7034" s="5">
        <v>2450</v>
      </c>
      <c r="E7034" s="5">
        <v>203975</v>
      </c>
      <c r="F7034" s="4">
        <v>25</v>
      </c>
      <c r="G7034" s="5">
        <v>0</v>
      </c>
      <c r="H7034" s="5">
        <v>12600</v>
      </c>
      <c r="I7034" s="118">
        <f t="shared" si="2407"/>
        <v>6.1772276014217427E-2</v>
      </c>
      <c r="J7034" s="1147">
        <v>144103</v>
      </c>
      <c r="K7034" s="22">
        <v>2011.5</v>
      </c>
      <c r="L7034" s="6">
        <v>2052</v>
      </c>
      <c r="M7034" s="125">
        <f t="shared" si="2421"/>
        <v>40.5</v>
      </c>
      <c r="P7034" s="505">
        <v>16175</v>
      </c>
      <c r="Q7034" s="25">
        <f>189.6/1335.5</f>
        <v>0.1419692998876825</v>
      </c>
      <c r="W7034" s="285">
        <f t="shared" si="2424"/>
        <v>2296.3534256832645</v>
      </c>
      <c r="X7034" s="443">
        <f t="shared" si="2425"/>
        <v>8.0412627392493157</v>
      </c>
    </row>
    <row r="7035" spans="1:24" ht="15" customHeight="1">
      <c r="A7035" s="1150">
        <v>45559</v>
      </c>
      <c r="B7035" s="4">
        <v>200500</v>
      </c>
      <c r="C7035" s="1149">
        <v>0</v>
      </c>
      <c r="D7035" s="5">
        <v>2450</v>
      </c>
      <c r="E7035" s="5">
        <v>202950</v>
      </c>
      <c r="F7035" s="4">
        <v>0</v>
      </c>
      <c r="G7035" s="5">
        <v>1025</v>
      </c>
      <c r="H7035" s="5">
        <v>11575</v>
      </c>
      <c r="I7035" s="118">
        <f t="shared" si="2407"/>
        <v>5.7033752155703374E-2</v>
      </c>
      <c r="J7035" s="1149">
        <v>145064</v>
      </c>
      <c r="K7035" s="22">
        <v>2050</v>
      </c>
      <c r="L7035" s="6">
        <v>2092</v>
      </c>
      <c r="M7035" s="125">
        <f t="shared" si="2421"/>
        <v>42</v>
      </c>
      <c r="P7035" s="505">
        <v>16350</v>
      </c>
      <c r="Q7035" s="25">
        <f>189.32/1334.3</f>
        <v>0.14188713182942367</v>
      </c>
      <c r="W7035" s="285">
        <f t="shared" si="2424"/>
        <v>2319.854605411077</v>
      </c>
      <c r="X7035" s="443">
        <f t="shared" si="2425"/>
        <v>7.975609756097561</v>
      </c>
    </row>
    <row r="7036" spans="1:24" ht="15" customHeight="1">
      <c r="A7036" s="1152">
        <v>45560</v>
      </c>
      <c r="B7036" s="4">
        <v>199700</v>
      </c>
      <c r="C7036" s="1151">
        <v>0</v>
      </c>
      <c r="D7036" s="5">
        <v>2450</v>
      </c>
      <c r="E7036" s="5">
        <v>202150</v>
      </c>
      <c r="F7036" s="4">
        <v>0</v>
      </c>
      <c r="G7036" s="5">
        <v>800</v>
      </c>
      <c r="H7036" s="5">
        <v>11175</v>
      </c>
      <c r="I7036" s="118">
        <f t="shared" si="2407"/>
        <v>5.5280732129606727E-2</v>
      </c>
      <c r="J7036" s="1151">
        <v>144620</v>
      </c>
      <c r="K7036" s="22">
        <v>2044</v>
      </c>
      <c r="L7036" s="6">
        <v>2086</v>
      </c>
      <c r="M7036" s="125">
        <f t="shared" si="2421"/>
        <v>42</v>
      </c>
      <c r="P7036" s="505">
        <v>16425</v>
      </c>
      <c r="Q7036" s="25">
        <f>189.48/1328.4</f>
        <v>0.14263775971093043</v>
      </c>
      <c r="W7036" s="285">
        <f t="shared" si="2424"/>
        <v>2342.8252032520322</v>
      </c>
      <c r="X7036" s="443">
        <f t="shared" si="2425"/>
        <v>8.0357142857142865</v>
      </c>
    </row>
    <row r="7037" spans="1:24" ht="15" customHeight="1">
      <c r="A7037" s="1154">
        <v>45561</v>
      </c>
      <c r="B7037" s="4">
        <v>199525</v>
      </c>
      <c r="C7037" s="1153">
        <v>0</v>
      </c>
      <c r="D7037" s="5">
        <v>2450</v>
      </c>
      <c r="E7037" s="5">
        <v>201975</v>
      </c>
      <c r="F7037" s="4">
        <v>0</v>
      </c>
      <c r="G7037" s="5">
        <v>175</v>
      </c>
      <c r="H7037" s="5">
        <v>12450</v>
      </c>
      <c r="I7037" s="118">
        <f t="shared" si="2407"/>
        <v>6.1641292239138508E-2</v>
      </c>
      <c r="J7037" s="1151">
        <v>144336</v>
      </c>
      <c r="K7037" s="22">
        <v>2101</v>
      </c>
      <c r="L7037" s="6">
        <v>2138</v>
      </c>
      <c r="M7037" s="125">
        <f t="shared" si="2421"/>
        <v>37</v>
      </c>
      <c r="P7037" s="505">
        <v>16425</v>
      </c>
      <c r="Q7037" s="25">
        <f>189.42/1329.7</f>
        <v>0.14245318492893133</v>
      </c>
      <c r="W7037" s="285">
        <f t="shared" si="2424"/>
        <v>2339.7935624576971</v>
      </c>
      <c r="X7037" s="443">
        <f t="shared" si="2425"/>
        <v>7.8177058543550686</v>
      </c>
    </row>
    <row r="7038" spans="1:24" ht="15" customHeight="1">
      <c r="A7038" s="1155">
        <v>45562</v>
      </c>
      <c r="B7038" s="4">
        <v>197675</v>
      </c>
      <c r="C7038" s="5">
        <v>0</v>
      </c>
      <c r="D7038" s="5">
        <v>2450</v>
      </c>
      <c r="E7038" s="5">
        <v>200975</v>
      </c>
      <c r="F7038" s="4">
        <v>0</v>
      </c>
      <c r="G7038" s="5">
        <v>1000</v>
      </c>
      <c r="H7038" s="5">
        <v>7275</v>
      </c>
      <c r="I7038" s="118">
        <f t="shared" si="2407"/>
        <v>3.6198532155740766E-2</v>
      </c>
      <c r="J7038" s="1151">
        <v>146106</v>
      </c>
      <c r="K7038" s="22">
        <v>2078</v>
      </c>
      <c r="L7038" s="6">
        <v>2123.5</v>
      </c>
      <c r="M7038" s="125">
        <f t="shared" si="2421"/>
        <v>45.5</v>
      </c>
      <c r="P7038" s="505">
        <v>16525</v>
      </c>
      <c r="Q7038" s="25">
        <f>188.74/1319.6</f>
        <v>0.14302819036071537</v>
      </c>
      <c r="W7038" s="285">
        <f t="shared" si="2424"/>
        <v>2363.5408457108215</v>
      </c>
      <c r="X7038" s="443">
        <f t="shared" si="2425"/>
        <v>7.9523580365736288</v>
      </c>
    </row>
    <row r="7039" spans="1:24" ht="15" customHeight="1">
      <c r="A7039" s="1157">
        <v>45565</v>
      </c>
      <c r="B7039" s="4">
        <v>197900</v>
      </c>
      <c r="C7039" s="5">
        <v>0</v>
      </c>
      <c r="D7039" s="5">
        <v>2450</v>
      </c>
      <c r="E7039" s="5">
        <v>200350</v>
      </c>
      <c r="F7039" s="4">
        <v>0</v>
      </c>
      <c r="G7039" s="5">
        <v>625</v>
      </c>
      <c r="H7039" s="5">
        <v>6650</v>
      </c>
      <c r="I7039" s="118">
        <f t="shared" si="2407"/>
        <v>3.3191914150237083E-2</v>
      </c>
      <c r="J7039" s="1151">
        <v>150446</v>
      </c>
      <c r="K7039" s="22">
        <v>2070.5</v>
      </c>
      <c r="L7039" s="6">
        <v>2117</v>
      </c>
      <c r="M7039" s="125">
        <f t="shared" si="2421"/>
        <v>46.5</v>
      </c>
      <c r="N7039" s="448">
        <f>AVERAGE($K$7019:K7039)</f>
        <v>2007.3571428571429</v>
      </c>
      <c r="O7039" s="395">
        <f>AVERAGE($K$6837:K7039)</f>
        <v>2094.6999999999998</v>
      </c>
      <c r="P7039" s="505">
        <v>16625</v>
      </c>
      <c r="W7039" s="285">
        <f t="shared" si="2424"/>
        <v>0</v>
      </c>
      <c r="X7039" s="443">
        <f t="shared" si="2425"/>
        <v>8.0294614827336392</v>
      </c>
    </row>
    <row r="7040" spans="1:24" ht="15" customHeight="1" thickBot="1">
      <c r="A7040" s="1156"/>
      <c r="B7040" s="1156"/>
      <c r="C7040" s="1156"/>
      <c r="D7040" s="1156"/>
      <c r="E7040" s="216"/>
      <c r="F7040" s="407"/>
      <c r="G7040" s="164"/>
      <c r="H7040" s="164"/>
      <c r="I7040" s="166"/>
      <c r="J7040" s="166"/>
      <c r="K7040" s="166"/>
      <c r="L7040" s="167"/>
      <c r="M7040" s="167"/>
      <c r="N7040" s="167"/>
      <c r="O7040" s="180"/>
      <c r="P7040" s="180"/>
      <c r="Q7040" s="180"/>
      <c r="R7040" s="248"/>
      <c r="S7040" s="249"/>
      <c r="T7040" s="249"/>
      <c r="U7040" s="152"/>
      <c r="V7040" s="153">
        <f>AVERAGE(P7018:P7039)</f>
        <v>16567.647058823528</v>
      </c>
      <c r="W7040" s="981"/>
      <c r="X7040" s="447">
        <f>V7040/N7039</f>
        <v>8.2534625777863351</v>
      </c>
    </row>
    <row r="7041" spans="1:24" ht="15" customHeight="1">
      <c r="A7041" s="3">
        <v>45566</v>
      </c>
      <c r="B7041" s="4">
        <v>196675</v>
      </c>
      <c r="C7041" s="5">
        <v>0</v>
      </c>
      <c r="D7041" s="5">
        <v>2450</v>
      </c>
      <c r="E7041" s="5">
        <v>199125</v>
      </c>
      <c r="F7041" s="4">
        <v>0</v>
      </c>
      <c r="G7041" s="5">
        <v>1225</v>
      </c>
      <c r="H7041" s="5">
        <v>5425</v>
      </c>
      <c r="I7041" s="118">
        <f t="shared" si="2407"/>
        <v>2.7244193345888262E-2</v>
      </c>
      <c r="J7041" s="1151">
        <v>147409</v>
      </c>
      <c r="K7041" s="22">
        <v>2075.5</v>
      </c>
      <c r="L7041" s="6">
        <v>2119</v>
      </c>
      <c r="M7041" s="125">
        <f t="shared" ref="M7041:M7058" si="2426">L7041-K7041</f>
        <v>43.5</v>
      </c>
      <c r="N7041" s="1162"/>
      <c r="O7041" s="1163"/>
      <c r="P7041" s="1316"/>
      <c r="Q7041" s="25">
        <f>186.86/1306.9</f>
        <v>0.14297956997474942</v>
      </c>
      <c r="W7041" s="285">
        <f t="shared" ref="W7041:W7045" si="2427">(P7041*Q7041)*(1+U7041)</f>
        <v>0</v>
      </c>
      <c r="X7041" s="443">
        <f t="shared" ref="X7041:X7049" si="2428">P7041/K7041</f>
        <v>0</v>
      </c>
    </row>
    <row r="7042" spans="1:24" ht="15" customHeight="1">
      <c r="A7042" s="1159">
        <v>45567</v>
      </c>
      <c r="B7042" s="4">
        <v>196675</v>
      </c>
      <c r="C7042" s="1158">
        <v>0</v>
      </c>
      <c r="D7042" s="1158">
        <v>2450</v>
      </c>
      <c r="E7042" s="5">
        <v>199125</v>
      </c>
      <c r="F7042" s="4">
        <v>0</v>
      </c>
      <c r="G7042" s="5">
        <v>0</v>
      </c>
      <c r="H7042" s="5">
        <v>5725</v>
      </c>
      <c r="I7042" s="118">
        <f t="shared" si="2407"/>
        <v>2.8750784682988074E-2</v>
      </c>
      <c r="J7042" s="1158">
        <v>148696</v>
      </c>
      <c r="K7042" s="22">
        <v>2091</v>
      </c>
      <c r="L7042" s="6">
        <v>2139</v>
      </c>
      <c r="M7042" s="125">
        <f t="shared" si="2426"/>
        <v>48</v>
      </c>
      <c r="P7042" s="1317"/>
      <c r="W7042" s="285">
        <f t="shared" si="2427"/>
        <v>0</v>
      </c>
      <c r="X7042" s="443">
        <f t="shared" si="2428"/>
        <v>0</v>
      </c>
    </row>
    <row r="7043" spans="1:24" ht="15" customHeight="1">
      <c r="A7043" s="1159">
        <v>45568</v>
      </c>
      <c r="B7043" s="4">
        <v>196675</v>
      </c>
      <c r="C7043" s="1158">
        <v>0</v>
      </c>
      <c r="D7043" s="1158">
        <v>2450</v>
      </c>
      <c r="E7043" s="5">
        <v>199125</v>
      </c>
      <c r="F7043" s="4">
        <v>0</v>
      </c>
      <c r="G7043" s="1158">
        <v>0</v>
      </c>
      <c r="H7043" s="5">
        <v>8075</v>
      </c>
      <c r="I7043" s="118">
        <f t="shared" si="2407"/>
        <v>4.0552416823603263E-2</v>
      </c>
      <c r="J7043" s="1158">
        <v>147683</v>
      </c>
      <c r="K7043" s="22">
        <v>2092</v>
      </c>
      <c r="L7043" s="6">
        <v>2137</v>
      </c>
      <c r="M7043" s="125">
        <f t="shared" si="2426"/>
        <v>45</v>
      </c>
      <c r="N7043" s="1162"/>
      <c r="O7043" s="1163"/>
      <c r="P7043" s="1317"/>
      <c r="Q7043" s="25">
        <f>188.16/1320.1</f>
        <v>0.1425346564654193</v>
      </c>
      <c r="W7043" s="285">
        <f t="shared" si="2427"/>
        <v>0</v>
      </c>
      <c r="X7043" s="443">
        <f t="shared" si="2428"/>
        <v>0</v>
      </c>
    </row>
    <row r="7044" spans="1:24" ht="15" customHeight="1">
      <c r="A7044" s="1161">
        <v>45569</v>
      </c>
      <c r="B7044" s="4">
        <v>196175</v>
      </c>
      <c r="C7044" s="1160">
        <v>0</v>
      </c>
      <c r="D7044" s="5">
        <v>2450</v>
      </c>
      <c r="E7044" s="5">
        <v>198625</v>
      </c>
      <c r="F7044" s="4">
        <v>0</v>
      </c>
      <c r="G7044" s="5">
        <v>500</v>
      </c>
      <c r="H7044" s="5">
        <v>7825</v>
      </c>
      <c r="I7044" s="118">
        <f t="shared" si="2407"/>
        <v>3.9395846444304591E-2</v>
      </c>
      <c r="J7044" s="1160">
        <v>146252</v>
      </c>
      <c r="K7044" s="22">
        <v>2107</v>
      </c>
      <c r="L7044" s="6">
        <v>2154</v>
      </c>
      <c r="M7044" s="125">
        <f t="shared" si="2426"/>
        <v>47</v>
      </c>
      <c r="N7044" s="1162"/>
      <c r="O7044" s="1163"/>
      <c r="P7044" s="1317"/>
      <c r="Q7044" s="25">
        <f>188.93/1333.3</f>
        <v>0.14170104252606316</v>
      </c>
      <c r="W7044" s="285">
        <f t="shared" si="2427"/>
        <v>0</v>
      </c>
      <c r="X7044" s="443">
        <f t="shared" si="2428"/>
        <v>0</v>
      </c>
    </row>
    <row r="7045" spans="1:24" ht="15" customHeight="1">
      <c r="A7045" s="1165">
        <v>45572</v>
      </c>
      <c r="B7045" s="4">
        <v>196175</v>
      </c>
      <c r="C7045" s="1164">
        <v>0</v>
      </c>
      <c r="D7045" s="1164">
        <v>2450</v>
      </c>
      <c r="E7045" s="5">
        <v>198625</v>
      </c>
      <c r="F7045" s="4">
        <v>0</v>
      </c>
      <c r="G7045" s="5">
        <v>0</v>
      </c>
      <c r="H7045" s="5">
        <v>9075</v>
      </c>
      <c r="I7045" s="118">
        <f t="shared" si="2407"/>
        <v>4.5689112649465069E-2</v>
      </c>
      <c r="J7045" s="1151">
        <v>146008</v>
      </c>
      <c r="K7045" s="22">
        <v>2110.5</v>
      </c>
      <c r="L7045" s="6">
        <v>2164</v>
      </c>
      <c r="M7045" s="125">
        <f t="shared" si="2426"/>
        <v>53.5</v>
      </c>
      <c r="N7045" s="1162"/>
      <c r="O7045" s="1163"/>
      <c r="P7045" s="1317"/>
      <c r="Q7045" s="25">
        <f>190.05/1346.5</f>
        <v>0.14114370590419606</v>
      </c>
      <c r="W7045" s="285">
        <f t="shared" si="2427"/>
        <v>0</v>
      </c>
      <c r="X7045" s="443">
        <f t="shared" si="2428"/>
        <v>0</v>
      </c>
    </row>
    <row r="7046" spans="1:24" ht="15" customHeight="1">
      <c r="A7046" s="1167">
        <v>45573</v>
      </c>
      <c r="B7046" s="4">
        <v>195975</v>
      </c>
      <c r="C7046" s="1166">
        <v>0</v>
      </c>
      <c r="D7046" s="5">
        <v>2450</v>
      </c>
      <c r="E7046" s="5">
        <v>198425</v>
      </c>
      <c r="F7046" s="4">
        <v>0</v>
      </c>
      <c r="G7046" s="5">
        <v>200</v>
      </c>
      <c r="H7046" s="5">
        <v>9225</v>
      </c>
      <c r="I7046" s="118">
        <f t="shared" si="2407"/>
        <v>4.6491117550711857E-2</v>
      </c>
      <c r="J7046" s="1151">
        <v>146531</v>
      </c>
      <c r="K7046" s="22">
        <v>2053.5</v>
      </c>
      <c r="L7046" s="6">
        <v>2103</v>
      </c>
      <c r="M7046" s="125">
        <f t="shared" si="2426"/>
        <v>49.5</v>
      </c>
      <c r="N7046" s="1162"/>
      <c r="O7046" s="1163"/>
      <c r="P7046" s="505">
        <v>16650</v>
      </c>
      <c r="W7046" s="285">
        <f>(P7046*Q7046)*(1+U7046)</f>
        <v>0</v>
      </c>
      <c r="X7046" s="443">
        <f t="shared" si="2428"/>
        <v>8.1081081081081088</v>
      </c>
    </row>
    <row r="7047" spans="1:24" ht="15" customHeight="1">
      <c r="A7047" s="1167">
        <v>45574</v>
      </c>
      <c r="B7047" s="4">
        <v>194375</v>
      </c>
      <c r="C7047" s="1168">
        <v>0</v>
      </c>
      <c r="D7047" s="5">
        <v>2450</v>
      </c>
      <c r="E7047" s="5">
        <v>196825</v>
      </c>
      <c r="F7047" s="4">
        <v>0</v>
      </c>
      <c r="G7047" s="5">
        <v>1600</v>
      </c>
      <c r="H7047" s="5">
        <v>10575</v>
      </c>
      <c r="I7047" s="118">
        <f t="shared" si="2407"/>
        <v>5.3727930903086502E-2</v>
      </c>
      <c r="J7047" s="963">
        <v>147215</v>
      </c>
      <c r="K7047" s="22">
        <v>2021</v>
      </c>
      <c r="L7047" s="6">
        <v>2070</v>
      </c>
      <c r="M7047" s="125">
        <f t="shared" si="2426"/>
        <v>49</v>
      </c>
      <c r="N7047" s="1162"/>
      <c r="O7047" s="1163"/>
      <c r="P7047" s="505">
        <v>16550</v>
      </c>
      <c r="Q7047" s="25">
        <f>190.91/1347.8</f>
        <v>0.1416456447544146</v>
      </c>
      <c r="W7047" s="285">
        <f>(P7047*Q7047)*(1+U7047)</f>
        <v>2344.2354206855616</v>
      </c>
      <c r="X7047" s="443">
        <f t="shared" si="2428"/>
        <v>8.1890153389411182</v>
      </c>
    </row>
    <row r="7048" spans="1:24" ht="15" customHeight="1">
      <c r="A7048" s="1169">
        <v>45575</v>
      </c>
      <c r="B7048" s="4">
        <v>194200</v>
      </c>
      <c r="C7048" s="1168">
        <v>0</v>
      </c>
      <c r="D7048" s="5">
        <v>2450</v>
      </c>
      <c r="E7048" s="5">
        <v>196650</v>
      </c>
      <c r="F7048" s="4">
        <v>0</v>
      </c>
      <c r="G7048" s="5">
        <v>175</v>
      </c>
      <c r="H7048" s="5">
        <v>10400</v>
      </c>
      <c r="I7048" s="118">
        <f t="shared" si="2407"/>
        <v>5.2885837782862953E-2</v>
      </c>
      <c r="J7048" s="963">
        <v>146804</v>
      </c>
      <c r="K7048" s="22">
        <v>2008</v>
      </c>
      <c r="L7048" s="6">
        <v>2055</v>
      </c>
      <c r="M7048" s="125">
        <f t="shared" si="2426"/>
        <v>47</v>
      </c>
      <c r="N7048" s="1162"/>
      <c r="O7048" s="1163"/>
      <c r="P7048" s="505">
        <v>16300</v>
      </c>
      <c r="Q7048" s="25">
        <f>190.78/1349.4</f>
        <v>0.14138135467615234</v>
      </c>
      <c r="W7048" s="285">
        <f>(P7048*Q7048)*(1+U7048)</f>
        <v>2304.516081221283</v>
      </c>
      <c r="X7048" s="443">
        <f t="shared" si="2428"/>
        <v>8.117529880478088</v>
      </c>
    </row>
    <row r="7049" spans="1:24" ht="15" customHeight="1">
      <c r="A7049" s="1170">
        <v>45576</v>
      </c>
      <c r="B7049" s="4">
        <v>193425</v>
      </c>
      <c r="C7049" s="1171">
        <v>0</v>
      </c>
      <c r="D7049" s="1171">
        <v>2450</v>
      </c>
      <c r="E7049" s="5">
        <v>195875</v>
      </c>
      <c r="F7049" s="4">
        <v>25</v>
      </c>
      <c r="G7049" s="5">
        <v>800</v>
      </c>
      <c r="H7049" s="5">
        <v>9600</v>
      </c>
      <c r="I7049" s="118">
        <f t="shared" si="2407"/>
        <v>4.9010848755583918E-2</v>
      </c>
      <c r="J7049" s="963">
        <v>149358</v>
      </c>
      <c r="K7049" s="22">
        <v>2047</v>
      </c>
      <c r="L7049" s="6">
        <v>2087</v>
      </c>
      <c r="M7049" s="125">
        <f t="shared" si="2426"/>
        <v>40</v>
      </c>
      <c r="N7049" s="1162"/>
      <c r="O7049" s="1163"/>
      <c r="P7049" s="505">
        <v>16350</v>
      </c>
      <c r="Q7049" s="25">
        <f>190.3/1348.6</f>
        <v>0.14110929853181078</v>
      </c>
      <c r="W7049" s="285">
        <f>(P7049*Q7049)*(1+U7049)</f>
        <v>2307.1370309951062</v>
      </c>
      <c r="X7049" s="443">
        <f t="shared" si="2428"/>
        <v>7.9872984855886662</v>
      </c>
    </row>
    <row r="7050" spans="1:24" ht="15" customHeight="1">
      <c r="A7050" s="1172">
        <v>45579</v>
      </c>
      <c r="B7050" s="4">
        <v>192850</v>
      </c>
      <c r="C7050" s="1171">
        <v>0</v>
      </c>
      <c r="D7050" s="1171">
        <v>2450</v>
      </c>
      <c r="E7050" s="1171">
        <v>195300</v>
      </c>
      <c r="F7050" s="4">
        <v>0</v>
      </c>
      <c r="G7050" s="1171">
        <v>575</v>
      </c>
      <c r="H7050" s="1171">
        <v>9025</v>
      </c>
      <c r="I7050" s="118">
        <f t="shared" ref="I7050:I7058" si="2429">H7050/E7050</f>
        <v>4.6210957501280084E-2</v>
      </c>
      <c r="J7050" s="1171">
        <v>151036</v>
      </c>
      <c r="K7050" s="22">
        <v>2008</v>
      </c>
      <c r="L7050" s="6">
        <v>2051</v>
      </c>
      <c r="M7050" s="125">
        <f t="shared" si="2426"/>
        <v>43</v>
      </c>
      <c r="N7050" s="1162"/>
      <c r="O7050" s="1163"/>
      <c r="P7050" s="505">
        <v>16425</v>
      </c>
      <c r="Q7050" s="25">
        <f>191.51/1354.9</f>
        <v>0.14134622481363937</v>
      </c>
      <c r="W7050" s="285">
        <f t="shared" ref="W7050:W7058" si="2430">(P7050*Q7050)*(1+U7050)</f>
        <v>2321.6117425640268</v>
      </c>
      <c r="X7050" s="443">
        <f t="shared" ref="X7050:X7058" si="2431">P7050/K7050</f>
        <v>8.1797808764940232</v>
      </c>
    </row>
    <row r="7051" spans="1:24" ht="15" customHeight="1">
      <c r="A7051" s="1172">
        <v>45580</v>
      </c>
      <c r="B7051" s="4">
        <v>191875</v>
      </c>
      <c r="C7051" s="1171">
        <v>0</v>
      </c>
      <c r="D7051" s="1171">
        <v>2425</v>
      </c>
      <c r="E7051" s="1171">
        <v>194300</v>
      </c>
      <c r="F7051" s="4">
        <v>0</v>
      </c>
      <c r="G7051" s="1171">
        <v>1000</v>
      </c>
      <c r="H7051" s="1171">
        <v>8025</v>
      </c>
      <c r="I7051" s="118">
        <f t="shared" si="2429"/>
        <v>4.1302110138960374E-2</v>
      </c>
      <c r="J7051" s="1171">
        <v>155194</v>
      </c>
      <c r="K7051" s="22">
        <v>1994</v>
      </c>
      <c r="L7051" s="6">
        <v>2041</v>
      </c>
      <c r="M7051" s="125">
        <f t="shared" si="2426"/>
        <v>47</v>
      </c>
      <c r="N7051" s="1162"/>
      <c r="O7051" s="1163"/>
      <c r="P7051" s="505">
        <v>16225</v>
      </c>
      <c r="Q7051" s="25">
        <f>191.34/1360.4</f>
        <v>0.14064980887974124</v>
      </c>
      <c r="W7051" s="285">
        <f t="shared" si="2430"/>
        <v>2282.0431490738015</v>
      </c>
      <c r="X7051" s="443">
        <f t="shared" si="2431"/>
        <v>8.1369107321965899</v>
      </c>
    </row>
    <row r="7052" spans="1:24" ht="15" customHeight="1">
      <c r="A7052" s="1172">
        <v>45581</v>
      </c>
      <c r="B7052" s="4">
        <v>192350</v>
      </c>
      <c r="C7052" s="1171">
        <v>0</v>
      </c>
      <c r="D7052" s="5">
        <v>2425</v>
      </c>
      <c r="E7052" s="5">
        <v>194775</v>
      </c>
      <c r="F7052" s="4">
        <v>700</v>
      </c>
      <c r="G7052" s="5">
        <v>225</v>
      </c>
      <c r="H7052" s="5">
        <v>8700</v>
      </c>
      <c r="I7052" s="118">
        <f t="shared" si="2429"/>
        <v>4.4666923373122835E-2</v>
      </c>
      <c r="J7052" s="963">
        <v>151393</v>
      </c>
      <c r="K7052" s="22">
        <v>2075</v>
      </c>
      <c r="L7052" s="6">
        <v>2110</v>
      </c>
      <c r="M7052" s="125">
        <f t="shared" si="2426"/>
        <v>35</v>
      </c>
      <c r="N7052" s="1162"/>
      <c r="O7052" s="1163"/>
      <c r="P7052" s="505">
        <v>16450</v>
      </c>
      <c r="Q7052" s="25">
        <f>191.22/1363.7</f>
        <v>0.14022145633203784</v>
      </c>
      <c r="W7052" s="285">
        <f t="shared" si="2430"/>
        <v>2306.6429566620222</v>
      </c>
      <c r="X7052" s="443">
        <f t="shared" si="2431"/>
        <v>7.927710843373494</v>
      </c>
    </row>
    <row r="7053" spans="1:24" ht="15" customHeight="1">
      <c r="A7053" s="1174">
        <v>45582</v>
      </c>
      <c r="B7053" s="4">
        <v>192050</v>
      </c>
      <c r="C7053" s="1173">
        <v>0</v>
      </c>
      <c r="D7053" s="5">
        <v>2425</v>
      </c>
      <c r="E7053" s="5">
        <v>194475</v>
      </c>
      <c r="F7053" s="4">
        <v>0</v>
      </c>
      <c r="G7053" s="5">
        <v>300</v>
      </c>
      <c r="H7053" s="5">
        <v>9800</v>
      </c>
      <c r="I7053" s="118">
        <f t="shared" si="2429"/>
        <v>5.0392081244375886E-2</v>
      </c>
      <c r="J7053" s="963">
        <v>148616</v>
      </c>
      <c r="K7053" s="22">
        <v>2038</v>
      </c>
      <c r="L7053" s="6">
        <v>2075</v>
      </c>
      <c r="M7053" s="125">
        <f t="shared" si="2426"/>
        <v>37</v>
      </c>
      <c r="N7053" s="1162"/>
      <c r="O7053" s="1163"/>
      <c r="P7053" s="505">
        <v>16450</v>
      </c>
      <c r="Q7053" s="25">
        <f>191.64/1366.5</f>
        <v>0.14024149286498352</v>
      </c>
      <c r="W7053" s="285">
        <f t="shared" si="2430"/>
        <v>2306.9725576289788</v>
      </c>
      <c r="X7053" s="443">
        <f t="shared" si="2431"/>
        <v>8.0716388616290473</v>
      </c>
    </row>
    <row r="7054" spans="1:24" ht="15" customHeight="1">
      <c r="A7054" s="1176">
        <v>45583</v>
      </c>
      <c r="B7054" s="4">
        <v>191325</v>
      </c>
      <c r="C7054" s="1175">
        <v>0</v>
      </c>
      <c r="D7054" s="5">
        <v>1000</v>
      </c>
      <c r="E7054" s="5">
        <v>194475</v>
      </c>
      <c r="F7054" s="4">
        <v>0</v>
      </c>
      <c r="G7054" s="5">
        <v>0</v>
      </c>
      <c r="H7054" s="5">
        <v>10550</v>
      </c>
      <c r="I7054" s="118">
        <f t="shared" si="2429"/>
        <v>5.4248618074302611E-2</v>
      </c>
      <c r="J7054" s="963">
        <v>148047</v>
      </c>
      <c r="K7054" s="22">
        <v>2034.5</v>
      </c>
      <c r="L7054" s="6">
        <v>2082</v>
      </c>
      <c r="M7054" s="125">
        <f t="shared" si="2426"/>
        <v>47.5</v>
      </c>
      <c r="N7054" s="1162"/>
      <c r="O7054" s="1163"/>
      <c r="P7054" s="505">
        <v>16350</v>
      </c>
      <c r="Q7054" s="25">
        <f>192.32/1371.1</f>
        <v>0.14026693895412443</v>
      </c>
      <c r="W7054" s="285">
        <f t="shared" si="2430"/>
        <v>2293.3644518999345</v>
      </c>
      <c r="X7054" s="443">
        <f t="shared" si="2431"/>
        <v>8.0363725731137876</v>
      </c>
    </row>
    <row r="7055" spans="1:24" ht="15" customHeight="1">
      <c r="A7055" s="1178">
        <v>45586</v>
      </c>
      <c r="B7055" s="4">
        <v>191050</v>
      </c>
      <c r="C7055" s="1177">
        <v>0</v>
      </c>
      <c r="D7055" s="5">
        <v>2325</v>
      </c>
      <c r="E7055" s="5">
        <v>193375</v>
      </c>
      <c r="F7055" s="4">
        <v>0</v>
      </c>
      <c r="G7055" s="5">
        <v>1100</v>
      </c>
      <c r="H7055" s="5">
        <v>9450</v>
      </c>
      <c r="I7055" s="118">
        <f t="shared" si="2429"/>
        <v>4.8868778280542986E-2</v>
      </c>
      <c r="J7055" s="963">
        <v>148182</v>
      </c>
      <c r="K7055" s="22">
        <v>2035</v>
      </c>
      <c r="L7055" s="6">
        <v>2075</v>
      </c>
      <c r="M7055" s="125">
        <f t="shared" si="2426"/>
        <v>40</v>
      </c>
      <c r="N7055" s="1162"/>
      <c r="O7055" s="1163"/>
      <c r="P7055" s="505">
        <v>16425</v>
      </c>
      <c r="Q7055" s="25">
        <f>192.51/1370.4</f>
        <v>0.1404772329246935</v>
      </c>
      <c r="W7055" s="285">
        <f t="shared" si="2430"/>
        <v>2307.3385507880907</v>
      </c>
      <c r="X7055" s="443">
        <f t="shared" si="2431"/>
        <v>8.0712530712530715</v>
      </c>
    </row>
    <row r="7056" spans="1:24" ht="15" customHeight="1">
      <c r="A7056" s="1180">
        <v>45587</v>
      </c>
      <c r="B7056" s="4">
        <v>190825</v>
      </c>
      <c r="C7056" s="1179">
        <v>0</v>
      </c>
      <c r="D7056" s="5">
        <v>2325</v>
      </c>
      <c r="E7056" s="5">
        <v>193150</v>
      </c>
      <c r="F7056" s="4">
        <v>0</v>
      </c>
      <c r="G7056" s="5">
        <v>225</v>
      </c>
      <c r="H7056" s="5">
        <v>9225</v>
      </c>
      <c r="I7056" s="118">
        <f t="shared" si="2429"/>
        <v>4.7760807662438516E-2</v>
      </c>
      <c r="J7056" s="963">
        <v>144845</v>
      </c>
      <c r="K7056" s="22">
        <v>2051</v>
      </c>
      <c r="L7056" s="6">
        <v>2085</v>
      </c>
      <c r="M7056" s="125">
        <f t="shared" si="2426"/>
        <v>34</v>
      </c>
      <c r="N7056" s="1162"/>
      <c r="O7056" s="1163"/>
      <c r="P7056" s="505">
        <v>16450</v>
      </c>
      <c r="Q7056" s="25">
        <f>193.46/1380.1</f>
        <v>0.1401782479530469</v>
      </c>
      <c r="W7056" s="285">
        <f t="shared" si="2430"/>
        <v>2305.9321788276216</v>
      </c>
      <c r="X7056" s="443">
        <f t="shared" si="2431"/>
        <v>8.0204778156996586</v>
      </c>
    </row>
    <row r="7057" spans="1:24" ht="15" customHeight="1">
      <c r="A7057" s="1182">
        <v>45588</v>
      </c>
      <c r="B7057" s="4">
        <v>190150</v>
      </c>
      <c r="C7057" s="1181">
        <v>0</v>
      </c>
      <c r="D7057" s="5">
        <v>2325</v>
      </c>
      <c r="E7057" s="5">
        <v>192475</v>
      </c>
      <c r="F7057" s="4">
        <v>0</v>
      </c>
      <c r="G7057" s="5">
        <v>675</v>
      </c>
      <c r="H7057" s="5">
        <v>8550</v>
      </c>
      <c r="I7057" s="118">
        <f t="shared" si="2429"/>
        <v>4.4421353422522403E-2</v>
      </c>
      <c r="J7057" s="963">
        <v>141270</v>
      </c>
      <c r="K7057" s="22">
        <v>2019</v>
      </c>
      <c r="L7057" s="6">
        <v>2056</v>
      </c>
      <c r="M7057" s="125">
        <f t="shared" si="2426"/>
        <v>37</v>
      </c>
      <c r="N7057" s="1162"/>
      <c r="O7057" s="1163"/>
      <c r="P7057" s="505">
        <v>16450</v>
      </c>
      <c r="Q7057" s="25">
        <f>193.54/1382</f>
        <v>0.14004341534008682</v>
      </c>
      <c r="W7057" s="285">
        <f t="shared" si="2430"/>
        <v>2303.7141823444281</v>
      </c>
      <c r="X7057" s="443">
        <f t="shared" si="2431"/>
        <v>8.147597820703318</v>
      </c>
    </row>
    <row r="7058" spans="1:24" ht="15" customHeight="1">
      <c r="A7058" s="1184">
        <v>45589</v>
      </c>
      <c r="B7058" s="4">
        <v>188800</v>
      </c>
      <c r="C7058" s="1183">
        <v>0</v>
      </c>
      <c r="D7058" s="5">
        <v>2325</v>
      </c>
      <c r="E7058" s="5">
        <v>191125</v>
      </c>
      <c r="F7058" s="4">
        <v>0</v>
      </c>
      <c r="G7058" s="5">
        <v>1350</v>
      </c>
      <c r="H7058" s="5">
        <v>9050</v>
      </c>
      <c r="I7058" s="118">
        <f t="shared" si="2429"/>
        <v>4.7351209941137999E-2</v>
      </c>
      <c r="J7058" s="963">
        <v>139640</v>
      </c>
      <c r="K7058" s="22">
        <v>2039</v>
      </c>
      <c r="L7058" s="6">
        <v>2074</v>
      </c>
      <c r="M7058" s="125">
        <f t="shared" si="2426"/>
        <v>35</v>
      </c>
      <c r="N7058" s="1162"/>
      <c r="O7058" s="1163"/>
      <c r="P7058" s="505">
        <v>16475</v>
      </c>
      <c r="Q7058" s="25">
        <f>193.66/1380.5</f>
        <v>0.14028250633828324</v>
      </c>
      <c r="W7058" s="285">
        <f t="shared" si="2430"/>
        <v>2311.1542919232165</v>
      </c>
      <c r="X7058" s="443">
        <f t="shared" si="2431"/>
        <v>8.0799411476213834</v>
      </c>
    </row>
    <row r="7059" spans="1:24" ht="15" customHeight="1">
      <c r="A7059" s="1189">
        <v>45590</v>
      </c>
      <c r="B7059" s="4">
        <v>187425</v>
      </c>
      <c r="C7059" s="1188">
        <v>0</v>
      </c>
      <c r="D7059" s="1188">
        <v>7075</v>
      </c>
      <c r="E7059" s="1188">
        <v>190475</v>
      </c>
      <c r="F7059" s="4">
        <v>0</v>
      </c>
      <c r="G7059" s="1188">
        <v>650</v>
      </c>
      <c r="H7059" s="1188">
        <v>9575</v>
      </c>
      <c r="I7059" s="118">
        <f t="shared" ref="I7059:I7060" si="2432">H7059/E7059</f>
        <v>5.0269064181651134E-2</v>
      </c>
      <c r="J7059" s="1188">
        <v>139810</v>
      </c>
      <c r="K7059" s="22">
        <v>2021</v>
      </c>
      <c r="L7059" s="6">
        <v>2054</v>
      </c>
      <c r="M7059" s="125">
        <f t="shared" ref="M7059:M7060" si="2433">L7059-K7059</f>
        <v>33</v>
      </c>
      <c r="N7059" s="1162"/>
      <c r="O7059" s="1163"/>
      <c r="P7059" s="505">
        <v>16500</v>
      </c>
      <c r="Q7059" s="25">
        <f>194.43/1384.4</f>
        <v>0.14044351343542327</v>
      </c>
      <c r="W7059" s="285">
        <f t="shared" ref="W7059:W7060" si="2434">(P7059*Q7059)*(1+U7059)</f>
        <v>2317.3179716844838</v>
      </c>
      <c r="X7059" s="443">
        <f t="shared" ref="X7059:X7060" si="2435">P7059/K7059</f>
        <v>8.1642751113310243</v>
      </c>
    </row>
    <row r="7060" spans="1:24" ht="15" customHeight="1">
      <c r="A7060" s="1311">
        <v>45593</v>
      </c>
      <c r="B7060" s="4">
        <v>187850</v>
      </c>
      <c r="C7060" s="1310">
        <v>0</v>
      </c>
      <c r="D7060" s="5">
        <v>7075</v>
      </c>
      <c r="E7060" s="5">
        <v>190175</v>
      </c>
      <c r="F7060" s="4">
        <v>0</v>
      </c>
      <c r="G7060" s="5">
        <v>300</v>
      </c>
      <c r="H7060" s="5">
        <v>11825</v>
      </c>
      <c r="I7060" s="118">
        <f t="shared" si="2432"/>
        <v>6.2179571447351124E-2</v>
      </c>
      <c r="J7060" s="963">
        <v>140125</v>
      </c>
      <c r="K7060" s="22">
        <v>1990</v>
      </c>
      <c r="L7060" s="6">
        <v>2027</v>
      </c>
      <c r="M7060" s="125">
        <f t="shared" si="2433"/>
        <v>37</v>
      </c>
      <c r="N7060" s="448">
        <f>AVERAGE($K$7041:K7060)</f>
        <v>2045.5</v>
      </c>
      <c r="O7060" s="395">
        <f>AVERAGE($K$6837:K7060)</f>
        <v>2090.0142857142855</v>
      </c>
      <c r="P7060" s="505">
        <v>16500</v>
      </c>
      <c r="Q7060" s="25">
        <f>194.17/1387</f>
        <v>0.13999279019466473</v>
      </c>
      <c r="W7060" s="285">
        <f t="shared" si="2434"/>
        <v>2309.8810382119682</v>
      </c>
      <c r="X7060" s="443">
        <f t="shared" si="2435"/>
        <v>8.291457286432161</v>
      </c>
    </row>
    <row r="7061" spans="1:24" ht="15" customHeight="1">
      <c r="J7061" s="963"/>
    </row>
    <row r="7062" spans="1:24" ht="15" customHeight="1">
      <c r="J7062" s="963"/>
    </row>
    <row r="7063" spans="1:24" ht="15" customHeight="1">
      <c r="J7063" s="963"/>
    </row>
    <row r="7064" spans="1:24" ht="15" customHeight="1">
      <c r="J7064" s="963"/>
    </row>
    <row r="7065" spans="1:24" ht="15" customHeight="1">
      <c r="J7065" s="963"/>
    </row>
    <row r="7066" spans="1:24" ht="15" customHeight="1">
      <c r="J7066" s="963"/>
    </row>
    <row r="7067" spans="1:24" ht="15" customHeight="1">
      <c r="J7067" s="963"/>
    </row>
    <row r="7068" spans="1:24" ht="15" customHeight="1">
      <c r="J7068" s="963"/>
    </row>
    <row r="7069" spans="1:24" ht="15" customHeight="1">
      <c r="J7069" s="963"/>
    </row>
    <row r="7070" spans="1:24" ht="15" customHeight="1">
      <c r="J7070" s="963"/>
    </row>
    <row r="7071" spans="1:24" ht="15" customHeight="1">
      <c r="J7071" s="963"/>
    </row>
    <row r="7072" spans="1:24" ht="15" customHeight="1">
      <c r="J7072" s="963"/>
    </row>
    <row r="7073" spans="10:10" ht="15" customHeight="1">
      <c r="J7073" s="963"/>
    </row>
    <row r="7074" spans="10:10" ht="15" customHeight="1">
      <c r="J7074" s="963"/>
    </row>
    <row r="7075" spans="10:10" ht="15" customHeight="1">
      <c r="J7075" s="963"/>
    </row>
    <row r="7076" spans="10:10" ht="15" customHeight="1">
      <c r="J7076" s="963"/>
    </row>
    <row r="7077" spans="10:10" ht="15" customHeight="1">
      <c r="J7077" s="963"/>
    </row>
    <row r="7078" spans="10:10" ht="15" customHeight="1">
      <c r="J7078" s="963"/>
    </row>
    <row r="7079" spans="10:10" ht="15" customHeight="1">
      <c r="J7079" s="963"/>
    </row>
    <row r="7080" spans="10:10" ht="15" customHeight="1">
      <c r="J7080" s="963"/>
    </row>
    <row r="7081" spans="10:10" ht="15" customHeight="1">
      <c r="J7081" s="963"/>
    </row>
    <row r="7082" spans="10:10" ht="15" customHeight="1">
      <c r="J7082" s="963"/>
    </row>
    <row r="7083" spans="10:10" ht="15" customHeight="1">
      <c r="J7083" s="963"/>
    </row>
    <row r="7084" spans="10:10" ht="15" customHeight="1">
      <c r="J7084" s="963"/>
    </row>
    <row r="7085" spans="10:10" ht="15" customHeight="1">
      <c r="J7085" s="963"/>
    </row>
    <row r="7086" spans="10:10" ht="15" customHeight="1">
      <c r="J7086" s="963"/>
    </row>
    <row r="7087" spans="10:10" ht="15" customHeight="1">
      <c r="J7087" s="963"/>
    </row>
    <row r="7088" spans="10:10" ht="15" customHeight="1">
      <c r="J7088" s="963"/>
    </row>
    <row r="7089" spans="10:10" ht="15" customHeight="1">
      <c r="J7089" s="963"/>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8"/>
  <sheetViews>
    <sheetView zoomScale="115" zoomScaleNormal="115" workbookViewId="0">
      <pane xSplit="1" ySplit="2" topLeftCell="B4260" activePane="bottomRight" state="frozen"/>
      <selection pane="topRight" activeCell="B1" sqref="B1"/>
      <selection pane="bottomLeft" activeCell="A3" sqref="A3"/>
      <selection pane="bottomRight" activeCell="D4268" sqref="D4268"/>
    </sheetView>
  </sheetViews>
  <sheetFormatPr defaultColWidth="8.8984375" defaultRowHeight="15" customHeight="1"/>
  <cols>
    <col min="1" max="1" width="10.3984375" style="335" customWidth="1"/>
    <col min="2" max="2" width="9.296875" style="336" customWidth="1"/>
    <col min="3" max="3" width="9.3984375" style="336" customWidth="1"/>
    <col min="4" max="4" width="8" style="337" customWidth="1"/>
    <col min="5" max="6" width="9.59765625" style="338" customWidth="1"/>
    <col min="7" max="7" width="9.19921875" style="339" hidden="1" customWidth="1"/>
    <col min="8" max="8" width="8" style="329" hidden="1" customWidth="1"/>
    <col min="9" max="9" width="9.19921875" style="330" hidden="1" customWidth="1"/>
    <col min="10" max="16384" width="8.8984375" style="331"/>
  </cols>
  <sheetData>
    <row r="1" spans="1:9" ht="15" customHeight="1">
      <c r="A1" s="1421" t="s">
        <v>64</v>
      </c>
      <c r="B1" s="1421"/>
      <c r="C1" s="1421"/>
      <c r="D1" s="1421"/>
      <c r="E1" s="1421"/>
      <c r="F1" s="1421"/>
      <c r="G1" s="1421"/>
    </row>
    <row r="2" spans="1:9" s="334" customFormat="1" ht="15" customHeight="1">
      <c r="A2" s="1194" t="s">
        <v>0</v>
      </c>
      <c r="B2" s="1195" t="s">
        <v>65</v>
      </c>
      <c r="C2" s="1195" t="s">
        <v>66</v>
      </c>
      <c r="D2" s="1195" t="s">
        <v>67</v>
      </c>
      <c r="E2" s="1196" t="s">
        <v>68</v>
      </c>
      <c r="F2" s="1196" t="s">
        <v>69</v>
      </c>
      <c r="G2" s="333" t="s">
        <v>70</v>
      </c>
      <c r="H2" s="334" t="s">
        <v>71</v>
      </c>
      <c r="I2" s="332" t="s">
        <v>72</v>
      </c>
    </row>
    <row r="3" spans="1:9" ht="15" customHeight="1">
      <c r="A3" s="335">
        <v>39084</v>
      </c>
      <c r="C3" s="337"/>
      <c r="D3" s="337">
        <v>5350</v>
      </c>
    </row>
    <row r="4" spans="1:9" ht="15" customHeight="1">
      <c r="A4" s="335">
        <v>39085</v>
      </c>
      <c r="C4" s="337"/>
      <c r="D4" s="337">
        <v>5350</v>
      </c>
    </row>
    <row r="5" spans="1:9" ht="15" customHeight="1">
      <c r="A5" s="335">
        <v>39086</v>
      </c>
      <c r="C5" s="337"/>
      <c r="D5" s="337">
        <v>5350</v>
      </c>
    </row>
    <row r="6" spans="1:9" ht="15" customHeight="1">
      <c r="A6" s="335">
        <v>39087</v>
      </c>
      <c r="C6" s="337"/>
      <c r="D6" s="337">
        <v>5350</v>
      </c>
    </row>
    <row r="7" spans="1:9" ht="15" customHeight="1">
      <c r="A7" s="335">
        <v>39090</v>
      </c>
      <c r="C7" s="337"/>
      <c r="D7" s="337">
        <v>5350</v>
      </c>
    </row>
    <row r="8" spans="1:9" ht="15" customHeight="1">
      <c r="A8" s="335">
        <v>39091</v>
      </c>
      <c r="C8" s="337"/>
      <c r="D8" s="337">
        <v>5350</v>
      </c>
    </row>
    <row r="9" spans="1:9" ht="15" customHeight="1">
      <c r="A9" s="335">
        <v>39092</v>
      </c>
      <c r="C9" s="337"/>
      <c r="D9" s="337">
        <v>5350</v>
      </c>
    </row>
    <row r="10" spans="1:9" ht="15" customHeight="1">
      <c r="A10" s="335">
        <v>39093</v>
      </c>
      <c r="C10" s="337"/>
      <c r="D10" s="337">
        <v>5350</v>
      </c>
    </row>
    <row r="11" spans="1:9" ht="15" customHeight="1">
      <c r="A11" s="335">
        <v>39094</v>
      </c>
      <c r="C11" s="337"/>
      <c r="D11" s="337">
        <v>5350</v>
      </c>
    </row>
    <row r="12" spans="1:9" ht="15" customHeight="1">
      <c r="A12" s="335">
        <v>39097</v>
      </c>
      <c r="C12" s="337"/>
      <c r="D12" s="337">
        <v>5350</v>
      </c>
    </row>
    <row r="13" spans="1:9" ht="15" customHeight="1">
      <c r="A13" s="335">
        <v>39098</v>
      </c>
      <c r="C13" s="337"/>
      <c r="D13" s="337">
        <v>5350</v>
      </c>
    </row>
    <row r="14" spans="1:9" ht="15" customHeight="1">
      <c r="A14" s="335">
        <v>39099</v>
      </c>
      <c r="C14" s="337"/>
      <c r="D14" s="337">
        <v>5350</v>
      </c>
    </row>
    <row r="15" spans="1:9" ht="15" customHeight="1">
      <c r="A15" s="335">
        <v>39100</v>
      </c>
      <c r="C15" s="337"/>
      <c r="D15" s="337">
        <v>5350</v>
      </c>
    </row>
    <row r="16" spans="1:9" ht="15" customHeight="1">
      <c r="A16" s="335">
        <v>39101</v>
      </c>
      <c r="C16" s="337"/>
      <c r="D16" s="337">
        <v>5350</v>
      </c>
    </row>
    <row r="17" spans="1:7" ht="15" customHeight="1">
      <c r="A17" s="335">
        <v>39104</v>
      </c>
      <c r="C17" s="337"/>
      <c r="D17" s="337">
        <v>5350</v>
      </c>
    </row>
    <row r="18" spans="1:7" ht="15" customHeight="1">
      <c r="A18" s="335">
        <v>39105</v>
      </c>
      <c r="C18" s="337"/>
      <c r="D18" s="337">
        <v>5350</v>
      </c>
    </row>
    <row r="19" spans="1:7" ht="15" customHeight="1">
      <c r="A19" s="335">
        <v>39106</v>
      </c>
      <c r="C19" s="337"/>
      <c r="D19" s="337">
        <v>5350</v>
      </c>
    </row>
    <row r="20" spans="1:7" ht="15" customHeight="1">
      <c r="A20" s="335">
        <v>39107</v>
      </c>
      <c r="C20" s="337"/>
      <c r="D20" s="337">
        <v>5350</v>
      </c>
    </row>
    <row r="21" spans="1:7" ht="15" customHeight="1" thickBot="1">
      <c r="A21" s="340">
        <v>39108</v>
      </c>
      <c r="B21" s="341"/>
      <c r="C21" s="342"/>
      <c r="D21" s="342">
        <v>5350</v>
      </c>
      <c r="E21" s="343">
        <f>AVERAGE(D3:D21)</f>
        <v>5350</v>
      </c>
      <c r="F21" s="343"/>
      <c r="G21" s="344"/>
    </row>
    <row r="22" spans="1:7" ht="15" customHeight="1">
      <c r="A22" s="335">
        <v>39114</v>
      </c>
      <c r="B22" s="345"/>
      <c r="C22" s="346"/>
      <c r="D22" s="346">
        <v>5350</v>
      </c>
    </row>
    <row r="23" spans="1:7" ht="15" customHeight="1">
      <c r="A23" s="335">
        <v>39115</v>
      </c>
      <c r="C23" s="337"/>
      <c r="D23" s="337">
        <v>5350</v>
      </c>
    </row>
    <row r="24" spans="1:7" ht="15" customHeight="1">
      <c r="A24" s="335">
        <v>39118</v>
      </c>
      <c r="C24" s="337"/>
      <c r="D24" s="337">
        <v>5350</v>
      </c>
    </row>
    <row r="25" spans="1:7" ht="15" customHeight="1">
      <c r="A25" s="335">
        <v>39119</v>
      </c>
      <c r="C25" s="337"/>
      <c r="D25" s="337">
        <v>5350</v>
      </c>
    </row>
    <row r="26" spans="1:7" ht="15" customHeight="1">
      <c r="A26" s="335">
        <v>39120</v>
      </c>
      <c r="C26" s="337"/>
      <c r="D26" s="337">
        <v>5350</v>
      </c>
    </row>
    <row r="27" spans="1:7" ht="15" customHeight="1">
      <c r="A27" s="335">
        <v>39121</v>
      </c>
      <c r="C27" s="337"/>
      <c r="D27" s="337">
        <v>5350</v>
      </c>
    </row>
    <row r="28" spans="1:7" ht="15" customHeight="1">
      <c r="A28" s="335">
        <v>39122</v>
      </c>
      <c r="C28" s="337"/>
      <c r="D28" s="337">
        <v>5350</v>
      </c>
    </row>
    <row r="29" spans="1:7" ht="15" customHeight="1">
      <c r="A29" s="335">
        <v>39125</v>
      </c>
      <c r="C29" s="337"/>
      <c r="D29" s="337">
        <v>5350</v>
      </c>
    </row>
    <row r="30" spans="1:7" ht="15" customHeight="1">
      <c r="A30" s="335">
        <v>39126</v>
      </c>
      <c r="C30" s="337"/>
      <c r="D30" s="337">
        <v>5350</v>
      </c>
    </row>
    <row r="31" spans="1:7" ht="15" customHeight="1">
      <c r="A31" s="335">
        <v>39127</v>
      </c>
      <c r="C31" s="337"/>
      <c r="D31" s="337">
        <v>5350</v>
      </c>
    </row>
    <row r="32" spans="1:7" ht="15" customHeight="1">
      <c r="A32" s="335">
        <v>39128</v>
      </c>
      <c r="C32" s="337"/>
      <c r="D32" s="337">
        <v>5350</v>
      </c>
    </row>
    <row r="33" spans="1:6" ht="15" customHeight="1">
      <c r="A33" s="335">
        <v>39129</v>
      </c>
      <c r="C33" s="337"/>
      <c r="D33" s="337">
        <v>5350</v>
      </c>
    </row>
    <row r="34" spans="1:6" ht="15" customHeight="1">
      <c r="A34" s="335">
        <v>39132</v>
      </c>
      <c r="C34" s="337"/>
      <c r="D34" s="337">
        <v>5350</v>
      </c>
    </row>
    <row r="35" spans="1:6" ht="15" customHeight="1">
      <c r="A35" s="335">
        <v>39133</v>
      </c>
      <c r="C35" s="337"/>
      <c r="D35" s="337">
        <v>5350</v>
      </c>
    </row>
    <row r="36" spans="1:6" ht="15" customHeight="1">
      <c r="A36" s="335">
        <v>39134</v>
      </c>
      <c r="C36" s="337"/>
      <c r="D36" s="337">
        <v>5350</v>
      </c>
    </row>
    <row r="37" spans="1:6" ht="15" customHeight="1">
      <c r="A37" s="335">
        <v>39135</v>
      </c>
      <c r="C37" s="337"/>
      <c r="D37" s="337">
        <v>5350</v>
      </c>
    </row>
    <row r="38" spans="1:6" ht="15" customHeight="1">
      <c r="A38" s="335">
        <v>39136</v>
      </c>
      <c r="C38" s="337"/>
      <c r="D38" s="337">
        <v>5450</v>
      </c>
    </row>
    <row r="39" spans="1:6" ht="15" customHeight="1">
      <c r="A39" s="335">
        <v>39139</v>
      </c>
      <c r="C39" s="337"/>
      <c r="D39" s="337">
        <v>5450</v>
      </c>
    </row>
    <row r="40" spans="1:6" ht="15" customHeight="1">
      <c r="A40" s="335">
        <v>39140</v>
      </c>
      <c r="C40" s="337"/>
      <c r="D40" s="337">
        <v>5450</v>
      </c>
    </row>
    <row r="41" spans="1:6" ht="15" customHeight="1" thickBot="1">
      <c r="A41" s="340">
        <v>39141</v>
      </c>
      <c r="B41" s="341"/>
      <c r="C41" s="342"/>
      <c r="D41" s="342">
        <v>5450</v>
      </c>
      <c r="E41" s="343">
        <f>AVERAGE(D22:D41)</f>
        <v>5370</v>
      </c>
      <c r="F41" s="347"/>
    </row>
    <row r="42" spans="1:6" ht="15" customHeight="1">
      <c r="A42" s="335">
        <v>39142</v>
      </c>
      <c r="B42" s="345"/>
      <c r="C42" s="346"/>
      <c r="D42" s="346">
        <v>5450</v>
      </c>
      <c r="E42" s="347"/>
      <c r="F42" s="347"/>
    </row>
    <row r="43" spans="1:6" ht="15" customHeight="1">
      <c r="A43" s="335">
        <v>39143</v>
      </c>
      <c r="C43" s="337"/>
      <c r="D43" s="337">
        <v>5450</v>
      </c>
    </row>
    <row r="44" spans="1:6" ht="15" customHeight="1">
      <c r="A44" s="335">
        <v>39146</v>
      </c>
      <c r="C44" s="337"/>
      <c r="D44" s="337">
        <v>5450</v>
      </c>
    </row>
    <row r="45" spans="1:6" ht="15" customHeight="1">
      <c r="A45" s="335">
        <v>39147</v>
      </c>
      <c r="C45" s="337"/>
      <c r="D45" s="337">
        <v>5450</v>
      </c>
    </row>
    <row r="46" spans="1:6" ht="15" customHeight="1">
      <c r="A46" s="335">
        <v>39148</v>
      </c>
      <c r="C46" s="337"/>
      <c r="D46" s="337">
        <v>5450</v>
      </c>
    </row>
    <row r="47" spans="1:6" ht="15" customHeight="1">
      <c r="A47" s="335">
        <v>39149</v>
      </c>
      <c r="C47" s="337"/>
      <c r="D47" s="337">
        <v>5450</v>
      </c>
    </row>
    <row r="48" spans="1:6" ht="15" customHeight="1">
      <c r="A48" s="335">
        <v>39150</v>
      </c>
      <c r="C48" s="337"/>
      <c r="D48" s="337">
        <v>5450</v>
      </c>
    </row>
    <row r="49" spans="1:7" ht="15" customHeight="1">
      <c r="A49" s="335">
        <v>39153</v>
      </c>
      <c r="C49" s="337"/>
      <c r="D49" s="337">
        <v>5450</v>
      </c>
    </row>
    <row r="50" spans="1:7" ht="15" customHeight="1">
      <c r="A50" s="335">
        <v>39154</v>
      </c>
      <c r="C50" s="337"/>
      <c r="D50" s="337">
        <v>5475</v>
      </c>
    </row>
    <row r="51" spans="1:7" ht="15" customHeight="1">
      <c r="A51" s="335">
        <v>39155</v>
      </c>
      <c r="C51" s="337"/>
      <c r="D51" s="337">
        <v>5475</v>
      </c>
    </row>
    <row r="52" spans="1:7" ht="15" customHeight="1">
      <c r="A52" s="335">
        <v>39156</v>
      </c>
      <c r="C52" s="337"/>
      <c r="D52" s="337">
        <v>5475</v>
      </c>
    </row>
    <row r="53" spans="1:7" ht="15" customHeight="1">
      <c r="A53" s="335">
        <v>39157</v>
      </c>
      <c r="C53" s="337"/>
      <c r="D53" s="337">
        <v>5475</v>
      </c>
    </row>
    <row r="54" spans="1:7" ht="15" customHeight="1">
      <c r="A54" s="335">
        <v>39160</v>
      </c>
      <c r="C54" s="337"/>
      <c r="D54" s="337">
        <v>5475</v>
      </c>
    </row>
    <row r="55" spans="1:7" ht="15" customHeight="1">
      <c r="A55" s="335">
        <v>39161</v>
      </c>
      <c r="C55" s="337"/>
      <c r="D55" s="337">
        <v>5475</v>
      </c>
    </row>
    <row r="56" spans="1:7" ht="15" customHeight="1">
      <c r="A56" s="335">
        <v>39162</v>
      </c>
      <c r="C56" s="337"/>
      <c r="D56" s="337">
        <v>5475</v>
      </c>
    </row>
    <row r="57" spans="1:7" ht="15" customHeight="1">
      <c r="A57" s="335">
        <v>39163</v>
      </c>
      <c r="C57" s="337"/>
      <c r="D57" s="337">
        <v>5475</v>
      </c>
    </row>
    <row r="58" spans="1:7" ht="15" customHeight="1">
      <c r="A58" s="335">
        <v>39164</v>
      </c>
      <c r="C58" s="337"/>
      <c r="D58" s="337">
        <v>5510</v>
      </c>
    </row>
    <row r="59" spans="1:7" ht="15" customHeight="1">
      <c r="A59" s="335">
        <v>39167</v>
      </c>
      <c r="C59" s="337"/>
      <c r="D59" s="337">
        <v>5510</v>
      </c>
    </row>
    <row r="60" spans="1:7" ht="15" customHeight="1">
      <c r="A60" s="335">
        <v>39168</v>
      </c>
      <c r="C60" s="337"/>
      <c r="D60" s="337">
        <v>5510</v>
      </c>
    </row>
    <row r="61" spans="1:7" ht="15" customHeight="1">
      <c r="A61" s="335">
        <v>39169</v>
      </c>
      <c r="C61" s="337"/>
      <c r="D61" s="337">
        <v>5510</v>
      </c>
    </row>
    <row r="62" spans="1:7" ht="15" customHeight="1">
      <c r="A62" s="335">
        <v>39170</v>
      </c>
      <c r="C62" s="337"/>
      <c r="D62" s="337">
        <v>5510</v>
      </c>
    </row>
    <row r="63" spans="1:7" ht="15" customHeight="1" thickBot="1">
      <c r="A63" s="340">
        <v>39171</v>
      </c>
      <c r="B63" s="341"/>
      <c r="C63" s="342"/>
      <c r="D63" s="342">
        <v>5510</v>
      </c>
      <c r="E63" s="343">
        <f>AVERAGE(D42:D63)</f>
        <v>5475.454545454545</v>
      </c>
      <c r="F63" s="343"/>
      <c r="G63" s="344">
        <f>AVERAGE(D3:D63)</f>
        <v>5401.8032786885242</v>
      </c>
    </row>
    <row r="64" spans="1:7" ht="15" customHeight="1">
      <c r="A64" s="335">
        <v>39174</v>
      </c>
      <c r="B64" s="345">
        <v>5470</v>
      </c>
      <c r="C64" s="345">
        <v>5550</v>
      </c>
      <c r="D64" s="346">
        <f>AVERAGE(B64:C64)</f>
        <v>5510</v>
      </c>
    </row>
    <row r="65" spans="1:4" ht="15" customHeight="1">
      <c r="A65" s="335">
        <v>39175</v>
      </c>
      <c r="B65" s="345">
        <v>5470</v>
      </c>
      <c r="C65" s="345">
        <v>5550</v>
      </c>
      <c r="D65" s="346">
        <f>AVERAGE(B65:C65)</f>
        <v>5510</v>
      </c>
    </row>
    <row r="66" spans="1:4" ht="15" customHeight="1">
      <c r="A66" s="335">
        <v>39176</v>
      </c>
      <c r="B66" s="345">
        <v>5470</v>
      </c>
      <c r="C66" s="345">
        <v>5550</v>
      </c>
      <c r="D66" s="346">
        <f>AVERAGE(B66:C66)</f>
        <v>5510</v>
      </c>
    </row>
    <row r="67" spans="1:4" ht="15" customHeight="1">
      <c r="A67" s="335">
        <v>39177</v>
      </c>
      <c r="B67" s="345">
        <v>5470</v>
      </c>
      <c r="C67" s="345">
        <v>5550</v>
      </c>
      <c r="D67" s="346">
        <f>AVERAGE(B67:C67)</f>
        <v>5510</v>
      </c>
    </row>
    <row r="68" spans="1:4" ht="15" customHeight="1">
      <c r="A68" s="335">
        <v>39178</v>
      </c>
      <c r="B68" s="1422" t="s">
        <v>73</v>
      </c>
      <c r="C68" s="1422"/>
      <c r="D68" s="1422"/>
    </row>
    <row r="69" spans="1:4" ht="15" customHeight="1">
      <c r="A69" s="335">
        <v>39181</v>
      </c>
      <c r="B69" s="1422"/>
      <c r="C69" s="1422"/>
      <c r="D69" s="1422"/>
    </row>
    <row r="70" spans="1:4" ht="15" customHeight="1">
      <c r="A70" s="335">
        <v>39182</v>
      </c>
      <c r="B70" s="345">
        <v>5470</v>
      </c>
      <c r="C70" s="345">
        <v>5550</v>
      </c>
      <c r="D70" s="346">
        <f t="shared" ref="D70:D102" si="0">AVERAGE(B70:C70)</f>
        <v>5510</v>
      </c>
    </row>
    <row r="71" spans="1:4" ht="15" customHeight="1">
      <c r="A71" s="335">
        <v>39183</v>
      </c>
      <c r="B71" s="345">
        <v>5470</v>
      </c>
      <c r="C71" s="345">
        <v>5550</v>
      </c>
      <c r="D71" s="346">
        <f t="shared" si="0"/>
        <v>5510</v>
      </c>
    </row>
    <row r="72" spans="1:4" ht="15" customHeight="1">
      <c r="A72" s="335">
        <v>39184</v>
      </c>
      <c r="B72" s="345">
        <v>5470</v>
      </c>
      <c r="C72" s="345">
        <v>5550</v>
      </c>
      <c r="D72" s="346">
        <f t="shared" si="0"/>
        <v>5510</v>
      </c>
    </row>
    <row r="73" spans="1:4" ht="15" customHeight="1">
      <c r="A73" s="335">
        <v>39185</v>
      </c>
      <c r="B73" s="345">
        <v>5470</v>
      </c>
      <c r="C73" s="345">
        <v>5550</v>
      </c>
      <c r="D73" s="346">
        <f t="shared" si="0"/>
        <v>5510</v>
      </c>
    </row>
    <row r="74" spans="1:4" ht="15" customHeight="1">
      <c r="A74" s="335">
        <v>39188</v>
      </c>
      <c r="B74" s="345">
        <v>5470</v>
      </c>
      <c r="C74" s="345">
        <v>5550</v>
      </c>
      <c r="D74" s="346">
        <f t="shared" si="0"/>
        <v>5510</v>
      </c>
    </row>
    <row r="75" spans="1:4" ht="15" customHeight="1">
      <c r="A75" s="335">
        <v>39189</v>
      </c>
      <c r="B75" s="345">
        <v>5470</v>
      </c>
      <c r="C75" s="345">
        <v>5550</v>
      </c>
      <c r="D75" s="346">
        <f t="shared" si="0"/>
        <v>5510</v>
      </c>
    </row>
    <row r="76" spans="1:4" ht="15" customHeight="1">
      <c r="A76" s="335">
        <v>39190</v>
      </c>
      <c r="B76" s="345">
        <v>5470</v>
      </c>
      <c r="C76" s="345">
        <v>5550</v>
      </c>
      <c r="D76" s="346">
        <f t="shared" si="0"/>
        <v>5510</v>
      </c>
    </row>
    <row r="77" spans="1:4" ht="15" customHeight="1">
      <c r="A77" s="335">
        <v>39191</v>
      </c>
      <c r="B77" s="345">
        <v>5470</v>
      </c>
      <c r="C77" s="345">
        <v>5550</v>
      </c>
      <c r="D77" s="346">
        <f t="shared" si="0"/>
        <v>5510</v>
      </c>
    </row>
    <row r="78" spans="1:4" ht="15" customHeight="1">
      <c r="A78" s="335">
        <v>39192</v>
      </c>
      <c r="B78" s="345">
        <v>5470</v>
      </c>
      <c r="C78" s="345">
        <v>5550</v>
      </c>
      <c r="D78" s="346">
        <f t="shared" si="0"/>
        <v>5510</v>
      </c>
    </row>
    <row r="79" spans="1:4" ht="15" customHeight="1">
      <c r="A79" s="335">
        <v>39195</v>
      </c>
      <c r="B79" s="345">
        <v>5470</v>
      </c>
      <c r="C79" s="345">
        <v>5550</v>
      </c>
      <c r="D79" s="346">
        <f t="shared" si="0"/>
        <v>5510</v>
      </c>
    </row>
    <row r="80" spans="1:4" ht="15" customHeight="1">
      <c r="A80" s="335">
        <v>39196</v>
      </c>
      <c r="B80" s="345">
        <v>5470</v>
      </c>
      <c r="C80" s="345">
        <v>5550</v>
      </c>
      <c r="D80" s="346">
        <f t="shared" si="0"/>
        <v>5510</v>
      </c>
    </row>
    <row r="81" spans="1:6" ht="15" customHeight="1">
      <c r="A81" s="335">
        <v>39197</v>
      </c>
      <c r="B81" s="345">
        <v>5470</v>
      </c>
      <c r="C81" s="345">
        <v>5550</v>
      </c>
      <c r="D81" s="346">
        <f t="shared" si="0"/>
        <v>5510</v>
      </c>
    </row>
    <row r="82" spans="1:6" ht="15" customHeight="1">
      <c r="A82" s="335">
        <v>39198</v>
      </c>
      <c r="B82" s="345">
        <v>5470</v>
      </c>
      <c r="C82" s="345">
        <v>5550</v>
      </c>
      <c r="D82" s="346">
        <f t="shared" si="0"/>
        <v>5510</v>
      </c>
    </row>
    <row r="83" spans="1:6" ht="15" customHeight="1">
      <c r="A83" s="335">
        <v>39199</v>
      </c>
      <c r="B83" s="345">
        <v>5470</v>
      </c>
      <c r="C83" s="345">
        <v>5550</v>
      </c>
      <c r="D83" s="346">
        <f t="shared" si="0"/>
        <v>5510</v>
      </c>
    </row>
    <row r="84" spans="1:6" ht="15" customHeight="1" thickBot="1">
      <c r="A84" s="340">
        <v>39202</v>
      </c>
      <c r="B84" s="341">
        <v>5470</v>
      </c>
      <c r="C84" s="341">
        <v>5550</v>
      </c>
      <c r="D84" s="342">
        <f t="shared" si="0"/>
        <v>5510</v>
      </c>
      <c r="E84" s="343">
        <f>AVERAGE(D64:D84)</f>
        <v>5510</v>
      </c>
      <c r="F84" s="347"/>
    </row>
    <row r="85" spans="1:6" ht="15" customHeight="1">
      <c r="A85" s="335">
        <v>39203</v>
      </c>
      <c r="B85" s="345">
        <v>5470</v>
      </c>
      <c r="C85" s="345">
        <v>5550</v>
      </c>
      <c r="D85" s="346">
        <f t="shared" si="0"/>
        <v>5510</v>
      </c>
    </row>
    <row r="86" spans="1:6" ht="15" customHeight="1">
      <c r="A86" s="335">
        <v>39204</v>
      </c>
      <c r="B86" s="345">
        <v>5470</v>
      </c>
      <c r="C86" s="345">
        <v>5550</v>
      </c>
      <c r="D86" s="346">
        <f t="shared" si="0"/>
        <v>5510</v>
      </c>
    </row>
    <row r="87" spans="1:6" ht="15" customHeight="1">
      <c r="A87" s="335">
        <v>39205</v>
      </c>
      <c r="B87" s="345">
        <v>5400</v>
      </c>
      <c r="C87" s="345">
        <v>5500</v>
      </c>
      <c r="D87" s="346">
        <f t="shared" si="0"/>
        <v>5450</v>
      </c>
    </row>
    <row r="88" spans="1:6" ht="15" customHeight="1">
      <c r="A88" s="335">
        <v>39206</v>
      </c>
      <c r="B88" s="345">
        <v>5400</v>
      </c>
      <c r="C88" s="345">
        <v>5500</v>
      </c>
      <c r="D88" s="346">
        <f t="shared" si="0"/>
        <v>5450</v>
      </c>
    </row>
    <row r="89" spans="1:6" ht="15" customHeight="1">
      <c r="A89" s="335">
        <v>39210</v>
      </c>
      <c r="B89" s="345">
        <v>5400</v>
      </c>
      <c r="C89" s="345">
        <v>5500</v>
      </c>
      <c r="D89" s="346">
        <f t="shared" si="0"/>
        <v>5450</v>
      </c>
    </row>
    <row r="90" spans="1:6" ht="15" customHeight="1">
      <c r="A90" s="335">
        <v>39211</v>
      </c>
      <c r="B90" s="345">
        <v>5400</v>
      </c>
      <c r="C90" s="345">
        <v>5500</v>
      </c>
      <c r="D90" s="346">
        <f t="shared" si="0"/>
        <v>5450</v>
      </c>
    </row>
    <row r="91" spans="1:6" ht="15" customHeight="1">
      <c r="A91" s="335">
        <v>39212</v>
      </c>
      <c r="B91" s="345">
        <v>5400</v>
      </c>
      <c r="C91" s="345">
        <v>5500</v>
      </c>
      <c r="D91" s="346">
        <f t="shared" si="0"/>
        <v>5450</v>
      </c>
    </row>
    <row r="92" spans="1:6" ht="15" customHeight="1">
      <c r="A92" s="335">
        <v>39213</v>
      </c>
      <c r="B92" s="345">
        <v>5350</v>
      </c>
      <c r="C92" s="345">
        <v>5500</v>
      </c>
      <c r="D92" s="346">
        <f t="shared" si="0"/>
        <v>5425</v>
      </c>
    </row>
    <row r="93" spans="1:6" ht="15" customHeight="1">
      <c r="A93" s="335">
        <v>39216</v>
      </c>
      <c r="B93" s="345">
        <v>5350</v>
      </c>
      <c r="C93" s="345">
        <v>5500</v>
      </c>
      <c r="D93" s="346">
        <f t="shared" si="0"/>
        <v>5425</v>
      </c>
    </row>
    <row r="94" spans="1:6" ht="15" customHeight="1">
      <c r="A94" s="335">
        <v>39217</v>
      </c>
      <c r="B94" s="345">
        <v>5350</v>
      </c>
      <c r="C94" s="345">
        <v>5500</v>
      </c>
      <c r="D94" s="346">
        <f t="shared" si="0"/>
        <v>5425</v>
      </c>
    </row>
    <row r="95" spans="1:6" ht="15" customHeight="1">
      <c r="A95" s="335">
        <v>39218</v>
      </c>
      <c r="B95" s="345">
        <v>5350</v>
      </c>
      <c r="C95" s="345">
        <v>5500</v>
      </c>
      <c r="D95" s="346">
        <f t="shared" si="0"/>
        <v>5425</v>
      </c>
    </row>
    <row r="96" spans="1:6" ht="15" customHeight="1">
      <c r="A96" s="335">
        <v>39219</v>
      </c>
      <c r="B96" s="345">
        <v>5350</v>
      </c>
      <c r="C96" s="345">
        <v>5500</v>
      </c>
      <c r="D96" s="346">
        <f t="shared" si="0"/>
        <v>5425</v>
      </c>
    </row>
    <row r="97" spans="1:6" ht="15" customHeight="1">
      <c r="A97" s="335">
        <v>39220</v>
      </c>
      <c r="B97" s="345">
        <v>5350</v>
      </c>
      <c r="C97" s="345">
        <v>5500</v>
      </c>
      <c r="D97" s="346">
        <f t="shared" si="0"/>
        <v>5425</v>
      </c>
    </row>
    <row r="98" spans="1:6" ht="15" customHeight="1">
      <c r="A98" s="335">
        <v>39223</v>
      </c>
      <c r="B98" s="345">
        <v>5350</v>
      </c>
      <c r="C98" s="345">
        <v>5500</v>
      </c>
      <c r="D98" s="346">
        <f t="shared" si="0"/>
        <v>5425</v>
      </c>
    </row>
    <row r="99" spans="1:6" ht="15" customHeight="1">
      <c r="A99" s="335">
        <v>39224</v>
      </c>
      <c r="B99" s="345">
        <v>5350</v>
      </c>
      <c r="C99" s="345">
        <v>5500</v>
      </c>
      <c r="D99" s="346">
        <f t="shared" si="0"/>
        <v>5425</v>
      </c>
    </row>
    <row r="100" spans="1:6" ht="15" customHeight="1">
      <c r="A100" s="335">
        <v>39225</v>
      </c>
      <c r="B100" s="345">
        <v>5350</v>
      </c>
      <c r="C100" s="345">
        <v>5500</v>
      </c>
      <c r="D100" s="346">
        <f t="shared" si="0"/>
        <v>5425</v>
      </c>
    </row>
    <row r="101" spans="1:6" ht="15" customHeight="1">
      <c r="A101" s="335">
        <v>39226</v>
      </c>
      <c r="B101" s="345">
        <v>5350</v>
      </c>
      <c r="C101" s="345">
        <v>5500</v>
      </c>
      <c r="D101" s="346">
        <f t="shared" si="0"/>
        <v>5425</v>
      </c>
    </row>
    <row r="102" spans="1:6" ht="15" customHeight="1">
      <c r="A102" s="335">
        <v>39227</v>
      </c>
      <c r="B102" s="345">
        <v>5350</v>
      </c>
      <c r="C102" s="345">
        <v>5500</v>
      </c>
      <c r="D102" s="346">
        <f t="shared" si="0"/>
        <v>5425</v>
      </c>
    </row>
    <row r="103" spans="1:6" ht="15" customHeight="1">
      <c r="A103" s="1423" t="s">
        <v>25</v>
      </c>
      <c r="B103" s="1423"/>
      <c r="C103" s="1423"/>
      <c r="D103" s="1423"/>
    </row>
    <row r="104" spans="1:6" ht="15" customHeight="1">
      <c r="A104" s="335">
        <v>39231</v>
      </c>
      <c r="B104" s="345">
        <v>5350</v>
      </c>
      <c r="C104" s="345">
        <v>5500</v>
      </c>
      <c r="D104" s="346">
        <f t="shared" ref="D104:D135" si="1">AVERAGE(B104:C104)</f>
        <v>5425</v>
      </c>
    </row>
    <row r="105" spans="1:6" ht="15" customHeight="1">
      <c r="A105" s="335">
        <v>39232</v>
      </c>
      <c r="B105" s="345">
        <v>5350</v>
      </c>
      <c r="C105" s="345">
        <v>5500</v>
      </c>
      <c r="D105" s="346">
        <f t="shared" si="1"/>
        <v>5425</v>
      </c>
    </row>
    <row r="106" spans="1:6" ht="15" customHeight="1" thickBot="1">
      <c r="A106" s="340">
        <v>39233</v>
      </c>
      <c r="B106" s="341">
        <v>5350</v>
      </c>
      <c r="C106" s="341">
        <v>5500</v>
      </c>
      <c r="D106" s="342">
        <f t="shared" si="1"/>
        <v>5425</v>
      </c>
      <c r="E106" s="343">
        <f>AVERAGE(D85:D106)</f>
        <v>5439.0476190476193</v>
      </c>
      <c r="F106" s="347"/>
    </row>
    <row r="107" spans="1:6" ht="15" customHeight="1">
      <c r="A107" s="335">
        <v>39234</v>
      </c>
      <c r="B107" s="345">
        <v>5350</v>
      </c>
      <c r="C107" s="345">
        <v>5500</v>
      </c>
      <c r="D107" s="346">
        <f t="shared" si="1"/>
        <v>5425</v>
      </c>
    </row>
    <row r="108" spans="1:6" ht="15" customHeight="1">
      <c r="A108" s="335">
        <v>39237</v>
      </c>
      <c r="B108" s="345">
        <v>5350</v>
      </c>
      <c r="C108" s="345">
        <v>5500</v>
      </c>
      <c r="D108" s="346">
        <f t="shared" si="1"/>
        <v>5425</v>
      </c>
    </row>
    <row r="109" spans="1:6" ht="15" customHeight="1">
      <c r="A109" s="335">
        <v>39238</v>
      </c>
      <c r="B109" s="345">
        <v>5350</v>
      </c>
      <c r="C109" s="345">
        <v>5500</v>
      </c>
      <c r="D109" s="346">
        <f t="shared" si="1"/>
        <v>5425</v>
      </c>
    </row>
    <row r="110" spans="1:6" ht="15" customHeight="1">
      <c r="A110" s="335">
        <v>39239</v>
      </c>
      <c r="B110" s="345">
        <v>5350</v>
      </c>
      <c r="C110" s="345">
        <v>5500</v>
      </c>
      <c r="D110" s="346">
        <f t="shared" si="1"/>
        <v>5425</v>
      </c>
    </row>
    <row r="111" spans="1:6" ht="15" customHeight="1">
      <c r="A111" s="335">
        <v>39240</v>
      </c>
      <c r="B111" s="345">
        <v>5350</v>
      </c>
      <c r="C111" s="345">
        <v>5500</v>
      </c>
      <c r="D111" s="346">
        <f t="shared" si="1"/>
        <v>5425</v>
      </c>
    </row>
    <row r="112" spans="1:6" ht="15" customHeight="1">
      <c r="A112" s="335">
        <v>39241</v>
      </c>
      <c r="B112" s="345">
        <v>5300</v>
      </c>
      <c r="C112" s="345">
        <v>5400</v>
      </c>
      <c r="D112" s="346">
        <f t="shared" si="1"/>
        <v>5350</v>
      </c>
    </row>
    <row r="113" spans="1:9" ht="15" customHeight="1">
      <c r="A113" s="335">
        <v>39244</v>
      </c>
      <c r="B113" s="345">
        <v>5300</v>
      </c>
      <c r="C113" s="345">
        <v>5400</v>
      </c>
      <c r="D113" s="346">
        <f t="shared" si="1"/>
        <v>5350</v>
      </c>
    </row>
    <row r="114" spans="1:9" ht="15" customHeight="1">
      <c r="A114" s="335">
        <v>39245</v>
      </c>
      <c r="B114" s="345">
        <v>5300</v>
      </c>
      <c r="C114" s="345">
        <v>5400</v>
      </c>
      <c r="D114" s="346">
        <f t="shared" si="1"/>
        <v>5350</v>
      </c>
    </row>
    <row r="115" spans="1:9" ht="15" customHeight="1">
      <c r="A115" s="335">
        <v>39246</v>
      </c>
      <c r="B115" s="345">
        <v>5300</v>
      </c>
      <c r="C115" s="345">
        <v>5400</v>
      </c>
      <c r="D115" s="346">
        <f t="shared" si="1"/>
        <v>5350</v>
      </c>
    </row>
    <row r="116" spans="1:9" ht="15" customHeight="1">
      <c r="A116" s="335">
        <v>39247</v>
      </c>
      <c r="B116" s="345">
        <v>5300</v>
      </c>
      <c r="C116" s="345">
        <v>5400</v>
      </c>
      <c r="D116" s="346">
        <f t="shared" si="1"/>
        <v>5350</v>
      </c>
    </row>
    <row r="117" spans="1:9" ht="15" customHeight="1">
      <c r="A117" s="335">
        <v>39248</v>
      </c>
      <c r="B117" s="345">
        <v>5300</v>
      </c>
      <c r="C117" s="345">
        <v>5400</v>
      </c>
      <c r="D117" s="346">
        <f t="shared" si="1"/>
        <v>5350</v>
      </c>
    </row>
    <row r="118" spans="1:9" ht="15" customHeight="1">
      <c r="A118" s="335">
        <v>39251</v>
      </c>
      <c r="B118" s="345">
        <v>5300</v>
      </c>
      <c r="C118" s="345">
        <v>5400</v>
      </c>
      <c r="D118" s="346">
        <f t="shared" si="1"/>
        <v>5350</v>
      </c>
    </row>
    <row r="119" spans="1:9" ht="15" customHeight="1">
      <c r="A119" s="335">
        <v>39252</v>
      </c>
      <c r="B119" s="345">
        <v>5300</v>
      </c>
      <c r="C119" s="345">
        <v>5400</v>
      </c>
      <c r="D119" s="346">
        <f t="shared" si="1"/>
        <v>5350</v>
      </c>
    </row>
    <row r="120" spans="1:9" ht="15" customHeight="1">
      <c r="A120" s="335">
        <v>39253</v>
      </c>
      <c r="B120" s="345">
        <v>5300</v>
      </c>
      <c r="C120" s="345">
        <v>5400</v>
      </c>
      <c r="D120" s="346">
        <f t="shared" si="1"/>
        <v>5350</v>
      </c>
    </row>
    <row r="121" spans="1:9" ht="15" customHeight="1">
      <c r="A121" s="335">
        <v>39254</v>
      </c>
      <c r="B121" s="345">
        <v>5300</v>
      </c>
      <c r="C121" s="345">
        <v>5400</v>
      </c>
      <c r="D121" s="346">
        <f t="shared" si="1"/>
        <v>5350</v>
      </c>
    </row>
    <row r="122" spans="1:9" ht="15" customHeight="1">
      <c r="A122" s="335">
        <v>39255</v>
      </c>
      <c r="B122" s="345">
        <v>5300</v>
      </c>
      <c r="C122" s="345">
        <v>5400</v>
      </c>
      <c r="D122" s="346">
        <f t="shared" si="1"/>
        <v>5350</v>
      </c>
    </row>
    <row r="123" spans="1:9" ht="15" customHeight="1">
      <c r="A123" s="335">
        <v>39258</v>
      </c>
      <c r="B123" s="345">
        <v>5300</v>
      </c>
      <c r="C123" s="345">
        <v>5400</v>
      </c>
      <c r="D123" s="346">
        <f t="shared" si="1"/>
        <v>5350</v>
      </c>
    </row>
    <row r="124" spans="1:9" ht="15" customHeight="1">
      <c r="A124" s="335">
        <v>39259</v>
      </c>
      <c r="B124" s="345">
        <v>5400</v>
      </c>
      <c r="C124" s="345">
        <v>5500</v>
      </c>
      <c r="D124" s="346">
        <f t="shared" si="1"/>
        <v>5450</v>
      </c>
    </row>
    <row r="125" spans="1:9" ht="15" customHeight="1">
      <c r="A125" s="335">
        <v>39260</v>
      </c>
      <c r="B125" s="345">
        <v>5400</v>
      </c>
      <c r="C125" s="345">
        <v>5500</v>
      </c>
      <c r="D125" s="346">
        <f t="shared" si="1"/>
        <v>5450</v>
      </c>
    </row>
    <row r="126" spans="1:9" ht="15" customHeight="1">
      <c r="A126" s="335">
        <v>39261</v>
      </c>
      <c r="B126" s="345">
        <v>5300</v>
      </c>
      <c r="C126" s="345">
        <v>5400</v>
      </c>
      <c r="D126" s="346">
        <f t="shared" si="1"/>
        <v>5350</v>
      </c>
    </row>
    <row r="127" spans="1:9" ht="15" customHeight="1" thickBot="1">
      <c r="A127" s="340">
        <v>39262</v>
      </c>
      <c r="B127" s="341">
        <v>5200</v>
      </c>
      <c r="C127" s="341">
        <v>5300</v>
      </c>
      <c r="D127" s="342">
        <f t="shared" si="1"/>
        <v>5250</v>
      </c>
      <c r="E127" s="343">
        <f>AVERAGE(D107:D127)</f>
        <v>5372.6190476190477</v>
      </c>
      <c r="F127" s="343"/>
      <c r="G127" s="348">
        <f>AVERAGE(D64:D127)</f>
        <v>5438.2786885245905</v>
      </c>
      <c r="H127" s="329">
        <v>929.26</v>
      </c>
      <c r="I127" s="330">
        <f>+H127*G127</f>
        <v>5053574.854098361</v>
      </c>
    </row>
    <row r="128" spans="1:9" ht="15" customHeight="1">
      <c r="A128" s="335">
        <v>39265</v>
      </c>
      <c r="B128" s="345">
        <v>5200</v>
      </c>
      <c r="C128" s="345">
        <v>5300</v>
      </c>
      <c r="D128" s="346">
        <f t="shared" si="1"/>
        <v>5250</v>
      </c>
    </row>
    <row r="129" spans="1:4" ht="15" customHeight="1">
      <c r="A129" s="335">
        <v>39266</v>
      </c>
      <c r="B129" s="345">
        <v>5200</v>
      </c>
      <c r="C129" s="345">
        <v>5300</v>
      </c>
      <c r="D129" s="346">
        <f t="shared" si="1"/>
        <v>5250</v>
      </c>
    </row>
    <row r="130" spans="1:4" ht="15" customHeight="1">
      <c r="A130" s="335">
        <v>39267</v>
      </c>
      <c r="B130" s="345">
        <v>5200</v>
      </c>
      <c r="C130" s="345">
        <v>5300</v>
      </c>
      <c r="D130" s="346">
        <f t="shared" si="1"/>
        <v>5250</v>
      </c>
    </row>
    <row r="131" spans="1:4" ht="15" customHeight="1">
      <c r="A131" s="335">
        <v>39268</v>
      </c>
      <c r="B131" s="345">
        <v>5200</v>
      </c>
      <c r="C131" s="345">
        <v>5300</v>
      </c>
      <c r="D131" s="346">
        <f t="shared" si="1"/>
        <v>5250</v>
      </c>
    </row>
    <row r="132" spans="1:4" ht="15" customHeight="1">
      <c r="A132" s="335">
        <v>39269</v>
      </c>
      <c r="B132" s="345">
        <v>5200</v>
      </c>
      <c r="C132" s="345">
        <v>5300</v>
      </c>
      <c r="D132" s="346">
        <f t="shared" si="1"/>
        <v>5250</v>
      </c>
    </row>
    <row r="133" spans="1:4" ht="15" customHeight="1">
      <c r="A133" s="335">
        <v>39272</v>
      </c>
      <c r="B133" s="345">
        <v>5400</v>
      </c>
      <c r="C133" s="345">
        <v>5450</v>
      </c>
      <c r="D133" s="346">
        <f t="shared" si="1"/>
        <v>5425</v>
      </c>
    </row>
    <row r="134" spans="1:4" ht="15" customHeight="1">
      <c r="A134" s="335">
        <v>39273</v>
      </c>
      <c r="B134" s="345">
        <v>5400</v>
      </c>
      <c r="C134" s="345">
        <v>5450</v>
      </c>
      <c r="D134" s="346">
        <f t="shared" si="1"/>
        <v>5425</v>
      </c>
    </row>
    <row r="135" spans="1:4" ht="15" customHeight="1">
      <c r="A135" s="335">
        <v>39274</v>
      </c>
      <c r="B135" s="345">
        <v>5400</v>
      </c>
      <c r="C135" s="345">
        <v>5450</v>
      </c>
      <c r="D135" s="346">
        <f t="shared" si="1"/>
        <v>5425</v>
      </c>
    </row>
    <row r="136" spans="1:4" ht="15" customHeight="1">
      <c r="A136" s="335">
        <v>39275</v>
      </c>
      <c r="B136" s="345">
        <v>5450</v>
      </c>
      <c r="C136" s="345">
        <v>5500</v>
      </c>
      <c r="D136" s="346">
        <f t="shared" ref="D136:D167" si="2">AVERAGE(B136:C136)</f>
        <v>5475</v>
      </c>
    </row>
    <row r="137" spans="1:4" ht="15" customHeight="1">
      <c r="A137" s="335">
        <v>39276</v>
      </c>
      <c r="B137" s="345">
        <v>5450</v>
      </c>
      <c r="C137" s="345">
        <v>5500</v>
      </c>
      <c r="D137" s="346">
        <f t="shared" si="2"/>
        <v>5475</v>
      </c>
    </row>
    <row r="138" spans="1:4" ht="15" customHeight="1">
      <c r="A138" s="335">
        <v>39279</v>
      </c>
      <c r="B138" s="345">
        <v>5450</v>
      </c>
      <c r="C138" s="345">
        <v>5500</v>
      </c>
      <c r="D138" s="346">
        <f t="shared" si="2"/>
        <v>5475</v>
      </c>
    </row>
    <row r="139" spans="1:4" ht="15" customHeight="1">
      <c r="A139" s="335">
        <v>39280</v>
      </c>
      <c r="B139" s="345">
        <v>5450</v>
      </c>
      <c r="C139" s="345">
        <v>5500</v>
      </c>
      <c r="D139" s="346">
        <f t="shared" si="2"/>
        <v>5475</v>
      </c>
    </row>
    <row r="140" spans="1:4" ht="15" customHeight="1">
      <c r="A140" s="335">
        <v>39281</v>
      </c>
      <c r="B140" s="345">
        <v>5450</v>
      </c>
      <c r="C140" s="345">
        <v>5500</v>
      </c>
      <c r="D140" s="346">
        <f t="shared" si="2"/>
        <v>5475</v>
      </c>
    </row>
    <row r="141" spans="1:4" ht="15" customHeight="1">
      <c r="A141" s="335">
        <v>39282</v>
      </c>
      <c r="B141" s="345">
        <v>5450</v>
      </c>
      <c r="C141" s="345">
        <v>5500</v>
      </c>
      <c r="D141" s="346">
        <f t="shared" si="2"/>
        <v>5475</v>
      </c>
    </row>
    <row r="142" spans="1:4" ht="15" customHeight="1">
      <c r="A142" s="335">
        <v>39283</v>
      </c>
      <c r="B142" s="345">
        <v>5450</v>
      </c>
      <c r="C142" s="345">
        <v>5500</v>
      </c>
      <c r="D142" s="346">
        <f t="shared" si="2"/>
        <v>5475</v>
      </c>
    </row>
    <row r="143" spans="1:4" ht="15" customHeight="1">
      <c r="A143" s="335">
        <v>39286</v>
      </c>
      <c r="B143" s="345">
        <v>5450</v>
      </c>
      <c r="C143" s="345">
        <v>5500</v>
      </c>
      <c r="D143" s="346">
        <f t="shared" si="2"/>
        <v>5475</v>
      </c>
    </row>
    <row r="144" spans="1:4" ht="15" customHeight="1">
      <c r="A144" s="335">
        <v>39287</v>
      </c>
      <c r="B144" s="345">
        <v>5550</v>
      </c>
      <c r="C144" s="345">
        <v>5450</v>
      </c>
      <c r="D144" s="346">
        <f t="shared" si="2"/>
        <v>5500</v>
      </c>
    </row>
    <row r="145" spans="1:6" ht="15" customHeight="1">
      <c r="A145" s="335">
        <v>39288</v>
      </c>
      <c r="B145" s="345">
        <v>5450</v>
      </c>
      <c r="C145" s="345">
        <v>5500</v>
      </c>
      <c r="D145" s="346">
        <f t="shared" si="2"/>
        <v>5475</v>
      </c>
    </row>
    <row r="146" spans="1:6" ht="15" customHeight="1">
      <c r="A146" s="335">
        <v>54</v>
      </c>
      <c r="B146" s="345">
        <v>5450</v>
      </c>
      <c r="C146" s="345">
        <v>5500</v>
      </c>
      <c r="D146" s="346">
        <f t="shared" si="2"/>
        <v>5475</v>
      </c>
    </row>
    <row r="147" spans="1:6" ht="15" customHeight="1">
      <c r="A147" s="335">
        <v>39290</v>
      </c>
      <c r="B147" s="345">
        <v>5450</v>
      </c>
      <c r="C147" s="345">
        <v>5500</v>
      </c>
      <c r="D147" s="346">
        <f t="shared" si="2"/>
        <v>5475</v>
      </c>
    </row>
    <row r="148" spans="1:6" ht="15" customHeight="1">
      <c r="A148" s="335">
        <v>39293</v>
      </c>
      <c r="B148" s="345">
        <v>5450</v>
      </c>
      <c r="C148" s="345">
        <v>5500</v>
      </c>
      <c r="D148" s="346">
        <f t="shared" si="2"/>
        <v>5475</v>
      </c>
    </row>
    <row r="149" spans="1:6" ht="15" customHeight="1" thickBot="1">
      <c r="A149" s="340">
        <v>39294</v>
      </c>
      <c r="B149" s="341">
        <v>5450</v>
      </c>
      <c r="C149" s="341">
        <v>5500</v>
      </c>
      <c r="D149" s="342">
        <f t="shared" si="2"/>
        <v>5475</v>
      </c>
      <c r="E149" s="343">
        <f>AVERAGE(D128:D149)</f>
        <v>5418.181818181818</v>
      </c>
      <c r="F149" s="347"/>
    </row>
    <row r="150" spans="1:6" ht="15" customHeight="1">
      <c r="A150" s="335">
        <v>39295</v>
      </c>
      <c r="B150" s="345">
        <v>5450</v>
      </c>
      <c r="C150" s="345">
        <v>5500</v>
      </c>
      <c r="D150" s="346">
        <f t="shared" si="2"/>
        <v>5475</v>
      </c>
    </row>
    <row r="151" spans="1:6" ht="15" customHeight="1">
      <c r="A151" s="335">
        <v>39296</v>
      </c>
      <c r="B151" s="345">
        <v>5450</v>
      </c>
      <c r="C151" s="345">
        <v>5500</v>
      </c>
      <c r="D151" s="346">
        <f t="shared" si="2"/>
        <v>5475</v>
      </c>
    </row>
    <row r="152" spans="1:6" ht="15" customHeight="1">
      <c r="A152" s="335">
        <v>39297</v>
      </c>
      <c r="B152" s="345">
        <v>5450</v>
      </c>
      <c r="C152" s="345">
        <v>5550</v>
      </c>
      <c r="D152" s="346">
        <f t="shared" si="2"/>
        <v>5500</v>
      </c>
    </row>
    <row r="153" spans="1:6" ht="15" customHeight="1">
      <c r="A153" s="335">
        <v>39300</v>
      </c>
      <c r="B153" s="345">
        <v>5450</v>
      </c>
      <c r="C153" s="345">
        <v>5500</v>
      </c>
      <c r="D153" s="346">
        <f t="shared" si="2"/>
        <v>5475</v>
      </c>
    </row>
    <row r="154" spans="1:6" ht="15" customHeight="1">
      <c r="A154" s="335">
        <v>39301</v>
      </c>
      <c r="B154" s="345">
        <v>5450</v>
      </c>
      <c r="C154" s="345">
        <v>5500</v>
      </c>
      <c r="D154" s="346">
        <f t="shared" si="2"/>
        <v>5475</v>
      </c>
    </row>
    <row r="155" spans="1:6" ht="15" customHeight="1">
      <c r="A155" s="335">
        <v>39302</v>
      </c>
      <c r="B155" s="345">
        <v>5450</v>
      </c>
      <c r="C155" s="345">
        <v>5500</v>
      </c>
      <c r="D155" s="346">
        <f t="shared" si="2"/>
        <v>5475</v>
      </c>
    </row>
    <row r="156" spans="1:6" ht="15" customHeight="1">
      <c r="A156" s="335">
        <v>39303</v>
      </c>
      <c r="B156" s="345">
        <v>5450</v>
      </c>
      <c r="C156" s="345">
        <v>5500</v>
      </c>
      <c r="D156" s="346">
        <f t="shared" si="2"/>
        <v>5475</v>
      </c>
    </row>
    <row r="157" spans="1:6" ht="15" customHeight="1">
      <c r="A157" s="335">
        <v>39304</v>
      </c>
      <c r="B157" s="345">
        <v>5450</v>
      </c>
      <c r="C157" s="345">
        <v>5500</v>
      </c>
      <c r="D157" s="346">
        <f t="shared" si="2"/>
        <v>5475</v>
      </c>
    </row>
    <row r="158" spans="1:6" ht="15" customHeight="1">
      <c r="A158" s="335">
        <v>39307</v>
      </c>
      <c r="B158" s="345">
        <v>5450</v>
      </c>
      <c r="C158" s="345">
        <v>5500</v>
      </c>
      <c r="D158" s="346">
        <f t="shared" si="2"/>
        <v>5475</v>
      </c>
    </row>
    <row r="159" spans="1:6" ht="15" customHeight="1">
      <c r="A159" s="335">
        <v>39308</v>
      </c>
      <c r="B159" s="345">
        <v>5450</v>
      </c>
      <c r="C159" s="345">
        <v>5500</v>
      </c>
      <c r="D159" s="346">
        <f t="shared" si="2"/>
        <v>5475</v>
      </c>
    </row>
    <row r="160" spans="1:6" ht="15" customHeight="1">
      <c r="A160" s="335">
        <v>39309</v>
      </c>
      <c r="B160" s="345">
        <v>5400</v>
      </c>
      <c r="C160" s="345">
        <v>5500</v>
      </c>
      <c r="D160" s="346">
        <f t="shared" si="2"/>
        <v>5450</v>
      </c>
    </row>
    <row r="161" spans="1:6" ht="15" customHeight="1">
      <c r="A161" s="335">
        <v>39310</v>
      </c>
      <c r="B161" s="345">
        <v>5400</v>
      </c>
      <c r="C161" s="345">
        <v>5500</v>
      </c>
      <c r="D161" s="346">
        <f t="shared" si="2"/>
        <v>5450</v>
      </c>
    </row>
    <row r="162" spans="1:6" ht="15" customHeight="1">
      <c r="A162" s="335">
        <v>39311</v>
      </c>
      <c r="B162" s="345">
        <v>5400</v>
      </c>
      <c r="C162" s="345">
        <v>5500</v>
      </c>
      <c r="D162" s="346">
        <f t="shared" si="2"/>
        <v>5450</v>
      </c>
    </row>
    <row r="163" spans="1:6" ht="15" customHeight="1">
      <c r="A163" s="335">
        <v>39314</v>
      </c>
      <c r="B163" s="345">
        <v>5400</v>
      </c>
      <c r="C163" s="345">
        <v>5500</v>
      </c>
      <c r="D163" s="346">
        <f t="shared" si="2"/>
        <v>5450</v>
      </c>
    </row>
    <row r="164" spans="1:6" ht="15" customHeight="1">
      <c r="A164" s="335">
        <v>39315</v>
      </c>
      <c r="B164" s="345">
        <v>5400</v>
      </c>
      <c r="C164" s="345">
        <v>5500</v>
      </c>
      <c r="D164" s="346">
        <f t="shared" si="2"/>
        <v>5450</v>
      </c>
    </row>
    <row r="165" spans="1:6" ht="15" customHeight="1">
      <c r="A165" s="335">
        <v>39316</v>
      </c>
      <c r="B165" s="345">
        <v>5400</v>
      </c>
      <c r="C165" s="345">
        <v>5500</v>
      </c>
      <c r="D165" s="346">
        <f t="shared" si="2"/>
        <v>5450</v>
      </c>
    </row>
    <row r="166" spans="1:6" ht="15" customHeight="1">
      <c r="A166" s="335">
        <v>39317</v>
      </c>
      <c r="B166" s="345">
        <v>5400</v>
      </c>
      <c r="C166" s="345">
        <v>5500</v>
      </c>
      <c r="D166" s="346">
        <f t="shared" si="2"/>
        <v>5450</v>
      </c>
    </row>
    <row r="167" spans="1:6" ht="15" customHeight="1">
      <c r="A167" s="335">
        <v>39318</v>
      </c>
      <c r="B167" s="345">
        <v>5400</v>
      </c>
      <c r="C167" s="345">
        <v>5500</v>
      </c>
      <c r="D167" s="346">
        <f t="shared" si="2"/>
        <v>5450</v>
      </c>
    </row>
    <row r="168" spans="1:6" ht="15" customHeight="1">
      <c r="A168" s="335">
        <v>39322</v>
      </c>
      <c r="B168" s="345">
        <v>5400</v>
      </c>
      <c r="C168" s="345">
        <v>5500</v>
      </c>
      <c r="D168" s="346">
        <f t="shared" ref="D168:D257" si="3">AVERAGE(B168:C168)</f>
        <v>5450</v>
      </c>
    </row>
    <row r="169" spans="1:6" ht="15" customHeight="1">
      <c r="A169" s="335">
        <v>39323</v>
      </c>
      <c r="B169" s="345">
        <v>5400</v>
      </c>
      <c r="C169" s="345">
        <v>5500</v>
      </c>
      <c r="D169" s="346">
        <f t="shared" si="3"/>
        <v>5450</v>
      </c>
    </row>
    <row r="170" spans="1:6" ht="15" customHeight="1">
      <c r="A170" s="335">
        <v>39324</v>
      </c>
      <c r="B170" s="345">
        <v>5400</v>
      </c>
      <c r="C170" s="345">
        <v>5500</v>
      </c>
      <c r="D170" s="346">
        <f t="shared" si="3"/>
        <v>5450</v>
      </c>
    </row>
    <row r="171" spans="1:6" ht="15" customHeight="1" thickBot="1">
      <c r="A171" s="340">
        <v>39325</v>
      </c>
      <c r="B171" s="341">
        <v>5400</v>
      </c>
      <c r="C171" s="341">
        <v>5500</v>
      </c>
      <c r="D171" s="342">
        <f t="shared" si="3"/>
        <v>5450</v>
      </c>
      <c r="E171" s="343">
        <f>AVERAGE(D150:D171)</f>
        <v>5462.5</v>
      </c>
      <c r="F171" s="347"/>
    </row>
    <row r="172" spans="1:6" ht="15" customHeight="1">
      <c r="A172" s="335">
        <v>39328</v>
      </c>
      <c r="B172" s="345">
        <v>5400</v>
      </c>
      <c r="C172" s="345">
        <v>5500</v>
      </c>
      <c r="D172" s="346">
        <f t="shared" si="3"/>
        <v>5450</v>
      </c>
    </row>
    <row r="173" spans="1:6" ht="15" customHeight="1">
      <c r="A173" s="335">
        <v>39329</v>
      </c>
      <c r="B173" s="345">
        <v>5400</v>
      </c>
      <c r="C173" s="345">
        <v>5500</v>
      </c>
      <c r="D173" s="346">
        <f t="shared" si="3"/>
        <v>5450</v>
      </c>
    </row>
    <row r="174" spans="1:6" ht="15" customHeight="1">
      <c r="A174" s="335">
        <v>39330</v>
      </c>
      <c r="B174" s="345">
        <v>5400</v>
      </c>
      <c r="C174" s="345">
        <v>5500</v>
      </c>
      <c r="D174" s="346">
        <f t="shared" si="3"/>
        <v>5450</v>
      </c>
    </row>
    <row r="175" spans="1:6" ht="15" customHeight="1">
      <c r="A175" s="335">
        <v>39331</v>
      </c>
      <c r="B175" s="345">
        <v>5400</v>
      </c>
      <c r="C175" s="345">
        <v>5500</v>
      </c>
      <c r="D175" s="346">
        <f t="shared" si="3"/>
        <v>5450</v>
      </c>
    </row>
    <row r="176" spans="1:6" ht="15" customHeight="1">
      <c r="A176" s="335">
        <v>39332</v>
      </c>
      <c r="B176" s="345">
        <v>5400</v>
      </c>
      <c r="C176" s="345">
        <v>5500</v>
      </c>
      <c r="D176" s="346">
        <f t="shared" si="3"/>
        <v>5450</v>
      </c>
    </row>
    <row r="177" spans="1:9" ht="15" customHeight="1">
      <c r="A177" s="335">
        <v>39335</v>
      </c>
      <c r="B177" s="345">
        <v>5400</v>
      </c>
      <c r="C177" s="345">
        <v>5500</v>
      </c>
      <c r="D177" s="346">
        <f t="shared" si="3"/>
        <v>5450</v>
      </c>
    </row>
    <row r="178" spans="1:9" ht="15" customHeight="1">
      <c r="A178" s="335">
        <v>39336</v>
      </c>
      <c r="B178" s="345">
        <v>5400</v>
      </c>
      <c r="C178" s="345">
        <v>5500</v>
      </c>
      <c r="D178" s="346">
        <f t="shared" si="3"/>
        <v>5450</v>
      </c>
    </row>
    <row r="179" spans="1:9" ht="15" customHeight="1">
      <c r="A179" s="335">
        <v>39337</v>
      </c>
      <c r="B179" s="345">
        <v>5400</v>
      </c>
      <c r="C179" s="345">
        <v>5500</v>
      </c>
      <c r="D179" s="346">
        <f t="shared" si="3"/>
        <v>5450</v>
      </c>
    </row>
    <row r="180" spans="1:9" ht="15" customHeight="1">
      <c r="A180" s="335">
        <v>39338</v>
      </c>
      <c r="B180" s="345">
        <v>5500</v>
      </c>
      <c r="C180" s="345">
        <v>5600</v>
      </c>
      <c r="D180" s="346">
        <f t="shared" si="3"/>
        <v>5550</v>
      </c>
    </row>
    <row r="181" spans="1:9" ht="15" customHeight="1">
      <c r="A181" s="335">
        <v>39339</v>
      </c>
      <c r="B181" s="345">
        <v>5500</v>
      </c>
      <c r="C181" s="345">
        <v>5600</v>
      </c>
      <c r="D181" s="346">
        <f t="shared" si="3"/>
        <v>5550</v>
      </c>
    </row>
    <row r="182" spans="1:9" ht="15" customHeight="1">
      <c r="A182" s="335">
        <v>39342</v>
      </c>
      <c r="B182" s="345">
        <v>5500</v>
      </c>
      <c r="C182" s="345">
        <v>5600</v>
      </c>
      <c r="D182" s="346">
        <f t="shared" si="3"/>
        <v>5550</v>
      </c>
    </row>
    <row r="183" spans="1:9" ht="15" customHeight="1">
      <c r="A183" s="335">
        <v>39343</v>
      </c>
      <c r="B183" s="345">
        <v>5500</v>
      </c>
      <c r="C183" s="345">
        <v>5600</v>
      </c>
      <c r="D183" s="346">
        <f t="shared" si="3"/>
        <v>5550</v>
      </c>
    </row>
    <row r="184" spans="1:9" ht="15" customHeight="1">
      <c r="A184" s="335">
        <v>39344</v>
      </c>
      <c r="B184" s="345">
        <v>5500</v>
      </c>
      <c r="C184" s="345">
        <v>5600</v>
      </c>
      <c r="D184" s="346">
        <f t="shared" si="3"/>
        <v>5550</v>
      </c>
    </row>
    <row r="185" spans="1:9" ht="15" customHeight="1">
      <c r="A185" s="335">
        <v>39345</v>
      </c>
      <c r="B185" s="345">
        <v>5500</v>
      </c>
      <c r="C185" s="345">
        <v>5600</v>
      </c>
      <c r="D185" s="346">
        <f t="shared" si="3"/>
        <v>5550</v>
      </c>
    </row>
    <row r="186" spans="1:9" ht="15" customHeight="1">
      <c r="A186" s="335">
        <v>39346</v>
      </c>
      <c r="B186" s="345">
        <v>5500</v>
      </c>
      <c r="C186" s="345">
        <v>5600</v>
      </c>
      <c r="D186" s="346">
        <f t="shared" si="3"/>
        <v>5550</v>
      </c>
    </row>
    <row r="187" spans="1:9" ht="15" customHeight="1">
      <c r="A187" s="335">
        <v>39349</v>
      </c>
      <c r="B187" s="345">
        <v>5500</v>
      </c>
      <c r="C187" s="345">
        <v>5600</v>
      </c>
      <c r="D187" s="346">
        <f t="shared" si="3"/>
        <v>5550</v>
      </c>
      <c r="G187" s="349"/>
    </row>
    <row r="188" spans="1:9" ht="15" customHeight="1">
      <c r="A188" s="335">
        <v>39350</v>
      </c>
      <c r="B188" s="336">
        <v>5500</v>
      </c>
      <c r="C188" s="336">
        <v>5600</v>
      </c>
      <c r="D188" s="337">
        <f t="shared" si="3"/>
        <v>5550</v>
      </c>
      <c r="G188" s="349"/>
    </row>
    <row r="189" spans="1:9" ht="15" customHeight="1">
      <c r="A189" s="335">
        <v>39351</v>
      </c>
      <c r="B189" s="336">
        <v>5520</v>
      </c>
      <c r="C189" s="336">
        <v>5620</v>
      </c>
      <c r="D189" s="337">
        <f t="shared" si="3"/>
        <v>5570</v>
      </c>
      <c r="E189" s="333"/>
      <c r="F189" s="333"/>
    </row>
    <row r="190" spans="1:9" ht="15" customHeight="1">
      <c r="A190" s="335">
        <v>39352</v>
      </c>
      <c r="B190" s="336">
        <v>5520</v>
      </c>
      <c r="C190" s="336">
        <v>5620</v>
      </c>
      <c r="D190" s="337">
        <f t="shared" si="3"/>
        <v>5570</v>
      </c>
    </row>
    <row r="191" spans="1:9" ht="15" customHeight="1" thickBot="1">
      <c r="A191" s="340">
        <v>39353</v>
      </c>
      <c r="B191" s="341">
        <v>5520</v>
      </c>
      <c r="C191" s="341">
        <v>5620</v>
      </c>
      <c r="D191" s="342">
        <f t="shared" si="3"/>
        <v>5570</v>
      </c>
      <c r="E191" s="343">
        <f>AVERAGE(D172:D191)</f>
        <v>5513</v>
      </c>
      <c r="F191" s="343"/>
      <c r="G191" s="344">
        <f>AVERAGE(D128:D191)</f>
        <v>5463.046875</v>
      </c>
      <c r="H191" s="329">
        <v>928.17</v>
      </c>
      <c r="I191" s="330">
        <f>+H191*G191</f>
        <v>5070636.2179687498</v>
      </c>
    </row>
    <row r="192" spans="1:9" ht="15" customHeight="1">
      <c r="A192" s="335">
        <v>39356</v>
      </c>
      <c r="B192" s="336">
        <v>5520</v>
      </c>
      <c r="C192" s="336">
        <v>5620</v>
      </c>
      <c r="D192" s="337">
        <f t="shared" si="3"/>
        <v>5570</v>
      </c>
    </row>
    <row r="193" spans="1:4" ht="15" customHeight="1">
      <c r="A193" s="335">
        <v>39357</v>
      </c>
      <c r="B193" s="336">
        <v>5520</v>
      </c>
      <c r="C193" s="336">
        <v>5620</v>
      </c>
      <c r="D193" s="337">
        <f t="shared" si="3"/>
        <v>5570</v>
      </c>
    </row>
    <row r="194" spans="1:4" ht="15" customHeight="1">
      <c r="A194" s="335">
        <v>39358</v>
      </c>
      <c r="B194" s="336">
        <v>5520</v>
      </c>
      <c r="C194" s="336">
        <v>5620</v>
      </c>
      <c r="D194" s="337">
        <f t="shared" si="3"/>
        <v>5570</v>
      </c>
    </row>
    <row r="195" spans="1:4" ht="15" customHeight="1">
      <c r="A195" s="335">
        <v>39359</v>
      </c>
      <c r="B195" s="336">
        <v>5520</v>
      </c>
      <c r="C195" s="336">
        <v>5620</v>
      </c>
      <c r="D195" s="337">
        <f t="shared" si="3"/>
        <v>5570</v>
      </c>
    </row>
    <row r="196" spans="1:4" ht="15" customHeight="1">
      <c r="A196" s="335">
        <v>39360</v>
      </c>
      <c r="B196" s="336">
        <v>5520</v>
      </c>
      <c r="C196" s="336">
        <v>5620</v>
      </c>
      <c r="D196" s="337">
        <f t="shared" si="3"/>
        <v>5570</v>
      </c>
    </row>
    <row r="197" spans="1:4" ht="15" customHeight="1">
      <c r="A197" s="335">
        <v>39363</v>
      </c>
      <c r="B197" s="336">
        <v>5520</v>
      </c>
      <c r="C197" s="336">
        <v>5620</v>
      </c>
      <c r="D197" s="337">
        <f t="shared" si="3"/>
        <v>5570</v>
      </c>
    </row>
    <row r="198" spans="1:4" ht="15" customHeight="1">
      <c r="A198" s="335">
        <v>39364</v>
      </c>
      <c r="B198" s="336">
        <v>5550</v>
      </c>
      <c r="C198" s="336">
        <v>5620</v>
      </c>
      <c r="D198" s="337">
        <f t="shared" si="3"/>
        <v>5585</v>
      </c>
    </row>
    <row r="199" spans="1:4" ht="15" customHeight="1">
      <c r="A199" s="335">
        <v>39365</v>
      </c>
      <c r="B199" s="336">
        <v>5550</v>
      </c>
      <c r="C199" s="336">
        <v>5620</v>
      </c>
      <c r="D199" s="337">
        <f t="shared" si="3"/>
        <v>5585</v>
      </c>
    </row>
    <row r="200" spans="1:4" ht="15" customHeight="1">
      <c r="A200" s="335">
        <v>39366</v>
      </c>
      <c r="B200" s="336">
        <v>5550</v>
      </c>
      <c r="C200" s="336">
        <v>5620</v>
      </c>
      <c r="D200" s="337">
        <f t="shared" si="3"/>
        <v>5585</v>
      </c>
    </row>
    <row r="201" spans="1:4" ht="15" customHeight="1">
      <c r="A201" s="335">
        <v>39367</v>
      </c>
      <c r="B201" s="336">
        <v>5550</v>
      </c>
      <c r="C201" s="336">
        <v>5620</v>
      </c>
      <c r="D201" s="337">
        <f t="shared" si="3"/>
        <v>5585</v>
      </c>
    </row>
    <row r="202" spans="1:4" ht="15" customHeight="1">
      <c r="A202" s="335">
        <v>39370</v>
      </c>
      <c r="B202" s="336">
        <v>5550</v>
      </c>
      <c r="C202" s="336">
        <v>5620</v>
      </c>
      <c r="D202" s="337">
        <f t="shared" si="3"/>
        <v>5585</v>
      </c>
    </row>
    <row r="203" spans="1:4" ht="15" customHeight="1">
      <c r="A203" s="335">
        <v>39371</v>
      </c>
      <c r="B203" s="336">
        <v>5550</v>
      </c>
      <c r="C203" s="336">
        <v>5620</v>
      </c>
      <c r="D203" s="337">
        <f t="shared" si="3"/>
        <v>5585</v>
      </c>
    </row>
    <row r="204" spans="1:4" ht="15" customHeight="1">
      <c r="A204" s="335">
        <v>39372</v>
      </c>
      <c r="B204" s="336">
        <v>5550</v>
      </c>
      <c r="C204" s="336">
        <v>5620</v>
      </c>
      <c r="D204" s="337">
        <f t="shared" si="3"/>
        <v>5585</v>
      </c>
    </row>
    <row r="205" spans="1:4" ht="15" customHeight="1">
      <c r="A205" s="335">
        <v>39373</v>
      </c>
      <c r="B205" s="336">
        <v>5550</v>
      </c>
      <c r="C205" s="336">
        <v>5620</v>
      </c>
      <c r="D205" s="337">
        <f t="shared" si="3"/>
        <v>5585</v>
      </c>
    </row>
    <row r="206" spans="1:4" ht="15" customHeight="1">
      <c r="A206" s="335">
        <v>39374</v>
      </c>
      <c r="B206" s="336">
        <v>5600</v>
      </c>
      <c r="C206" s="336">
        <v>5700</v>
      </c>
      <c r="D206" s="337">
        <f t="shared" si="3"/>
        <v>5650</v>
      </c>
    </row>
    <row r="207" spans="1:4" ht="15" customHeight="1">
      <c r="A207" s="335">
        <v>39377</v>
      </c>
      <c r="B207" s="336">
        <v>5600</v>
      </c>
      <c r="C207" s="336">
        <v>5700</v>
      </c>
      <c r="D207" s="337">
        <f t="shared" si="3"/>
        <v>5650</v>
      </c>
    </row>
    <row r="208" spans="1:4" ht="15" customHeight="1">
      <c r="A208" s="335">
        <v>39378</v>
      </c>
      <c r="B208" s="336">
        <v>5600</v>
      </c>
      <c r="C208" s="336">
        <v>5700</v>
      </c>
      <c r="D208" s="337">
        <f t="shared" si="3"/>
        <v>5650</v>
      </c>
    </row>
    <row r="209" spans="1:7" ht="15" customHeight="1">
      <c r="A209" s="335">
        <v>39379</v>
      </c>
      <c r="B209" s="336">
        <v>5600</v>
      </c>
      <c r="C209" s="336">
        <v>5700</v>
      </c>
      <c r="D209" s="337">
        <f t="shared" si="3"/>
        <v>5650</v>
      </c>
    </row>
    <row r="210" spans="1:7" ht="15" customHeight="1">
      <c r="A210" s="335">
        <v>39380</v>
      </c>
      <c r="B210" s="336">
        <v>5600</v>
      </c>
      <c r="C210" s="336">
        <v>5700</v>
      </c>
      <c r="D210" s="337">
        <f t="shared" si="3"/>
        <v>5650</v>
      </c>
    </row>
    <row r="211" spans="1:7" ht="15" customHeight="1">
      <c r="A211" s="335">
        <v>39381</v>
      </c>
      <c r="B211" s="336">
        <v>5600</v>
      </c>
      <c r="C211" s="336">
        <v>5700</v>
      </c>
      <c r="D211" s="337">
        <f t="shared" si="3"/>
        <v>5650</v>
      </c>
    </row>
    <row r="212" spans="1:7" ht="15" customHeight="1">
      <c r="A212" s="335">
        <v>39384</v>
      </c>
      <c r="B212" s="336">
        <v>5600</v>
      </c>
      <c r="C212" s="336">
        <v>5700</v>
      </c>
      <c r="D212" s="337">
        <f t="shared" si="3"/>
        <v>5650</v>
      </c>
    </row>
    <row r="213" spans="1:7" ht="15" customHeight="1">
      <c r="A213" s="335">
        <v>39385</v>
      </c>
      <c r="B213" s="336">
        <v>5600</v>
      </c>
      <c r="C213" s="336">
        <v>5700</v>
      </c>
      <c r="D213" s="337">
        <f t="shared" si="3"/>
        <v>5650</v>
      </c>
    </row>
    <row r="214" spans="1:7" ht="15" customHeight="1" thickBot="1">
      <c r="A214" s="340">
        <v>39386</v>
      </c>
      <c r="B214" s="341">
        <v>5600</v>
      </c>
      <c r="C214" s="341">
        <v>5700</v>
      </c>
      <c r="D214" s="342">
        <f t="shared" si="3"/>
        <v>5650</v>
      </c>
      <c r="E214" s="343">
        <f>AVERAGE(D192:D214)</f>
        <v>5606.521739130435</v>
      </c>
      <c r="F214" s="343"/>
      <c r="G214" s="344"/>
    </row>
    <row r="215" spans="1:7" ht="15" customHeight="1">
      <c r="A215" s="335">
        <v>39387</v>
      </c>
      <c r="B215" s="336">
        <v>5600</v>
      </c>
      <c r="C215" s="336">
        <v>5700</v>
      </c>
      <c r="D215" s="337">
        <f t="shared" si="3"/>
        <v>5650</v>
      </c>
    </row>
    <row r="216" spans="1:7" ht="15" customHeight="1">
      <c r="A216" s="335">
        <v>39388</v>
      </c>
      <c r="B216" s="336">
        <v>5600</v>
      </c>
      <c r="C216" s="336">
        <v>5700</v>
      </c>
      <c r="D216" s="337">
        <f t="shared" si="3"/>
        <v>5650</v>
      </c>
    </row>
    <row r="217" spans="1:7" ht="15" customHeight="1">
      <c r="A217" s="335">
        <v>39391</v>
      </c>
      <c r="B217" s="336">
        <v>5600</v>
      </c>
      <c r="C217" s="336">
        <v>5700</v>
      </c>
      <c r="D217" s="337">
        <f t="shared" si="3"/>
        <v>5650</v>
      </c>
    </row>
    <row r="218" spans="1:7" ht="15" customHeight="1">
      <c r="A218" s="335">
        <v>39392</v>
      </c>
      <c r="B218" s="336">
        <v>5600</v>
      </c>
      <c r="C218" s="336">
        <v>5700</v>
      </c>
      <c r="D218" s="337">
        <f t="shared" si="3"/>
        <v>5650</v>
      </c>
    </row>
    <row r="219" spans="1:7" ht="15" customHeight="1">
      <c r="A219" s="335">
        <v>39393</v>
      </c>
      <c r="B219" s="336">
        <v>5600</v>
      </c>
      <c r="C219" s="336">
        <v>5700</v>
      </c>
      <c r="D219" s="337">
        <f t="shared" si="3"/>
        <v>5650</v>
      </c>
    </row>
    <row r="220" spans="1:7" ht="15" customHeight="1">
      <c r="A220" s="335">
        <v>39394</v>
      </c>
      <c r="B220" s="336">
        <v>5600</v>
      </c>
      <c r="C220" s="336">
        <v>5700</v>
      </c>
      <c r="D220" s="337">
        <f t="shared" si="3"/>
        <v>5650</v>
      </c>
    </row>
    <row r="221" spans="1:7" ht="15" customHeight="1">
      <c r="A221" s="335">
        <v>39395</v>
      </c>
      <c r="B221" s="336">
        <v>5600</v>
      </c>
      <c r="C221" s="336">
        <v>5700</v>
      </c>
      <c r="D221" s="337">
        <f t="shared" si="3"/>
        <v>5650</v>
      </c>
    </row>
    <row r="222" spans="1:7" ht="15" customHeight="1">
      <c r="A222" s="335">
        <v>39398</v>
      </c>
      <c r="B222" s="336">
        <v>5600</v>
      </c>
      <c r="C222" s="336">
        <v>5700</v>
      </c>
      <c r="D222" s="337">
        <f t="shared" si="3"/>
        <v>5650</v>
      </c>
    </row>
    <row r="223" spans="1:7" ht="15" customHeight="1">
      <c r="A223" s="335">
        <v>39399</v>
      </c>
      <c r="B223" s="336">
        <v>5600</v>
      </c>
      <c r="C223" s="336">
        <v>5700</v>
      </c>
      <c r="D223" s="337">
        <f t="shared" si="3"/>
        <v>5650</v>
      </c>
    </row>
    <row r="224" spans="1:7" ht="15" customHeight="1">
      <c r="A224" s="335">
        <v>39400</v>
      </c>
      <c r="B224" s="336">
        <v>5600</v>
      </c>
      <c r="C224" s="336">
        <v>5700</v>
      </c>
      <c r="D224" s="337">
        <f t="shared" si="3"/>
        <v>5650</v>
      </c>
    </row>
    <row r="225" spans="1:7" ht="15" customHeight="1">
      <c r="A225" s="335">
        <v>39401</v>
      </c>
      <c r="B225" s="336">
        <v>5600</v>
      </c>
      <c r="C225" s="336">
        <v>5700</v>
      </c>
      <c r="D225" s="337">
        <f t="shared" si="3"/>
        <v>5650</v>
      </c>
    </row>
    <row r="226" spans="1:7" ht="15" customHeight="1">
      <c r="A226" s="335">
        <v>39402</v>
      </c>
      <c r="B226" s="336">
        <v>5400</v>
      </c>
      <c r="C226" s="336">
        <v>5500</v>
      </c>
      <c r="D226" s="337">
        <f t="shared" si="3"/>
        <v>5450</v>
      </c>
    </row>
    <row r="227" spans="1:7" ht="15" customHeight="1">
      <c r="A227" s="335">
        <v>39403</v>
      </c>
      <c r="B227" s="336">
        <v>5600</v>
      </c>
      <c r="C227" s="336">
        <v>5700</v>
      </c>
      <c r="D227" s="337">
        <f t="shared" si="3"/>
        <v>5650</v>
      </c>
    </row>
    <row r="228" spans="1:7" ht="15" customHeight="1">
      <c r="A228" s="335">
        <v>39405</v>
      </c>
      <c r="B228" s="336">
        <v>5600</v>
      </c>
      <c r="C228" s="336">
        <v>5700</v>
      </c>
      <c r="D228" s="337">
        <f t="shared" si="3"/>
        <v>5650</v>
      </c>
    </row>
    <row r="229" spans="1:7" ht="15" customHeight="1">
      <c r="A229" s="335">
        <v>39406</v>
      </c>
      <c r="B229" s="336">
        <v>5600</v>
      </c>
      <c r="C229" s="336">
        <v>5700</v>
      </c>
      <c r="D229" s="337">
        <f t="shared" si="3"/>
        <v>5650</v>
      </c>
    </row>
    <row r="230" spans="1:7" ht="15" customHeight="1">
      <c r="A230" s="350">
        <v>39407</v>
      </c>
      <c r="B230" s="336">
        <v>5600</v>
      </c>
      <c r="C230" s="336">
        <v>5700</v>
      </c>
      <c r="D230" s="337">
        <f t="shared" si="3"/>
        <v>5650</v>
      </c>
    </row>
    <row r="231" spans="1:7" ht="15" customHeight="1">
      <c r="A231" s="350">
        <v>39408</v>
      </c>
      <c r="B231" s="336">
        <v>5600</v>
      </c>
      <c r="C231" s="336">
        <v>5700</v>
      </c>
      <c r="D231" s="337">
        <f t="shared" si="3"/>
        <v>5650</v>
      </c>
    </row>
    <row r="232" spans="1:7" ht="15" customHeight="1">
      <c r="A232" s="350">
        <v>39409</v>
      </c>
      <c r="B232" s="336">
        <v>5600</v>
      </c>
      <c r="C232" s="336">
        <v>5700</v>
      </c>
      <c r="D232" s="337">
        <f t="shared" si="3"/>
        <v>5650</v>
      </c>
    </row>
    <row r="233" spans="1:7" ht="15" customHeight="1">
      <c r="A233" s="350">
        <v>39412</v>
      </c>
      <c r="B233" s="336">
        <v>5600</v>
      </c>
      <c r="C233" s="336">
        <v>5700</v>
      </c>
      <c r="D233" s="337">
        <f t="shared" si="3"/>
        <v>5650</v>
      </c>
    </row>
    <row r="234" spans="1:7" ht="15" customHeight="1">
      <c r="A234" s="350">
        <v>39413</v>
      </c>
      <c r="B234" s="336">
        <v>5600</v>
      </c>
      <c r="C234" s="336">
        <v>5700</v>
      </c>
      <c r="D234" s="337">
        <f t="shared" si="3"/>
        <v>5650</v>
      </c>
    </row>
    <row r="235" spans="1:7" ht="15" customHeight="1">
      <c r="A235" s="350">
        <v>39414</v>
      </c>
      <c r="B235" s="336">
        <v>5600</v>
      </c>
      <c r="C235" s="336">
        <v>5700</v>
      </c>
      <c r="D235" s="337">
        <f t="shared" si="3"/>
        <v>5650</v>
      </c>
    </row>
    <row r="236" spans="1:7" ht="15" customHeight="1">
      <c r="A236" s="350">
        <v>39415</v>
      </c>
      <c r="B236" s="336">
        <v>5500</v>
      </c>
      <c r="C236" s="336">
        <v>5650</v>
      </c>
      <c r="D236" s="337">
        <f t="shared" si="3"/>
        <v>5575</v>
      </c>
    </row>
    <row r="237" spans="1:7" ht="15" customHeight="1" thickBot="1">
      <c r="A237" s="351">
        <v>39416</v>
      </c>
      <c r="B237" s="341">
        <v>5500</v>
      </c>
      <c r="C237" s="341">
        <v>5650</v>
      </c>
      <c r="D237" s="342">
        <f t="shared" si="3"/>
        <v>5575</v>
      </c>
      <c r="E237" s="343">
        <f>AVERAGE(D215:D237)</f>
        <v>5634.782608695652</v>
      </c>
      <c r="F237" s="343"/>
      <c r="G237" s="344"/>
    </row>
    <row r="238" spans="1:7" ht="15" customHeight="1">
      <c r="A238" s="350">
        <v>39419</v>
      </c>
      <c r="B238" s="336">
        <v>5500</v>
      </c>
      <c r="C238" s="336">
        <v>5650</v>
      </c>
      <c r="D238" s="337">
        <f t="shared" si="3"/>
        <v>5575</v>
      </c>
    </row>
    <row r="239" spans="1:7" ht="15" customHeight="1">
      <c r="A239" s="350">
        <v>39420</v>
      </c>
      <c r="B239" s="336">
        <v>5500</v>
      </c>
      <c r="C239" s="336">
        <v>5650</v>
      </c>
      <c r="D239" s="337">
        <f t="shared" si="3"/>
        <v>5575</v>
      </c>
    </row>
    <row r="240" spans="1:7" ht="15" customHeight="1">
      <c r="A240" s="350">
        <v>39421</v>
      </c>
      <c r="B240" s="336">
        <v>5500</v>
      </c>
      <c r="C240" s="336">
        <v>5650</v>
      </c>
      <c r="D240" s="337">
        <f t="shared" si="3"/>
        <v>5575</v>
      </c>
    </row>
    <row r="241" spans="1:10" ht="15" customHeight="1">
      <c r="A241" s="350">
        <v>39422</v>
      </c>
      <c r="B241" s="336">
        <v>5500</v>
      </c>
      <c r="C241" s="336">
        <v>5650</v>
      </c>
      <c r="D241" s="337">
        <f t="shared" si="3"/>
        <v>5575</v>
      </c>
    </row>
    <row r="242" spans="1:10" ht="15" customHeight="1">
      <c r="A242" s="350">
        <v>39423</v>
      </c>
      <c r="B242" s="336">
        <v>5500</v>
      </c>
      <c r="C242" s="336">
        <v>5650</v>
      </c>
      <c r="D242" s="337">
        <f t="shared" si="3"/>
        <v>5575</v>
      </c>
    </row>
    <row r="243" spans="1:10" ht="15" customHeight="1">
      <c r="A243" s="350">
        <v>39426</v>
      </c>
      <c r="B243" s="336">
        <v>5500</v>
      </c>
      <c r="C243" s="336">
        <v>5650</v>
      </c>
      <c r="D243" s="337">
        <f t="shared" si="3"/>
        <v>5575</v>
      </c>
    </row>
    <row r="244" spans="1:10" ht="15" customHeight="1">
      <c r="A244" s="350">
        <v>39427</v>
      </c>
      <c r="B244" s="336">
        <v>5500</v>
      </c>
      <c r="C244" s="336">
        <v>5650</v>
      </c>
      <c r="D244" s="337">
        <f t="shared" si="3"/>
        <v>5575</v>
      </c>
    </row>
    <row r="245" spans="1:10" ht="15" customHeight="1">
      <c r="A245" s="350">
        <v>39428</v>
      </c>
      <c r="B245" s="336">
        <v>5500</v>
      </c>
      <c r="C245" s="336">
        <v>5650</v>
      </c>
      <c r="D245" s="337">
        <f t="shared" si="3"/>
        <v>5575</v>
      </c>
    </row>
    <row r="246" spans="1:10" ht="15" customHeight="1">
      <c r="A246" s="350">
        <v>39429</v>
      </c>
      <c r="B246" s="336">
        <v>5470</v>
      </c>
      <c r="C246" s="336">
        <v>5550</v>
      </c>
      <c r="D246" s="337">
        <f t="shared" si="3"/>
        <v>5510</v>
      </c>
      <c r="J246" s="352"/>
    </row>
    <row r="247" spans="1:10" ht="15" customHeight="1">
      <c r="A247" s="350">
        <v>39430</v>
      </c>
      <c r="B247" s="336">
        <v>5470</v>
      </c>
      <c r="C247" s="336">
        <v>5550</v>
      </c>
      <c r="D247" s="337">
        <f t="shared" si="3"/>
        <v>5510</v>
      </c>
      <c r="J247" s="352"/>
    </row>
    <row r="248" spans="1:10" ht="15" customHeight="1">
      <c r="A248" s="350">
        <v>39433</v>
      </c>
      <c r="B248" s="336">
        <v>5470</v>
      </c>
      <c r="C248" s="336">
        <v>5550</v>
      </c>
      <c r="D248" s="337">
        <f t="shared" si="3"/>
        <v>5510</v>
      </c>
    </row>
    <row r="249" spans="1:10" ht="15" customHeight="1">
      <c r="A249" s="350">
        <v>39434</v>
      </c>
      <c r="B249" s="336">
        <v>5470</v>
      </c>
      <c r="C249" s="336">
        <v>5550</v>
      </c>
      <c r="D249" s="337">
        <f t="shared" si="3"/>
        <v>5510</v>
      </c>
    </row>
    <row r="250" spans="1:10" ht="15" customHeight="1">
      <c r="A250" s="350">
        <v>39435</v>
      </c>
      <c r="B250" s="336">
        <v>5470</v>
      </c>
      <c r="C250" s="336">
        <v>5550</v>
      </c>
      <c r="D250" s="337">
        <f t="shared" si="3"/>
        <v>5510</v>
      </c>
    </row>
    <row r="251" spans="1:10" ht="15" customHeight="1">
      <c r="A251" s="350">
        <v>39436</v>
      </c>
      <c r="B251" s="336">
        <v>5470</v>
      </c>
      <c r="C251" s="336">
        <v>5550</v>
      </c>
      <c r="D251" s="337">
        <f t="shared" si="3"/>
        <v>5510</v>
      </c>
    </row>
    <row r="252" spans="1:10" ht="15" customHeight="1">
      <c r="A252" s="350">
        <v>39437</v>
      </c>
      <c r="B252" s="336">
        <v>5470</v>
      </c>
      <c r="C252" s="336">
        <v>5550</v>
      </c>
      <c r="D252" s="337">
        <f t="shared" si="3"/>
        <v>5510</v>
      </c>
    </row>
    <row r="253" spans="1:10" ht="15" customHeight="1">
      <c r="A253" s="350">
        <v>39443</v>
      </c>
      <c r="B253" s="336">
        <v>5470</v>
      </c>
      <c r="C253" s="336">
        <v>5550</v>
      </c>
      <c r="D253" s="337">
        <f t="shared" si="3"/>
        <v>5510</v>
      </c>
    </row>
    <row r="254" spans="1:10" ht="15" customHeight="1">
      <c r="A254" s="335">
        <v>39444</v>
      </c>
      <c r="B254" s="336">
        <v>5470</v>
      </c>
      <c r="C254" s="336">
        <v>5550</v>
      </c>
      <c r="D254" s="337">
        <f t="shared" si="3"/>
        <v>5510</v>
      </c>
    </row>
    <row r="255" spans="1:10" ht="15" customHeight="1" thickBot="1">
      <c r="A255" s="340">
        <v>39447</v>
      </c>
      <c r="B255" s="341">
        <v>5470</v>
      </c>
      <c r="C255" s="341">
        <v>5550</v>
      </c>
      <c r="D255" s="342">
        <f t="shared" si="3"/>
        <v>5510</v>
      </c>
      <c r="E255" s="343">
        <f>AVERAGE(D238:D255)</f>
        <v>5538.8888888888887</v>
      </c>
      <c r="F255" s="343">
        <f>AVERAGE(D3:D255)</f>
        <v>5476.52</v>
      </c>
      <c r="G255" s="344">
        <f>AVERAGE(D192:D255)</f>
        <v>5597.65625</v>
      </c>
    </row>
    <row r="256" spans="1:10" ht="15" customHeight="1">
      <c r="A256" s="350">
        <v>39449</v>
      </c>
      <c r="B256" s="336">
        <v>5470</v>
      </c>
      <c r="C256" s="336">
        <v>5550</v>
      </c>
      <c r="D256" s="337">
        <f t="shared" si="3"/>
        <v>5510</v>
      </c>
    </row>
    <row r="257" spans="1:4" ht="15" customHeight="1">
      <c r="A257" s="350">
        <v>39450</v>
      </c>
      <c r="B257" s="336">
        <v>5470</v>
      </c>
      <c r="C257" s="336">
        <v>5550</v>
      </c>
      <c r="D257" s="337">
        <f t="shared" si="3"/>
        <v>5510</v>
      </c>
    </row>
    <row r="258" spans="1:4" ht="15" customHeight="1">
      <c r="A258" s="350">
        <v>39451</v>
      </c>
      <c r="B258" s="336">
        <v>5470</v>
      </c>
      <c r="C258" s="336">
        <v>5550</v>
      </c>
      <c r="D258" s="337">
        <f t="shared" ref="D258:D312" si="4">AVERAGE(B258:C258)</f>
        <v>5510</v>
      </c>
    </row>
    <row r="259" spans="1:4" ht="15" customHeight="1">
      <c r="A259" s="350">
        <v>39454</v>
      </c>
      <c r="B259" s="336">
        <v>5470</v>
      </c>
      <c r="C259" s="336">
        <v>5550</v>
      </c>
      <c r="D259" s="337">
        <f t="shared" si="4"/>
        <v>5510</v>
      </c>
    </row>
    <row r="260" spans="1:4" ht="15" customHeight="1">
      <c r="A260" s="350">
        <v>39455</v>
      </c>
      <c r="B260" s="336">
        <v>5470</v>
      </c>
      <c r="C260" s="336">
        <v>5550</v>
      </c>
      <c r="D260" s="337">
        <f t="shared" si="4"/>
        <v>5510</v>
      </c>
    </row>
    <row r="261" spans="1:4" ht="15" customHeight="1">
      <c r="A261" s="350">
        <v>39456</v>
      </c>
      <c r="B261" s="336">
        <v>5470</v>
      </c>
      <c r="C261" s="336">
        <v>5550</v>
      </c>
      <c r="D261" s="337">
        <f t="shared" si="4"/>
        <v>5510</v>
      </c>
    </row>
    <row r="262" spans="1:4" ht="15" customHeight="1">
      <c r="A262" s="350">
        <v>39457</v>
      </c>
      <c r="B262" s="336">
        <v>5470</v>
      </c>
      <c r="C262" s="336">
        <v>5550</v>
      </c>
      <c r="D262" s="337">
        <f t="shared" si="4"/>
        <v>5510</v>
      </c>
    </row>
    <row r="263" spans="1:4" ht="15" customHeight="1">
      <c r="A263" s="350">
        <v>39458</v>
      </c>
      <c r="B263" s="336">
        <v>5470</v>
      </c>
      <c r="C263" s="336">
        <v>5550</v>
      </c>
      <c r="D263" s="337">
        <f t="shared" si="4"/>
        <v>5510</v>
      </c>
    </row>
    <row r="264" spans="1:4" ht="15" customHeight="1">
      <c r="A264" s="350">
        <v>39461</v>
      </c>
      <c r="B264" s="336">
        <v>5470</v>
      </c>
      <c r="C264" s="336">
        <v>5550</v>
      </c>
      <c r="D264" s="337">
        <f t="shared" si="4"/>
        <v>5510</v>
      </c>
    </row>
    <row r="265" spans="1:4" ht="15" customHeight="1">
      <c r="A265" s="350">
        <v>39462</v>
      </c>
      <c r="B265" s="336">
        <v>5470</v>
      </c>
      <c r="C265" s="336">
        <v>5550</v>
      </c>
      <c r="D265" s="337">
        <f t="shared" si="4"/>
        <v>5510</v>
      </c>
    </row>
    <row r="266" spans="1:4" ht="15" customHeight="1">
      <c r="A266" s="350">
        <v>39463</v>
      </c>
      <c r="B266" s="336">
        <v>5470</v>
      </c>
      <c r="C266" s="336">
        <v>5550</v>
      </c>
      <c r="D266" s="337">
        <f t="shared" si="4"/>
        <v>5510</v>
      </c>
    </row>
    <row r="267" spans="1:4" ht="15" customHeight="1">
      <c r="A267" s="350">
        <v>39464</v>
      </c>
      <c r="B267" s="336">
        <v>5470</v>
      </c>
      <c r="C267" s="336">
        <v>5550</v>
      </c>
      <c r="D267" s="337">
        <f t="shared" si="4"/>
        <v>5510</v>
      </c>
    </row>
    <row r="268" spans="1:4" ht="15" customHeight="1">
      <c r="A268" s="350">
        <v>39465</v>
      </c>
      <c r="B268" s="336">
        <v>5470</v>
      </c>
      <c r="C268" s="336">
        <v>5550</v>
      </c>
      <c r="D268" s="337">
        <f t="shared" si="4"/>
        <v>5510</v>
      </c>
    </row>
    <row r="269" spans="1:4" ht="15" customHeight="1">
      <c r="A269" s="350">
        <v>39468</v>
      </c>
      <c r="B269" s="336">
        <v>5470</v>
      </c>
      <c r="C269" s="336">
        <v>5550</v>
      </c>
      <c r="D269" s="337">
        <f t="shared" si="4"/>
        <v>5510</v>
      </c>
    </row>
    <row r="270" spans="1:4" ht="15" customHeight="1">
      <c r="A270" s="350">
        <v>39469</v>
      </c>
      <c r="B270" s="336">
        <v>5470</v>
      </c>
      <c r="C270" s="336">
        <v>5550</v>
      </c>
      <c r="D270" s="337">
        <f t="shared" si="4"/>
        <v>5510</v>
      </c>
    </row>
    <row r="271" spans="1:4" ht="15" customHeight="1">
      <c r="A271" s="350">
        <v>39470</v>
      </c>
      <c r="B271" s="336">
        <v>5470</v>
      </c>
      <c r="C271" s="336">
        <v>5550</v>
      </c>
      <c r="D271" s="337">
        <f t="shared" si="4"/>
        <v>5510</v>
      </c>
    </row>
    <row r="272" spans="1:4" ht="15" customHeight="1">
      <c r="A272" s="350">
        <v>39471</v>
      </c>
      <c r="B272" s="336">
        <v>5550</v>
      </c>
      <c r="C272" s="336">
        <v>5650</v>
      </c>
      <c r="D272" s="337">
        <f t="shared" si="4"/>
        <v>5600</v>
      </c>
    </row>
    <row r="273" spans="1:7" ht="15" customHeight="1">
      <c r="A273" s="350">
        <v>39472</v>
      </c>
      <c r="B273" s="336">
        <v>5550</v>
      </c>
      <c r="C273" s="336">
        <v>5700</v>
      </c>
      <c r="D273" s="337">
        <f t="shared" si="4"/>
        <v>5625</v>
      </c>
    </row>
    <row r="274" spans="1:7" ht="15" customHeight="1">
      <c r="A274" s="350">
        <v>39475</v>
      </c>
      <c r="B274" s="336">
        <v>5550</v>
      </c>
      <c r="C274" s="336">
        <v>5650</v>
      </c>
      <c r="D274" s="337">
        <f t="shared" si="4"/>
        <v>5600</v>
      </c>
    </row>
    <row r="275" spans="1:7" ht="15" customHeight="1">
      <c r="A275" s="335">
        <v>39476</v>
      </c>
      <c r="B275" s="336">
        <v>5550</v>
      </c>
      <c r="C275" s="336">
        <v>5650</v>
      </c>
      <c r="D275" s="337">
        <f t="shared" si="4"/>
        <v>5600</v>
      </c>
    </row>
    <row r="276" spans="1:7" ht="15" customHeight="1">
      <c r="A276" s="335">
        <v>39477</v>
      </c>
      <c r="B276" s="336">
        <v>5550</v>
      </c>
      <c r="C276" s="336">
        <v>5650</v>
      </c>
      <c r="D276" s="337">
        <f t="shared" si="4"/>
        <v>5600</v>
      </c>
    </row>
    <row r="277" spans="1:7" ht="15" customHeight="1" thickBot="1">
      <c r="A277" s="340">
        <v>39478</v>
      </c>
      <c r="B277" s="341">
        <v>5550</v>
      </c>
      <c r="C277" s="341">
        <v>5700</v>
      </c>
      <c r="D277" s="342">
        <f t="shared" si="4"/>
        <v>5625</v>
      </c>
      <c r="E277" s="343">
        <f>AVERAGE(D256:D277)</f>
        <v>5536.818181818182</v>
      </c>
      <c r="F277" s="343"/>
      <c r="G277" s="344"/>
    </row>
    <row r="278" spans="1:7" ht="15" customHeight="1">
      <c r="A278" s="335">
        <v>39479</v>
      </c>
      <c r="B278" s="336">
        <v>5600</v>
      </c>
      <c r="C278" s="336">
        <v>5700</v>
      </c>
      <c r="D278" s="337">
        <f t="shared" si="4"/>
        <v>5650</v>
      </c>
    </row>
    <row r="279" spans="1:7" ht="15" customHeight="1">
      <c r="A279" s="335">
        <v>39482</v>
      </c>
      <c r="B279" s="336">
        <v>5600</v>
      </c>
      <c r="C279" s="336">
        <v>5700</v>
      </c>
      <c r="D279" s="337">
        <f t="shared" si="4"/>
        <v>5650</v>
      </c>
    </row>
    <row r="280" spans="1:7" ht="15" customHeight="1">
      <c r="A280" s="335">
        <v>39483</v>
      </c>
      <c r="B280" s="336">
        <v>5600</v>
      </c>
      <c r="C280" s="336">
        <v>5700</v>
      </c>
      <c r="D280" s="337">
        <f t="shared" si="4"/>
        <v>5650</v>
      </c>
    </row>
    <row r="281" spans="1:7" ht="15" customHeight="1">
      <c r="A281" s="335">
        <v>39484</v>
      </c>
      <c r="B281" s="336">
        <v>5600</v>
      </c>
      <c r="C281" s="336">
        <v>5700</v>
      </c>
      <c r="D281" s="337">
        <f t="shared" si="4"/>
        <v>5650</v>
      </c>
    </row>
    <row r="282" spans="1:7" ht="15" customHeight="1">
      <c r="A282" s="335">
        <v>39485</v>
      </c>
      <c r="B282" s="336">
        <v>5800</v>
      </c>
      <c r="C282" s="336">
        <v>5900</v>
      </c>
      <c r="D282" s="337">
        <f t="shared" si="4"/>
        <v>5850</v>
      </c>
    </row>
    <row r="283" spans="1:7" ht="15" customHeight="1">
      <c r="A283" s="350">
        <v>39486</v>
      </c>
      <c r="B283" s="336">
        <v>5800</v>
      </c>
      <c r="C283" s="336">
        <v>5900</v>
      </c>
      <c r="D283" s="337">
        <f t="shared" si="4"/>
        <v>5850</v>
      </c>
    </row>
    <row r="284" spans="1:7" ht="15" customHeight="1">
      <c r="A284" s="350">
        <v>39489</v>
      </c>
      <c r="B284" s="336">
        <v>5900</v>
      </c>
      <c r="C284" s="336">
        <v>6000</v>
      </c>
      <c r="D284" s="337">
        <f t="shared" si="4"/>
        <v>5950</v>
      </c>
    </row>
    <row r="285" spans="1:7" ht="15" customHeight="1">
      <c r="A285" s="350">
        <v>39490</v>
      </c>
      <c r="B285" s="336">
        <v>5900</v>
      </c>
      <c r="C285" s="336">
        <v>6000</v>
      </c>
      <c r="D285" s="337">
        <f t="shared" si="4"/>
        <v>5950</v>
      </c>
    </row>
    <row r="286" spans="1:7" ht="15" customHeight="1">
      <c r="A286" s="350">
        <v>39491</v>
      </c>
      <c r="B286" s="336">
        <v>5900</v>
      </c>
      <c r="C286" s="336">
        <v>6000</v>
      </c>
      <c r="D286" s="337">
        <f t="shared" si="4"/>
        <v>5950</v>
      </c>
    </row>
    <row r="287" spans="1:7" ht="15" customHeight="1">
      <c r="A287" s="350">
        <v>39492</v>
      </c>
      <c r="B287" s="336">
        <v>5900</v>
      </c>
      <c r="C287" s="336">
        <v>6000</v>
      </c>
      <c r="D287" s="337">
        <f t="shared" si="4"/>
        <v>5950</v>
      </c>
    </row>
    <row r="288" spans="1:7" ht="15" customHeight="1">
      <c r="A288" s="350">
        <v>39493</v>
      </c>
      <c r="B288" s="336">
        <v>5900</v>
      </c>
      <c r="C288" s="336">
        <v>6000</v>
      </c>
      <c r="D288" s="337">
        <f t="shared" si="4"/>
        <v>5950</v>
      </c>
    </row>
    <row r="289" spans="1:7" ht="15" customHeight="1">
      <c r="A289" s="350">
        <v>39496</v>
      </c>
      <c r="B289" s="336">
        <v>5900</v>
      </c>
      <c r="C289" s="336">
        <v>6000</v>
      </c>
      <c r="D289" s="337">
        <f t="shared" si="4"/>
        <v>5950</v>
      </c>
    </row>
    <row r="290" spans="1:7" ht="15" customHeight="1">
      <c r="A290" s="350">
        <v>39497</v>
      </c>
      <c r="B290" s="336">
        <v>5900</v>
      </c>
      <c r="C290" s="336">
        <v>6000</v>
      </c>
      <c r="D290" s="337">
        <f t="shared" si="4"/>
        <v>5950</v>
      </c>
    </row>
    <row r="291" spans="1:7" ht="15" customHeight="1">
      <c r="A291" s="350">
        <v>39498</v>
      </c>
      <c r="B291" s="336">
        <v>5900</v>
      </c>
      <c r="C291" s="336">
        <v>6000</v>
      </c>
      <c r="D291" s="337">
        <f t="shared" si="4"/>
        <v>5950</v>
      </c>
    </row>
    <row r="292" spans="1:7" ht="15" customHeight="1">
      <c r="A292" s="350">
        <v>39499</v>
      </c>
      <c r="B292" s="336">
        <v>5900</v>
      </c>
      <c r="C292" s="336">
        <v>6000</v>
      </c>
      <c r="D292" s="337">
        <f t="shared" si="4"/>
        <v>5950</v>
      </c>
    </row>
    <row r="293" spans="1:7" ht="15" customHeight="1">
      <c r="A293" s="350">
        <v>39500</v>
      </c>
      <c r="B293" s="336">
        <v>5900</v>
      </c>
      <c r="C293" s="336">
        <v>6000</v>
      </c>
      <c r="D293" s="337">
        <f t="shared" si="4"/>
        <v>5950</v>
      </c>
    </row>
    <row r="294" spans="1:7" ht="15" customHeight="1">
      <c r="A294" s="350">
        <v>39503</v>
      </c>
      <c r="B294" s="336">
        <v>5900</v>
      </c>
      <c r="C294" s="336">
        <v>6000</v>
      </c>
      <c r="D294" s="337">
        <f t="shared" si="4"/>
        <v>5950</v>
      </c>
    </row>
    <row r="295" spans="1:7" ht="15" customHeight="1">
      <c r="A295" s="350">
        <v>39504</v>
      </c>
      <c r="B295" s="336">
        <v>5900</v>
      </c>
      <c r="C295" s="336">
        <v>6000</v>
      </c>
      <c r="D295" s="337">
        <f t="shared" si="4"/>
        <v>5950</v>
      </c>
    </row>
    <row r="296" spans="1:7" ht="15" customHeight="1">
      <c r="A296" s="350">
        <v>39505</v>
      </c>
      <c r="B296" s="336">
        <v>5900</v>
      </c>
      <c r="C296" s="336">
        <v>6000</v>
      </c>
      <c r="D296" s="337">
        <f t="shared" si="4"/>
        <v>5950</v>
      </c>
    </row>
    <row r="297" spans="1:7" ht="15" customHeight="1">
      <c r="A297" s="350">
        <v>39506</v>
      </c>
      <c r="B297" s="336">
        <v>5900</v>
      </c>
      <c r="C297" s="336">
        <v>6000</v>
      </c>
      <c r="D297" s="337">
        <f t="shared" si="4"/>
        <v>5950</v>
      </c>
    </row>
    <row r="298" spans="1:7" ht="15" customHeight="1" thickBot="1">
      <c r="A298" s="351">
        <v>39507</v>
      </c>
      <c r="B298" s="341">
        <v>5900</v>
      </c>
      <c r="C298" s="341">
        <v>6000</v>
      </c>
      <c r="D298" s="342">
        <f t="shared" si="4"/>
        <v>5950</v>
      </c>
      <c r="E298" s="343">
        <f>AVERAGE(D278:D298)</f>
        <v>5883.333333333333</v>
      </c>
      <c r="F298" s="343"/>
      <c r="G298" s="344"/>
    </row>
    <row r="299" spans="1:7" ht="15" customHeight="1">
      <c r="A299" s="350">
        <v>39510</v>
      </c>
      <c r="B299" s="336">
        <v>5900</v>
      </c>
      <c r="C299" s="336">
        <v>6000</v>
      </c>
      <c r="D299" s="337">
        <f t="shared" si="4"/>
        <v>5950</v>
      </c>
    </row>
    <row r="300" spans="1:7" ht="15" customHeight="1">
      <c r="A300" s="350">
        <v>39511</v>
      </c>
      <c r="B300" s="336">
        <v>5900</v>
      </c>
      <c r="C300" s="336">
        <v>6000</v>
      </c>
      <c r="D300" s="337">
        <f t="shared" si="4"/>
        <v>5950</v>
      </c>
    </row>
    <row r="301" spans="1:7" ht="15" customHeight="1">
      <c r="A301" s="350">
        <v>39512</v>
      </c>
      <c r="B301" s="336">
        <v>5900</v>
      </c>
      <c r="C301" s="336">
        <v>6000</v>
      </c>
      <c r="D301" s="337">
        <f t="shared" si="4"/>
        <v>5950</v>
      </c>
    </row>
    <row r="302" spans="1:7" ht="15" customHeight="1">
      <c r="A302" s="350">
        <v>39513</v>
      </c>
      <c r="B302" s="336">
        <v>5900</v>
      </c>
      <c r="C302" s="336">
        <v>6000</v>
      </c>
      <c r="D302" s="337">
        <f t="shared" si="4"/>
        <v>5950</v>
      </c>
    </row>
    <row r="303" spans="1:7" ht="15" customHeight="1">
      <c r="A303" s="350">
        <v>39514</v>
      </c>
      <c r="B303" s="336">
        <v>5800</v>
      </c>
      <c r="C303" s="336">
        <v>5900</v>
      </c>
      <c r="D303" s="337">
        <f t="shared" si="4"/>
        <v>5850</v>
      </c>
    </row>
    <row r="304" spans="1:7" ht="15" customHeight="1">
      <c r="A304" s="350">
        <v>39517</v>
      </c>
      <c r="B304" s="336">
        <v>5800</v>
      </c>
      <c r="C304" s="336">
        <v>5900</v>
      </c>
      <c r="D304" s="337">
        <f t="shared" si="4"/>
        <v>5850</v>
      </c>
    </row>
    <row r="305" spans="1:11" ht="15" customHeight="1">
      <c r="A305" s="350">
        <v>39518</v>
      </c>
      <c r="B305" s="336">
        <v>5800</v>
      </c>
      <c r="C305" s="336">
        <v>5900</v>
      </c>
      <c r="D305" s="337">
        <f t="shared" si="4"/>
        <v>5850</v>
      </c>
    </row>
    <row r="306" spans="1:11" ht="15" customHeight="1">
      <c r="A306" s="350">
        <v>39519</v>
      </c>
      <c r="B306" s="336">
        <v>5800</v>
      </c>
      <c r="C306" s="336">
        <v>5900</v>
      </c>
      <c r="D306" s="337">
        <f t="shared" si="4"/>
        <v>5850</v>
      </c>
    </row>
    <row r="307" spans="1:11" ht="15" customHeight="1">
      <c r="A307" s="350">
        <v>39520</v>
      </c>
      <c r="B307" s="336">
        <v>5800</v>
      </c>
      <c r="C307" s="336">
        <v>5900</v>
      </c>
      <c r="D307" s="337">
        <f t="shared" si="4"/>
        <v>5850</v>
      </c>
    </row>
    <row r="308" spans="1:11" ht="15" customHeight="1">
      <c r="A308" s="350">
        <v>39521</v>
      </c>
      <c r="B308" s="336">
        <v>5650</v>
      </c>
      <c r="C308" s="336">
        <v>5750</v>
      </c>
      <c r="D308" s="337">
        <f t="shared" si="4"/>
        <v>5700</v>
      </c>
    </row>
    <row r="309" spans="1:11" ht="15" customHeight="1">
      <c r="A309" s="350">
        <v>39524</v>
      </c>
      <c r="B309" s="336">
        <v>5650</v>
      </c>
      <c r="C309" s="336">
        <v>5750</v>
      </c>
      <c r="D309" s="337">
        <f t="shared" si="4"/>
        <v>5700</v>
      </c>
    </row>
    <row r="310" spans="1:11" ht="15" customHeight="1">
      <c r="A310" s="350">
        <v>39525</v>
      </c>
      <c r="B310" s="336">
        <v>5650</v>
      </c>
      <c r="C310" s="336">
        <v>5750</v>
      </c>
      <c r="D310" s="337">
        <f t="shared" si="4"/>
        <v>5700</v>
      </c>
    </row>
    <row r="311" spans="1:11" ht="15" customHeight="1">
      <c r="A311" s="350">
        <v>39526</v>
      </c>
      <c r="B311" s="336">
        <v>5650</v>
      </c>
      <c r="C311" s="336">
        <v>5750</v>
      </c>
      <c r="D311" s="337">
        <f t="shared" si="4"/>
        <v>5700</v>
      </c>
    </row>
    <row r="312" spans="1:11" ht="15" customHeight="1">
      <c r="A312" s="350">
        <v>39527</v>
      </c>
      <c r="B312" s="336">
        <v>5650</v>
      </c>
      <c r="C312" s="336">
        <v>5750</v>
      </c>
      <c r="D312" s="337">
        <f t="shared" si="4"/>
        <v>5700</v>
      </c>
    </row>
    <row r="313" spans="1:11" ht="15" customHeight="1">
      <c r="A313" s="350">
        <v>39528</v>
      </c>
      <c r="B313" s="1411" t="s">
        <v>74</v>
      </c>
      <c r="C313" s="1411"/>
      <c r="D313" s="1411"/>
      <c r="E313" s="1411"/>
      <c r="F313" s="1411"/>
      <c r="G313" s="1411"/>
      <c r="H313" s="353"/>
      <c r="I313" s="353"/>
      <c r="J313" s="353"/>
      <c r="K313" s="353"/>
    </row>
    <row r="314" spans="1:11" ht="15" customHeight="1">
      <c r="A314" s="350">
        <v>39531</v>
      </c>
      <c r="B314" s="1411"/>
      <c r="C314" s="1411"/>
      <c r="D314" s="1411"/>
      <c r="E314" s="1411"/>
      <c r="F314" s="1411"/>
      <c r="G314" s="1411"/>
      <c r="H314" s="353"/>
      <c r="I314" s="353"/>
      <c r="J314" s="353"/>
      <c r="K314" s="353"/>
    </row>
    <row r="315" spans="1:11" ht="15" customHeight="1">
      <c r="A315" s="350">
        <v>39532</v>
      </c>
      <c r="B315" s="336">
        <v>5650</v>
      </c>
      <c r="C315" s="336">
        <v>5750</v>
      </c>
      <c r="D315" s="337">
        <f t="shared" ref="D315:D378" si="5">AVERAGE(B315:C315)</f>
        <v>5700</v>
      </c>
    </row>
    <row r="316" spans="1:11" ht="15" customHeight="1">
      <c r="A316" s="350">
        <v>39533</v>
      </c>
      <c r="B316" s="336">
        <v>5650</v>
      </c>
      <c r="C316" s="336">
        <v>5750</v>
      </c>
      <c r="D316" s="337">
        <f t="shared" si="5"/>
        <v>5700</v>
      </c>
    </row>
    <row r="317" spans="1:11" ht="15" customHeight="1">
      <c r="A317" s="350">
        <v>39534</v>
      </c>
      <c r="B317" s="336">
        <v>5650</v>
      </c>
      <c r="C317" s="336">
        <v>5750</v>
      </c>
      <c r="D317" s="337">
        <f t="shared" si="5"/>
        <v>5700</v>
      </c>
    </row>
    <row r="318" spans="1:11" ht="15" customHeight="1">
      <c r="A318" s="350">
        <v>39535</v>
      </c>
      <c r="B318" s="336">
        <v>5650</v>
      </c>
      <c r="C318" s="336">
        <v>5750</v>
      </c>
      <c r="D318" s="337">
        <f t="shared" si="5"/>
        <v>5700</v>
      </c>
    </row>
    <row r="319" spans="1:11" ht="15" customHeight="1" thickBot="1">
      <c r="A319" s="351">
        <v>39538</v>
      </c>
      <c r="B319" s="341">
        <v>5650</v>
      </c>
      <c r="C319" s="341">
        <v>5750</v>
      </c>
      <c r="D319" s="342">
        <f t="shared" si="5"/>
        <v>5700</v>
      </c>
      <c r="E319" s="343">
        <f>AVERAGE(D299:D319)</f>
        <v>5792.105263157895</v>
      </c>
      <c r="F319" s="343"/>
      <c r="G319" s="344">
        <f>AVERAGE(D256:D319)</f>
        <v>5732.4193548387093</v>
      </c>
    </row>
    <row r="320" spans="1:11" ht="15" customHeight="1">
      <c r="A320" s="350">
        <v>39539</v>
      </c>
      <c r="B320" s="336">
        <v>5650</v>
      </c>
      <c r="C320" s="336">
        <v>5750</v>
      </c>
      <c r="D320" s="337">
        <f t="shared" si="5"/>
        <v>5700</v>
      </c>
    </row>
    <row r="321" spans="1:4" ht="15" customHeight="1">
      <c r="A321" s="350">
        <v>39540</v>
      </c>
      <c r="B321" s="336">
        <v>5650</v>
      </c>
      <c r="C321" s="336">
        <v>5750</v>
      </c>
      <c r="D321" s="337">
        <f t="shared" si="5"/>
        <v>5700</v>
      </c>
    </row>
    <row r="322" spans="1:4" ht="15" customHeight="1">
      <c r="A322" s="350">
        <v>39541</v>
      </c>
      <c r="B322" s="336">
        <v>5650</v>
      </c>
      <c r="C322" s="336">
        <v>5750</v>
      </c>
      <c r="D322" s="337">
        <f t="shared" si="5"/>
        <v>5700</v>
      </c>
    </row>
    <row r="323" spans="1:4" ht="15" customHeight="1">
      <c r="A323" s="350">
        <v>39542</v>
      </c>
      <c r="B323" s="336">
        <v>5650</v>
      </c>
      <c r="C323" s="336">
        <v>5750</v>
      </c>
      <c r="D323" s="337">
        <f t="shared" si="5"/>
        <v>5700</v>
      </c>
    </row>
    <row r="324" spans="1:4" ht="15" customHeight="1">
      <c r="A324" s="350">
        <v>39545</v>
      </c>
      <c r="B324" s="336">
        <v>5650</v>
      </c>
      <c r="C324" s="336">
        <v>5750</v>
      </c>
      <c r="D324" s="337">
        <f t="shared" si="5"/>
        <v>5700</v>
      </c>
    </row>
    <row r="325" spans="1:4" ht="15" customHeight="1">
      <c r="A325" s="350">
        <v>39546</v>
      </c>
      <c r="B325" s="336">
        <v>5650</v>
      </c>
      <c r="C325" s="336">
        <v>5750</v>
      </c>
      <c r="D325" s="337">
        <f t="shared" si="5"/>
        <v>5700</v>
      </c>
    </row>
    <row r="326" spans="1:4" ht="15" customHeight="1">
      <c r="A326" s="350">
        <v>39547</v>
      </c>
      <c r="B326" s="336">
        <v>5650</v>
      </c>
      <c r="C326" s="336">
        <v>5750</v>
      </c>
      <c r="D326" s="337">
        <f t="shared" si="5"/>
        <v>5700</v>
      </c>
    </row>
    <row r="327" spans="1:4" ht="15" customHeight="1">
      <c r="A327" s="350">
        <v>39548</v>
      </c>
      <c r="B327" s="336">
        <v>5800</v>
      </c>
      <c r="C327" s="336">
        <v>5900</v>
      </c>
      <c r="D327" s="337">
        <f t="shared" si="5"/>
        <v>5850</v>
      </c>
    </row>
    <row r="328" spans="1:4" ht="15" customHeight="1">
      <c r="A328" s="350">
        <v>39549</v>
      </c>
      <c r="B328" s="336">
        <v>5800</v>
      </c>
      <c r="C328" s="336">
        <v>5900</v>
      </c>
      <c r="D328" s="337">
        <f t="shared" si="5"/>
        <v>5850</v>
      </c>
    </row>
    <row r="329" spans="1:4" ht="15" customHeight="1">
      <c r="A329" s="350">
        <v>39552</v>
      </c>
      <c r="B329" s="336">
        <v>5800</v>
      </c>
      <c r="C329" s="336">
        <v>5900</v>
      </c>
      <c r="D329" s="337">
        <f t="shared" si="5"/>
        <v>5850</v>
      </c>
    </row>
    <row r="330" spans="1:4" ht="15" customHeight="1">
      <c r="A330" s="350">
        <v>39553</v>
      </c>
      <c r="B330" s="336">
        <v>5800</v>
      </c>
      <c r="C330" s="336">
        <v>5900</v>
      </c>
      <c r="D330" s="337">
        <f t="shared" si="5"/>
        <v>5850</v>
      </c>
    </row>
    <row r="331" spans="1:4" ht="15" customHeight="1">
      <c r="A331" s="350">
        <v>39554</v>
      </c>
      <c r="B331" s="336">
        <v>5800</v>
      </c>
      <c r="C331" s="336">
        <v>5900</v>
      </c>
      <c r="D331" s="337">
        <f t="shared" si="5"/>
        <v>5850</v>
      </c>
    </row>
    <row r="332" spans="1:4" ht="15" customHeight="1">
      <c r="A332" s="350">
        <v>39555</v>
      </c>
      <c r="B332" s="336">
        <v>5800</v>
      </c>
      <c r="C332" s="336">
        <v>5900</v>
      </c>
      <c r="D332" s="337">
        <f t="shared" si="5"/>
        <v>5850</v>
      </c>
    </row>
    <row r="333" spans="1:4" ht="15" customHeight="1">
      <c r="A333" s="350">
        <v>39556</v>
      </c>
      <c r="B333" s="336">
        <v>5850</v>
      </c>
      <c r="C333" s="336">
        <v>5950</v>
      </c>
      <c r="D333" s="337">
        <f t="shared" si="5"/>
        <v>5900</v>
      </c>
    </row>
    <row r="334" spans="1:4" ht="15" customHeight="1">
      <c r="A334" s="350">
        <v>39559</v>
      </c>
      <c r="B334" s="336">
        <v>5850</v>
      </c>
      <c r="C334" s="336">
        <v>5950</v>
      </c>
      <c r="D334" s="337">
        <f t="shared" si="5"/>
        <v>5900</v>
      </c>
    </row>
    <row r="335" spans="1:4" ht="15" customHeight="1">
      <c r="A335" s="350">
        <v>39560</v>
      </c>
      <c r="B335" s="336">
        <v>5850</v>
      </c>
      <c r="C335" s="336">
        <v>5950</v>
      </c>
      <c r="D335" s="337">
        <f t="shared" si="5"/>
        <v>5900</v>
      </c>
    </row>
    <row r="336" spans="1:4" ht="15" customHeight="1">
      <c r="A336" s="350">
        <v>39561</v>
      </c>
      <c r="B336" s="336">
        <v>5850</v>
      </c>
      <c r="C336" s="336">
        <v>5950</v>
      </c>
      <c r="D336" s="337">
        <f t="shared" si="5"/>
        <v>5900</v>
      </c>
    </row>
    <row r="337" spans="1:9" ht="15" customHeight="1">
      <c r="A337" s="350">
        <v>39562</v>
      </c>
      <c r="B337" s="336">
        <v>5850</v>
      </c>
      <c r="C337" s="336">
        <v>5950</v>
      </c>
      <c r="D337" s="337">
        <f t="shared" si="5"/>
        <v>5900</v>
      </c>
    </row>
    <row r="338" spans="1:9" ht="15" customHeight="1">
      <c r="A338" s="350">
        <v>39563</v>
      </c>
      <c r="B338" s="336">
        <v>5850</v>
      </c>
      <c r="C338" s="336">
        <v>5950</v>
      </c>
      <c r="D338" s="337">
        <f t="shared" si="5"/>
        <v>5900</v>
      </c>
    </row>
    <row r="339" spans="1:9" ht="15" customHeight="1">
      <c r="A339" s="350">
        <v>39566</v>
      </c>
      <c r="B339" s="336">
        <v>5850</v>
      </c>
      <c r="C339" s="336">
        <v>5950</v>
      </c>
      <c r="D339" s="337">
        <f t="shared" si="5"/>
        <v>5900</v>
      </c>
    </row>
    <row r="340" spans="1:9" ht="15" customHeight="1">
      <c r="A340" s="350">
        <v>39567</v>
      </c>
      <c r="B340" s="336">
        <v>5850</v>
      </c>
      <c r="C340" s="336">
        <v>5950</v>
      </c>
      <c r="D340" s="337">
        <f t="shared" si="5"/>
        <v>5900</v>
      </c>
    </row>
    <row r="341" spans="1:9" ht="15" customHeight="1" thickBot="1">
      <c r="A341" s="351">
        <v>39568</v>
      </c>
      <c r="B341" s="341">
        <v>6000</v>
      </c>
      <c r="C341" s="341">
        <v>6200</v>
      </c>
      <c r="D341" s="342">
        <f t="shared" si="5"/>
        <v>6100</v>
      </c>
      <c r="E341" s="343">
        <f>AVERAGE(D320:D341)</f>
        <v>5831.818181818182</v>
      </c>
      <c r="F341" s="343"/>
      <c r="G341" s="344"/>
    </row>
    <row r="342" spans="1:9" ht="15" customHeight="1">
      <c r="A342" s="350">
        <v>39569</v>
      </c>
      <c r="B342" s="336">
        <v>6000</v>
      </c>
      <c r="C342" s="336">
        <v>6200</v>
      </c>
      <c r="D342" s="337">
        <f t="shared" si="5"/>
        <v>6100</v>
      </c>
    </row>
    <row r="343" spans="1:9" ht="15" customHeight="1">
      <c r="A343" s="350">
        <v>39570</v>
      </c>
      <c r="B343" s="336">
        <v>6000</v>
      </c>
      <c r="C343" s="336">
        <v>6200</v>
      </c>
      <c r="D343" s="337">
        <f t="shared" si="5"/>
        <v>6100</v>
      </c>
    </row>
    <row r="344" spans="1:9" ht="15" customHeight="1">
      <c r="A344" s="350">
        <v>39573</v>
      </c>
      <c r="B344" s="1411" t="s">
        <v>75</v>
      </c>
      <c r="C344" s="1411"/>
      <c r="D344" s="1411"/>
      <c r="E344" s="1411"/>
      <c r="F344" s="1411"/>
      <c r="G344" s="1411"/>
      <c r="H344" s="1411"/>
      <c r="I344" s="1411"/>
    </row>
    <row r="345" spans="1:9" ht="15" customHeight="1">
      <c r="A345" s="350">
        <v>39574</v>
      </c>
      <c r="B345" s="336">
        <v>6000</v>
      </c>
      <c r="C345" s="336">
        <v>6200</v>
      </c>
      <c r="D345" s="337">
        <f t="shared" si="5"/>
        <v>6100</v>
      </c>
    </row>
    <row r="346" spans="1:9" ht="15" customHeight="1">
      <c r="A346" s="350">
        <v>39575</v>
      </c>
      <c r="B346" s="336">
        <v>6000</v>
      </c>
      <c r="C346" s="336">
        <v>6200</v>
      </c>
      <c r="D346" s="337">
        <f t="shared" si="5"/>
        <v>6100</v>
      </c>
    </row>
    <row r="347" spans="1:9" ht="15" customHeight="1">
      <c r="A347" s="350">
        <v>39576</v>
      </c>
      <c r="B347" s="336">
        <v>6000</v>
      </c>
      <c r="C347" s="336">
        <v>6200</v>
      </c>
      <c r="D347" s="337">
        <f t="shared" si="5"/>
        <v>6100</v>
      </c>
    </row>
    <row r="348" spans="1:9" ht="15" customHeight="1">
      <c r="A348" s="350">
        <v>39577</v>
      </c>
      <c r="B348" s="336">
        <v>6250</v>
      </c>
      <c r="C348" s="336">
        <v>6400</v>
      </c>
      <c r="D348" s="337">
        <f t="shared" si="5"/>
        <v>6325</v>
      </c>
    </row>
    <row r="349" spans="1:9" ht="15" customHeight="1">
      <c r="A349" s="350">
        <v>39580</v>
      </c>
      <c r="B349" s="336">
        <v>6250</v>
      </c>
      <c r="C349" s="336">
        <v>6400</v>
      </c>
      <c r="D349" s="337">
        <f t="shared" si="5"/>
        <v>6325</v>
      </c>
    </row>
    <row r="350" spans="1:9" ht="15" customHeight="1">
      <c r="A350" s="350">
        <v>39581</v>
      </c>
      <c r="B350" s="336">
        <v>6250</v>
      </c>
      <c r="C350" s="336">
        <v>6400</v>
      </c>
      <c r="D350" s="337">
        <f t="shared" si="5"/>
        <v>6325</v>
      </c>
    </row>
    <row r="351" spans="1:9" ht="15" customHeight="1">
      <c r="A351" s="350">
        <v>39582</v>
      </c>
      <c r="B351" s="336">
        <v>6250</v>
      </c>
      <c r="C351" s="336">
        <v>6400</v>
      </c>
      <c r="D351" s="337">
        <f t="shared" si="5"/>
        <v>6325</v>
      </c>
    </row>
    <row r="352" spans="1:9" ht="15" customHeight="1">
      <c r="A352" s="350">
        <v>39583</v>
      </c>
      <c r="B352" s="336">
        <v>6350</v>
      </c>
      <c r="C352" s="336">
        <v>6450</v>
      </c>
      <c r="D352" s="337">
        <f t="shared" si="5"/>
        <v>6400</v>
      </c>
    </row>
    <row r="353" spans="1:9" ht="15" customHeight="1">
      <c r="A353" s="350">
        <v>39584</v>
      </c>
      <c r="B353" s="336">
        <v>6350</v>
      </c>
      <c r="C353" s="336">
        <v>6450</v>
      </c>
      <c r="D353" s="337">
        <f t="shared" si="5"/>
        <v>6400</v>
      </c>
    </row>
    <row r="354" spans="1:9" ht="15" customHeight="1">
      <c r="A354" s="350">
        <v>39587</v>
      </c>
      <c r="B354" s="336">
        <v>6350</v>
      </c>
      <c r="C354" s="336">
        <v>6450</v>
      </c>
      <c r="D354" s="337">
        <f t="shared" si="5"/>
        <v>6400</v>
      </c>
    </row>
    <row r="355" spans="1:9" ht="15" customHeight="1">
      <c r="A355" s="350">
        <v>39588</v>
      </c>
      <c r="B355" s="336">
        <v>6350</v>
      </c>
      <c r="C355" s="336">
        <v>6450</v>
      </c>
      <c r="D355" s="337">
        <f t="shared" si="5"/>
        <v>6400</v>
      </c>
    </row>
    <row r="356" spans="1:9" ht="15" customHeight="1">
      <c r="A356" s="350">
        <v>39589</v>
      </c>
      <c r="B356" s="336">
        <v>6350</v>
      </c>
      <c r="C356" s="336">
        <v>6450</v>
      </c>
      <c r="D356" s="337">
        <f t="shared" si="5"/>
        <v>6400</v>
      </c>
    </row>
    <row r="357" spans="1:9" ht="15" customHeight="1">
      <c r="A357" s="350">
        <v>39590</v>
      </c>
      <c r="B357" s="336">
        <v>6350</v>
      </c>
      <c r="C357" s="336">
        <v>6450</v>
      </c>
      <c r="D357" s="337">
        <f t="shared" si="5"/>
        <v>6400</v>
      </c>
    </row>
    <row r="358" spans="1:9" ht="15" customHeight="1">
      <c r="A358" s="350">
        <v>39501</v>
      </c>
      <c r="B358" s="336">
        <v>6350</v>
      </c>
      <c r="C358" s="336">
        <v>6450</v>
      </c>
      <c r="D358" s="337">
        <f t="shared" si="5"/>
        <v>6400</v>
      </c>
    </row>
    <row r="359" spans="1:9" ht="15" customHeight="1">
      <c r="A359" s="350">
        <v>39594</v>
      </c>
      <c r="B359" s="1411" t="s">
        <v>76</v>
      </c>
      <c r="C359" s="1411"/>
      <c r="D359" s="1411"/>
      <c r="E359" s="1411"/>
      <c r="F359" s="1411"/>
      <c r="G359" s="1411"/>
      <c r="H359" s="1411"/>
      <c r="I359" s="1411"/>
    </row>
    <row r="360" spans="1:9" ht="15" customHeight="1">
      <c r="A360" s="350">
        <v>39595</v>
      </c>
      <c r="B360" s="336">
        <v>6350</v>
      </c>
      <c r="C360" s="336">
        <v>6450</v>
      </c>
      <c r="D360" s="337">
        <f t="shared" si="5"/>
        <v>6400</v>
      </c>
    </row>
    <row r="361" spans="1:9" ht="15" customHeight="1">
      <c r="A361" s="350">
        <v>39596</v>
      </c>
      <c r="B361" s="336">
        <v>6350</v>
      </c>
      <c r="C361" s="336">
        <v>6450</v>
      </c>
      <c r="D361" s="337">
        <f t="shared" si="5"/>
        <v>6400</v>
      </c>
    </row>
    <row r="362" spans="1:9" ht="15" customHeight="1">
      <c r="A362" s="350">
        <v>39597</v>
      </c>
      <c r="B362" s="336">
        <v>6350</v>
      </c>
      <c r="C362" s="336">
        <v>6450</v>
      </c>
      <c r="D362" s="337">
        <f t="shared" si="5"/>
        <v>6400</v>
      </c>
    </row>
    <row r="363" spans="1:9" ht="15" customHeight="1" thickBot="1">
      <c r="A363" s="351">
        <v>39598</v>
      </c>
      <c r="B363" s="341">
        <v>6350</v>
      </c>
      <c r="C363" s="341">
        <v>6450</v>
      </c>
      <c r="D363" s="342">
        <f t="shared" si="5"/>
        <v>6400</v>
      </c>
      <c r="E363" s="343">
        <f>AVERAGE(D342:D363)</f>
        <v>6310</v>
      </c>
      <c r="F363" s="343"/>
      <c r="G363" s="344"/>
    </row>
    <row r="364" spans="1:9" ht="15" customHeight="1">
      <c r="A364" s="350">
        <v>39601</v>
      </c>
      <c r="B364" s="336">
        <v>6350</v>
      </c>
      <c r="C364" s="336">
        <v>6450</v>
      </c>
      <c r="D364" s="337">
        <f t="shared" si="5"/>
        <v>6400</v>
      </c>
    </row>
    <row r="365" spans="1:9" ht="15" customHeight="1">
      <c r="A365" s="350">
        <v>39602</v>
      </c>
      <c r="B365" s="336">
        <v>6350</v>
      </c>
      <c r="C365" s="336">
        <v>6450</v>
      </c>
      <c r="D365" s="337">
        <f t="shared" si="5"/>
        <v>6400</v>
      </c>
    </row>
    <row r="366" spans="1:9" ht="15" customHeight="1">
      <c r="A366" s="350">
        <v>39603</v>
      </c>
      <c r="B366" s="336">
        <v>6350</v>
      </c>
      <c r="C366" s="336">
        <v>6450</v>
      </c>
      <c r="D366" s="337">
        <f t="shared" si="5"/>
        <v>6400</v>
      </c>
    </row>
    <row r="367" spans="1:9" ht="15" customHeight="1">
      <c r="A367" s="350">
        <v>39604</v>
      </c>
      <c r="B367" s="336">
        <v>6350</v>
      </c>
      <c r="C367" s="336">
        <v>6450</v>
      </c>
      <c r="D367" s="337">
        <f t="shared" si="5"/>
        <v>6400</v>
      </c>
    </row>
    <row r="368" spans="1:9" ht="15" customHeight="1">
      <c r="A368" s="350">
        <v>39605</v>
      </c>
      <c r="B368" s="336">
        <v>6350</v>
      </c>
      <c r="C368" s="336">
        <v>6450</v>
      </c>
      <c r="D368" s="337">
        <f t="shared" si="5"/>
        <v>6400</v>
      </c>
    </row>
    <row r="369" spans="1:9" ht="15" customHeight="1">
      <c r="A369" s="350">
        <v>39608</v>
      </c>
      <c r="B369" s="336">
        <v>6350</v>
      </c>
      <c r="C369" s="336">
        <v>6450</v>
      </c>
      <c r="D369" s="337">
        <f t="shared" si="5"/>
        <v>6400</v>
      </c>
    </row>
    <row r="370" spans="1:9" ht="15" customHeight="1">
      <c r="A370" s="350">
        <v>39609</v>
      </c>
      <c r="B370" s="336">
        <v>6350</v>
      </c>
      <c r="C370" s="336">
        <v>6450</v>
      </c>
      <c r="D370" s="337">
        <f t="shared" si="5"/>
        <v>6400</v>
      </c>
    </row>
    <row r="371" spans="1:9" ht="15" customHeight="1">
      <c r="A371" s="350">
        <v>39610</v>
      </c>
      <c r="B371" s="336">
        <v>6350</v>
      </c>
      <c r="C371" s="336">
        <v>6450</v>
      </c>
      <c r="D371" s="337">
        <f t="shared" si="5"/>
        <v>6400</v>
      </c>
    </row>
    <row r="372" spans="1:9" ht="15" customHeight="1">
      <c r="A372" s="350">
        <v>39611</v>
      </c>
      <c r="B372" s="336">
        <v>6350</v>
      </c>
      <c r="C372" s="336">
        <v>6450</v>
      </c>
      <c r="D372" s="337">
        <f t="shared" si="5"/>
        <v>6400</v>
      </c>
    </row>
    <row r="373" spans="1:9" ht="15" customHeight="1">
      <c r="A373" s="350">
        <v>39612</v>
      </c>
      <c r="B373" s="336">
        <v>6350</v>
      </c>
      <c r="C373" s="336">
        <v>6450</v>
      </c>
      <c r="D373" s="337">
        <f t="shared" si="5"/>
        <v>6400</v>
      </c>
    </row>
    <row r="374" spans="1:9" ht="15" customHeight="1">
      <c r="A374" s="350">
        <v>39615</v>
      </c>
      <c r="B374" s="336">
        <v>6350</v>
      </c>
      <c r="C374" s="336">
        <v>6450</v>
      </c>
      <c r="D374" s="337">
        <f t="shared" si="5"/>
        <v>6400</v>
      </c>
    </row>
    <row r="375" spans="1:9" ht="15" customHeight="1">
      <c r="A375" s="350">
        <v>39616</v>
      </c>
      <c r="B375" s="336">
        <v>6350</v>
      </c>
      <c r="C375" s="336">
        <v>6450</v>
      </c>
      <c r="D375" s="337">
        <f t="shared" si="5"/>
        <v>6400</v>
      </c>
    </row>
    <row r="376" spans="1:9" ht="15" customHeight="1">
      <c r="A376" s="350">
        <v>39617</v>
      </c>
      <c r="B376" s="336">
        <v>6350</v>
      </c>
      <c r="C376" s="336">
        <v>6450</v>
      </c>
      <c r="D376" s="337">
        <f t="shared" si="5"/>
        <v>6400</v>
      </c>
    </row>
    <row r="377" spans="1:9" ht="15" customHeight="1">
      <c r="A377" s="350">
        <v>39618</v>
      </c>
      <c r="B377" s="336">
        <v>6350</v>
      </c>
      <c r="C377" s="336">
        <v>6450</v>
      </c>
      <c r="D377" s="337">
        <f t="shared" si="5"/>
        <v>6400</v>
      </c>
    </row>
    <row r="378" spans="1:9" ht="15" customHeight="1">
      <c r="A378" s="350">
        <v>39619</v>
      </c>
      <c r="B378" s="336">
        <v>6350</v>
      </c>
      <c r="C378" s="336">
        <v>6450</v>
      </c>
      <c r="D378" s="337">
        <f t="shared" si="5"/>
        <v>6400</v>
      </c>
    </row>
    <row r="379" spans="1:9" ht="15" customHeight="1">
      <c r="A379" s="350">
        <v>39622</v>
      </c>
      <c r="B379" s="336">
        <v>6350</v>
      </c>
      <c r="C379" s="336">
        <v>6450</v>
      </c>
      <c r="D379" s="337">
        <f t="shared" ref="D379:D452" si="6">AVERAGE(B379:C379)</f>
        <v>6400</v>
      </c>
    </row>
    <row r="380" spans="1:9" ht="15" customHeight="1">
      <c r="A380" s="350">
        <v>39623</v>
      </c>
      <c r="B380" s="336">
        <v>6250</v>
      </c>
      <c r="C380" s="336">
        <v>6350</v>
      </c>
      <c r="D380" s="337">
        <f t="shared" si="6"/>
        <v>6300</v>
      </c>
    </row>
    <row r="381" spans="1:9" ht="15" customHeight="1">
      <c r="A381" s="350">
        <v>39624</v>
      </c>
      <c r="B381" s="336">
        <v>6250</v>
      </c>
      <c r="C381" s="336">
        <v>6350</v>
      </c>
      <c r="D381" s="337">
        <f t="shared" si="6"/>
        <v>6300</v>
      </c>
    </row>
    <row r="382" spans="1:9" ht="15" customHeight="1">
      <c r="A382" s="350">
        <v>39625</v>
      </c>
      <c r="B382" s="336">
        <v>6250</v>
      </c>
      <c r="C382" s="336">
        <v>6350</v>
      </c>
      <c r="D382" s="337">
        <f t="shared" si="6"/>
        <v>6300</v>
      </c>
    </row>
    <row r="383" spans="1:9" ht="15" customHeight="1">
      <c r="A383" s="350">
        <v>39626</v>
      </c>
      <c r="B383" s="336">
        <v>6250</v>
      </c>
      <c r="C383" s="336">
        <v>6350</v>
      </c>
      <c r="D383" s="337">
        <f t="shared" si="6"/>
        <v>6300</v>
      </c>
    </row>
    <row r="384" spans="1:9" ht="15" customHeight="1" thickBot="1">
      <c r="A384" s="351">
        <v>39629</v>
      </c>
      <c r="B384" s="341">
        <v>6250</v>
      </c>
      <c r="C384" s="341">
        <v>6350</v>
      </c>
      <c r="D384" s="342">
        <f t="shared" si="6"/>
        <v>6300</v>
      </c>
      <c r="E384" s="343">
        <f>AVERAGE(D364:D384)</f>
        <v>6376.1904761904761</v>
      </c>
      <c r="F384" s="343"/>
      <c r="G384" s="344">
        <f>AVERAGE(D320:D384)</f>
        <v>6165.0793650793648</v>
      </c>
      <c r="H384" s="354">
        <v>1016.72</v>
      </c>
      <c r="I384" s="355">
        <f>+H384*G384</f>
        <v>6268159.4920634916</v>
      </c>
    </row>
    <row r="385" spans="1:4" ht="15" customHeight="1">
      <c r="A385" s="350">
        <v>39630</v>
      </c>
      <c r="B385" s="336">
        <v>6250</v>
      </c>
      <c r="C385" s="336">
        <v>6350</v>
      </c>
      <c r="D385" s="337">
        <f t="shared" si="6"/>
        <v>6300</v>
      </c>
    </row>
    <row r="386" spans="1:4" ht="15" customHeight="1">
      <c r="A386" s="350">
        <v>39631</v>
      </c>
      <c r="B386" s="336">
        <v>6250</v>
      </c>
      <c r="C386" s="336">
        <v>6350</v>
      </c>
      <c r="D386" s="337">
        <f t="shared" si="6"/>
        <v>6300</v>
      </c>
    </row>
    <row r="387" spans="1:4" ht="15" customHeight="1">
      <c r="A387" s="350">
        <v>39632</v>
      </c>
      <c r="B387" s="336">
        <v>6250</v>
      </c>
      <c r="C387" s="336">
        <v>6350</v>
      </c>
      <c r="D387" s="337">
        <f t="shared" si="6"/>
        <v>6300</v>
      </c>
    </row>
    <row r="388" spans="1:4" ht="15" customHeight="1">
      <c r="A388" s="350">
        <v>39633</v>
      </c>
      <c r="B388" s="336">
        <v>6250</v>
      </c>
      <c r="C388" s="336">
        <v>6350</v>
      </c>
      <c r="D388" s="337">
        <f t="shared" si="6"/>
        <v>6300</v>
      </c>
    </row>
    <row r="389" spans="1:4" ht="15" customHeight="1">
      <c r="A389" s="350">
        <v>39636</v>
      </c>
      <c r="B389" s="336">
        <v>6250</v>
      </c>
      <c r="C389" s="336">
        <v>6350</v>
      </c>
      <c r="D389" s="337">
        <f t="shared" si="6"/>
        <v>6300</v>
      </c>
    </row>
    <row r="390" spans="1:4" ht="15" customHeight="1">
      <c r="A390" s="350">
        <v>39637</v>
      </c>
      <c r="B390" s="336">
        <v>6250</v>
      </c>
      <c r="C390" s="336">
        <v>6350</v>
      </c>
      <c r="D390" s="337">
        <f t="shared" si="6"/>
        <v>6300</v>
      </c>
    </row>
    <row r="391" spans="1:4" ht="15" customHeight="1">
      <c r="A391" s="350">
        <v>39638</v>
      </c>
      <c r="B391" s="336">
        <v>6250</v>
      </c>
      <c r="C391" s="336">
        <v>6350</v>
      </c>
      <c r="D391" s="337">
        <f t="shared" si="6"/>
        <v>6300</v>
      </c>
    </row>
    <row r="392" spans="1:4" ht="15" customHeight="1">
      <c r="A392" s="350">
        <v>39639</v>
      </c>
      <c r="B392" s="336">
        <v>6250</v>
      </c>
      <c r="C392" s="336">
        <v>6350</v>
      </c>
      <c r="D392" s="337">
        <f t="shared" si="6"/>
        <v>6300</v>
      </c>
    </row>
    <row r="393" spans="1:4" ht="15" customHeight="1">
      <c r="A393" s="350">
        <v>39640</v>
      </c>
      <c r="B393" s="336">
        <v>6250</v>
      </c>
      <c r="C393" s="336">
        <v>6350</v>
      </c>
      <c r="D393" s="337">
        <f t="shared" si="6"/>
        <v>6300</v>
      </c>
    </row>
    <row r="394" spans="1:4" ht="15" customHeight="1">
      <c r="A394" s="350">
        <v>39643</v>
      </c>
      <c r="B394" s="336">
        <v>6250</v>
      </c>
      <c r="C394" s="336">
        <v>6350</v>
      </c>
      <c r="D394" s="337">
        <f t="shared" si="6"/>
        <v>6300</v>
      </c>
    </row>
    <row r="395" spans="1:4" ht="15" customHeight="1">
      <c r="A395" s="350">
        <v>39644</v>
      </c>
      <c r="B395" s="336">
        <v>6250</v>
      </c>
      <c r="C395" s="336">
        <v>6350</v>
      </c>
      <c r="D395" s="337">
        <f t="shared" si="6"/>
        <v>6300</v>
      </c>
    </row>
    <row r="396" spans="1:4" ht="15" customHeight="1">
      <c r="A396" s="350">
        <v>39645</v>
      </c>
      <c r="B396" s="336">
        <v>6250</v>
      </c>
      <c r="C396" s="336">
        <v>6350</v>
      </c>
      <c r="D396" s="337">
        <f t="shared" si="6"/>
        <v>6300</v>
      </c>
    </row>
    <row r="397" spans="1:4" ht="15" customHeight="1">
      <c r="A397" s="350">
        <v>39646</v>
      </c>
      <c r="B397" s="336">
        <v>6250</v>
      </c>
      <c r="C397" s="336">
        <v>6350</v>
      </c>
      <c r="D397" s="337">
        <f t="shared" si="6"/>
        <v>6300</v>
      </c>
    </row>
    <row r="398" spans="1:4" ht="15" customHeight="1">
      <c r="A398" s="350">
        <v>39647</v>
      </c>
      <c r="B398" s="336">
        <v>6250</v>
      </c>
      <c r="C398" s="336">
        <v>6350</v>
      </c>
      <c r="D398" s="337">
        <f t="shared" si="6"/>
        <v>6300</v>
      </c>
    </row>
    <row r="399" spans="1:4" ht="15" customHeight="1">
      <c r="A399" s="350">
        <v>39650</v>
      </c>
      <c r="B399" s="336">
        <v>6250</v>
      </c>
      <c r="C399" s="336">
        <v>6350</v>
      </c>
      <c r="D399" s="337">
        <f t="shared" si="6"/>
        <v>6300</v>
      </c>
    </row>
    <row r="400" spans="1:4" ht="15" customHeight="1">
      <c r="A400" s="350">
        <v>39651</v>
      </c>
      <c r="B400" s="336">
        <v>6250</v>
      </c>
      <c r="C400" s="336">
        <v>6350</v>
      </c>
      <c r="D400" s="337">
        <f t="shared" si="6"/>
        <v>6300</v>
      </c>
    </row>
    <row r="401" spans="1:7" ht="15" customHeight="1">
      <c r="A401" s="350">
        <v>39652</v>
      </c>
      <c r="B401" s="336">
        <v>6250</v>
      </c>
      <c r="C401" s="336">
        <v>6350</v>
      </c>
      <c r="D401" s="337">
        <f t="shared" si="6"/>
        <v>6300</v>
      </c>
    </row>
    <row r="402" spans="1:7" ht="15" customHeight="1">
      <c r="A402" s="350">
        <v>39653</v>
      </c>
      <c r="B402" s="336">
        <v>6300</v>
      </c>
      <c r="C402" s="336">
        <v>6400</v>
      </c>
      <c r="D402" s="337">
        <f t="shared" si="6"/>
        <v>6350</v>
      </c>
    </row>
    <row r="403" spans="1:7" ht="15" customHeight="1">
      <c r="A403" s="350">
        <v>39654</v>
      </c>
      <c r="B403" s="336">
        <v>6300</v>
      </c>
      <c r="C403" s="336">
        <v>6400</v>
      </c>
      <c r="D403" s="337">
        <f t="shared" si="6"/>
        <v>6350</v>
      </c>
    </row>
    <row r="404" spans="1:7" ht="15" customHeight="1">
      <c r="A404" s="350">
        <v>39657</v>
      </c>
      <c r="B404" s="336">
        <v>6300</v>
      </c>
      <c r="C404" s="336">
        <v>6400</v>
      </c>
      <c r="D404" s="337">
        <f t="shared" si="6"/>
        <v>6350</v>
      </c>
    </row>
    <row r="405" spans="1:7" ht="15" customHeight="1">
      <c r="A405" s="350">
        <v>39658</v>
      </c>
      <c r="B405" s="336">
        <v>6300</v>
      </c>
      <c r="C405" s="336">
        <v>6400</v>
      </c>
      <c r="D405" s="337">
        <f t="shared" si="6"/>
        <v>6350</v>
      </c>
    </row>
    <row r="406" spans="1:7" ht="15" customHeight="1">
      <c r="A406" s="350">
        <v>39659</v>
      </c>
      <c r="B406" s="336">
        <v>6300</v>
      </c>
      <c r="C406" s="336">
        <v>6400</v>
      </c>
      <c r="D406" s="337">
        <f t="shared" si="6"/>
        <v>6350</v>
      </c>
    </row>
    <row r="407" spans="1:7" ht="15" customHeight="1" thickBot="1">
      <c r="A407" s="351">
        <v>39660</v>
      </c>
      <c r="B407" s="341">
        <v>6300</v>
      </c>
      <c r="C407" s="341">
        <v>6400</v>
      </c>
      <c r="D407" s="342">
        <f t="shared" si="6"/>
        <v>6350</v>
      </c>
      <c r="E407" s="343">
        <f>AVERAGE(D385:D407)</f>
        <v>6313.04347826087</v>
      </c>
      <c r="F407" s="343"/>
      <c r="G407" s="344"/>
    </row>
    <row r="408" spans="1:7" ht="15" customHeight="1">
      <c r="A408" s="350">
        <v>39661</v>
      </c>
      <c r="B408" s="336">
        <v>6400</v>
      </c>
      <c r="C408" s="336">
        <v>6500</v>
      </c>
      <c r="D408" s="337">
        <f t="shared" si="6"/>
        <v>6450</v>
      </c>
    </row>
    <row r="409" spans="1:7" ht="15" customHeight="1">
      <c r="A409" s="350">
        <v>39664</v>
      </c>
      <c r="B409" s="336">
        <v>6400</v>
      </c>
      <c r="C409" s="336">
        <v>6500</v>
      </c>
      <c r="D409" s="337">
        <f t="shared" si="6"/>
        <v>6450</v>
      </c>
    </row>
    <row r="410" spans="1:7" ht="15" customHeight="1">
      <c r="A410" s="350">
        <v>39665</v>
      </c>
      <c r="B410" s="336">
        <v>6400</v>
      </c>
      <c r="C410" s="336">
        <v>6500</v>
      </c>
      <c r="D410" s="337">
        <f t="shared" si="6"/>
        <v>6450</v>
      </c>
    </row>
    <row r="411" spans="1:7" ht="15" customHeight="1">
      <c r="A411" s="350">
        <v>39666</v>
      </c>
      <c r="B411" s="336">
        <v>6400</v>
      </c>
      <c r="C411" s="336">
        <v>6500</v>
      </c>
      <c r="D411" s="337">
        <f t="shared" si="6"/>
        <v>6450</v>
      </c>
    </row>
    <row r="412" spans="1:7" ht="15" customHeight="1">
      <c r="A412" s="350">
        <v>39667</v>
      </c>
      <c r="B412" s="336">
        <v>6450</v>
      </c>
      <c r="C412" s="336">
        <v>6550</v>
      </c>
      <c r="D412" s="337">
        <f t="shared" si="6"/>
        <v>6500</v>
      </c>
    </row>
    <row r="413" spans="1:7" ht="15" customHeight="1">
      <c r="A413" s="350">
        <v>39668</v>
      </c>
      <c r="B413" s="336">
        <v>6450</v>
      </c>
      <c r="C413" s="336">
        <v>6550</v>
      </c>
      <c r="D413" s="337">
        <f t="shared" si="6"/>
        <v>6500</v>
      </c>
    </row>
    <row r="414" spans="1:7" ht="15" customHeight="1">
      <c r="A414" s="350">
        <v>39671</v>
      </c>
      <c r="B414" s="336">
        <v>6450</v>
      </c>
      <c r="C414" s="336">
        <v>6550</v>
      </c>
      <c r="D414" s="337">
        <f t="shared" si="6"/>
        <v>6500</v>
      </c>
    </row>
    <row r="415" spans="1:7" ht="15" customHeight="1">
      <c r="A415" s="350">
        <v>39672</v>
      </c>
      <c r="B415" s="336">
        <v>6450</v>
      </c>
      <c r="C415" s="336">
        <v>6550</v>
      </c>
      <c r="D415" s="337">
        <f t="shared" si="6"/>
        <v>6500</v>
      </c>
    </row>
    <row r="416" spans="1:7" ht="15" customHeight="1">
      <c r="A416" s="350">
        <v>39673</v>
      </c>
      <c r="B416" s="336">
        <v>6450</v>
      </c>
      <c r="C416" s="336">
        <v>6550</v>
      </c>
      <c r="D416" s="337">
        <f t="shared" si="6"/>
        <v>6500</v>
      </c>
    </row>
    <row r="417" spans="1:9" ht="15" customHeight="1">
      <c r="A417" s="350">
        <v>39674</v>
      </c>
      <c r="B417" s="336">
        <v>6450</v>
      </c>
      <c r="C417" s="336">
        <v>6550</v>
      </c>
      <c r="D417" s="337">
        <f t="shared" si="6"/>
        <v>6500</v>
      </c>
    </row>
    <row r="418" spans="1:9" ht="15" customHeight="1">
      <c r="A418" s="350">
        <v>39675</v>
      </c>
      <c r="B418" s="336">
        <v>6600</v>
      </c>
      <c r="C418" s="336">
        <v>6700</v>
      </c>
      <c r="D418" s="337">
        <f t="shared" si="6"/>
        <v>6650</v>
      </c>
    </row>
    <row r="419" spans="1:9" ht="15" customHeight="1">
      <c r="A419" s="350">
        <v>39678</v>
      </c>
      <c r="B419" s="336">
        <v>6600</v>
      </c>
      <c r="C419" s="336">
        <v>6700</v>
      </c>
      <c r="D419" s="337">
        <f t="shared" si="6"/>
        <v>6650</v>
      </c>
    </row>
    <row r="420" spans="1:9" ht="15" customHeight="1">
      <c r="A420" s="350">
        <v>39679</v>
      </c>
      <c r="B420" s="336">
        <v>6600</v>
      </c>
      <c r="C420" s="336">
        <v>6700</v>
      </c>
      <c r="D420" s="337">
        <f t="shared" si="6"/>
        <v>6650</v>
      </c>
    </row>
    <row r="421" spans="1:9" ht="15" customHeight="1">
      <c r="A421" s="350">
        <v>39680</v>
      </c>
      <c r="B421" s="336">
        <v>6600</v>
      </c>
      <c r="C421" s="336">
        <v>6700</v>
      </c>
      <c r="D421" s="337">
        <f t="shared" si="6"/>
        <v>6650</v>
      </c>
    </row>
    <row r="422" spans="1:9" ht="15" customHeight="1">
      <c r="A422" s="350">
        <v>39681</v>
      </c>
      <c r="B422" s="336">
        <v>6600</v>
      </c>
      <c r="C422" s="336">
        <v>6700</v>
      </c>
      <c r="D422" s="337">
        <f t="shared" si="6"/>
        <v>6650</v>
      </c>
    </row>
    <row r="423" spans="1:9" ht="15" customHeight="1">
      <c r="A423" s="350">
        <v>39682</v>
      </c>
      <c r="B423" s="336">
        <v>6600</v>
      </c>
      <c r="C423" s="336">
        <v>6700</v>
      </c>
      <c r="D423" s="337">
        <f t="shared" si="6"/>
        <v>6650</v>
      </c>
    </row>
    <row r="424" spans="1:9" ht="15" customHeight="1">
      <c r="A424" s="350">
        <v>39685</v>
      </c>
      <c r="B424" s="1411" t="s">
        <v>77</v>
      </c>
      <c r="C424" s="1411"/>
      <c r="D424" s="1411"/>
      <c r="E424" s="1411"/>
      <c r="F424" s="1411"/>
      <c r="G424" s="1411"/>
      <c r="H424" s="1411"/>
      <c r="I424" s="1411"/>
    </row>
    <row r="425" spans="1:9" ht="15" customHeight="1">
      <c r="A425" s="350">
        <v>39686</v>
      </c>
      <c r="B425" s="336">
        <v>6600</v>
      </c>
      <c r="C425" s="336">
        <v>6700</v>
      </c>
      <c r="D425" s="337">
        <f t="shared" si="6"/>
        <v>6650</v>
      </c>
    </row>
    <row r="426" spans="1:9" ht="15" customHeight="1">
      <c r="A426" s="350">
        <v>39687</v>
      </c>
      <c r="B426" s="336">
        <v>6600</v>
      </c>
      <c r="C426" s="336">
        <v>6700</v>
      </c>
      <c r="D426" s="337">
        <f t="shared" si="6"/>
        <v>6650</v>
      </c>
    </row>
    <row r="427" spans="1:9" ht="15" customHeight="1">
      <c r="A427" s="350">
        <v>39688</v>
      </c>
      <c r="B427" s="336">
        <v>6600</v>
      </c>
      <c r="C427" s="336">
        <v>6700</v>
      </c>
      <c r="D427" s="337">
        <f t="shared" si="6"/>
        <v>6650</v>
      </c>
    </row>
    <row r="428" spans="1:9" ht="15" customHeight="1" thickBot="1">
      <c r="A428" s="351">
        <v>39689</v>
      </c>
      <c r="B428" s="341">
        <v>6600</v>
      </c>
      <c r="C428" s="341">
        <v>6700</v>
      </c>
      <c r="D428" s="342">
        <f t="shared" si="6"/>
        <v>6650</v>
      </c>
      <c r="E428" s="343">
        <f>AVERAGE(D408:D428)</f>
        <v>6565</v>
      </c>
      <c r="F428" s="343"/>
      <c r="G428" s="344"/>
    </row>
    <row r="429" spans="1:9" ht="15" customHeight="1">
      <c r="A429" s="350">
        <v>39692</v>
      </c>
      <c r="B429" s="336">
        <v>6600</v>
      </c>
      <c r="C429" s="336">
        <v>6700</v>
      </c>
      <c r="D429" s="337">
        <f t="shared" si="6"/>
        <v>6650</v>
      </c>
    </row>
    <row r="430" spans="1:9" ht="15" customHeight="1">
      <c r="A430" s="350">
        <v>39693</v>
      </c>
      <c r="B430" s="336">
        <v>6600</v>
      </c>
      <c r="C430" s="336">
        <v>6700</v>
      </c>
      <c r="D430" s="337">
        <f t="shared" si="6"/>
        <v>6650</v>
      </c>
    </row>
    <row r="431" spans="1:9" ht="15" customHeight="1">
      <c r="A431" s="350">
        <v>39694</v>
      </c>
      <c r="B431" s="336">
        <v>6600</v>
      </c>
      <c r="C431" s="336">
        <v>6700</v>
      </c>
      <c r="D431" s="337">
        <f t="shared" si="6"/>
        <v>6650</v>
      </c>
    </row>
    <row r="432" spans="1:9" ht="15" customHeight="1">
      <c r="A432" s="350">
        <v>39695</v>
      </c>
      <c r="B432" s="336">
        <v>6600</v>
      </c>
      <c r="C432" s="336">
        <v>6700</v>
      </c>
      <c r="D432" s="337">
        <f t="shared" si="6"/>
        <v>6650</v>
      </c>
    </row>
    <row r="433" spans="1:4" ht="15" customHeight="1">
      <c r="A433" s="350">
        <v>39696</v>
      </c>
      <c r="B433" s="336">
        <v>6600</v>
      </c>
      <c r="C433" s="336">
        <v>6700</v>
      </c>
      <c r="D433" s="337">
        <f t="shared" si="6"/>
        <v>6650</v>
      </c>
    </row>
    <row r="434" spans="1:4" ht="15" customHeight="1">
      <c r="A434" s="350">
        <v>39699</v>
      </c>
      <c r="B434" s="336">
        <v>6600</v>
      </c>
      <c r="C434" s="336">
        <v>6700</v>
      </c>
      <c r="D434" s="337">
        <f t="shared" si="6"/>
        <v>6650</v>
      </c>
    </row>
    <row r="435" spans="1:4" ht="15" customHeight="1">
      <c r="A435" s="350">
        <v>39700</v>
      </c>
      <c r="B435" s="336">
        <v>6600</v>
      </c>
      <c r="C435" s="336">
        <v>6700</v>
      </c>
      <c r="D435" s="337">
        <f t="shared" si="6"/>
        <v>6650</v>
      </c>
    </row>
    <row r="436" spans="1:4" ht="15" customHeight="1">
      <c r="A436" s="350">
        <v>39701</v>
      </c>
      <c r="B436" s="336">
        <v>6600</v>
      </c>
      <c r="C436" s="336">
        <v>6700</v>
      </c>
      <c r="D436" s="337">
        <f t="shared" si="6"/>
        <v>6650</v>
      </c>
    </row>
    <row r="437" spans="1:4" ht="15" customHeight="1">
      <c r="A437" s="350">
        <v>39702</v>
      </c>
      <c r="B437" s="336">
        <v>6400</v>
      </c>
      <c r="C437" s="336">
        <v>6500</v>
      </c>
      <c r="D437" s="337">
        <f t="shared" si="6"/>
        <v>6450</v>
      </c>
    </row>
    <row r="438" spans="1:4" ht="15" customHeight="1">
      <c r="A438" s="350">
        <v>39703</v>
      </c>
      <c r="B438" s="336">
        <v>6400</v>
      </c>
      <c r="C438" s="336">
        <v>6500</v>
      </c>
      <c r="D438" s="337">
        <f t="shared" si="6"/>
        <v>6450</v>
      </c>
    </row>
    <row r="439" spans="1:4" ht="15" customHeight="1">
      <c r="A439" s="350">
        <v>39706</v>
      </c>
      <c r="B439" s="336">
        <v>6400</v>
      </c>
      <c r="C439" s="336">
        <v>6500</v>
      </c>
      <c r="D439" s="337">
        <f t="shared" si="6"/>
        <v>6450</v>
      </c>
    </row>
    <row r="440" spans="1:4" ht="15" customHeight="1">
      <c r="A440" s="350">
        <v>39707</v>
      </c>
      <c r="B440" s="336">
        <v>6400</v>
      </c>
      <c r="C440" s="336">
        <v>6500</v>
      </c>
      <c r="D440" s="337">
        <f t="shared" si="6"/>
        <v>6450</v>
      </c>
    </row>
    <row r="441" spans="1:4" ht="15" customHeight="1">
      <c r="A441" s="350">
        <v>39708</v>
      </c>
      <c r="B441" s="336">
        <v>6400</v>
      </c>
      <c r="C441" s="336">
        <v>6500</v>
      </c>
      <c r="D441" s="337">
        <f t="shared" si="6"/>
        <v>6450</v>
      </c>
    </row>
    <row r="442" spans="1:4" ht="15" customHeight="1">
      <c r="A442" s="350">
        <v>39709</v>
      </c>
      <c r="B442" s="336">
        <v>6400</v>
      </c>
      <c r="C442" s="336">
        <v>6500</v>
      </c>
      <c r="D442" s="337">
        <f t="shared" si="6"/>
        <v>6450</v>
      </c>
    </row>
    <row r="443" spans="1:4" ht="15" customHeight="1">
      <c r="A443" s="350">
        <v>39710</v>
      </c>
      <c r="B443" s="336">
        <v>6400</v>
      </c>
      <c r="C443" s="336">
        <v>6500</v>
      </c>
      <c r="D443" s="337">
        <f t="shared" si="6"/>
        <v>6450</v>
      </c>
    </row>
    <row r="444" spans="1:4" ht="15" customHeight="1">
      <c r="A444" s="350">
        <v>39713</v>
      </c>
      <c r="B444" s="336">
        <v>6400</v>
      </c>
      <c r="C444" s="336">
        <v>6500</v>
      </c>
      <c r="D444" s="337">
        <f t="shared" si="6"/>
        <v>6450</v>
      </c>
    </row>
    <row r="445" spans="1:4" ht="15" customHeight="1">
      <c r="A445" s="350">
        <v>39714</v>
      </c>
      <c r="B445" s="336">
        <v>6400</v>
      </c>
      <c r="C445" s="336">
        <v>6500</v>
      </c>
      <c r="D445" s="337">
        <f t="shared" si="6"/>
        <v>6450</v>
      </c>
    </row>
    <row r="446" spans="1:4" ht="15" customHeight="1">
      <c r="A446" s="350">
        <v>39715</v>
      </c>
      <c r="B446" s="336">
        <v>6400</v>
      </c>
      <c r="C446" s="336">
        <v>6500</v>
      </c>
      <c r="D446" s="337">
        <f t="shared" si="6"/>
        <v>6450</v>
      </c>
    </row>
    <row r="447" spans="1:4" ht="15" customHeight="1">
      <c r="A447" s="350">
        <v>39716</v>
      </c>
      <c r="B447" s="336">
        <v>6400</v>
      </c>
      <c r="C447" s="336">
        <v>6500</v>
      </c>
      <c r="D447" s="337">
        <f t="shared" si="6"/>
        <v>6450</v>
      </c>
    </row>
    <row r="448" spans="1:4" ht="15" customHeight="1">
      <c r="A448" s="350">
        <v>39717</v>
      </c>
      <c r="B448" s="336">
        <v>6400</v>
      </c>
      <c r="C448" s="336">
        <v>6500</v>
      </c>
      <c r="D448" s="337">
        <f t="shared" si="6"/>
        <v>6450</v>
      </c>
    </row>
    <row r="449" spans="1:9" ht="15" customHeight="1">
      <c r="A449" s="350">
        <v>39720</v>
      </c>
      <c r="B449" s="336">
        <v>6400</v>
      </c>
      <c r="C449" s="336">
        <v>6500</v>
      </c>
      <c r="D449" s="337">
        <f t="shared" si="6"/>
        <v>6450</v>
      </c>
    </row>
    <row r="450" spans="1:9" ht="15" customHeight="1" thickBot="1">
      <c r="A450" s="351">
        <v>39721</v>
      </c>
      <c r="B450" s="341">
        <v>6400</v>
      </c>
      <c r="C450" s="341">
        <v>6500</v>
      </c>
      <c r="D450" s="342">
        <f t="shared" si="6"/>
        <v>6450</v>
      </c>
      <c r="E450" s="343">
        <f>AVERAGE(D429:D450)</f>
        <v>6522.727272727273</v>
      </c>
      <c r="F450" s="343"/>
      <c r="G450" s="344">
        <f>AVERAGE(D385:D450)</f>
        <v>6461.5384615384619</v>
      </c>
      <c r="H450" s="354">
        <v>1062.6400000000001</v>
      </c>
      <c r="I450" s="356">
        <f>+H450*G450</f>
        <v>6866289.2307692319</v>
      </c>
    </row>
    <row r="451" spans="1:9" ht="15" customHeight="1">
      <c r="A451" s="357">
        <v>39722</v>
      </c>
      <c r="B451" s="336">
        <v>6400</v>
      </c>
      <c r="C451" s="336">
        <v>6500</v>
      </c>
      <c r="D451" s="337">
        <f t="shared" si="6"/>
        <v>6450</v>
      </c>
    </row>
    <row r="452" spans="1:9" ht="15" customHeight="1">
      <c r="A452" s="350">
        <v>39723</v>
      </c>
      <c r="B452" s="336">
        <v>6400</v>
      </c>
      <c r="C452" s="336">
        <v>6500</v>
      </c>
      <c r="D452" s="337">
        <f t="shared" si="6"/>
        <v>6450</v>
      </c>
    </row>
    <row r="453" spans="1:9" ht="15" customHeight="1">
      <c r="A453" s="350">
        <v>39724</v>
      </c>
      <c r="B453" s="336">
        <v>6400</v>
      </c>
      <c r="C453" s="336">
        <v>6500</v>
      </c>
      <c r="D453" s="337">
        <f t="shared" ref="D453:D518" si="7">AVERAGE(B453:C453)</f>
        <v>6450</v>
      </c>
    </row>
    <row r="454" spans="1:9" ht="15" customHeight="1">
      <c r="A454" s="350">
        <v>39725</v>
      </c>
      <c r="B454" s="336">
        <v>6400</v>
      </c>
      <c r="C454" s="336">
        <v>6500</v>
      </c>
      <c r="D454" s="337">
        <f t="shared" si="7"/>
        <v>6450</v>
      </c>
    </row>
    <row r="455" spans="1:9" ht="15" customHeight="1">
      <c r="A455" s="350">
        <v>39728</v>
      </c>
      <c r="B455" s="336">
        <v>6400</v>
      </c>
      <c r="C455" s="336">
        <v>6500</v>
      </c>
      <c r="D455" s="337">
        <f t="shared" si="7"/>
        <v>6450</v>
      </c>
    </row>
    <row r="456" spans="1:9" ht="15" customHeight="1">
      <c r="A456" s="350">
        <v>39729</v>
      </c>
      <c r="B456" s="336">
        <v>6450</v>
      </c>
      <c r="C456" s="336">
        <v>6550</v>
      </c>
      <c r="D456" s="337">
        <f t="shared" si="7"/>
        <v>6500</v>
      </c>
    </row>
    <row r="457" spans="1:9" ht="15" customHeight="1">
      <c r="A457" s="350">
        <v>39730</v>
      </c>
      <c r="B457" s="336">
        <v>6450</v>
      </c>
      <c r="C457" s="336">
        <v>6550</v>
      </c>
      <c r="D457" s="337">
        <f t="shared" si="7"/>
        <v>6500</v>
      </c>
    </row>
    <row r="458" spans="1:9" ht="15" customHeight="1">
      <c r="A458" s="350">
        <v>39731</v>
      </c>
      <c r="B458" s="336">
        <v>6450</v>
      </c>
      <c r="C458" s="336">
        <v>6550</v>
      </c>
      <c r="D458" s="337">
        <f t="shared" si="7"/>
        <v>6500</v>
      </c>
    </row>
    <row r="459" spans="1:9" ht="15" customHeight="1">
      <c r="A459" s="350">
        <v>39734</v>
      </c>
      <c r="B459" s="336">
        <v>6450</v>
      </c>
      <c r="C459" s="336">
        <v>6550</v>
      </c>
      <c r="D459" s="337">
        <f t="shared" si="7"/>
        <v>6500</v>
      </c>
    </row>
    <row r="460" spans="1:9" ht="15" customHeight="1">
      <c r="A460" s="350">
        <v>39735</v>
      </c>
      <c r="B460" s="336">
        <v>6450</v>
      </c>
      <c r="C460" s="336">
        <v>6550</v>
      </c>
      <c r="D460" s="337">
        <f t="shared" si="7"/>
        <v>6500</v>
      </c>
    </row>
    <row r="461" spans="1:9" ht="15" customHeight="1">
      <c r="A461" s="350">
        <v>39736</v>
      </c>
      <c r="B461" s="336">
        <v>6450</v>
      </c>
      <c r="C461" s="336">
        <v>6550</v>
      </c>
      <c r="D461" s="337">
        <f t="shared" si="7"/>
        <v>6500</v>
      </c>
    </row>
    <row r="462" spans="1:9" ht="15" customHeight="1">
      <c r="A462" s="350">
        <v>39737</v>
      </c>
      <c r="B462" s="336">
        <v>6450</v>
      </c>
      <c r="C462" s="336">
        <v>6550</v>
      </c>
      <c r="D462" s="337">
        <f t="shared" si="7"/>
        <v>6500</v>
      </c>
    </row>
    <row r="463" spans="1:9" ht="15" customHeight="1">
      <c r="A463" s="350">
        <v>39738</v>
      </c>
      <c r="B463" s="336">
        <v>6450</v>
      </c>
      <c r="C463" s="336">
        <v>6550</v>
      </c>
      <c r="D463" s="337">
        <f t="shared" si="7"/>
        <v>6500</v>
      </c>
    </row>
    <row r="464" spans="1:9" ht="15" customHeight="1">
      <c r="A464" s="350">
        <v>39741</v>
      </c>
      <c r="B464" s="336">
        <v>6450</v>
      </c>
      <c r="C464" s="336">
        <v>6550</v>
      </c>
      <c r="D464" s="337">
        <f t="shared" si="7"/>
        <v>6500</v>
      </c>
    </row>
    <row r="465" spans="1:9" ht="15" customHeight="1">
      <c r="A465" s="350">
        <v>39742</v>
      </c>
      <c r="B465" s="336">
        <v>6450</v>
      </c>
      <c r="C465" s="336">
        <v>6550</v>
      </c>
      <c r="D465" s="337">
        <f t="shared" si="7"/>
        <v>6500</v>
      </c>
    </row>
    <row r="466" spans="1:9" ht="15" customHeight="1">
      <c r="A466" s="350">
        <v>39743</v>
      </c>
      <c r="B466" s="336">
        <v>6450</v>
      </c>
      <c r="C466" s="336">
        <v>6550</v>
      </c>
      <c r="D466" s="337">
        <f t="shared" si="7"/>
        <v>6500</v>
      </c>
    </row>
    <row r="467" spans="1:9" ht="15" customHeight="1">
      <c r="A467" s="350">
        <v>39744</v>
      </c>
      <c r="B467" s="336">
        <v>6400</v>
      </c>
      <c r="C467" s="336">
        <v>6500</v>
      </c>
      <c r="D467" s="337">
        <f t="shared" si="7"/>
        <v>6450</v>
      </c>
    </row>
    <row r="468" spans="1:9" ht="15" customHeight="1">
      <c r="A468" s="350">
        <v>39745</v>
      </c>
      <c r="B468" s="336">
        <v>6400</v>
      </c>
      <c r="C468" s="336">
        <v>6500</v>
      </c>
      <c r="D468" s="337">
        <f t="shared" si="7"/>
        <v>6450</v>
      </c>
    </row>
    <row r="469" spans="1:9" ht="15" customHeight="1">
      <c r="A469" s="350">
        <v>39748</v>
      </c>
      <c r="B469" s="336">
        <v>6400</v>
      </c>
      <c r="C469" s="336">
        <v>6500</v>
      </c>
      <c r="D469" s="337">
        <f t="shared" si="7"/>
        <v>6450</v>
      </c>
    </row>
    <row r="470" spans="1:9" ht="15" customHeight="1">
      <c r="A470" s="350">
        <v>39749</v>
      </c>
      <c r="B470" s="336">
        <v>6400</v>
      </c>
      <c r="C470" s="336">
        <v>6500</v>
      </c>
      <c r="D470" s="337">
        <f t="shared" si="7"/>
        <v>6450</v>
      </c>
    </row>
    <row r="471" spans="1:9" ht="15" customHeight="1">
      <c r="A471" s="350">
        <v>39750</v>
      </c>
      <c r="B471" s="336">
        <v>6400</v>
      </c>
      <c r="C471" s="336">
        <v>6500</v>
      </c>
      <c r="D471" s="337">
        <f t="shared" si="7"/>
        <v>6450</v>
      </c>
    </row>
    <row r="472" spans="1:9" ht="15" customHeight="1">
      <c r="A472" s="350">
        <v>39751</v>
      </c>
      <c r="B472" s="336">
        <v>6400</v>
      </c>
      <c r="C472" s="336">
        <v>6500</v>
      </c>
      <c r="D472" s="337">
        <f t="shared" si="7"/>
        <v>6450</v>
      </c>
    </row>
    <row r="473" spans="1:9" ht="15" customHeight="1" thickBot="1">
      <c r="A473" s="351">
        <v>39752</v>
      </c>
      <c r="B473" s="341">
        <v>6200</v>
      </c>
      <c r="C473" s="341">
        <v>6400</v>
      </c>
      <c r="D473" s="342">
        <f t="shared" si="7"/>
        <v>6300</v>
      </c>
      <c r="E473" s="343">
        <f>AVERAGE(D451:D473)</f>
        <v>6467.391304347826</v>
      </c>
      <c r="F473" s="343"/>
      <c r="G473" s="344">
        <f>AVERAGE(D451:D473)</f>
        <v>6467.391304347826</v>
      </c>
      <c r="H473" s="354"/>
      <c r="I473" s="358"/>
    </row>
    <row r="474" spans="1:9" ht="15" customHeight="1">
      <c r="A474" s="350">
        <v>39755</v>
      </c>
      <c r="B474" s="336">
        <v>6300</v>
      </c>
      <c r="C474" s="336">
        <v>6500</v>
      </c>
      <c r="D474" s="337">
        <f t="shared" si="7"/>
        <v>6400</v>
      </c>
    </row>
    <row r="475" spans="1:9" ht="15" customHeight="1">
      <c r="A475" s="350">
        <v>39756</v>
      </c>
      <c r="B475" s="336">
        <v>6300</v>
      </c>
      <c r="C475" s="336">
        <v>6500</v>
      </c>
      <c r="D475" s="337">
        <f t="shared" si="7"/>
        <v>6400</v>
      </c>
    </row>
    <row r="476" spans="1:9" ht="15" customHeight="1">
      <c r="A476" s="350">
        <v>39757</v>
      </c>
      <c r="B476" s="336">
        <v>6300</v>
      </c>
      <c r="C476" s="336">
        <v>6400</v>
      </c>
      <c r="D476" s="337">
        <f t="shared" si="7"/>
        <v>6350</v>
      </c>
    </row>
    <row r="477" spans="1:9" ht="15" customHeight="1">
      <c r="A477" s="350">
        <v>39758</v>
      </c>
      <c r="B477" s="336">
        <v>6000</v>
      </c>
      <c r="C477" s="336">
        <v>6200</v>
      </c>
      <c r="D477" s="337">
        <f t="shared" si="7"/>
        <v>6100</v>
      </c>
    </row>
    <row r="478" spans="1:9" ht="15" customHeight="1">
      <c r="A478" s="350">
        <v>39759</v>
      </c>
      <c r="B478" s="336">
        <v>6000</v>
      </c>
      <c r="C478" s="336">
        <v>6200</v>
      </c>
      <c r="D478" s="337">
        <f t="shared" si="7"/>
        <v>6100</v>
      </c>
    </row>
    <row r="479" spans="1:9" ht="15" customHeight="1">
      <c r="A479" s="350">
        <v>39762</v>
      </c>
      <c r="B479" s="336">
        <v>6000</v>
      </c>
      <c r="C479" s="336">
        <v>6200</v>
      </c>
      <c r="D479" s="337">
        <f t="shared" si="7"/>
        <v>6100</v>
      </c>
    </row>
    <row r="480" spans="1:9" ht="15" customHeight="1">
      <c r="A480" s="350">
        <v>39763</v>
      </c>
      <c r="B480" s="336">
        <v>5700</v>
      </c>
      <c r="C480" s="336">
        <v>5900</v>
      </c>
      <c r="D480" s="337">
        <f t="shared" si="7"/>
        <v>5800</v>
      </c>
    </row>
    <row r="481" spans="1:9" ht="15" customHeight="1">
      <c r="A481" s="350">
        <v>39764</v>
      </c>
      <c r="B481" s="336">
        <v>5700</v>
      </c>
      <c r="C481" s="336">
        <v>5900</v>
      </c>
      <c r="D481" s="337">
        <f t="shared" si="7"/>
        <v>5800</v>
      </c>
    </row>
    <row r="482" spans="1:9" ht="15" customHeight="1">
      <c r="A482" s="350">
        <v>39765</v>
      </c>
      <c r="B482" s="336">
        <v>5700</v>
      </c>
      <c r="C482" s="336">
        <v>5900</v>
      </c>
      <c r="D482" s="337">
        <f t="shared" si="7"/>
        <v>5800</v>
      </c>
    </row>
    <row r="483" spans="1:9" ht="15" customHeight="1">
      <c r="A483" s="350">
        <v>39766</v>
      </c>
      <c r="B483" s="336">
        <v>5700</v>
      </c>
      <c r="C483" s="336">
        <v>5900</v>
      </c>
      <c r="D483" s="337">
        <f t="shared" si="7"/>
        <v>5800</v>
      </c>
    </row>
    <row r="484" spans="1:9" ht="15" customHeight="1">
      <c r="A484" s="350">
        <v>39769</v>
      </c>
      <c r="B484" s="336">
        <v>5700</v>
      </c>
      <c r="C484" s="336">
        <v>5900</v>
      </c>
      <c r="D484" s="337">
        <f t="shared" si="7"/>
        <v>5800</v>
      </c>
    </row>
    <row r="485" spans="1:9" ht="15" customHeight="1">
      <c r="A485" s="350">
        <v>39770</v>
      </c>
      <c r="B485" s="336">
        <v>5700</v>
      </c>
      <c r="C485" s="336">
        <v>5900</v>
      </c>
      <c r="D485" s="337">
        <f t="shared" si="7"/>
        <v>5800</v>
      </c>
    </row>
    <row r="486" spans="1:9" ht="15" customHeight="1">
      <c r="A486" s="350">
        <v>39771</v>
      </c>
      <c r="B486" s="336">
        <v>5700</v>
      </c>
      <c r="C486" s="336">
        <v>5900</v>
      </c>
      <c r="D486" s="337">
        <f t="shared" si="7"/>
        <v>5800</v>
      </c>
    </row>
    <row r="487" spans="1:9" ht="15" customHeight="1">
      <c r="A487" s="350">
        <v>39772</v>
      </c>
      <c r="B487" s="336">
        <v>5700</v>
      </c>
      <c r="C487" s="336">
        <v>5900</v>
      </c>
      <c r="D487" s="337">
        <f t="shared" si="7"/>
        <v>5800</v>
      </c>
    </row>
    <row r="488" spans="1:9" ht="15" customHeight="1">
      <c r="A488" s="350">
        <v>39773</v>
      </c>
      <c r="B488" s="336">
        <v>5700</v>
      </c>
      <c r="C488" s="336">
        <v>5900</v>
      </c>
      <c r="D488" s="337">
        <f t="shared" si="7"/>
        <v>5800</v>
      </c>
    </row>
    <row r="489" spans="1:9" ht="15" customHeight="1">
      <c r="A489" s="350">
        <v>39776</v>
      </c>
      <c r="B489" s="336">
        <v>5700</v>
      </c>
      <c r="C489" s="336">
        <v>5900</v>
      </c>
      <c r="D489" s="337">
        <f t="shared" si="7"/>
        <v>5800</v>
      </c>
    </row>
    <row r="490" spans="1:9" ht="15" customHeight="1">
      <c r="A490" s="350">
        <v>39777</v>
      </c>
      <c r="B490" s="336">
        <v>5300</v>
      </c>
      <c r="C490" s="336">
        <v>5500</v>
      </c>
      <c r="D490" s="337">
        <f t="shared" si="7"/>
        <v>5400</v>
      </c>
    </row>
    <row r="491" spans="1:9" ht="15" customHeight="1">
      <c r="A491" s="350">
        <v>39778</v>
      </c>
      <c r="B491" s="336">
        <v>5300</v>
      </c>
      <c r="C491" s="336">
        <v>5500</v>
      </c>
      <c r="D491" s="337">
        <f t="shared" si="7"/>
        <v>5400</v>
      </c>
    </row>
    <row r="492" spans="1:9" ht="15" customHeight="1">
      <c r="A492" s="350">
        <v>39779</v>
      </c>
      <c r="B492" s="336">
        <v>5300</v>
      </c>
      <c r="C492" s="336">
        <v>5500</v>
      </c>
      <c r="D492" s="337">
        <f t="shared" si="7"/>
        <v>5400</v>
      </c>
    </row>
    <row r="493" spans="1:9" ht="15" customHeight="1" thickBot="1">
      <c r="A493" s="351">
        <v>39780</v>
      </c>
      <c r="B493" s="341">
        <v>5300</v>
      </c>
      <c r="C493" s="341">
        <v>5500</v>
      </c>
      <c r="D493" s="342">
        <f t="shared" si="7"/>
        <v>5400</v>
      </c>
      <c r="E493" s="343">
        <f>AVERAGE(D474:D493)</f>
        <v>5852.5</v>
      </c>
      <c r="F493" s="343"/>
      <c r="G493" s="344">
        <f>AVERAGE(D451:D493)</f>
        <v>6181.395348837209</v>
      </c>
      <c r="H493" s="354"/>
      <c r="I493" s="358"/>
    </row>
    <row r="494" spans="1:9" ht="15" customHeight="1">
      <c r="A494" s="357">
        <v>39783</v>
      </c>
      <c r="B494" s="336">
        <v>5300</v>
      </c>
      <c r="C494" s="336">
        <v>5500</v>
      </c>
      <c r="D494" s="337">
        <f t="shared" si="7"/>
        <v>5400</v>
      </c>
    </row>
    <row r="495" spans="1:9" ht="15" customHeight="1">
      <c r="A495" s="350">
        <v>39784</v>
      </c>
      <c r="B495" s="336">
        <v>5300</v>
      </c>
      <c r="C495" s="336">
        <v>5500</v>
      </c>
      <c r="D495" s="337">
        <f t="shared" si="7"/>
        <v>5400</v>
      </c>
    </row>
    <row r="496" spans="1:9" ht="15" customHeight="1">
      <c r="A496" s="350">
        <v>39785</v>
      </c>
      <c r="B496" s="336">
        <v>5300</v>
      </c>
      <c r="C496" s="336">
        <v>5500</v>
      </c>
      <c r="D496" s="337">
        <f t="shared" si="7"/>
        <v>5400</v>
      </c>
    </row>
    <row r="497" spans="1:11" ht="15" customHeight="1">
      <c r="A497" s="350">
        <v>39786</v>
      </c>
      <c r="B497" s="336">
        <v>5000</v>
      </c>
      <c r="C497" s="336">
        <v>5200</v>
      </c>
      <c r="D497" s="337">
        <f t="shared" si="7"/>
        <v>5100</v>
      </c>
    </row>
    <row r="498" spans="1:11" ht="15" customHeight="1">
      <c r="A498" s="350">
        <v>39787</v>
      </c>
      <c r="B498" s="336">
        <v>5000</v>
      </c>
      <c r="C498" s="336">
        <v>5200</v>
      </c>
      <c r="D498" s="337">
        <f t="shared" si="7"/>
        <v>5100</v>
      </c>
    </row>
    <row r="499" spans="1:11" ht="15" customHeight="1">
      <c r="A499" s="350">
        <v>39790</v>
      </c>
      <c r="B499" s="336">
        <v>5000</v>
      </c>
      <c r="C499" s="336">
        <v>5200</v>
      </c>
      <c r="D499" s="337">
        <f t="shared" si="7"/>
        <v>5100</v>
      </c>
    </row>
    <row r="500" spans="1:11" ht="15" customHeight="1">
      <c r="A500" s="350">
        <v>39791</v>
      </c>
      <c r="B500" s="336">
        <v>5000</v>
      </c>
      <c r="C500" s="336">
        <v>5200</v>
      </c>
      <c r="D500" s="337">
        <f t="shared" si="7"/>
        <v>5100</v>
      </c>
    </row>
    <row r="501" spans="1:11" ht="15" customHeight="1">
      <c r="A501" s="350">
        <v>39792</v>
      </c>
      <c r="B501" s="336">
        <v>4800</v>
      </c>
      <c r="C501" s="336">
        <v>5000</v>
      </c>
      <c r="D501" s="337">
        <f t="shared" si="7"/>
        <v>4900</v>
      </c>
    </row>
    <row r="502" spans="1:11" ht="15" customHeight="1">
      <c r="A502" s="350">
        <v>39793</v>
      </c>
      <c r="B502" s="336">
        <v>4800</v>
      </c>
      <c r="C502" s="336">
        <v>5000</v>
      </c>
      <c r="D502" s="337">
        <f t="shared" si="7"/>
        <v>4900</v>
      </c>
    </row>
    <row r="503" spans="1:11" ht="15" customHeight="1">
      <c r="A503" s="350">
        <v>39794</v>
      </c>
      <c r="B503" s="336">
        <v>4800</v>
      </c>
      <c r="C503" s="336">
        <v>5000</v>
      </c>
      <c r="D503" s="337">
        <f t="shared" si="7"/>
        <v>4900</v>
      </c>
    </row>
    <row r="504" spans="1:11" ht="15" customHeight="1">
      <c r="A504" s="350">
        <v>39797</v>
      </c>
      <c r="B504" s="336">
        <v>4800</v>
      </c>
      <c r="C504" s="336">
        <v>5000</v>
      </c>
      <c r="D504" s="337">
        <f t="shared" si="7"/>
        <v>4900</v>
      </c>
    </row>
    <row r="505" spans="1:11" ht="15" customHeight="1">
      <c r="A505" s="350">
        <v>39798</v>
      </c>
      <c r="B505" s="336">
        <v>4800</v>
      </c>
      <c r="C505" s="336">
        <v>5000</v>
      </c>
      <c r="D505" s="337">
        <f t="shared" si="7"/>
        <v>4900</v>
      </c>
    </row>
    <row r="506" spans="1:11" ht="15" customHeight="1">
      <c r="A506" s="350">
        <v>39799</v>
      </c>
      <c r="B506" s="336">
        <v>4400</v>
      </c>
      <c r="C506" s="336">
        <v>4600</v>
      </c>
      <c r="D506" s="337">
        <f t="shared" si="7"/>
        <v>4500</v>
      </c>
    </row>
    <row r="507" spans="1:11" ht="15" customHeight="1">
      <c r="A507" s="350">
        <v>39800</v>
      </c>
      <c r="B507" s="336">
        <v>4400</v>
      </c>
      <c r="C507" s="336">
        <v>4600</v>
      </c>
      <c r="D507" s="337">
        <f t="shared" si="7"/>
        <v>4500</v>
      </c>
    </row>
    <row r="508" spans="1:11" ht="15" customHeight="1">
      <c r="A508" s="350">
        <v>39801</v>
      </c>
      <c r="B508" s="336">
        <v>4400</v>
      </c>
      <c r="C508" s="336">
        <v>4600</v>
      </c>
      <c r="D508" s="337">
        <f t="shared" si="7"/>
        <v>4500</v>
      </c>
    </row>
    <row r="509" spans="1:11" ht="15" customHeight="1">
      <c r="A509" s="350">
        <v>39804</v>
      </c>
      <c r="B509" s="336">
        <v>4400</v>
      </c>
      <c r="C509" s="336">
        <v>4600</v>
      </c>
      <c r="D509" s="337">
        <f t="shared" si="7"/>
        <v>4500</v>
      </c>
    </row>
    <row r="510" spans="1:11" ht="15" customHeight="1">
      <c r="A510" s="350">
        <v>39805</v>
      </c>
      <c r="B510" s="336">
        <v>4400</v>
      </c>
      <c r="C510" s="336">
        <v>4600</v>
      </c>
      <c r="D510" s="337">
        <f t="shared" si="7"/>
        <v>4500</v>
      </c>
    </row>
    <row r="511" spans="1:11" ht="15" customHeight="1">
      <c r="A511" s="350">
        <v>39806</v>
      </c>
      <c r="B511" s="1411" t="s">
        <v>78</v>
      </c>
      <c r="C511" s="1411"/>
      <c r="D511" s="1411"/>
      <c r="E511" s="1411"/>
      <c r="F511" s="1411"/>
      <c r="G511" s="1411"/>
      <c r="H511" s="1411"/>
      <c r="I511" s="1411"/>
      <c r="J511" s="1411"/>
      <c r="K511" s="1411"/>
    </row>
    <row r="512" spans="1:11" ht="15" customHeight="1">
      <c r="A512" s="350">
        <v>39807</v>
      </c>
      <c r="B512" s="1411"/>
      <c r="C512" s="1411"/>
      <c r="D512" s="1411"/>
      <c r="E512" s="1411"/>
      <c r="F512" s="1411"/>
      <c r="G512" s="1411"/>
      <c r="H512" s="1411"/>
      <c r="I512" s="1411"/>
      <c r="J512" s="1411"/>
      <c r="K512" s="1411"/>
    </row>
    <row r="513" spans="1:9" ht="15" customHeight="1">
      <c r="A513" s="350">
        <v>39808</v>
      </c>
      <c r="B513" s="336">
        <v>4400</v>
      </c>
      <c r="C513" s="336">
        <v>4600</v>
      </c>
      <c r="D513" s="337">
        <f t="shared" si="7"/>
        <v>4500</v>
      </c>
    </row>
    <row r="514" spans="1:9" ht="15" customHeight="1">
      <c r="A514" s="350">
        <v>39811</v>
      </c>
      <c r="B514" s="336">
        <v>4400</v>
      </c>
      <c r="C514" s="336">
        <v>4600</v>
      </c>
      <c r="D514" s="337">
        <f t="shared" si="7"/>
        <v>4500</v>
      </c>
    </row>
    <row r="515" spans="1:9" ht="15" customHeight="1">
      <c r="A515" s="350">
        <v>39812</v>
      </c>
      <c r="B515" s="336">
        <v>4400</v>
      </c>
      <c r="C515" s="336">
        <v>4600</v>
      </c>
      <c r="D515" s="337">
        <f t="shared" si="7"/>
        <v>4500</v>
      </c>
    </row>
    <row r="516" spans="1:9" ht="15" customHeight="1" thickBot="1">
      <c r="A516" s="351">
        <v>39813</v>
      </c>
      <c r="B516" s="341">
        <v>4400</v>
      </c>
      <c r="C516" s="341">
        <v>4600</v>
      </c>
      <c r="D516" s="342">
        <f t="shared" si="7"/>
        <v>4500</v>
      </c>
      <c r="E516" s="343">
        <f>AVERAGE(D494:D516)</f>
        <v>4838.0952380952385</v>
      </c>
      <c r="F516" s="343">
        <f>AVERAGE(D256:D516)</f>
        <v>6028.3858267716532</v>
      </c>
      <c r="G516" s="344">
        <f>AVERAGE(D451:D516)</f>
        <v>5740.625</v>
      </c>
      <c r="H516" s="354">
        <v>1362.79</v>
      </c>
      <c r="I516" s="356">
        <f>+H516*G516</f>
        <v>7823266.34375</v>
      </c>
    </row>
    <row r="517" spans="1:9" ht="15" customHeight="1">
      <c r="A517" s="350">
        <v>39815</v>
      </c>
      <c r="B517" s="336">
        <v>4400</v>
      </c>
      <c r="C517" s="336">
        <v>4600</v>
      </c>
      <c r="D517" s="337">
        <f t="shared" si="7"/>
        <v>4500</v>
      </c>
    </row>
    <row r="518" spans="1:9" ht="15" customHeight="1">
      <c r="A518" s="350">
        <v>39818</v>
      </c>
      <c r="B518" s="336">
        <v>4400</v>
      </c>
      <c r="C518" s="336">
        <v>4600</v>
      </c>
      <c r="D518" s="337">
        <f t="shared" si="7"/>
        <v>4500</v>
      </c>
    </row>
    <row r="519" spans="1:9" ht="15" customHeight="1">
      <c r="A519" s="350">
        <v>39819</v>
      </c>
      <c r="B519" s="336">
        <v>4400</v>
      </c>
      <c r="C519" s="336">
        <v>4600</v>
      </c>
      <c r="D519" s="337">
        <f t="shared" ref="D519:D582" si="8">AVERAGE(B519:C519)</f>
        <v>4500</v>
      </c>
    </row>
    <row r="520" spans="1:9" ht="15" customHeight="1">
      <c r="A520" s="350">
        <v>39820</v>
      </c>
      <c r="B520" s="336">
        <v>4000</v>
      </c>
      <c r="C520" s="336">
        <v>4200</v>
      </c>
      <c r="D520" s="337">
        <f t="shared" si="8"/>
        <v>4100</v>
      </c>
    </row>
    <row r="521" spans="1:9" ht="15" customHeight="1">
      <c r="A521" s="350">
        <v>39821</v>
      </c>
      <c r="B521" s="336">
        <v>4000</v>
      </c>
      <c r="C521" s="336">
        <v>4200</v>
      </c>
      <c r="D521" s="337">
        <f t="shared" si="8"/>
        <v>4100</v>
      </c>
    </row>
    <row r="522" spans="1:9" ht="15" customHeight="1">
      <c r="A522" s="350">
        <v>39822</v>
      </c>
      <c r="B522" s="336">
        <v>4000</v>
      </c>
      <c r="C522" s="336">
        <v>4200</v>
      </c>
      <c r="D522" s="337">
        <f t="shared" si="8"/>
        <v>4100</v>
      </c>
    </row>
    <row r="523" spans="1:9" ht="15" customHeight="1">
      <c r="A523" s="350">
        <v>39825</v>
      </c>
      <c r="B523" s="336">
        <v>4000</v>
      </c>
      <c r="C523" s="336">
        <v>4200</v>
      </c>
      <c r="D523" s="337">
        <f t="shared" si="8"/>
        <v>4100</v>
      </c>
    </row>
    <row r="524" spans="1:9" ht="15" customHeight="1">
      <c r="A524" s="350">
        <v>39826</v>
      </c>
      <c r="B524" s="336">
        <v>4000</v>
      </c>
      <c r="C524" s="336">
        <v>4200</v>
      </c>
      <c r="D524" s="337">
        <f t="shared" si="8"/>
        <v>4100</v>
      </c>
    </row>
    <row r="525" spans="1:9" ht="15" customHeight="1">
      <c r="A525" s="350">
        <v>39827</v>
      </c>
      <c r="B525" s="336">
        <v>4000</v>
      </c>
      <c r="C525" s="336">
        <v>4200</v>
      </c>
      <c r="D525" s="337">
        <f t="shared" si="8"/>
        <v>4100</v>
      </c>
    </row>
    <row r="526" spans="1:9" ht="15" customHeight="1">
      <c r="A526" s="350">
        <v>39828</v>
      </c>
      <c r="B526" s="336">
        <v>4100</v>
      </c>
      <c r="C526" s="336">
        <v>4300</v>
      </c>
      <c r="D526" s="337">
        <f t="shared" si="8"/>
        <v>4200</v>
      </c>
    </row>
    <row r="527" spans="1:9" ht="15" customHeight="1">
      <c r="A527" s="350">
        <v>39829</v>
      </c>
      <c r="B527" s="336">
        <v>4100</v>
      </c>
      <c r="C527" s="336">
        <v>4300</v>
      </c>
      <c r="D527" s="337">
        <f t="shared" si="8"/>
        <v>4200</v>
      </c>
    </row>
    <row r="528" spans="1:9" ht="15" customHeight="1">
      <c r="A528" s="350">
        <v>39832</v>
      </c>
      <c r="B528" s="336">
        <v>4100</v>
      </c>
      <c r="C528" s="336">
        <v>4300</v>
      </c>
      <c r="D528" s="337">
        <f t="shared" si="8"/>
        <v>4200</v>
      </c>
    </row>
    <row r="529" spans="1:9" ht="15" customHeight="1">
      <c r="A529" s="350">
        <v>39833</v>
      </c>
      <c r="B529" s="336">
        <v>4200</v>
      </c>
      <c r="C529" s="336">
        <v>4400</v>
      </c>
      <c r="D529" s="337">
        <f t="shared" si="8"/>
        <v>4300</v>
      </c>
    </row>
    <row r="530" spans="1:9" ht="15" customHeight="1">
      <c r="A530" s="350">
        <v>39834</v>
      </c>
      <c r="B530" s="336">
        <v>4200</v>
      </c>
      <c r="C530" s="336">
        <v>4400</v>
      </c>
      <c r="D530" s="337">
        <f t="shared" si="8"/>
        <v>4300</v>
      </c>
    </row>
    <row r="531" spans="1:9" ht="15" customHeight="1">
      <c r="A531" s="350">
        <v>39835</v>
      </c>
      <c r="B531" s="336">
        <v>4200</v>
      </c>
      <c r="C531" s="336">
        <v>4400</v>
      </c>
      <c r="D531" s="337">
        <f t="shared" si="8"/>
        <v>4300</v>
      </c>
    </row>
    <row r="532" spans="1:9" ht="15" customHeight="1">
      <c r="A532" s="350">
        <v>39836</v>
      </c>
      <c r="B532" s="336">
        <v>4200</v>
      </c>
      <c r="C532" s="336">
        <v>4400</v>
      </c>
      <c r="D532" s="337">
        <f t="shared" si="8"/>
        <v>4300</v>
      </c>
    </row>
    <row r="533" spans="1:9" ht="15" customHeight="1">
      <c r="A533" s="350">
        <v>39839</v>
      </c>
      <c r="B533" s="336">
        <v>4200</v>
      </c>
      <c r="C533" s="336">
        <v>4400</v>
      </c>
      <c r="D533" s="337">
        <f t="shared" si="8"/>
        <v>4300</v>
      </c>
    </row>
    <row r="534" spans="1:9" ht="15" customHeight="1">
      <c r="A534" s="350">
        <v>39840</v>
      </c>
      <c r="B534" s="336">
        <v>4200</v>
      </c>
      <c r="C534" s="336">
        <v>4400</v>
      </c>
      <c r="D534" s="337">
        <f t="shared" si="8"/>
        <v>4300</v>
      </c>
    </row>
    <row r="535" spans="1:9" ht="15" customHeight="1">
      <c r="A535" s="350">
        <v>39841</v>
      </c>
      <c r="B535" s="336">
        <v>4200</v>
      </c>
      <c r="C535" s="336">
        <v>4400</v>
      </c>
      <c r="D535" s="337">
        <f t="shared" si="8"/>
        <v>4300</v>
      </c>
    </row>
    <row r="536" spans="1:9" ht="15" customHeight="1">
      <c r="A536" s="350">
        <v>39842</v>
      </c>
      <c r="B536" s="336">
        <v>4300</v>
      </c>
      <c r="C536" s="336">
        <v>4500</v>
      </c>
      <c r="D536" s="337">
        <f t="shared" si="8"/>
        <v>4400</v>
      </c>
    </row>
    <row r="537" spans="1:9" ht="15" customHeight="1" thickBot="1">
      <c r="A537" s="351">
        <v>39843</v>
      </c>
      <c r="B537" s="341">
        <v>4300</v>
      </c>
      <c r="C537" s="341">
        <v>4500</v>
      </c>
      <c r="D537" s="342">
        <f t="shared" si="8"/>
        <v>4400</v>
      </c>
      <c r="E537" s="343">
        <f>AVERAGE(D517:D537)</f>
        <v>4266.666666666667</v>
      </c>
      <c r="F537" s="343"/>
      <c r="G537" s="344"/>
      <c r="H537" s="354"/>
      <c r="I537" s="358"/>
    </row>
    <row r="538" spans="1:9" ht="15" customHeight="1">
      <c r="A538" s="357">
        <v>39846</v>
      </c>
      <c r="B538" s="336">
        <v>4300</v>
      </c>
      <c r="C538" s="336">
        <v>4500</v>
      </c>
      <c r="D538" s="337">
        <f t="shared" si="8"/>
        <v>4400</v>
      </c>
    </row>
    <row r="539" spans="1:9" ht="15" customHeight="1">
      <c r="A539" s="350">
        <v>39847</v>
      </c>
      <c r="B539" s="336">
        <v>4300</v>
      </c>
      <c r="C539" s="336">
        <v>4500</v>
      </c>
      <c r="D539" s="337">
        <f t="shared" si="8"/>
        <v>4400</v>
      </c>
    </row>
    <row r="540" spans="1:9" ht="15" customHeight="1">
      <c r="A540" s="350">
        <v>39848</v>
      </c>
      <c r="B540" s="336">
        <v>4300</v>
      </c>
      <c r="C540" s="336">
        <v>4500</v>
      </c>
      <c r="D540" s="337">
        <f t="shared" si="8"/>
        <v>4400</v>
      </c>
    </row>
    <row r="541" spans="1:9" ht="15" customHeight="1">
      <c r="A541" s="350">
        <v>39849</v>
      </c>
      <c r="B541" s="336">
        <v>4300</v>
      </c>
      <c r="C541" s="336">
        <v>4500</v>
      </c>
      <c r="D541" s="337">
        <f t="shared" si="8"/>
        <v>4400</v>
      </c>
    </row>
    <row r="542" spans="1:9" ht="15" customHeight="1">
      <c r="A542" s="350">
        <v>39850</v>
      </c>
      <c r="B542" s="336">
        <v>4300</v>
      </c>
      <c r="C542" s="336">
        <v>4500</v>
      </c>
      <c r="D542" s="337">
        <f t="shared" si="8"/>
        <v>4400</v>
      </c>
    </row>
    <row r="543" spans="1:9" ht="15" customHeight="1">
      <c r="A543" s="350">
        <v>39853</v>
      </c>
      <c r="B543" s="336">
        <v>4300</v>
      </c>
      <c r="C543" s="336">
        <v>4500</v>
      </c>
      <c r="D543" s="337">
        <f t="shared" si="8"/>
        <v>4400</v>
      </c>
    </row>
    <row r="544" spans="1:9" ht="15" customHeight="1">
      <c r="A544" s="350">
        <v>39854</v>
      </c>
      <c r="B544" s="336">
        <v>4300</v>
      </c>
      <c r="C544" s="336">
        <v>4500</v>
      </c>
      <c r="D544" s="337">
        <f t="shared" si="8"/>
        <v>4400</v>
      </c>
    </row>
    <row r="545" spans="1:9" ht="15" customHeight="1">
      <c r="A545" s="350">
        <v>39855</v>
      </c>
      <c r="B545" s="336">
        <v>4300</v>
      </c>
      <c r="C545" s="336">
        <v>4500</v>
      </c>
      <c r="D545" s="337">
        <f t="shared" si="8"/>
        <v>4400</v>
      </c>
    </row>
    <row r="546" spans="1:9" ht="15" customHeight="1">
      <c r="A546" s="350">
        <v>39856</v>
      </c>
      <c r="B546" s="336">
        <v>4300</v>
      </c>
      <c r="C546" s="336">
        <v>4500</v>
      </c>
      <c r="D546" s="337">
        <f t="shared" si="8"/>
        <v>4400</v>
      </c>
    </row>
    <row r="547" spans="1:9" ht="15" customHeight="1">
      <c r="A547" s="350">
        <v>39857</v>
      </c>
      <c r="B547" s="336">
        <v>4300</v>
      </c>
      <c r="C547" s="336">
        <v>4500</v>
      </c>
      <c r="D547" s="337">
        <f t="shared" si="8"/>
        <v>4400</v>
      </c>
    </row>
    <row r="548" spans="1:9" ht="15" customHeight="1">
      <c r="A548" s="350">
        <v>39860</v>
      </c>
      <c r="B548" s="336">
        <v>4300</v>
      </c>
      <c r="C548" s="336">
        <v>4500</v>
      </c>
      <c r="D548" s="337">
        <f t="shared" si="8"/>
        <v>4400</v>
      </c>
    </row>
    <row r="549" spans="1:9" ht="15" customHeight="1">
      <c r="A549" s="350">
        <v>39861</v>
      </c>
      <c r="B549" s="336">
        <v>4300</v>
      </c>
      <c r="C549" s="336">
        <v>4500</v>
      </c>
      <c r="D549" s="337">
        <f t="shared" si="8"/>
        <v>4400</v>
      </c>
    </row>
    <row r="550" spans="1:9" ht="15" customHeight="1">
      <c r="A550" s="350">
        <v>39862</v>
      </c>
      <c r="B550" s="336">
        <v>4400</v>
      </c>
      <c r="C550" s="336">
        <v>4600</v>
      </c>
      <c r="D550" s="337">
        <f t="shared" si="8"/>
        <v>4500</v>
      </c>
    </row>
    <row r="551" spans="1:9" ht="15" customHeight="1">
      <c r="A551" s="350">
        <v>39863</v>
      </c>
      <c r="B551" s="336">
        <v>4400</v>
      </c>
      <c r="C551" s="336">
        <v>4600</v>
      </c>
      <c r="D551" s="337">
        <f t="shared" si="8"/>
        <v>4500</v>
      </c>
    </row>
    <row r="552" spans="1:9" ht="15" customHeight="1">
      <c r="A552" s="350">
        <v>39864</v>
      </c>
      <c r="B552" s="336">
        <v>4400</v>
      </c>
      <c r="C552" s="336">
        <v>4600</v>
      </c>
      <c r="D552" s="337">
        <f t="shared" si="8"/>
        <v>4500</v>
      </c>
    </row>
    <row r="553" spans="1:9" ht="15" customHeight="1">
      <c r="A553" s="350">
        <v>39867</v>
      </c>
      <c r="B553" s="336">
        <v>4400</v>
      </c>
      <c r="C553" s="336">
        <v>4600</v>
      </c>
      <c r="D553" s="337">
        <f t="shared" si="8"/>
        <v>4500</v>
      </c>
    </row>
    <row r="554" spans="1:9" ht="15" customHeight="1">
      <c r="A554" s="350">
        <v>39868</v>
      </c>
      <c r="B554" s="336">
        <v>4400</v>
      </c>
      <c r="C554" s="336">
        <v>4600</v>
      </c>
      <c r="D554" s="337">
        <f t="shared" si="8"/>
        <v>4500</v>
      </c>
    </row>
    <row r="555" spans="1:9" ht="15" customHeight="1">
      <c r="A555" s="350">
        <v>39869</v>
      </c>
      <c r="B555" s="336">
        <v>4400</v>
      </c>
      <c r="C555" s="336">
        <v>4600</v>
      </c>
      <c r="D555" s="337">
        <f t="shared" si="8"/>
        <v>4500</v>
      </c>
    </row>
    <row r="556" spans="1:9" ht="15" customHeight="1">
      <c r="A556" s="350">
        <v>39870</v>
      </c>
      <c r="B556" s="336">
        <v>4400</v>
      </c>
      <c r="C556" s="336">
        <v>4600</v>
      </c>
      <c r="D556" s="337">
        <f t="shared" si="8"/>
        <v>4500</v>
      </c>
    </row>
    <row r="557" spans="1:9" ht="15" customHeight="1" thickBot="1">
      <c r="A557" s="351">
        <v>39871</v>
      </c>
      <c r="B557" s="341">
        <v>4400</v>
      </c>
      <c r="C557" s="341">
        <v>4600</v>
      </c>
      <c r="D557" s="342">
        <f t="shared" si="8"/>
        <v>4500</v>
      </c>
      <c r="E557" s="343">
        <f>AVERAGE(D538:D557)</f>
        <v>4440</v>
      </c>
      <c r="F557" s="343"/>
      <c r="G557" s="344"/>
      <c r="H557" s="354"/>
      <c r="I557" s="358"/>
    </row>
    <row r="558" spans="1:9" ht="15" customHeight="1">
      <c r="A558" s="350">
        <v>39874</v>
      </c>
      <c r="B558" s="336">
        <v>4400</v>
      </c>
      <c r="C558" s="336">
        <v>4600</v>
      </c>
      <c r="D558" s="337">
        <f t="shared" si="8"/>
        <v>4500</v>
      </c>
    </row>
    <row r="559" spans="1:9" ht="15" customHeight="1">
      <c r="A559" s="350">
        <v>39875</v>
      </c>
      <c r="B559" s="336">
        <v>4400</v>
      </c>
      <c r="C559" s="336">
        <v>4600</v>
      </c>
      <c r="D559" s="337">
        <f t="shared" si="8"/>
        <v>4500</v>
      </c>
    </row>
    <row r="560" spans="1:9" ht="15" customHeight="1">
      <c r="A560" s="350">
        <v>39876</v>
      </c>
      <c r="B560" s="336">
        <v>4400</v>
      </c>
      <c r="C560" s="336">
        <v>4600</v>
      </c>
      <c r="D560" s="337">
        <f t="shared" si="8"/>
        <v>4500</v>
      </c>
    </row>
    <row r="561" spans="1:4" ht="15" customHeight="1">
      <c r="A561" s="350">
        <v>39877</v>
      </c>
      <c r="B561" s="336">
        <v>4400</v>
      </c>
      <c r="C561" s="336">
        <v>4600</v>
      </c>
      <c r="D561" s="337">
        <f t="shared" si="8"/>
        <v>4500</v>
      </c>
    </row>
    <row r="562" spans="1:4" ht="15" customHeight="1">
      <c r="A562" s="350">
        <v>39878</v>
      </c>
      <c r="B562" s="336">
        <v>4400</v>
      </c>
      <c r="C562" s="336">
        <v>4600</v>
      </c>
      <c r="D562" s="337">
        <f t="shared" si="8"/>
        <v>4500</v>
      </c>
    </row>
    <row r="563" spans="1:4" ht="15" customHeight="1">
      <c r="A563" s="350">
        <v>39881</v>
      </c>
      <c r="B563" s="336">
        <v>4400</v>
      </c>
      <c r="C563" s="336">
        <v>4600</v>
      </c>
      <c r="D563" s="337">
        <f t="shared" si="8"/>
        <v>4500</v>
      </c>
    </row>
    <row r="564" spans="1:4" ht="15" customHeight="1">
      <c r="A564" s="350">
        <v>39882</v>
      </c>
      <c r="B564" s="336">
        <v>4400</v>
      </c>
      <c r="C564" s="336">
        <v>4600</v>
      </c>
      <c r="D564" s="337">
        <f t="shared" si="8"/>
        <v>4500</v>
      </c>
    </row>
    <row r="565" spans="1:4" ht="15" customHeight="1">
      <c r="A565" s="350">
        <v>39883</v>
      </c>
      <c r="B565" s="336">
        <v>4400</v>
      </c>
      <c r="C565" s="336">
        <v>4500</v>
      </c>
      <c r="D565" s="337">
        <f t="shared" si="8"/>
        <v>4450</v>
      </c>
    </row>
    <row r="566" spans="1:4" ht="15" customHeight="1">
      <c r="A566" s="350">
        <v>39884</v>
      </c>
      <c r="B566" s="336">
        <v>4400</v>
      </c>
      <c r="C566" s="336">
        <v>4500</v>
      </c>
      <c r="D566" s="337">
        <f t="shared" si="8"/>
        <v>4450</v>
      </c>
    </row>
    <row r="567" spans="1:4" ht="15" customHeight="1">
      <c r="A567" s="350">
        <v>39885</v>
      </c>
      <c r="B567" s="336">
        <v>4400</v>
      </c>
      <c r="C567" s="336">
        <v>4500</v>
      </c>
      <c r="D567" s="337">
        <f t="shared" si="8"/>
        <v>4450</v>
      </c>
    </row>
    <row r="568" spans="1:4" ht="15" customHeight="1">
      <c r="A568" s="350">
        <v>39888</v>
      </c>
      <c r="B568" s="336">
        <v>4400</v>
      </c>
      <c r="C568" s="336">
        <v>4500</v>
      </c>
      <c r="D568" s="337">
        <f t="shared" si="8"/>
        <v>4450</v>
      </c>
    </row>
    <row r="569" spans="1:4" ht="15" customHeight="1">
      <c r="A569" s="350">
        <v>39889</v>
      </c>
      <c r="B569" s="336">
        <v>4400</v>
      </c>
      <c r="C569" s="336">
        <v>4500</v>
      </c>
      <c r="D569" s="337">
        <f t="shared" si="8"/>
        <v>4450</v>
      </c>
    </row>
    <row r="570" spans="1:4" ht="15" customHeight="1">
      <c r="A570" s="350">
        <v>39890</v>
      </c>
      <c r="B570" s="336">
        <v>4300</v>
      </c>
      <c r="C570" s="336">
        <v>4400</v>
      </c>
      <c r="D570" s="337">
        <f t="shared" si="8"/>
        <v>4350</v>
      </c>
    </row>
    <row r="571" spans="1:4" ht="15" customHeight="1">
      <c r="A571" s="350">
        <v>39891</v>
      </c>
      <c r="B571" s="336">
        <v>4300</v>
      </c>
      <c r="C571" s="336">
        <v>4400</v>
      </c>
      <c r="D571" s="337">
        <f t="shared" si="8"/>
        <v>4350</v>
      </c>
    </row>
    <row r="572" spans="1:4" ht="15" customHeight="1">
      <c r="A572" s="350">
        <v>39892</v>
      </c>
      <c r="B572" s="336">
        <v>4300</v>
      </c>
      <c r="C572" s="336">
        <v>4400</v>
      </c>
      <c r="D572" s="337">
        <f t="shared" si="8"/>
        <v>4350</v>
      </c>
    </row>
    <row r="573" spans="1:4" ht="15" customHeight="1">
      <c r="A573" s="350">
        <v>39895</v>
      </c>
      <c r="B573" s="336">
        <v>4300</v>
      </c>
      <c r="C573" s="336">
        <v>4400</v>
      </c>
      <c r="D573" s="337">
        <f t="shared" si="8"/>
        <v>4350</v>
      </c>
    </row>
    <row r="574" spans="1:4" ht="15" customHeight="1">
      <c r="A574" s="350">
        <v>39896</v>
      </c>
      <c r="B574" s="336">
        <v>4300</v>
      </c>
      <c r="C574" s="336">
        <v>4400</v>
      </c>
      <c r="D574" s="337">
        <f t="shared" si="8"/>
        <v>4350</v>
      </c>
    </row>
    <row r="575" spans="1:4" ht="15" customHeight="1">
      <c r="A575" s="350">
        <v>39897</v>
      </c>
      <c r="B575" s="336">
        <v>4100</v>
      </c>
      <c r="C575" s="336">
        <v>4300</v>
      </c>
      <c r="D575" s="337">
        <f t="shared" si="8"/>
        <v>4200</v>
      </c>
    </row>
    <row r="576" spans="1:4" ht="15" customHeight="1">
      <c r="A576" s="350">
        <v>39898</v>
      </c>
      <c r="B576" s="336">
        <v>4100</v>
      </c>
      <c r="C576" s="336">
        <v>4300</v>
      </c>
      <c r="D576" s="337">
        <f t="shared" si="8"/>
        <v>4200</v>
      </c>
    </row>
    <row r="577" spans="1:9" ht="15" customHeight="1">
      <c r="A577" s="350">
        <v>39899</v>
      </c>
      <c r="B577" s="336">
        <v>4100</v>
      </c>
      <c r="C577" s="336">
        <v>4300</v>
      </c>
      <c r="D577" s="337">
        <f t="shared" si="8"/>
        <v>4200</v>
      </c>
    </row>
    <row r="578" spans="1:9" ht="15" customHeight="1">
      <c r="A578" s="350">
        <v>39902</v>
      </c>
      <c r="B578" s="336">
        <v>4100</v>
      </c>
      <c r="C578" s="336">
        <v>4300</v>
      </c>
      <c r="D578" s="337">
        <f t="shared" si="8"/>
        <v>4200</v>
      </c>
    </row>
    <row r="579" spans="1:9" ht="15" customHeight="1" thickBot="1">
      <c r="A579" s="351">
        <v>39903</v>
      </c>
      <c r="B579" s="341">
        <v>4100</v>
      </c>
      <c r="C579" s="341">
        <v>4300</v>
      </c>
      <c r="D579" s="342">
        <f t="shared" si="8"/>
        <v>4200</v>
      </c>
      <c r="E579" s="343">
        <f>AVERAGE(D558:D579)</f>
        <v>4386.363636363636</v>
      </c>
      <c r="F579" s="343"/>
      <c r="G579" s="344">
        <f>AVERAGE(D517:D579)</f>
        <v>4363.4920634920636</v>
      </c>
      <c r="H579" s="354">
        <v>1415.22</v>
      </c>
      <c r="I579" s="356">
        <f>+H579*G579</f>
        <v>6175301.2380952388</v>
      </c>
    </row>
    <row r="580" spans="1:9" ht="15" customHeight="1">
      <c r="A580" s="350">
        <v>39904</v>
      </c>
      <c r="B580" s="336">
        <v>4100</v>
      </c>
      <c r="C580" s="336">
        <v>4300</v>
      </c>
      <c r="D580" s="337">
        <f t="shared" si="8"/>
        <v>4200</v>
      </c>
    </row>
    <row r="581" spans="1:9" ht="15" customHeight="1">
      <c r="A581" s="350">
        <v>39905</v>
      </c>
      <c r="B581" s="336">
        <v>4100</v>
      </c>
      <c r="C581" s="336">
        <v>4300</v>
      </c>
      <c r="D581" s="337">
        <f t="shared" si="8"/>
        <v>4200</v>
      </c>
    </row>
    <row r="582" spans="1:9" ht="15" customHeight="1">
      <c r="A582" s="350">
        <v>39906</v>
      </c>
      <c r="B582" s="336">
        <v>4100</v>
      </c>
      <c r="C582" s="336">
        <v>4300</v>
      </c>
      <c r="D582" s="337">
        <f t="shared" si="8"/>
        <v>4200</v>
      </c>
    </row>
    <row r="583" spans="1:9" ht="15" customHeight="1">
      <c r="A583" s="350">
        <v>39909</v>
      </c>
      <c r="B583" s="336">
        <v>4100</v>
      </c>
      <c r="C583" s="336">
        <v>4300</v>
      </c>
      <c r="D583" s="337">
        <f>AVERAGE(B583:C583)</f>
        <v>4200</v>
      </c>
    </row>
    <row r="584" spans="1:9" ht="15" customHeight="1">
      <c r="A584" s="350">
        <v>39910</v>
      </c>
      <c r="B584" s="336">
        <v>4100</v>
      </c>
      <c r="C584" s="336">
        <v>4300</v>
      </c>
      <c r="D584" s="337">
        <f>AVERAGE(B584:C584)</f>
        <v>4200</v>
      </c>
    </row>
    <row r="585" spans="1:9" ht="15" customHeight="1">
      <c r="A585" s="350">
        <v>39911</v>
      </c>
      <c r="B585" s="336">
        <v>4100</v>
      </c>
      <c r="C585" s="336">
        <v>4300</v>
      </c>
      <c r="D585" s="337">
        <f>AVERAGE(B585:C585)</f>
        <v>4200</v>
      </c>
    </row>
    <row r="586" spans="1:9" ht="15" customHeight="1">
      <c r="A586" s="350">
        <v>39912</v>
      </c>
      <c r="B586" s="336">
        <v>4100</v>
      </c>
      <c r="C586" s="336">
        <v>4300</v>
      </c>
      <c r="D586" s="337">
        <f>AVERAGE(B586:C586)</f>
        <v>4200</v>
      </c>
    </row>
    <row r="587" spans="1:9" ht="15" customHeight="1">
      <c r="A587" s="350">
        <v>39913</v>
      </c>
      <c r="B587" s="1411" t="s">
        <v>79</v>
      </c>
      <c r="C587" s="1411"/>
      <c r="D587" s="1411"/>
      <c r="E587" s="1411"/>
      <c r="F587" s="1411"/>
      <c r="G587" s="1411"/>
      <c r="H587" s="1411"/>
      <c r="I587" s="1411"/>
    </row>
    <row r="588" spans="1:9" ht="15" customHeight="1">
      <c r="A588" s="350">
        <v>39916</v>
      </c>
      <c r="B588" s="1411"/>
      <c r="C588" s="1411"/>
      <c r="D588" s="1411"/>
      <c r="E588" s="1411"/>
      <c r="F588" s="1411"/>
      <c r="G588" s="1411"/>
      <c r="H588" s="1411"/>
      <c r="I588" s="1411"/>
    </row>
    <row r="589" spans="1:9" ht="15" customHeight="1">
      <c r="A589" s="350">
        <v>39917</v>
      </c>
      <c r="B589" s="336">
        <v>4100</v>
      </c>
      <c r="C589" s="336">
        <v>4300</v>
      </c>
      <c r="D589" s="337">
        <f t="shared" ref="D589:D601" si="9">AVERAGE(B589:C589)</f>
        <v>4200</v>
      </c>
    </row>
    <row r="590" spans="1:9" ht="15" customHeight="1">
      <c r="A590" s="350">
        <v>39918</v>
      </c>
      <c r="B590" s="336">
        <v>4000</v>
      </c>
      <c r="C590" s="336">
        <v>4200</v>
      </c>
      <c r="D590" s="337">
        <f t="shared" si="9"/>
        <v>4100</v>
      </c>
    </row>
    <row r="591" spans="1:9" ht="15" customHeight="1">
      <c r="A591" s="350">
        <v>39919</v>
      </c>
      <c r="B591" s="336">
        <v>4000</v>
      </c>
      <c r="C591" s="336">
        <v>4200</v>
      </c>
      <c r="D591" s="337">
        <f t="shared" si="9"/>
        <v>4100</v>
      </c>
    </row>
    <row r="592" spans="1:9" ht="15" customHeight="1">
      <c r="A592" s="350">
        <v>39920</v>
      </c>
      <c r="B592" s="336">
        <v>4000</v>
      </c>
      <c r="C592" s="336">
        <v>4200</v>
      </c>
      <c r="D592" s="337">
        <f t="shared" si="9"/>
        <v>4100</v>
      </c>
    </row>
    <row r="593" spans="1:9" ht="15" customHeight="1">
      <c r="A593" s="350">
        <v>39923</v>
      </c>
      <c r="B593" s="336">
        <v>4000</v>
      </c>
      <c r="C593" s="336">
        <v>4200</v>
      </c>
      <c r="D593" s="337">
        <f t="shared" si="9"/>
        <v>4100</v>
      </c>
    </row>
    <row r="594" spans="1:9" ht="15" customHeight="1">
      <c r="A594" s="350">
        <v>39924</v>
      </c>
      <c r="B594" s="336">
        <v>4000</v>
      </c>
      <c r="C594" s="336">
        <v>4200</v>
      </c>
      <c r="D594" s="337">
        <f t="shared" si="9"/>
        <v>4100</v>
      </c>
    </row>
    <row r="595" spans="1:9" ht="15" customHeight="1">
      <c r="A595" s="350">
        <v>39925</v>
      </c>
      <c r="B595" s="336">
        <v>4000</v>
      </c>
      <c r="C595" s="336">
        <v>4200</v>
      </c>
      <c r="D595" s="337">
        <f t="shared" si="9"/>
        <v>4100</v>
      </c>
    </row>
    <row r="596" spans="1:9" ht="15" customHeight="1">
      <c r="A596" s="350">
        <v>39926</v>
      </c>
      <c r="B596" s="336">
        <v>4100</v>
      </c>
      <c r="C596" s="336">
        <v>4300</v>
      </c>
      <c r="D596" s="337">
        <f t="shared" si="9"/>
        <v>4200</v>
      </c>
    </row>
    <row r="597" spans="1:9" ht="15" customHeight="1">
      <c r="A597" s="350">
        <v>39927</v>
      </c>
      <c r="B597" s="336">
        <v>4100</v>
      </c>
      <c r="C597" s="336">
        <v>4300</v>
      </c>
      <c r="D597" s="337">
        <f t="shared" si="9"/>
        <v>4200</v>
      </c>
    </row>
    <row r="598" spans="1:9" ht="15" customHeight="1">
      <c r="A598" s="350">
        <v>39930</v>
      </c>
      <c r="B598" s="336">
        <v>4100</v>
      </c>
      <c r="C598" s="336">
        <v>4300</v>
      </c>
      <c r="D598" s="337">
        <f t="shared" si="9"/>
        <v>4200</v>
      </c>
    </row>
    <row r="599" spans="1:9" ht="15" customHeight="1">
      <c r="A599" s="350">
        <v>39931</v>
      </c>
      <c r="B599" s="336">
        <v>4100</v>
      </c>
      <c r="C599" s="336">
        <v>4300</v>
      </c>
      <c r="D599" s="337">
        <f t="shared" si="9"/>
        <v>4200</v>
      </c>
    </row>
    <row r="600" spans="1:9" ht="15" customHeight="1">
      <c r="A600" s="350">
        <v>39932</v>
      </c>
      <c r="B600" s="336">
        <v>4100</v>
      </c>
      <c r="C600" s="336">
        <v>4300</v>
      </c>
      <c r="D600" s="337">
        <f t="shared" si="9"/>
        <v>4200</v>
      </c>
    </row>
    <row r="601" spans="1:9" ht="15" customHeight="1" thickBot="1">
      <c r="A601" s="351">
        <v>39933</v>
      </c>
      <c r="B601" s="341">
        <v>4300</v>
      </c>
      <c r="C601" s="341">
        <v>4450</v>
      </c>
      <c r="D601" s="342">
        <f t="shared" si="9"/>
        <v>4375</v>
      </c>
      <c r="E601" s="343">
        <f>AVERAGE(D580:D601)</f>
        <v>4178.75</v>
      </c>
      <c r="F601" s="343"/>
      <c r="G601" s="344"/>
      <c r="H601" s="354"/>
      <c r="I601" s="358"/>
    </row>
    <row r="602" spans="1:9" ht="15" customHeight="1">
      <c r="A602" s="350">
        <v>39934</v>
      </c>
      <c r="B602" s="336">
        <v>4300</v>
      </c>
      <c r="C602" s="336">
        <v>4450</v>
      </c>
      <c r="D602" s="337">
        <f t="shared" ref="D602:D665" si="10">AVERAGE(B602:C602)</f>
        <v>4375</v>
      </c>
    </row>
    <row r="603" spans="1:9" ht="15" customHeight="1">
      <c r="A603" s="359">
        <v>39937</v>
      </c>
      <c r="B603" s="1417" t="s">
        <v>80</v>
      </c>
      <c r="C603" s="1417"/>
      <c r="D603" s="1417"/>
      <c r="E603" s="1417"/>
      <c r="F603" s="1417"/>
      <c r="G603" s="1417"/>
      <c r="H603" s="1417"/>
      <c r="I603" s="1417"/>
    </row>
    <row r="604" spans="1:9" ht="15" customHeight="1">
      <c r="A604" s="350">
        <v>39938</v>
      </c>
      <c r="B604" s="336">
        <v>4300</v>
      </c>
      <c r="C604" s="336">
        <v>4450</v>
      </c>
      <c r="D604" s="337">
        <f t="shared" si="10"/>
        <v>4375</v>
      </c>
    </row>
    <row r="605" spans="1:9" ht="15" customHeight="1">
      <c r="A605" s="350">
        <v>39939</v>
      </c>
      <c r="B605" s="336">
        <v>4300</v>
      </c>
      <c r="C605" s="336">
        <v>4450</v>
      </c>
      <c r="D605" s="337">
        <f t="shared" si="10"/>
        <v>4375</v>
      </c>
    </row>
    <row r="606" spans="1:9" ht="15" customHeight="1">
      <c r="A606" s="350">
        <v>39940</v>
      </c>
      <c r="B606" s="336">
        <v>4300</v>
      </c>
      <c r="C606" s="336">
        <v>4450</v>
      </c>
      <c r="D606" s="337">
        <f t="shared" si="10"/>
        <v>4375</v>
      </c>
    </row>
    <row r="607" spans="1:9" ht="15" customHeight="1">
      <c r="A607" s="350">
        <v>39941</v>
      </c>
      <c r="B607" s="336">
        <v>4350</v>
      </c>
      <c r="C607" s="336">
        <v>4500</v>
      </c>
      <c r="D607" s="337">
        <f t="shared" si="10"/>
        <v>4425</v>
      </c>
    </row>
    <row r="608" spans="1:9" ht="15" customHeight="1">
      <c r="A608" s="350">
        <v>39942</v>
      </c>
      <c r="B608" s="336">
        <v>4350</v>
      </c>
      <c r="C608" s="336">
        <v>4500</v>
      </c>
      <c r="D608" s="337">
        <f t="shared" si="10"/>
        <v>4425</v>
      </c>
    </row>
    <row r="609" spans="1:9" ht="15" customHeight="1">
      <c r="A609" s="350">
        <v>39945</v>
      </c>
      <c r="B609" s="336">
        <v>4350</v>
      </c>
      <c r="C609" s="336">
        <v>4500</v>
      </c>
      <c r="D609" s="337">
        <f t="shared" si="10"/>
        <v>4425</v>
      </c>
    </row>
    <row r="610" spans="1:9" ht="15" customHeight="1">
      <c r="A610" s="350">
        <v>39946</v>
      </c>
      <c r="B610" s="336">
        <v>4350</v>
      </c>
      <c r="C610" s="336">
        <v>4500</v>
      </c>
      <c r="D610" s="337">
        <f t="shared" si="10"/>
        <v>4425</v>
      </c>
    </row>
    <row r="611" spans="1:9" ht="15" customHeight="1">
      <c r="A611" s="350">
        <v>39947</v>
      </c>
      <c r="B611" s="336">
        <v>4500</v>
      </c>
      <c r="C611" s="336">
        <v>4650</v>
      </c>
      <c r="D611" s="337">
        <f t="shared" si="10"/>
        <v>4575</v>
      </c>
    </row>
    <row r="612" spans="1:9" ht="15" customHeight="1">
      <c r="A612" s="350">
        <v>39948</v>
      </c>
      <c r="B612" s="336">
        <v>4500</v>
      </c>
      <c r="C612" s="336">
        <v>4650</v>
      </c>
      <c r="D612" s="337">
        <f t="shared" si="10"/>
        <v>4575</v>
      </c>
    </row>
    <row r="613" spans="1:9" ht="15" customHeight="1">
      <c r="A613" s="350">
        <v>39951</v>
      </c>
      <c r="B613" s="336">
        <v>4500</v>
      </c>
      <c r="C613" s="336">
        <v>4650</v>
      </c>
      <c r="D613" s="337">
        <f t="shared" si="10"/>
        <v>4575</v>
      </c>
    </row>
    <row r="614" spans="1:9" ht="15" customHeight="1">
      <c r="A614" s="350">
        <v>40075</v>
      </c>
      <c r="B614" s="336">
        <v>4500</v>
      </c>
      <c r="C614" s="336">
        <v>4650</v>
      </c>
      <c r="D614" s="337">
        <f t="shared" si="10"/>
        <v>4575</v>
      </c>
    </row>
    <row r="615" spans="1:9" ht="15" customHeight="1">
      <c r="A615" s="350">
        <v>39953</v>
      </c>
      <c r="B615" s="336">
        <v>4500</v>
      </c>
      <c r="C615" s="336">
        <v>4650</v>
      </c>
      <c r="D615" s="337">
        <f t="shared" si="10"/>
        <v>4575</v>
      </c>
    </row>
    <row r="616" spans="1:9" ht="15" customHeight="1">
      <c r="A616" s="350">
        <v>39954</v>
      </c>
      <c r="B616" s="336">
        <v>4550</v>
      </c>
      <c r="C616" s="336">
        <v>4700</v>
      </c>
      <c r="D616" s="337">
        <f t="shared" si="10"/>
        <v>4625</v>
      </c>
    </row>
    <row r="617" spans="1:9" ht="15" customHeight="1">
      <c r="A617" s="350">
        <v>39955</v>
      </c>
      <c r="B617" s="336">
        <v>4550</v>
      </c>
      <c r="C617" s="336">
        <v>4700</v>
      </c>
      <c r="D617" s="337">
        <f t="shared" si="10"/>
        <v>4625</v>
      </c>
    </row>
    <row r="618" spans="1:9" ht="15" customHeight="1">
      <c r="A618" s="359">
        <v>39956</v>
      </c>
      <c r="B618" s="1417" t="s">
        <v>81</v>
      </c>
      <c r="C618" s="1417"/>
      <c r="D618" s="1417"/>
      <c r="E618" s="1417"/>
      <c r="F618" s="1417"/>
      <c r="G618" s="1417"/>
      <c r="H618" s="1417"/>
      <c r="I618" s="1417"/>
    </row>
    <row r="619" spans="1:9" ht="15" customHeight="1">
      <c r="A619" s="350">
        <v>39959</v>
      </c>
      <c r="B619" s="336">
        <v>4550</v>
      </c>
      <c r="C619" s="336">
        <v>4700</v>
      </c>
      <c r="D619" s="337">
        <f t="shared" si="10"/>
        <v>4625</v>
      </c>
    </row>
    <row r="620" spans="1:9" ht="15" customHeight="1">
      <c r="A620" s="350">
        <v>39960</v>
      </c>
      <c r="B620" s="336">
        <v>4550</v>
      </c>
      <c r="C620" s="336">
        <v>4700</v>
      </c>
      <c r="D620" s="337">
        <f t="shared" si="10"/>
        <v>4625</v>
      </c>
    </row>
    <row r="621" spans="1:9" ht="15" customHeight="1">
      <c r="A621" s="350">
        <v>39961</v>
      </c>
      <c r="B621" s="336">
        <v>4550</v>
      </c>
      <c r="C621" s="336">
        <v>4700</v>
      </c>
      <c r="D621" s="337">
        <f t="shared" si="10"/>
        <v>4625</v>
      </c>
    </row>
    <row r="622" spans="1:9" ht="15" customHeight="1" thickBot="1">
      <c r="A622" s="351">
        <v>39962</v>
      </c>
      <c r="B622" s="341">
        <v>4550</v>
      </c>
      <c r="C622" s="341">
        <v>4700</v>
      </c>
      <c r="D622" s="342">
        <f t="shared" si="10"/>
        <v>4625</v>
      </c>
      <c r="E622" s="343">
        <f>AVERAGE(D602:D622)</f>
        <v>4517.105263157895</v>
      </c>
      <c r="F622" s="343"/>
      <c r="G622" s="344"/>
      <c r="H622" s="354"/>
      <c r="I622" s="358"/>
    </row>
    <row r="623" spans="1:9" ht="15" customHeight="1">
      <c r="A623" s="350">
        <v>39965</v>
      </c>
      <c r="B623" s="336">
        <v>4550</v>
      </c>
      <c r="C623" s="336">
        <v>4700</v>
      </c>
      <c r="D623" s="337">
        <f t="shared" si="10"/>
        <v>4625</v>
      </c>
    </row>
    <row r="624" spans="1:9" ht="15" customHeight="1">
      <c r="A624" s="350">
        <v>39966</v>
      </c>
      <c r="B624" s="336">
        <v>4550</v>
      </c>
      <c r="C624" s="336">
        <v>4700</v>
      </c>
      <c r="D624" s="337">
        <f t="shared" si="10"/>
        <v>4625</v>
      </c>
    </row>
    <row r="625" spans="1:4" ht="15" customHeight="1">
      <c r="A625" s="350">
        <v>39967</v>
      </c>
      <c r="B625" s="336">
        <v>4550</v>
      </c>
      <c r="C625" s="336">
        <v>4650</v>
      </c>
      <c r="D625" s="337">
        <f t="shared" si="10"/>
        <v>4600</v>
      </c>
    </row>
    <row r="626" spans="1:4" ht="15" customHeight="1">
      <c r="A626" s="350">
        <v>39968</v>
      </c>
      <c r="B626" s="336">
        <v>4550</v>
      </c>
      <c r="C626" s="336">
        <v>4650</v>
      </c>
      <c r="D626" s="337">
        <f t="shared" si="10"/>
        <v>4600</v>
      </c>
    </row>
    <row r="627" spans="1:4" ht="15" customHeight="1">
      <c r="A627" s="350">
        <v>39969</v>
      </c>
      <c r="B627" s="336">
        <v>4550</v>
      </c>
      <c r="C627" s="336">
        <v>4650</v>
      </c>
      <c r="D627" s="337">
        <f t="shared" si="10"/>
        <v>4600</v>
      </c>
    </row>
    <row r="628" spans="1:4" ht="15" customHeight="1">
      <c r="A628" s="350">
        <v>39972</v>
      </c>
      <c r="B628" s="336">
        <v>4550</v>
      </c>
      <c r="C628" s="336">
        <v>4650</v>
      </c>
      <c r="D628" s="337">
        <f t="shared" si="10"/>
        <v>4600</v>
      </c>
    </row>
    <row r="629" spans="1:4" ht="15" customHeight="1">
      <c r="A629" s="350">
        <v>39973</v>
      </c>
      <c r="B629" s="336">
        <v>4550</v>
      </c>
      <c r="C629" s="336">
        <v>4650</v>
      </c>
      <c r="D629" s="337">
        <f t="shared" si="10"/>
        <v>4600</v>
      </c>
    </row>
    <row r="630" spans="1:4" ht="15" customHeight="1">
      <c r="A630" s="350">
        <v>39974</v>
      </c>
      <c r="B630" s="336">
        <v>4550</v>
      </c>
      <c r="C630" s="336">
        <v>4650</v>
      </c>
      <c r="D630" s="337">
        <f t="shared" si="10"/>
        <v>4600</v>
      </c>
    </row>
    <row r="631" spans="1:4" ht="15" customHeight="1">
      <c r="A631" s="350">
        <v>39975</v>
      </c>
      <c r="B631" s="336">
        <v>4600</v>
      </c>
      <c r="C631" s="336">
        <v>4700</v>
      </c>
      <c r="D631" s="337">
        <f t="shared" si="10"/>
        <v>4650</v>
      </c>
    </row>
    <row r="632" spans="1:4" ht="15" customHeight="1">
      <c r="A632" s="350">
        <v>39976</v>
      </c>
      <c r="B632" s="336">
        <v>4600</v>
      </c>
      <c r="C632" s="336">
        <v>4700</v>
      </c>
      <c r="D632" s="337">
        <f t="shared" si="10"/>
        <v>4650</v>
      </c>
    </row>
    <row r="633" spans="1:4" ht="15" customHeight="1">
      <c r="A633" s="350">
        <v>39979</v>
      </c>
      <c r="B633" s="336">
        <v>4600</v>
      </c>
      <c r="C633" s="336">
        <v>4700</v>
      </c>
      <c r="D633" s="337">
        <f t="shared" si="10"/>
        <v>4650</v>
      </c>
    </row>
    <row r="634" spans="1:4" ht="15" customHeight="1">
      <c r="A634" s="350">
        <v>39980</v>
      </c>
      <c r="B634" s="336">
        <v>4600</v>
      </c>
      <c r="C634" s="336">
        <v>4700</v>
      </c>
      <c r="D634" s="337">
        <f t="shared" si="10"/>
        <v>4650</v>
      </c>
    </row>
    <row r="635" spans="1:4" ht="15" customHeight="1">
      <c r="A635" s="350">
        <v>39981</v>
      </c>
      <c r="B635" s="336">
        <v>4550</v>
      </c>
      <c r="C635" s="336">
        <v>4700</v>
      </c>
      <c r="D635" s="337">
        <f t="shared" si="10"/>
        <v>4625</v>
      </c>
    </row>
    <row r="636" spans="1:4" ht="15" customHeight="1">
      <c r="A636" s="350">
        <v>39982</v>
      </c>
      <c r="B636" s="336">
        <v>4550</v>
      </c>
      <c r="C636" s="336">
        <v>4700</v>
      </c>
      <c r="D636" s="337">
        <f t="shared" si="10"/>
        <v>4625</v>
      </c>
    </row>
    <row r="637" spans="1:4" ht="15" customHeight="1">
      <c r="A637" s="350">
        <v>39983</v>
      </c>
      <c r="B637" s="336">
        <v>4550</v>
      </c>
      <c r="C637" s="336">
        <v>4700</v>
      </c>
      <c r="D637" s="337">
        <f t="shared" si="10"/>
        <v>4625</v>
      </c>
    </row>
    <row r="638" spans="1:4" ht="15" customHeight="1">
      <c r="A638" s="350">
        <v>39986</v>
      </c>
      <c r="B638" s="336">
        <v>4550</v>
      </c>
      <c r="C638" s="336">
        <v>4700</v>
      </c>
      <c r="D638" s="337">
        <f t="shared" si="10"/>
        <v>4625</v>
      </c>
    </row>
    <row r="639" spans="1:4" ht="15" customHeight="1">
      <c r="A639" s="350">
        <v>39987</v>
      </c>
      <c r="B639" s="336">
        <v>4550</v>
      </c>
      <c r="C639" s="336">
        <v>4700</v>
      </c>
      <c r="D639" s="337">
        <f t="shared" si="10"/>
        <v>4625</v>
      </c>
    </row>
    <row r="640" spans="1:4" ht="15" customHeight="1">
      <c r="A640" s="350">
        <v>39988</v>
      </c>
      <c r="B640" s="336">
        <v>4600</v>
      </c>
      <c r="C640" s="336">
        <v>4700</v>
      </c>
      <c r="D640" s="337">
        <f t="shared" si="10"/>
        <v>4650</v>
      </c>
    </row>
    <row r="641" spans="1:9" ht="15" customHeight="1">
      <c r="A641" s="350">
        <v>39989</v>
      </c>
      <c r="B641" s="336">
        <v>4600</v>
      </c>
      <c r="C641" s="336">
        <v>4700</v>
      </c>
      <c r="D641" s="337">
        <f t="shared" si="10"/>
        <v>4650</v>
      </c>
    </row>
    <row r="642" spans="1:9" ht="15" customHeight="1">
      <c r="A642" s="350">
        <v>39990</v>
      </c>
      <c r="B642" s="336">
        <v>4600</v>
      </c>
      <c r="C642" s="336">
        <v>4700</v>
      </c>
      <c r="D642" s="337">
        <f t="shared" si="10"/>
        <v>4650</v>
      </c>
    </row>
    <row r="643" spans="1:9" ht="15" customHeight="1">
      <c r="A643" s="350">
        <v>39993</v>
      </c>
      <c r="B643" s="336">
        <v>4600</v>
      </c>
      <c r="C643" s="336">
        <v>4700</v>
      </c>
      <c r="D643" s="337">
        <f t="shared" si="10"/>
        <v>4650</v>
      </c>
    </row>
    <row r="644" spans="1:9" ht="15" customHeight="1" thickBot="1">
      <c r="A644" s="351">
        <v>39994</v>
      </c>
      <c r="B644" s="341">
        <v>4600</v>
      </c>
      <c r="C644" s="341">
        <v>4700</v>
      </c>
      <c r="D644" s="342">
        <f t="shared" si="10"/>
        <v>4650</v>
      </c>
      <c r="E644" s="343">
        <f>AVERAGE(D623:D644)</f>
        <v>4628.409090909091</v>
      </c>
      <c r="F644" s="343"/>
      <c r="G644" s="344">
        <f>AVERAGE(D580:D644)</f>
        <v>4446.311475409836</v>
      </c>
      <c r="H644" s="354">
        <v>1288.68</v>
      </c>
      <c r="I644" s="356">
        <f>+H644*G644</f>
        <v>5729872.6721311482</v>
      </c>
    </row>
    <row r="645" spans="1:9" ht="15" customHeight="1">
      <c r="A645" s="350">
        <v>39995</v>
      </c>
      <c r="B645" s="336">
        <v>4650</v>
      </c>
      <c r="C645" s="336">
        <v>4800</v>
      </c>
      <c r="D645" s="337">
        <f t="shared" si="10"/>
        <v>4725</v>
      </c>
    </row>
    <row r="646" spans="1:9" ht="15" customHeight="1">
      <c r="A646" s="350">
        <v>39996</v>
      </c>
      <c r="B646" s="336">
        <v>4750</v>
      </c>
      <c r="C646" s="336">
        <v>4850</v>
      </c>
      <c r="D646" s="337">
        <f t="shared" si="10"/>
        <v>4800</v>
      </c>
    </row>
    <row r="647" spans="1:9" ht="15" customHeight="1">
      <c r="A647" s="350">
        <v>39997</v>
      </c>
      <c r="B647" s="336">
        <v>4750</v>
      </c>
      <c r="C647" s="336">
        <v>4850</v>
      </c>
      <c r="D647" s="337">
        <f t="shared" si="10"/>
        <v>4800</v>
      </c>
    </row>
    <row r="648" spans="1:9" ht="15" customHeight="1">
      <c r="A648" s="350">
        <v>40000</v>
      </c>
      <c r="B648" s="336">
        <v>4750</v>
      </c>
      <c r="C648" s="336">
        <v>4850</v>
      </c>
      <c r="D648" s="337">
        <f t="shared" si="10"/>
        <v>4800</v>
      </c>
    </row>
    <row r="649" spans="1:9" ht="15" customHeight="1">
      <c r="A649" s="350">
        <v>40001</v>
      </c>
      <c r="B649" s="336">
        <v>4750</v>
      </c>
      <c r="C649" s="336">
        <v>4850</v>
      </c>
      <c r="D649" s="337">
        <f t="shared" si="10"/>
        <v>4800</v>
      </c>
    </row>
    <row r="650" spans="1:9" ht="15" customHeight="1">
      <c r="A650" s="350">
        <v>40002</v>
      </c>
      <c r="B650" s="336">
        <v>4850</v>
      </c>
      <c r="C650" s="336">
        <v>4950</v>
      </c>
      <c r="D650" s="337">
        <f t="shared" si="10"/>
        <v>4900</v>
      </c>
    </row>
    <row r="651" spans="1:9" ht="15" customHeight="1">
      <c r="A651" s="350">
        <v>40003</v>
      </c>
      <c r="B651" s="336">
        <v>4850</v>
      </c>
      <c r="C651" s="336">
        <v>4950</v>
      </c>
      <c r="D651" s="337">
        <f t="shared" si="10"/>
        <v>4900</v>
      </c>
    </row>
    <row r="652" spans="1:9" ht="15" customHeight="1">
      <c r="A652" s="350">
        <v>40004</v>
      </c>
      <c r="B652" s="336">
        <v>4850</v>
      </c>
      <c r="C652" s="336">
        <v>4950</v>
      </c>
      <c r="D652" s="337">
        <f t="shared" si="10"/>
        <v>4900</v>
      </c>
    </row>
    <row r="653" spans="1:9" ht="15" customHeight="1">
      <c r="A653" s="350">
        <v>40007</v>
      </c>
      <c r="B653" s="336">
        <v>4850</v>
      </c>
      <c r="C653" s="336">
        <v>4950</v>
      </c>
      <c r="D653" s="337">
        <f t="shared" si="10"/>
        <v>4900</v>
      </c>
    </row>
    <row r="654" spans="1:9" ht="15" customHeight="1">
      <c r="A654" s="350">
        <v>40008</v>
      </c>
      <c r="B654" s="336">
        <v>4850</v>
      </c>
      <c r="C654" s="336">
        <v>4950</v>
      </c>
      <c r="D654" s="337">
        <f t="shared" si="10"/>
        <v>4900</v>
      </c>
    </row>
    <row r="655" spans="1:9" ht="15" customHeight="1">
      <c r="A655" s="350">
        <v>40009</v>
      </c>
      <c r="B655" s="336">
        <v>4850</v>
      </c>
      <c r="C655" s="336">
        <v>4950</v>
      </c>
      <c r="D655" s="337">
        <f t="shared" si="10"/>
        <v>4900</v>
      </c>
    </row>
    <row r="656" spans="1:9" ht="15" customHeight="1">
      <c r="A656" s="350">
        <v>40010</v>
      </c>
      <c r="B656" s="336">
        <v>4850</v>
      </c>
      <c r="C656" s="336">
        <v>4950</v>
      </c>
      <c r="D656" s="337">
        <f t="shared" si="10"/>
        <v>4900</v>
      </c>
    </row>
    <row r="657" spans="1:9" ht="15" customHeight="1">
      <c r="A657" s="350">
        <v>40011</v>
      </c>
      <c r="B657" s="336">
        <v>4850</v>
      </c>
      <c r="C657" s="336">
        <v>4950</v>
      </c>
      <c r="D657" s="337">
        <f t="shared" si="10"/>
        <v>4900</v>
      </c>
    </row>
    <row r="658" spans="1:9" ht="15" customHeight="1">
      <c r="A658" s="350">
        <v>40014</v>
      </c>
      <c r="B658" s="336">
        <v>4850</v>
      </c>
      <c r="C658" s="336">
        <v>4950</v>
      </c>
      <c r="D658" s="337">
        <f t="shared" si="10"/>
        <v>4900</v>
      </c>
    </row>
    <row r="659" spans="1:9" ht="15" customHeight="1">
      <c r="A659" s="350">
        <v>40015</v>
      </c>
      <c r="B659" s="336">
        <v>4850</v>
      </c>
      <c r="C659" s="336">
        <v>4950</v>
      </c>
      <c r="D659" s="337">
        <f t="shared" si="10"/>
        <v>4900</v>
      </c>
    </row>
    <row r="660" spans="1:9" ht="15" customHeight="1">
      <c r="A660" s="350">
        <v>40016</v>
      </c>
      <c r="B660" s="336">
        <v>4850</v>
      </c>
      <c r="C660" s="336">
        <v>4950</v>
      </c>
      <c r="D660" s="337">
        <f t="shared" si="10"/>
        <v>4900</v>
      </c>
    </row>
    <row r="661" spans="1:9" ht="15" customHeight="1">
      <c r="A661" s="350">
        <v>40017</v>
      </c>
      <c r="B661" s="336">
        <v>5400</v>
      </c>
      <c r="C661" s="336">
        <v>5600</v>
      </c>
      <c r="D661" s="337">
        <f t="shared" si="10"/>
        <v>5500</v>
      </c>
    </row>
    <row r="662" spans="1:9" ht="15" customHeight="1">
      <c r="A662" s="350">
        <v>40018</v>
      </c>
      <c r="B662" s="336">
        <v>5500</v>
      </c>
      <c r="C662" s="336">
        <v>5700</v>
      </c>
      <c r="D662" s="337">
        <f t="shared" si="10"/>
        <v>5600</v>
      </c>
    </row>
    <row r="663" spans="1:9" ht="15" customHeight="1">
      <c r="A663" s="350">
        <v>40021</v>
      </c>
      <c r="B663" s="336">
        <v>5500</v>
      </c>
      <c r="C663" s="336">
        <v>5700</v>
      </c>
      <c r="D663" s="337">
        <f t="shared" si="10"/>
        <v>5600</v>
      </c>
    </row>
    <row r="664" spans="1:9" ht="15" customHeight="1">
      <c r="A664" s="350">
        <v>40022</v>
      </c>
      <c r="B664" s="336">
        <v>5500</v>
      </c>
      <c r="C664" s="336">
        <v>5700</v>
      </c>
      <c r="D664" s="337">
        <f t="shared" si="10"/>
        <v>5600</v>
      </c>
    </row>
    <row r="665" spans="1:9" ht="15" customHeight="1">
      <c r="A665" s="350">
        <v>40023</v>
      </c>
      <c r="B665" s="336">
        <v>5500</v>
      </c>
      <c r="C665" s="336">
        <v>5700</v>
      </c>
      <c r="D665" s="337">
        <f t="shared" si="10"/>
        <v>5600</v>
      </c>
    </row>
    <row r="666" spans="1:9" ht="15" customHeight="1">
      <c r="A666" s="350">
        <v>40024</v>
      </c>
      <c r="B666" s="336">
        <v>5700</v>
      </c>
      <c r="C666" s="336">
        <v>5900</v>
      </c>
      <c r="D666" s="337">
        <f>AVERAGE(B666:C666)</f>
        <v>5800</v>
      </c>
    </row>
    <row r="667" spans="1:9" ht="15" customHeight="1" thickBot="1">
      <c r="A667" s="351">
        <v>40025</v>
      </c>
      <c r="B667" s="341">
        <v>5700</v>
      </c>
      <c r="C667" s="341">
        <v>5900</v>
      </c>
      <c r="D667" s="342">
        <f>AVERAGE(B667:C667)</f>
        <v>5800</v>
      </c>
      <c r="E667" s="343">
        <f>AVERAGE(D645:D667)</f>
        <v>5101.086956521739</v>
      </c>
      <c r="F667" s="343"/>
      <c r="G667" s="344"/>
      <c r="H667" s="354"/>
      <c r="I667" s="358"/>
    </row>
    <row r="668" spans="1:9" ht="15" customHeight="1">
      <c r="A668" s="350">
        <v>40028</v>
      </c>
      <c r="B668" s="336">
        <v>5700</v>
      </c>
      <c r="C668" s="336">
        <v>5900</v>
      </c>
      <c r="D668" s="337">
        <f>AVERAGE(B668:C668)</f>
        <v>5800</v>
      </c>
    </row>
    <row r="669" spans="1:9" ht="15" customHeight="1">
      <c r="A669" s="350">
        <v>40029</v>
      </c>
      <c r="B669" s="336">
        <v>5700</v>
      </c>
      <c r="C669" s="336">
        <v>5900</v>
      </c>
      <c r="D669" s="337">
        <f t="shared" ref="D669:D733" si="11">AVERAGE(B669:C669)</f>
        <v>5800</v>
      </c>
    </row>
    <row r="670" spans="1:9" ht="15" customHeight="1">
      <c r="A670" s="350">
        <v>40030</v>
      </c>
      <c r="B670" s="336">
        <v>5700</v>
      </c>
      <c r="C670" s="336">
        <v>5900</v>
      </c>
      <c r="D670" s="337">
        <f t="shared" si="11"/>
        <v>5800</v>
      </c>
    </row>
    <row r="671" spans="1:9" ht="15" customHeight="1">
      <c r="A671" s="350">
        <v>40031</v>
      </c>
      <c r="B671" s="336">
        <v>5700</v>
      </c>
      <c r="C671" s="336">
        <v>5900</v>
      </c>
      <c r="D671" s="337">
        <f t="shared" si="11"/>
        <v>5800</v>
      </c>
    </row>
    <row r="672" spans="1:9" ht="15" customHeight="1">
      <c r="A672" s="350">
        <v>40032</v>
      </c>
      <c r="B672" s="336">
        <v>5700</v>
      </c>
      <c r="C672" s="336">
        <v>5900</v>
      </c>
      <c r="D672" s="337">
        <f t="shared" si="11"/>
        <v>5800</v>
      </c>
    </row>
    <row r="673" spans="1:9" ht="15" customHeight="1">
      <c r="A673" s="350">
        <v>40035</v>
      </c>
      <c r="B673" s="336">
        <v>5700</v>
      </c>
      <c r="C673" s="336">
        <v>5900</v>
      </c>
      <c r="D673" s="337">
        <f t="shared" si="11"/>
        <v>5800</v>
      </c>
    </row>
    <row r="674" spans="1:9" ht="15" customHeight="1">
      <c r="A674" s="350">
        <v>40036</v>
      </c>
      <c r="B674" s="336">
        <v>5700</v>
      </c>
      <c r="C674" s="336">
        <v>5900</v>
      </c>
      <c r="D674" s="337">
        <f t="shared" si="11"/>
        <v>5800</v>
      </c>
    </row>
    <row r="675" spans="1:9" ht="15" customHeight="1">
      <c r="A675" s="350">
        <v>40037</v>
      </c>
      <c r="B675" s="336">
        <v>5700</v>
      </c>
      <c r="C675" s="336">
        <v>5900</v>
      </c>
      <c r="D675" s="337">
        <f t="shared" si="11"/>
        <v>5800</v>
      </c>
    </row>
    <row r="676" spans="1:9" ht="15" customHeight="1">
      <c r="A676" s="350">
        <v>40038</v>
      </c>
      <c r="B676" s="336">
        <v>5750</v>
      </c>
      <c r="C676" s="336">
        <v>5900</v>
      </c>
      <c r="D676" s="337">
        <f t="shared" si="11"/>
        <v>5825</v>
      </c>
    </row>
    <row r="677" spans="1:9" ht="15" customHeight="1">
      <c r="A677" s="350">
        <v>40039</v>
      </c>
      <c r="B677" s="336">
        <v>5750</v>
      </c>
      <c r="C677" s="336">
        <v>5900</v>
      </c>
      <c r="D677" s="337">
        <f t="shared" si="11"/>
        <v>5825</v>
      </c>
    </row>
    <row r="678" spans="1:9" ht="15" customHeight="1">
      <c r="A678" s="350">
        <v>40042</v>
      </c>
      <c r="B678" s="336">
        <v>5750</v>
      </c>
      <c r="C678" s="336">
        <v>5900</v>
      </c>
      <c r="D678" s="337">
        <f t="shared" si="11"/>
        <v>5825</v>
      </c>
    </row>
    <row r="679" spans="1:9" ht="15" customHeight="1">
      <c r="A679" s="350">
        <v>40043</v>
      </c>
      <c r="B679" s="336">
        <v>5750</v>
      </c>
      <c r="C679" s="336">
        <v>5900</v>
      </c>
      <c r="D679" s="337">
        <f t="shared" si="11"/>
        <v>5825</v>
      </c>
    </row>
    <row r="680" spans="1:9" ht="15" customHeight="1">
      <c r="A680" s="350">
        <v>40044</v>
      </c>
      <c r="B680" s="336">
        <v>5750</v>
      </c>
      <c r="C680" s="336">
        <v>5900</v>
      </c>
      <c r="D680" s="337">
        <f t="shared" si="11"/>
        <v>5825</v>
      </c>
    </row>
    <row r="681" spans="1:9" ht="15" customHeight="1">
      <c r="A681" s="350">
        <v>40045</v>
      </c>
      <c r="B681" s="336">
        <v>5750</v>
      </c>
      <c r="C681" s="336">
        <v>5900</v>
      </c>
      <c r="D681" s="337">
        <f t="shared" si="11"/>
        <v>5825</v>
      </c>
    </row>
    <row r="682" spans="1:9" ht="15" customHeight="1">
      <c r="A682" s="350">
        <v>40046</v>
      </c>
      <c r="B682" s="336">
        <v>5800</v>
      </c>
      <c r="C682" s="336">
        <v>5950</v>
      </c>
      <c r="D682" s="337">
        <f t="shared" si="11"/>
        <v>5875</v>
      </c>
    </row>
    <row r="683" spans="1:9" ht="15" customHeight="1">
      <c r="A683" s="350">
        <v>40049</v>
      </c>
      <c r="B683" s="336">
        <v>5800</v>
      </c>
      <c r="C683" s="336">
        <v>5950</v>
      </c>
      <c r="D683" s="337">
        <f t="shared" si="11"/>
        <v>5875</v>
      </c>
    </row>
    <row r="684" spans="1:9" ht="15" customHeight="1">
      <c r="A684" s="350">
        <v>40050</v>
      </c>
      <c r="B684" s="336">
        <v>5800</v>
      </c>
      <c r="C684" s="336">
        <v>5950</v>
      </c>
      <c r="D684" s="337">
        <f t="shared" si="11"/>
        <v>5875</v>
      </c>
    </row>
    <row r="685" spans="1:9" ht="15" customHeight="1">
      <c r="A685" s="350">
        <v>40051</v>
      </c>
      <c r="B685" s="336">
        <v>5800</v>
      </c>
      <c r="C685" s="336">
        <v>5950</v>
      </c>
      <c r="D685" s="337">
        <f t="shared" si="11"/>
        <v>5875</v>
      </c>
    </row>
    <row r="686" spans="1:9" ht="15" customHeight="1">
      <c r="A686" s="350">
        <v>40052</v>
      </c>
      <c r="B686" s="336">
        <v>5700</v>
      </c>
      <c r="C686" s="336">
        <v>5850</v>
      </c>
      <c r="D686" s="337">
        <f t="shared" si="11"/>
        <v>5775</v>
      </c>
    </row>
    <row r="687" spans="1:9" ht="15" customHeight="1" thickBot="1">
      <c r="A687" s="351">
        <v>40053</v>
      </c>
      <c r="B687" s="341">
        <v>5700</v>
      </c>
      <c r="C687" s="341">
        <v>5850</v>
      </c>
      <c r="D687" s="342">
        <f t="shared" si="11"/>
        <v>5775</v>
      </c>
      <c r="E687" s="343">
        <f>AVERAGE(D668:D687)</f>
        <v>5820</v>
      </c>
      <c r="F687" s="343"/>
      <c r="G687" s="344"/>
      <c r="H687" s="354"/>
      <c r="I687" s="358"/>
    </row>
    <row r="688" spans="1:9" ht="15" customHeight="1">
      <c r="A688" s="350">
        <v>40057</v>
      </c>
      <c r="B688" s="336">
        <v>5700</v>
      </c>
      <c r="C688" s="336">
        <v>5850</v>
      </c>
      <c r="D688" s="337">
        <f t="shared" si="11"/>
        <v>5775</v>
      </c>
    </row>
    <row r="689" spans="1:4" ht="15" customHeight="1">
      <c r="A689" s="350">
        <v>40058</v>
      </c>
      <c r="B689" s="336">
        <v>5700</v>
      </c>
      <c r="C689" s="336">
        <v>5850</v>
      </c>
      <c r="D689" s="337">
        <f t="shared" si="11"/>
        <v>5775</v>
      </c>
    </row>
    <row r="690" spans="1:4" ht="15" customHeight="1">
      <c r="A690" s="350">
        <v>40059</v>
      </c>
      <c r="B690" s="336">
        <v>5700</v>
      </c>
      <c r="C690" s="336">
        <v>5850</v>
      </c>
      <c r="D690" s="337">
        <f t="shared" si="11"/>
        <v>5775</v>
      </c>
    </row>
    <row r="691" spans="1:4" ht="15" customHeight="1">
      <c r="A691" s="350">
        <v>40060</v>
      </c>
      <c r="B691" s="336">
        <v>5700</v>
      </c>
      <c r="C691" s="336">
        <v>5850</v>
      </c>
      <c r="D691" s="337">
        <f t="shared" si="11"/>
        <v>5775</v>
      </c>
    </row>
    <row r="692" spans="1:4" ht="15" customHeight="1">
      <c r="A692" s="350">
        <v>40063</v>
      </c>
      <c r="B692" s="336">
        <v>5700</v>
      </c>
      <c r="C692" s="336">
        <v>5850</v>
      </c>
      <c r="D692" s="337">
        <f t="shared" si="11"/>
        <v>5775</v>
      </c>
    </row>
    <row r="693" spans="1:4" ht="15" customHeight="1">
      <c r="A693" s="350">
        <v>40064</v>
      </c>
      <c r="B693" s="336">
        <v>5700</v>
      </c>
      <c r="C693" s="336">
        <v>5850</v>
      </c>
      <c r="D693" s="337">
        <f t="shared" si="11"/>
        <v>5775</v>
      </c>
    </row>
    <row r="694" spans="1:4" ht="15" customHeight="1">
      <c r="A694" s="350">
        <v>40065</v>
      </c>
      <c r="B694" s="336">
        <v>5700</v>
      </c>
      <c r="C694" s="336">
        <v>5800</v>
      </c>
      <c r="D694" s="337">
        <f t="shared" si="11"/>
        <v>5750</v>
      </c>
    </row>
    <row r="695" spans="1:4" ht="15" customHeight="1">
      <c r="A695" s="350">
        <v>40066</v>
      </c>
      <c r="B695" s="336">
        <v>5700</v>
      </c>
      <c r="C695" s="336">
        <v>5800</v>
      </c>
      <c r="D695" s="337">
        <f t="shared" si="11"/>
        <v>5750</v>
      </c>
    </row>
    <row r="696" spans="1:4" ht="15" customHeight="1">
      <c r="A696" s="350">
        <v>40067</v>
      </c>
      <c r="B696" s="336">
        <v>5700</v>
      </c>
      <c r="C696" s="336">
        <v>5800</v>
      </c>
      <c r="D696" s="337">
        <f t="shared" si="11"/>
        <v>5750</v>
      </c>
    </row>
    <row r="697" spans="1:4" ht="15" customHeight="1">
      <c r="A697" s="350">
        <v>40070</v>
      </c>
      <c r="B697" s="336">
        <v>5700</v>
      </c>
      <c r="C697" s="336">
        <v>5800</v>
      </c>
      <c r="D697" s="337">
        <f t="shared" si="11"/>
        <v>5750</v>
      </c>
    </row>
    <row r="698" spans="1:4" ht="15" customHeight="1">
      <c r="A698" s="350">
        <v>40071</v>
      </c>
      <c r="B698" s="336">
        <v>5700</v>
      </c>
      <c r="C698" s="336">
        <v>5800</v>
      </c>
      <c r="D698" s="337">
        <f t="shared" si="11"/>
        <v>5750</v>
      </c>
    </row>
    <row r="699" spans="1:4" ht="15" customHeight="1">
      <c r="A699" s="350">
        <v>40072</v>
      </c>
      <c r="B699" s="336">
        <v>5700</v>
      </c>
      <c r="C699" s="336">
        <v>5800</v>
      </c>
      <c r="D699" s="337">
        <f t="shared" si="11"/>
        <v>5750</v>
      </c>
    </row>
    <row r="700" spans="1:4" ht="15" customHeight="1">
      <c r="A700" s="350">
        <v>40073</v>
      </c>
      <c r="B700" s="336">
        <v>5700</v>
      </c>
      <c r="C700" s="336">
        <v>5800</v>
      </c>
      <c r="D700" s="337">
        <f t="shared" si="11"/>
        <v>5750</v>
      </c>
    </row>
    <row r="701" spans="1:4" ht="15" customHeight="1">
      <c r="A701" s="350">
        <v>40074</v>
      </c>
      <c r="B701" s="336">
        <v>5700</v>
      </c>
      <c r="C701" s="336">
        <v>5800</v>
      </c>
      <c r="D701" s="337">
        <f t="shared" si="11"/>
        <v>5750</v>
      </c>
    </row>
    <row r="702" spans="1:4" ht="15" customHeight="1">
      <c r="A702" s="350">
        <v>40077</v>
      </c>
      <c r="B702" s="336">
        <v>5700</v>
      </c>
      <c r="C702" s="336">
        <v>5800</v>
      </c>
      <c r="D702" s="337">
        <f t="shared" si="11"/>
        <v>5750</v>
      </c>
    </row>
    <row r="703" spans="1:4" ht="15" customHeight="1">
      <c r="A703" s="350">
        <v>40078</v>
      </c>
      <c r="B703" s="336">
        <v>5700</v>
      </c>
      <c r="C703" s="336">
        <v>5800</v>
      </c>
      <c r="D703" s="337">
        <f t="shared" si="11"/>
        <v>5750</v>
      </c>
    </row>
    <row r="704" spans="1:4" ht="15" customHeight="1">
      <c r="A704" s="350">
        <v>40079</v>
      </c>
      <c r="B704" s="336">
        <v>5700</v>
      </c>
      <c r="C704" s="336">
        <v>5800</v>
      </c>
      <c r="D704" s="337">
        <f t="shared" si="11"/>
        <v>5750</v>
      </c>
    </row>
    <row r="705" spans="1:9" ht="15" customHeight="1">
      <c r="A705" s="350">
        <v>40080</v>
      </c>
      <c r="B705" s="336">
        <v>5700</v>
      </c>
      <c r="C705" s="336">
        <v>5800</v>
      </c>
      <c r="D705" s="337">
        <f t="shared" si="11"/>
        <v>5750</v>
      </c>
    </row>
    <row r="706" spans="1:9" ht="15" customHeight="1">
      <c r="A706" s="350">
        <v>40081</v>
      </c>
      <c r="B706" s="336">
        <v>5700</v>
      </c>
      <c r="C706" s="336">
        <v>5850</v>
      </c>
      <c r="D706" s="337">
        <f t="shared" si="11"/>
        <v>5775</v>
      </c>
    </row>
    <row r="707" spans="1:9" ht="15" customHeight="1">
      <c r="A707" s="350">
        <v>40084</v>
      </c>
      <c r="B707" s="336">
        <v>5700</v>
      </c>
      <c r="C707" s="336">
        <v>5850</v>
      </c>
      <c r="D707" s="337">
        <f t="shared" si="11"/>
        <v>5775</v>
      </c>
    </row>
    <row r="708" spans="1:9" ht="15" customHeight="1">
      <c r="A708" s="350">
        <v>40085</v>
      </c>
      <c r="B708" s="336">
        <v>5700</v>
      </c>
      <c r="C708" s="336">
        <v>5850</v>
      </c>
      <c r="D708" s="337">
        <f t="shared" si="11"/>
        <v>5775</v>
      </c>
    </row>
    <row r="709" spans="1:9" ht="15" customHeight="1" thickBot="1">
      <c r="A709" s="351">
        <v>40086</v>
      </c>
      <c r="B709" s="341">
        <v>5700</v>
      </c>
      <c r="C709" s="341">
        <v>5850</v>
      </c>
      <c r="D709" s="342">
        <f t="shared" si="11"/>
        <v>5775</v>
      </c>
      <c r="E709" s="343">
        <f>AVERAGE(D688:D709)</f>
        <v>5761.363636363636</v>
      </c>
      <c r="F709" s="343"/>
      <c r="G709" s="344">
        <f>AVERAGE(D645:D709)</f>
        <v>5545.7692307692305</v>
      </c>
      <c r="H709" s="354">
        <v>1240.8900000000001</v>
      </c>
      <c r="I709" s="356">
        <f>+G709*H709</f>
        <v>6881689.5807692306</v>
      </c>
    </row>
    <row r="710" spans="1:9" ht="15" customHeight="1">
      <c r="A710" s="350">
        <v>40087</v>
      </c>
      <c r="B710" s="336">
        <v>5800</v>
      </c>
      <c r="C710" s="336">
        <v>6000</v>
      </c>
      <c r="D710" s="337">
        <f t="shared" si="11"/>
        <v>5900</v>
      </c>
    </row>
    <row r="711" spans="1:9" ht="15" customHeight="1">
      <c r="A711" s="350">
        <v>40088</v>
      </c>
      <c r="B711" s="336">
        <v>5800</v>
      </c>
      <c r="C711" s="336">
        <v>6000</v>
      </c>
      <c r="D711" s="337">
        <f t="shared" si="11"/>
        <v>5900</v>
      </c>
    </row>
    <row r="712" spans="1:9" ht="15" customHeight="1">
      <c r="A712" s="350">
        <v>40091</v>
      </c>
      <c r="B712" s="336">
        <v>5800</v>
      </c>
      <c r="C712" s="336">
        <v>6000</v>
      </c>
      <c r="D712" s="337">
        <f t="shared" si="11"/>
        <v>5900</v>
      </c>
    </row>
    <row r="713" spans="1:9" ht="15" customHeight="1">
      <c r="A713" s="350">
        <v>40092</v>
      </c>
      <c r="B713" s="336">
        <v>5800</v>
      </c>
      <c r="C713" s="336">
        <v>6000</v>
      </c>
      <c r="D713" s="337">
        <f t="shared" si="11"/>
        <v>5900</v>
      </c>
    </row>
    <row r="714" spans="1:9" ht="15" customHeight="1">
      <c r="A714" s="350">
        <v>40093</v>
      </c>
      <c r="B714" s="336">
        <v>5800</v>
      </c>
      <c r="C714" s="336">
        <v>6000</v>
      </c>
      <c r="D714" s="337">
        <f t="shared" si="11"/>
        <v>5900</v>
      </c>
    </row>
    <row r="715" spans="1:9" ht="15" customHeight="1">
      <c r="A715" s="350">
        <v>40094</v>
      </c>
      <c r="B715" s="336">
        <v>5850</v>
      </c>
      <c r="C715" s="336">
        <v>6050</v>
      </c>
      <c r="D715" s="337">
        <f t="shared" si="11"/>
        <v>5950</v>
      </c>
    </row>
    <row r="716" spans="1:9" ht="15" customHeight="1">
      <c r="A716" s="350">
        <v>40095</v>
      </c>
      <c r="B716" s="336">
        <v>5850</v>
      </c>
      <c r="C716" s="336">
        <v>6050</v>
      </c>
      <c r="D716" s="337">
        <f t="shared" si="11"/>
        <v>5950</v>
      </c>
    </row>
    <row r="717" spans="1:9" ht="15" customHeight="1">
      <c r="A717" s="350">
        <v>40098</v>
      </c>
      <c r="B717" s="336">
        <v>5850</v>
      </c>
      <c r="C717" s="336">
        <v>6050</v>
      </c>
      <c r="D717" s="337">
        <f t="shared" si="11"/>
        <v>5950</v>
      </c>
    </row>
    <row r="718" spans="1:9" ht="15" customHeight="1">
      <c r="A718" s="350">
        <v>40099</v>
      </c>
      <c r="B718" s="336">
        <v>6300</v>
      </c>
      <c r="C718" s="336">
        <v>6450</v>
      </c>
      <c r="D718" s="337">
        <f t="shared" si="11"/>
        <v>6375</v>
      </c>
    </row>
    <row r="719" spans="1:9" ht="15" customHeight="1">
      <c r="A719" s="350">
        <v>40100</v>
      </c>
      <c r="B719" s="336">
        <v>6300</v>
      </c>
      <c r="C719" s="336">
        <v>6450</v>
      </c>
      <c r="D719" s="337">
        <f t="shared" si="11"/>
        <v>6375</v>
      </c>
    </row>
    <row r="720" spans="1:9" ht="15" customHeight="1">
      <c r="A720" s="350">
        <v>40101</v>
      </c>
      <c r="B720" s="336">
        <v>6300</v>
      </c>
      <c r="C720" s="336">
        <v>6450</v>
      </c>
      <c r="D720" s="337">
        <f t="shared" si="11"/>
        <v>6375</v>
      </c>
    </row>
    <row r="721" spans="1:9" ht="15" customHeight="1">
      <c r="A721" s="350">
        <v>40102</v>
      </c>
      <c r="B721" s="336">
        <v>6300</v>
      </c>
      <c r="C721" s="336">
        <v>6450</v>
      </c>
      <c r="D721" s="337">
        <f t="shared" si="11"/>
        <v>6375</v>
      </c>
    </row>
    <row r="722" spans="1:9" ht="15" customHeight="1">
      <c r="A722" s="350">
        <v>40105</v>
      </c>
      <c r="B722" s="336">
        <v>6300</v>
      </c>
      <c r="C722" s="336">
        <v>6450</v>
      </c>
      <c r="D722" s="337">
        <f t="shared" si="11"/>
        <v>6375</v>
      </c>
    </row>
    <row r="723" spans="1:9" ht="15" customHeight="1">
      <c r="A723" s="350">
        <v>40106</v>
      </c>
      <c r="B723" s="336">
        <v>6300</v>
      </c>
      <c r="C723" s="336">
        <v>6450</v>
      </c>
      <c r="D723" s="337">
        <f t="shared" si="11"/>
        <v>6375</v>
      </c>
    </row>
    <row r="724" spans="1:9" ht="15" customHeight="1">
      <c r="A724" s="350">
        <v>40107</v>
      </c>
      <c r="B724" s="336">
        <v>6300</v>
      </c>
      <c r="C724" s="336">
        <v>6450</v>
      </c>
      <c r="D724" s="337">
        <f t="shared" si="11"/>
        <v>6375</v>
      </c>
    </row>
    <row r="725" spans="1:9" ht="15" customHeight="1">
      <c r="A725" s="350">
        <v>40108</v>
      </c>
      <c r="B725" s="336">
        <v>6400</v>
      </c>
      <c r="C725" s="336">
        <v>6500</v>
      </c>
      <c r="D725" s="337">
        <f t="shared" si="11"/>
        <v>6450</v>
      </c>
    </row>
    <row r="726" spans="1:9" ht="15" customHeight="1">
      <c r="A726" s="350">
        <v>40109</v>
      </c>
      <c r="B726" s="336">
        <v>6400</v>
      </c>
      <c r="C726" s="336">
        <v>6500</v>
      </c>
      <c r="D726" s="337">
        <f t="shared" si="11"/>
        <v>6450</v>
      </c>
    </row>
    <row r="727" spans="1:9" ht="15" customHeight="1">
      <c r="A727" s="350">
        <v>40112</v>
      </c>
      <c r="B727" s="336">
        <v>6400</v>
      </c>
      <c r="C727" s="336">
        <v>6500</v>
      </c>
      <c r="D727" s="337">
        <f t="shared" si="11"/>
        <v>6450</v>
      </c>
    </row>
    <row r="728" spans="1:9" ht="15" customHeight="1">
      <c r="A728" s="350">
        <v>40113</v>
      </c>
      <c r="B728" s="336">
        <v>6400</v>
      </c>
      <c r="C728" s="336">
        <v>6500</v>
      </c>
      <c r="D728" s="337">
        <f t="shared" si="11"/>
        <v>6450</v>
      </c>
    </row>
    <row r="729" spans="1:9" ht="15" customHeight="1">
      <c r="A729" s="350">
        <v>40114</v>
      </c>
      <c r="B729" s="336">
        <v>6400</v>
      </c>
      <c r="C729" s="336">
        <v>6500</v>
      </c>
      <c r="D729" s="337">
        <f t="shared" si="11"/>
        <v>6450</v>
      </c>
    </row>
    <row r="730" spans="1:9" ht="15" customHeight="1">
      <c r="A730" s="350">
        <v>40115</v>
      </c>
      <c r="B730" s="336">
        <v>6400</v>
      </c>
      <c r="C730" s="336">
        <v>6500</v>
      </c>
      <c r="D730" s="337">
        <f t="shared" si="11"/>
        <v>6450</v>
      </c>
    </row>
    <row r="731" spans="1:9" ht="15" customHeight="1" thickBot="1">
      <c r="A731" s="351">
        <v>40116</v>
      </c>
      <c r="B731" s="341">
        <v>6400</v>
      </c>
      <c r="C731" s="341">
        <v>6500</v>
      </c>
      <c r="D731" s="342">
        <f t="shared" si="11"/>
        <v>6450</v>
      </c>
      <c r="E731" s="360">
        <f>AVERAGE(D710:D731)</f>
        <v>6232.954545454545</v>
      </c>
      <c r="F731" s="360"/>
      <c r="G731" s="344"/>
      <c r="H731" s="354"/>
      <c r="I731" s="358"/>
    </row>
    <row r="732" spans="1:9" ht="15" customHeight="1">
      <c r="A732" s="350">
        <v>40119</v>
      </c>
      <c r="B732" s="336">
        <v>6400</v>
      </c>
      <c r="C732" s="336">
        <v>6500</v>
      </c>
      <c r="D732" s="346">
        <f t="shared" si="11"/>
        <v>6450</v>
      </c>
    </row>
    <row r="733" spans="1:9" ht="15" customHeight="1">
      <c r="A733" s="350">
        <v>40120</v>
      </c>
      <c r="B733" s="336">
        <v>6400</v>
      </c>
      <c r="C733" s="336">
        <v>6500</v>
      </c>
      <c r="D733" s="346">
        <f t="shared" si="11"/>
        <v>6450</v>
      </c>
    </row>
    <row r="734" spans="1:9" ht="15" customHeight="1">
      <c r="A734" s="350">
        <v>40121</v>
      </c>
      <c r="B734" s="336">
        <v>6400</v>
      </c>
      <c r="C734" s="336">
        <v>6500</v>
      </c>
      <c r="D734" s="346">
        <f t="shared" ref="D734:D751" si="12">AVERAGE(B734:C734)</f>
        <v>6450</v>
      </c>
    </row>
    <row r="735" spans="1:9" ht="15" customHeight="1">
      <c r="A735" s="350">
        <v>40122</v>
      </c>
      <c r="B735" s="336">
        <v>6400</v>
      </c>
      <c r="C735" s="336">
        <v>6500</v>
      </c>
      <c r="D735" s="346">
        <f t="shared" si="12"/>
        <v>6450</v>
      </c>
    </row>
    <row r="736" spans="1:9" ht="15" customHeight="1">
      <c r="A736" s="350">
        <v>40123</v>
      </c>
      <c r="B736" s="336">
        <v>6400</v>
      </c>
      <c r="C736" s="336">
        <v>6500</v>
      </c>
      <c r="D736" s="346">
        <f t="shared" si="12"/>
        <v>6450</v>
      </c>
    </row>
    <row r="737" spans="1:9" ht="15" customHeight="1">
      <c r="A737" s="350">
        <v>40126</v>
      </c>
      <c r="B737" s="336">
        <v>6400</v>
      </c>
      <c r="C737" s="336">
        <v>6500</v>
      </c>
      <c r="D737" s="346">
        <f t="shared" si="12"/>
        <v>6450</v>
      </c>
    </row>
    <row r="738" spans="1:9" ht="15" customHeight="1">
      <c r="A738" s="350">
        <v>40127</v>
      </c>
      <c r="B738" s="336">
        <v>6400</v>
      </c>
      <c r="C738" s="336">
        <v>6500</v>
      </c>
      <c r="D738" s="346">
        <f t="shared" si="12"/>
        <v>6450</v>
      </c>
    </row>
    <row r="739" spans="1:9" ht="15" customHeight="1">
      <c r="A739" s="350">
        <v>40128</v>
      </c>
      <c r="B739" s="336">
        <v>6400</v>
      </c>
      <c r="C739" s="336">
        <v>6500</v>
      </c>
      <c r="D739" s="346">
        <f t="shared" si="12"/>
        <v>6450</v>
      </c>
    </row>
    <row r="740" spans="1:9" ht="15" customHeight="1">
      <c r="A740" s="350">
        <v>40129</v>
      </c>
      <c r="B740" s="336">
        <v>6200</v>
      </c>
      <c r="C740" s="336">
        <v>6400</v>
      </c>
      <c r="D740" s="346">
        <f t="shared" si="12"/>
        <v>6300</v>
      </c>
    </row>
    <row r="741" spans="1:9" ht="15" customHeight="1">
      <c r="A741" s="350">
        <v>40130</v>
      </c>
      <c r="B741" s="336">
        <v>6200</v>
      </c>
      <c r="C741" s="336">
        <v>6400</v>
      </c>
      <c r="D741" s="346">
        <f t="shared" si="12"/>
        <v>6300</v>
      </c>
    </row>
    <row r="742" spans="1:9" ht="15" customHeight="1">
      <c r="A742" s="350">
        <v>40133</v>
      </c>
      <c r="B742" s="336">
        <v>6200</v>
      </c>
      <c r="C742" s="336">
        <v>6400</v>
      </c>
      <c r="D742" s="346">
        <f t="shared" si="12"/>
        <v>6300</v>
      </c>
    </row>
    <row r="743" spans="1:9" ht="15" customHeight="1">
      <c r="A743" s="350">
        <v>40134</v>
      </c>
      <c r="B743" s="336">
        <v>6200</v>
      </c>
      <c r="C743" s="336">
        <v>6400</v>
      </c>
      <c r="D743" s="346">
        <f t="shared" si="12"/>
        <v>6300</v>
      </c>
    </row>
    <row r="744" spans="1:9" ht="15" customHeight="1">
      <c r="A744" s="350">
        <v>40135</v>
      </c>
      <c r="B744" s="336">
        <v>6200</v>
      </c>
      <c r="C744" s="336">
        <v>6400</v>
      </c>
      <c r="D744" s="346">
        <f t="shared" si="12"/>
        <v>6300</v>
      </c>
    </row>
    <row r="745" spans="1:9" ht="15" customHeight="1">
      <c r="A745" s="350">
        <v>40136</v>
      </c>
      <c r="B745" s="336">
        <v>6100</v>
      </c>
      <c r="C745" s="336">
        <v>6250</v>
      </c>
      <c r="D745" s="346">
        <f t="shared" si="12"/>
        <v>6175</v>
      </c>
    </row>
    <row r="746" spans="1:9" ht="15" customHeight="1">
      <c r="A746" s="350">
        <v>40137</v>
      </c>
      <c r="B746" s="336">
        <v>6100</v>
      </c>
      <c r="C746" s="336">
        <v>6250</v>
      </c>
      <c r="D746" s="346">
        <f t="shared" si="12"/>
        <v>6175</v>
      </c>
    </row>
    <row r="747" spans="1:9" ht="15" customHeight="1">
      <c r="A747" s="350">
        <v>40140</v>
      </c>
      <c r="B747" s="336">
        <v>6100</v>
      </c>
      <c r="C747" s="336">
        <v>6250</v>
      </c>
      <c r="D747" s="346">
        <f t="shared" si="12"/>
        <v>6175</v>
      </c>
    </row>
    <row r="748" spans="1:9" ht="15" customHeight="1">
      <c r="A748" s="350">
        <v>40141</v>
      </c>
      <c r="B748" s="336">
        <v>6100</v>
      </c>
      <c r="C748" s="336">
        <v>6250</v>
      </c>
      <c r="D748" s="346">
        <f t="shared" si="12"/>
        <v>6175</v>
      </c>
    </row>
    <row r="749" spans="1:9" ht="15" customHeight="1">
      <c r="A749" s="350">
        <v>40142</v>
      </c>
      <c r="B749" s="336">
        <v>6100</v>
      </c>
      <c r="C749" s="336">
        <v>6250</v>
      </c>
      <c r="D749" s="346">
        <f t="shared" si="12"/>
        <v>6175</v>
      </c>
    </row>
    <row r="750" spans="1:9" ht="15" customHeight="1">
      <c r="A750" s="350">
        <v>40143</v>
      </c>
      <c r="B750" s="336">
        <v>6100</v>
      </c>
      <c r="C750" s="336">
        <v>6250</v>
      </c>
      <c r="D750" s="346">
        <f t="shared" si="12"/>
        <v>6175</v>
      </c>
    </row>
    <row r="751" spans="1:9" ht="15" customHeight="1">
      <c r="A751" s="350">
        <v>40144</v>
      </c>
      <c r="B751" s="336">
        <v>6100</v>
      </c>
      <c r="C751" s="336">
        <v>6250</v>
      </c>
      <c r="D751" s="346">
        <f t="shared" si="12"/>
        <v>6175</v>
      </c>
    </row>
    <row r="752" spans="1:9" ht="15" customHeight="1" thickBot="1">
      <c r="A752" s="351">
        <v>40147</v>
      </c>
      <c r="B752" s="341">
        <v>6100</v>
      </c>
      <c r="C752" s="341">
        <v>6250</v>
      </c>
      <c r="D752" s="342">
        <f t="shared" ref="D752:D770" si="13">AVERAGE(B752:C752)</f>
        <v>6175</v>
      </c>
      <c r="E752" s="360">
        <f>AVERAGE(D732:D752)</f>
        <v>6309.5238095238092</v>
      </c>
      <c r="F752" s="360"/>
      <c r="G752" s="344"/>
      <c r="H752" s="354"/>
      <c r="I752" s="358"/>
    </row>
    <row r="753" spans="1:4" ht="15" customHeight="1">
      <c r="A753" s="335">
        <v>40148</v>
      </c>
      <c r="B753" s="336">
        <v>6100</v>
      </c>
      <c r="C753" s="336">
        <v>6550</v>
      </c>
      <c r="D753" s="337">
        <f t="shared" si="13"/>
        <v>6325</v>
      </c>
    </row>
    <row r="754" spans="1:4" ht="15" customHeight="1">
      <c r="A754" s="335">
        <v>40149</v>
      </c>
      <c r="B754" s="336">
        <v>6100</v>
      </c>
      <c r="C754" s="336">
        <v>6250</v>
      </c>
      <c r="D754" s="337">
        <f t="shared" si="13"/>
        <v>6175</v>
      </c>
    </row>
    <row r="755" spans="1:4" ht="15" customHeight="1">
      <c r="A755" s="335">
        <v>40150</v>
      </c>
      <c r="B755" s="336">
        <v>5900</v>
      </c>
      <c r="C755" s="336">
        <v>6200</v>
      </c>
      <c r="D755" s="337">
        <f t="shared" si="13"/>
        <v>6050</v>
      </c>
    </row>
    <row r="756" spans="1:4" ht="15" customHeight="1">
      <c r="A756" s="335">
        <v>40151</v>
      </c>
      <c r="B756" s="336">
        <v>5900</v>
      </c>
      <c r="C756" s="336">
        <v>6200</v>
      </c>
      <c r="D756" s="337">
        <f t="shared" si="13"/>
        <v>6050</v>
      </c>
    </row>
    <row r="757" spans="1:4" ht="15" customHeight="1">
      <c r="A757" s="335">
        <v>40154</v>
      </c>
      <c r="B757" s="336">
        <v>5900</v>
      </c>
      <c r="C757" s="336">
        <v>6200</v>
      </c>
      <c r="D757" s="337">
        <f t="shared" si="13"/>
        <v>6050</v>
      </c>
    </row>
    <row r="758" spans="1:4" ht="15" customHeight="1">
      <c r="A758" s="335">
        <v>40155</v>
      </c>
      <c r="B758" s="336">
        <v>5900</v>
      </c>
      <c r="C758" s="336">
        <v>6200</v>
      </c>
      <c r="D758" s="337">
        <f t="shared" si="13"/>
        <v>6050</v>
      </c>
    </row>
    <row r="759" spans="1:4" ht="15" customHeight="1">
      <c r="A759" s="335">
        <v>40156</v>
      </c>
      <c r="B759" s="336">
        <v>5900</v>
      </c>
      <c r="C759" s="336">
        <v>6200</v>
      </c>
      <c r="D759" s="337">
        <f t="shared" si="13"/>
        <v>6050</v>
      </c>
    </row>
    <row r="760" spans="1:4" ht="15" customHeight="1">
      <c r="A760" s="335">
        <v>40157</v>
      </c>
      <c r="B760" s="336">
        <v>5900</v>
      </c>
      <c r="C760" s="336">
        <v>6200</v>
      </c>
      <c r="D760" s="337">
        <f t="shared" si="13"/>
        <v>6050</v>
      </c>
    </row>
    <row r="761" spans="1:4" ht="15" customHeight="1">
      <c r="A761" s="335">
        <v>40158</v>
      </c>
      <c r="B761" s="336">
        <v>5800</v>
      </c>
      <c r="C761" s="336">
        <v>6000</v>
      </c>
      <c r="D761" s="337">
        <f t="shared" si="13"/>
        <v>5900</v>
      </c>
    </row>
    <row r="762" spans="1:4" ht="15" customHeight="1">
      <c r="A762" s="335">
        <v>40161</v>
      </c>
      <c r="B762" s="336">
        <v>5800</v>
      </c>
      <c r="C762" s="336">
        <v>6000</v>
      </c>
      <c r="D762" s="337">
        <f t="shared" si="13"/>
        <v>5900</v>
      </c>
    </row>
    <row r="763" spans="1:4" ht="15" customHeight="1">
      <c r="A763" s="335">
        <v>40162</v>
      </c>
      <c r="B763" s="336">
        <v>5800</v>
      </c>
      <c r="C763" s="336">
        <v>6000</v>
      </c>
      <c r="D763" s="337">
        <f t="shared" si="13"/>
        <v>5900</v>
      </c>
    </row>
    <row r="764" spans="1:4" ht="15" customHeight="1">
      <c r="A764" s="335">
        <v>40163</v>
      </c>
      <c r="B764" s="336">
        <v>5700</v>
      </c>
      <c r="C764" s="336">
        <v>5900</v>
      </c>
      <c r="D764" s="337">
        <f t="shared" si="13"/>
        <v>5800</v>
      </c>
    </row>
    <row r="765" spans="1:4" ht="15" customHeight="1">
      <c r="A765" s="335">
        <v>40164</v>
      </c>
      <c r="B765" s="336">
        <v>5700</v>
      </c>
      <c r="C765" s="336">
        <v>5900</v>
      </c>
      <c r="D765" s="337">
        <f t="shared" si="13"/>
        <v>5800</v>
      </c>
    </row>
    <row r="766" spans="1:4" ht="15" customHeight="1">
      <c r="A766" s="335">
        <v>40165</v>
      </c>
      <c r="B766" s="336">
        <v>5700</v>
      </c>
      <c r="C766" s="336">
        <v>5900</v>
      </c>
      <c r="D766" s="337">
        <f t="shared" si="13"/>
        <v>5800</v>
      </c>
    </row>
    <row r="767" spans="1:4" ht="15" customHeight="1">
      <c r="A767" s="335">
        <v>40168</v>
      </c>
      <c r="B767" s="336">
        <v>5700</v>
      </c>
      <c r="C767" s="336">
        <v>5900</v>
      </c>
      <c r="D767" s="337">
        <f t="shared" si="13"/>
        <v>5800</v>
      </c>
    </row>
    <row r="768" spans="1:4" ht="15" customHeight="1">
      <c r="A768" s="335">
        <v>40169</v>
      </c>
      <c r="B768" s="336">
        <v>5700</v>
      </c>
      <c r="C768" s="336">
        <v>5900</v>
      </c>
      <c r="D768" s="337">
        <f t="shared" si="13"/>
        <v>5800</v>
      </c>
    </row>
    <row r="769" spans="1:9" ht="15" customHeight="1">
      <c r="A769" s="335">
        <v>40170</v>
      </c>
      <c r="B769" s="336">
        <v>5700</v>
      </c>
      <c r="C769" s="336">
        <v>5900</v>
      </c>
      <c r="D769" s="337">
        <f t="shared" si="13"/>
        <v>5800</v>
      </c>
    </row>
    <row r="770" spans="1:9" ht="15" customHeight="1">
      <c r="A770" s="335">
        <v>40171</v>
      </c>
      <c r="B770" s="336">
        <v>5700</v>
      </c>
      <c r="C770" s="336">
        <v>5900</v>
      </c>
      <c r="D770" s="337">
        <f t="shared" si="13"/>
        <v>5800</v>
      </c>
    </row>
    <row r="771" spans="1:9" ht="15" customHeight="1">
      <c r="A771" s="335">
        <v>40172</v>
      </c>
      <c r="B771" s="1419" t="s">
        <v>82</v>
      </c>
      <c r="C771" s="1419"/>
      <c r="D771" s="1419"/>
      <c r="E771" s="1419"/>
      <c r="F771" s="1419"/>
      <c r="G771" s="1419"/>
      <c r="H771" s="1419"/>
      <c r="I771" s="1419"/>
    </row>
    <row r="772" spans="1:9" ht="15" customHeight="1">
      <c r="A772" s="335">
        <v>40175</v>
      </c>
      <c r="B772" s="1419"/>
      <c r="C772" s="1419"/>
      <c r="D772" s="1419"/>
      <c r="E772" s="1419"/>
      <c r="F772" s="1419"/>
      <c r="G772" s="1419"/>
      <c r="H772" s="1419"/>
      <c r="I772" s="1419"/>
    </row>
    <row r="773" spans="1:9" ht="15" customHeight="1">
      <c r="A773" s="335">
        <v>40176</v>
      </c>
      <c r="B773" s="336">
        <v>5700</v>
      </c>
      <c r="C773" s="336">
        <v>5900</v>
      </c>
      <c r="D773" s="337">
        <f t="shared" ref="D773:D804" si="14">AVERAGE(B773:C773)</f>
        <v>5800</v>
      </c>
    </row>
    <row r="774" spans="1:9" ht="15" customHeight="1">
      <c r="A774" s="335">
        <v>40177</v>
      </c>
      <c r="B774" s="336">
        <v>5700</v>
      </c>
      <c r="C774" s="336">
        <v>5900</v>
      </c>
      <c r="D774" s="337">
        <f t="shared" si="14"/>
        <v>5800</v>
      </c>
    </row>
    <row r="775" spans="1:9" ht="15" customHeight="1" thickBot="1">
      <c r="A775" s="340">
        <v>40178</v>
      </c>
      <c r="B775" s="341">
        <v>5700</v>
      </c>
      <c r="C775" s="341">
        <v>5900</v>
      </c>
      <c r="D775" s="342">
        <f t="shared" si="14"/>
        <v>5800</v>
      </c>
      <c r="E775" s="360">
        <f>AVERAGE(D753:D775)</f>
        <v>5928.5714285714284</v>
      </c>
      <c r="F775" s="360">
        <f>AVERAGE(D517:D775)</f>
        <v>5141.205533596838</v>
      </c>
      <c r="G775" s="344">
        <f>AVERAGE(D710:D775)</f>
        <v>6158.203125</v>
      </c>
      <c r="H775" s="354"/>
      <c r="I775" s="358"/>
    </row>
    <row r="776" spans="1:9" ht="15" customHeight="1">
      <c r="A776" s="335">
        <v>40182</v>
      </c>
      <c r="B776" s="336">
        <v>5700</v>
      </c>
      <c r="C776" s="336">
        <v>5900</v>
      </c>
      <c r="D776" s="337">
        <f t="shared" si="14"/>
        <v>5800</v>
      </c>
    </row>
    <row r="777" spans="1:9" ht="15" customHeight="1">
      <c r="A777" s="335">
        <v>40183</v>
      </c>
      <c r="B777" s="336">
        <v>5700</v>
      </c>
      <c r="C777" s="336">
        <v>5900</v>
      </c>
      <c r="D777" s="337">
        <f t="shared" si="14"/>
        <v>5800</v>
      </c>
    </row>
    <row r="778" spans="1:9" ht="15" customHeight="1">
      <c r="A778" s="335">
        <v>40184</v>
      </c>
      <c r="B778" s="336">
        <v>5700</v>
      </c>
      <c r="C778" s="336">
        <v>5900</v>
      </c>
      <c r="D778" s="337">
        <f t="shared" si="14"/>
        <v>5800</v>
      </c>
    </row>
    <row r="779" spans="1:9" ht="15" customHeight="1">
      <c r="A779" s="335">
        <v>40185</v>
      </c>
      <c r="B779" s="336">
        <v>5700</v>
      </c>
      <c r="C779" s="336">
        <v>5900</v>
      </c>
      <c r="D779" s="337">
        <f t="shared" si="14"/>
        <v>5800</v>
      </c>
    </row>
    <row r="780" spans="1:9" ht="15" customHeight="1">
      <c r="A780" s="335">
        <v>40186</v>
      </c>
      <c r="B780" s="336">
        <v>5900</v>
      </c>
      <c r="C780" s="336">
        <v>6100</v>
      </c>
      <c r="D780" s="337">
        <f t="shared" si="14"/>
        <v>6000</v>
      </c>
    </row>
    <row r="781" spans="1:9" ht="15" customHeight="1">
      <c r="A781" s="335">
        <v>40189</v>
      </c>
      <c r="B781" s="336">
        <v>5900</v>
      </c>
      <c r="C781" s="336">
        <v>6100</v>
      </c>
      <c r="D781" s="337">
        <f t="shared" si="14"/>
        <v>6000</v>
      </c>
    </row>
    <row r="782" spans="1:9" ht="15" customHeight="1">
      <c r="A782" s="335">
        <v>40190</v>
      </c>
      <c r="B782" s="336">
        <v>5900</v>
      </c>
      <c r="C782" s="336">
        <v>6100</v>
      </c>
      <c r="D782" s="337">
        <f t="shared" si="14"/>
        <v>6000</v>
      </c>
    </row>
    <row r="783" spans="1:9" ht="15" customHeight="1">
      <c r="A783" s="335">
        <v>40191</v>
      </c>
      <c r="B783" s="336">
        <v>5900</v>
      </c>
      <c r="C783" s="336">
        <v>6100</v>
      </c>
      <c r="D783" s="337">
        <f t="shared" si="14"/>
        <v>6000</v>
      </c>
    </row>
    <row r="784" spans="1:9" ht="15" customHeight="1">
      <c r="A784" s="335">
        <v>40192</v>
      </c>
      <c r="B784" s="336">
        <v>6100</v>
      </c>
      <c r="C784" s="336">
        <v>6300</v>
      </c>
      <c r="D784" s="337">
        <f t="shared" si="14"/>
        <v>6200</v>
      </c>
    </row>
    <row r="785" spans="1:9" ht="15" customHeight="1">
      <c r="A785" s="335">
        <v>40193</v>
      </c>
      <c r="B785" s="336">
        <v>6100</v>
      </c>
      <c r="C785" s="336">
        <v>6300</v>
      </c>
      <c r="D785" s="337">
        <f t="shared" si="14"/>
        <v>6200</v>
      </c>
    </row>
    <row r="786" spans="1:9" ht="15" customHeight="1">
      <c r="A786" s="335">
        <v>40196</v>
      </c>
      <c r="B786" s="336">
        <v>6100</v>
      </c>
      <c r="C786" s="336">
        <v>6300</v>
      </c>
      <c r="D786" s="337">
        <f t="shared" si="14"/>
        <v>6200</v>
      </c>
    </row>
    <row r="787" spans="1:9" ht="15" customHeight="1">
      <c r="A787" s="335">
        <v>40197</v>
      </c>
      <c r="B787" s="336">
        <v>6100</v>
      </c>
      <c r="C787" s="336">
        <v>6300</v>
      </c>
      <c r="D787" s="337">
        <f t="shared" si="14"/>
        <v>6200</v>
      </c>
    </row>
    <row r="788" spans="1:9" ht="15" customHeight="1">
      <c r="A788" s="335">
        <v>40198</v>
      </c>
      <c r="B788" s="336">
        <v>6100</v>
      </c>
      <c r="C788" s="336">
        <v>6300</v>
      </c>
      <c r="D788" s="337">
        <f t="shared" si="14"/>
        <v>6200</v>
      </c>
    </row>
    <row r="789" spans="1:9" ht="15" customHeight="1">
      <c r="A789" s="335">
        <v>40199</v>
      </c>
      <c r="B789" s="336">
        <v>6200</v>
      </c>
      <c r="C789" s="336">
        <v>6400</v>
      </c>
      <c r="D789" s="337">
        <f t="shared" si="14"/>
        <v>6300</v>
      </c>
    </row>
    <row r="790" spans="1:9" ht="15" customHeight="1">
      <c r="A790" s="335">
        <v>40200</v>
      </c>
      <c r="B790" s="336">
        <v>6200</v>
      </c>
      <c r="C790" s="336">
        <v>6400</v>
      </c>
      <c r="D790" s="337">
        <f t="shared" si="14"/>
        <v>6300</v>
      </c>
    </row>
    <row r="791" spans="1:9" ht="15" customHeight="1">
      <c r="A791" s="335">
        <v>40203</v>
      </c>
      <c r="B791" s="336">
        <v>6200</v>
      </c>
      <c r="C791" s="336">
        <v>6400</v>
      </c>
      <c r="D791" s="337">
        <f t="shared" si="14"/>
        <v>6300</v>
      </c>
    </row>
    <row r="792" spans="1:9" ht="15" customHeight="1">
      <c r="A792" s="335">
        <v>40204</v>
      </c>
      <c r="B792" s="336">
        <v>6200</v>
      </c>
      <c r="C792" s="336">
        <v>6400</v>
      </c>
      <c r="D792" s="337">
        <f t="shared" si="14"/>
        <v>6300</v>
      </c>
    </row>
    <row r="793" spans="1:9" ht="15" customHeight="1">
      <c r="A793" s="335">
        <v>40205</v>
      </c>
      <c r="B793" s="336">
        <v>6200</v>
      </c>
      <c r="C793" s="336">
        <v>6400</v>
      </c>
      <c r="D793" s="337">
        <f t="shared" si="14"/>
        <v>6300</v>
      </c>
    </row>
    <row r="794" spans="1:9" ht="15" customHeight="1">
      <c r="A794" s="335">
        <v>40206</v>
      </c>
      <c r="B794" s="336">
        <v>6200</v>
      </c>
      <c r="C794" s="336">
        <v>6400</v>
      </c>
      <c r="D794" s="337">
        <f t="shared" si="14"/>
        <v>6300</v>
      </c>
    </row>
    <row r="795" spans="1:9" ht="15" customHeight="1" thickBot="1">
      <c r="A795" s="340">
        <v>40207</v>
      </c>
      <c r="B795" s="341">
        <v>6350</v>
      </c>
      <c r="C795" s="341">
        <v>6450</v>
      </c>
      <c r="D795" s="342">
        <f t="shared" si="14"/>
        <v>6400</v>
      </c>
      <c r="E795" s="360">
        <f>AVERAGE(D776:D795)</f>
        <v>6120</v>
      </c>
      <c r="F795" s="360"/>
      <c r="G795" s="344"/>
      <c r="H795" s="354"/>
      <c r="I795" s="358"/>
    </row>
    <row r="796" spans="1:9" ht="15" customHeight="1">
      <c r="A796" s="335">
        <v>40210</v>
      </c>
      <c r="B796" s="336">
        <v>6350</v>
      </c>
      <c r="C796" s="336">
        <v>6450</v>
      </c>
      <c r="D796" s="337">
        <f t="shared" si="14"/>
        <v>6400</v>
      </c>
    </row>
    <row r="797" spans="1:9" ht="15" customHeight="1">
      <c r="A797" s="335">
        <v>40211</v>
      </c>
      <c r="B797" s="336">
        <v>6350</v>
      </c>
      <c r="C797" s="336">
        <v>6450</v>
      </c>
      <c r="D797" s="337">
        <f t="shared" si="14"/>
        <v>6400</v>
      </c>
    </row>
    <row r="798" spans="1:9" ht="15" customHeight="1">
      <c r="A798" s="335">
        <v>40212</v>
      </c>
      <c r="B798" s="336">
        <v>6400</v>
      </c>
      <c r="C798" s="336">
        <v>6600</v>
      </c>
      <c r="D798" s="337">
        <f t="shared" si="14"/>
        <v>6500</v>
      </c>
    </row>
    <row r="799" spans="1:9" ht="15" customHeight="1">
      <c r="A799" s="335">
        <v>40213</v>
      </c>
      <c r="B799" s="336">
        <v>6400</v>
      </c>
      <c r="C799" s="336">
        <v>6600</v>
      </c>
      <c r="D799" s="337">
        <f t="shared" si="14"/>
        <v>6500</v>
      </c>
    </row>
    <row r="800" spans="1:9" ht="15" customHeight="1">
      <c r="A800" s="335">
        <v>40214</v>
      </c>
      <c r="B800" s="336">
        <v>6400</v>
      </c>
      <c r="C800" s="336">
        <v>6600</v>
      </c>
      <c r="D800" s="337">
        <f t="shared" si="14"/>
        <v>6500</v>
      </c>
    </row>
    <row r="801" spans="1:9" ht="15" customHeight="1">
      <c r="A801" s="335">
        <v>40217</v>
      </c>
      <c r="B801" s="336">
        <v>6400</v>
      </c>
      <c r="C801" s="336">
        <v>6600</v>
      </c>
      <c r="D801" s="337">
        <f t="shared" si="14"/>
        <v>6500</v>
      </c>
    </row>
    <row r="802" spans="1:9" ht="15" customHeight="1">
      <c r="A802" s="335">
        <v>40218</v>
      </c>
      <c r="B802" s="336">
        <v>6400</v>
      </c>
      <c r="C802" s="336">
        <v>6600</v>
      </c>
      <c r="D802" s="337">
        <f t="shared" si="14"/>
        <v>6500</v>
      </c>
    </row>
    <row r="803" spans="1:9" ht="15" customHeight="1">
      <c r="A803" s="335">
        <v>40219</v>
      </c>
      <c r="B803" s="336">
        <v>6400</v>
      </c>
      <c r="C803" s="336">
        <v>6600</v>
      </c>
      <c r="D803" s="337">
        <f t="shared" si="14"/>
        <v>6500</v>
      </c>
    </row>
    <row r="804" spans="1:9" ht="15" customHeight="1">
      <c r="A804" s="335">
        <v>40220</v>
      </c>
      <c r="B804" s="336">
        <v>6400</v>
      </c>
      <c r="C804" s="336">
        <v>6600</v>
      </c>
      <c r="D804" s="337">
        <f t="shared" si="14"/>
        <v>6500</v>
      </c>
    </row>
    <row r="805" spans="1:9" ht="15" customHeight="1">
      <c r="A805" s="335">
        <v>40221</v>
      </c>
      <c r="B805" s="336">
        <v>6400</v>
      </c>
      <c r="C805" s="336">
        <v>6600</v>
      </c>
      <c r="D805" s="337">
        <f t="shared" ref="D805:D836" si="15">AVERAGE(B805:C805)</f>
        <v>6500</v>
      </c>
    </row>
    <row r="806" spans="1:9" ht="15" customHeight="1">
      <c r="A806" s="335">
        <v>40224</v>
      </c>
      <c r="B806" s="336">
        <v>6400</v>
      </c>
      <c r="C806" s="336">
        <v>6500</v>
      </c>
      <c r="D806" s="337">
        <f t="shared" si="15"/>
        <v>6450</v>
      </c>
    </row>
    <row r="807" spans="1:9" ht="15" customHeight="1">
      <c r="A807" s="335">
        <v>40225</v>
      </c>
      <c r="B807" s="336">
        <v>6400</v>
      </c>
      <c r="C807" s="336">
        <v>6500</v>
      </c>
      <c r="D807" s="337">
        <f t="shared" si="15"/>
        <v>6450</v>
      </c>
    </row>
    <row r="808" spans="1:9" ht="15" customHeight="1">
      <c r="A808" s="335">
        <v>40226</v>
      </c>
      <c r="B808" s="336">
        <v>6400</v>
      </c>
      <c r="C808" s="336">
        <v>6500</v>
      </c>
      <c r="D808" s="337">
        <f t="shared" si="15"/>
        <v>6450</v>
      </c>
    </row>
    <row r="809" spans="1:9" ht="15" customHeight="1">
      <c r="A809" s="335">
        <v>40227</v>
      </c>
      <c r="B809" s="336">
        <v>6400</v>
      </c>
      <c r="C809" s="336">
        <v>6500</v>
      </c>
      <c r="D809" s="337">
        <f t="shared" si="15"/>
        <v>6450</v>
      </c>
    </row>
    <row r="810" spans="1:9" ht="15" customHeight="1">
      <c r="A810" s="335">
        <v>40228</v>
      </c>
      <c r="B810" s="336">
        <v>6400</v>
      </c>
      <c r="C810" s="336">
        <v>6500</v>
      </c>
      <c r="D810" s="337">
        <f t="shared" si="15"/>
        <v>6450</v>
      </c>
    </row>
    <row r="811" spans="1:9" ht="15" customHeight="1">
      <c r="A811" s="335">
        <v>40231</v>
      </c>
      <c r="B811" s="336">
        <v>6400</v>
      </c>
      <c r="C811" s="336">
        <v>6500</v>
      </c>
      <c r="D811" s="337">
        <f t="shared" si="15"/>
        <v>6450</v>
      </c>
    </row>
    <row r="812" spans="1:9" ht="15" customHeight="1">
      <c r="A812" s="335">
        <v>40232</v>
      </c>
      <c r="B812" s="336">
        <v>6400</v>
      </c>
      <c r="C812" s="336">
        <v>6500</v>
      </c>
      <c r="D812" s="337">
        <f t="shared" si="15"/>
        <v>6450</v>
      </c>
    </row>
    <row r="813" spans="1:9" ht="15" customHeight="1">
      <c r="A813" s="335">
        <v>40233</v>
      </c>
      <c r="B813" s="336">
        <v>6400</v>
      </c>
      <c r="C813" s="336">
        <v>6500</v>
      </c>
      <c r="D813" s="337">
        <f t="shared" si="15"/>
        <v>6450</v>
      </c>
    </row>
    <row r="814" spans="1:9" ht="15" customHeight="1">
      <c r="A814" s="335">
        <v>40234</v>
      </c>
      <c r="B814" s="336">
        <v>6400</v>
      </c>
      <c r="C814" s="336">
        <v>6500</v>
      </c>
      <c r="D814" s="337">
        <f t="shared" si="15"/>
        <v>6450</v>
      </c>
    </row>
    <row r="815" spans="1:9" ht="15" customHeight="1" thickBot="1">
      <c r="A815" s="340">
        <v>40235</v>
      </c>
      <c r="B815" s="341">
        <v>6400</v>
      </c>
      <c r="C815" s="341">
        <v>6500</v>
      </c>
      <c r="D815" s="342">
        <f t="shared" si="15"/>
        <v>6450</v>
      </c>
      <c r="E815" s="360">
        <f>AVERAGE(D796:D815)</f>
        <v>6465</v>
      </c>
      <c r="F815" s="360"/>
      <c r="G815" s="344"/>
      <c r="H815" s="354"/>
      <c r="I815" s="358"/>
    </row>
    <row r="816" spans="1:9" ht="15" customHeight="1">
      <c r="A816" s="335">
        <v>40238</v>
      </c>
      <c r="B816" s="336">
        <v>6400</v>
      </c>
      <c r="C816" s="336">
        <v>6500</v>
      </c>
      <c r="D816" s="337">
        <f t="shared" si="15"/>
        <v>6450</v>
      </c>
    </row>
    <row r="817" spans="1:4" ht="15" customHeight="1">
      <c r="A817" s="335">
        <v>40239</v>
      </c>
      <c r="B817" s="336">
        <v>6400</v>
      </c>
      <c r="C817" s="336">
        <v>6500</v>
      </c>
      <c r="D817" s="337">
        <f t="shared" si="15"/>
        <v>6450</v>
      </c>
    </row>
    <row r="818" spans="1:4" ht="15" customHeight="1">
      <c r="A818" s="335">
        <v>40240</v>
      </c>
      <c r="B818" s="336">
        <v>6400</v>
      </c>
      <c r="C818" s="336">
        <v>6500</v>
      </c>
      <c r="D818" s="337">
        <f t="shared" si="15"/>
        <v>6450</v>
      </c>
    </row>
    <row r="819" spans="1:4" ht="15" customHeight="1">
      <c r="A819" s="335">
        <v>40241</v>
      </c>
      <c r="B819" s="336">
        <v>6400</v>
      </c>
      <c r="C819" s="336">
        <v>6500</v>
      </c>
      <c r="D819" s="337">
        <f t="shared" si="15"/>
        <v>6450</v>
      </c>
    </row>
    <row r="820" spans="1:4" ht="15" customHeight="1">
      <c r="A820" s="335">
        <v>40242</v>
      </c>
      <c r="B820" s="336">
        <v>6400</v>
      </c>
      <c r="C820" s="336">
        <v>6500</v>
      </c>
      <c r="D820" s="337">
        <f t="shared" si="15"/>
        <v>6450</v>
      </c>
    </row>
    <row r="821" spans="1:4" ht="15" customHeight="1">
      <c r="A821" s="335">
        <v>40245</v>
      </c>
      <c r="B821" s="336">
        <v>6400</v>
      </c>
      <c r="C821" s="336">
        <v>6500</v>
      </c>
      <c r="D821" s="337">
        <f t="shared" si="15"/>
        <v>6450</v>
      </c>
    </row>
    <row r="822" spans="1:4" ht="15" customHeight="1">
      <c r="A822" s="335">
        <v>40246</v>
      </c>
      <c r="B822" s="336">
        <v>6400</v>
      </c>
      <c r="C822" s="336">
        <v>6500</v>
      </c>
      <c r="D822" s="337">
        <f t="shared" si="15"/>
        <v>6450</v>
      </c>
    </row>
    <row r="823" spans="1:4" ht="15" customHeight="1">
      <c r="A823" s="335">
        <v>40247</v>
      </c>
      <c r="B823" s="336">
        <v>6400</v>
      </c>
      <c r="C823" s="336">
        <v>6500</v>
      </c>
      <c r="D823" s="337">
        <f t="shared" si="15"/>
        <v>6450</v>
      </c>
    </row>
    <row r="824" spans="1:4" ht="15" customHeight="1">
      <c r="A824" s="335">
        <v>40248</v>
      </c>
      <c r="B824" s="336">
        <v>6500</v>
      </c>
      <c r="C824" s="336">
        <v>6650</v>
      </c>
      <c r="D824" s="337">
        <f t="shared" si="15"/>
        <v>6575</v>
      </c>
    </row>
    <row r="825" spans="1:4" ht="15" customHeight="1">
      <c r="A825" s="335">
        <v>40249</v>
      </c>
      <c r="B825" s="336">
        <v>6500</v>
      </c>
      <c r="C825" s="336">
        <v>6650</v>
      </c>
      <c r="D825" s="337">
        <f t="shared" si="15"/>
        <v>6575</v>
      </c>
    </row>
    <row r="826" spans="1:4" ht="15" customHeight="1">
      <c r="A826" s="335">
        <v>40252</v>
      </c>
      <c r="B826" s="336">
        <v>6500</v>
      </c>
      <c r="C826" s="336">
        <v>6650</v>
      </c>
      <c r="D826" s="337">
        <f t="shared" si="15"/>
        <v>6575</v>
      </c>
    </row>
    <row r="827" spans="1:4" ht="15" customHeight="1">
      <c r="A827" s="335">
        <v>40253</v>
      </c>
      <c r="B827" s="336">
        <v>6500</v>
      </c>
      <c r="C827" s="336">
        <v>6650</v>
      </c>
      <c r="D827" s="337">
        <f t="shared" si="15"/>
        <v>6575</v>
      </c>
    </row>
    <row r="828" spans="1:4" ht="15" customHeight="1">
      <c r="A828" s="335">
        <v>40254</v>
      </c>
      <c r="B828" s="336">
        <v>6500</v>
      </c>
      <c r="C828" s="336">
        <v>6650</v>
      </c>
      <c r="D828" s="337">
        <f t="shared" si="15"/>
        <v>6575</v>
      </c>
    </row>
    <row r="829" spans="1:4" ht="15" customHeight="1">
      <c r="A829" s="335">
        <v>40255</v>
      </c>
      <c r="B829" s="336">
        <v>6500</v>
      </c>
      <c r="C829" s="336">
        <v>6650</v>
      </c>
      <c r="D829" s="337">
        <f t="shared" si="15"/>
        <v>6575</v>
      </c>
    </row>
    <row r="830" spans="1:4" ht="15" customHeight="1">
      <c r="A830" s="335">
        <v>40256</v>
      </c>
      <c r="B830" s="336">
        <v>6600</v>
      </c>
      <c r="C830" s="336">
        <v>6700</v>
      </c>
      <c r="D830" s="337">
        <f t="shared" si="15"/>
        <v>6650</v>
      </c>
    </row>
    <row r="831" spans="1:4" ht="15" customHeight="1">
      <c r="A831" s="335">
        <v>40259</v>
      </c>
      <c r="B831" s="336">
        <v>6600</v>
      </c>
      <c r="C831" s="336">
        <v>6700</v>
      </c>
      <c r="D831" s="337">
        <f t="shared" si="15"/>
        <v>6650</v>
      </c>
    </row>
    <row r="832" spans="1:4" ht="15" customHeight="1">
      <c r="A832" s="335">
        <v>40260</v>
      </c>
      <c r="B832" s="336">
        <v>6600</v>
      </c>
      <c r="C832" s="336">
        <v>6700</v>
      </c>
      <c r="D832" s="337">
        <f t="shared" si="15"/>
        <v>6650</v>
      </c>
    </row>
    <row r="833" spans="1:9" ht="15" customHeight="1">
      <c r="A833" s="335">
        <v>40261</v>
      </c>
      <c r="B833" s="336">
        <v>6600</v>
      </c>
      <c r="C833" s="336">
        <v>6700</v>
      </c>
      <c r="D833" s="337">
        <f t="shared" si="15"/>
        <v>6650</v>
      </c>
    </row>
    <row r="834" spans="1:9" ht="15" customHeight="1">
      <c r="A834" s="335">
        <v>40262</v>
      </c>
      <c r="B834" s="336">
        <v>6650</v>
      </c>
      <c r="C834" s="336">
        <v>6800</v>
      </c>
      <c r="D834" s="337">
        <f t="shared" si="15"/>
        <v>6725</v>
      </c>
    </row>
    <row r="835" spans="1:9" ht="15" customHeight="1">
      <c r="A835" s="335">
        <v>40263</v>
      </c>
      <c r="B835" s="336">
        <v>6650</v>
      </c>
      <c r="C835" s="336">
        <v>6800</v>
      </c>
      <c r="D835" s="337">
        <f t="shared" si="15"/>
        <v>6725</v>
      </c>
    </row>
    <row r="836" spans="1:9" ht="15" customHeight="1">
      <c r="A836" s="335">
        <v>40265</v>
      </c>
      <c r="B836" s="336">
        <v>6650</v>
      </c>
      <c r="C836" s="336">
        <v>6800</v>
      </c>
      <c r="D836" s="337">
        <f t="shared" si="15"/>
        <v>6725</v>
      </c>
    </row>
    <row r="837" spans="1:9" ht="15" customHeight="1">
      <c r="A837" s="335">
        <v>40267</v>
      </c>
      <c r="B837" s="336">
        <v>6650</v>
      </c>
      <c r="C837" s="336">
        <v>6800</v>
      </c>
      <c r="D837" s="337">
        <f>AVERAGE(B837:C837)</f>
        <v>6725</v>
      </c>
    </row>
    <row r="838" spans="1:9" ht="15" customHeight="1" thickBot="1">
      <c r="A838" s="340">
        <v>40268</v>
      </c>
      <c r="B838" s="341">
        <v>6650</v>
      </c>
      <c r="C838" s="341">
        <v>6800</v>
      </c>
      <c r="D838" s="342">
        <f>AVERAGE(B838:C838)</f>
        <v>6725</v>
      </c>
      <c r="E838" s="360">
        <f>AVERAGE(D816:D838)</f>
        <v>6577.173913043478</v>
      </c>
      <c r="F838" s="360"/>
      <c r="G838" s="344">
        <f>AVERAGE(D776:D838)</f>
        <v>6396.4285714285716</v>
      </c>
      <c r="H838" s="354"/>
      <c r="I838" s="358"/>
    </row>
    <row r="839" spans="1:9" ht="15" customHeight="1">
      <c r="A839" s="335">
        <v>40269</v>
      </c>
      <c r="B839" s="336">
        <v>7000</v>
      </c>
      <c r="C839" s="336">
        <v>7200</v>
      </c>
      <c r="D839" s="337">
        <f>AVERAGE(B839:C839)</f>
        <v>7100</v>
      </c>
    </row>
    <row r="840" spans="1:9" ht="15" customHeight="1">
      <c r="A840" s="335">
        <v>40270</v>
      </c>
      <c r="B840" s="1419" t="s">
        <v>83</v>
      </c>
      <c r="C840" s="1419"/>
      <c r="D840" s="1419"/>
      <c r="E840" s="1419"/>
      <c r="F840" s="1419"/>
      <c r="G840" s="1419"/>
      <c r="H840" s="1419"/>
      <c r="I840" s="1419"/>
    </row>
    <row r="841" spans="1:9" ht="15" customHeight="1">
      <c r="A841" s="335">
        <v>40273</v>
      </c>
      <c r="B841" s="1419"/>
      <c r="C841" s="1419"/>
      <c r="D841" s="1419"/>
      <c r="E841" s="1419"/>
      <c r="F841" s="1419"/>
      <c r="G841" s="1419"/>
      <c r="H841" s="1419"/>
      <c r="I841" s="1419"/>
    </row>
    <row r="842" spans="1:9" ht="15" customHeight="1">
      <c r="A842" s="335">
        <v>40274</v>
      </c>
      <c r="B842" s="336">
        <v>7000</v>
      </c>
      <c r="C842" s="336">
        <v>7200</v>
      </c>
      <c r="D842" s="337">
        <f t="shared" ref="D842:D878" si="16">AVERAGE(B842:C842)</f>
        <v>7100</v>
      </c>
    </row>
    <row r="843" spans="1:9" ht="15" customHeight="1">
      <c r="A843" s="335">
        <v>40275</v>
      </c>
      <c r="B843" s="336">
        <v>7000</v>
      </c>
      <c r="C843" s="336">
        <v>7200</v>
      </c>
      <c r="D843" s="337">
        <f t="shared" si="16"/>
        <v>7100</v>
      </c>
    </row>
    <row r="844" spans="1:9" ht="15" customHeight="1">
      <c r="A844" s="335">
        <v>40276</v>
      </c>
      <c r="B844" s="336">
        <v>7000</v>
      </c>
      <c r="C844" s="336">
        <v>7200</v>
      </c>
      <c r="D844" s="337">
        <f t="shared" si="16"/>
        <v>7100</v>
      </c>
    </row>
    <row r="845" spans="1:9" ht="15" customHeight="1">
      <c r="A845" s="335">
        <v>40277</v>
      </c>
      <c r="B845" s="336">
        <v>7400</v>
      </c>
      <c r="C845" s="336">
        <v>7900</v>
      </c>
      <c r="D845" s="337">
        <f t="shared" si="16"/>
        <v>7650</v>
      </c>
    </row>
    <row r="846" spans="1:9" ht="15" customHeight="1">
      <c r="A846" s="335">
        <v>40280</v>
      </c>
      <c r="B846" s="336">
        <v>7400</v>
      </c>
      <c r="C846" s="336">
        <v>7900</v>
      </c>
      <c r="D846" s="337">
        <f t="shared" si="16"/>
        <v>7650</v>
      </c>
    </row>
    <row r="847" spans="1:9" ht="15" customHeight="1">
      <c r="A847" s="335">
        <v>40281</v>
      </c>
      <c r="B847" s="336">
        <v>7400</v>
      </c>
      <c r="C847" s="336">
        <v>7900</v>
      </c>
      <c r="D847" s="337">
        <f t="shared" si="16"/>
        <v>7650</v>
      </c>
    </row>
    <row r="848" spans="1:9" ht="15" customHeight="1">
      <c r="A848" s="335">
        <v>40282</v>
      </c>
      <c r="B848" s="336">
        <v>7400</v>
      </c>
      <c r="C848" s="336">
        <v>7900</v>
      </c>
      <c r="D848" s="337">
        <f t="shared" si="16"/>
        <v>7650</v>
      </c>
    </row>
    <row r="849" spans="1:9" ht="15" customHeight="1">
      <c r="A849" s="335">
        <v>40283</v>
      </c>
      <c r="B849" s="336">
        <v>7400</v>
      </c>
      <c r="C849" s="336">
        <v>7900</v>
      </c>
      <c r="D849" s="337">
        <f t="shared" si="16"/>
        <v>7650</v>
      </c>
    </row>
    <row r="850" spans="1:9" ht="15" customHeight="1">
      <c r="A850" s="335">
        <v>40284</v>
      </c>
      <c r="B850" s="336">
        <v>7750</v>
      </c>
      <c r="C850" s="336">
        <v>8250</v>
      </c>
      <c r="D850" s="337">
        <f t="shared" si="16"/>
        <v>8000</v>
      </c>
    </row>
    <row r="851" spans="1:9" ht="15" customHeight="1">
      <c r="A851" s="335">
        <v>40287</v>
      </c>
      <c r="B851" s="336">
        <v>7750</v>
      </c>
      <c r="C851" s="336">
        <v>8250</v>
      </c>
      <c r="D851" s="337">
        <f t="shared" si="16"/>
        <v>8000</v>
      </c>
    </row>
    <row r="852" spans="1:9" ht="15" customHeight="1">
      <c r="A852" s="335">
        <v>40288</v>
      </c>
      <c r="B852" s="336">
        <v>7750</v>
      </c>
      <c r="C852" s="336">
        <v>8250</v>
      </c>
      <c r="D852" s="337">
        <f t="shared" si="16"/>
        <v>8000</v>
      </c>
    </row>
    <row r="853" spans="1:9" ht="15" customHeight="1">
      <c r="A853" s="335">
        <v>40289</v>
      </c>
      <c r="B853" s="336">
        <v>7750</v>
      </c>
      <c r="C853" s="336">
        <v>8250</v>
      </c>
      <c r="D853" s="337">
        <f t="shared" si="16"/>
        <v>8000</v>
      </c>
    </row>
    <row r="854" spans="1:9" ht="15" customHeight="1">
      <c r="A854" s="335">
        <v>40290</v>
      </c>
      <c r="B854" s="336">
        <v>8500</v>
      </c>
      <c r="C854" s="336">
        <v>9000</v>
      </c>
      <c r="D854" s="337">
        <f t="shared" si="16"/>
        <v>8750</v>
      </c>
    </row>
    <row r="855" spans="1:9" ht="15" customHeight="1">
      <c r="A855" s="335">
        <v>40291</v>
      </c>
      <c r="B855" s="336">
        <v>8500</v>
      </c>
      <c r="C855" s="336">
        <v>9000</v>
      </c>
      <c r="D855" s="337">
        <f t="shared" si="16"/>
        <v>8750</v>
      </c>
    </row>
    <row r="856" spans="1:9" ht="15" customHeight="1">
      <c r="A856" s="335">
        <v>40294</v>
      </c>
      <c r="B856" s="336">
        <v>8500</v>
      </c>
      <c r="C856" s="336">
        <v>9000</v>
      </c>
      <c r="D856" s="337">
        <f t="shared" si="16"/>
        <v>8750</v>
      </c>
    </row>
    <row r="857" spans="1:9" ht="15" customHeight="1">
      <c r="A857" s="335">
        <v>40295</v>
      </c>
      <c r="B857" s="336">
        <v>8500</v>
      </c>
      <c r="C857" s="336">
        <v>9000</v>
      </c>
      <c r="D857" s="337">
        <f t="shared" si="16"/>
        <v>8750</v>
      </c>
    </row>
    <row r="858" spans="1:9" ht="15" customHeight="1">
      <c r="A858" s="335">
        <v>40296</v>
      </c>
      <c r="B858" s="336">
        <v>8500</v>
      </c>
      <c r="C858" s="336">
        <v>9000</v>
      </c>
      <c r="D858" s="337">
        <f t="shared" si="16"/>
        <v>8750</v>
      </c>
    </row>
    <row r="859" spans="1:9" ht="15" customHeight="1">
      <c r="A859" s="335">
        <v>40297</v>
      </c>
      <c r="B859" s="336">
        <v>9000</v>
      </c>
      <c r="C859" s="336">
        <v>9750</v>
      </c>
      <c r="D859" s="337">
        <f t="shared" si="16"/>
        <v>9375</v>
      </c>
    </row>
    <row r="860" spans="1:9" ht="15" customHeight="1" thickBot="1">
      <c r="A860" s="340">
        <v>40298</v>
      </c>
      <c r="B860" s="341">
        <v>9000</v>
      </c>
      <c r="C860" s="341">
        <v>9750</v>
      </c>
      <c r="D860" s="342">
        <f t="shared" si="16"/>
        <v>9375</v>
      </c>
      <c r="E860" s="360">
        <f>AVERAGE(D839:D860)</f>
        <v>8057.5</v>
      </c>
      <c r="F860" s="360"/>
      <c r="G860" s="344"/>
      <c r="H860" s="354"/>
      <c r="I860" s="358"/>
    </row>
    <row r="861" spans="1:9" ht="15" customHeight="1">
      <c r="A861" s="335">
        <v>40302</v>
      </c>
      <c r="B861" s="336">
        <v>9000</v>
      </c>
      <c r="C861" s="336">
        <v>9750</v>
      </c>
      <c r="D861" s="337">
        <f t="shared" si="16"/>
        <v>9375</v>
      </c>
    </row>
    <row r="862" spans="1:9" ht="15" customHeight="1">
      <c r="A862" s="335">
        <v>40303</v>
      </c>
      <c r="B862" s="336">
        <v>9000</v>
      </c>
      <c r="C862" s="336">
        <v>9750</v>
      </c>
      <c r="D862" s="337">
        <f t="shared" si="16"/>
        <v>9375</v>
      </c>
    </row>
    <row r="863" spans="1:9" ht="15" customHeight="1">
      <c r="A863" s="335">
        <v>40304</v>
      </c>
      <c r="B863" s="336">
        <v>9300</v>
      </c>
      <c r="C863" s="336">
        <v>9800</v>
      </c>
      <c r="D863" s="337">
        <f t="shared" si="16"/>
        <v>9550</v>
      </c>
    </row>
    <row r="864" spans="1:9" ht="15" customHeight="1">
      <c r="A864" s="335">
        <v>40305</v>
      </c>
      <c r="B864" s="336">
        <v>9300</v>
      </c>
      <c r="C864" s="336">
        <v>9800</v>
      </c>
      <c r="D864" s="337">
        <f t="shared" si="16"/>
        <v>9550</v>
      </c>
    </row>
    <row r="865" spans="1:9" ht="15" customHeight="1">
      <c r="A865" s="335">
        <v>40308</v>
      </c>
      <c r="B865" s="336">
        <v>9300</v>
      </c>
      <c r="C865" s="336">
        <v>9800</v>
      </c>
      <c r="D865" s="337">
        <f t="shared" si="16"/>
        <v>9550</v>
      </c>
    </row>
    <row r="866" spans="1:9" ht="15" customHeight="1">
      <c r="A866" s="335">
        <v>40309</v>
      </c>
      <c r="B866" s="336">
        <v>9300</v>
      </c>
      <c r="C866" s="336">
        <v>9800</v>
      </c>
      <c r="D866" s="337">
        <f t="shared" si="16"/>
        <v>9550</v>
      </c>
    </row>
    <row r="867" spans="1:9" ht="15" customHeight="1">
      <c r="A867" s="335">
        <v>40310</v>
      </c>
      <c r="B867" s="336">
        <v>9300</v>
      </c>
      <c r="C867" s="336">
        <v>9800</v>
      </c>
      <c r="D867" s="337">
        <f t="shared" si="16"/>
        <v>9550</v>
      </c>
    </row>
    <row r="868" spans="1:9" ht="15" customHeight="1">
      <c r="A868" s="335">
        <v>40311</v>
      </c>
      <c r="B868" s="336">
        <v>9300</v>
      </c>
      <c r="C868" s="336">
        <v>9700</v>
      </c>
      <c r="D868" s="337">
        <f t="shared" si="16"/>
        <v>9500</v>
      </c>
    </row>
    <row r="869" spans="1:9" ht="15" customHeight="1">
      <c r="A869" s="335">
        <v>40312</v>
      </c>
      <c r="B869" s="336">
        <v>9300</v>
      </c>
      <c r="C869" s="336">
        <v>9700</v>
      </c>
      <c r="D869" s="337">
        <f t="shared" si="16"/>
        <v>9500</v>
      </c>
    </row>
    <row r="870" spans="1:9" ht="15" customHeight="1">
      <c r="A870" s="335">
        <v>40315</v>
      </c>
      <c r="B870" s="336">
        <v>9300</v>
      </c>
      <c r="C870" s="336">
        <v>9700</v>
      </c>
      <c r="D870" s="337">
        <f t="shared" si="16"/>
        <v>9500</v>
      </c>
    </row>
    <row r="871" spans="1:9" ht="15" customHeight="1">
      <c r="A871" s="335">
        <v>40316</v>
      </c>
      <c r="B871" s="336">
        <v>9300</v>
      </c>
      <c r="C871" s="336">
        <v>9700</v>
      </c>
      <c r="D871" s="337">
        <f t="shared" si="16"/>
        <v>9500</v>
      </c>
    </row>
    <row r="872" spans="1:9" ht="15" customHeight="1">
      <c r="A872" s="335">
        <v>40317</v>
      </c>
      <c r="B872" s="336">
        <v>9300</v>
      </c>
      <c r="C872" s="336">
        <v>9500</v>
      </c>
      <c r="D872" s="337">
        <f t="shared" si="16"/>
        <v>9400</v>
      </c>
    </row>
    <row r="873" spans="1:9" ht="15" customHeight="1">
      <c r="A873" s="335">
        <v>40318</v>
      </c>
      <c r="B873" s="336">
        <v>9300</v>
      </c>
      <c r="C873" s="336">
        <v>9500</v>
      </c>
      <c r="D873" s="337">
        <f t="shared" si="16"/>
        <v>9400</v>
      </c>
    </row>
    <row r="874" spans="1:9" ht="15" customHeight="1">
      <c r="A874" s="335">
        <v>40319</v>
      </c>
      <c r="B874" s="336">
        <v>9300</v>
      </c>
      <c r="C874" s="336">
        <v>9500</v>
      </c>
      <c r="D874" s="337">
        <f t="shared" si="16"/>
        <v>9400</v>
      </c>
    </row>
    <row r="875" spans="1:9" ht="15" customHeight="1">
      <c r="A875" s="335">
        <v>40322</v>
      </c>
      <c r="B875" s="336">
        <v>9300</v>
      </c>
      <c r="C875" s="336">
        <v>9500</v>
      </c>
      <c r="D875" s="337">
        <f t="shared" si="16"/>
        <v>9400</v>
      </c>
    </row>
    <row r="876" spans="1:9" ht="15" customHeight="1">
      <c r="A876" s="335">
        <v>40323</v>
      </c>
      <c r="B876" s="336">
        <v>9300</v>
      </c>
      <c r="C876" s="336">
        <v>9500</v>
      </c>
      <c r="D876" s="337">
        <f t="shared" si="16"/>
        <v>9400</v>
      </c>
    </row>
    <row r="877" spans="1:9" ht="15" customHeight="1">
      <c r="A877" s="335">
        <v>40324</v>
      </c>
      <c r="B877" s="336">
        <v>9300</v>
      </c>
      <c r="C877" s="336">
        <v>9500</v>
      </c>
      <c r="D877" s="337">
        <f t="shared" si="16"/>
        <v>9400</v>
      </c>
    </row>
    <row r="878" spans="1:9" ht="15" customHeight="1">
      <c r="A878" s="335">
        <v>40325</v>
      </c>
      <c r="B878" s="336">
        <v>8500</v>
      </c>
      <c r="C878" s="336">
        <v>9500</v>
      </c>
      <c r="D878" s="337">
        <f t="shared" si="16"/>
        <v>9000</v>
      </c>
    </row>
    <row r="879" spans="1:9" ht="15" customHeight="1">
      <c r="A879" s="335">
        <v>40326</v>
      </c>
      <c r="B879" s="336">
        <v>8500</v>
      </c>
      <c r="C879" s="336">
        <v>9500</v>
      </c>
      <c r="D879" s="337">
        <f>AVERAGE(B879:C879)</f>
        <v>9000</v>
      </c>
      <c r="E879" s="361">
        <f>AVERAGE(D861:D879)</f>
        <v>9415.78947368421</v>
      </c>
      <c r="F879" s="361"/>
    </row>
    <row r="880" spans="1:9" ht="15" customHeight="1" thickBot="1">
      <c r="A880" s="340">
        <v>40329</v>
      </c>
      <c r="B880" s="1420" t="s">
        <v>84</v>
      </c>
      <c r="C880" s="1420"/>
      <c r="D880" s="1420"/>
      <c r="E880" s="1420"/>
      <c r="F880" s="1420"/>
      <c r="G880" s="1420"/>
      <c r="H880" s="1420"/>
      <c r="I880" s="1420"/>
    </row>
    <row r="881" spans="1:4" ht="15" customHeight="1">
      <c r="A881" s="335">
        <v>40330</v>
      </c>
      <c r="B881" s="336">
        <v>8500</v>
      </c>
      <c r="C881" s="336">
        <v>9500</v>
      </c>
      <c r="D881" s="337">
        <f t="shared" ref="D881:D886" si="17">AVERAGE(B881:C881)</f>
        <v>9000</v>
      </c>
    </row>
    <row r="882" spans="1:4" ht="15" customHeight="1">
      <c r="A882" s="335">
        <v>40331</v>
      </c>
      <c r="B882" s="336">
        <v>8500</v>
      </c>
      <c r="C882" s="336">
        <v>9500</v>
      </c>
      <c r="D882" s="337">
        <f t="shared" si="17"/>
        <v>9000</v>
      </c>
    </row>
    <row r="883" spans="1:4" ht="15" customHeight="1">
      <c r="A883" s="335">
        <v>8500</v>
      </c>
      <c r="B883" s="336">
        <v>8500</v>
      </c>
      <c r="C883" s="336">
        <v>8900</v>
      </c>
      <c r="D883" s="337">
        <f t="shared" si="17"/>
        <v>8700</v>
      </c>
    </row>
    <row r="884" spans="1:4" ht="15" customHeight="1">
      <c r="A884" s="335">
        <v>40333</v>
      </c>
      <c r="B884" s="336">
        <v>8500</v>
      </c>
      <c r="C884" s="336">
        <v>8900</v>
      </c>
      <c r="D884" s="337">
        <f t="shared" si="17"/>
        <v>8700</v>
      </c>
    </row>
    <row r="885" spans="1:4" ht="15" customHeight="1">
      <c r="A885" s="335">
        <v>40336</v>
      </c>
      <c r="B885" s="336">
        <v>8500</v>
      </c>
      <c r="C885" s="336">
        <v>8900</v>
      </c>
      <c r="D885" s="337">
        <f t="shared" si="17"/>
        <v>8700</v>
      </c>
    </row>
    <row r="886" spans="1:4" ht="15" customHeight="1">
      <c r="A886" s="335">
        <v>40337</v>
      </c>
      <c r="B886" s="336">
        <v>8500</v>
      </c>
      <c r="C886" s="336">
        <v>8900</v>
      </c>
      <c r="D886" s="337">
        <f t="shared" si="17"/>
        <v>8700</v>
      </c>
    </row>
    <row r="887" spans="1:4" ht="15" customHeight="1">
      <c r="A887" s="335">
        <v>40338</v>
      </c>
      <c r="B887" s="336">
        <v>8500</v>
      </c>
      <c r="C887" s="336">
        <v>8900</v>
      </c>
      <c r="D887" s="337">
        <f t="shared" ref="D887:D909" si="18">AVERAGE(B887:C887)</f>
        <v>8700</v>
      </c>
    </row>
    <row r="888" spans="1:4" ht="15" customHeight="1">
      <c r="A888" s="335">
        <v>40339</v>
      </c>
      <c r="B888" s="336">
        <v>8250</v>
      </c>
      <c r="C888" s="336">
        <v>8500</v>
      </c>
      <c r="D888" s="337">
        <f t="shared" si="18"/>
        <v>8375</v>
      </c>
    </row>
    <row r="889" spans="1:4" ht="15" customHeight="1">
      <c r="A889" s="335">
        <v>40340</v>
      </c>
      <c r="B889" s="336">
        <v>8250</v>
      </c>
      <c r="C889" s="336">
        <v>8500</v>
      </c>
      <c r="D889" s="337">
        <f t="shared" si="18"/>
        <v>8375</v>
      </c>
    </row>
    <row r="890" spans="1:4" ht="15" customHeight="1">
      <c r="A890" s="335">
        <v>40343</v>
      </c>
      <c r="B890" s="336">
        <v>8250</v>
      </c>
      <c r="C890" s="336">
        <v>8500</v>
      </c>
      <c r="D890" s="337">
        <f t="shared" si="18"/>
        <v>8375</v>
      </c>
    </row>
    <row r="891" spans="1:4" ht="15" customHeight="1">
      <c r="A891" s="335">
        <v>40344</v>
      </c>
      <c r="B891" s="336">
        <v>8250</v>
      </c>
      <c r="C891" s="336">
        <v>8500</v>
      </c>
      <c r="D891" s="337">
        <f t="shared" si="18"/>
        <v>8375</v>
      </c>
    </row>
    <row r="892" spans="1:4" ht="15" customHeight="1">
      <c r="A892" s="335">
        <v>40345</v>
      </c>
      <c r="B892" s="336">
        <v>8000</v>
      </c>
      <c r="C892" s="336">
        <v>8300</v>
      </c>
      <c r="D892" s="337">
        <f t="shared" si="18"/>
        <v>8150</v>
      </c>
    </row>
    <row r="893" spans="1:4" ht="15" customHeight="1">
      <c r="A893" s="335">
        <v>40346</v>
      </c>
      <c r="B893" s="336">
        <v>8000</v>
      </c>
      <c r="C893" s="336">
        <v>8300</v>
      </c>
      <c r="D893" s="337">
        <f t="shared" si="18"/>
        <v>8150</v>
      </c>
    </row>
    <row r="894" spans="1:4" ht="15" customHeight="1">
      <c r="A894" s="335">
        <v>40347</v>
      </c>
      <c r="B894" s="336">
        <v>8000</v>
      </c>
      <c r="C894" s="336">
        <v>8300</v>
      </c>
      <c r="D894" s="337">
        <f t="shared" si="18"/>
        <v>8150</v>
      </c>
    </row>
    <row r="895" spans="1:4" ht="15" customHeight="1">
      <c r="A895" s="335">
        <v>40350</v>
      </c>
      <c r="B895" s="336">
        <v>8000</v>
      </c>
      <c r="C895" s="336">
        <v>8300</v>
      </c>
      <c r="D895" s="337">
        <f t="shared" si="18"/>
        <v>8150</v>
      </c>
    </row>
    <row r="896" spans="1:4" ht="15" customHeight="1">
      <c r="A896" s="335">
        <v>40351</v>
      </c>
      <c r="B896" s="336">
        <v>8000</v>
      </c>
      <c r="C896" s="336">
        <v>8300</v>
      </c>
      <c r="D896" s="337">
        <f t="shared" si="18"/>
        <v>8150</v>
      </c>
    </row>
    <row r="897" spans="1:9" ht="15" customHeight="1">
      <c r="A897" s="335">
        <v>40352</v>
      </c>
      <c r="B897" s="336">
        <v>8000</v>
      </c>
      <c r="C897" s="336">
        <v>8300</v>
      </c>
      <c r="D897" s="337">
        <f t="shared" si="18"/>
        <v>8150</v>
      </c>
    </row>
    <row r="898" spans="1:9" ht="15" customHeight="1">
      <c r="A898" s="335">
        <v>40353</v>
      </c>
      <c r="B898" s="336">
        <v>7900</v>
      </c>
      <c r="C898" s="336">
        <v>8200</v>
      </c>
      <c r="D898" s="337">
        <f t="shared" si="18"/>
        <v>8050</v>
      </c>
    </row>
    <row r="899" spans="1:9" ht="15" customHeight="1">
      <c r="A899" s="335">
        <v>40354</v>
      </c>
      <c r="B899" s="336">
        <v>7900</v>
      </c>
      <c r="C899" s="336">
        <v>8200</v>
      </c>
      <c r="D899" s="337">
        <f t="shared" si="18"/>
        <v>8050</v>
      </c>
    </row>
    <row r="900" spans="1:9" ht="15" customHeight="1">
      <c r="A900" s="335">
        <v>40357</v>
      </c>
      <c r="B900" s="336">
        <v>7900</v>
      </c>
      <c r="C900" s="336">
        <v>8200</v>
      </c>
      <c r="D900" s="337">
        <f t="shared" si="18"/>
        <v>8050</v>
      </c>
    </row>
    <row r="901" spans="1:9" ht="15" customHeight="1">
      <c r="A901" s="335">
        <v>40358</v>
      </c>
      <c r="B901" s="336">
        <v>7900</v>
      </c>
      <c r="C901" s="336">
        <v>8200</v>
      </c>
      <c r="D901" s="337">
        <f t="shared" si="18"/>
        <v>8050</v>
      </c>
    </row>
    <row r="902" spans="1:9" ht="15" customHeight="1" thickBot="1">
      <c r="A902" s="340">
        <v>40359</v>
      </c>
      <c r="B902" s="341">
        <v>7900</v>
      </c>
      <c r="C902" s="341">
        <v>8200</v>
      </c>
      <c r="D902" s="342">
        <f t="shared" si="18"/>
        <v>8050</v>
      </c>
      <c r="E902" s="360">
        <f>AVERAGE(D881:D902)</f>
        <v>8370.454545454546</v>
      </c>
      <c r="F902" s="360"/>
      <c r="G902" s="344">
        <f>AVERAGE(D839:D902)</f>
        <v>8593.442622950819</v>
      </c>
      <c r="H902" s="354"/>
      <c r="I902" s="358"/>
    </row>
    <row r="903" spans="1:9" ht="15" customHeight="1">
      <c r="A903" s="335">
        <v>40360</v>
      </c>
      <c r="B903" s="336">
        <v>7800</v>
      </c>
      <c r="C903" s="336">
        <v>8200</v>
      </c>
      <c r="D903" s="337">
        <f t="shared" si="18"/>
        <v>8000</v>
      </c>
    </row>
    <row r="904" spans="1:9" ht="15" customHeight="1">
      <c r="A904" s="335">
        <v>40361</v>
      </c>
      <c r="B904" s="336">
        <v>7800</v>
      </c>
      <c r="C904" s="336">
        <v>8200</v>
      </c>
      <c r="D904" s="337">
        <f t="shared" si="18"/>
        <v>8000</v>
      </c>
    </row>
    <row r="905" spans="1:9" ht="15" customHeight="1">
      <c r="A905" s="335">
        <v>40364</v>
      </c>
      <c r="B905" s="336">
        <v>7800</v>
      </c>
      <c r="C905" s="336">
        <v>8200</v>
      </c>
      <c r="D905" s="337">
        <f t="shared" si="18"/>
        <v>8000</v>
      </c>
    </row>
    <row r="906" spans="1:9" ht="15" customHeight="1">
      <c r="A906" s="335">
        <v>40365</v>
      </c>
      <c r="B906" s="336">
        <v>7800</v>
      </c>
      <c r="C906" s="336">
        <v>8200</v>
      </c>
      <c r="D906" s="337">
        <f t="shared" si="18"/>
        <v>8000</v>
      </c>
    </row>
    <row r="907" spans="1:9" ht="15" customHeight="1">
      <c r="A907" s="335">
        <v>40366</v>
      </c>
      <c r="B907" s="336">
        <v>8000</v>
      </c>
      <c r="C907" s="336">
        <v>8400</v>
      </c>
      <c r="D907" s="337">
        <f t="shared" si="18"/>
        <v>8200</v>
      </c>
    </row>
    <row r="908" spans="1:9" ht="15" customHeight="1">
      <c r="A908" s="335">
        <v>40367</v>
      </c>
      <c r="B908" s="336">
        <v>8000</v>
      </c>
      <c r="C908" s="336">
        <v>8400</v>
      </c>
      <c r="D908" s="337">
        <f t="shared" si="18"/>
        <v>8200</v>
      </c>
    </row>
    <row r="909" spans="1:9" ht="15" customHeight="1">
      <c r="A909" s="335">
        <v>40368</v>
      </c>
      <c r="B909" s="336">
        <v>8000</v>
      </c>
      <c r="C909" s="336">
        <v>8400</v>
      </c>
      <c r="D909" s="337">
        <f t="shared" si="18"/>
        <v>8200</v>
      </c>
    </row>
    <row r="910" spans="1:9" ht="15" customHeight="1">
      <c r="A910" s="335">
        <v>40371</v>
      </c>
      <c r="B910" s="336">
        <v>8000</v>
      </c>
      <c r="C910" s="336">
        <v>8400</v>
      </c>
      <c r="D910" s="337">
        <f t="shared" ref="D910:D923" si="19">AVERAGE(B910:C910)</f>
        <v>8200</v>
      </c>
    </row>
    <row r="911" spans="1:9" ht="15" customHeight="1">
      <c r="A911" s="335">
        <v>40372</v>
      </c>
      <c r="B911" s="336">
        <v>8000</v>
      </c>
      <c r="C911" s="336">
        <v>8400</v>
      </c>
      <c r="D911" s="337">
        <f t="shared" si="19"/>
        <v>8200</v>
      </c>
    </row>
    <row r="912" spans="1:9" ht="15" customHeight="1">
      <c r="A912" s="335">
        <v>40373</v>
      </c>
      <c r="B912" s="336">
        <v>8000</v>
      </c>
      <c r="C912" s="336">
        <v>8400</v>
      </c>
      <c r="D912" s="337">
        <f t="shared" si="19"/>
        <v>8200</v>
      </c>
    </row>
    <row r="913" spans="1:9" ht="15" customHeight="1">
      <c r="A913" s="335">
        <v>40374</v>
      </c>
      <c r="B913" s="336">
        <v>8000</v>
      </c>
      <c r="C913" s="336">
        <v>8400</v>
      </c>
      <c r="D913" s="337">
        <f t="shared" si="19"/>
        <v>8200</v>
      </c>
    </row>
    <row r="914" spans="1:9" ht="15" customHeight="1">
      <c r="A914" s="335">
        <v>40375</v>
      </c>
      <c r="B914" s="336">
        <v>8450</v>
      </c>
      <c r="C914" s="336">
        <v>9000</v>
      </c>
      <c r="D914" s="337">
        <f t="shared" si="19"/>
        <v>8725</v>
      </c>
    </row>
    <row r="915" spans="1:9" ht="15" customHeight="1">
      <c r="A915" s="335">
        <v>40378</v>
      </c>
      <c r="B915" s="336">
        <v>8450</v>
      </c>
      <c r="C915" s="336">
        <v>9000</v>
      </c>
      <c r="D915" s="337">
        <f t="shared" si="19"/>
        <v>8725</v>
      </c>
    </row>
    <row r="916" spans="1:9" ht="15" customHeight="1">
      <c r="A916" s="335">
        <v>40379</v>
      </c>
      <c r="B916" s="336">
        <v>8450</v>
      </c>
      <c r="C916" s="336">
        <v>9000</v>
      </c>
      <c r="D916" s="337">
        <f t="shared" si="19"/>
        <v>8725</v>
      </c>
    </row>
    <row r="917" spans="1:9" ht="15" customHeight="1">
      <c r="A917" s="335">
        <v>40380</v>
      </c>
      <c r="B917" s="336">
        <v>8450</v>
      </c>
      <c r="C917" s="336">
        <v>9000</v>
      </c>
      <c r="D917" s="337">
        <f t="shared" si="19"/>
        <v>8725</v>
      </c>
    </row>
    <row r="918" spans="1:9" ht="15" customHeight="1">
      <c r="A918" s="335">
        <v>40381</v>
      </c>
      <c r="B918" s="336">
        <v>8500</v>
      </c>
      <c r="C918" s="336">
        <v>9500</v>
      </c>
      <c r="D918" s="337">
        <f t="shared" si="19"/>
        <v>9000</v>
      </c>
    </row>
    <row r="919" spans="1:9" ht="15" customHeight="1">
      <c r="A919" s="335">
        <v>40382</v>
      </c>
      <c r="B919" s="336">
        <v>8500</v>
      </c>
      <c r="C919" s="336">
        <v>9500</v>
      </c>
      <c r="D919" s="337">
        <f t="shared" si="19"/>
        <v>9000</v>
      </c>
    </row>
    <row r="920" spans="1:9" ht="15" customHeight="1">
      <c r="A920" s="335">
        <v>40385</v>
      </c>
      <c r="B920" s="336">
        <v>8500</v>
      </c>
      <c r="C920" s="336">
        <v>9500</v>
      </c>
      <c r="D920" s="337">
        <f t="shared" si="19"/>
        <v>9000</v>
      </c>
    </row>
    <row r="921" spans="1:9" ht="15" customHeight="1">
      <c r="A921" s="335">
        <v>40386</v>
      </c>
      <c r="B921" s="336">
        <v>8500</v>
      </c>
      <c r="C921" s="336">
        <v>9500</v>
      </c>
      <c r="D921" s="337">
        <f t="shared" si="19"/>
        <v>9000</v>
      </c>
    </row>
    <row r="922" spans="1:9" ht="15" customHeight="1">
      <c r="A922" s="335">
        <v>40387</v>
      </c>
      <c r="B922" s="336">
        <v>8500</v>
      </c>
      <c r="C922" s="336">
        <v>9500</v>
      </c>
      <c r="D922" s="337">
        <f t="shared" si="19"/>
        <v>9000</v>
      </c>
    </row>
    <row r="923" spans="1:9" ht="15" customHeight="1">
      <c r="A923" s="335">
        <v>40388</v>
      </c>
      <c r="B923" s="336">
        <v>9000</v>
      </c>
      <c r="C923" s="336">
        <v>9500</v>
      </c>
      <c r="D923" s="337">
        <f t="shared" si="19"/>
        <v>9250</v>
      </c>
    </row>
    <row r="924" spans="1:9" ht="15" customHeight="1" thickBot="1">
      <c r="A924" s="340">
        <v>40389</v>
      </c>
      <c r="B924" s="341">
        <v>9000</v>
      </c>
      <c r="C924" s="341">
        <v>9500</v>
      </c>
      <c r="D924" s="342">
        <f t="shared" ref="D924:D930" si="20">AVERAGE(B924:C924)</f>
        <v>9250</v>
      </c>
      <c r="E924" s="360">
        <f>AVERAGE(D903:D924)</f>
        <v>8536.363636363636</v>
      </c>
      <c r="F924" s="360"/>
      <c r="G924" s="344"/>
      <c r="H924" s="354"/>
      <c r="I924" s="358"/>
    </row>
    <row r="925" spans="1:9" ht="15" customHeight="1">
      <c r="A925" s="362">
        <v>40392</v>
      </c>
      <c r="B925" s="363">
        <v>9000</v>
      </c>
      <c r="C925" s="363">
        <v>9500</v>
      </c>
      <c r="D925" s="408">
        <f t="shared" si="20"/>
        <v>9250</v>
      </c>
      <c r="E925" s="364"/>
      <c r="F925" s="347"/>
    </row>
    <row r="926" spans="1:9" ht="15" customHeight="1">
      <c r="A926" s="335">
        <v>40393</v>
      </c>
      <c r="B926" s="345">
        <v>9000</v>
      </c>
      <c r="C926" s="345">
        <v>9500</v>
      </c>
      <c r="D926" s="346">
        <f t="shared" si="20"/>
        <v>9250</v>
      </c>
    </row>
    <row r="927" spans="1:9" ht="15" customHeight="1">
      <c r="A927" s="335">
        <v>40394</v>
      </c>
      <c r="B927" s="345">
        <v>9000</v>
      </c>
      <c r="C927" s="345">
        <v>9500</v>
      </c>
      <c r="D927" s="346">
        <f t="shared" si="20"/>
        <v>9250</v>
      </c>
    </row>
    <row r="928" spans="1:9" ht="15" customHeight="1">
      <c r="A928" s="335">
        <v>40395</v>
      </c>
      <c r="B928" s="345">
        <v>9000</v>
      </c>
      <c r="C928" s="345">
        <v>9500</v>
      </c>
      <c r="D928" s="346">
        <f t="shared" si="20"/>
        <v>9250</v>
      </c>
    </row>
    <row r="929" spans="1:9" ht="15" customHeight="1">
      <c r="A929" s="335">
        <v>40396</v>
      </c>
      <c r="B929" s="336">
        <v>9150</v>
      </c>
      <c r="C929" s="336">
        <v>9500</v>
      </c>
      <c r="D929" s="337">
        <f t="shared" si="20"/>
        <v>9325</v>
      </c>
    </row>
    <row r="930" spans="1:9" ht="15" customHeight="1">
      <c r="A930" s="335">
        <v>40399</v>
      </c>
      <c r="B930" s="336">
        <v>9150</v>
      </c>
      <c r="C930" s="336">
        <v>9500</v>
      </c>
      <c r="D930" s="337">
        <f t="shared" si="20"/>
        <v>9325</v>
      </c>
    </row>
    <row r="931" spans="1:9" ht="15" customHeight="1">
      <c r="A931" s="335">
        <v>40400</v>
      </c>
      <c r="B931" s="336">
        <v>9150</v>
      </c>
      <c r="C931" s="336">
        <v>9500</v>
      </c>
      <c r="D931" s="337">
        <f t="shared" ref="D931:D936" si="21">AVERAGE(B931:C931)</f>
        <v>9325</v>
      </c>
    </row>
    <row r="932" spans="1:9" ht="15" customHeight="1">
      <c r="A932" s="335">
        <v>40401</v>
      </c>
      <c r="B932" s="336">
        <v>9150</v>
      </c>
      <c r="C932" s="336">
        <v>9500</v>
      </c>
      <c r="D932" s="337">
        <f t="shared" si="21"/>
        <v>9325</v>
      </c>
    </row>
    <row r="933" spans="1:9" ht="15" customHeight="1">
      <c r="A933" s="335">
        <v>40402</v>
      </c>
      <c r="B933" s="336">
        <v>9150</v>
      </c>
      <c r="C933" s="336">
        <v>9500</v>
      </c>
      <c r="D933" s="337">
        <f t="shared" si="21"/>
        <v>9325</v>
      </c>
    </row>
    <row r="934" spans="1:9" ht="15" customHeight="1">
      <c r="A934" s="335">
        <v>40403</v>
      </c>
      <c r="B934" s="336">
        <v>9150</v>
      </c>
      <c r="C934" s="336">
        <v>9500</v>
      </c>
      <c r="D934" s="337">
        <f t="shared" si="21"/>
        <v>9325</v>
      </c>
    </row>
    <row r="935" spans="1:9" ht="15" customHeight="1">
      <c r="A935" s="335">
        <v>40406</v>
      </c>
      <c r="B935" s="336">
        <v>9150</v>
      </c>
      <c r="C935" s="336">
        <v>9500</v>
      </c>
      <c r="D935" s="337">
        <f t="shared" si="21"/>
        <v>9325</v>
      </c>
    </row>
    <row r="936" spans="1:9" ht="15" customHeight="1">
      <c r="A936" s="335">
        <v>40407</v>
      </c>
      <c r="B936" s="336">
        <v>9150</v>
      </c>
      <c r="C936" s="336">
        <v>9500</v>
      </c>
      <c r="D936" s="337">
        <f t="shared" si="21"/>
        <v>9325</v>
      </c>
    </row>
    <row r="937" spans="1:9" ht="15" customHeight="1">
      <c r="A937" s="335">
        <v>40408</v>
      </c>
      <c r="B937" s="336">
        <v>9150</v>
      </c>
      <c r="C937" s="336">
        <v>9500</v>
      </c>
      <c r="D937" s="337">
        <f t="shared" ref="D937:D944" si="22">AVERAGE(B937:C937)</f>
        <v>9325</v>
      </c>
    </row>
    <row r="938" spans="1:9" ht="15" customHeight="1">
      <c r="A938" s="335">
        <v>40409</v>
      </c>
      <c r="B938" s="336">
        <v>9100</v>
      </c>
      <c r="C938" s="336">
        <v>9600</v>
      </c>
      <c r="D938" s="337">
        <f t="shared" si="22"/>
        <v>9350</v>
      </c>
    </row>
    <row r="939" spans="1:9" ht="15" customHeight="1">
      <c r="A939" s="335">
        <v>40410</v>
      </c>
      <c r="B939" s="336">
        <v>9100</v>
      </c>
      <c r="C939" s="336">
        <v>9600</v>
      </c>
      <c r="D939" s="337">
        <f t="shared" si="22"/>
        <v>9350</v>
      </c>
    </row>
    <row r="940" spans="1:9" ht="15" customHeight="1">
      <c r="A940" s="335">
        <v>40413</v>
      </c>
      <c r="B940" s="336">
        <v>9100</v>
      </c>
      <c r="C940" s="336">
        <v>9600</v>
      </c>
      <c r="D940" s="337">
        <f t="shared" si="22"/>
        <v>9350</v>
      </c>
    </row>
    <row r="941" spans="1:9" ht="15" customHeight="1">
      <c r="A941" s="335">
        <v>40414</v>
      </c>
      <c r="B941" s="336">
        <v>9100</v>
      </c>
      <c r="C941" s="336">
        <v>9600</v>
      </c>
      <c r="D941" s="337">
        <f t="shared" si="22"/>
        <v>9350</v>
      </c>
    </row>
    <row r="942" spans="1:9" ht="15" customHeight="1">
      <c r="A942" s="335">
        <v>40415</v>
      </c>
      <c r="B942" s="336">
        <v>9100</v>
      </c>
      <c r="C942" s="336">
        <v>9600</v>
      </c>
      <c r="D942" s="337">
        <f t="shared" si="22"/>
        <v>9350</v>
      </c>
    </row>
    <row r="943" spans="1:9" ht="15" customHeight="1">
      <c r="A943" s="335">
        <v>40416</v>
      </c>
      <c r="B943" s="336">
        <v>9100</v>
      </c>
      <c r="C943" s="336">
        <v>9600</v>
      </c>
      <c r="D943" s="337">
        <f t="shared" si="22"/>
        <v>9350</v>
      </c>
    </row>
    <row r="944" spans="1:9" ht="15" customHeight="1">
      <c r="A944" s="335">
        <v>40417</v>
      </c>
      <c r="B944" s="345">
        <v>9100</v>
      </c>
      <c r="C944" s="345">
        <v>9600</v>
      </c>
      <c r="D944" s="346">
        <f t="shared" si="22"/>
        <v>9350</v>
      </c>
      <c r="E944" s="347"/>
      <c r="F944" s="347"/>
      <c r="G944" s="365"/>
      <c r="I944" s="366"/>
    </row>
    <row r="945" spans="1:9" ht="15" customHeight="1">
      <c r="A945" s="335">
        <v>40420</v>
      </c>
      <c r="B945" s="1417" t="s">
        <v>84</v>
      </c>
      <c r="C945" s="1417"/>
      <c r="D945" s="1417"/>
      <c r="E945" s="1417"/>
      <c r="F945" s="1417"/>
      <c r="G945" s="1417"/>
      <c r="H945" s="1417"/>
      <c r="I945" s="1417"/>
    </row>
    <row r="946" spans="1:9" ht="15" customHeight="1" thickBot="1">
      <c r="A946" s="340">
        <v>40421</v>
      </c>
      <c r="B946" s="341">
        <v>9100</v>
      </c>
      <c r="C946" s="341">
        <v>9600</v>
      </c>
      <c r="D946" s="342">
        <f t="shared" ref="D946:D977" si="23">AVERAGE(B946:C946)</f>
        <v>9350</v>
      </c>
      <c r="E946" s="360">
        <f>AVERAGE(D925:D946)</f>
        <v>9320.2380952380954</v>
      </c>
      <c r="F946" s="360"/>
      <c r="G946" s="344"/>
      <c r="H946" s="354"/>
      <c r="I946" s="358"/>
    </row>
    <row r="947" spans="1:9" ht="15" customHeight="1">
      <c r="A947" s="335">
        <v>40422</v>
      </c>
      <c r="B947" s="336">
        <v>9100</v>
      </c>
      <c r="C947" s="336">
        <v>9600</v>
      </c>
      <c r="D947" s="337">
        <f t="shared" si="23"/>
        <v>9350</v>
      </c>
    </row>
    <row r="948" spans="1:9" ht="15" customHeight="1">
      <c r="A948" s="335">
        <v>40423</v>
      </c>
      <c r="B948" s="336">
        <v>9600</v>
      </c>
      <c r="C948" s="336">
        <v>10500</v>
      </c>
      <c r="D948" s="337">
        <f t="shared" si="23"/>
        <v>10050</v>
      </c>
    </row>
    <row r="949" spans="1:9" ht="15" customHeight="1">
      <c r="A949" s="335">
        <v>40424</v>
      </c>
      <c r="B949" s="336">
        <v>9600</v>
      </c>
      <c r="C949" s="336">
        <v>10500</v>
      </c>
      <c r="D949" s="337">
        <f t="shared" si="23"/>
        <v>10050</v>
      </c>
    </row>
    <row r="950" spans="1:9" ht="15" customHeight="1">
      <c r="A950" s="335">
        <v>40427</v>
      </c>
      <c r="B950" s="336">
        <v>9600</v>
      </c>
      <c r="C950" s="336">
        <v>10500</v>
      </c>
      <c r="D950" s="337">
        <f t="shared" si="23"/>
        <v>10050</v>
      </c>
    </row>
    <row r="951" spans="1:9" ht="15" customHeight="1">
      <c r="A951" s="335">
        <v>40428</v>
      </c>
      <c r="B951" s="336">
        <v>9600</v>
      </c>
      <c r="C951" s="336">
        <v>10500</v>
      </c>
      <c r="D951" s="337">
        <f t="shared" si="23"/>
        <v>10050</v>
      </c>
    </row>
    <row r="952" spans="1:9" ht="15" customHeight="1">
      <c r="A952" s="335">
        <v>40429</v>
      </c>
      <c r="B952" s="336">
        <v>10100</v>
      </c>
      <c r="C952" s="336">
        <v>10600</v>
      </c>
      <c r="D952" s="337">
        <f t="shared" si="23"/>
        <v>10350</v>
      </c>
    </row>
    <row r="953" spans="1:9" ht="15" customHeight="1">
      <c r="A953" s="335">
        <v>40430</v>
      </c>
      <c r="B953" s="336">
        <v>10100</v>
      </c>
      <c r="C953" s="336">
        <v>10600</v>
      </c>
      <c r="D953" s="337">
        <f t="shared" si="23"/>
        <v>10350</v>
      </c>
    </row>
    <row r="954" spans="1:9" ht="15" customHeight="1">
      <c r="A954" s="335">
        <v>40431</v>
      </c>
      <c r="B954" s="336">
        <v>10100</v>
      </c>
      <c r="C954" s="336">
        <v>10600</v>
      </c>
      <c r="D954" s="337">
        <f t="shared" si="23"/>
        <v>10350</v>
      </c>
    </row>
    <row r="955" spans="1:9" ht="15" customHeight="1">
      <c r="A955" s="335">
        <v>40434</v>
      </c>
      <c r="B955" s="336">
        <v>10100</v>
      </c>
      <c r="C955" s="336">
        <v>10600</v>
      </c>
      <c r="D955" s="337">
        <f t="shared" si="23"/>
        <v>10350</v>
      </c>
    </row>
    <row r="956" spans="1:9" ht="15" customHeight="1">
      <c r="A956" s="335">
        <v>40435</v>
      </c>
      <c r="B956" s="336">
        <v>10100</v>
      </c>
      <c r="C956" s="336">
        <v>10600</v>
      </c>
      <c r="D956" s="337">
        <f t="shared" si="23"/>
        <v>10350</v>
      </c>
    </row>
    <row r="957" spans="1:9" ht="15" customHeight="1">
      <c r="A957" s="335">
        <v>40436</v>
      </c>
      <c r="B957" s="336">
        <v>10100</v>
      </c>
      <c r="C957" s="336">
        <v>10600</v>
      </c>
      <c r="D957" s="337">
        <f t="shared" si="23"/>
        <v>10350</v>
      </c>
    </row>
    <row r="958" spans="1:9" ht="15" customHeight="1">
      <c r="A958" s="335">
        <v>40437</v>
      </c>
      <c r="B958" s="336">
        <v>10200</v>
      </c>
      <c r="C958" s="336">
        <v>10500</v>
      </c>
      <c r="D958" s="337">
        <f t="shared" si="23"/>
        <v>10350</v>
      </c>
    </row>
    <row r="959" spans="1:9" ht="15" customHeight="1">
      <c r="A959" s="335">
        <v>40438</v>
      </c>
      <c r="B959" s="336">
        <v>10200</v>
      </c>
      <c r="C959" s="336">
        <v>10500</v>
      </c>
      <c r="D959" s="337">
        <f t="shared" si="23"/>
        <v>10350</v>
      </c>
    </row>
    <row r="960" spans="1:9" ht="15" customHeight="1">
      <c r="A960" s="335">
        <v>40441</v>
      </c>
      <c r="B960" s="336">
        <v>10200</v>
      </c>
      <c r="C960" s="336">
        <v>10500</v>
      </c>
      <c r="D960" s="337">
        <f t="shared" si="23"/>
        <v>10350</v>
      </c>
    </row>
    <row r="961" spans="1:9" ht="15" customHeight="1">
      <c r="A961" s="335">
        <v>40442</v>
      </c>
      <c r="B961" s="336">
        <v>10200</v>
      </c>
      <c r="C961" s="336">
        <v>10500</v>
      </c>
      <c r="D961" s="337">
        <f t="shared" si="23"/>
        <v>10350</v>
      </c>
    </row>
    <row r="962" spans="1:9" ht="15" customHeight="1">
      <c r="A962" s="335">
        <v>40443</v>
      </c>
      <c r="B962" s="336">
        <v>10200</v>
      </c>
      <c r="C962" s="336">
        <v>10500</v>
      </c>
      <c r="D962" s="337">
        <f t="shared" si="23"/>
        <v>10350</v>
      </c>
    </row>
    <row r="963" spans="1:9" ht="15" customHeight="1">
      <c r="A963" s="335">
        <v>40444</v>
      </c>
      <c r="B963" s="336">
        <v>10200</v>
      </c>
      <c r="C963" s="336">
        <v>10500</v>
      </c>
      <c r="D963" s="337">
        <f t="shared" si="23"/>
        <v>10350</v>
      </c>
    </row>
    <row r="964" spans="1:9" ht="15" customHeight="1">
      <c r="A964" s="335">
        <v>40445</v>
      </c>
      <c r="B964" s="336">
        <v>10000</v>
      </c>
      <c r="C964" s="336">
        <v>10350</v>
      </c>
      <c r="D964" s="337">
        <f t="shared" si="23"/>
        <v>10175</v>
      </c>
    </row>
    <row r="965" spans="1:9" ht="15" customHeight="1">
      <c r="A965" s="335">
        <v>40448</v>
      </c>
      <c r="B965" s="336">
        <v>10000</v>
      </c>
      <c r="C965" s="336">
        <v>10350</v>
      </c>
      <c r="D965" s="337">
        <f t="shared" si="23"/>
        <v>10175</v>
      </c>
    </row>
    <row r="966" spans="1:9" ht="15" customHeight="1">
      <c r="A966" s="335">
        <v>40449</v>
      </c>
      <c r="B966" s="336">
        <v>10000</v>
      </c>
      <c r="C966" s="336">
        <v>10350</v>
      </c>
      <c r="D966" s="337">
        <f t="shared" si="23"/>
        <v>10175</v>
      </c>
    </row>
    <row r="967" spans="1:9" ht="15" customHeight="1">
      <c r="A967" s="335">
        <v>40450</v>
      </c>
      <c r="B967" s="336">
        <v>10000</v>
      </c>
      <c r="C967" s="336">
        <v>10350</v>
      </c>
      <c r="D967" s="337">
        <f t="shared" si="23"/>
        <v>10175</v>
      </c>
    </row>
    <row r="968" spans="1:9" ht="15" customHeight="1" thickBot="1">
      <c r="A968" s="340">
        <v>40451</v>
      </c>
      <c r="B968" s="341">
        <v>9900</v>
      </c>
      <c r="C968" s="341">
        <v>10200</v>
      </c>
      <c r="D968" s="342">
        <f t="shared" si="23"/>
        <v>10050</v>
      </c>
      <c r="E968" s="360">
        <f>AVERAGE(D947:D968)</f>
        <v>10204.545454545454</v>
      </c>
      <c r="F968" s="360"/>
      <c r="G968" s="344">
        <f>AVERAGE(D903:D968)</f>
        <v>9354.2307692307695</v>
      </c>
      <c r="H968" s="354"/>
      <c r="I968" s="358"/>
    </row>
    <row r="969" spans="1:9" ht="15" customHeight="1">
      <c r="A969" s="335">
        <v>40452</v>
      </c>
      <c r="B969" s="336">
        <v>9900</v>
      </c>
      <c r="C969" s="336">
        <v>10200</v>
      </c>
      <c r="D969" s="337">
        <f t="shared" si="23"/>
        <v>10050</v>
      </c>
    </row>
    <row r="970" spans="1:9" ht="15" customHeight="1">
      <c r="A970" s="335">
        <v>40455</v>
      </c>
      <c r="B970" s="336">
        <v>9900</v>
      </c>
      <c r="C970" s="336">
        <v>10200</v>
      </c>
      <c r="D970" s="337">
        <f t="shared" si="23"/>
        <v>10050</v>
      </c>
    </row>
    <row r="971" spans="1:9" ht="15" customHeight="1">
      <c r="A971" s="335">
        <v>40456</v>
      </c>
      <c r="B971" s="336">
        <v>9900</v>
      </c>
      <c r="C971" s="336">
        <v>10200</v>
      </c>
      <c r="D971" s="337">
        <f t="shared" si="23"/>
        <v>10050</v>
      </c>
    </row>
    <row r="972" spans="1:9" ht="15" customHeight="1">
      <c r="A972" s="335">
        <v>40457</v>
      </c>
      <c r="B972" s="336">
        <v>9900</v>
      </c>
      <c r="C972" s="336">
        <v>10200</v>
      </c>
      <c r="D972" s="337">
        <f t="shared" si="23"/>
        <v>10050</v>
      </c>
    </row>
    <row r="973" spans="1:9" ht="15" customHeight="1">
      <c r="A973" s="335">
        <v>40458</v>
      </c>
      <c r="B973" s="336">
        <v>9900</v>
      </c>
      <c r="C973" s="336">
        <v>10300</v>
      </c>
      <c r="D973" s="337">
        <f t="shared" si="23"/>
        <v>10100</v>
      </c>
    </row>
    <row r="974" spans="1:9" ht="15" customHeight="1">
      <c r="A974" s="335">
        <v>40459</v>
      </c>
      <c r="B974" s="336">
        <v>9900</v>
      </c>
      <c r="C974" s="336">
        <v>10300</v>
      </c>
      <c r="D974" s="337">
        <f t="shared" si="23"/>
        <v>10100</v>
      </c>
    </row>
    <row r="975" spans="1:9" ht="15" customHeight="1">
      <c r="A975" s="335">
        <v>40462</v>
      </c>
      <c r="B975" s="336">
        <v>9900</v>
      </c>
      <c r="C975" s="336">
        <v>10300</v>
      </c>
      <c r="D975" s="337">
        <f t="shared" si="23"/>
        <v>10100</v>
      </c>
    </row>
    <row r="976" spans="1:9" ht="15" customHeight="1">
      <c r="A976" s="335">
        <v>40463</v>
      </c>
      <c r="B976" s="336">
        <v>9900</v>
      </c>
      <c r="C976" s="336">
        <v>10300</v>
      </c>
      <c r="D976" s="337">
        <f t="shared" si="23"/>
        <v>10100</v>
      </c>
    </row>
    <row r="977" spans="1:9" ht="15" customHeight="1">
      <c r="A977" s="335">
        <v>40464</v>
      </c>
      <c r="B977" s="336">
        <v>9900</v>
      </c>
      <c r="C977" s="336">
        <v>10300</v>
      </c>
      <c r="D977" s="337">
        <f t="shared" si="23"/>
        <v>10100</v>
      </c>
    </row>
    <row r="978" spans="1:9" ht="15" customHeight="1">
      <c r="A978" s="335">
        <v>40465</v>
      </c>
      <c r="B978" s="336">
        <v>9900</v>
      </c>
      <c r="C978" s="336">
        <v>10300</v>
      </c>
      <c r="D978" s="337">
        <f t="shared" ref="D978:D1009" si="24">AVERAGE(B978:C978)</f>
        <v>10100</v>
      </c>
    </row>
    <row r="979" spans="1:9" ht="15" customHeight="1">
      <c r="A979" s="335">
        <v>40466</v>
      </c>
      <c r="B979" s="336">
        <v>10000</v>
      </c>
      <c r="C979" s="336">
        <v>10400</v>
      </c>
      <c r="D979" s="337">
        <f t="shared" si="24"/>
        <v>10200</v>
      </c>
    </row>
    <row r="980" spans="1:9" ht="15" customHeight="1">
      <c r="A980" s="335">
        <v>40469</v>
      </c>
      <c r="B980" s="336">
        <v>10000</v>
      </c>
      <c r="C980" s="336">
        <v>10400</v>
      </c>
      <c r="D980" s="337">
        <f t="shared" si="24"/>
        <v>10200</v>
      </c>
    </row>
    <row r="981" spans="1:9" ht="15" customHeight="1">
      <c r="A981" s="335">
        <v>40470</v>
      </c>
      <c r="B981" s="336">
        <v>10000</v>
      </c>
      <c r="C981" s="336">
        <v>10400</v>
      </c>
      <c r="D981" s="337">
        <f t="shared" si="24"/>
        <v>10200</v>
      </c>
    </row>
    <row r="982" spans="1:9" ht="15" customHeight="1">
      <c r="A982" s="335">
        <v>40471</v>
      </c>
      <c r="B982" s="336">
        <v>10000</v>
      </c>
      <c r="C982" s="336">
        <v>10400</v>
      </c>
      <c r="D982" s="337">
        <f t="shared" si="24"/>
        <v>10200</v>
      </c>
    </row>
    <row r="983" spans="1:9" ht="15" customHeight="1">
      <c r="A983" s="335">
        <v>40472</v>
      </c>
      <c r="B983" s="336">
        <v>10200</v>
      </c>
      <c r="C983" s="336">
        <v>10600</v>
      </c>
      <c r="D983" s="337">
        <f t="shared" si="24"/>
        <v>10400</v>
      </c>
    </row>
    <row r="984" spans="1:9" ht="15" customHeight="1">
      <c r="A984" s="335">
        <v>40473</v>
      </c>
      <c r="B984" s="336">
        <v>10200</v>
      </c>
      <c r="C984" s="336">
        <v>10600</v>
      </c>
      <c r="D984" s="337">
        <f t="shared" si="24"/>
        <v>10400</v>
      </c>
    </row>
    <row r="985" spans="1:9" ht="15" customHeight="1">
      <c r="A985" s="335">
        <v>40476</v>
      </c>
      <c r="B985" s="336">
        <v>10200</v>
      </c>
      <c r="C985" s="336">
        <v>10600</v>
      </c>
      <c r="D985" s="337">
        <f t="shared" si="24"/>
        <v>10400</v>
      </c>
    </row>
    <row r="986" spans="1:9" ht="15" customHeight="1">
      <c r="A986" s="335">
        <v>40477</v>
      </c>
      <c r="B986" s="336">
        <v>10200</v>
      </c>
      <c r="C986" s="336">
        <v>10600</v>
      </c>
      <c r="D986" s="337">
        <f t="shared" si="24"/>
        <v>10400</v>
      </c>
    </row>
    <row r="987" spans="1:9" ht="15" customHeight="1">
      <c r="A987" s="335">
        <v>40478</v>
      </c>
      <c r="B987" s="336">
        <v>10200</v>
      </c>
      <c r="C987" s="336">
        <v>10600</v>
      </c>
      <c r="D987" s="337">
        <f t="shared" si="24"/>
        <v>10400</v>
      </c>
    </row>
    <row r="988" spans="1:9" ht="15" customHeight="1">
      <c r="A988" s="335">
        <v>40479</v>
      </c>
      <c r="B988" s="336">
        <v>10500</v>
      </c>
      <c r="C988" s="336">
        <v>11000</v>
      </c>
      <c r="D988" s="337">
        <f t="shared" si="24"/>
        <v>10750</v>
      </c>
    </row>
    <row r="989" spans="1:9" ht="15" customHeight="1" thickBot="1">
      <c r="A989" s="340">
        <v>40480</v>
      </c>
      <c r="B989" s="341">
        <v>10500</v>
      </c>
      <c r="C989" s="341">
        <v>11000</v>
      </c>
      <c r="D989" s="342">
        <f t="shared" si="24"/>
        <v>10750</v>
      </c>
      <c r="E989" s="360">
        <f>AVERAGE(D969:D989)</f>
        <v>10242.857142857143</v>
      </c>
      <c r="F989" s="360"/>
      <c r="G989" s="344"/>
      <c r="H989" s="354"/>
      <c r="I989" s="358"/>
    </row>
    <row r="990" spans="1:9" ht="15" customHeight="1">
      <c r="A990" s="335">
        <v>40483</v>
      </c>
      <c r="B990" s="336">
        <v>10500</v>
      </c>
      <c r="C990" s="336">
        <v>11000</v>
      </c>
      <c r="D990" s="337">
        <f t="shared" si="24"/>
        <v>10750</v>
      </c>
    </row>
    <row r="991" spans="1:9" ht="15" customHeight="1">
      <c r="A991" s="335">
        <v>40484</v>
      </c>
      <c r="B991" s="336">
        <v>10500</v>
      </c>
      <c r="C991" s="336">
        <v>11000</v>
      </c>
      <c r="D991" s="337">
        <f t="shared" si="24"/>
        <v>10750</v>
      </c>
    </row>
    <row r="992" spans="1:9" ht="15" customHeight="1">
      <c r="A992" s="335">
        <v>40485</v>
      </c>
      <c r="B992" s="336">
        <v>10500</v>
      </c>
      <c r="C992" s="336">
        <v>11000</v>
      </c>
      <c r="D992" s="337">
        <f t="shared" si="24"/>
        <v>10750</v>
      </c>
    </row>
    <row r="993" spans="1:4" ht="15" customHeight="1">
      <c r="A993" s="335">
        <v>40486</v>
      </c>
      <c r="B993" s="336">
        <v>10800</v>
      </c>
      <c r="C993" s="336">
        <v>11400</v>
      </c>
      <c r="D993" s="337">
        <f t="shared" si="24"/>
        <v>11100</v>
      </c>
    </row>
    <row r="994" spans="1:4" ht="15" customHeight="1">
      <c r="A994" s="335">
        <v>40487</v>
      </c>
      <c r="B994" s="336">
        <v>10800</v>
      </c>
      <c r="C994" s="336">
        <v>11400</v>
      </c>
      <c r="D994" s="337">
        <f t="shared" si="24"/>
        <v>11100</v>
      </c>
    </row>
    <row r="995" spans="1:4" ht="15" customHeight="1">
      <c r="A995" s="335">
        <v>40490</v>
      </c>
      <c r="B995" s="336">
        <v>10800</v>
      </c>
      <c r="C995" s="336">
        <v>11400</v>
      </c>
      <c r="D995" s="337">
        <f t="shared" si="24"/>
        <v>11100</v>
      </c>
    </row>
    <row r="996" spans="1:4" ht="15" customHeight="1">
      <c r="A996" s="335">
        <v>40491</v>
      </c>
      <c r="B996" s="336">
        <v>10800</v>
      </c>
      <c r="C996" s="336">
        <v>11400</v>
      </c>
      <c r="D996" s="337">
        <f t="shared" si="24"/>
        <v>11100</v>
      </c>
    </row>
    <row r="997" spans="1:4" ht="15" customHeight="1">
      <c r="A997" s="335">
        <v>40492</v>
      </c>
      <c r="B997" s="336">
        <v>10800</v>
      </c>
      <c r="C997" s="336">
        <v>11400</v>
      </c>
      <c r="D997" s="337">
        <f t="shared" si="24"/>
        <v>11100</v>
      </c>
    </row>
    <row r="998" spans="1:4" ht="15" customHeight="1">
      <c r="A998" s="335">
        <v>40493</v>
      </c>
      <c r="B998" s="336">
        <v>10800</v>
      </c>
      <c r="C998" s="336">
        <v>11400</v>
      </c>
      <c r="D998" s="337">
        <f t="shared" si="24"/>
        <v>11100</v>
      </c>
    </row>
    <row r="999" spans="1:4" ht="15" customHeight="1">
      <c r="A999" s="335">
        <v>40494</v>
      </c>
      <c r="B999" s="336">
        <v>11000</v>
      </c>
      <c r="C999" s="336">
        <v>11600</v>
      </c>
      <c r="D999" s="337">
        <f t="shared" si="24"/>
        <v>11300</v>
      </c>
    </row>
    <row r="1000" spans="1:4" ht="15" customHeight="1">
      <c r="A1000" s="335">
        <v>40497</v>
      </c>
      <c r="B1000" s="336">
        <v>11000</v>
      </c>
      <c r="C1000" s="336">
        <v>11600</v>
      </c>
      <c r="D1000" s="337">
        <f t="shared" si="24"/>
        <v>11300</v>
      </c>
    </row>
    <row r="1001" spans="1:4" ht="15" customHeight="1">
      <c r="A1001" s="335">
        <v>40498</v>
      </c>
      <c r="B1001" s="336">
        <v>11000</v>
      </c>
      <c r="C1001" s="336">
        <v>11600</v>
      </c>
      <c r="D1001" s="337">
        <f t="shared" si="24"/>
        <v>11300</v>
      </c>
    </row>
    <row r="1002" spans="1:4" ht="15" customHeight="1">
      <c r="A1002" s="335">
        <v>40499</v>
      </c>
      <c r="B1002" s="336">
        <v>11000</v>
      </c>
      <c r="C1002" s="336">
        <v>11600</v>
      </c>
      <c r="D1002" s="337">
        <f t="shared" si="24"/>
        <v>11300</v>
      </c>
    </row>
    <row r="1003" spans="1:4" ht="15" customHeight="1">
      <c r="A1003" s="335">
        <v>40500</v>
      </c>
      <c r="B1003" s="336">
        <v>11000</v>
      </c>
      <c r="C1003" s="336">
        <v>11600</v>
      </c>
      <c r="D1003" s="337">
        <f t="shared" si="24"/>
        <v>11300</v>
      </c>
    </row>
    <row r="1004" spans="1:4" ht="15" customHeight="1">
      <c r="A1004" s="335">
        <v>40501</v>
      </c>
      <c r="B1004" s="336">
        <v>11500</v>
      </c>
      <c r="C1004" s="336">
        <v>12200</v>
      </c>
      <c r="D1004" s="337">
        <f t="shared" si="24"/>
        <v>11850</v>
      </c>
    </row>
    <row r="1005" spans="1:4" ht="15" customHeight="1">
      <c r="A1005" s="335">
        <v>40504</v>
      </c>
      <c r="B1005" s="336">
        <v>11500</v>
      </c>
      <c r="C1005" s="336">
        <v>12200</v>
      </c>
      <c r="D1005" s="337">
        <f t="shared" si="24"/>
        <v>11850</v>
      </c>
    </row>
    <row r="1006" spans="1:4" ht="15" customHeight="1">
      <c r="A1006" s="335">
        <v>40505</v>
      </c>
      <c r="B1006" s="336">
        <v>11500</v>
      </c>
      <c r="C1006" s="336">
        <v>12200</v>
      </c>
      <c r="D1006" s="337">
        <f t="shared" si="24"/>
        <v>11850</v>
      </c>
    </row>
    <row r="1007" spans="1:4" ht="15" customHeight="1">
      <c r="A1007" s="335">
        <v>40506</v>
      </c>
      <c r="B1007" s="336">
        <v>11500</v>
      </c>
      <c r="C1007" s="336">
        <v>12200</v>
      </c>
      <c r="D1007" s="337">
        <f t="shared" si="24"/>
        <v>11850</v>
      </c>
    </row>
    <row r="1008" spans="1:4" ht="15" customHeight="1">
      <c r="A1008" s="335">
        <v>40507</v>
      </c>
      <c r="B1008" s="336">
        <v>11500</v>
      </c>
      <c r="C1008" s="336">
        <v>12200</v>
      </c>
      <c r="D1008" s="337">
        <f t="shared" si="24"/>
        <v>11850</v>
      </c>
    </row>
    <row r="1009" spans="1:9" ht="15" customHeight="1">
      <c r="A1009" s="335">
        <v>40508</v>
      </c>
      <c r="B1009" s="336">
        <v>11800</v>
      </c>
      <c r="C1009" s="336">
        <v>12200</v>
      </c>
      <c r="D1009" s="337">
        <f t="shared" si="24"/>
        <v>12000</v>
      </c>
    </row>
    <row r="1010" spans="1:9" ht="15" customHeight="1">
      <c r="A1010" s="335">
        <v>40511</v>
      </c>
      <c r="B1010" s="336">
        <v>11800</v>
      </c>
      <c r="C1010" s="336">
        <v>12200</v>
      </c>
      <c r="D1010" s="337">
        <f t="shared" ref="D1010:D1029" si="25">AVERAGE(B1010:C1010)</f>
        <v>12000</v>
      </c>
    </row>
    <row r="1011" spans="1:9" ht="15" customHeight="1" thickBot="1">
      <c r="A1011" s="340">
        <v>40512</v>
      </c>
      <c r="B1011" s="341">
        <v>11800</v>
      </c>
      <c r="C1011" s="341">
        <v>12200</v>
      </c>
      <c r="D1011" s="342">
        <f t="shared" si="25"/>
        <v>12000</v>
      </c>
      <c r="E1011" s="360">
        <f>AVERAGE(D990:D1011)</f>
        <v>11390.90909090909</v>
      </c>
      <c r="F1011" s="360"/>
      <c r="G1011" s="344"/>
      <c r="H1011" s="354"/>
      <c r="I1011" s="358"/>
    </row>
    <row r="1012" spans="1:9" ht="15" customHeight="1">
      <c r="A1012" s="335">
        <v>40513</v>
      </c>
      <c r="B1012" s="336">
        <v>11800</v>
      </c>
      <c r="C1012" s="336">
        <v>12200</v>
      </c>
      <c r="D1012" s="337">
        <f t="shared" si="25"/>
        <v>12000</v>
      </c>
    </row>
    <row r="1013" spans="1:9" ht="15" customHeight="1">
      <c r="A1013" s="335">
        <v>40514</v>
      </c>
      <c r="B1013" s="336">
        <v>11800</v>
      </c>
      <c r="C1013" s="336">
        <v>12200</v>
      </c>
      <c r="D1013" s="337">
        <f t="shared" si="25"/>
        <v>12000</v>
      </c>
    </row>
    <row r="1014" spans="1:9" ht="15" customHeight="1">
      <c r="A1014" s="335">
        <v>40515</v>
      </c>
      <c r="B1014" s="336">
        <v>11800</v>
      </c>
      <c r="C1014" s="336">
        <v>12200</v>
      </c>
      <c r="D1014" s="337">
        <f t="shared" si="25"/>
        <v>12000</v>
      </c>
    </row>
    <row r="1015" spans="1:9" ht="15" customHeight="1">
      <c r="A1015" s="335">
        <v>40518</v>
      </c>
      <c r="B1015" s="336">
        <v>11800</v>
      </c>
      <c r="C1015" s="336">
        <v>12200</v>
      </c>
      <c r="D1015" s="337">
        <f t="shared" si="25"/>
        <v>12000</v>
      </c>
    </row>
    <row r="1016" spans="1:9" ht="15" customHeight="1">
      <c r="A1016" s="335">
        <v>40519</v>
      </c>
      <c r="B1016" s="336">
        <v>11800</v>
      </c>
      <c r="C1016" s="336">
        <v>12200</v>
      </c>
      <c r="D1016" s="337">
        <f t="shared" si="25"/>
        <v>12000</v>
      </c>
    </row>
    <row r="1017" spans="1:9" ht="15" customHeight="1">
      <c r="A1017" s="335">
        <v>40520</v>
      </c>
      <c r="B1017" s="336">
        <v>11800</v>
      </c>
      <c r="C1017" s="336">
        <v>12200</v>
      </c>
      <c r="D1017" s="337">
        <f t="shared" si="25"/>
        <v>12000</v>
      </c>
    </row>
    <row r="1018" spans="1:9" ht="15" customHeight="1">
      <c r="A1018" s="335">
        <v>40521</v>
      </c>
      <c r="B1018" s="336">
        <v>11800</v>
      </c>
      <c r="C1018" s="336">
        <v>12200</v>
      </c>
      <c r="D1018" s="337">
        <f t="shared" si="25"/>
        <v>12000</v>
      </c>
    </row>
    <row r="1019" spans="1:9" ht="15" customHeight="1">
      <c r="A1019" s="335">
        <v>40522</v>
      </c>
      <c r="B1019" s="336">
        <v>12000</v>
      </c>
      <c r="C1019" s="336">
        <v>12200</v>
      </c>
      <c r="D1019" s="337">
        <f t="shared" si="25"/>
        <v>12100</v>
      </c>
    </row>
    <row r="1020" spans="1:9" ht="15" customHeight="1">
      <c r="A1020" s="335">
        <v>40525</v>
      </c>
      <c r="B1020" s="336">
        <v>12000</v>
      </c>
      <c r="C1020" s="336">
        <v>12200</v>
      </c>
      <c r="D1020" s="337">
        <f t="shared" si="25"/>
        <v>12100</v>
      </c>
    </row>
    <row r="1021" spans="1:9" ht="15" customHeight="1">
      <c r="A1021" s="335">
        <v>40526</v>
      </c>
      <c r="B1021" s="336">
        <v>12000</v>
      </c>
      <c r="C1021" s="336">
        <v>12200</v>
      </c>
      <c r="D1021" s="337">
        <f t="shared" si="25"/>
        <v>12100</v>
      </c>
    </row>
    <row r="1022" spans="1:9" ht="15" customHeight="1">
      <c r="A1022" s="335">
        <v>40527</v>
      </c>
      <c r="B1022" s="336">
        <v>12000</v>
      </c>
      <c r="C1022" s="336">
        <v>12200</v>
      </c>
      <c r="D1022" s="337">
        <f t="shared" si="25"/>
        <v>12100</v>
      </c>
    </row>
    <row r="1023" spans="1:9" ht="15" customHeight="1">
      <c r="A1023" s="335">
        <v>40528</v>
      </c>
      <c r="B1023" s="336">
        <v>12000</v>
      </c>
      <c r="C1023" s="336">
        <v>12200</v>
      </c>
      <c r="D1023" s="337">
        <f t="shared" si="25"/>
        <v>12100</v>
      </c>
    </row>
    <row r="1024" spans="1:9" ht="15" customHeight="1">
      <c r="A1024" s="335">
        <v>40529</v>
      </c>
      <c r="B1024" s="336">
        <v>12000</v>
      </c>
      <c r="C1024" s="336">
        <v>12300</v>
      </c>
      <c r="D1024" s="337">
        <f t="shared" si="25"/>
        <v>12150</v>
      </c>
    </row>
    <row r="1025" spans="1:9" ht="15" customHeight="1">
      <c r="A1025" s="335">
        <v>40532</v>
      </c>
      <c r="B1025" s="336">
        <v>12000</v>
      </c>
      <c r="C1025" s="336">
        <v>12300</v>
      </c>
      <c r="D1025" s="337">
        <f t="shared" si="25"/>
        <v>12150</v>
      </c>
    </row>
    <row r="1026" spans="1:9" ht="15" customHeight="1">
      <c r="A1026" s="335">
        <v>40533</v>
      </c>
      <c r="B1026" s="336">
        <v>12000</v>
      </c>
      <c r="C1026" s="336">
        <v>12300</v>
      </c>
      <c r="D1026" s="337">
        <f t="shared" si="25"/>
        <v>12150</v>
      </c>
    </row>
    <row r="1027" spans="1:9" ht="15" customHeight="1">
      <c r="A1027" s="335">
        <v>40534</v>
      </c>
      <c r="B1027" s="336">
        <v>12000</v>
      </c>
      <c r="C1027" s="336">
        <v>12300</v>
      </c>
      <c r="D1027" s="337">
        <f t="shared" si="25"/>
        <v>12150</v>
      </c>
    </row>
    <row r="1028" spans="1:9" ht="15" customHeight="1">
      <c r="A1028" s="335">
        <v>40535</v>
      </c>
      <c r="B1028" s="336">
        <v>12000</v>
      </c>
      <c r="C1028" s="336">
        <v>12300</v>
      </c>
      <c r="D1028" s="337">
        <f t="shared" si="25"/>
        <v>12150</v>
      </c>
    </row>
    <row r="1029" spans="1:9" ht="15" customHeight="1">
      <c r="A1029" s="335">
        <v>40536</v>
      </c>
      <c r="B1029" s="336">
        <v>12000</v>
      </c>
      <c r="C1029" s="336">
        <v>12400</v>
      </c>
      <c r="D1029" s="337">
        <f t="shared" si="25"/>
        <v>12200</v>
      </c>
    </row>
    <row r="1030" spans="1:9" ht="15" customHeight="1">
      <c r="A1030" s="335">
        <v>40539</v>
      </c>
      <c r="B1030" s="1419" t="s">
        <v>83</v>
      </c>
      <c r="C1030" s="1419"/>
      <c r="D1030" s="1419"/>
      <c r="E1030" s="1419"/>
      <c r="F1030" s="1419"/>
      <c r="G1030" s="1419"/>
      <c r="H1030" s="1419"/>
      <c r="I1030" s="1419"/>
    </row>
    <row r="1031" spans="1:9" ht="15" customHeight="1">
      <c r="A1031" s="335">
        <v>40540</v>
      </c>
      <c r="B1031" s="1419"/>
      <c r="C1031" s="1419"/>
      <c r="D1031" s="1419"/>
      <c r="E1031" s="1419"/>
      <c r="F1031" s="1419"/>
      <c r="G1031" s="1419"/>
      <c r="H1031" s="1419"/>
      <c r="I1031" s="1419"/>
    </row>
    <row r="1032" spans="1:9" ht="15" customHeight="1">
      <c r="A1032" s="335">
        <v>40541</v>
      </c>
      <c r="B1032" s="336">
        <v>12000</v>
      </c>
      <c r="C1032" s="336">
        <v>12400</v>
      </c>
      <c r="D1032" s="337">
        <f>AVERAGE(B1032:C1032)</f>
        <v>12200</v>
      </c>
    </row>
    <row r="1033" spans="1:9" ht="15" customHeight="1">
      <c r="A1033" s="335">
        <v>40542</v>
      </c>
      <c r="B1033" s="336">
        <v>12000</v>
      </c>
      <c r="C1033" s="336">
        <v>12400</v>
      </c>
      <c r="D1033" s="337">
        <f>AVERAGE(B1033:C1033)</f>
        <v>12200</v>
      </c>
    </row>
    <row r="1034" spans="1:9" ht="15" customHeight="1" thickBot="1">
      <c r="A1034" s="340">
        <v>40543</v>
      </c>
      <c r="B1034" s="341">
        <v>12000</v>
      </c>
      <c r="C1034" s="341">
        <v>12400</v>
      </c>
      <c r="D1034" s="342">
        <f>AVERAGE(B1034:C1034)</f>
        <v>12200</v>
      </c>
      <c r="E1034" s="360">
        <f>AVERAGE(D1012:D1034)</f>
        <v>12097.619047619048</v>
      </c>
      <c r="F1034" s="360">
        <f>AVERAGE(D776:D1034)</f>
        <v>8912.845849802372</v>
      </c>
      <c r="G1034" s="344">
        <f>AVERAGE(D969:D1034)</f>
        <v>11246.09375</v>
      </c>
      <c r="H1034" s="354"/>
      <c r="I1034" s="358"/>
    </row>
    <row r="1035" spans="1:9" ht="15" customHeight="1">
      <c r="A1035" s="335">
        <v>40546</v>
      </c>
      <c r="B1035" s="1418" t="s">
        <v>84</v>
      </c>
      <c r="C1035" s="1418"/>
      <c r="D1035" s="1418"/>
      <c r="E1035" s="1418"/>
      <c r="F1035" s="1418"/>
      <c r="G1035" s="1418"/>
      <c r="H1035" s="1418"/>
      <c r="I1035" s="1418"/>
    </row>
    <row r="1036" spans="1:9" ht="15" customHeight="1">
      <c r="A1036" s="335">
        <v>40547</v>
      </c>
      <c r="B1036" s="336">
        <v>12000</v>
      </c>
      <c r="C1036" s="336">
        <v>12400</v>
      </c>
      <c r="D1036" s="337">
        <f t="shared" ref="D1036:D1045" si="26">AVERAGE(B1036:C1036)</f>
        <v>12200</v>
      </c>
    </row>
    <row r="1037" spans="1:9" ht="15" customHeight="1">
      <c r="A1037" s="335">
        <v>40548</v>
      </c>
      <c r="B1037" s="336">
        <v>12000</v>
      </c>
      <c r="C1037" s="336">
        <v>12400</v>
      </c>
      <c r="D1037" s="337">
        <f t="shared" si="26"/>
        <v>12200</v>
      </c>
    </row>
    <row r="1038" spans="1:9" ht="15" customHeight="1">
      <c r="A1038" s="335">
        <v>40549</v>
      </c>
      <c r="B1038" s="336">
        <v>12000</v>
      </c>
      <c r="C1038" s="336">
        <v>12400</v>
      </c>
      <c r="D1038" s="337">
        <f t="shared" si="26"/>
        <v>12200</v>
      </c>
    </row>
    <row r="1039" spans="1:9" ht="15" customHeight="1">
      <c r="A1039" s="335">
        <v>40550</v>
      </c>
      <c r="B1039" s="336">
        <v>12400</v>
      </c>
      <c r="C1039" s="336">
        <v>12800</v>
      </c>
      <c r="D1039" s="337">
        <f t="shared" si="26"/>
        <v>12600</v>
      </c>
    </row>
    <row r="1040" spans="1:9" ht="15" customHeight="1">
      <c r="A1040" s="335">
        <v>40553</v>
      </c>
      <c r="B1040" s="336">
        <v>12400</v>
      </c>
      <c r="C1040" s="336">
        <v>12800</v>
      </c>
      <c r="D1040" s="337">
        <f t="shared" si="26"/>
        <v>12600</v>
      </c>
    </row>
    <row r="1041" spans="1:9" ht="15" customHeight="1">
      <c r="A1041" s="335">
        <v>40554</v>
      </c>
      <c r="B1041" s="336">
        <v>12400</v>
      </c>
      <c r="C1041" s="336">
        <v>12800</v>
      </c>
      <c r="D1041" s="337">
        <f t="shared" si="26"/>
        <v>12600</v>
      </c>
    </row>
    <row r="1042" spans="1:9" ht="15" customHeight="1">
      <c r="A1042" s="335">
        <v>40555</v>
      </c>
      <c r="B1042" s="336">
        <v>12400</v>
      </c>
      <c r="C1042" s="336">
        <v>12800</v>
      </c>
      <c r="D1042" s="337">
        <f t="shared" si="26"/>
        <v>12600</v>
      </c>
    </row>
    <row r="1043" spans="1:9" ht="15" customHeight="1">
      <c r="A1043" s="335">
        <v>40556</v>
      </c>
      <c r="B1043" s="336">
        <v>12400</v>
      </c>
      <c r="C1043" s="336">
        <v>12800</v>
      </c>
      <c r="D1043" s="337">
        <f t="shared" si="26"/>
        <v>12600</v>
      </c>
    </row>
    <row r="1044" spans="1:9" ht="15" customHeight="1">
      <c r="A1044" s="335">
        <v>40557</v>
      </c>
      <c r="B1044" s="336">
        <v>12800</v>
      </c>
      <c r="C1044" s="336">
        <v>13300</v>
      </c>
      <c r="D1044" s="337">
        <f t="shared" si="26"/>
        <v>13050</v>
      </c>
    </row>
    <row r="1045" spans="1:9" ht="15" customHeight="1">
      <c r="A1045" s="335">
        <v>40560</v>
      </c>
      <c r="B1045" s="336">
        <v>12800</v>
      </c>
      <c r="C1045" s="336">
        <v>13300</v>
      </c>
      <c r="D1045" s="337">
        <f t="shared" si="26"/>
        <v>13050</v>
      </c>
    </row>
    <row r="1046" spans="1:9" ht="15" customHeight="1">
      <c r="A1046" s="335">
        <v>40561</v>
      </c>
      <c r="B1046" s="336">
        <v>12800</v>
      </c>
      <c r="C1046" s="336">
        <v>13300</v>
      </c>
      <c r="D1046" s="337">
        <f t="shared" ref="D1046:D1051" si="27">AVERAGE(B1046:C1046)</f>
        <v>13050</v>
      </c>
    </row>
    <row r="1047" spans="1:9" ht="15" customHeight="1">
      <c r="A1047" s="335">
        <v>40562</v>
      </c>
      <c r="B1047" s="336">
        <v>12800</v>
      </c>
      <c r="C1047" s="336">
        <v>13300</v>
      </c>
      <c r="D1047" s="337">
        <f t="shared" si="27"/>
        <v>13050</v>
      </c>
    </row>
    <row r="1048" spans="1:9" ht="15" customHeight="1">
      <c r="A1048" s="335">
        <v>40563</v>
      </c>
      <c r="B1048" s="336">
        <v>12800</v>
      </c>
      <c r="C1048" s="336">
        <v>13300</v>
      </c>
      <c r="D1048" s="337">
        <f t="shared" si="27"/>
        <v>13050</v>
      </c>
    </row>
    <row r="1049" spans="1:9" ht="15" customHeight="1">
      <c r="A1049" s="335">
        <v>40564</v>
      </c>
      <c r="B1049" s="336">
        <v>13000</v>
      </c>
      <c r="C1049" s="336">
        <v>13500</v>
      </c>
      <c r="D1049" s="337">
        <f t="shared" si="27"/>
        <v>13250</v>
      </c>
    </row>
    <row r="1050" spans="1:9" ht="15" customHeight="1">
      <c r="A1050" s="335">
        <v>40567</v>
      </c>
      <c r="B1050" s="336">
        <v>13000</v>
      </c>
      <c r="C1050" s="336">
        <v>13500</v>
      </c>
      <c r="D1050" s="337">
        <f t="shared" si="27"/>
        <v>13250</v>
      </c>
    </row>
    <row r="1051" spans="1:9" ht="15" customHeight="1">
      <c r="A1051" s="335">
        <v>40568</v>
      </c>
      <c r="B1051" s="336">
        <v>13000</v>
      </c>
      <c r="C1051" s="336">
        <v>13500</v>
      </c>
      <c r="D1051" s="337">
        <f t="shared" si="27"/>
        <v>13250</v>
      </c>
    </row>
    <row r="1052" spans="1:9" ht="15" customHeight="1">
      <c r="A1052" s="335">
        <v>40569</v>
      </c>
      <c r="B1052" s="336">
        <v>13000</v>
      </c>
      <c r="C1052" s="336">
        <v>13500</v>
      </c>
      <c r="D1052" s="337">
        <f t="shared" ref="D1052:D1059" si="28">AVERAGE(B1052:C1052)</f>
        <v>13250</v>
      </c>
    </row>
    <row r="1053" spans="1:9" ht="15" customHeight="1">
      <c r="A1053" s="335">
        <v>40570</v>
      </c>
      <c r="B1053" s="336">
        <v>13500</v>
      </c>
      <c r="C1053" s="336">
        <v>14000</v>
      </c>
      <c r="D1053" s="337">
        <f t="shared" si="28"/>
        <v>13750</v>
      </c>
    </row>
    <row r="1054" spans="1:9" ht="15" customHeight="1">
      <c r="A1054" s="335">
        <v>40571</v>
      </c>
      <c r="B1054" s="336">
        <v>13500</v>
      </c>
      <c r="C1054" s="336">
        <v>14000</v>
      </c>
      <c r="D1054" s="337">
        <f t="shared" si="28"/>
        <v>13750</v>
      </c>
    </row>
    <row r="1055" spans="1:9" ht="15" customHeight="1" thickBot="1">
      <c r="A1055" s="340">
        <v>40574</v>
      </c>
      <c r="B1055" s="341">
        <v>13500</v>
      </c>
      <c r="C1055" s="341">
        <v>14000</v>
      </c>
      <c r="D1055" s="342">
        <f t="shared" si="28"/>
        <v>13750</v>
      </c>
      <c r="E1055" s="360">
        <f>AVERAGE(D1036:D1055)</f>
        <v>12955</v>
      </c>
      <c r="F1055" s="360"/>
      <c r="G1055" s="344"/>
      <c r="H1055" s="354"/>
      <c r="I1055" s="358"/>
    </row>
    <row r="1056" spans="1:9" ht="15" customHeight="1">
      <c r="A1056" s="335">
        <v>40575</v>
      </c>
      <c r="B1056" s="336">
        <v>13500</v>
      </c>
      <c r="C1056" s="336">
        <v>14000</v>
      </c>
      <c r="D1056" s="337">
        <f t="shared" si="28"/>
        <v>13750</v>
      </c>
    </row>
    <row r="1057" spans="1:4" ht="15" customHeight="1">
      <c r="A1057" s="335">
        <v>40576</v>
      </c>
      <c r="B1057" s="336">
        <v>13500</v>
      </c>
      <c r="C1057" s="336">
        <v>14000</v>
      </c>
      <c r="D1057" s="337">
        <f t="shared" si="28"/>
        <v>13750</v>
      </c>
    </row>
    <row r="1058" spans="1:4" ht="15" customHeight="1">
      <c r="A1058" s="335">
        <v>40577</v>
      </c>
      <c r="B1058" s="336">
        <v>13500</v>
      </c>
      <c r="C1058" s="336">
        <v>14000</v>
      </c>
      <c r="D1058" s="337">
        <f t="shared" si="28"/>
        <v>13750</v>
      </c>
    </row>
    <row r="1059" spans="1:4" ht="15" customHeight="1">
      <c r="A1059" s="335">
        <v>40578</v>
      </c>
      <c r="B1059" s="336">
        <v>13500</v>
      </c>
      <c r="C1059" s="336">
        <v>14000</v>
      </c>
      <c r="D1059" s="337">
        <f t="shared" si="28"/>
        <v>13750</v>
      </c>
    </row>
    <row r="1060" spans="1:4" ht="15" customHeight="1">
      <c r="A1060" s="335">
        <v>40581</v>
      </c>
      <c r="B1060" s="336">
        <v>13500</v>
      </c>
      <c r="C1060" s="336">
        <v>14000</v>
      </c>
      <c r="D1060" s="337">
        <f t="shared" ref="D1060:D1065" si="29">AVERAGE(B1060:C1060)</f>
        <v>13750</v>
      </c>
    </row>
    <row r="1061" spans="1:4" ht="15" customHeight="1">
      <c r="A1061" s="335">
        <v>40582</v>
      </c>
      <c r="B1061" s="336">
        <v>13500</v>
      </c>
      <c r="C1061" s="336">
        <v>14000</v>
      </c>
      <c r="D1061" s="337">
        <f t="shared" si="29"/>
        <v>13750</v>
      </c>
    </row>
    <row r="1062" spans="1:4" ht="15" customHeight="1">
      <c r="A1062" s="335">
        <v>40583</v>
      </c>
      <c r="B1062" s="336">
        <v>13500</v>
      </c>
      <c r="C1062" s="336">
        <v>14000</v>
      </c>
      <c r="D1062" s="337">
        <f t="shared" si="29"/>
        <v>13750</v>
      </c>
    </row>
    <row r="1063" spans="1:4" ht="15" customHeight="1">
      <c r="A1063" s="335">
        <v>40584</v>
      </c>
      <c r="B1063" s="336">
        <v>13500</v>
      </c>
      <c r="C1063" s="336">
        <v>14000</v>
      </c>
      <c r="D1063" s="337">
        <f t="shared" si="29"/>
        <v>13750</v>
      </c>
    </row>
    <row r="1064" spans="1:4" ht="15" customHeight="1">
      <c r="A1064" s="335">
        <v>40585</v>
      </c>
      <c r="B1064" s="336">
        <v>13600</v>
      </c>
      <c r="C1064" s="336">
        <v>14200</v>
      </c>
      <c r="D1064" s="337">
        <f t="shared" si="29"/>
        <v>13900</v>
      </c>
    </row>
    <row r="1065" spans="1:4" ht="15" customHeight="1">
      <c r="A1065" s="335">
        <v>40588</v>
      </c>
      <c r="B1065" s="336">
        <v>13600</v>
      </c>
      <c r="C1065" s="336">
        <v>14200</v>
      </c>
      <c r="D1065" s="337">
        <f t="shared" si="29"/>
        <v>13900</v>
      </c>
    </row>
    <row r="1066" spans="1:4" ht="15" customHeight="1">
      <c r="A1066" s="335">
        <v>40589</v>
      </c>
      <c r="B1066" s="336">
        <v>13600</v>
      </c>
      <c r="C1066" s="336">
        <v>14200</v>
      </c>
      <c r="D1066" s="337">
        <f t="shared" ref="D1066:D1071" si="30">AVERAGE(B1066:C1066)</f>
        <v>13900</v>
      </c>
    </row>
    <row r="1067" spans="1:4" ht="15" customHeight="1">
      <c r="A1067" s="335">
        <v>40590</v>
      </c>
      <c r="B1067" s="336">
        <v>13600</v>
      </c>
      <c r="C1067" s="336">
        <v>14200</v>
      </c>
      <c r="D1067" s="337">
        <f t="shared" si="30"/>
        <v>13900</v>
      </c>
    </row>
    <row r="1068" spans="1:4" ht="15" customHeight="1">
      <c r="A1068" s="335">
        <v>40591</v>
      </c>
      <c r="B1068" s="336">
        <v>13600</v>
      </c>
      <c r="C1068" s="336">
        <v>14200</v>
      </c>
      <c r="D1068" s="337">
        <f t="shared" si="30"/>
        <v>13900</v>
      </c>
    </row>
    <row r="1069" spans="1:4" ht="15" customHeight="1">
      <c r="A1069" s="335">
        <v>40592</v>
      </c>
      <c r="B1069" s="336">
        <v>13600</v>
      </c>
      <c r="C1069" s="336">
        <v>14400</v>
      </c>
      <c r="D1069" s="337">
        <f t="shared" si="30"/>
        <v>14000</v>
      </c>
    </row>
    <row r="1070" spans="1:4" ht="15" customHeight="1">
      <c r="A1070" s="335">
        <v>40595</v>
      </c>
      <c r="B1070" s="336">
        <v>13600</v>
      </c>
      <c r="C1070" s="336">
        <v>14400</v>
      </c>
      <c r="D1070" s="337">
        <f t="shared" si="30"/>
        <v>14000</v>
      </c>
    </row>
    <row r="1071" spans="1:4" ht="15" customHeight="1">
      <c r="A1071" s="335">
        <v>40596</v>
      </c>
      <c r="B1071" s="336">
        <v>13600</v>
      </c>
      <c r="C1071" s="336">
        <v>14400</v>
      </c>
      <c r="D1071" s="337">
        <f t="shared" si="30"/>
        <v>14000</v>
      </c>
    </row>
    <row r="1072" spans="1:4" ht="15" customHeight="1">
      <c r="A1072" s="335">
        <v>40597</v>
      </c>
      <c r="B1072" s="336">
        <v>13600</v>
      </c>
      <c r="C1072" s="336">
        <v>14400</v>
      </c>
      <c r="D1072" s="337">
        <f t="shared" ref="D1072:D1077" si="31">AVERAGE(B1072:C1072)</f>
        <v>14000</v>
      </c>
    </row>
    <row r="1073" spans="1:9" ht="15" customHeight="1">
      <c r="A1073" s="335">
        <v>40598</v>
      </c>
      <c r="B1073" s="336">
        <v>13600</v>
      </c>
      <c r="C1073" s="336">
        <v>14400</v>
      </c>
      <c r="D1073" s="337">
        <f t="shared" si="31"/>
        <v>14000</v>
      </c>
    </row>
    <row r="1074" spans="1:9" ht="15" customHeight="1">
      <c r="A1074" s="335">
        <v>40599</v>
      </c>
      <c r="B1074" s="336">
        <v>13600</v>
      </c>
      <c r="C1074" s="336">
        <v>14400</v>
      </c>
      <c r="D1074" s="337">
        <f t="shared" si="31"/>
        <v>14000</v>
      </c>
    </row>
    <row r="1075" spans="1:9" ht="15" customHeight="1" thickBot="1">
      <c r="A1075" s="340">
        <v>40602</v>
      </c>
      <c r="B1075" s="341">
        <v>13600</v>
      </c>
      <c r="C1075" s="341">
        <v>14400</v>
      </c>
      <c r="D1075" s="342">
        <f t="shared" si="31"/>
        <v>14000</v>
      </c>
      <c r="E1075" s="360">
        <f>AVERAGE(D1056:D1075)</f>
        <v>13875</v>
      </c>
      <c r="F1075" s="360"/>
      <c r="G1075" s="344"/>
      <c r="H1075" s="354"/>
      <c r="I1075" s="358"/>
    </row>
    <row r="1076" spans="1:9" ht="15" customHeight="1">
      <c r="A1076" s="335">
        <v>40603</v>
      </c>
      <c r="B1076" s="336">
        <v>13600</v>
      </c>
      <c r="C1076" s="336">
        <v>14400</v>
      </c>
      <c r="D1076" s="337">
        <f t="shared" si="31"/>
        <v>14000</v>
      </c>
    </row>
    <row r="1077" spans="1:9" ht="15" customHeight="1">
      <c r="A1077" s="335">
        <v>40604</v>
      </c>
      <c r="B1077" s="336">
        <v>13600</v>
      </c>
      <c r="C1077" s="336">
        <v>14400</v>
      </c>
      <c r="D1077" s="337">
        <f t="shared" si="31"/>
        <v>14000</v>
      </c>
    </row>
    <row r="1078" spans="1:9" ht="15" customHeight="1">
      <c r="A1078" s="335">
        <v>40605</v>
      </c>
      <c r="B1078" s="336">
        <v>13600</v>
      </c>
      <c r="C1078" s="336">
        <v>14400</v>
      </c>
      <c r="D1078" s="337">
        <f t="shared" ref="D1078:D1083" si="32">AVERAGE(B1078:C1078)</f>
        <v>14000</v>
      </c>
    </row>
    <row r="1079" spans="1:9" ht="15" customHeight="1">
      <c r="A1079" s="335">
        <v>40606</v>
      </c>
      <c r="B1079" s="336">
        <v>14600</v>
      </c>
      <c r="C1079" s="336">
        <v>15400</v>
      </c>
      <c r="D1079" s="337">
        <f t="shared" si="32"/>
        <v>15000</v>
      </c>
    </row>
    <row r="1080" spans="1:9" ht="15" customHeight="1">
      <c r="A1080" s="335">
        <v>40609</v>
      </c>
      <c r="B1080" s="336">
        <v>14600</v>
      </c>
      <c r="C1080" s="336">
        <v>15400</v>
      </c>
      <c r="D1080" s="337">
        <f t="shared" si="32"/>
        <v>15000</v>
      </c>
    </row>
    <row r="1081" spans="1:9" ht="15" customHeight="1">
      <c r="A1081" s="335">
        <v>40610</v>
      </c>
      <c r="B1081" s="336">
        <v>14600</v>
      </c>
      <c r="C1081" s="336">
        <v>15400</v>
      </c>
      <c r="D1081" s="337">
        <f t="shared" si="32"/>
        <v>15000</v>
      </c>
    </row>
    <row r="1082" spans="1:9" ht="15" customHeight="1">
      <c r="A1082" s="335">
        <v>40611</v>
      </c>
      <c r="B1082" s="336">
        <v>14600</v>
      </c>
      <c r="C1082" s="336">
        <v>15400</v>
      </c>
      <c r="D1082" s="337">
        <f t="shared" si="32"/>
        <v>15000</v>
      </c>
    </row>
    <row r="1083" spans="1:9" ht="15" customHeight="1">
      <c r="A1083" s="335">
        <v>40612</v>
      </c>
      <c r="B1083" s="336">
        <v>15000</v>
      </c>
      <c r="C1083" s="336">
        <v>15700</v>
      </c>
      <c r="D1083" s="337">
        <f t="shared" si="32"/>
        <v>15350</v>
      </c>
    </row>
    <row r="1084" spans="1:9" ht="15" customHeight="1">
      <c r="A1084" s="335">
        <v>40613</v>
      </c>
      <c r="B1084" s="336">
        <v>15000</v>
      </c>
      <c r="C1084" s="336">
        <v>15700</v>
      </c>
      <c r="D1084" s="337">
        <f t="shared" ref="D1084:D1089" si="33">AVERAGE(B1084:C1084)</f>
        <v>15350</v>
      </c>
    </row>
    <row r="1085" spans="1:9" ht="15" customHeight="1">
      <c r="A1085" s="335">
        <v>40616</v>
      </c>
      <c r="B1085" s="336">
        <v>15000</v>
      </c>
      <c r="C1085" s="336">
        <v>15700</v>
      </c>
      <c r="D1085" s="337">
        <f t="shared" si="33"/>
        <v>15350</v>
      </c>
    </row>
    <row r="1086" spans="1:9" ht="15" customHeight="1">
      <c r="A1086" s="335">
        <v>40617</v>
      </c>
      <c r="B1086" s="336">
        <v>15000</v>
      </c>
      <c r="C1086" s="336">
        <v>15700</v>
      </c>
      <c r="D1086" s="337">
        <f t="shared" si="33"/>
        <v>15350</v>
      </c>
    </row>
    <row r="1087" spans="1:9" ht="15" customHeight="1">
      <c r="A1087" s="335">
        <v>40618</v>
      </c>
      <c r="B1087" s="336">
        <v>15000</v>
      </c>
      <c r="C1087" s="336">
        <v>15700</v>
      </c>
      <c r="D1087" s="337">
        <f t="shared" si="33"/>
        <v>15350</v>
      </c>
    </row>
    <row r="1088" spans="1:9" ht="15" customHeight="1">
      <c r="A1088" s="335">
        <v>40619</v>
      </c>
      <c r="B1088" s="336">
        <v>15000</v>
      </c>
      <c r="C1088" s="336">
        <v>15700</v>
      </c>
      <c r="D1088" s="337">
        <f t="shared" si="33"/>
        <v>15350</v>
      </c>
    </row>
    <row r="1089" spans="1:9" ht="15" customHeight="1">
      <c r="A1089" s="335">
        <v>40620</v>
      </c>
      <c r="B1089" s="336">
        <v>15500</v>
      </c>
      <c r="C1089" s="336">
        <v>16000</v>
      </c>
      <c r="D1089" s="337">
        <f t="shared" si="33"/>
        <v>15750</v>
      </c>
    </row>
    <row r="1090" spans="1:9" ht="15" customHeight="1">
      <c r="A1090" s="335">
        <v>40623</v>
      </c>
      <c r="B1090" s="336">
        <v>15500</v>
      </c>
      <c r="C1090" s="336">
        <v>16000</v>
      </c>
      <c r="D1090" s="337">
        <f t="shared" ref="D1090:D1095" si="34">AVERAGE(B1090:C1090)</f>
        <v>15750</v>
      </c>
    </row>
    <row r="1091" spans="1:9" ht="15" customHeight="1">
      <c r="A1091" s="335">
        <v>40624</v>
      </c>
      <c r="B1091" s="336">
        <v>15500</v>
      </c>
      <c r="C1091" s="336">
        <v>16000</v>
      </c>
      <c r="D1091" s="337">
        <f t="shared" si="34"/>
        <v>15750</v>
      </c>
    </row>
    <row r="1092" spans="1:9" ht="15" customHeight="1">
      <c r="A1092" s="335">
        <v>40625</v>
      </c>
      <c r="B1092" s="336">
        <v>15500</v>
      </c>
      <c r="C1092" s="336">
        <v>16000</v>
      </c>
      <c r="D1092" s="337">
        <f t="shared" si="34"/>
        <v>15750</v>
      </c>
    </row>
    <row r="1093" spans="1:9" ht="15" customHeight="1">
      <c r="A1093" s="335">
        <v>40626</v>
      </c>
      <c r="B1093" s="336">
        <v>15500</v>
      </c>
      <c r="C1093" s="336">
        <v>16000</v>
      </c>
      <c r="D1093" s="337">
        <f t="shared" si="34"/>
        <v>15750</v>
      </c>
    </row>
    <row r="1094" spans="1:9" ht="15" customHeight="1">
      <c r="A1094" s="335">
        <v>40627</v>
      </c>
      <c r="B1094" s="336">
        <v>15500</v>
      </c>
      <c r="C1094" s="336">
        <v>16000</v>
      </c>
      <c r="D1094" s="337">
        <f t="shared" si="34"/>
        <v>15750</v>
      </c>
    </row>
    <row r="1095" spans="1:9" ht="15" customHeight="1">
      <c r="A1095" s="335">
        <v>40630</v>
      </c>
      <c r="B1095" s="336">
        <v>15500</v>
      </c>
      <c r="C1095" s="336">
        <v>16000</v>
      </c>
      <c r="D1095" s="337">
        <f t="shared" si="34"/>
        <v>15750</v>
      </c>
    </row>
    <row r="1096" spans="1:9" ht="15" customHeight="1">
      <c r="A1096" s="335">
        <v>40631</v>
      </c>
      <c r="B1096" s="336">
        <v>15500</v>
      </c>
      <c r="C1096" s="336">
        <v>16000</v>
      </c>
      <c r="D1096" s="337">
        <f t="shared" ref="D1096:D1101" si="35">AVERAGE(B1096:C1096)</f>
        <v>15750</v>
      </c>
    </row>
    <row r="1097" spans="1:9" ht="15" customHeight="1">
      <c r="A1097" s="335">
        <v>40632</v>
      </c>
      <c r="B1097" s="336">
        <v>15500</v>
      </c>
      <c r="C1097" s="336">
        <v>16000</v>
      </c>
      <c r="D1097" s="337">
        <f t="shared" si="35"/>
        <v>15750</v>
      </c>
    </row>
    <row r="1098" spans="1:9" ht="15" customHeight="1" thickBot="1">
      <c r="A1098" s="340">
        <v>40633</v>
      </c>
      <c r="B1098" s="341">
        <v>15500</v>
      </c>
      <c r="C1098" s="341">
        <v>16000</v>
      </c>
      <c r="D1098" s="342">
        <f t="shared" si="35"/>
        <v>15750</v>
      </c>
      <c r="E1098" s="360">
        <f>AVERAGE(D1076:D1098)</f>
        <v>15286.95652173913</v>
      </c>
      <c r="F1098" s="360"/>
      <c r="G1098" s="344">
        <f>AVERAGE(D1036:D1098)</f>
        <v>14098.412698412698</v>
      </c>
      <c r="H1098" s="354"/>
      <c r="I1098" s="358"/>
    </row>
    <row r="1099" spans="1:9" ht="15" customHeight="1">
      <c r="A1099" s="335">
        <v>40634</v>
      </c>
      <c r="B1099" s="336">
        <v>16500</v>
      </c>
      <c r="C1099" s="336">
        <v>17000</v>
      </c>
      <c r="D1099" s="337">
        <f t="shared" si="35"/>
        <v>16750</v>
      </c>
    </row>
    <row r="1100" spans="1:9" ht="15" customHeight="1">
      <c r="A1100" s="335">
        <v>40637</v>
      </c>
      <c r="B1100" s="336">
        <v>16500</v>
      </c>
      <c r="C1100" s="336">
        <v>17000</v>
      </c>
      <c r="D1100" s="337">
        <f t="shared" si="35"/>
        <v>16750</v>
      </c>
    </row>
    <row r="1101" spans="1:9" ht="15" customHeight="1">
      <c r="A1101" s="335">
        <v>40638</v>
      </c>
      <c r="B1101" s="336">
        <v>16500</v>
      </c>
      <c r="C1101" s="336">
        <v>17000</v>
      </c>
      <c r="D1101" s="337">
        <f t="shared" si="35"/>
        <v>16750</v>
      </c>
    </row>
    <row r="1102" spans="1:9" ht="15" customHeight="1">
      <c r="A1102" s="335">
        <v>40639</v>
      </c>
      <c r="B1102" s="336">
        <v>16500</v>
      </c>
      <c r="C1102" s="336">
        <v>17000</v>
      </c>
      <c r="D1102" s="337">
        <f t="shared" ref="D1102:D1107" si="36">AVERAGE(B1102:C1102)</f>
        <v>16750</v>
      </c>
    </row>
    <row r="1103" spans="1:9" ht="15" customHeight="1">
      <c r="A1103" s="335">
        <v>40640</v>
      </c>
      <c r="B1103" s="336">
        <v>16500</v>
      </c>
      <c r="C1103" s="336">
        <v>17000</v>
      </c>
      <c r="D1103" s="337">
        <f t="shared" si="36"/>
        <v>16750</v>
      </c>
    </row>
    <row r="1104" spans="1:9" ht="15" customHeight="1">
      <c r="A1104" s="335">
        <v>40641</v>
      </c>
      <c r="B1104" s="336">
        <v>16800</v>
      </c>
      <c r="C1104" s="336">
        <v>17300</v>
      </c>
      <c r="D1104" s="337">
        <f t="shared" si="36"/>
        <v>17050</v>
      </c>
    </row>
    <row r="1105" spans="1:9" ht="15" customHeight="1">
      <c r="A1105" s="335">
        <v>40644</v>
      </c>
      <c r="B1105" s="336">
        <v>16800</v>
      </c>
      <c r="C1105" s="336">
        <v>17300</v>
      </c>
      <c r="D1105" s="337">
        <f t="shared" si="36"/>
        <v>17050</v>
      </c>
    </row>
    <row r="1106" spans="1:9" ht="15" customHeight="1">
      <c r="A1106" s="335">
        <v>40645</v>
      </c>
      <c r="B1106" s="336">
        <v>16800</v>
      </c>
      <c r="C1106" s="336">
        <v>17300</v>
      </c>
      <c r="D1106" s="337">
        <f t="shared" si="36"/>
        <v>17050</v>
      </c>
    </row>
    <row r="1107" spans="1:9" ht="15" customHeight="1">
      <c r="A1107" s="335">
        <v>40646</v>
      </c>
      <c r="B1107" s="336">
        <v>16800</v>
      </c>
      <c r="C1107" s="336">
        <v>17300</v>
      </c>
      <c r="D1107" s="337">
        <f t="shared" si="36"/>
        <v>17050</v>
      </c>
    </row>
    <row r="1108" spans="1:9" ht="15" customHeight="1">
      <c r="A1108" s="335">
        <v>40647</v>
      </c>
      <c r="B1108" s="336">
        <v>16800</v>
      </c>
      <c r="C1108" s="336">
        <v>17300</v>
      </c>
      <c r="D1108" s="337">
        <f t="shared" ref="D1108:D1113" si="37">AVERAGE(B1108:C1108)</f>
        <v>17050</v>
      </c>
    </row>
    <row r="1109" spans="1:9" ht="15" customHeight="1">
      <c r="A1109" s="335">
        <v>40648</v>
      </c>
      <c r="B1109" s="336">
        <v>16800</v>
      </c>
      <c r="C1109" s="336">
        <v>17300</v>
      </c>
      <c r="D1109" s="337">
        <f t="shared" si="37"/>
        <v>17050</v>
      </c>
    </row>
    <row r="1110" spans="1:9" ht="15" customHeight="1">
      <c r="A1110" s="335">
        <v>40651</v>
      </c>
      <c r="B1110" s="336">
        <v>16800</v>
      </c>
      <c r="C1110" s="336">
        <v>17300</v>
      </c>
      <c r="D1110" s="337">
        <f t="shared" si="37"/>
        <v>17050</v>
      </c>
    </row>
    <row r="1111" spans="1:9" ht="15" customHeight="1">
      <c r="A1111" s="335">
        <v>40652</v>
      </c>
      <c r="B1111" s="336">
        <v>16800</v>
      </c>
      <c r="C1111" s="336">
        <v>17300</v>
      </c>
      <c r="D1111" s="337">
        <f t="shared" si="37"/>
        <v>17050</v>
      </c>
    </row>
    <row r="1112" spans="1:9" ht="15" customHeight="1">
      <c r="A1112" s="335">
        <v>40653</v>
      </c>
      <c r="B1112" s="336">
        <v>16800</v>
      </c>
      <c r="C1112" s="336">
        <v>17300</v>
      </c>
      <c r="D1112" s="337">
        <f t="shared" si="37"/>
        <v>17050</v>
      </c>
    </row>
    <row r="1113" spans="1:9" ht="15" customHeight="1">
      <c r="A1113" s="335">
        <v>40654</v>
      </c>
      <c r="B1113" s="336">
        <v>16800</v>
      </c>
      <c r="C1113" s="336">
        <v>17300</v>
      </c>
      <c r="D1113" s="337">
        <f t="shared" si="37"/>
        <v>17050</v>
      </c>
    </row>
    <row r="1114" spans="1:9" ht="15" customHeight="1">
      <c r="A1114" s="335">
        <v>40655</v>
      </c>
      <c r="B1114" s="1419" t="s">
        <v>83</v>
      </c>
      <c r="C1114" s="1419"/>
      <c r="D1114" s="1419"/>
      <c r="E1114" s="1419"/>
      <c r="F1114" s="1419"/>
      <c r="G1114" s="1419"/>
      <c r="H1114" s="1419"/>
      <c r="I1114" s="1419"/>
    </row>
    <row r="1115" spans="1:9" ht="15" customHeight="1">
      <c r="A1115" s="335">
        <v>40658</v>
      </c>
      <c r="B1115" s="1419"/>
      <c r="C1115" s="1419"/>
      <c r="D1115" s="1419"/>
      <c r="E1115" s="1419"/>
      <c r="F1115" s="1419"/>
      <c r="G1115" s="1419"/>
      <c r="H1115" s="1419"/>
      <c r="I1115" s="1419"/>
    </row>
    <row r="1116" spans="1:9" ht="15" customHeight="1">
      <c r="A1116" s="335">
        <v>40659</v>
      </c>
      <c r="B1116" s="336">
        <v>16800</v>
      </c>
      <c r="C1116" s="336">
        <v>17300</v>
      </c>
      <c r="D1116" s="337">
        <f>AVERAGE(B1116:C1116)</f>
        <v>17050</v>
      </c>
    </row>
    <row r="1117" spans="1:9" ht="15" customHeight="1">
      <c r="A1117" s="335">
        <v>40660</v>
      </c>
      <c r="B1117" s="336">
        <v>16800</v>
      </c>
      <c r="C1117" s="336">
        <v>17300</v>
      </c>
      <c r="D1117" s="337">
        <f>AVERAGE(B1117:C1117)</f>
        <v>17050</v>
      </c>
    </row>
    <row r="1118" spans="1:9" ht="15" customHeight="1">
      <c r="A1118" s="335">
        <v>40661</v>
      </c>
      <c r="B1118" s="336">
        <v>16800</v>
      </c>
      <c r="C1118" s="336">
        <v>17300</v>
      </c>
      <c r="D1118" s="337">
        <f>AVERAGE(B1118:C1118)</f>
        <v>17050</v>
      </c>
      <c r="E1118" s="361">
        <f>AVERAGE(D1099:D1118)</f>
        <v>16966.666666666668</v>
      </c>
      <c r="F1118" s="361"/>
    </row>
    <row r="1119" spans="1:9" ht="15" customHeight="1" thickBot="1">
      <c r="A1119" s="340">
        <v>40662</v>
      </c>
      <c r="B1119" s="1420" t="s">
        <v>84</v>
      </c>
      <c r="C1119" s="1420"/>
      <c r="D1119" s="1420"/>
      <c r="E1119" s="1420"/>
      <c r="F1119" s="1420"/>
      <c r="G1119" s="1420"/>
      <c r="H1119" s="1420"/>
      <c r="I1119" s="1420"/>
    </row>
    <row r="1120" spans="1:9" ht="15" customHeight="1">
      <c r="A1120" s="335">
        <v>40665</v>
      </c>
      <c r="B1120" s="1418" t="s">
        <v>84</v>
      </c>
      <c r="C1120" s="1418"/>
      <c r="D1120" s="1418"/>
      <c r="E1120" s="1418"/>
      <c r="F1120" s="1418"/>
      <c r="G1120" s="1418"/>
      <c r="H1120" s="1418"/>
      <c r="I1120" s="1418"/>
    </row>
    <row r="1121" spans="1:4" ht="15" customHeight="1">
      <c r="A1121" s="335">
        <v>40666</v>
      </c>
      <c r="B1121" s="336">
        <v>16800</v>
      </c>
      <c r="C1121" s="336">
        <v>17300</v>
      </c>
      <c r="D1121" s="337">
        <f t="shared" ref="D1121:D1126" si="38">AVERAGE(B1121:C1121)</f>
        <v>17050</v>
      </c>
    </row>
    <row r="1122" spans="1:4" ht="15" customHeight="1">
      <c r="A1122" s="335">
        <v>40667</v>
      </c>
      <c r="B1122" s="336">
        <v>16800</v>
      </c>
      <c r="C1122" s="336">
        <v>17300</v>
      </c>
      <c r="D1122" s="337">
        <f t="shared" si="38"/>
        <v>17050</v>
      </c>
    </row>
    <row r="1123" spans="1:4" ht="15" customHeight="1">
      <c r="A1123" s="335">
        <v>40668</v>
      </c>
      <c r="B1123" s="336">
        <v>16800</v>
      </c>
      <c r="C1123" s="336">
        <v>17300</v>
      </c>
      <c r="D1123" s="337">
        <f t="shared" si="38"/>
        <v>17050</v>
      </c>
    </row>
    <row r="1124" spans="1:4" ht="15" customHeight="1">
      <c r="A1124" s="335">
        <v>40669</v>
      </c>
      <c r="B1124" s="336">
        <v>16000</v>
      </c>
      <c r="C1124" s="336">
        <v>16500</v>
      </c>
      <c r="D1124" s="337">
        <f t="shared" si="38"/>
        <v>16250</v>
      </c>
    </row>
    <row r="1125" spans="1:4" ht="15" customHeight="1">
      <c r="A1125" s="335">
        <v>40672</v>
      </c>
      <c r="B1125" s="336">
        <v>16000</v>
      </c>
      <c r="C1125" s="336">
        <v>16500</v>
      </c>
      <c r="D1125" s="337">
        <f t="shared" si="38"/>
        <v>16250</v>
      </c>
    </row>
    <row r="1126" spans="1:4" ht="15" customHeight="1">
      <c r="A1126" s="335">
        <v>40673</v>
      </c>
      <c r="B1126" s="336">
        <v>16000</v>
      </c>
      <c r="C1126" s="336">
        <v>16500</v>
      </c>
      <c r="D1126" s="337">
        <f t="shared" si="38"/>
        <v>16250</v>
      </c>
    </row>
    <row r="1127" spans="1:4" ht="15" customHeight="1">
      <c r="A1127" s="335">
        <v>40674</v>
      </c>
      <c r="B1127" s="336">
        <v>16000</v>
      </c>
      <c r="C1127" s="336">
        <v>16500</v>
      </c>
      <c r="D1127" s="337">
        <f t="shared" ref="D1127:D1132" si="39">AVERAGE(B1127:C1127)</f>
        <v>16250</v>
      </c>
    </row>
    <row r="1128" spans="1:4" ht="15" customHeight="1">
      <c r="A1128" s="335">
        <v>40675</v>
      </c>
      <c r="B1128" s="336">
        <v>16000</v>
      </c>
      <c r="C1128" s="336">
        <v>16500</v>
      </c>
      <c r="D1128" s="337">
        <f t="shared" si="39"/>
        <v>16250</v>
      </c>
    </row>
    <row r="1129" spans="1:4" ht="15" customHeight="1">
      <c r="A1129" s="335">
        <v>40676</v>
      </c>
      <c r="B1129" s="336">
        <v>16000</v>
      </c>
      <c r="C1129" s="336">
        <v>16500</v>
      </c>
      <c r="D1129" s="337">
        <f t="shared" si="39"/>
        <v>16250</v>
      </c>
    </row>
    <row r="1130" spans="1:4" ht="15" customHeight="1">
      <c r="A1130" s="335">
        <v>40679</v>
      </c>
      <c r="B1130" s="336">
        <v>16000</v>
      </c>
      <c r="C1130" s="336">
        <v>16500</v>
      </c>
      <c r="D1130" s="337">
        <f t="shared" si="39"/>
        <v>16250</v>
      </c>
    </row>
    <row r="1131" spans="1:4" ht="15" customHeight="1">
      <c r="A1131" s="335">
        <v>40680</v>
      </c>
      <c r="B1131" s="336">
        <v>16000</v>
      </c>
      <c r="C1131" s="336">
        <v>16500</v>
      </c>
      <c r="D1131" s="337">
        <f t="shared" si="39"/>
        <v>16250</v>
      </c>
    </row>
    <row r="1132" spans="1:4" ht="15" customHeight="1">
      <c r="A1132" s="335">
        <v>40681</v>
      </c>
      <c r="B1132" s="336">
        <v>16000</v>
      </c>
      <c r="C1132" s="336">
        <v>16500</v>
      </c>
      <c r="D1132" s="337">
        <f t="shared" si="39"/>
        <v>16250</v>
      </c>
    </row>
    <row r="1133" spans="1:4" ht="15" customHeight="1">
      <c r="A1133" s="335">
        <v>40682</v>
      </c>
      <c r="B1133" s="336">
        <v>16000</v>
      </c>
      <c r="C1133" s="336">
        <v>16500</v>
      </c>
      <c r="D1133" s="337">
        <f t="shared" ref="D1133:D1138" si="40">AVERAGE(B1133:C1133)</f>
        <v>16250</v>
      </c>
    </row>
    <row r="1134" spans="1:4" ht="15" customHeight="1">
      <c r="A1134" s="335">
        <v>40683</v>
      </c>
      <c r="B1134" s="336">
        <v>16000</v>
      </c>
      <c r="C1134" s="336">
        <v>16500</v>
      </c>
      <c r="D1134" s="337">
        <f t="shared" si="40"/>
        <v>16250</v>
      </c>
    </row>
    <row r="1135" spans="1:4" ht="15" customHeight="1">
      <c r="A1135" s="335">
        <v>40686</v>
      </c>
      <c r="B1135" s="336">
        <v>16000</v>
      </c>
      <c r="C1135" s="336">
        <v>16500</v>
      </c>
      <c r="D1135" s="337">
        <f t="shared" si="40"/>
        <v>16250</v>
      </c>
    </row>
    <row r="1136" spans="1:4" ht="15" customHeight="1">
      <c r="A1136" s="335">
        <v>40687</v>
      </c>
      <c r="B1136" s="336">
        <v>16000</v>
      </c>
      <c r="C1136" s="336">
        <v>16500</v>
      </c>
      <c r="D1136" s="337">
        <f t="shared" si="40"/>
        <v>16250</v>
      </c>
    </row>
    <row r="1137" spans="1:9" ht="15" customHeight="1">
      <c r="A1137" s="335">
        <v>40688</v>
      </c>
      <c r="B1137" s="336">
        <v>16000</v>
      </c>
      <c r="C1137" s="336">
        <v>16500</v>
      </c>
      <c r="D1137" s="337">
        <f t="shared" si="40"/>
        <v>16250</v>
      </c>
    </row>
    <row r="1138" spans="1:9" ht="15" customHeight="1">
      <c r="A1138" s="335">
        <v>40689</v>
      </c>
      <c r="B1138" s="336">
        <v>16000</v>
      </c>
      <c r="C1138" s="336">
        <v>16500</v>
      </c>
      <c r="D1138" s="337">
        <f t="shared" si="40"/>
        <v>16250</v>
      </c>
    </row>
    <row r="1139" spans="1:9" ht="15" customHeight="1">
      <c r="A1139" s="335">
        <v>40690</v>
      </c>
      <c r="B1139" s="336">
        <v>16000</v>
      </c>
      <c r="C1139" s="336">
        <v>16500</v>
      </c>
      <c r="D1139" s="337">
        <f>AVERAGE(B1139:C1139)</f>
        <v>16250</v>
      </c>
    </row>
    <row r="1140" spans="1:9" ht="15" customHeight="1">
      <c r="A1140" s="335">
        <v>40693</v>
      </c>
      <c r="B1140" s="1417" t="s">
        <v>84</v>
      </c>
      <c r="C1140" s="1417"/>
      <c r="D1140" s="1417"/>
      <c r="E1140" s="1417"/>
      <c r="F1140" s="1417"/>
      <c r="G1140" s="1417"/>
      <c r="H1140" s="1417"/>
      <c r="I1140" s="1417"/>
    </row>
    <row r="1141" spans="1:9" ht="15" customHeight="1" thickBot="1">
      <c r="A1141" s="340">
        <v>40694</v>
      </c>
      <c r="B1141" s="341">
        <v>16000</v>
      </c>
      <c r="C1141" s="341">
        <v>16500</v>
      </c>
      <c r="D1141" s="342">
        <f t="shared" ref="D1141:D1146" si="41">AVERAGE(B1141:C1141)</f>
        <v>16250</v>
      </c>
      <c r="E1141" s="360">
        <f>AVERAGE(D1120:D1141)</f>
        <v>16370</v>
      </c>
      <c r="F1141" s="360"/>
      <c r="G1141" s="344"/>
      <c r="H1141" s="354"/>
      <c r="I1141" s="358"/>
    </row>
    <row r="1142" spans="1:9" ht="15" customHeight="1">
      <c r="A1142" s="335">
        <v>40695</v>
      </c>
      <c r="B1142" s="336">
        <v>16000</v>
      </c>
      <c r="C1142" s="336">
        <v>16500</v>
      </c>
      <c r="D1142" s="337">
        <f t="shared" si="41"/>
        <v>16250</v>
      </c>
    </row>
    <row r="1143" spans="1:9" ht="15" customHeight="1">
      <c r="A1143" s="335">
        <v>40696</v>
      </c>
      <c r="B1143" s="336">
        <v>16000</v>
      </c>
      <c r="C1143" s="336">
        <v>16500</v>
      </c>
      <c r="D1143" s="337">
        <f t="shared" si="41"/>
        <v>16250</v>
      </c>
    </row>
    <row r="1144" spans="1:9" ht="15" customHeight="1">
      <c r="A1144" s="335">
        <v>40697</v>
      </c>
      <c r="B1144" s="336">
        <v>15500</v>
      </c>
      <c r="C1144" s="336">
        <v>16000</v>
      </c>
      <c r="D1144" s="337">
        <f t="shared" si="41"/>
        <v>15750</v>
      </c>
    </row>
    <row r="1145" spans="1:9" ht="15" customHeight="1">
      <c r="A1145" s="335">
        <v>40700</v>
      </c>
      <c r="B1145" s="336">
        <v>15500</v>
      </c>
      <c r="C1145" s="336">
        <v>16000</v>
      </c>
      <c r="D1145" s="337">
        <f t="shared" si="41"/>
        <v>15750</v>
      </c>
    </row>
    <row r="1146" spans="1:9" ht="15" customHeight="1">
      <c r="A1146" s="335">
        <v>40701</v>
      </c>
      <c r="B1146" s="336">
        <v>15500</v>
      </c>
      <c r="C1146" s="336">
        <v>16000</v>
      </c>
      <c r="D1146" s="337">
        <f t="shared" si="41"/>
        <v>15750</v>
      </c>
    </row>
    <row r="1147" spans="1:9" ht="15" customHeight="1">
      <c r="A1147" s="335">
        <v>40702</v>
      </c>
      <c r="B1147" s="336">
        <v>15500</v>
      </c>
      <c r="C1147" s="336">
        <v>16000</v>
      </c>
      <c r="D1147" s="337">
        <f t="shared" ref="D1147:D1152" si="42">AVERAGE(B1147:C1147)</f>
        <v>15750</v>
      </c>
    </row>
    <row r="1148" spans="1:9" ht="15" customHeight="1">
      <c r="A1148" s="335">
        <v>40703</v>
      </c>
      <c r="B1148" s="336">
        <v>15500</v>
      </c>
      <c r="C1148" s="336">
        <v>16000</v>
      </c>
      <c r="D1148" s="337">
        <f t="shared" si="42"/>
        <v>15750</v>
      </c>
    </row>
    <row r="1149" spans="1:9" ht="15" customHeight="1">
      <c r="A1149" s="335">
        <v>40704</v>
      </c>
      <c r="B1149" s="336">
        <v>15500</v>
      </c>
      <c r="C1149" s="336">
        <v>16000</v>
      </c>
      <c r="D1149" s="337">
        <f t="shared" si="42"/>
        <v>15750</v>
      </c>
    </row>
    <row r="1150" spans="1:9" ht="15" customHeight="1">
      <c r="A1150" s="335">
        <v>40707</v>
      </c>
      <c r="B1150" s="336">
        <v>15500</v>
      </c>
      <c r="C1150" s="336">
        <v>16000</v>
      </c>
      <c r="D1150" s="337">
        <f t="shared" si="42"/>
        <v>15750</v>
      </c>
    </row>
    <row r="1151" spans="1:9" ht="15" customHeight="1">
      <c r="A1151" s="335">
        <v>40708</v>
      </c>
      <c r="B1151" s="336">
        <v>15500</v>
      </c>
      <c r="C1151" s="336">
        <v>16000</v>
      </c>
      <c r="D1151" s="337">
        <f t="shared" si="42"/>
        <v>15750</v>
      </c>
    </row>
    <row r="1152" spans="1:9" ht="15" customHeight="1">
      <c r="A1152" s="335">
        <v>40709</v>
      </c>
      <c r="B1152" s="336">
        <v>15500</v>
      </c>
      <c r="C1152" s="336">
        <v>16000</v>
      </c>
      <c r="D1152" s="337">
        <f t="shared" si="42"/>
        <v>15750</v>
      </c>
    </row>
    <row r="1153" spans="1:9" ht="15" customHeight="1">
      <c r="A1153" s="335">
        <v>40710</v>
      </c>
      <c r="B1153" s="336">
        <v>15500</v>
      </c>
      <c r="C1153" s="336">
        <v>16000</v>
      </c>
      <c r="D1153" s="337">
        <f t="shared" ref="D1153:D1158" si="43">AVERAGE(B1153:C1153)</f>
        <v>15750</v>
      </c>
    </row>
    <row r="1154" spans="1:9" ht="15" customHeight="1">
      <c r="A1154" s="335">
        <v>40711</v>
      </c>
      <c r="B1154" s="336">
        <v>15500</v>
      </c>
      <c r="C1154" s="336">
        <v>16000</v>
      </c>
      <c r="D1154" s="337">
        <f t="shared" si="43"/>
        <v>15750</v>
      </c>
    </row>
    <row r="1155" spans="1:9" ht="15" customHeight="1">
      <c r="A1155" s="335">
        <v>40714</v>
      </c>
      <c r="B1155" s="336">
        <v>15500</v>
      </c>
      <c r="C1155" s="336">
        <v>16000</v>
      </c>
      <c r="D1155" s="337">
        <f t="shared" si="43"/>
        <v>15750</v>
      </c>
    </row>
    <row r="1156" spans="1:9" ht="15" customHeight="1">
      <c r="A1156" s="335">
        <v>40715</v>
      </c>
      <c r="B1156" s="336">
        <v>15500</v>
      </c>
      <c r="C1156" s="336">
        <v>16000</v>
      </c>
      <c r="D1156" s="337">
        <f t="shared" si="43"/>
        <v>15750</v>
      </c>
    </row>
    <row r="1157" spans="1:9" ht="15" customHeight="1">
      <c r="A1157" s="335">
        <v>40716</v>
      </c>
      <c r="B1157" s="336">
        <v>15500</v>
      </c>
      <c r="C1157" s="336">
        <v>16000</v>
      </c>
      <c r="D1157" s="337">
        <f t="shared" si="43"/>
        <v>15750</v>
      </c>
    </row>
    <row r="1158" spans="1:9" ht="15" customHeight="1">
      <c r="A1158" s="335">
        <v>40717</v>
      </c>
      <c r="B1158" s="336">
        <v>15500</v>
      </c>
      <c r="C1158" s="336">
        <v>16000</v>
      </c>
      <c r="D1158" s="337">
        <f t="shared" si="43"/>
        <v>15750</v>
      </c>
    </row>
    <row r="1159" spans="1:9" ht="15" customHeight="1">
      <c r="A1159" s="335">
        <v>40718</v>
      </c>
      <c r="B1159" s="336">
        <v>14000</v>
      </c>
      <c r="C1159" s="336">
        <v>15000</v>
      </c>
      <c r="D1159" s="337">
        <f t="shared" ref="D1159:D1164" si="44">AVERAGE(B1159:C1159)</f>
        <v>14500</v>
      </c>
    </row>
    <row r="1160" spans="1:9" ht="15" customHeight="1">
      <c r="A1160" s="335">
        <v>40721</v>
      </c>
      <c r="B1160" s="336">
        <v>14000</v>
      </c>
      <c r="C1160" s="336">
        <v>15000</v>
      </c>
      <c r="D1160" s="337">
        <f t="shared" si="44"/>
        <v>14500</v>
      </c>
    </row>
    <row r="1161" spans="1:9" ht="15" customHeight="1">
      <c r="A1161" s="335">
        <v>40722</v>
      </c>
      <c r="B1161" s="336">
        <v>14000</v>
      </c>
      <c r="C1161" s="336">
        <v>15000</v>
      </c>
      <c r="D1161" s="337">
        <f t="shared" si="44"/>
        <v>14500</v>
      </c>
    </row>
    <row r="1162" spans="1:9" ht="15" customHeight="1">
      <c r="A1162" s="335">
        <v>40723</v>
      </c>
      <c r="B1162" s="336">
        <v>14000</v>
      </c>
      <c r="C1162" s="336">
        <v>15000</v>
      </c>
      <c r="D1162" s="337">
        <f t="shared" si="44"/>
        <v>14500</v>
      </c>
    </row>
    <row r="1163" spans="1:9" ht="15" customHeight="1" thickBot="1">
      <c r="A1163" s="340">
        <v>40724</v>
      </c>
      <c r="B1163" s="341">
        <v>14000</v>
      </c>
      <c r="C1163" s="341">
        <v>15000</v>
      </c>
      <c r="D1163" s="342">
        <f t="shared" si="44"/>
        <v>14500</v>
      </c>
      <c r="E1163" s="360">
        <f>AVERAGE(D1142:D1163)</f>
        <v>15511.363636363636</v>
      </c>
      <c r="F1163" s="360"/>
      <c r="G1163" s="344">
        <f>AVERAGE(D1099:D1163)</f>
        <v>16234.166666666666</v>
      </c>
      <c r="H1163" s="354"/>
      <c r="I1163" s="358"/>
    </row>
    <row r="1164" spans="1:9" ht="15" customHeight="1">
      <c r="A1164" s="335">
        <v>40725</v>
      </c>
      <c r="B1164" s="336">
        <v>13500</v>
      </c>
      <c r="C1164" s="336">
        <v>14500</v>
      </c>
      <c r="D1164" s="337">
        <f t="shared" si="44"/>
        <v>14000</v>
      </c>
    </row>
    <row r="1165" spans="1:9" ht="15" customHeight="1">
      <c r="A1165" s="335">
        <v>40728</v>
      </c>
      <c r="B1165" s="336">
        <v>13500</v>
      </c>
      <c r="C1165" s="336">
        <v>14500</v>
      </c>
      <c r="D1165" s="337">
        <f t="shared" ref="D1165:D1170" si="45">AVERAGE(B1165:C1165)</f>
        <v>14000</v>
      </c>
    </row>
    <row r="1166" spans="1:9" ht="15" customHeight="1">
      <c r="A1166" s="335">
        <v>40729</v>
      </c>
      <c r="B1166" s="336">
        <v>13500</v>
      </c>
      <c r="C1166" s="336">
        <v>14500</v>
      </c>
      <c r="D1166" s="337">
        <f t="shared" si="45"/>
        <v>14000</v>
      </c>
    </row>
    <row r="1167" spans="1:9" ht="15" customHeight="1">
      <c r="A1167" s="335">
        <v>40730</v>
      </c>
      <c r="B1167" s="336">
        <v>13500</v>
      </c>
      <c r="C1167" s="336">
        <v>14500</v>
      </c>
      <c r="D1167" s="337">
        <f t="shared" si="45"/>
        <v>14000</v>
      </c>
    </row>
    <row r="1168" spans="1:9" ht="15" customHeight="1">
      <c r="A1168" s="335">
        <v>40731</v>
      </c>
      <c r="B1168" s="336">
        <v>13500</v>
      </c>
      <c r="C1168" s="336">
        <v>14500</v>
      </c>
      <c r="D1168" s="337">
        <f t="shared" si="45"/>
        <v>14000</v>
      </c>
    </row>
    <row r="1169" spans="1:9" ht="15" customHeight="1">
      <c r="A1169" s="335">
        <v>40732</v>
      </c>
      <c r="B1169" s="336">
        <v>13500</v>
      </c>
      <c r="C1169" s="336">
        <v>14500</v>
      </c>
      <c r="D1169" s="337">
        <f t="shared" si="45"/>
        <v>14000</v>
      </c>
    </row>
    <row r="1170" spans="1:9" ht="15" customHeight="1">
      <c r="A1170" s="335">
        <v>40735</v>
      </c>
      <c r="B1170" s="336">
        <v>13500</v>
      </c>
      <c r="C1170" s="336">
        <v>14500</v>
      </c>
      <c r="D1170" s="337">
        <f t="shared" si="45"/>
        <v>14000</v>
      </c>
    </row>
    <row r="1171" spans="1:9" ht="15" customHeight="1">
      <c r="A1171" s="335">
        <v>40736</v>
      </c>
      <c r="B1171" s="336">
        <v>13500</v>
      </c>
      <c r="C1171" s="336">
        <v>14500</v>
      </c>
      <c r="D1171" s="337">
        <f t="shared" ref="D1171:D1176" si="46">AVERAGE(B1171:C1171)</f>
        <v>14000</v>
      </c>
    </row>
    <row r="1172" spans="1:9" ht="15" customHeight="1">
      <c r="A1172" s="335">
        <v>40737</v>
      </c>
      <c r="B1172" s="336">
        <v>13500</v>
      </c>
      <c r="C1172" s="336">
        <v>14500</v>
      </c>
      <c r="D1172" s="337">
        <f t="shared" si="46"/>
        <v>14000</v>
      </c>
    </row>
    <row r="1173" spans="1:9" ht="15" customHeight="1">
      <c r="A1173" s="335">
        <v>40738</v>
      </c>
      <c r="B1173" s="336">
        <v>13500</v>
      </c>
      <c r="C1173" s="336">
        <v>14500</v>
      </c>
      <c r="D1173" s="337">
        <f t="shared" si="46"/>
        <v>14000</v>
      </c>
    </row>
    <row r="1174" spans="1:9" ht="15" customHeight="1">
      <c r="A1174" s="335">
        <v>40739</v>
      </c>
      <c r="B1174" s="336">
        <v>13500</v>
      </c>
      <c r="C1174" s="336">
        <v>14500</v>
      </c>
      <c r="D1174" s="337">
        <f t="shared" si="46"/>
        <v>14000</v>
      </c>
    </row>
    <row r="1175" spans="1:9" ht="15" customHeight="1">
      <c r="A1175" s="335">
        <v>40742</v>
      </c>
      <c r="B1175" s="336">
        <v>13500</v>
      </c>
      <c r="C1175" s="336">
        <v>14500</v>
      </c>
      <c r="D1175" s="337">
        <f t="shared" si="46"/>
        <v>14000</v>
      </c>
    </row>
    <row r="1176" spans="1:9" ht="15" customHeight="1">
      <c r="A1176" s="335">
        <v>40743</v>
      </c>
      <c r="B1176" s="336">
        <v>13500</v>
      </c>
      <c r="C1176" s="336">
        <v>14500</v>
      </c>
      <c r="D1176" s="337">
        <f t="shared" si="46"/>
        <v>14000</v>
      </c>
    </row>
    <row r="1177" spans="1:9" ht="15" customHeight="1">
      <c r="A1177" s="335">
        <v>40744</v>
      </c>
      <c r="B1177" s="336">
        <v>13500</v>
      </c>
      <c r="C1177" s="336">
        <v>14500</v>
      </c>
      <c r="D1177" s="337">
        <f t="shared" ref="D1177:D1182" si="47">AVERAGE(B1177:C1177)</f>
        <v>14000</v>
      </c>
    </row>
    <row r="1178" spans="1:9" ht="15" customHeight="1">
      <c r="A1178" s="335">
        <v>40745</v>
      </c>
      <c r="B1178" s="336">
        <v>13500</v>
      </c>
      <c r="C1178" s="336">
        <v>14500</v>
      </c>
      <c r="D1178" s="337">
        <f t="shared" si="47"/>
        <v>14000</v>
      </c>
    </row>
    <row r="1179" spans="1:9" ht="15" customHeight="1">
      <c r="A1179" s="335">
        <v>40746</v>
      </c>
      <c r="B1179" s="336">
        <v>13500</v>
      </c>
      <c r="C1179" s="336">
        <v>14500</v>
      </c>
      <c r="D1179" s="337">
        <f t="shared" si="47"/>
        <v>14000</v>
      </c>
    </row>
    <row r="1180" spans="1:9" ht="15" customHeight="1">
      <c r="A1180" s="335">
        <v>40749</v>
      </c>
      <c r="B1180" s="336">
        <v>13500</v>
      </c>
      <c r="C1180" s="336">
        <v>14500</v>
      </c>
      <c r="D1180" s="337">
        <f t="shared" si="47"/>
        <v>14000</v>
      </c>
    </row>
    <row r="1181" spans="1:9" ht="15" customHeight="1">
      <c r="A1181" s="335">
        <v>40750</v>
      </c>
      <c r="B1181" s="336">
        <v>14000</v>
      </c>
      <c r="C1181" s="336">
        <v>14500</v>
      </c>
      <c r="D1181" s="337">
        <f t="shared" si="47"/>
        <v>14250</v>
      </c>
    </row>
    <row r="1182" spans="1:9" ht="15" customHeight="1">
      <c r="A1182" s="335">
        <v>40751</v>
      </c>
      <c r="B1182" s="336">
        <v>14000</v>
      </c>
      <c r="C1182" s="336">
        <v>14500</v>
      </c>
      <c r="D1182" s="337">
        <f t="shared" si="47"/>
        <v>14250</v>
      </c>
    </row>
    <row r="1183" spans="1:9" ht="15" customHeight="1">
      <c r="A1183" s="335">
        <v>40752</v>
      </c>
      <c r="B1183" s="336">
        <v>14000</v>
      </c>
      <c r="C1183" s="336">
        <v>14500</v>
      </c>
      <c r="D1183" s="337">
        <f t="shared" ref="D1183:D1188" si="48">AVERAGE(B1183:C1183)</f>
        <v>14250</v>
      </c>
    </row>
    <row r="1184" spans="1:9" ht="15" customHeight="1" thickBot="1">
      <c r="A1184" s="340">
        <v>40753</v>
      </c>
      <c r="B1184" s="341">
        <v>14500</v>
      </c>
      <c r="C1184" s="341">
        <v>15000</v>
      </c>
      <c r="D1184" s="342">
        <f t="shared" si="48"/>
        <v>14750</v>
      </c>
      <c r="E1184" s="360">
        <f>AVERAGE(D1164:D1184)</f>
        <v>14071.428571428571</v>
      </c>
      <c r="F1184" s="360"/>
      <c r="G1184" s="344"/>
      <c r="H1184" s="354"/>
      <c r="I1184" s="358"/>
    </row>
    <row r="1185" spans="1:4" ht="15" customHeight="1">
      <c r="A1185" s="335">
        <v>40756</v>
      </c>
      <c r="B1185" s="336">
        <v>14500</v>
      </c>
      <c r="C1185" s="336">
        <v>15000</v>
      </c>
      <c r="D1185" s="337">
        <f t="shared" si="48"/>
        <v>14750</v>
      </c>
    </row>
    <row r="1186" spans="1:4" ht="15" customHeight="1">
      <c r="A1186" s="335">
        <v>40757</v>
      </c>
      <c r="B1186" s="336">
        <v>14500</v>
      </c>
      <c r="C1186" s="336">
        <v>15000</v>
      </c>
      <c r="D1186" s="337">
        <f t="shared" si="48"/>
        <v>14750</v>
      </c>
    </row>
    <row r="1187" spans="1:4" ht="15" customHeight="1">
      <c r="A1187" s="335">
        <v>40758</v>
      </c>
      <c r="B1187" s="336">
        <v>14500</v>
      </c>
      <c r="C1187" s="336">
        <v>15000</v>
      </c>
      <c r="D1187" s="337">
        <f t="shared" si="48"/>
        <v>14750</v>
      </c>
    </row>
    <row r="1188" spans="1:4" ht="15" customHeight="1">
      <c r="A1188" s="335">
        <v>40759</v>
      </c>
      <c r="B1188" s="336">
        <v>14500</v>
      </c>
      <c r="C1188" s="336">
        <v>15000</v>
      </c>
      <c r="D1188" s="337">
        <f t="shared" si="48"/>
        <v>14750</v>
      </c>
    </row>
    <row r="1189" spans="1:4" ht="15" customHeight="1">
      <c r="A1189" s="335">
        <v>40760</v>
      </c>
      <c r="B1189" s="336">
        <v>14500</v>
      </c>
      <c r="C1189" s="336">
        <v>15000</v>
      </c>
      <c r="D1189" s="337">
        <f t="shared" ref="D1189:D1195" si="49">AVERAGE(B1189:C1189)</f>
        <v>14750</v>
      </c>
    </row>
    <row r="1190" spans="1:4" ht="15" customHeight="1">
      <c r="A1190" s="335">
        <v>40763</v>
      </c>
      <c r="B1190" s="336">
        <v>14500</v>
      </c>
      <c r="C1190" s="336">
        <v>15000</v>
      </c>
      <c r="D1190" s="337">
        <f t="shared" si="49"/>
        <v>14750</v>
      </c>
    </row>
    <row r="1191" spans="1:4" ht="15" customHeight="1">
      <c r="A1191" s="335">
        <v>40764</v>
      </c>
      <c r="B1191" s="336">
        <v>14500</v>
      </c>
      <c r="C1191" s="336">
        <v>15000</v>
      </c>
      <c r="D1191" s="337">
        <f t="shared" si="49"/>
        <v>14750</v>
      </c>
    </row>
    <row r="1192" spans="1:4" ht="15" customHeight="1">
      <c r="A1192" s="335">
        <v>40765</v>
      </c>
      <c r="B1192" s="336">
        <v>14500</v>
      </c>
      <c r="C1192" s="336">
        <v>15000</v>
      </c>
      <c r="D1192" s="337">
        <f t="shared" si="49"/>
        <v>14750</v>
      </c>
    </row>
    <row r="1193" spans="1:4" ht="15" customHeight="1">
      <c r="A1193" s="335">
        <v>40766</v>
      </c>
      <c r="B1193" s="336">
        <v>14500</v>
      </c>
      <c r="C1193" s="336">
        <v>15000</v>
      </c>
      <c r="D1193" s="337">
        <f t="shared" si="49"/>
        <v>14750</v>
      </c>
    </row>
    <row r="1194" spans="1:4" ht="15" customHeight="1">
      <c r="A1194" s="335">
        <v>40767</v>
      </c>
      <c r="B1194" s="336">
        <v>14500</v>
      </c>
      <c r="C1194" s="336">
        <v>15000</v>
      </c>
      <c r="D1194" s="337">
        <f t="shared" si="49"/>
        <v>14750</v>
      </c>
    </row>
    <row r="1195" spans="1:4" ht="15" customHeight="1">
      <c r="A1195" s="335">
        <v>40770</v>
      </c>
      <c r="B1195" s="336">
        <v>14500</v>
      </c>
      <c r="C1195" s="336">
        <v>15000</v>
      </c>
      <c r="D1195" s="337">
        <f t="shared" si="49"/>
        <v>14750</v>
      </c>
    </row>
    <row r="1196" spans="1:4" ht="15" customHeight="1">
      <c r="A1196" s="335">
        <v>40771</v>
      </c>
      <c r="B1196" s="336">
        <v>14500</v>
      </c>
      <c r="C1196" s="336">
        <v>15000</v>
      </c>
      <c r="D1196" s="337">
        <f t="shared" ref="D1196:D1201" si="50">AVERAGE(B1196:C1196)</f>
        <v>14750</v>
      </c>
    </row>
    <row r="1197" spans="1:4" ht="15" customHeight="1">
      <c r="A1197" s="335">
        <v>40772</v>
      </c>
      <c r="B1197" s="336">
        <v>14500</v>
      </c>
      <c r="C1197" s="336">
        <v>15000</v>
      </c>
      <c r="D1197" s="337">
        <f t="shared" si="50"/>
        <v>14750</v>
      </c>
    </row>
    <row r="1198" spans="1:4" ht="15" customHeight="1">
      <c r="A1198" s="335">
        <v>40773</v>
      </c>
      <c r="B1198" s="336">
        <v>14500</v>
      </c>
      <c r="C1198" s="336">
        <v>15000</v>
      </c>
      <c r="D1198" s="337">
        <f t="shared" si="50"/>
        <v>14750</v>
      </c>
    </row>
    <row r="1199" spans="1:4" ht="15" customHeight="1">
      <c r="A1199" s="335">
        <v>40774</v>
      </c>
      <c r="B1199" s="336">
        <v>14500</v>
      </c>
      <c r="C1199" s="336">
        <v>15000</v>
      </c>
      <c r="D1199" s="337">
        <f t="shared" si="50"/>
        <v>14750</v>
      </c>
    </row>
    <row r="1200" spans="1:4" ht="15" customHeight="1">
      <c r="A1200" s="335">
        <v>40777</v>
      </c>
      <c r="B1200" s="336">
        <v>14500</v>
      </c>
      <c r="C1200" s="336">
        <v>15000</v>
      </c>
      <c r="D1200" s="337">
        <f t="shared" si="50"/>
        <v>14750</v>
      </c>
    </row>
    <row r="1201" spans="1:9" ht="15" customHeight="1">
      <c r="A1201" s="335">
        <v>40778</v>
      </c>
      <c r="B1201" s="336">
        <v>14500</v>
      </c>
      <c r="C1201" s="336">
        <v>15000</v>
      </c>
      <c r="D1201" s="337">
        <f t="shared" si="50"/>
        <v>14750</v>
      </c>
    </row>
    <row r="1202" spans="1:9" ht="15" customHeight="1">
      <c r="A1202" s="335">
        <v>40779</v>
      </c>
      <c r="B1202" s="336">
        <v>14500</v>
      </c>
      <c r="C1202" s="336">
        <v>15000</v>
      </c>
      <c r="D1202" s="337">
        <f>AVERAGE(B1202:C1202)</f>
        <v>14750</v>
      </c>
    </row>
    <row r="1203" spans="1:9" ht="15" customHeight="1">
      <c r="A1203" s="335">
        <v>40780</v>
      </c>
      <c r="B1203" s="336">
        <v>14500</v>
      </c>
      <c r="C1203" s="336">
        <v>15000</v>
      </c>
      <c r="D1203" s="337">
        <f>AVERAGE(B1203:C1203)</f>
        <v>14750</v>
      </c>
    </row>
    <row r="1204" spans="1:9" ht="15" customHeight="1">
      <c r="A1204" s="335">
        <v>40781</v>
      </c>
      <c r="B1204" s="336">
        <v>14500</v>
      </c>
      <c r="C1204" s="336">
        <v>15000</v>
      </c>
      <c r="D1204" s="337">
        <f>AVERAGE(B1204:C1204)</f>
        <v>14750</v>
      </c>
    </row>
    <row r="1205" spans="1:9" ht="15" customHeight="1">
      <c r="A1205" s="335">
        <v>40784</v>
      </c>
      <c r="B1205" s="1417" t="s">
        <v>84</v>
      </c>
      <c r="C1205" s="1417"/>
      <c r="D1205" s="1417"/>
      <c r="E1205" s="1417"/>
      <c r="F1205" s="1417"/>
      <c r="G1205" s="1417"/>
      <c r="H1205" s="1417"/>
      <c r="I1205" s="1417"/>
    </row>
    <row r="1206" spans="1:9" ht="15" customHeight="1">
      <c r="A1206" s="335">
        <v>40785</v>
      </c>
      <c r="B1206" s="345">
        <v>14500</v>
      </c>
      <c r="C1206" s="345">
        <v>15000</v>
      </c>
      <c r="D1206" s="346">
        <f t="shared" ref="D1206:D1211" si="51">AVERAGE(B1206:C1206)</f>
        <v>14750</v>
      </c>
      <c r="E1206" s="347"/>
      <c r="F1206" s="347"/>
      <c r="G1206" s="365"/>
      <c r="I1206" s="366"/>
    </row>
    <row r="1207" spans="1:9" ht="15" customHeight="1" thickBot="1">
      <c r="A1207" s="340">
        <v>40786</v>
      </c>
      <c r="B1207" s="341">
        <v>14500</v>
      </c>
      <c r="C1207" s="341">
        <v>15000</v>
      </c>
      <c r="D1207" s="342">
        <f t="shared" si="51"/>
        <v>14750</v>
      </c>
      <c r="E1207" s="360">
        <f>AVERAGE(D1185:D1207)</f>
        <v>14750</v>
      </c>
      <c r="F1207" s="360"/>
      <c r="G1207" s="344"/>
      <c r="H1207" s="354"/>
      <c r="I1207" s="358"/>
    </row>
    <row r="1208" spans="1:9" ht="15" customHeight="1">
      <c r="A1208" s="335">
        <v>40787</v>
      </c>
      <c r="B1208" s="336">
        <v>14500</v>
      </c>
      <c r="C1208" s="336">
        <v>15000</v>
      </c>
      <c r="D1208" s="337">
        <f t="shared" si="51"/>
        <v>14750</v>
      </c>
    </row>
    <row r="1209" spans="1:9" ht="15" customHeight="1">
      <c r="A1209" s="335">
        <v>40788</v>
      </c>
      <c r="B1209" s="336">
        <v>14500</v>
      </c>
      <c r="C1209" s="336">
        <v>15000</v>
      </c>
      <c r="D1209" s="337">
        <f t="shared" si="51"/>
        <v>14750</v>
      </c>
    </row>
    <row r="1210" spans="1:9" ht="15" customHeight="1">
      <c r="A1210" s="335">
        <v>40791</v>
      </c>
      <c r="B1210" s="336">
        <v>14500</v>
      </c>
      <c r="C1210" s="336">
        <v>15000</v>
      </c>
      <c r="D1210" s="337">
        <f t="shared" si="51"/>
        <v>14750</v>
      </c>
    </row>
    <row r="1211" spans="1:9" ht="15" customHeight="1">
      <c r="A1211" s="335">
        <v>40792</v>
      </c>
      <c r="B1211" s="336">
        <v>14500</v>
      </c>
      <c r="C1211" s="336">
        <v>15000</v>
      </c>
      <c r="D1211" s="337">
        <f t="shared" si="51"/>
        <v>14750</v>
      </c>
    </row>
    <row r="1212" spans="1:9" ht="15" customHeight="1">
      <c r="A1212" s="335">
        <v>40793</v>
      </c>
      <c r="B1212" s="336">
        <v>14500</v>
      </c>
      <c r="C1212" s="336">
        <v>15000</v>
      </c>
      <c r="D1212" s="337">
        <f t="shared" ref="D1212:D1217" si="52">AVERAGE(B1212:C1212)</f>
        <v>14750</v>
      </c>
    </row>
    <row r="1213" spans="1:9" ht="15" customHeight="1">
      <c r="A1213" s="335">
        <v>40794</v>
      </c>
      <c r="B1213" s="336">
        <v>14500</v>
      </c>
      <c r="C1213" s="336">
        <v>15000</v>
      </c>
      <c r="D1213" s="337">
        <f t="shared" si="52"/>
        <v>14750</v>
      </c>
    </row>
    <row r="1214" spans="1:9" ht="15" customHeight="1">
      <c r="A1214" s="335">
        <v>40795</v>
      </c>
      <c r="B1214" s="336">
        <v>15300</v>
      </c>
      <c r="C1214" s="336">
        <v>15800</v>
      </c>
      <c r="D1214" s="337">
        <f t="shared" si="52"/>
        <v>15550</v>
      </c>
    </row>
    <row r="1215" spans="1:9" ht="15" customHeight="1">
      <c r="A1215" s="335">
        <v>40798</v>
      </c>
      <c r="B1215" s="336">
        <v>15300</v>
      </c>
      <c r="C1215" s="336">
        <v>15800</v>
      </c>
      <c r="D1215" s="337">
        <f t="shared" si="52"/>
        <v>15550</v>
      </c>
    </row>
    <row r="1216" spans="1:9" ht="15" customHeight="1">
      <c r="A1216" s="335">
        <v>40799</v>
      </c>
      <c r="B1216" s="336">
        <v>15300</v>
      </c>
      <c r="C1216" s="336">
        <v>15800</v>
      </c>
      <c r="D1216" s="337">
        <f t="shared" si="52"/>
        <v>15550</v>
      </c>
    </row>
    <row r="1217" spans="1:9" ht="15" customHeight="1">
      <c r="A1217" s="335">
        <v>40800</v>
      </c>
      <c r="B1217" s="336">
        <v>15300</v>
      </c>
      <c r="C1217" s="336">
        <v>15800</v>
      </c>
      <c r="D1217" s="337">
        <f t="shared" si="52"/>
        <v>15550</v>
      </c>
    </row>
    <row r="1218" spans="1:9" ht="15" customHeight="1">
      <c r="A1218" s="335">
        <v>40801</v>
      </c>
      <c r="B1218" s="336">
        <v>15300</v>
      </c>
      <c r="C1218" s="336">
        <v>15800</v>
      </c>
      <c r="D1218" s="337">
        <f t="shared" ref="D1218:D1223" si="53">AVERAGE(B1218:C1218)</f>
        <v>15550</v>
      </c>
    </row>
    <row r="1219" spans="1:9" ht="15" customHeight="1">
      <c r="A1219" s="335">
        <v>40802</v>
      </c>
      <c r="B1219" s="336">
        <v>15300</v>
      </c>
      <c r="C1219" s="336">
        <v>15800</v>
      </c>
      <c r="D1219" s="337">
        <f t="shared" si="53"/>
        <v>15550</v>
      </c>
    </row>
    <row r="1220" spans="1:9" ht="15" customHeight="1">
      <c r="A1220" s="335">
        <v>40805</v>
      </c>
      <c r="B1220" s="336">
        <v>15300</v>
      </c>
      <c r="C1220" s="336">
        <v>15800</v>
      </c>
      <c r="D1220" s="337">
        <f t="shared" si="53"/>
        <v>15550</v>
      </c>
    </row>
    <row r="1221" spans="1:9" ht="15" customHeight="1">
      <c r="A1221" s="335">
        <v>40806</v>
      </c>
      <c r="B1221" s="336">
        <v>15300</v>
      </c>
      <c r="C1221" s="336">
        <v>15800</v>
      </c>
      <c r="D1221" s="337">
        <f t="shared" si="53"/>
        <v>15550</v>
      </c>
    </row>
    <row r="1222" spans="1:9" ht="15" customHeight="1">
      <c r="A1222" s="335">
        <v>40807</v>
      </c>
      <c r="B1222" s="336">
        <v>15300</v>
      </c>
      <c r="C1222" s="336">
        <v>15800</v>
      </c>
      <c r="D1222" s="337">
        <f t="shared" si="53"/>
        <v>15550</v>
      </c>
    </row>
    <row r="1223" spans="1:9" ht="15" customHeight="1">
      <c r="A1223" s="335">
        <v>40808</v>
      </c>
      <c r="B1223" s="336">
        <v>15300</v>
      </c>
      <c r="C1223" s="336">
        <v>15800</v>
      </c>
      <c r="D1223" s="337">
        <f t="shared" si="53"/>
        <v>15550</v>
      </c>
    </row>
    <row r="1224" spans="1:9" ht="15" customHeight="1">
      <c r="A1224" s="335">
        <v>40809</v>
      </c>
      <c r="B1224" s="336">
        <v>15300</v>
      </c>
      <c r="C1224" s="336">
        <v>15800</v>
      </c>
      <c r="D1224" s="337">
        <f t="shared" ref="D1224:D1230" si="54">AVERAGE(B1224:C1224)</f>
        <v>15550</v>
      </c>
    </row>
    <row r="1225" spans="1:9" ht="15" customHeight="1">
      <c r="A1225" s="335">
        <v>40812</v>
      </c>
      <c r="B1225" s="336">
        <v>15300</v>
      </c>
      <c r="C1225" s="336">
        <v>15800</v>
      </c>
      <c r="D1225" s="337">
        <f t="shared" si="54"/>
        <v>15550</v>
      </c>
    </row>
    <row r="1226" spans="1:9" ht="15" customHeight="1">
      <c r="A1226" s="335">
        <v>40813</v>
      </c>
      <c r="B1226" s="336">
        <v>15300</v>
      </c>
      <c r="C1226" s="336">
        <v>15800</v>
      </c>
      <c r="D1226" s="337">
        <f t="shared" si="54"/>
        <v>15550</v>
      </c>
    </row>
    <row r="1227" spans="1:9" ht="15" customHeight="1">
      <c r="A1227" s="335">
        <v>40814</v>
      </c>
      <c r="B1227" s="336">
        <v>15300</v>
      </c>
      <c r="C1227" s="336">
        <v>15800</v>
      </c>
      <c r="D1227" s="337">
        <f t="shared" si="54"/>
        <v>15550</v>
      </c>
    </row>
    <row r="1228" spans="1:9" ht="15" customHeight="1">
      <c r="A1228" s="335">
        <v>40815</v>
      </c>
      <c r="B1228" s="336">
        <v>15300</v>
      </c>
      <c r="C1228" s="336">
        <v>15800</v>
      </c>
      <c r="D1228" s="337">
        <f t="shared" si="54"/>
        <v>15550</v>
      </c>
    </row>
    <row r="1229" spans="1:9" ht="15" customHeight="1" thickBot="1">
      <c r="A1229" s="340">
        <v>40816</v>
      </c>
      <c r="B1229" s="341">
        <v>15300</v>
      </c>
      <c r="C1229" s="341">
        <v>15800</v>
      </c>
      <c r="D1229" s="342">
        <f t="shared" si="54"/>
        <v>15550</v>
      </c>
      <c r="E1229" s="360">
        <f>AVERAGE(D1208:D1229)</f>
        <v>15331.818181818182</v>
      </c>
      <c r="F1229" s="360"/>
      <c r="G1229" s="344">
        <f>AVERAGE(D1164:D1229)</f>
        <v>14727.692307692309</v>
      </c>
      <c r="H1229" s="354"/>
      <c r="I1229" s="358"/>
    </row>
    <row r="1230" spans="1:9" ht="15" customHeight="1">
      <c r="A1230" s="335">
        <v>40819</v>
      </c>
      <c r="B1230" s="336">
        <v>15300</v>
      </c>
      <c r="C1230" s="336">
        <v>15800</v>
      </c>
      <c r="D1230" s="337">
        <f t="shared" si="54"/>
        <v>15550</v>
      </c>
    </row>
    <row r="1231" spans="1:9" ht="15" customHeight="1">
      <c r="A1231" s="335">
        <v>40820</v>
      </c>
      <c r="B1231" s="336">
        <v>15300</v>
      </c>
      <c r="C1231" s="336">
        <v>15800</v>
      </c>
      <c r="D1231" s="337">
        <f t="shared" ref="D1231:D1236" si="55">AVERAGE(B1231:C1231)</f>
        <v>15550</v>
      </c>
    </row>
    <row r="1232" spans="1:9" ht="15" customHeight="1">
      <c r="A1232" s="335">
        <v>40821</v>
      </c>
      <c r="B1232" s="336">
        <v>15300</v>
      </c>
      <c r="C1232" s="336">
        <v>15800</v>
      </c>
      <c r="D1232" s="337">
        <f t="shared" si="55"/>
        <v>15550</v>
      </c>
    </row>
    <row r="1233" spans="1:4" ht="15" customHeight="1">
      <c r="A1233" s="335">
        <v>40822</v>
      </c>
      <c r="B1233" s="336">
        <v>15300</v>
      </c>
      <c r="C1233" s="336">
        <v>15800</v>
      </c>
      <c r="D1233" s="337">
        <f t="shared" si="55"/>
        <v>15550</v>
      </c>
    </row>
    <row r="1234" spans="1:4" ht="15" customHeight="1">
      <c r="A1234" s="335">
        <v>40823</v>
      </c>
      <c r="B1234" s="336">
        <v>15000</v>
      </c>
      <c r="C1234" s="336">
        <v>15600</v>
      </c>
      <c r="D1234" s="337">
        <f t="shared" si="55"/>
        <v>15300</v>
      </c>
    </row>
    <row r="1235" spans="1:4" ht="15" customHeight="1">
      <c r="A1235" s="335">
        <v>40826</v>
      </c>
      <c r="B1235" s="336">
        <v>15000</v>
      </c>
      <c r="C1235" s="336">
        <v>15600</v>
      </c>
      <c r="D1235" s="337">
        <f t="shared" si="55"/>
        <v>15300</v>
      </c>
    </row>
    <row r="1236" spans="1:4" ht="15" customHeight="1">
      <c r="A1236" s="335">
        <v>40827</v>
      </c>
      <c r="B1236" s="336">
        <v>15000</v>
      </c>
      <c r="C1236" s="336">
        <v>15600</v>
      </c>
      <c r="D1236" s="337">
        <f t="shared" si="55"/>
        <v>15300</v>
      </c>
    </row>
    <row r="1237" spans="1:4" ht="15" customHeight="1">
      <c r="A1237" s="335">
        <v>40828</v>
      </c>
      <c r="B1237" s="336">
        <v>15000</v>
      </c>
      <c r="C1237" s="336">
        <v>15600</v>
      </c>
      <c r="D1237" s="337">
        <f t="shared" ref="D1237:D1242" si="56">AVERAGE(B1237:C1237)</f>
        <v>15300</v>
      </c>
    </row>
    <row r="1238" spans="1:4" ht="15" customHeight="1">
      <c r="A1238" s="335">
        <v>40829</v>
      </c>
      <c r="B1238" s="336">
        <v>15000</v>
      </c>
      <c r="C1238" s="336">
        <v>15600</v>
      </c>
      <c r="D1238" s="337">
        <f t="shared" si="56"/>
        <v>15300</v>
      </c>
    </row>
    <row r="1239" spans="1:4" ht="15" customHeight="1">
      <c r="A1239" s="335">
        <v>40830</v>
      </c>
      <c r="B1239" s="336">
        <v>14600</v>
      </c>
      <c r="C1239" s="336">
        <v>15200</v>
      </c>
      <c r="D1239" s="337">
        <f t="shared" si="56"/>
        <v>14900</v>
      </c>
    </row>
    <row r="1240" spans="1:4" ht="15" customHeight="1">
      <c r="A1240" s="335">
        <v>40833</v>
      </c>
      <c r="B1240" s="336">
        <v>14600</v>
      </c>
      <c r="C1240" s="336">
        <v>15200</v>
      </c>
      <c r="D1240" s="337">
        <f t="shared" si="56"/>
        <v>14900</v>
      </c>
    </row>
    <row r="1241" spans="1:4" ht="15" customHeight="1">
      <c r="A1241" s="335">
        <v>40834</v>
      </c>
      <c r="B1241" s="336">
        <v>14600</v>
      </c>
      <c r="C1241" s="336">
        <v>15200</v>
      </c>
      <c r="D1241" s="337">
        <f t="shared" si="56"/>
        <v>14900</v>
      </c>
    </row>
    <row r="1242" spans="1:4" ht="15" customHeight="1">
      <c r="A1242" s="335">
        <v>40835</v>
      </c>
      <c r="B1242" s="336">
        <v>14600</v>
      </c>
      <c r="C1242" s="336">
        <v>15200</v>
      </c>
      <c r="D1242" s="337">
        <f t="shared" si="56"/>
        <v>14900</v>
      </c>
    </row>
    <row r="1243" spans="1:4" ht="15" customHeight="1">
      <c r="A1243" s="335">
        <v>40836</v>
      </c>
      <c r="B1243" s="336">
        <v>14600</v>
      </c>
      <c r="C1243" s="336">
        <v>15200</v>
      </c>
      <c r="D1243" s="337">
        <f t="shared" ref="D1243:D1248" si="57">AVERAGE(B1243:C1243)</f>
        <v>14900</v>
      </c>
    </row>
    <row r="1244" spans="1:4" ht="15" customHeight="1">
      <c r="A1244" s="335">
        <v>40837</v>
      </c>
      <c r="B1244" s="336">
        <v>14600</v>
      </c>
      <c r="C1244" s="336">
        <v>15200</v>
      </c>
      <c r="D1244" s="337">
        <f t="shared" si="57"/>
        <v>14900</v>
      </c>
    </row>
    <row r="1245" spans="1:4" ht="15" customHeight="1">
      <c r="A1245" s="335">
        <v>40840</v>
      </c>
      <c r="B1245" s="336">
        <v>14600</v>
      </c>
      <c r="C1245" s="336">
        <v>15200</v>
      </c>
      <c r="D1245" s="337">
        <f t="shared" si="57"/>
        <v>14900</v>
      </c>
    </row>
    <row r="1246" spans="1:4" ht="15" customHeight="1">
      <c r="A1246" s="335">
        <v>40841</v>
      </c>
      <c r="B1246" s="336">
        <v>14600</v>
      </c>
      <c r="C1246" s="336">
        <v>15200</v>
      </c>
      <c r="D1246" s="337">
        <f t="shared" si="57"/>
        <v>14900</v>
      </c>
    </row>
    <row r="1247" spans="1:4" ht="15" customHeight="1">
      <c r="A1247" s="335">
        <v>40842</v>
      </c>
      <c r="B1247" s="336">
        <v>14600</v>
      </c>
      <c r="C1247" s="336">
        <v>15200</v>
      </c>
      <c r="D1247" s="337">
        <f t="shared" si="57"/>
        <v>14900</v>
      </c>
    </row>
    <row r="1248" spans="1:4" ht="15" customHeight="1">
      <c r="A1248" s="335">
        <v>40843</v>
      </c>
      <c r="B1248" s="336">
        <v>14600</v>
      </c>
      <c r="C1248" s="336">
        <v>15200</v>
      </c>
      <c r="D1248" s="337">
        <f t="shared" si="57"/>
        <v>14900</v>
      </c>
    </row>
    <row r="1249" spans="1:9" ht="15" customHeight="1">
      <c r="A1249" s="335">
        <v>40844</v>
      </c>
      <c r="B1249" s="336">
        <v>14600</v>
      </c>
      <c r="C1249" s="336">
        <v>15200</v>
      </c>
      <c r="D1249" s="337">
        <f t="shared" ref="D1249:D1255" si="58">AVERAGE(B1249:C1249)</f>
        <v>14900</v>
      </c>
    </row>
    <row r="1250" spans="1:9" ht="15" customHeight="1" thickBot="1">
      <c r="A1250" s="340">
        <v>40847</v>
      </c>
      <c r="B1250" s="341">
        <v>14600</v>
      </c>
      <c r="C1250" s="341">
        <v>15200</v>
      </c>
      <c r="D1250" s="342">
        <f t="shared" si="58"/>
        <v>14900</v>
      </c>
      <c r="E1250" s="360">
        <f>AVERAGE(D1230:D1250)</f>
        <v>15119.047619047618</v>
      </c>
      <c r="F1250" s="360"/>
      <c r="G1250" s="344"/>
      <c r="H1250" s="354"/>
      <c r="I1250" s="358"/>
    </row>
    <row r="1251" spans="1:9" ht="15" customHeight="1">
      <c r="A1251" s="335">
        <v>40848</v>
      </c>
      <c r="B1251" s="336">
        <v>14600</v>
      </c>
      <c r="C1251" s="336">
        <v>15200</v>
      </c>
      <c r="D1251" s="337">
        <f t="shared" si="58"/>
        <v>14900</v>
      </c>
    </row>
    <row r="1252" spans="1:9" ht="15" customHeight="1">
      <c r="A1252" s="335">
        <v>40849</v>
      </c>
      <c r="B1252" s="336">
        <v>14600</v>
      </c>
      <c r="C1252" s="336">
        <v>15200</v>
      </c>
      <c r="D1252" s="337">
        <f t="shared" si="58"/>
        <v>14900</v>
      </c>
    </row>
    <row r="1253" spans="1:9" ht="15" customHeight="1">
      <c r="A1253" s="335">
        <v>40850</v>
      </c>
      <c r="B1253" s="336">
        <v>14600</v>
      </c>
      <c r="C1253" s="336">
        <v>15200</v>
      </c>
      <c r="D1253" s="337">
        <f t="shared" si="58"/>
        <v>14900</v>
      </c>
    </row>
    <row r="1254" spans="1:9" ht="15" customHeight="1">
      <c r="A1254" s="335">
        <v>40851</v>
      </c>
      <c r="B1254" s="336">
        <v>14600</v>
      </c>
      <c r="C1254" s="336">
        <v>15200</v>
      </c>
      <c r="D1254" s="337">
        <f t="shared" si="58"/>
        <v>14900</v>
      </c>
    </row>
    <row r="1255" spans="1:9" ht="15" customHeight="1">
      <c r="A1255" s="335">
        <v>40854</v>
      </c>
      <c r="B1255" s="336">
        <v>13500</v>
      </c>
      <c r="C1255" s="336">
        <v>14100</v>
      </c>
      <c r="D1255" s="337">
        <f t="shared" si="58"/>
        <v>13800</v>
      </c>
    </row>
    <row r="1256" spans="1:9" ht="15" customHeight="1">
      <c r="A1256" s="335">
        <v>40855</v>
      </c>
      <c r="B1256" s="336">
        <v>13500</v>
      </c>
      <c r="C1256" s="336">
        <v>14100</v>
      </c>
      <c r="D1256" s="337">
        <f t="shared" ref="D1256:D1261" si="59">AVERAGE(B1256:C1256)</f>
        <v>13800</v>
      </c>
    </row>
    <row r="1257" spans="1:9" ht="15" customHeight="1">
      <c r="A1257" s="335">
        <v>40856</v>
      </c>
      <c r="B1257" s="336">
        <v>13500</v>
      </c>
      <c r="C1257" s="336">
        <v>14100</v>
      </c>
      <c r="D1257" s="337">
        <f t="shared" si="59"/>
        <v>13800</v>
      </c>
    </row>
    <row r="1258" spans="1:9" ht="15" customHeight="1">
      <c r="A1258" s="335">
        <v>40857</v>
      </c>
      <c r="B1258" s="336">
        <v>13500</v>
      </c>
      <c r="C1258" s="336">
        <v>14100</v>
      </c>
      <c r="D1258" s="337">
        <f t="shared" si="59"/>
        <v>13800</v>
      </c>
    </row>
    <row r="1259" spans="1:9" ht="15" customHeight="1">
      <c r="A1259" s="335">
        <v>40858</v>
      </c>
      <c r="B1259" s="336">
        <v>13500</v>
      </c>
      <c r="C1259" s="336">
        <v>14100</v>
      </c>
      <c r="D1259" s="337">
        <f t="shared" si="59"/>
        <v>13800</v>
      </c>
    </row>
    <row r="1260" spans="1:9" ht="15" customHeight="1">
      <c r="A1260" s="335">
        <v>40861</v>
      </c>
      <c r="B1260" s="336">
        <v>13500</v>
      </c>
      <c r="C1260" s="336">
        <v>14100</v>
      </c>
      <c r="D1260" s="337">
        <f t="shared" si="59"/>
        <v>13800</v>
      </c>
    </row>
    <row r="1261" spans="1:9" ht="15" customHeight="1">
      <c r="A1261" s="335">
        <v>40862</v>
      </c>
      <c r="B1261" s="336">
        <v>13500</v>
      </c>
      <c r="C1261" s="336">
        <v>14100</v>
      </c>
      <c r="D1261" s="337">
        <f t="shared" si="59"/>
        <v>13800</v>
      </c>
    </row>
    <row r="1262" spans="1:9" ht="15" customHeight="1">
      <c r="A1262" s="335">
        <v>40863</v>
      </c>
      <c r="B1262" s="336">
        <v>13500</v>
      </c>
      <c r="C1262" s="336">
        <v>14100</v>
      </c>
      <c r="D1262" s="337">
        <f t="shared" ref="D1262:D1267" si="60">AVERAGE(B1262:C1262)</f>
        <v>13800</v>
      </c>
    </row>
    <row r="1263" spans="1:9" ht="15" customHeight="1">
      <c r="A1263" s="335">
        <v>40864</v>
      </c>
      <c r="B1263" s="336">
        <v>13500</v>
      </c>
      <c r="C1263" s="336">
        <v>14100</v>
      </c>
      <c r="D1263" s="337">
        <f t="shared" si="60"/>
        <v>13800</v>
      </c>
    </row>
    <row r="1264" spans="1:9" ht="15" customHeight="1">
      <c r="A1264" s="335">
        <v>40865</v>
      </c>
      <c r="B1264" s="336">
        <v>13500</v>
      </c>
      <c r="C1264" s="336">
        <v>14100</v>
      </c>
      <c r="D1264" s="337">
        <f t="shared" si="60"/>
        <v>13800</v>
      </c>
    </row>
    <row r="1265" spans="1:9" ht="15" customHeight="1">
      <c r="A1265" s="335">
        <v>40868</v>
      </c>
      <c r="B1265" s="336">
        <v>13500</v>
      </c>
      <c r="C1265" s="336">
        <v>14100</v>
      </c>
      <c r="D1265" s="337">
        <f t="shared" si="60"/>
        <v>13800</v>
      </c>
    </row>
    <row r="1266" spans="1:9" ht="15" customHeight="1">
      <c r="A1266" s="335">
        <v>40869</v>
      </c>
      <c r="B1266" s="336">
        <v>13500</v>
      </c>
      <c r="C1266" s="336">
        <v>14100</v>
      </c>
      <c r="D1266" s="337">
        <f t="shared" si="60"/>
        <v>13800</v>
      </c>
    </row>
    <row r="1267" spans="1:9" ht="15" customHeight="1">
      <c r="A1267" s="335">
        <v>40870</v>
      </c>
      <c r="B1267" s="336">
        <v>13500</v>
      </c>
      <c r="C1267" s="336">
        <v>14100</v>
      </c>
      <c r="D1267" s="337">
        <f t="shared" si="60"/>
        <v>13800</v>
      </c>
    </row>
    <row r="1268" spans="1:9" ht="15" customHeight="1">
      <c r="A1268" s="335">
        <v>40871</v>
      </c>
      <c r="B1268" s="336">
        <v>13500</v>
      </c>
      <c r="C1268" s="336">
        <v>14100</v>
      </c>
      <c r="D1268" s="337">
        <f t="shared" ref="D1268:D1273" si="61">AVERAGE(B1268:C1268)</f>
        <v>13800</v>
      </c>
    </row>
    <row r="1269" spans="1:9" ht="15" customHeight="1">
      <c r="A1269" s="335">
        <v>40872</v>
      </c>
      <c r="B1269" s="336">
        <v>13500</v>
      </c>
      <c r="C1269" s="336">
        <v>14100</v>
      </c>
      <c r="D1269" s="337">
        <f t="shared" si="61"/>
        <v>13800</v>
      </c>
    </row>
    <row r="1270" spans="1:9" ht="15" customHeight="1">
      <c r="A1270" s="335">
        <v>40875</v>
      </c>
      <c r="B1270" s="336">
        <v>13500</v>
      </c>
      <c r="C1270" s="336">
        <v>14100</v>
      </c>
      <c r="D1270" s="337">
        <f t="shared" si="61"/>
        <v>13800</v>
      </c>
    </row>
    <row r="1271" spans="1:9" ht="15" customHeight="1">
      <c r="A1271" s="335">
        <v>40876</v>
      </c>
      <c r="B1271" s="336">
        <v>13500</v>
      </c>
      <c r="C1271" s="336">
        <v>14100</v>
      </c>
      <c r="D1271" s="337">
        <f t="shared" si="61"/>
        <v>13800</v>
      </c>
    </row>
    <row r="1272" spans="1:9" ht="15" customHeight="1" thickBot="1">
      <c r="A1272" s="340">
        <v>40877</v>
      </c>
      <c r="B1272" s="341">
        <v>13500</v>
      </c>
      <c r="C1272" s="341">
        <v>14100</v>
      </c>
      <c r="D1272" s="342">
        <f t="shared" si="61"/>
        <v>13800</v>
      </c>
      <c r="E1272" s="360">
        <f>AVERAGE(D1251:D1272)</f>
        <v>14000</v>
      </c>
      <c r="F1272" s="360"/>
      <c r="G1272" s="344"/>
      <c r="H1272" s="354"/>
      <c r="I1272" s="358"/>
    </row>
    <row r="1273" spans="1:9" ht="15" customHeight="1">
      <c r="A1273" s="362">
        <v>40878</v>
      </c>
      <c r="B1273" s="363">
        <v>13500</v>
      </c>
      <c r="C1273" s="363">
        <v>14100</v>
      </c>
      <c r="D1273" s="408">
        <f t="shared" si="61"/>
        <v>13800</v>
      </c>
    </row>
    <row r="1274" spans="1:9" ht="15" customHeight="1">
      <c r="A1274" s="335">
        <v>40879</v>
      </c>
      <c r="B1274" s="345">
        <v>13500</v>
      </c>
      <c r="C1274" s="345">
        <v>14100</v>
      </c>
      <c r="D1274" s="346">
        <f t="shared" ref="D1274:D1279" si="62">AVERAGE(B1274:C1274)</f>
        <v>13800</v>
      </c>
    </row>
    <row r="1275" spans="1:9" ht="15" customHeight="1">
      <c r="A1275" s="335">
        <v>40882</v>
      </c>
      <c r="B1275" s="345">
        <v>13500</v>
      </c>
      <c r="C1275" s="345">
        <v>14100</v>
      </c>
      <c r="D1275" s="346">
        <f t="shared" si="62"/>
        <v>13800</v>
      </c>
    </row>
    <row r="1276" spans="1:9" ht="15" customHeight="1">
      <c r="A1276" s="335">
        <v>40883</v>
      </c>
      <c r="B1276" s="345">
        <v>13500</v>
      </c>
      <c r="C1276" s="345">
        <v>14100</v>
      </c>
      <c r="D1276" s="346">
        <f t="shared" si="62"/>
        <v>13800</v>
      </c>
    </row>
    <row r="1277" spans="1:9" ht="15" customHeight="1">
      <c r="A1277" s="335">
        <v>40884</v>
      </c>
      <c r="B1277" s="345">
        <v>13500</v>
      </c>
      <c r="C1277" s="345">
        <v>14100</v>
      </c>
      <c r="D1277" s="346">
        <f t="shared" si="62"/>
        <v>13800</v>
      </c>
    </row>
    <row r="1278" spans="1:9" ht="15" customHeight="1">
      <c r="A1278" s="335">
        <v>40885</v>
      </c>
      <c r="B1278" s="345">
        <v>13500</v>
      </c>
      <c r="C1278" s="345">
        <v>14100</v>
      </c>
      <c r="D1278" s="346">
        <f t="shared" si="62"/>
        <v>13800</v>
      </c>
    </row>
    <row r="1279" spans="1:9" ht="15" customHeight="1">
      <c r="A1279" s="335">
        <v>40886</v>
      </c>
      <c r="B1279" s="345">
        <v>12800</v>
      </c>
      <c r="C1279" s="345">
        <v>13200</v>
      </c>
      <c r="D1279" s="346">
        <f t="shared" si="62"/>
        <v>13000</v>
      </c>
    </row>
    <row r="1280" spans="1:9" ht="15" customHeight="1">
      <c r="A1280" s="335">
        <v>40889</v>
      </c>
      <c r="B1280" s="345">
        <v>12800</v>
      </c>
      <c r="C1280" s="345">
        <v>13200</v>
      </c>
      <c r="D1280" s="346">
        <f t="shared" ref="D1280:D1285" si="63">AVERAGE(B1280:C1280)</f>
        <v>13000</v>
      </c>
    </row>
    <row r="1281" spans="1:9" ht="15" customHeight="1">
      <c r="A1281" s="335">
        <v>40890</v>
      </c>
      <c r="B1281" s="345">
        <v>12800</v>
      </c>
      <c r="C1281" s="345">
        <v>13200</v>
      </c>
      <c r="D1281" s="346">
        <f t="shared" si="63"/>
        <v>13000</v>
      </c>
    </row>
    <row r="1282" spans="1:9" ht="15" customHeight="1">
      <c r="A1282" s="335">
        <v>40891</v>
      </c>
      <c r="B1282" s="345">
        <v>12800</v>
      </c>
      <c r="C1282" s="345">
        <v>13200</v>
      </c>
      <c r="D1282" s="346">
        <f t="shared" si="63"/>
        <v>13000</v>
      </c>
    </row>
    <row r="1283" spans="1:9" ht="15" customHeight="1">
      <c r="A1283" s="335">
        <v>40892</v>
      </c>
      <c r="B1283" s="345">
        <v>12800</v>
      </c>
      <c r="C1283" s="345">
        <v>13200</v>
      </c>
      <c r="D1283" s="346">
        <f t="shared" si="63"/>
        <v>13000</v>
      </c>
    </row>
    <row r="1284" spans="1:9" ht="15" customHeight="1">
      <c r="A1284" s="335">
        <v>40893</v>
      </c>
      <c r="B1284" s="345">
        <v>12800</v>
      </c>
      <c r="C1284" s="345">
        <v>13200</v>
      </c>
      <c r="D1284" s="346">
        <f t="shared" si="63"/>
        <v>13000</v>
      </c>
    </row>
    <row r="1285" spans="1:9" ht="15" customHeight="1">
      <c r="A1285" s="335">
        <v>40896</v>
      </c>
      <c r="B1285" s="345">
        <v>12800</v>
      </c>
      <c r="C1285" s="345">
        <v>13200</v>
      </c>
      <c r="D1285" s="346">
        <f t="shared" si="63"/>
        <v>13000</v>
      </c>
    </row>
    <row r="1286" spans="1:9" ht="15" customHeight="1">
      <c r="A1286" s="335">
        <v>40897</v>
      </c>
      <c r="B1286" s="345">
        <v>12800</v>
      </c>
      <c r="C1286" s="345">
        <v>13200</v>
      </c>
      <c r="D1286" s="346">
        <f>AVERAGE(B1286:C1286)</f>
        <v>13000</v>
      </c>
    </row>
    <row r="1287" spans="1:9" ht="15" customHeight="1">
      <c r="A1287" s="335">
        <v>40898</v>
      </c>
      <c r="B1287" s="345">
        <v>12800</v>
      </c>
      <c r="C1287" s="345">
        <v>13200</v>
      </c>
      <c r="D1287" s="346">
        <f>AVERAGE(B1287:C1287)</f>
        <v>13000</v>
      </c>
    </row>
    <row r="1288" spans="1:9" ht="15" customHeight="1">
      <c r="A1288" s="335">
        <v>40899</v>
      </c>
      <c r="B1288" s="345">
        <v>12800</v>
      </c>
      <c r="C1288" s="345">
        <v>13200</v>
      </c>
      <c r="D1288" s="346">
        <f>AVERAGE(B1288:C1288)</f>
        <v>13000</v>
      </c>
    </row>
    <row r="1289" spans="1:9" ht="15" customHeight="1">
      <c r="A1289" s="335">
        <v>40900</v>
      </c>
      <c r="B1289" s="345">
        <v>12800</v>
      </c>
      <c r="C1289" s="345">
        <v>13200</v>
      </c>
      <c r="D1289" s="346">
        <f>AVERAGE(B1289:C1289)</f>
        <v>13000</v>
      </c>
    </row>
    <row r="1290" spans="1:9" ht="15" customHeight="1">
      <c r="A1290" s="335">
        <v>40903</v>
      </c>
      <c r="B1290" s="1417" t="s">
        <v>84</v>
      </c>
      <c r="C1290" s="1417"/>
      <c r="D1290" s="1417"/>
      <c r="E1290" s="1417"/>
      <c r="F1290" s="1417"/>
      <c r="G1290" s="1417"/>
      <c r="H1290" s="1417"/>
      <c r="I1290" s="1417"/>
    </row>
    <row r="1291" spans="1:9" ht="15" customHeight="1">
      <c r="A1291" s="335">
        <v>40904</v>
      </c>
      <c r="B1291" s="1417"/>
      <c r="C1291" s="1417"/>
      <c r="D1291" s="1417"/>
      <c r="E1291" s="1417"/>
      <c r="F1291" s="1417"/>
      <c r="G1291" s="1417"/>
      <c r="H1291" s="1417"/>
      <c r="I1291" s="1417"/>
    </row>
    <row r="1292" spans="1:9" ht="15" customHeight="1">
      <c r="A1292" s="335">
        <v>40905</v>
      </c>
      <c r="B1292" s="345">
        <v>12800</v>
      </c>
      <c r="C1292" s="345">
        <v>13200</v>
      </c>
      <c r="D1292" s="346">
        <f>AVERAGE(B1292:C1292)</f>
        <v>13000</v>
      </c>
    </row>
    <row r="1293" spans="1:9" ht="15" customHeight="1">
      <c r="A1293" s="335">
        <v>40906</v>
      </c>
      <c r="B1293" s="345">
        <v>12800</v>
      </c>
      <c r="C1293" s="345">
        <v>13200</v>
      </c>
      <c r="D1293" s="346">
        <f>AVERAGE(B1293:C1293)</f>
        <v>13000</v>
      </c>
      <c r="E1293" s="347"/>
      <c r="F1293" s="347"/>
      <c r="G1293" s="365"/>
      <c r="I1293" s="366"/>
    </row>
    <row r="1294" spans="1:9" ht="15" customHeight="1" thickBot="1">
      <c r="A1294" s="340">
        <v>40907</v>
      </c>
      <c r="B1294" s="341">
        <v>12800</v>
      </c>
      <c r="C1294" s="341">
        <v>13200</v>
      </c>
      <c r="D1294" s="342">
        <f>AVERAGE(B1294:C1294)</f>
        <v>13000</v>
      </c>
      <c r="E1294" s="360">
        <f>AVERAGE(D1273:D1294)</f>
        <v>13240</v>
      </c>
      <c r="F1294" s="360">
        <f>AVERAGE(D1035:D1294)</f>
        <v>14780.278884462152</v>
      </c>
      <c r="G1294" s="344">
        <f>AVERAGE(D1230:D1294)</f>
        <v>14131.746031746032</v>
      </c>
      <c r="H1294" s="354"/>
      <c r="I1294" s="358"/>
    </row>
    <row r="1295" spans="1:9" ht="15" customHeight="1">
      <c r="A1295" s="335">
        <v>40910</v>
      </c>
      <c r="B1295" s="1417" t="s">
        <v>84</v>
      </c>
      <c r="C1295" s="1417"/>
      <c r="D1295" s="1417"/>
      <c r="E1295" s="1417"/>
      <c r="F1295" s="1417"/>
      <c r="G1295" s="1417"/>
      <c r="H1295" s="1417"/>
      <c r="I1295" s="1417"/>
    </row>
    <row r="1296" spans="1:9" ht="15" customHeight="1">
      <c r="A1296" s="335">
        <v>40911</v>
      </c>
      <c r="B1296" s="345">
        <v>12800</v>
      </c>
      <c r="C1296" s="345">
        <v>13200</v>
      </c>
      <c r="D1296" s="346">
        <f t="shared" ref="D1296:D1301" si="64">AVERAGE(B1296:C1296)</f>
        <v>13000</v>
      </c>
    </row>
    <row r="1297" spans="1:4" ht="15" customHeight="1">
      <c r="A1297" s="335">
        <v>40912</v>
      </c>
      <c r="B1297" s="345">
        <v>12800</v>
      </c>
      <c r="C1297" s="345">
        <v>13200</v>
      </c>
      <c r="D1297" s="346">
        <f t="shared" si="64"/>
        <v>13000</v>
      </c>
    </row>
    <row r="1298" spans="1:4" ht="15" customHeight="1">
      <c r="A1298" s="335">
        <v>40913</v>
      </c>
      <c r="B1298" s="345">
        <v>12800</v>
      </c>
      <c r="C1298" s="345">
        <v>13200</v>
      </c>
      <c r="D1298" s="346">
        <f t="shared" si="64"/>
        <v>13000</v>
      </c>
    </row>
    <row r="1299" spans="1:4" ht="15" customHeight="1">
      <c r="A1299" s="335">
        <v>40914</v>
      </c>
      <c r="B1299" s="345">
        <v>11800</v>
      </c>
      <c r="C1299" s="345">
        <v>12300</v>
      </c>
      <c r="D1299" s="346">
        <f t="shared" si="64"/>
        <v>12050</v>
      </c>
    </row>
    <row r="1300" spans="1:4" ht="15" customHeight="1">
      <c r="A1300" s="335">
        <v>40917</v>
      </c>
      <c r="B1300" s="345">
        <v>11800</v>
      </c>
      <c r="C1300" s="345">
        <v>12300</v>
      </c>
      <c r="D1300" s="346">
        <f t="shared" si="64"/>
        <v>12050</v>
      </c>
    </row>
    <row r="1301" spans="1:4" ht="15" customHeight="1">
      <c r="A1301" s="335">
        <v>40918</v>
      </c>
      <c r="B1301" s="345">
        <v>11800</v>
      </c>
      <c r="C1301" s="345">
        <v>12300</v>
      </c>
      <c r="D1301" s="346">
        <f t="shared" si="64"/>
        <v>12050</v>
      </c>
    </row>
    <row r="1302" spans="1:4" ht="15" customHeight="1">
      <c r="A1302" s="335">
        <v>40919</v>
      </c>
      <c r="B1302" s="345">
        <v>11800</v>
      </c>
      <c r="C1302" s="345">
        <v>12300</v>
      </c>
      <c r="D1302" s="346">
        <f t="shared" ref="D1302:D1307" si="65">AVERAGE(B1302:C1302)</f>
        <v>12050</v>
      </c>
    </row>
    <row r="1303" spans="1:4" ht="15" customHeight="1">
      <c r="A1303" s="335">
        <v>40920</v>
      </c>
      <c r="B1303" s="345">
        <v>11800</v>
      </c>
      <c r="C1303" s="345">
        <v>12300</v>
      </c>
      <c r="D1303" s="346">
        <f t="shared" si="65"/>
        <v>12050</v>
      </c>
    </row>
    <row r="1304" spans="1:4" ht="15" customHeight="1">
      <c r="A1304" s="335">
        <v>40921</v>
      </c>
      <c r="B1304" s="345">
        <v>11800</v>
      </c>
      <c r="C1304" s="345">
        <v>12300</v>
      </c>
      <c r="D1304" s="346">
        <f t="shared" si="65"/>
        <v>12050</v>
      </c>
    </row>
    <row r="1305" spans="1:4" ht="15" customHeight="1">
      <c r="A1305" s="335">
        <v>40924</v>
      </c>
      <c r="B1305" s="345">
        <v>11800</v>
      </c>
      <c r="C1305" s="345">
        <v>12300</v>
      </c>
      <c r="D1305" s="346">
        <f t="shared" si="65"/>
        <v>12050</v>
      </c>
    </row>
    <row r="1306" spans="1:4" ht="15" customHeight="1">
      <c r="A1306" s="335">
        <v>40925</v>
      </c>
      <c r="B1306" s="345">
        <v>11800</v>
      </c>
      <c r="C1306" s="345">
        <v>12300</v>
      </c>
      <c r="D1306" s="346">
        <f t="shared" si="65"/>
        <v>12050</v>
      </c>
    </row>
    <row r="1307" spans="1:4" ht="15" customHeight="1">
      <c r="A1307" s="335">
        <v>40926</v>
      </c>
      <c r="B1307" s="345">
        <v>11800</v>
      </c>
      <c r="C1307" s="345">
        <v>12300</v>
      </c>
      <c r="D1307" s="346">
        <f t="shared" si="65"/>
        <v>12050</v>
      </c>
    </row>
    <row r="1308" spans="1:4" ht="15" customHeight="1">
      <c r="A1308" s="335">
        <v>40927</v>
      </c>
      <c r="B1308" s="345">
        <v>11800</v>
      </c>
      <c r="C1308" s="345">
        <v>12300</v>
      </c>
      <c r="D1308" s="346">
        <f t="shared" ref="D1308:D1317" si="66">AVERAGE(B1308:C1308)</f>
        <v>12050</v>
      </c>
    </row>
    <row r="1309" spans="1:4" ht="15" customHeight="1">
      <c r="A1309" s="335">
        <v>40928</v>
      </c>
      <c r="B1309" s="345">
        <v>11800</v>
      </c>
      <c r="C1309" s="345">
        <v>12300</v>
      </c>
      <c r="D1309" s="346">
        <f t="shared" si="66"/>
        <v>12050</v>
      </c>
    </row>
    <row r="1310" spans="1:4" ht="15" customHeight="1">
      <c r="A1310" s="335">
        <v>40931</v>
      </c>
      <c r="B1310" s="345">
        <v>11800</v>
      </c>
      <c r="C1310" s="345">
        <v>12300</v>
      </c>
      <c r="D1310" s="346">
        <f t="shared" si="66"/>
        <v>12050</v>
      </c>
    </row>
    <row r="1311" spans="1:4" ht="15" customHeight="1">
      <c r="A1311" s="335">
        <v>40932</v>
      </c>
      <c r="B1311" s="345">
        <v>11800</v>
      </c>
      <c r="C1311" s="345">
        <v>12300</v>
      </c>
      <c r="D1311" s="346">
        <f t="shared" si="66"/>
        <v>12050</v>
      </c>
    </row>
    <row r="1312" spans="1:4" ht="15" customHeight="1">
      <c r="A1312" s="335">
        <v>40933</v>
      </c>
      <c r="B1312" s="345">
        <v>11800</v>
      </c>
      <c r="C1312" s="345">
        <v>12300</v>
      </c>
      <c r="D1312" s="346">
        <f t="shared" si="66"/>
        <v>12050</v>
      </c>
    </row>
    <row r="1313" spans="1:9" ht="15" customHeight="1">
      <c r="A1313" s="335">
        <v>40934</v>
      </c>
      <c r="B1313" s="345">
        <v>11800</v>
      </c>
      <c r="C1313" s="345">
        <v>12300</v>
      </c>
      <c r="D1313" s="346">
        <f t="shared" si="66"/>
        <v>12050</v>
      </c>
    </row>
    <row r="1314" spans="1:9" ht="15" customHeight="1">
      <c r="A1314" s="335">
        <v>40935</v>
      </c>
      <c r="B1314" s="345">
        <v>11800</v>
      </c>
      <c r="C1314" s="345">
        <v>12300</v>
      </c>
      <c r="D1314" s="346">
        <f t="shared" si="66"/>
        <v>12050</v>
      </c>
    </row>
    <row r="1315" spans="1:9" ht="15" customHeight="1">
      <c r="A1315" s="335">
        <v>40938</v>
      </c>
      <c r="B1315" s="345">
        <v>11800</v>
      </c>
      <c r="C1315" s="345">
        <v>12300</v>
      </c>
      <c r="D1315" s="346">
        <f t="shared" si="66"/>
        <v>12050</v>
      </c>
    </row>
    <row r="1316" spans="1:9" ht="15" customHeight="1" thickBot="1">
      <c r="A1316" s="340">
        <v>40939</v>
      </c>
      <c r="B1316" s="341">
        <v>11800</v>
      </c>
      <c r="C1316" s="341">
        <v>12300</v>
      </c>
      <c r="D1316" s="342">
        <f t="shared" si="66"/>
        <v>12050</v>
      </c>
      <c r="E1316" s="360">
        <f>AVERAGE(D1296:D1316)</f>
        <v>12185.714285714286</v>
      </c>
      <c r="F1316" s="360"/>
      <c r="G1316" s="344"/>
      <c r="H1316" s="354"/>
      <c r="I1316" s="358"/>
    </row>
    <row r="1317" spans="1:9" ht="15" customHeight="1">
      <c r="A1317" s="362">
        <v>40940</v>
      </c>
      <c r="B1317" s="363">
        <v>11800</v>
      </c>
      <c r="C1317" s="363">
        <v>12300</v>
      </c>
      <c r="D1317" s="408">
        <f t="shared" si="66"/>
        <v>12050</v>
      </c>
      <c r="E1317" s="364"/>
      <c r="F1317" s="364"/>
      <c r="G1317" s="367"/>
      <c r="H1317" s="368"/>
      <c r="I1317" s="369"/>
    </row>
    <row r="1318" spans="1:9" ht="15" customHeight="1">
      <c r="A1318" s="335">
        <v>40941</v>
      </c>
      <c r="B1318" s="345">
        <v>12000</v>
      </c>
      <c r="C1318" s="345">
        <v>12500</v>
      </c>
      <c r="D1318" s="346">
        <f t="shared" ref="D1318:D1323" si="67">AVERAGE(B1318:C1318)</f>
        <v>12250</v>
      </c>
    </row>
    <row r="1319" spans="1:9" ht="15" customHeight="1">
      <c r="A1319" s="335">
        <v>40942</v>
      </c>
      <c r="B1319" s="345">
        <v>12000</v>
      </c>
      <c r="C1319" s="345">
        <v>12500</v>
      </c>
      <c r="D1319" s="346">
        <f t="shared" si="67"/>
        <v>12250</v>
      </c>
    </row>
    <row r="1320" spans="1:9" ht="15" customHeight="1">
      <c r="A1320" s="335">
        <v>40945</v>
      </c>
      <c r="B1320" s="345">
        <v>12000</v>
      </c>
      <c r="C1320" s="345">
        <v>12500</v>
      </c>
      <c r="D1320" s="346">
        <f t="shared" si="67"/>
        <v>12250</v>
      </c>
    </row>
    <row r="1321" spans="1:9" ht="15" customHeight="1">
      <c r="A1321" s="335">
        <v>40946</v>
      </c>
      <c r="B1321" s="345">
        <v>12000</v>
      </c>
      <c r="C1321" s="345">
        <v>12500</v>
      </c>
      <c r="D1321" s="346">
        <f t="shared" si="67"/>
        <v>12250</v>
      </c>
    </row>
    <row r="1322" spans="1:9" ht="15" customHeight="1">
      <c r="A1322" s="335">
        <v>40947</v>
      </c>
      <c r="B1322" s="345">
        <v>12000</v>
      </c>
      <c r="C1322" s="345">
        <v>12500</v>
      </c>
      <c r="D1322" s="346">
        <f t="shared" si="67"/>
        <v>12250</v>
      </c>
    </row>
    <row r="1323" spans="1:9" ht="15" customHeight="1">
      <c r="A1323" s="335">
        <v>40948</v>
      </c>
      <c r="B1323" s="345">
        <v>12000</v>
      </c>
      <c r="C1323" s="345">
        <v>12500</v>
      </c>
      <c r="D1323" s="346">
        <f t="shared" si="67"/>
        <v>12250</v>
      </c>
    </row>
    <row r="1324" spans="1:9" ht="15" customHeight="1">
      <c r="A1324" s="335">
        <v>40949</v>
      </c>
      <c r="B1324" s="345">
        <v>12000</v>
      </c>
      <c r="C1324" s="345">
        <v>12500</v>
      </c>
      <c r="D1324" s="346">
        <f t="shared" ref="D1324:D1329" si="68">AVERAGE(B1324:C1324)</f>
        <v>12250</v>
      </c>
    </row>
    <row r="1325" spans="1:9" ht="15" customHeight="1">
      <c r="A1325" s="335">
        <v>40952</v>
      </c>
      <c r="B1325" s="345">
        <v>12000</v>
      </c>
      <c r="C1325" s="345">
        <v>12500</v>
      </c>
      <c r="D1325" s="346">
        <f t="shared" si="68"/>
        <v>12250</v>
      </c>
    </row>
    <row r="1326" spans="1:9" ht="15" customHeight="1">
      <c r="A1326" s="335">
        <v>40953</v>
      </c>
      <c r="B1326" s="345">
        <v>12000</v>
      </c>
      <c r="C1326" s="345">
        <v>12500</v>
      </c>
      <c r="D1326" s="346">
        <f t="shared" si="68"/>
        <v>12250</v>
      </c>
    </row>
    <row r="1327" spans="1:9" ht="15" customHeight="1">
      <c r="A1327" s="335">
        <v>40954</v>
      </c>
      <c r="B1327" s="345">
        <v>12000</v>
      </c>
      <c r="C1327" s="345">
        <v>12500</v>
      </c>
      <c r="D1327" s="346">
        <f t="shared" si="68"/>
        <v>12250</v>
      </c>
    </row>
    <row r="1328" spans="1:9" ht="15" customHeight="1">
      <c r="A1328" s="335">
        <v>40955</v>
      </c>
      <c r="B1328" s="345">
        <v>12000</v>
      </c>
      <c r="C1328" s="345">
        <v>12500</v>
      </c>
      <c r="D1328" s="346">
        <f t="shared" si="68"/>
        <v>12250</v>
      </c>
    </row>
    <row r="1329" spans="1:9" ht="15" customHeight="1">
      <c r="A1329" s="335">
        <v>40956</v>
      </c>
      <c r="B1329" s="345">
        <v>12000</v>
      </c>
      <c r="C1329" s="345">
        <v>12500</v>
      </c>
      <c r="D1329" s="346">
        <f t="shared" si="68"/>
        <v>12250</v>
      </c>
    </row>
    <row r="1330" spans="1:9" ht="15" customHeight="1">
      <c r="A1330" s="335">
        <v>40959</v>
      </c>
      <c r="B1330" s="345">
        <v>12000</v>
      </c>
      <c r="C1330" s="345">
        <v>12500</v>
      </c>
      <c r="D1330" s="346">
        <f t="shared" ref="D1330:D1335" si="69">AVERAGE(B1330:C1330)</f>
        <v>12250</v>
      </c>
    </row>
    <row r="1331" spans="1:9" ht="15" customHeight="1">
      <c r="A1331" s="335">
        <v>40960</v>
      </c>
      <c r="B1331" s="345">
        <v>12000</v>
      </c>
      <c r="C1331" s="345">
        <v>12500</v>
      </c>
      <c r="D1331" s="346">
        <f t="shared" si="69"/>
        <v>12250</v>
      </c>
    </row>
    <row r="1332" spans="1:9" ht="15" customHeight="1">
      <c r="A1332" s="335">
        <v>40961</v>
      </c>
      <c r="B1332" s="345">
        <v>12000</v>
      </c>
      <c r="C1332" s="345">
        <v>12500</v>
      </c>
      <c r="D1332" s="346">
        <f t="shared" si="69"/>
        <v>12250</v>
      </c>
    </row>
    <row r="1333" spans="1:9" ht="15" customHeight="1">
      <c r="A1333" s="335">
        <v>40962</v>
      </c>
      <c r="B1333" s="345">
        <v>12000</v>
      </c>
      <c r="C1333" s="345">
        <v>12500</v>
      </c>
      <c r="D1333" s="346">
        <f t="shared" si="69"/>
        <v>12250</v>
      </c>
    </row>
    <row r="1334" spans="1:9" ht="15" customHeight="1">
      <c r="A1334" s="335">
        <v>40963</v>
      </c>
      <c r="B1334" s="345">
        <v>12200</v>
      </c>
      <c r="C1334" s="345">
        <v>12700</v>
      </c>
      <c r="D1334" s="346">
        <f t="shared" si="69"/>
        <v>12450</v>
      </c>
    </row>
    <row r="1335" spans="1:9" ht="15" customHeight="1">
      <c r="A1335" s="335">
        <v>40966</v>
      </c>
      <c r="B1335" s="345">
        <v>12200</v>
      </c>
      <c r="C1335" s="345">
        <v>12700</v>
      </c>
      <c r="D1335" s="346">
        <f t="shared" si="69"/>
        <v>12450</v>
      </c>
    </row>
    <row r="1336" spans="1:9" ht="15" customHeight="1">
      <c r="A1336" s="335">
        <v>40967</v>
      </c>
      <c r="B1336" s="345">
        <v>12200</v>
      </c>
      <c r="C1336" s="345">
        <v>12700</v>
      </c>
      <c r="D1336" s="346">
        <f t="shared" ref="D1336:D1341" si="70">AVERAGE(B1336:C1336)</f>
        <v>12450</v>
      </c>
      <c r="E1336" s="347"/>
      <c r="F1336" s="347"/>
      <c r="G1336" s="365"/>
      <c r="I1336" s="366"/>
    </row>
    <row r="1337" spans="1:9" ht="15" customHeight="1" thickBot="1">
      <c r="A1337" s="340">
        <v>40968</v>
      </c>
      <c r="B1337" s="341">
        <v>12200</v>
      </c>
      <c r="C1337" s="341">
        <v>12700</v>
      </c>
      <c r="D1337" s="342">
        <f t="shared" si="70"/>
        <v>12450</v>
      </c>
      <c r="E1337" s="360">
        <f>AVERAGE(D1317:D1337)</f>
        <v>12278.571428571429</v>
      </c>
      <c r="F1337" s="360"/>
      <c r="G1337" s="344"/>
      <c r="H1337" s="354"/>
      <c r="I1337" s="358"/>
    </row>
    <row r="1338" spans="1:9" ht="15" customHeight="1">
      <c r="A1338" s="335">
        <v>40969</v>
      </c>
      <c r="B1338" s="345">
        <v>12200</v>
      </c>
      <c r="C1338" s="345">
        <v>12700</v>
      </c>
      <c r="D1338" s="346">
        <f t="shared" si="70"/>
        <v>12450</v>
      </c>
    </row>
    <row r="1339" spans="1:9" ht="15" customHeight="1">
      <c r="A1339" s="335">
        <v>40970</v>
      </c>
      <c r="B1339" s="345">
        <v>12200</v>
      </c>
      <c r="C1339" s="345">
        <v>12700</v>
      </c>
      <c r="D1339" s="346">
        <f t="shared" si="70"/>
        <v>12450</v>
      </c>
    </row>
    <row r="1340" spans="1:9" ht="15" customHeight="1">
      <c r="A1340" s="335">
        <v>40973</v>
      </c>
      <c r="B1340" s="345">
        <v>12200</v>
      </c>
      <c r="C1340" s="345">
        <v>12700</v>
      </c>
      <c r="D1340" s="346">
        <f t="shared" si="70"/>
        <v>12450</v>
      </c>
    </row>
    <row r="1341" spans="1:9" ht="15" customHeight="1">
      <c r="A1341" s="335">
        <v>40974</v>
      </c>
      <c r="B1341" s="345">
        <v>12200</v>
      </c>
      <c r="C1341" s="345">
        <v>12700</v>
      </c>
      <c r="D1341" s="346">
        <f t="shared" si="70"/>
        <v>12450</v>
      </c>
    </row>
    <row r="1342" spans="1:9" ht="15" customHeight="1">
      <c r="A1342" s="335">
        <v>40975</v>
      </c>
      <c r="B1342" s="345">
        <v>12200</v>
      </c>
      <c r="C1342" s="345">
        <v>12700</v>
      </c>
      <c r="D1342" s="346">
        <f t="shared" ref="D1342:D1347" si="71">AVERAGE(B1342:C1342)</f>
        <v>12450</v>
      </c>
    </row>
    <row r="1343" spans="1:9" ht="15" customHeight="1">
      <c r="A1343" s="335">
        <v>40976</v>
      </c>
      <c r="B1343" s="345">
        <v>12200</v>
      </c>
      <c r="C1343" s="345">
        <v>12700</v>
      </c>
      <c r="D1343" s="346">
        <f t="shared" si="71"/>
        <v>12450</v>
      </c>
    </row>
    <row r="1344" spans="1:9" ht="15" customHeight="1">
      <c r="A1344" s="335">
        <v>40977</v>
      </c>
      <c r="B1344" s="345">
        <v>12200</v>
      </c>
      <c r="C1344" s="345">
        <v>12700</v>
      </c>
      <c r="D1344" s="346">
        <f t="shared" si="71"/>
        <v>12450</v>
      </c>
    </row>
    <row r="1345" spans="1:9" ht="15" customHeight="1">
      <c r="A1345" s="335">
        <v>40980</v>
      </c>
      <c r="B1345" s="345">
        <v>12200</v>
      </c>
      <c r="C1345" s="345">
        <v>12700</v>
      </c>
      <c r="D1345" s="346">
        <f t="shared" si="71"/>
        <v>12450</v>
      </c>
    </row>
    <row r="1346" spans="1:9" ht="15" customHeight="1">
      <c r="A1346" s="335">
        <v>40981</v>
      </c>
      <c r="B1346" s="345">
        <v>12200</v>
      </c>
      <c r="C1346" s="345">
        <v>12700</v>
      </c>
      <c r="D1346" s="346">
        <f t="shared" si="71"/>
        <v>12450</v>
      </c>
    </row>
    <row r="1347" spans="1:9" ht="15" customHeight="1">
      <c r="A1347" s="335">
        <v>40982</v>
      </c>
      <c r="B1347" s="345">
        <v>12200</v>
      </c>
      <c r="C1347" s="345">
        <v>12700</v>
      </c>
      <c r="D1347" s="346">
        <f t="shared" si="71"/>
        <v>12450</v>
      </c>
    </row>
    <row r="1348" spans="1:9" ht="15" customHeight="1">
      <c r="A1348" s="335">
        <v>40983</v>
      </c>
      <c r="B1348" s="345">
        <v>12200</v>
      </c>
      <c r="C1348" s="345">
        <v>12700</v>
      </c>
      <c r="D1348" s="346">
        <f t="shared" ref="D1348:D1353" si="72">AVERAGE(B1348:C1348)</f>
        <v>12450</v>
      </c>
    </row>
    <row r="1349" spans="1:9" ht="15" customHeight="1">
      <c r="A1349" s="335">
        <v>40984</v>
      </c>
      <c r="B1349" s="345">
        <v>12200</v>
      </c>
      <c r="C1349" s="345">
        <v>12700</v>
      </c>
      <c r="D1349" s="346">
        <f t="shared" si="72"/>
        <v>12450</v>
      </c>
    </row>
    <row r="1350" spans="1:9" ht="15" customHeight="1">
      <c r="A1350" s="335">
        <v>40987</v>
      </c>
      <c r="B1350" s="345">
        <v>12200</v>
      </c>
      <c r="C1350" s="345">
        <v>12700</v>
      </c>
      <c r="D1350" s="346">
        <f t="shared" si="72"/>
        <v>12450</v>
      </c>
    </row>
    <row r="1351" spans="1:9" ht="15" customHeight="1">
      <c r="A1351" s="335">
        <v>40988</v>
      </c>
      <c r="B1351" s="345">
        <v>12200</v>
      </c>
      <c r="C1351" s="345">
        <v>12700</v>
      </c>
      <c r="D1351" s="346">
        <f t="shared" si="72"/>
        <v>12450</v>
      </c>
    </row>
    <row r="1352" spans="1:9" ht="15" customHeight="1">
      <c r="A1352" s="335">
        <v>40989</v>
      </c>
      <c r="B1352" s="345">
        <v>12200</v>
      </c>
      <c r="C1352" s="345">
        <v>12700</v>
      </c>
      <c r="D1352" s="346">
        <f t="shared" si="72"/>
        <v>12450</v>
      </c>
    </row>
    <row r="1353" spans="1:9" ht="15" customHeight="1">
      <c r="A1353" s="335">
        <v>40990</v>
      </c>
      <c r="B1353" s="345">
        <v>12200</v>
      </c>
      <c r="C1353" s="345">
        <v>12700</v>
      </c>
      <c r="D1353" s="346">
        <f t="shared" si="72"/>
        <v>12450</v>
      </c>
    </row>
    <row r="1354" spans="1:9" ht="15" customHeight="1">
      <c r="A1354" s="335">
        <v>40991</v>
      </c>
      <c r="B1354" s="345">
        <v>12200</v>
      </c>
      <c r="C1354" s="345">
        <v>12700</v>
      </c>
      <c r="D1354" s="346">
        <f t="shared" ref="D1354:D1359" si="73">AVERAGE(B1354:C1354)</f>
        <v>12450</v>
      </c>
    </row>
    <row r="1355" spans="1:9" ht="15" customHeight="1">
      <c r="A1355" s="335">
        <v>40994</v>
      </c>
      <c r="B1355" s="345">
        <v>12500</v>
      </c>
      <c r="C1355" s="345">
        <v>13000</v>
      </c>
      <c r="D1355" s="346">
        <f t="shared" si="73"/>
        <v>12750</v>
      </c>
    </row>
    <row r="1356" spans="1:9" ht="15" customHeight="1">
      <c r="A1356" s="335">
        <v>40995</v>
      </c>
      <c r="B1356" s="345">
        <v>12500</v>
      </c>
      <c r="C1356" s="345">
        <v>13000</v>
      </c>
      <c r="D1356" s="346">
        <f t="shared" si="73"/>
        <v>12750</v>
      </c>
    </row>
    <row r="1357" spans="1:9" ht="15" customHeight="1">
      <c r="A1357" s="335">
        <v>40996</v>
      </c>
      <c r="B1357" s="345">
        <v>12500</v>
      </c>
      <c r="C1357" s="345">
        <v>13000</v>
      </c>
      <c r="D1357" s="346">
        <f t="shared" si="73"/>
        <v>12750</v>
      </c>
    </row>
    <row r="1358" spans="1:9" ht="15" customHeight="1">
      <c r="A1358" s="335">
        <v>40997</v>
      </c>
      <c r="B1358" s="345">
        <v>12500</v>
      </c>
      <c r="C1358" s="345">
        <v>13000</v>
      </c>
      <c r="D1358" s="346">
        <f t="shared" si="73"/>
        <v>12750</v>
      </c>
    </row>
    <row r="1359" spans="1:9" ht="15" customHeight="1" thickBot="1">
      <c r="A1359" s="340">
        <v>40998</v>
      </c>
      <c r="B1359" s="341">
        <v>12500</v>
      </c>
      <c r="C1359" s="341">
        <v>13000</v>
      </c>
      <c r="D1359" s="342">
        <f t="shared" si="73"/>
        <v>12750</v>
      </c>
      <c r="E1359" s="360">
        <f>AVERAGE(D1338:D1359)</f>
        <v>12518.181818181818</v>
      </c>
      <c r="F1359" s="360"/>
      <c r="G1359" s="344">
        <f>AVERAGE(D1295:D1359)</f>
        <v>12330.46875</v>
      </c>
      <c r="H1359" s="354"/>
      <c r="I1359" s="358"/>
    </row>
    <row r="1360" spans="1:9" ht="15" customHeight="1">
      <c r="A1360" s="335">
        <v>41001</v>
      </c>
      <c r="B1360" s="345">
        <v>12500</v>
      </c>
      <c r="C1360" s="345">
        <v>13000</v>
      </c>
      <c r="D1360" s="346">
        <f>AVERAGE(B1360:C1360)</f>
        <v>12750</v>
      </c>
    </row>
    <row r="1361" spans="1:9" ht="15" customHeight="1">
      <c r="A1361" s="335">
        <v>41002</v>
      </c>
      <c r="B1361" s="345">
        <v>12500</v>
      </c>
      <c r="C1361" s="345">
        <v>13000</v>
      </c>
      <c r="D1361" s="346">
        <f>AVERAGE(B1361:C1361)</f>
        <v>12750</v>
      </c>
    </row>
    <row r="1362" spans="1:9" ht="15" customHeight="1">
      <c r="A1362" s="335">
        <v>41003</v>
      </c>
      <c r="B1362" s="345">
        <v>12500</v>
      </c>
      <c r="C1362" s="345">
        <v>13000</v>
      </c>
      <c r="D1362" s="346">
        <f>AVERAGE(B1362:C1362)</f>
        <v>12750</v>
      </c>
    </row>
    <row r="1363" spans="1:9" ht="15" customHeight="1">
      <c r="A1363" s="335">
        <v>41004</v>
      </c>
      <c r="B1363" s="345">
        <v>12500</v>
      </c>
      <c r="C1363" s="345">
        <v>13000</v>
      </c>
      <c r="D1363" s="346">
        <f>AVERAGE(B1363:C1363)</f>
        <v>12750</v>
      </c>
    </row>
    <row r="1364" spans="1:9" ht="15" customHeight="1">
      <c r="A1364" s="335">
        <v>41005</v>
      </c>
      <c r="B1364" s="1417" t="s">
        <v>84</v>
      </c>
      <c r="C1364" s="1417"/>
      <c r="D1364" s="1417"/>
      <c r="E1364" s="1417"/>
      <c r="F1364" s="1417"/>
      <c r="G1364" s="1417"/>
      <c r="H1364" s="1417"/>
      <c r="I1364" s="1417"/>
    </row>
    <row r="1365" spans="1:9" ht="15" customHeight="1">
      <c r="A1365" s="335">
        <v>41008</v>
      </c>
      <c r="B1365" s="1417"/>
      <c r="C1365" s="1417"/>
      <c r="D1365" s="1417"/>
      <c r="E1365" s="1417"/>
      <c r="F1365" s="1417"/>
      <c r="G1365" s="1417"/>
      <c r="H1365" s="1417"/>
      <c r="I1365" s="1417"/>
    </row>
    <row r="1366" spans="1:9" ht="15" customHeight="1">
      <c r="A1366" s="335">
        <v>41009</v>
      </c>
      <c r="B1366" s="345">
        <v>12500</v>
      </c>
      <c r="C1366" s="345">
        <v>13000</v>
      </c>
      <c r="D1366" s="346">
        <f t="shared" ref="D1366:D1371" si="74">AVERAGE(B1366:C1366)</f>
        <v>12750</v>
      </c>
    </row>
    <row r="1367" spans="1:9" ht="15" customHeight="1">
      <c r="A1367" s="335">
        <v>41010</v>
      </c>
      <c r="B1367" s="345">
        <v>12500</v>
      </c>
      <c r="C1367" s="345">
        <v>13000</v>
      </c>
      <c r="D1367" s="346">
        <f t="shared" si="74"/>
        <v>12750</v>
      </c>
    </row>
    <row r="1368" spans="1:9" ht="15" customHeight="1">
      <c r="A1368" s="335">
        <v>41011</v>
      </c>
      <c r="B1368" s="345">
        <v>12500</v>
      </c>
      <c r="C1368" s="345">
        <v>13000</v>
      </c>
      <c r="D1368" s="346">
        <f t="shared" si="74"/>
        <v>12750</v>
      </c>
    </row>
    <row r="1369" spans="1:9" ht="15" customHeight="1">
      <c r="A1369" s="335">
        <v>41012</v>
      </c>
      <c r="B1369" s="345">
        <v>12500</v>
      </c>
      <c r="C1369" s="345">
        <v>13000</v>
      </c>
      <c r="D1369" s="346">
        <f t="shared" si="74"/>
        <v>12750</v>
      </c>
    </row>
    <row r="1370" spans="1:9" ht="15" customHeight="1">
      <c r="A1370" s="335">
        <v>41015</v>
      </c>
      <c r="B1370" s="345">
        <v>12500</v>
      </c>
      <c r="C1370" s="345">
        <v>13000</v>
      </c>
      <c r="D1370" s="346">
        <f t="shared" si="74"/>
        <v>12750</v>
      </c>
    </row>
    <row r="1371" spans="1:9" ht="15" customHeight="1">
      <c r="A1371" s="335">
        <v>41016</v>
      </c>
      <c r="B1371" s="345">
        <v>12500</v>
      </c>
      <c r="C1371" s="345">
        <v>13000</v>
      </c>
      <c r="D1371" s="346">
        <f t="shared" si="74"/>
        <v>12750</v>
      </c>
    </row>
    <row r="1372" spans="1:9" ht="15" customHeight="1">
      <c r="A1372" s="335">
        <v>41017</v>
      </c>
      <c r="B1372" s="345">
        <v>12500</v>
      </c>
      <c r="C1372" s="345">
        <v>13000</v>
      </c>
      <c r="D1372" s="346">
        <f t="shared" ref="D1372:D1377" si="75">AVERAGE(B1372:C1372)</f>
        <v>12750</v>
      </c>
    </row>
    <row r="1373" spans="1:9" ht="15" customHeight="1">
      <c r="A1373" s="335">
        <v>41018</v>
      </c>
      <c r="B1373" s="345">
        <v>12500</v>
      </c>
      <c r="C1373" s="345">
        <v>13000</v>
      </c>
      <c r="D1373" s="346">
        <f t="shared" si="75"/>
        <v>12750</v>
      </c>
    </row>
    <row r="1374" spans="1:9" ht="15" customHeight="1">
      <c r="A1374" s="335">
        <v>41019</v>
      </c>
      <c r="B1374" s="345">
        <v>12500</v>
      </c>
      <c r="C1374" s="345">
        <v>13000</v>
      </c>
      <c r="D1374" s="346">
        <f t="shared" si="75"/>
        <v>12750</v>
      </c>
    </row>
    <row r="1375" spans="1:9" ht="15" customHeight="1">
      <c r="A1375" s="335">
        <v>41022</v>
      </c>
      <c r="B1375" s="345">
        <v>12500</v>
      </c>
      <c r="C1375" s="345">
        <v>13000</v>
      </c>
      <c r="D1375" s="346">
        <f t="shared" si="75"/>
        <v>12750</v>
      </c>
    </row>
    <row r="1376" spans="1:9" ht="15" customHeight="1">
      <c r="A1376" s="335">
        <v>41023</v>
      </c>
      <c r="B1376" s="345">
        <v>12500</v>
      </c>
      <c r="C1376" s="345">
        <v>13000</v>
      </c>
      <c r="D1376" s="346">
        <f t="shared" si="75"/>
        <v>12750</v>
      </c>
    </row>
    <row r="1377" spans="1:9" ht="15" customHeight="1">
      <c r="A1377" s="335">
        <v>41024</v>
      </c>
      <c r="B1377" s="345">
        <v>12500</v>
      </c>
      <c r="C1377" s="345">
        <v>13000</v>
      </c>
      <c r="D1377" s="346">
        <f t="shared" si="75"/>
        <v>12750</v>
      </c>
    </row>
    <row r="1378" spans="1:9" ht="15" customHeight="1">
      <c r="A1378" s="335">
        <v>41025</v>
      </c>
      <c r="B1378" s="345">
        <v>12500</v>
      </c>
      <c r="C1378" s="345">
        <v>13000</v>
      </c>
      <c r="D1378" s="346">
        <f t="shared" ref="D1378:D1384" si="76">AVERAGE(B1378:C1378)</f>
        <v>12750</v>
      </c>
    </row>
    <row r="1379" spans="1:9" ht="15" customHeight="1">
      <c r="A1379" s="335">
        <v>41026</v>
      </c>
      <c r="B1379" s="345">
        <v>12500</v>
      </c>
      <c r="C1379" s="345">
        <v>13000</v>
      </c>
      <c r="D1379" s="346">
        <f t="shared" si="76"/>
        <v>12750</v>
      </c>
    </row>
    <row r="1380" spans="1:9" ht="15" customHeight="1" thickBot="1">
      <c r="A1380" s="340">
        <v>41029</v>
      </c>
      <c r="B1380" s="341">
        <v>12500</v>
      </c>
      <c r="C1380" s="341">
        <v>13000</v>
      </c>
      <c r="D1380" s="342">
        <f t="shared" si="76"/>
        <v>12750</v>
      </c>
      <c r="E1380" s="360">
        <f>AVERAGE(D1360:D1380)</f>
        <v>12750</v>
      </c>
      <c r="F1380" s="360"/>
      <c r="G1380" s="344"/>
      <c r="H1380" s="354"/>
      <c r="I1380" s="358"/>
    </row>
    <row r="1381" spans="1:9" ht="15" customHeight="1">
      <c r="A1381" s="335">
        <v>41030</v>
      </c>
      <c r="B1381" s="345">
        <v>12500</v>
      </c>
      <c r="C1381" s="345">
        <v>13000</v>
      </c>
      <c r="D1381" s="346">
        <f t="shared" si="76"/>
        <v>12750</v>
      </c>
    </row>
    <row r="1382" spans="1:9" ht="15" customHeight="1">
      <c r="A1382" s="335">
        <v>41031</v>
      </c>
      <c r="B1382" s="345">
        <v>12500</v>
      </c>
      <c r="C1382" s="345">
        <v>13000</v>
      </c>
      <c r="D1382" s="346">
        <f t="shared" si="76"/>
        <v>12750</v>
      </c>
    </row>
    <row r="1383" spans="1:9" ht="15" customHeight="1">
      <c r="A1383" s="335">
        <v>41032</v>
      </c>
      <c r="B1383" s="345">
        <v>12500</v>
      </c>
      <c r="C1383" s="345">
        <v>13000</v>
      </c>
      <c r="D1383" s="346">
        <f t="shared" si="76"/>
        <v>12750</v>
      </c>
    </row>
    <row r="1384" spans="1:9" ht="15" customHeight="1">
      <c r="A1384" s="335">
        <v>41033</v>
      </c>
      <c r="B1384" s="345">
        <v>12700</v>
      </c>
      <c r="C1384" s="345">
        <v>13200</v>
      </c>
      <c r="D1384" s="346">
        <f t="shared" si="76"/>
        <v>12950</v>
      </c>
    </row>
    <row r="1385" spans="1:9" ht="15" customHeight="1">
      <c r="A1385" s="335">
        <v>41036</v>
      </c>
      <c r="B1385" s="1417" t="s">
        <v>85</v>
      </c>
      <c r="C1385" s="1417"/>
      <c r="D1385" s="1417"/>
      <c r="E1385" s="1417"/>
      <c r="F1385" s="1417"/>
      <c r="G1385" s="1417"/>
      <c r="H1385" s="1417"/>
      <c r="I1385" s="1417"/>
    </row>
    <row r="1386" spans="1:9" ht="15" customHeight="1">
      <c r="A1386" s="335">
        <v>41037</v>
      </c>
      <c r="B1386" s="345">
        <v>12700</v>
      </c>
      <c r="C1386" s="345">
        <v>13200</v>
      </c>
      <c r="D1386" s="346">
        <f t="shared" ref="D1386:D1393" si="77">AVERAGE(B1386:C1386)</f>
        <v>12950</v>
      </c>
    </row>
    <row r="1387" spans="1:9" ht="15" customHeight="1">
      <c r="A1387" s="335">
        <v>41038</v>
      </c>
      <c r="B1387" s="345">
        <v>12700</v>
      </c>
      <c r="C1387" s="345">
        <v>13200</v>
      </c>
      <c r="D1387" s="346">
        <f t="shared" si="77"/>
        <v>12950</v>
      </c>
    </row>
    <row r="1388" spans="1:9" ht="15" customHeight="1">
      <c r="A1388" s="335">
        <v>41039</v>
      </c>
      <c r="B1388" s="345">
        <v>12700</v>
      </c>
      <c r="C1388" s="345">
        <v>13200</v>
      </c>
      <c r="D1388" s="346">
        <f t="shared" si="77"/>
        <v>12950</v>
      </c>
    </row>
    <row r="1389" spans="1:9" ht="15" customHeight="1">
      <c r="A1389" s="335">
        <v>41040</v>
      </c>
      <c r="B1389" s="345">
        <v>12700</v>
      </c>
      <c r="C1389" s="345">
        <v>13200</v>
      </c>
      <c r="D1389" s="346">
        <f t="shared" si="77"/>
        <v>12950</v>
      </c>
    </row>
    <row r="1390" spans="1:9" ht="15" customHeight="1">
      <c r="A1390" s="335">
        <v>41043</v>
      </c>
      <c r="B1390" s="345">
        <v>12700</v>
      </c>
      <c r="C1390" s="345">
        <v>13200</v>
      </c>
      <c r="D1390" s="346">
        <f t="shared" si="77"/>
        <v>12950</v>
      </c>
    </row>
    <row r="1391" spans="1:9" ht="15" customHeight="1">
      <c r="A1391" s="335">
        <v>41044</v>
      </c>
      <c r="B1391" s="345">
        <v>12700</v>
      </c>
      <c r="C1391" s="345">
        <v>13200</v>
      </c>
      <c r="D1391" s="346">
        <f t="shared" si="77"/>
        <v>12950</v>
      </c>
    </row>
    <row r="1392" spans="1:9" ht="15" customHeight="1">
      <c r="A1392" s="335">
        <v>41045</v>
      </c>
      <c r="B1392" s="345">
        <v>12700</v>
      </c>
      <c r="C1392" s="345">
        <v>13200</v>
      </c>
      <c r="D1392" s="346">
        <f t="shared" si="77"/>
        <v>12950</v>
      </c>
    </row>
    <row r="1393" spans="1:9" ht="15" customHeight="1">
      <c r="A1393" s="335">
        <v>41046</v>
      </c>
      <c r="B1393" s="345">
        <v>12700</v>
      </c>
      <c r="C1393" s="345">
        <v>13200</v>
      </c>
      <c r="D1393" s="346">
        <f t="shared" si="77"/>
        <v>12950</v>
      </c>
    </row>
    <row r="1394" spans="1:9" ht="15" customHeight="1">
      <c r="A1394" s="335">
        <v>41047</v>
      </c>
      <c r="B1394" s="345">
        <v>13000</v>
      </c>
      <c r="C1394" s="345">
        <v>14000</v>
      </c>
      <c r="D1394" s="346">
        <f t="shared" ref="D1394:D1399" si="78">AVERAGE(B1394:C1394)</f>
        <v>13500</v>
      </c>
    </row>
    <row r="1395" spans="1:9" ht="15" customHeight="1">
      <c r="A1395" s="335">
        <v>41050</v>
      </c>
      <c r="B1395" s="345">
        <v>13000</v>
      </c>
      <c r="C1395" s="345">
        <v>14000</v>
      </c>
      <c r="D1395" s="346">
        <f t="shared" si="78"/>
        <v>13500</v>
      </c>
    </row>
    <row r="1396" spans="1:9" ht="15" customHeight="1">
      <c r="A1396" s="335">
        <v>41051</v>
      </c>
      <c r="B1396" s="345">
        <v>13000</v>
      </c>
      <c r="C1396" s="345">
        <v>14000</v>
      </c>
      <c r="D1396" s="346">
        <f t="shared" si="78"/>
        <v>13500</v>
      </c>
    </row>
    <row r="1397" spans="1:9" ht="15" customHeight="1">
      <c r="A1397" s="335">
        <v>41052</v>
      </c>
      <c r="B1397" s="345">
        <v>13000</v>
      </c>
      <c r="C1397" s="345">
        <v>14000</v>
      </c>
      <c r="D1397" s="346">
        <f t="shared" si="78"/>
        <v>13500</v>
      </c>
    </row>
    <row r="1398" spans="1:9" ht="15" customHeight="1">
      <c r="A1398" s="335">
        <v>41053</v>
      </c>
      <c r="B1398" s="345">
        <v>13000</v>
      </c>
      <c r="C1398" s="345">
        <v>14000</v>
      </c>
      <c r="D1398" s="346">
        <f t="shared" si="78"/>
        <v>13500</v>
      </c>
    </row>
    <row r="1399" spans="1:9" ht="15" customHeight="1">
      <c r="A1399" s="335">
        <v>41054</v>
      </c>
      <c r="B1399" s="345">
        <v>13000</v>
      </c>
      <c r="C1399" s="345">
        <v>14000</v>
      </c>
      <c r="D1399" s="346">
        <f t="shared" si="78"/>
        <v>13500</v>
      </c>
    </row>
    <row r="1400" spans="1:9" ht="15" customHeight="1">
      <c r="A1400" s="335">
        <v>41057</v>
      </c>
      <c r="B1400" s="345">
        <v>13000</v>
      </c>
      <c r="C1400" s="345">
        <v>14000</v>
      </c>
      <c r="D1400" s="346">
        <f>AVERAGE(B1400:C1400)</f>
        <v>13500</v>
      </c>
    </row>
    <row r="1401" spans="1:9" ht="15" customHeight="1">
      <c r="A1401" s="335">
        <v>41058</v>
      </c>
      <c r="B1401" s="345">
        <v>13000</v>
      </c>
      <c r="C1401" s="345">
        <v>14000</v>
      </c>
      <c r="D1401" s="346">
        <f>AVERAGE(B1401:C1401)</f>
        <v>13500</v>
      </c>
    </row>
    <row r="1402" spans="1:9" ht="15" customHeight="1">
      <c r="A1402" s="335">
        <v>41059</v>
      </c>
      <c r="B1402" s="345">
        <v>13000</v>
      </c>
      <c r="C1402" s="345">
        <v>14000</v>
      </c>
      <c r="D1402" s="346">
        <f>AVERAGE(B1402:C1402)</f>
        <v>13500</v>
      </c>
    </row>
    <row r="1403" spans="1:9" ht="15" customHeight="1" thickBot="1">
      <c r="A1403" s="340">
        <v>41060</v>
      </c>
      <c r="B1403" s="341">
        <v>13000</v>
      </c>
      <c r="C1403" s="341">
        <v>14000</v>
      </c>
      <c r="D1403" s="342">
        <f>AVERAGE(B1403:C1403)</f>
        <v>13500</v>
      </c>
      <c r="E1403" s="360">
        <f>AVERAGE(D1381:D1403)</f>
        <v>13172.727272727272</v>
      </c>
      <c r="F1403" s="360"/>
      <c r="G1403" s="344"/>
      <c r="H1403" s="354"/>
      <c r="I1403" s="358"/>
    </row>
    <row r="1404" spans="1:9" ht="15" customHeight="1">
      <c r="A1404" s="335">
        <v>41061</v>
      </c>
      <c r="B1404" s="345">
        <v>13000</v>
      </c>
      <c r="C1404" s="345">
        <v>14000</v>
      </c>
      <c r="D1404" s="346">
        <f>AVERAGE(B1404:C1404)</f>
        <v>13500</v>
      </c>
    </row>
    <row r="1405" spans="1:9" ht="15" customHeight="1">
      <c r="A1405" s="335">
        <v>41064</v>
      </c>
      <c r="B1405" s="1417" t="s">
        <v>85</v>
      </c>
      <c r="C1405" s="1417"/>
      <c r="D1405" s="1417"/>
      <c r="E1405" s="1417"/>
      <c r="F1405" s="1417"/>
      <c r="G1405" s="1417"/>
      <c r="H1405" s="1417"/>
      <c r="I1405" s="1417"/>
    </row>
    <row r="1406" spans="1:9" ht="15" customHeight="1">
      <c r="A1406" s="335">
        <v>41065</v>
      </c>
      <c r="B1406" s="1417"/>
      <c r="C1406" s="1417"/>
      <c r="D1406" s="1417"/>
      <c r="E1406" s="1417"/>
      <c r="F1406" s="1417"/>
      <c r="G1406" s="1417"/>
      <c r="H1406" s="1417"/>
      <c r="I1406" s="1417"/>
    </row>
    <row r="1407" spans="1:9" ht="15" customHeight="1">
      <c r="A1407" s="335">
        <v>41066</v>
      </c>
      <c r="B1407" s="345">
        <v>13000</v>
      </c>
      <c r="C1407" s="345">
        <v>14000</v>
      </c>
      <c r="D1407" s="346">
        <f t="shared" ref="D1407:D1412" si="79">AVERAGE(B1407:C1407)</f>
        <v>13500</v>
      </c>
    </row>
    <row r="1408" spans="1:9" ht="15" customHeight="1">
      <c r="A1408" s="335">
        <v>41067</v>
      </c>
      <c r="B1408" s="345">
        <v>13000</v>
      </c>
      <c r="C1408" s="345">
        <v>14000</v>
      </c>
      <c r="D1408" s="346">
        <f t="shared" si="79"/>
        <v>13500</v>
      </c>
    </row>
    <row r="1409" spans="1:9" ht="15" customHeight="1">
      <c r="A1409" s="335">
        <v>41068</v>
      </c>
      <c r="B1409" s="345">
        <v>13000</v>
      </c>
      <c r="C1409" s="345">
        <v>14000</v>
      </c>
      <c r="D1409" s="346">
        <f t="shared" si="79"/>
        <v>13500</v>
      </c>
    </row>
    <row r="1410" spans="1:9" ht="15" customHeight="1">
      <c r="A1410" s="335">
        <v>41071</v>
      </c>
      <c r="B1410" s="345">
        <v>13000</v>
      </c>
      <c r="C1410" s="345">
        <v>14000</v>
      </c>
      <c r="D1410" s="346">
        <f t="shared" si="79"/>
        <v>13500</v>
      </c>
    </row>
    <row r="1411" spans="1:9" ht="15" customHeight="1">
      <c r="A1411" s="335">
        <v>41072</v>
      </c>
      <c r="B1411" s="345">
        <v>13000</v>
      </c>
      <c r="C1411" s="345">
        <v>14000</v>
      </c>
      <c r="D1411" s="346">
        <f t="shared" si="79"/>
        <v>13500</v>
      </c>
    </row>
    <row r="1412" spans="1:9" ht="15" customHeight="1">
      <c r="A1412" s="335">
        <v>41073</v>
      </c>
      <c r="B1412" s="345">
        <v>13000</v>
      </c>
      <c r="C1412" s="345">
        <v>14000</v>
      </c>
      <c r="D1412" s="346">
        <f t="shared" si="79"/>
        <v>13500</v>
      </c>
    </row>
    <row r="1413" spans="1:9" ht="15" customHeight="1">
      <c r="A1413" s="335">
        <v>41074</v>
      </c>
      <c r="B1413" s="345">
        <v>13000</v>
      </c>
      <c r="C1413" s="345">
        <v>14000</v>
      </c>
      <c r="D1413" s="346">
        <f t="shared" ref="D1413:D1418" si="80">AVERAGE(B1413:C1413)</f>
        <v>13500</v>
      </c>
    </row>
    <row r="1414" spans="1:9" ht="15" customHeight="1">
      <c r="A1414" s="335">
        <v>41075</v>
      </c>
      <c r="B1414" s="345">
        <v>13000</v>
      </c>
      <c r="C1414" s="345">
        <v>14000</v>
      </c>
      <c r="D1414" s="346">
        <f t="shared" si="80"/>
        <v>13500</v>
      </c>
    </row>
    <row r="1415" spans="1:9" ht="15" customHeight="1">
      <c r="A1415" s="335">
        <v>41078</v>
      </c>
      <c r="B1415" s="345">
        <v>13000</v>
      </c>
      <c r="C1415" s="345">
        <v>14000</v>
      </c>
      <c r="D1415" s="346">
        <f t="shared" si="80"/>
        <v>13500</v>
      </c>
    </row>
    <row r="1416" spans="1:9" ht="15" customHeight="1">
      <c r="A1416" s="335">
        <v>41079</v>
      </c>
      <c r="B1416" s="345">
        <v>13000</v>
      </c>
      <c r="C1416" s="345">
        <v>14000</v>
      </c>
      <c r="D1416" s="346">
        <f t="shared" si="80"/>
        <v>13500</v>
      </c>
    </row>
    <row r="1417" spans="1:9" ht="15" customHeight="1">
      <c r="A1417" s="335">
        <v>41080</v>
      </c>
      <c r="B1417" s="345">
        <v>13000</v>
      </c>
      <c r="C1417" s="345">
        <v>14000</v>
      </c>
      <c r="D1417" s="346">
        <f t="shared" si="80"/>
        <v>13500</v>
      </c>
    </row>
    <row r="1418" spans="1:9" ht="15" customHeight="1">
      <c r="A1418" s="335">
        <v>41081</v>
      </c>
      <c r="B1418" s="345">
        <v>13000</v>
      </c>
      <c r="C1418" s="345">
        <v>14000</v>
      </c>
      <c r="D1418" s="346">
        <f t="shared" si="80"/>
        <v>13500</v>
      </c>
    </row>
    <row r="1419" spans="1:9" ht="15" customHeight="1">
      <c r="A1419" s="335">
        <v>41082</v>
      </c>
      <c r="B1419" s="345">
        <v>12900</v>
      </c>
      <c r="C1419" s="345">
        <v>13800</v>
      </c>
      <c r="D1419" s="346">
        <f t="shared" ref="D1419:D1424" si="81">AVERAGE(B1419:C1419)</f>
        <v>13350</v>
      </c>
    </row>
    <row r="1420" spans="1:9" ht="15" customHeight="1">
      <c r="A1420" s="335">
        <v>41085</v>
      </c>
      <c r="B1420" s="345">
        <v>12900</v>
      </c>
      <c r="C1420" s="345">
        <v>13800</v>
      </c>
      <c r="D1420" s="346">
        <f t="shared" si="81"/>
        <v>13350</v>
      </c>
    </row>
    <row r="1421" spans="1:9" ht="15" customHeight="1">
      <c r="A1421" s="335">
        <v>41086</v>
      </c>
      <c r="B1421" s="345">
        <v>12900</v>
      </c>
      <c r="C1421" s="345">
        <v>13800</v>
      </c>
      <c r="D1421" s="346">
        <f t="shared" si="81"/>
        <v>13350</v>
      </c>
    </row>
    <row r="1422" spans="1:9" ht="15" customHeight="1">
      <c r="A1422" s="335">
        <v>41087</v>
      </c>
      <c r="B1422" s="345">
        <v>12900</v>
      </c>
      <c r="C1422" s="345">
        <v>13800</v>
      </c>
      <c r="D1422" s="346">
        <f t="shared" si="81"/>
        <v>13350</v>
      </c>
    </row>
    <row r="1423" spans="1:9" ht="15" customHeight="1">
      <c r="A1423" s="335">
        <v>41088</v>
      </c>
      <c r="B1423" s="345">
        <v>12900</v>
      </c>
      <c r="C1423" s="345">
        <v>13800</v>
      </c>
      <c r="D1423" s="346">
        <f t="shared" si="81"/>
        <v>13350</v>
      </c>
    </row>
    <row r="1424" spans="1:9" ht="15" customHeight="1" thickBot="1">
      <c r="A1424" s="340">
        <v>41089</v>
      </c>
      <c r="B1424" s="341">
        <v>12900</v>
      </c>
      <c r="C1424" s="341">
        <v>13800</v>
      </c>
      <c r="D1424" s="342">
        <f t="shared" si="81"/>
        <v>13350</v>
      </c>
      <c r="E1424" s="360">
        <f>AVERAGE(D1404:D1424)</f>
        <v>13452.631578947368</v>
      </c>
      <c r="F1424" s="360"/>
      <c r="G1424" s="344">
        <f>AVERAGE(D1360:D1424)</f>
        <v>13127.5</v>
      </c>
      <c r="H1424" s="354"/>
      <c r="I1424" s="358"/>
    </row>
    <row r="1425" spans="1:4" ht="15" customHeight="1">
      <c r="A1425" s="335">
        <v>41092</v>
      </c>
      <c r="B1425" s="345">
        <v>12900</v>
      </c>
      <c r="C1425" s="345">
        <v>13800</v>
      </c>
      <c r="D1425" s="346">
        <f t="shared" ref="D1425:D1430" si="82">AVERAGE(B1425:C1425)</f>
        <v>13350</v>
      </c>
    </row>
    <row r="1426" spans="1:4" ht="15" customHeight="1">
      <c r="A1426" s="335">
        <v>41093</v>
      </c>
      <c r="B1426" s="345">
        <v>12700</v>
      </c>
      <c r="C1426" s="345">
        <v>13500</v>
      </c>
      <c r="D1426" s="346">
        <f t="shared" si="82"/>
        <v>13100</v>
      </c>
    </row>
    <row r="1427" spans="1:4" ht="15" customHeight="1">
      <c r="A1427" s="335">
        <v>41094</v>
      </c>
      <c r="B1427" s="345">
        <v>12700</v>
      </c>
      <c r="C1427" s="345">
        <v>13500</v>
      </c>
      <c r="D1427" s="346">
        <f t="shared" si="82"/>
        <v>13100</v>
      </c>
    </row>
    <row r="1428" spans="1:4" ht="15" customHeight="1">
      <c r="A1428" s="335">
        <v>41095</v>
      </c>
      <c r="B1428" s="345">
        <v>12700</v>
      </c>
      <c r="C1428" s="345">
        <v>13500</v>
      </c>
      <c r="D1428" s="346">
        <f t="shared" si="82"/>
        <v>13100</v>
      </c>
    </row>
    <row r="1429" spans="1:4" ht="15" customHeight="1">
      <c r="A1429" s="335">
        <v>41096</v>
      </c>
      <c r="B1429" s="345">
        <v>12700</v>
      </c>
      <c r="C1429" s="345">
        <v>13500</v>
      </c>
      <c r="D1429" s="346">
        <f t="shared" si="82"/>
        <v>13100</v>
      </c>
    </row>
    <row r="1430" spans="1:4" ht="15" customHeight="1">
      <c r="A1430" s="335">
        <v>41099</v>
      </c>
      <c r="B1430" s="345">
        <v>12700</v>
      </c>
      <c r="C1430" s="345">
        <v>13500</v>
      </c>
      <c r="D1430" s="346">
        <f t="shared" si="82"/>
        <v>13100</v>
      </c>
    </row>
    <row r="1431" spans="1:4" ht="15" customHeight="1">
      <c r="A1431" s="335">
        <v>41100</v>
      </c>
      <c r="B1431" s="345">
        <v>12700</v>
      </c>
      <c r="C1431" s="345">
        <v>13500</v>
      </c>
      <c r="D1431" s="346">
        <f t="shared" ref="D1431:D1436" si="83">AVERAGE(B1431:C1431)</f>
        <v>13100</v>
      </c>
    </row>
    <row r="1432" spans="1:4" ht="15" customHeight="1">
      <c r="A1432" s="335">
        <v>41101</v>
      </c>
      <c r="B1432" s="345">
        <v>12700</v>
      </c>
      <c r="C1432" s="345">
        <v>13500</v>
      </c>
      <c r="D1432" s="346">
        <f t="shared" si="83"/>
        <v>13100</v>
      </c>
    </row>
    <row r="1433" spans="1:4" ht="15" customHeight="1">
      <c r="A1433" s="335">
        <v>41102</v>
      </c>
      <c r="B1433" s="345">
        <v>12700</v>
      </c>
      <c r="C1433" s="345">
        <v>13500</v>
      </c>
      <c r="D1433" s="346">
        <f t="shared" si="83"/>
        <v>13100</v>
      </c>
    </row>
    <row r="1434" spans="1:4" ht="15" customHeight="1">
      <c r="A1434" s="335">
        <v>41103</v>
      </c>
      <c r="B1434" s="345">
        <v>12700</v>
      </c>
      <c r="C1434" s="345">
        <v>13500</v>
      </c>
      <c r="D1434" s="346">
        <f t="shared" si="83"/>
        <v>13100</v>
      </c>
    </row>
    <row r="1435" spans="1:4" ht="15" customHeight="1">
      <c r="A1435" s="335">
        <v>41106</v>
      </c>
      <c r="B1435" s="345">
        <v>12700</v>
      </c>
      <c r="C1435" s="345">
        <v>13500</v>
      </c>
      <c r="D1435" s="346">
        <f t="shared" si="83"/>
        <v>13100</v>
      </c>
    </row>
    <row r="1436" spans="1:4" ht="15" customHeight="1">
      <c r="A1436" s="335">
        <v>41107</v>
      </c>
      <c r="B1436" s="345">
        <v>12700</v>
      </c>
      <c r="C1436" s="345">
        <v>13500</v>
      </c>
      <c r="D1436" s="346">
        <f t="shared" si="83"/>
        <v>13100</v>
      </c>
    </row>
    <row r="1437" spans="1:4" ht="15" customHeight="1">
      <c r="A1437" s="335">
        <v>41108</v>
      </c>
      <c r="B1437" s="345">
        <v>12700</v>
      </c>
      <c r="C1437" s="345">
        <v>13500</v>
      </c>
      <c r="D1437" s="346">
        <f t="shared" ref="D1437:D1443" si="84">AVERAGE(B1437:C1437)</f>
        <v>13100</v>
      </c>
    </row>
    <row r="1438" spans="1:4" ht="15" customHeight="1">
      <c r="A1438" s="335">
        <v>41109</v>
      </c>
      <c r="B1438" s="345">
        <v>12700</v>
      </c>
      <c r="C1438" s="345">
        <v>13500</v>
      </c>
      <c r="D1438" s="346">
        <f t="shared" si="84"/>
        <v>13100</v>
      </c>
    </row>
    <row r="1439" spans="1:4" ht="15" customHeight="1">
      <c r="A1439" s="335">
        <v>41110</v>
      </c>
      <c r="B1439" s="345">
        <v>12700</v>
      </c>
      <c r="C1439" s="345">
        <v>13500</v>
      </c>
      <c r="D1439" s="346">
        <f t="shared" si="84"/>
        <v>13100</v>
      </c>
    </row>
    <row r="1440" spans="1:4" ht="15" customHeight="1">
      <c r="A1440" s="335">
        <v>41113</v>
      </c>
      <c r="B1440" s="345">
        <v>12700</v>
      </c>
      <c r="C1440" s="345">
        <v>13500</v>
      </c>
      <c r="D1440" s="346">
        <f t="shared" si="84"/>
        <v>13100</v>
      </c>
    </row>
    <row r="1441" spans="1:9" ht="15" customHeight="1">
      <c r="A1441" s="335">
        <v>41114</v>
      </c>
      <c r="B1441" s="345">
        <v>12700</v>
      </c>
      <c r="C1441" s="345">
        <v>13500</v>
      </c>
      <c r="D1441" s="346">
        <f t="shared" si="84"/>
        <v>13100</v>
      </c>
    </row>
    <row r="1442" spans="1:9" ht="15" customHeight="1">
      <c r="A1442" s="335">
        <v>41115</v>
      </c>
      <c r="B1442" s="336">
        <v>12700</v>
      </c>
      <c r="C1442" s="336">
        <v>13500</v>
      </c>
      <c r="D1442" s="337">
        <f t="shared" si="84"/>
        <v>13100</v>
      </c>
    </row>
    <row r="1443" spans="1:9" ht="15" customHeight="1">
      <c r="A1443" s="335">
        <v>41116</v>
      </c>
      <c r="B1443" s="336">
        <v>12700</v>
      </c>
      <c r="C1443" s="336">
        <v>13500</v>
      </c>
      <c r="D1443" s="337">
        <f t="shared" si="84"/>
        <v>13100</v>
      </c>
    </row>
    <row r="1444" spans="1:9" ht="15" customHeight="1">
      <c r="A1444" s="335">
        <v>41117</v>
      </c>
      <c r="B1444" s="336">
        <v>12000</v>
      </c>
      <c r="C1444" s="336">
        <v>13000</v>
      </c>
      <c r="D1444" s="337">
        <f t="shared" ref="D1444:D1449" si="85">AVERAGE(B1444:C1444)</f>
        <v>12500</v>
      </c>
    </row>
    <row r="1445" spans="1:9" ht="15" customHeight="1">
      <c r="A1445" s="335">
        <v>41120</v>
      </c>
      <c r="B1445" s="336">
        <v>12000</v>
      </c>
      <c r="C1445" s="336">
        <v>13000</v>
      </c>
      <c r="D1445" s="337">
        <f t="shared" si="85"/>
        <v>12500</v>
      </c>
    </row>
    <row r="1446" spans="1:9" ht="15" customHeight="1" thickBot="1">
      <c r="A1446" s="340">
        <v>41121</v>
      </c>
      <c r="B1446" s="341">
        <v>12000</v>
      </c>
      <c r="C1446" s="341">
        <v>13000</v>
      </c>
      <c r="D1446" s="342">
        <f t="shared" si="85"/>
        <v>12500</v>
      </c>
      <c r="E1446" s="360">
        <f>AVERAGE(D1425:D1446)</f>
        <v>13029.545454545454</v>
      </c>
      <c r="F1446" s="360"/>
      <c r="G1446" s="344"/>
      <c r="H1446" s="354"/>
      <c r="I1446" s="358"/>
    </row>
    <row r="1447" spans="1:9" ht="15" customHeight="1">
      <c r="A1447" s="362">
        <v>41122</v>
      </c>
      <c r="B1447" s="363">
        <v>12000</v>
      </c>
      <c r="C1447" s="363">
        <v>13000</v>
      </c>
      <c r="D1447" s="408">
        <f t="shared" si="85"/>
        <v>12500</v>
      </c>
    </row>
    <row r="1448" spans="1:9" ht="15" customHeight="1">
      <c r="A1448" s="335">
        <v>41123</v>
      </c>
      <c r="B1448" s="345">
        <v>12000</v>
      </c>
      <c r="C1448" s="345">
        <v>13000</v>
      </c>
      <c r="D1448" s="346">
        <f t="shared" si="85"/>
        <v>12500</v>
      </c>
    </row>
    <row r="1449" spans="1:9" ht="15" customHeight="1">
      <c r="A1449" s="335">
        <v>41124</v>
      </c>
      <c r="B1449" s="345">
        <v>12000</v>
      </c>
      <c r="C1449" s="345">
        <v>13000</v>
      </c>
      <c r="D1449" s="346">
        <f t="shared" si="85"/>
        <v>12500</v>
      </c>
    </row>
    <row r="1450" spans="1:9" ht="15" customHeight="1">
      <c r="A1450" s="335">
        <v>41127</v>
      </c>
      <c r="B1450" s="345">
        <v>12000</v>
      </c>
      <c r="C1450" s="345">
        <v>13000</v>
      </c>
      <c r="D1450" s="346">
        <f t="shared" ref="D1450:D1455" si="86">AVERAGE(B1450:C1450)</f>
        <v>12500</v>
      </c>
    </row>
    <row r="1451" spans="1:9" ht="15" customHeight="1">
      <c r="A1451" s="335">
        <v>41128</v>
      </c>
      <c r="B1451" s="345">
        <v>12000</v>
      </c>
      <c r="C1451" s="345">
        <v>13000</v>
      </c>
      <c r="D1451" s="346">
        <f t="shared" si="86"/>
        <v>12500</v>
      </c>
    </row>
    <row r="1452" spans="1:9" ht="15" customHeight="1">
      <c r="A1452" s="335">
        <v>41129</v>
      </c>
      <c r="B1452" s="345">
        <v>12000</v>
      </c>
      <c r="C1452" s="345">
        <v>13000</v>
      </c>
      <c r="D1452" s="346">
        <f t="shared" si="86"/>
        <v>12500</v>
      </c>
    </row>
    <row r="1453" spans="1:9" ht="15" customHeight="1">
      <c r="A1453" s="335">
        <v>41130</v>
      </c>
      <c r="B1453" s="345">
        <v>12000</v>
      </c>
      <c r="C1453" s="345">
        <v>13000</v>
      </c>
      <c r="D1453" s="346">
        <f t="shared" si="86"/>
        <v>12500</v>
      </c>
    </row>
    <row r="1454" spans="1:9" ht="15" customHeight="1">
      <c r="A1454" s="335">
        <v>41131</v>
      </c>
      <c r="B1454" s="345">
        <v>12000</v>
      </c>
      <c r="C1454" s="345">
        <v>13000</v>
      </c>
      <c r="D1454" s="346">
        <f t="shared" si="86"/>
        <v>12500</v>
      </c>
    </row>
    <row r="1455" spans="1:9" ht="15" customHeight="1">
      <c r="A1455" s="335">
        <v>41134</v>
      </c>
      <c r="B1455" s="345">
        <v>12000</v>
      </c>
      <c r="C1455" s="345">
        <v>13000</v>
      </c>
      <c r="D1455" s="346">
        <f t="shared" si="86"/>
        <v>12500</v>
      </c>
    </row>
    <row r="1456" spans="1:9" ht="15" customHeight="1">
      <c r="A1456" s="335">
        <v>41135</v>
      </c>
      <c r="B1456" s="345">
        <v>12000</v>
      </c>
      <c r="C1456" s="345">
        <v>13000</v>
      </c>
      <c r="D1456" s="346">
        <f t="shared" ref="D1456:D1461" si="87">AVERAGE(B1456:C1456)</f>
        <v>12500</v>
      </c>
    </row>
    <row r="1457" spans="1:9" ht="15" customHeight="1">
      <c r="A1457" s="335">
        <v>41136</v>
      </c>
      <c r="B1457" s="345">
        <v>12000</v>
      </c>
      <c r="C1457" s="345">
        <v>13000</v>
      </c>
      <c r="D1457" s="346">
        <f t="shared" si="87"/>
        <v>12500</v>
      </c>
    </row>
    <row r="1458" spans="1:9" ht="15" customHeight="1">
      <c r="A1458" s="335">
        <v>41137</v>
      </c>
      <c r="B1458" s="345">
        <v>12000</v>
      </c>
      <c r="C1458" s="345">
        <v>13000</v>
      </c>
      <c r="D1458" s="346">
        <f t="shared" si="87"/>
        <v>12500</v>
      </c>
    </row>
    <row r="1459" spans="1:9" ht="15" customHeight="1">
      <c r="A1459" s="335">
        <v>41138</v>
      </c>
      <c r="B1459" s="345">
        <v>12000</v>
      </c>
      <c r="C1459" s="345">
        <v>13000</v>
      </c>
      <c r="D1459" s="346">
        <f t="shared" si="87"/>
        <v>12500</v>
      </c>
    </row>
    <row r="1460" spans="1:9" ht="15" customHeight="1">
      <c r="A1460" s="335">
        <v>41141</v>
      </c>
      <c r="B1460" s="345">
        <v>12000</v>
      </c>
      <c r="C1460" s="345">
        <v>13000</v>
      </c>
      <c r="D1460" s="346">
        <f t="shared" si="87"/>
        <v>12500</v>
      </c>
    </row>
    <row r="1461" spans="1:9" ht="15" customHeight="1">
      <c r="A1461" s="335">
        <v>41142</v>
      </c>
      <c r="B1461" s="345">
        <v>12000</v>
      </c>
      <c r="C1461" s="345">
        <v>13000</v>
      </c>
      <c r="D1461" s="346">
        <f t="shared" si="87"/>
        <v>12500</v>
      </c>
    </row>
    <row r="1462" spans="1:9" ht="15" customHeight="1">
      <c r="A1462" s="335">
        <v>41143</v>
      </c>
      <c r="B1462" s="345">
        <v>12000</v>
      </c>
      <c r="C1462" s="345">
        <v>13000</v>
      </c>
      <c r="D1462" s="346">
        <f>AVERAGE(B1462:C1462)</f>
        <v>12500</v>
      </c>
    </row>
    <row r="1463" spans="1:9" ht="15" customHeight="1">
      <c r="A1463" s="335">
        <v>41144</v>
      </c>
      <c r="B1463" s="345">
        <v>12000</v>
      </c>
      <c r="C1463" s="345">
        <v>13000</v>
      </c>
      <c r="D1463" s="346">
        <f>AVERAGE(B1463:C1463)</f>
        <v>12500</v>
      </c>
    </row>
    <row r="1464" spans="1:9" ht="15" customHeight="1">
      <c r="A1464" s="335">
        <v>41145</v>
      </c>
      <c r="B1464" s="345">
        <v>12000</v>
      </c>
      <c r="C1464" s="345">
        <v>13000</v>
      </c>
      <c r="D1464" s="346">
        <f>AVERAGE(B1464:C1464)</f>
        <v>12500</v>
      </c>
    </row>
    <row r="1465" spans="1:9" ht="15" customHeight="1">
      <c r="A1465" s="335">
        <v>41148</v>
      </c>
      <c r="B1465" s="1417" t="s">
        <v>85</v>
      </c>
      <c r="C1465" s="1417"/>
      <c r="D1465" s="1417"/>
      <c r="E1465" s="1417"/>
      <c r="F1465" s="1417"/>
      <c r="G1465" s="1417"/>
      <c r="H1465" s="1417"/>
      <c r="I1465" s="1417"/>
    </row>
    <row r="1466" spans="1:9" ht="15" customHeight="1">
      <c r="A1466" s="335">
        <v>41149</v>
      </c>
      <c r="B1466" s="345">
        <v>12000</v>
      </c>
      <c r="C1466" s="345">
        <v>13000</v>
      </c>
      <c r="D1466" s="346">
        <f t="shared" ref="D1466:D1471" si="88">AVERAGE(B1466:C1466)</f>
        <v>12500</v>
      </c>
    </row>
    <row r="1467" spans="1:9" ht="15" customHeight="1">
      <c r="A1467" s="335">
        <v>41150</v>
      </c>
      <c r="B1467" s="345">
        <v>12000</v>
      </c>
      <c r="C1467" s="345">
        <v>13000</v>
      </c>
      <c r="D1467" s="346">
        <f t="shared" si="88"/>
        <v>12500</v>
      </c>
    </row>
    <row r="1468" spans="1:9" ht="15" customHeight="1">
      <c r="A1468" s="335">
        <v>41151</v>
      </c>
      <c r="B1468" s="345">
        <v>12500</v>
      </c>
      <c r="C1468" s="345">
        <v>13000</v>
      </c>
      <c r="D1468" s="346">
        <f t="shared" si="88"/>
        <v>12750</v>
      </c>
    </row>
    <row r="1469" spans="1:9" ht="15" customHeight="1" thickBot="1">
      <c r="A1469" s="340">
        <v>41152</v>
      </c>
      <c r="B1469" s="341">
        <v>12500</v>
      </c>
      <c r="C1469" s="341">
        <v>13000</v>
      </c>
      <c r="D1469" s="342">
        <f t="shared" si="88"/>
        <v>12750</v>
      </c>
      <c r="E1469" s="360">
        <f>AVERAGE(D1447:D1469)</f>
        <v>12522.727272727272</v>
      </c>
      <c r="F1469" s="360"/>
      <c r="G1469" s="344"/>
      <c r="H1469" s="354"/>
      <c r="I1469" s="358"/>
    </row>
    <row r="1470" spans="1:9" ht="15" customHeight="1">
      <c r="A1470" s="335">
        <v>41155</v>
      </c>
      <c r="B1470" s="345">
        <v>12500</v>
      </c>
      <c r="C1470" s="345">
        <v>13000</v>
      </c>
      <c r="D1470" s="346">
        <f t="shared" si="88"/>
        <v>12750</v>
      </c>
    </row>
    <row r="1471" spans="1:9" ht="15" customHeight="1">
      <c r="A1471" s="335">
        <v>41156</v>
      </c>
      <c r="B1471" s="345">
        <v>12500</v>
      </c>
      <c r="C1471" s="345">
        <v>13000</v>
      </c>
      <c r="D1471" s="346">
        <f t="shared" si="88"/>
        <v>12750</v>
      </c>
    </row>
    <row r="1472" spans="1:9" ht="15" customHeight="1">
      <c r="A1472" s="335">
        <v>41157</v>
      </c>
      <c r="B1472" s="345">
        <v>12500</v>
      </c>
      <c r="C1472" s="345">
        <v>13000</v>
      </c>
      <c r="D1472" s="346">
        <f t="shared" ref="D1472:D1478" si="89">AVERAGE(B1472:C1472)</f>
        <v>12750</v>
      </c>
    </row>
    <row r="1473" spans="1:4" ht="15" customHeight="1">
      <c r="A1473" s="335">
        <v>41158</v>
      </c>
      <c r="B1473" s="345">
        <v>12500</v>
      </c>
      <c r="C1473" s="345">
        <v>13000</v>
      </c>
      <c r="D1473" s="346">
        <f t="shared" si="89"/>
        <v>12750</v>
      </c>
    </row>
    <row r="1474" spans="1:4" ht="15" customHeight="1">
      <c r="A1474" s="335">
        <v>41159</v>
      </c>
      <c r="B1474" s="345">
        <v>12500</v>
      </c>
      <c r="C1474" s="345">
        <v>13000</v>
      </c>
      <c r="D1474" s="346">
        <f t="shared" si="89"/>
        <v>12750</v>
      </c>
    </row>
    <row r="1475" spans="1:4" ht="15" customHeight="1">
      <c r="A1475" s="335">
        <v>41162</v>
      </c>
      <c r="B1475" s="345">
        <v>12500</v>
      </c>
      <c r="C1475" s="345">
        <v>13000</v>
      </c>
      <c r="D1475" s="346">
        <f t="shared" si="89"/>
        <v>12750</v>
      </c>
    </row>
    <row r="1476" spans="1:4" ht="15" customHeight="1">
      <c r="A1476" s="335">
        <v>41163</v>
      </c>
      <c r="B1476" s="345">
        <v>12500</v>
      </c>
      <c r="C1476" s="345">
        <v>13000</v>
      </c>
      <c r="D1476" s="346">
        <f t="shared" si="89"/>
        <v>12750</v>
      </c>
    </row>
    <row r="1477" spans="1:4" ht="15" customHeight="1">
      <c r="A1477" s="335">
        <v>41164</v>
      </c>
      <c r="B1477" s="345">
        <v>12500</v>
      </c>
      <c r="C1477" s="345">
        <v>13000</v>
      </c>
      <c r="D1477" s="346">
        <f t="shared" si="89"/>
        <v>12750</v>
      </c>
    </row>
    <row r="1478" spans="1:4" ht="15" customHeight="1">
      <c r="A1478" s="335">
        <v>41165</v>
      </c>
      <c r="B1478" s="345">
        <v>12500</v>
      </c>
      <c r="C1478" s="345">
        <v>13000</v>
      </c>
      <c r="D1478" s="346">
        <f t="shared" si="89"/>
        <v>12750</v>
      </c>
    </row>
    <row r="1479" spans="1:4" ht="15" customHeight="1">
      <c r="A1479" s="335">
        <v>41166</v>
      </c>
      <c r="B1479" s="345">
        <v>12500</v>
      </c>
      <c r="C1479" s="345">
        <v>13000</v>
      </c>
      <c r="D1479" s="346">
        <f t="shared" ref="D1479:D1484" si="90">AVERAGE(B1479:C1479)</f>
        <v>12750</v>
      </c>
    </row>
    <row r="1480" spans="1:4" ht="15" customHeight="1">
      <c r="A1480" s="335">
        <v>41169</v>
      </c>
      <c r="B1480" s="345">
        <v>12500</v>
      </c>
      <c r="C1480" s="345">
        <v>13000</v>
      </c>
      <c r="D1480" s="346">
        <f t="shared" si="90"/>
        <v>12750</v>
      </c>
    </row>
    <row r="1481" spans="1:4" ht="15" customHeight="1">
      <c r="A1481" s="335">
        <v>41170</v>
      </c>
      <c r="B1481" s="345">
        <v>12500</v>
      </c>
      <c r="C1481" s="345">
        <v>13000</v>
      </c>
      <c r="D1481" s="346">
        <f t="shared" si="90"/>
        <v>12750</v>
      </c>
    </row>
    <row r="1482" spans="1:4" ht="15" customHeight="1">
      <c r="A1482" s="335">
        <v>41171</v>
      </c>
      <c r="B1482" s="345">
        <v>12500</v>
      </c>
      <c r="C1482" s="345">
        <v>13000</v>
      </c>
      <c r="D1482" s="346">
        <f t="shared" si="90"/>
        <v>12750</v>
      </c>
    </row>
    <row r="1483" spans="1:4" ht="15" customHeight="1">
      <c r="A1483" s="335">
        <v>41172</v>
      </c>
      <c r="B1483" s="345">
        <v>12500</v>
      </c>
      <c r="C1483" s="345">
        <v>13000</v>
      </c>
      <c r="D1483" s="346">
        <f t="shared" si="90"/>
        <v>12750</v>
      </c>
    </row>
    <row r="1484" spans="1:4" ht="15" customHeight="1">
      <c r="A1484" s="335">
        <v>41173</v>
      </c>
      <c r="B1484" s="345">
        <v>12500</v>
      </c>
      <c r="C1484" s="345">
        <v>12700</v>
      </c>
      <c r="D1484" s="346">
        <f t="shared" si="90"/>
        <v>12600</v>
      </c>
    </row>
    <row r="1485" spans="1:4" ht="15" customHeight="1">
      <c r="A1485" s="335">
        <v>41176</v>
      </c>
      <c r="B1485" s="345">
        <v>12500</v>
      </c>
      <c r="C1485" s="345">
        <v>12700</v>
      </c>
      <c r="D1485" s="346">
        <f t="shared" ref="D1485:D1492" si="91">AVERAGE(B1485:C1485)</f>
        <v>12600</v>
      </c>
    </row>
    <row r="1486" spans="1:4" ht="15" customHeight="1">
      <c r="A1486" s="335">
        <v>41177</v>
      </c>
      <c r="B1486" s="345">
        <v>12500</v>
      </c>
      <c r="C1486" s="345">
        <v>12700</v>
      </c>
      <c r="D1486" s="346">
        <f t="shared" si="91"/>
        <v>12600</v>
      </c>
    </row>
    <row r="1487" spans="1:4" ht="15" customHeight="1">
      <c r="A1487" s="335">
        <v>41178</v>
      </c>
      <c r="B1487" s="345">
        <v>12500</v>
      </c>
      <c r="C1487" s="345">
        <v>12700</v>
      </c>
      <c r="D1487" s="346">
        <f t="shared" si="91"/>
        <v>12600</v>
      </c>
    </row>
    <row r="1488" spans="1:4" ht="15" customHeight="1">
      <c r="A1488" s="335">
        <v>41179</v>
      </c>
      <c r="B1488" s="345">
        <v>12500</v>
      </c>
      <c r="C1488" s="345">
        <v>12700</v>
      </c>
      <c r="D1488" s="346">
        <f t="shared" si="91"/>
        <v>12600</v>
      </c>
    </row>
    <row r="1489" spans="1:9" ht="15" customHeight="1" thickBot="1">
      <c r="A1489" s="340">
        <v>41180</v>
      </c>
      <c r="B1489" s="341">
        <v>12500</v>
      </c>
      <c r="C1489" s="341">
        <v>12700</v>
      </c>
      <c r="D1489" s="342">
        <f t="shared" si="91"/>
        <v>12600</v>
      </c>
      <c r="E1489" s="360">
        <f>AVERAGE(D1470:D1489)</f>
        <v>12705</v>
      </c>
      <c r="F1489" s="360"/>
      <c r="G1489" s="344"/>
      <c r="H1489" s="354"/>
      <c r="I1489" s="358"/>
    </row>
    <row r="1490" spans="1:9" ht="15" customHeight="1">
      <c r="A1490" s="335">
        <v>41183</v>
      </c>
      <c r="B1490" s="345">
        <v>12500</v>
      </c>
      <c r="C1490" s="345">
        <v>12700</v>
      </c>
      <c r="D1490" s="346">
        <f t="shared" si="91"/>
        <v>12600</v>
      </c>
    </row>
    <row r="1491" spans="1:9" ht="15" customHeight="1">
      <c r="A1491" s="335">
        <v>41184</v>
      </c>
      <c r="B1491" s="345">
        <v>12500</v>
      </c>
      <c r="C1491" s="345">
        <v>12700</v>
      </c>
      <c r="D1491" s="346">
        <f t="shared" si="91"/>
        <v>12600</v>
      </c>
    </row>
    <row r="1492" spans="1:9" ht="15" customHeight="1">
      <c r="A1492" s="335">
        <v>41185</v>
      </c>
      <c r="B1492" s="345">
        <v>12500</v>
      </c>
      <c r="C1492" s="345">
        <v>12700</v>
      </c>
      <c r="D1492" s="346">
        <f t="shared" si="91"/>
        <v>12600</v>
      </c>
    </row>
    <row r="1493" spans="1:9" ht="15" customHeight="1">
      <c r="A1493" s="335">
        <v>41186</v>
      </c>
      <c r="B1493" s="345">
        <v>12500</v>
      </c>
      <c r="C1493" s="345">
        <v>12700</v>
      </c>
      <c r="D1493" s="346">
        <f t="shared" ref="D1493:D1498" si="92">AVERAGE(B1493:C1493)</f>
        <v>12600</v>
      </c>
    </row>
    <row r="1494" spans="1:9" ht="15" customHeight="1">
      <c r="A1494" s="335">
        <v>41187</v>
      </c>
      <c r="B1494" s="345">
        <v>12500</v>
      </c>
      <c r="C1494" s="345">
        <v>12700</v>
      </c>
      <c r="D1494" s="346">
        <f t="shared" si="92"/>
        <v>12600</v>
      </c>
    </row>
    <row r="1495" spans="1:9" ht="15" customHeight="1">
      <c r="A1495" s="335">
        <v>41190</v>
      </c>
      <c r="B1495" s="345">
        <v>12800</v>
      </c>
      <c r="C1495" s="345">
        <v>12800</v>
      </c>
      <c r="D1495" s="346">
        <f t="shared" si="92"/>
        <v>12800</v>
      </c>
    </row>
    <row r="1496" spans="1:9" ht="15" customHeight="1">
      <c r="A1496" s="335">
        <v>41191</v>
      </c>
      <c r="B1496" s="345">
        <v>12800</v>
      </c>
      <c r="C1496" s="345">
        <v>12800</v>
      </c>
      <c r="D1496" s="346">
        <f t="shared" si="92"/>
        <v>12800</v>
      </c>
    </row>
    <row r="1497" spans="1:9" ht="15" customHeight="1">
      <c r="A1497" s="335">
        <v>41192</v>
      </c>
      <c r="B1497" s="345">
        <v>12800</v>
      </c>
      <c r="C1497" s="345">
        <v>12800</v>
      </c>
      <c r="D1497" s="346">
        <f t="shared" si="92"/>
        <v>12800</v>
      </c>
    </row>
    <row r="1498" spans="1:9" ht="15" customHeight="1">
      <c r="A1498" s="335">
        <v>41193</v>
      </c>
      <c r="B1498" s="345">
        <v>12800</v>
      </c>
      <c r="C1498" s="345">
        <v>12800</v>
      </c>
      <c r="D1498" s="346">
        <f t="shared" si="92"/>
        <v>12800</v>
      </c>
    </row>
    <row r="1499" spans="1:9" ht="15" customHeight="1">
      <c r="A1499" s="335">
        <v>41194</v>
      </c>
      <c r="B1499" s="345">
        <v>12800</v>
      </c>
      <c r="C1499" s="345">
        <v>12800</v>
      </c>
      <c r="D1499" s="346">
        <f t="shared" ref="D1499:D1504" si="93">AVERAGE(B1499:C1499)</f>
        <v>12800</v>
      </c>
    </row>
    <row r="1500" spans="1:9" ht="15" customHeight="1">
      <c r="A1500" s="335">
        <v>41197</v>
      </c>
      <c r="B1500" s="345">
        <v>12700</v>
      </c>
      <c r="C1500" s="345">
        <v>12800</v>
      </c>
      <c r="D1500" s="346">
        <f t="shared" si="93"/>
        <v>12750</v>
      </c>
    </row>
    <row r="1501" spans="1:9" ht="15" customHeight="1">
      <c r="A1501" s="335">
        <v>41198</v>
      </c>
      <c r="B1501" s="345">
        <v>12700</v>
      </c>
      <c r="C1501" s="345">
        <v>12800</v>
      </c>
      <c r="D1501" s="346">
        <f t="shared" si="93"/>
        <v>12750</v>
      </c>
    </row>
    <row r="1502" spans="1:9" ht="15" customHeight="1">
      <c r="A1502" s="335">
        <v>41199</v>
      </c>
      <c r="B1502" s="345">
        <v>12700</v>
      </c>
      <c r="C1502" s="345">
        <v>12800</v>
      </c>
      <c r="D1502" s="346">
        <f t="shared" si="93"/>
        <v>12750</v>
      </c>
    </row>
    <row r="1503" spans="1:9" ht="15" customHeight="1">
      <c r="A1503" s="335">
        <v>41200</v>
      </c>
      <c r="B1503" s="345">
        <v>12700</v>
      </c>
      <c r="C1503" s="345">
        <v>12800</v>
      </c>
      <c r="D1503" s="346">
        <f t="shared" si="93"/>
        <v>12750</v>
      </c>
    </row>
    <row r="1504" spans="1:9" ht="15" customHeight="1">
      <c r="A1504" s="335">
        <v>41201</v>
      </c>
      <c r="B1504" s="345">
        <v>12700</v>
      </c>
      <c r="C1504" s="345">
        <v>12800</v>
      </c>
      <c r="D1504" s="346">
        <f t="shared" si="93"/>
        <v>12750</v>
      </c>
    </row>
    <row r="1505" spans="1:9" ht="15" customHeight="1">
      <c r="A1505" s="335">
        <v>41204</v>
      </c>
      <c r="B1505" s="345">
        <v>12700</v>
      </c>
      <c r="C1505" s="345">
        <v>12800</v>
      </c>
      <c r="D1505" s="346">
        <f t="shared" ref="D1505:D1510" si="94">AVERAGE(B1505:C1505)</f>
        <v>12750</v>
      </c>
    </row>
    <row r="1506" spans="1:9" ht="15" customHeight="1">
      <c r="A1506" s="335">
        <v>41205</v>
      </c>
      <c r="B1506" s="345">
        <v>12700</v>
      </c>
      <c r="C1506" s="345">
        <v>12800</v>
      </c>
      <c r="D1506" s="346">
        <f t="shared" si="94"/>
        <v>12750</v>
      </c>
    </row>
    <row r="1507" spans="1:9" ht="15" customHeight="1">
      <c r="A1507" s="335">
        <v>41206</v>
      </c>
      <c r="B1507" s="345">
        <v>12700</v>
      </c>
      <c r="C1507" s="345">
        <v>12800</v>
      </c>
      <c r="D1507" s="346">
        <f t="shared" si="94"/>
        <v>12750</v>
      </c>
    </row>
    <row r="1508" spans="1:9" ht="15" customHeight="1">
      <c r="A1508" s="335">
        <v>41207</v>
      </c>
      <c r="B1508" s="345">
        <v>12700</v>
      </c>
      <c r="C1508" s="345">
        <v>12800</v>
      </c>
      <c r="D1508" s="346">
        <f t="shared" si="94"/>
        <v>12750</v>
      </c>
    </row>
    <row r="1509" spans="1:9" ht="15" customHeight="1">
      <c r="A1509" s="335">
        <v>41208</v>
      </c>
      <c r="B1509" s="345">
        <v>12300</v>
      </c>
      <c r="C1509" s="345">
        <v>12500</v>
      </c>
      <c r="D1509" s="346">
        <f t="shared" si="94"/>
        <v>12400</v>
      </c>
    </row>
    <row r="1510" spans="1:9" ht="15" customHeight="1">
      <c r="A1510" s="335">
        <v>41211</v>
      </c>
      <c r="B1510" s="345">
        <v>12300</v>
      </c>
      <c r="C1510" s="345">
        <v>12500</v>
      </c>
      <c r="D1510" s="346">
        <f t="shared" si="94"/>
        <v>12400</v>
      </c>
    </row>
    <row r="1511" spans="1:9" ht="15" customHeight="1">
      <c r="A1511" s="335">
        <v>41212</v>
      </c>
      <c r="B1511" s="345">
        <v>12300</v>
      </c>
      <c r="C1511" s="345">
        <v>12500</v>
      </c>
      <c r="D1511" s="346">
        <f t="shared" ref="D1511:D1516" si="95">AVERAGE(B1511:C1511)</f>
        <v>12400</v>
      </c>
    </row>
    <row r="1512" spans="1:9" ht="15" customHeight="1" thickBot="1">
      <c r="A1512" s="340">
        <v>41213</v>
      </c>
      <c r="B1512" s="341">
        <v>12300</v>
      </c>
      <c r="C1512" s="341">
        <v>12500</v>
      </c>
      <c r="D1512" s="342">
        <f t="shared" si="95"/>
        <v>12400</v>
      </c>
      <c r="E1512" s="360">
        <f>AVERAGE(D1490:D1512)</f>
        <v>12667.391304347826</v>
      </c>
      <c r="F1512" s="360"/>
      <c r="G1512" s="344"/>
      <c r="H1512" s="354"/>
      <c r="I1512" s="358"/>
    </row>
    <row r="1513" spans="1:9" ht="15" customHeight="1">
      <c r="A1513" s="362">
        <v>41214</v>
      </c>
      <c r="B1513" s="363">
        <v>12300</v>
      </c>
      <c r="C1513" s="363">
        <v>12500</v>
      </c>
      <c r="D1513" s="408">
        <f t="shared" si="95"/>
        <v>12400</v>
      </c>
    </row>
    <row r="1514" spans="1:9" ht="15" customHeight="1">
      <c r="A1514" s="335">
        <v>41215</v>
      </c>
      <c r="B1514" s="345">
        <v>12000</v>
      </c>
      <c r="C1514" s="345">
        <v>12300</v>
      </c>
      <c r="D1514" s="346">
        <f t="shared" si="95"/>
        <v>12150</v>
      </c>
    </row>
    <row r="1515" spans="1:9" ht="15" customHeight="1">
      <c r="A1515" s="335">
        <v>41218</v>
      </c>
      <c r="B1515" s="345">
        <v>12000</v>
      </c>
      <c r="C1515" s="345">
        <v>12300</v>
      </c>
      <c r="D1515" s="346">
        <f t="shared" si="95"/>
        <v>12150</v>
      </c>
    </row>
    <row r="1516" spans="1:9" ht="15" customHeight="1">
      <c r="A1516" s="335">
        <v>41219</v>
      </c>
      <c r="B1516" s="345">
        <v>12000</v>
      </c>
      <c r="C1516" s="345">
        <v>12300</v>
      </c>
      <c r="D1516" s="346">
        <f t="shared" si="95"/>
        <v>12150</v>
      </c>
    </row>
    <row r="1517" spans="1:9" ht="15" customHeight="1">
      <c r="A1517" s="335">
        <v>41220</v>
      </c>
      <c r="B1517" s="345">
        <v>12000</v>
      </c>
      <c r="C1517" s="345">
        <v>12300</v>
      </c>
      <c r="D1517" s="346">
        <f t="shared" ref="D1517:D1522" si="96">AVERAGE(B1517:C1517)</f>
        <v>12150</v>
      </c>
    </row>
    <row r="1518" spans="1:9" ht="15" customHeight="1">
      <c r="A1518" s="335">
        <v>41221</v>
      </c>
      <c r="B1518" s="345">
        <v>12000</v>
      </c>
      <c r="C1518" s="345">
        <v>12300</v>
      </c>
      <c r="D1518" s="346">
        <f t="shared" si="96"/>
        <v>12150</v>
      </c>
    </row>
    <row r="1519" spans="1:9" ht="15" customHeight="1">
      <c r="A1519" s="335">
        <v>41222</v>
      </c>
      <c r="B1519" s="345">
        <v>12000</v>
      </c>
      <c r="C1519" s="345">
        <v>12500</v>
      </c>
      <c r="D1519" s="346">
        <f t="shared" si="96"/>
        <v>12250</v>
      </c>
    </row>
    <row r="1520" spans="1:9" ht="15" customHeight="1">
      <c r="A1520" s="335">
        <v>41225</v>
      </c>
      <c r="B1520" s="345">
        <v>12000</v>
      </c>
      <c r="C1520" s="345">
        <v>12500</v>
      </c>
      <c r="D1520" s="346">
        <f t="shared" si="96"/>
        <v>12250</v>
      </c>
    </row>
    <row r="1521" spans="1:9" ht="15" customHeight="1">
      <c r="A1521" s="335">
        <v>41226</v>
      </c>
      <c r="B1521" s="345">
        <v>12000</v>
      </c>
      <c r="C1521" s="345">
        <v>12500</v>
      </c>
      <c r="D1521" s="346">
        <f t="shared" si="96"/>
        <v>12250</v>
      </c>
    </row>
    <row r="1522" spans="1:9" ht="15" customHeight="1">
      <c r="A1522" s="335">
        <v>41227</v>
      </c>
      <c r="B1522" s="345">
        <v>12000</v>
      </c>
      <c r="C1522" s="345">
        <v>12500</v>
      </c>
      <c r="D1522" s="346">
        <f t="shared" si="96"/>
        <v>12250</v>
      </c>
    </row>
    <row r="1523" spans="1:9" ht="15" customHeight="1">
      <c r="A1523" s="335">
        <v>41228</v>
      </c>
      <c r="B1523" s="345">
        <v>12000</v>
      </c>
      <c r="C1523" s="345">
        <v>12500</v>
      </c>
      <c r="D1523" s="346">
        <f t="shared" ref="D1523:D1528" si="97">AVERAGE(B1523:C1523)</f>
        <v>12250</v>
      </c>
    </row>
    <row r="1524" spans="1:9" ht="15" customHeight="1">
      <c r="A1524" s="335">
        <v>41229</v>
      </c>
      <c r="B1524" s="345">
        <v>12100</v>
      </c>
      <c r="C1524" s="345">
        <v>12400</v>
      </c>
      <c r="D1524" s="346">
        <f t="shared" si="97"/>
        <v>12250</v>
      </c>
    </row>
    <row r="1525" spans="1:9" ht="15" customHeight="1">
      <c r="A1525" s="335">
        <v>41232</v>
      </c>
      <c r="B1525" s="345">
        <v>12100</v>
      </c>
      <c r="C1525" s="345">
        <v>12400</v>
      </c>
      <c r="D1525" s="346">
        <f t="shared" si="97"/>
        <v>12250</v>
      </c>
    </row>
    <row r="1526" spans="1:9" ht="15" customHeight="1">
      <c r="A1526" s="335">
        <v>41233</v>
      </c>
      <c r="B1526" s="345">
        <v>12100</v>
      </c>
      <c r="C1526" s="345">
        <v>12400</v>
      </c>
      <c r="D1526" s="346">
        <f t="shared" si="97"/>
        <v>12250</v>
      </c>
    </row>
    <row r="1527" spans="1:9" ht="15" customHeight="1">
      <c r="A1527" s="335">
        <v>41234</v>
      </c>
      <c r="B1527" s="345">
        <v>12100</v>
      </c>
      <c r="C1527" s="345">
        <v>12400</v>
      </c>
      <c r="D1527" s="346">
        <f t="shared" si="97"/>
        <v>12250</v>
      </c>
    </row>
    <row r="1528" spans="1:9" ht="15" customHeight="1">
      <c r="A1528" s="335">
        <v>41235</v>
      </c>
      <c r="B1528" s="345">
        <v>12100</v>
      </c>
      <c r="C1528" s="345">
        <v>12400</v>
      </c>
      <c r="D1528" s="346">
        <f t="shared" si="97"/>
        <v>12250</v>
      </c>
    </row>
    <row r="1529" spans="1:9" ht="15" customHeight="1">
      <c r="A1529" s="335">
        <v>41236</v>
      </c>
      <c r="B1529" s="345">
        <v>12100</v>
      </c>
      <c r="C1529" s="345">
        <v>12400</v>
      </c>
      <c r="D1529" s="346">
        <f t="shared" ref="D1529:D1534" si="98">AVERAGE(B1529:C1529)</f>
        <v>12250</v>
      </c>
    </row>
    <row r="1530" spans="1:9" ht="15" customHeight="1">
      <c r="A1530" s="335">
        <v>41239</v>
      </c>
      <c r="B1530" s="345">
        <v>12000</v>
      </c>
      <c r="C1530" s="345">
        <v>12400</v>
      </c>
      <c r="D1530" s="346">
        <f t="shared" si="98"/>
        <v>12200</v>
      </c>
    </row>
    <row r="1531" spans="1:9" ht="15" customHeight="1">
      <c r="A1531" s="335">
        <v>41240</v>
      </c>
      <c r="B1531" s="345">
        <v>12000</v>
      </c>
      <c r="C1531" s="345">
        <v>12400</v>
      </c>
      <c r="D1531" s="346">
        <f t="shared" si="98"/>
        <v>12200</v>
      </c>
    </row>
    <row r="1532" spans="1:9" ht="15" customHeight="1">
      <c r="A1532" s="335">
        <v>41241</v>
      </c>
      <c r="B1532" s="345">
        <v>12000</v>
      </c>
      <c r="C1532" s="345">
        <v>12400</v>
      </c>
      <c r="D1532" s="346">
        <f t="shared" si="98"/>
        <v>12200</v>
      </c>
    </row>
    <row r="1533" spans="1:9" ht="15" customHeight="1">
      <c r="A1533" s="335">
        <v>41242</v>
      </c>
      <c r="B1533" s="345">
        <v>12000</v>
      </c>
      <c r="C1533" s="345">
        <v>12400</v>
      </c>
      <c r="D1533" s="346">
        <f t="shared" si="98"/>
        <v>12200</v>
      </c>
    </row>
    <row r="1534" spans="1:9" ht="15" customHeight="1" thickBot="1">
      <c r="A1534" s="340">
        <v>41243</v>
      </c>
      <c r="B1534" s="341">
        <v>12000</v>
      </c>
      <c r="C1534" s="341">
        <v>12200</v>
      </c>
      <c r="D1534" s="342">
        <f t="shared" si="98"/>
        <v>12100</v>
      </c>
      <c r="E1534" s="360">
        <f>AVERAGE(D1513:D1534)</f>
        <v>12218.181818181818</v>
      </c>
      <c r="F1534" s="360"/>
      <c r="G1534" s="344"/>
      <c r="H1534" s="354"/>
      <c r="I1534" s="358"/>
    </row>
    <row r="1535" spans="1:9" ht="15" customHeight="1">
      <c r="A1535" s="335">
        <v>41246</v>
      </c>
      <c r="B1535" s="345">
        <v>12000</v>
      </c>
      <c r="C1535" s="345">
        <v>12200</v>
      </c>
      <c r="D1535" s="346">
        <f t="shared" ref="D1535:D1540" si="99">AVERAGE(B1535:C1535)</f>
        <v>12100</v>
      </c>
    </row>
    <row r="1536" spans="1:9" ht="15" customHeight="1">
      <c r="A1536" s="335">
        <v>41247</v>
      </c>
      <c r="B1536" s="345">
        <v>12000</v>
      </c>
      <c r="C1536" s="345">
        <v>12200</v>
      </c>
      <c r="D1536" s="346">
        <f t="shared" si="99"/>
        <v>12100</v>
      </c>
    </row>
    <row r="1537" spans="1:4" ht="15" customHeight="1">
      <c r="A1537" s="335">
        <v>41248</v>
      </c>
      <c r="B1537" s="345">
        <v>12000</v>
      </c>
      <c r="C1537" s="345">
        <v>12200</v>
      </c>
      <c r="D1537" s="346">
        <f t="shared" si="99"/>
        <v>12100</v>
      </c>
    </row>
    <row r="1538" spans="1:4" ht="15" customHeight="1">
      <c r="A1538" s="335">
        <v>41249</v>
      </c>
      <c r="B1538" s="345">
        <v>12000</v>
      </c>
      <c r="C1538" s="345">
        <v>12200</v>
      </c>
      <c r="D1538" s="346">
        <f t="shared" si="99"/>
        <v>12100</v>
      </c>
    </row>
    <row r="1539" spans="1:4" ht="15" customHeight="1">
      <c r="A1539" s="335">
        <v>41250</v>
      </c>
      <c r="B1539" s="345">
        <v>12000</v>
      </c>
      <c r="C1539" s="345">
        <v>12200</v>
      </c>
      <c r="D1539" s="346">
        <f t="shared" si="99"/>
        <v>12100</v>
      </c>
    </row>
    <row r="1540" spans="1:4" ht="15" customHeight="1">
      <c r="A1540" s="335">
        <v>41253</v>
      </c>
      <c r="B1540" s="345">
        <v>12000</v>
      </c>
      <c r="C1540" s="345">
        <v>12200</v>
      </c>
      <c r="D1540" s="346">
        <f t="shared" si="99"/>
        <v>12100</v>
      </c>
    </row>
    <row r="1541" spans="1:4" ht="15" customHeight="1">
      <c r="A1541" s="335">
        <v>41254</v>
      </c>
      <c r="B1541" s="345">
        <v>12000</v>
      </c>
      <c r="C1541" s="345">
        <v>12200</v>
      </c>
      <c r="D1541" s="346">
        <f t="shared" ref="D1541:D1554" si="100">AVERAGE(B1541:C1541)</f>
        <v>12100</v>
      </c>
    </row>
    <row r="1542" spans="1:4" ht="15" customHeight="1">
      <c r="A1542" s="335">
        <v>41255</v>
      </c>
      <c r="B1542" s="345">
        <v>12000</v>
      </c>
      <c r="C1542" s="345">
        <v>12200</v>
      </c>
      <c r="D1542" s="346">
        <f t="shared" si="100"/>
        <v>12100</v>
      </c>
    </row>
    <row r="1543" spans="1:4" ht="15" customHeight="1">
      <c r="A1543" s="335">
        <v>41256</v>
      </c>
      <c r="B1543" s="336">
        <v>12000</v>
      </c>
      <c r="C1543" s="336">
        <v>12200</v>
      </c>
      <c r="D1543" s="346">
        <f t="shared" si="100"/>
        <v>12100</v>
      </c>
    </row>
    <row r="1544" spans="1:4" ht="15" customHeight="1">
      <c r="A1544" s="335">
        <v>41257</v>
      </c>
      <c r="B1544" s="336">
        <v>12000</v>
      </c>
      <c r="C1544" s="336">
        <v>12200</v>
      </c>
      <c r="D1544" s="337">
        <f t="shared" si="100"/>
        <v>12100</v>
      </c>
    </row>
    <row r="1545" spans="1:4" ht="15" customHeight="1">
      <c r="A1545" s="335">
        <v>41260</v>
      </c>
      <c r="B1545" s="336">
        <v>12000</v>
      </c>
      <c r="C1545" s="336">
        <v>12200</v>
      </c>
      <c r="D1545" s="337">
        <f t="shared" si="100"/>
        <v>12100</v>
      </c>
    </row>
    <row r="1546" spans="1:4" ht="15" customHeight="1">
      <c r="A1546" s="335">
        <v>41261</v>
      </c>
      <c r="B1546" s="336">
        <v>12000</v>
      </c>
      <c r="C1546" s="336">
        <v>12200</v>
      </c>
      <c r="D1546" s="337">
        <f t="shared" si="100"/>
        <v>12100</v>
      </c>
    </row>
    <row r="1547" spans="1:4" ht="15" customHeight="1">
      <c r="A1547" s="335">
        <v>41262</v>
      </c>
      <c r="B1547" s="336">
        <v>12000</v>
      </c>
      <c r="C1547" s="336">
        <v>12200</v>
      </c>
      <c r="D1547" s="337">
        <f t="shared" si="100"/>
        <v>12100</v>
      </c>
    </row>
    <row r="1548" spans="1:4" ht="15" customHeight="1">
      <c r="A1548" s="335">
        <v>41263</v>
      </c>
      <c r="B1548" s="336">
        <v>12000</v>
      </c>
      <c r="C1548" s="336">
        <v>12200</v>
      </c>
      <c r="D1548" s="337">
        <f t="shared" si="100"/>
        <v>12100</v>
      </c>
    </row>
    <row r="1549" spans="1:4" ht="15" customHeight="1">
      <c r="A1549" s="335">
        <v>41264</v>
      </c>
      <c r="B1549" s="336">
        <v>12000</v>
      </c>
      <c r="C1549" s="336">
        <v>12200</v>
      </c>
      <c r="D1549" s="337">
        <f t="shared" si="100"/>
        <v>12100</v>
      </c>
    </row>
    <row r="1550" spans="1:4" ht="15" customHeight="1">
      <c r="A1550" s="335">
        <v>41267</v>
      </c>
      <c r="B1550" s="336">
        <v>12000</v>
      </c>
      <c r="C1550" s="336">
        <v>12200</v>
      </c>
      <c r="D1550" s="337">
        <f t="shared" si="100"/>
        <v>12100</v>
      </c>
    </row>
    <row r="1551" spans="1:4" ht="15" customHeight="1">
      <c r="A1551" s="335">
        <v>41268</v>
      </c>
      <c r="B1551" s="1416" t="s">
        <v>86</v>
      </c>
      <c r="C1551" s="1416"/>
      <c r="D1551" s="1416"/>
    </row>
    <row r="1552" spans="1:4" ht="15" customHeight="1">
      <c r="A1552" s="335">
        <v>41269</v>
      </c>
      <c r="B1552" s="1416" t="s">
        <v>86</v>
      </c>
      <c r="C1552" s="1416"/>
      <c r="D1552" s="1416"/>
    </row>
    <row r="1553" spans="1:9" ht="15" customHeight="1">
      <c r="A1553" s="335">
        <v>41270</v>
      </c>
      <c r="B1553" s="336">
        <v>12000</v>
      </c>
      <c r="C1553" s="336">
        <v>12200</v>
      </c>
      <c r="D1553" s="337">
        <f t="shared" si="100"/>
        <v>12100</v>
      </c>
    </row>
    <row r="1554" spans="1:9" ht="15" customHeight="1">
      <c r="A1554" s="335">
        <v>41271</v>
      </c>
      <c r="B1554" s="336">
        <v>12000</v>
      </c>
      <c r="C1554" s="336">
        <v>12200</v>
      </c>
      <c r="D1554" s="337">
        <f t="shared" si="100"/>
        <v>12100</v>
      </c>
    </row>
    <row r="1555" spans="1:9" ht="15" customHeight="1" thickBot="1">
      <c r="A1555" s="340">
        <v>41274</v>
      </c>
      <c r="B1555" s="341">
        <v>12000</v>
      </c>
      <c r="C1555" s="341">
        <v>12200</v>
      </c>
      <c r="D1555" s="342">
        <f>AVERAGE(B1555:C1555)</f>
        <v>12100</v>
      </c>
      <c r="E1555" s="360">
        <f>AVERAGE(D1535:D1555)</f>
        <v>12100</v>
      </c>
      <c r="F1555" s="360">
        <f>AVERAGE(D1295:D1555)</f>
        <v>12631.349206349207</v>
      </c>
      <c r="G1555" s="344">
        <f>AVERAGE(D1490:D1555)</f>
        <v>12344.53125</v>
      </c>
      <c r="H1555" s="354"/>
      <c r="I1555" s="358"/>
    </row>
    <row r="1556" spans="1:9" ht="15" customHeight="1">
      <c r="A1556" s="335">
        <v>41275</v>
      </c>
      <c r="B1556" s="1416" t="s">
        <v>86</v>
      </c>
      <c r="C1556" s="1416"/>
      <c r="D1556" s="1416"/>
    </row>
    <row r="1557" spans="1:9" ht="15" customHeight="1">
      <c r="A1557" s="335">
        <v>41276</v>
      </c>
      <c r="B1557" s="336">
        <v>12000</v>
      </c>
      <c r="C1557" s="336">
        <v>12200</v>
      </c>
      <c r="D1557" s="337">
        <f t="shared" ref="D1557:D1562" si="101">AVERAGE(B1557:C1557)</f>
        <v>12100</v>
      </c>
      <c r="E1557" s="347"/>
      <c r="F1557" s="347"/>
    </row>
    <row r="1558" spans="1:9" ht="15" customHeight="1">
      <c r="A1558" s="335">
        <v>41277</v>
      </c>
      <c r="B1558" s="336">
        <v>12000</v>
      </c>
      <c r="C1558" s="336">
        <v>12200</v>
      </c>
      <c r="D1558" s="337">
        <f t="shared" si="101"/>
        <v>12100</v>
      </c>
      <c r="E1558" s="370"/>
      <c r="F1558" s="370"/>
    </row>
    <row r="1559" spans="1:9" ht="15" customHeight="1">
      <c r="A1559" s="335">
        <v>41278</v>
      </c>
      <c r="B1559" s="336">
        <v>12000</v>
      </c>
      <c r="C1559" s="336">
        <v>12100</v>
      </c>
      <c r="D1559" s="337">
        <f t="shared" si="101"/>
        <v>12050</v>
      </c>
      <c r="E1559" s="370"/>
      <c r="F1559" s="370"/>
    </row>
    <row r="1560" spans="1:9" ht="15" customHeight="1">
      <c r="A1560" s="335">
        <v>41281</v>
      </c>
      <c r="B1560" s="336">
        <v>12000</v>
      </c>
      <c r="C1560" s="336">
        <v>12100</v>
      </c>
      <c r="D1560" s="337">
        <f t="shared" si="101"/>
        <v>12050</v>
      </c>
      <c r="E1560" s="370"/>
      <c r="F1560" s="370"/>
    </row>
    <row r="1561" spans="1:9" ht="15" customHeight="1">
      <c r="A1561" s="335">
        <v>41282</v>
      </c>
      <c r="B1561" s="336">
        <v>12000</v>
      </c>
      <c r="C1561" s="336">
        <v>12100</v>
      </c>
      <c r="D1561" s="337">
        <f t="shared" si="101"/>
        <v>12050</v>
      </c>
      <c r="E1561" s="347"/>
      <c r="F1561" s="347"/>
    </row>
    <row r="1562" spans="1:9" ht="15" customHeight="1">
      <c r="A1562" s="335">
        <v>41283</v>
      </c>
      <c r="B1562" s="336">
        <v>12000</v>
      </c>
      <c r="C1562" s="336">
        <v>12100</v>
      </c>
      <c r="D1562" s="337">
        <f t="shared" si="101"/>
        <v>12050</v>
      </c>
      <c r="E1562" s="347"/>
      <c r="F1562" s="347"/>
    </row>
    <row r="1563" spans="1:9" ht="15" customHeight="1">
      <c r="A1563" s="335">
        <v>41284</v>
      </c>
      <c r="B1563" s="336">
        <v>12000</v>
      </c>
      <c r="C1563" s="336">
        <v>12100</v>
      </c>
      <c r="D1563" s="337">
        <f t="shared" ref="D1563:D1618" si="102">AVERAGE(B1563:C1563)</f>
        <v>12050</v>
      </c>
    </row>
    <row r="1564" spans="1:9" ht="15" customHeight="1">
      <c r="A1564" s="335">
        <v>41285</v>
      </c>
      <c r="B1564" s="336">
        <v>11500</v>
      </c>
      <c r="C1564" s="336">
        <v>11900</v>
      </c>
      <c r="D1564" s="337">
        <f t="shared" si="102"/>
        <v>11700</v>
      </c>
    </row>
    <row r="1565" spans="1:9" ht="15" customHeight="1">
      <c r="A1565" s="335">
        <v>41288</v>
      </c>
      <c r="B1565" s="336">
        <v>11500</v>
      </c>
      <c r="C1565" s="336">
        <v>11900</v>
      </c>
      <c r="D1565" s="337">
        <f t="shared" si="102"/>
        <v>11700</v>
      </c>
      <c r="E1565" s="347"/>
      <c r="F1565" s="347"/>
    </row>
    <row r="1566" spans="1:9" ht="15" customHeight="1">
      <c r="A1566" s="335">
        <v>41289</v>
      </c>
      <c r="B1566" s="336">
        <v>11500</v>
      </c>
      <c r="C1566" s="336">
        <v>11900</v>
      </c>
      <c r="D1566" s="337">
        <f t="shared" si="102"/>
        <v>11700</v>
      </c>
      <c r="E1566" s="347"/>
      <c r="F1566" s="347"/>
    </row>
    <row r="1567" spans="1:9" ht="15" customHeight="1">
      <c r="A1567" s="335">
        <v>41290</v>
      </c>
      <c r="B1567" s="336">
        <v>11500</v>
      </c>
      <c r="C1567" s="336">
        <v>11900</v>
      </c>
      <c r="D1567" s="337">
        <f t="shared" si="102"/>
        <v>11700</v>
      </c>
    </row>
    <row r="1568" spans="1:9" ht="15" customHeight="1">
      <c r="A1568" s="335">
        <v>41291</v>
      </c>
      <c r="B1568" s="336">
        <v>11500</v>
      </c>
      <c r="C1568" s="336">
        <v>11900</v>
      </c>
      <c r="D1568" s="337">
        <f t="shared" si="102"/>
        <v>11700</v>
      </c>
    </row>
    <row r="1569" spans="1:9" ht="15" customHeight="1">
      <c r="A1569" s="335">
        <v>41292</v>
      </c>
      <c r="B1569" s="336">
        <v>11000</v>
      </c>
      <c r="C1569" s="336">
        <v>11400</v>
      </c>
      <c r="D1569" s="337">
        <f>AVERAGE(B1569:C1569)</f>
        <v>11200</v>
      </c>
    </row>
    <row r="1570" spans="1:9" ht="15" customHeight="1">
      <c r="A1570" s="335">
        <v>41295</v>
      </c>
      <c r="B1570" s="336">
        <v>11000</v>
      </c>
      <c r="C1570" s="336">
        <v>11400</v>
      </c>
      <c r="D1570" s="337">
        <f t="shared" si="102"/>
        <v>11200</v>
      </c>
    </row>
    <row r="1571" spans="1:9" ht="15" customHeight="1">
      <c r="A1571" s="335">
        <v>41296</v>
      </c>
      <c r="B1571" s="336">
        <v>11000</v>
      </c>
      <c r="C1571" s="336">
        <v>11400</v>
      </c>
      <c r="D1571" s="337">
        <f t="shared" si="102"/>
        <v>11200</v>
      </c>
    </row>
    <row r="1572" spans="1:9" ht="15" customHeight="1">
      <c r="A1572" s="335">
        <v>41297</v>
      </c>
      <c r="B1572" s="336">
        <v>11000</v>
      </c>
      <c r="C1572" s="336">
        <v>11400</v>
      </c>
      <c r="D1572" s="337">
        <f t="shared" si="102"/>
        <v>11200</v>
      </c>
    </row>
    <row r="1573" spans="1:9" ht="15" customHeight="1">
      <c r="A1573" s="335">
        <v>41298</v>
      </c>
      <c r="B1573" s="336">
        <v>11000</v>
      </c>
      <c r="C1573" s="336">
        <v>11400</v>
      </c>
      <c r="D1573" s="337">
        <f t="shared" si="102"/>
        <v>11200</v>
      </c>
    </row>
    <row r="1574" spans="1:9" ht="15" customHeight="1">
      <c r="A1574" s="335">
        <v>41299</v>
      </c>
      <c r="B1574" s="336">
        <v>11000</v>
      </c>
      <c r="C1574" s="336">
        <v>11400</v>
      </c>
      <c r="D1574" s="337">
        <f t="shared" si="102"/>
        <v>11200</v>
      </c>
    </row>
    <row r="1575" spans="1:9" ht="15" customHeight="1">
      <c r="A1575" s="335">
        <v>41302</v>
      </c>
      <c r="B1575" s="336">
        <v>11000</v>
      </c>
      <c r="C1575" s="336">
        <v>11400</v>
      </c>
      <c r="D1575" s="337">
        <f t="shared" si="102"/>
        <v>11200</v>
      </c>
    </row>
    <row r="1576" spans="1:9" ht="15" customHeight="1">
      <c r="A1576" s="335">
        <v>41303</v>
      </c>
      <c r="B1576" s="336">
        <v>11000</v>
      </c>
      <c r="C1576" s="336">
        <v>11400</v>
      </c>
      <c r="D1576" s="337">
        <f t="shared" si="102"/>
        <v>11200</v>
      </c>
    </row>
    <row r="1577" spans="1:9" ht="15" customHeight="1">
      <c r="A1577" s="335">
        <v>41304</v>
      </c>
      <c r="B1577" s="336">
        <v>11000</v>
      </c>
      <c r="C1577" s="336">
        <v>11400</v>
      </c>
      <c r="D1577" s="337">
        <f t="shared" si="102"/>
        <v>11200</v>
      </c>
    </row>
    <row r="1578" spans="1:9" ht="15" customHeight="1" thickBot="1">
      <c r="A1578" s="340">
        <v>41305</v>
      </c>
      <c r="B1578" s="341">
        <v>11000</v>
      </c>
      <c r="C1578" s="341">
        <v>11400</v>
      </c>
      <c r="D1578" s="342">
        <f t="shared" si="102"/>
        <v>11200</v>
      </c>
      <c r="E1578" s="360">
        <f>AVERAGE(D1557:D1578)</f>
        <v>11588.636363636364</v>
      </c>
      <c r="F1578" s="360"/>
      <c r="G1578" s="344"/>
      <c r="H1578" s="354"/>
      <c r="I1578" s="358"/>
    </row>
    <row r="1579" spans="1:9" ht="15" customHeight="1">
      <c r="A1579" s="362">
        <v>41306</v>
      </c>
      <c r="B1579" s="336">
        <v>11400</v>
      </c>
      <c r="C1579" s="336">
        <v>12000</v>
      </c>
      <c r="D1579" s="337">
        <f t="shared" si="102"/>
        <v>11700</v>
      </c>
    </row>
    <row r="1580" spans="1:9" ht="15" customHeight="1">
      <c r="A1580" s="335">
        <v>41309</v>
      </c>
      <c r="B1580" s="336">
        <v>11400</v>
      </c>
      <c r="C1580" s="336">
        <v>12000</v>
      </c>
      <c r="D1580" s="337">
        <f t="shared" si="102"/>
        <v>11700</v>
      </c>
    </row>
    <row r="1581" spans="1:9" ht="15" customHeight="1">
      <c r="A1581" s="335">
        <v>41310</v>
      </c>
      <c r="B1581" s="336">
        <v>11400</v>
      </c>
      <c r="C1581" s="336">
        <v>12000</v>
      </c>
      <c r="D1581" s="337">
        <f t="shared" si="102"/>
        <v>11700</v>
      </c>
    </row>
    <row r="1582" spans="1:9" ht="15" customHeight="1">
      <c r="A1582" s="335">
        <v>41311</v>
      </c>
      <c r="B1582" s="336">
        <v>11400</v>
      </c>
      <c r="C1582" s="336">
        <v>12000</v>
      </c>
      <c r="D1582" s="337">
        <f t="shared" si="102"/>
        <v>11700</v>
      </c>
    </row>
    <row r="1583" spans="1:9" ht="15" customHeight="1">
      <c r="A1583" s="335">
        <v>41312</v>
      </c>
      <c r="B1583" s="336">
        <v>11400</v>
      </c>
      <c r="C1583" s="336">
        <v>12000</v>
      </c>
      <c r="D1583" s="337">
        <f t="shared" si="102"/>
        <v>11700</v>
      </c>
    </row>
    <row r="1584" spans="1:9" ht="15" customHeight="1">
      <c r="A1584" s="335">
        <v>41313</v>
      </c>
      <c r="B1584" s="336">
        <v>11400</v>
      </c>
      <c r="C1584" s="336">
        <v>12000</v>
      </c>
      <c r="D1584" s="337">
        <f t="shared" si="102"/>
        <v>11700</v>
      </c>
    </row>
    <row r="1585" spans="1:9" ht="15" customHeight="1">
      <c r="A1585" s="335">
        <v>41316</v>
      </c>
      <c r="B1585" s="336">
        <v>11400</v>
      </c>
      <c r="C1585" s="336">
        <v>12000</v>
      </c>
      <c r="D1585" s="337">
        <f t="shared" si="102"/>
        <v>11700</v>
      </c>
    </row>
    <row r="1586" spans="1:9" ht="15" customHeight="1">
      <c r="A1586" s="335">
        <v>41317</v>
      </c>
      <c r="B1586" s="336">
        <v>11400</v>
      </c>
      <c r="C1586" s="336">
        <v>12000</v>
      </c>
      <c r="D1586" s="337">
        <f t="shared" si="102"/>
        <v>11700</v>
      </c>
    </row>
    <row r="1587" spans="1:9" ht="15" customHeight="1">
      <c r="A1587" s="335">
        <v>41318</v>
      </c>
      <c r="B1587" s="336">
        <v>11400</v>
      </c>
      <c r="C1587" s="336">
        <v>12000</v>
      </c>
      <c r="D1587" s="337">
        <f t="shared" si="102"/>
        <v>11700</v>
      </c>
    </row>
    <row r="1588" spans="1:9" ht="15" customHeight="1">
      <c r="A1588" s="335">
        <v>41319</v>
      </c>
      <c r="B1588" s="336">
        <v>11400</v>
      </c>
      <c r="C1588" s="336">
        <v>12000</v>
      </c>
      <c r="D1588" s="337">
        <f t="shared" si="102"/>
        <v>11700</v>
      </c>
    </row>
    <row r="1589" spans="1:9" ht="15" customHeight="1">
      <c r="A1589" s="335">
        <v>41320</v>
      </c>
      <c r="B1589" s="336">
        <v>11400</v>
      </c>
      <c r="C1589" s="336">
        <v>12000</v>
      </c>
      <c r="D1589" s="337">
        <f t="shared" si="102"/>
        <v>11700</v>
      </c>
    </row>
    <row r="1590" spans="1:9" ht="15" customHeight="1">
      <c r="A1590" s="335">
        <v>41323</v>
      </c>
      <c r="B1590" s="336">
        <v>11400</v>
      </c>
      <c r="C1590" s="336">
        <v>12000</v>
      </c>
      <c r="D1590" s="337">
        <f t="shared" si="102"/>
        <v>11700</v>
      </c>
    </row>
    <row r="1591" spans="1:9" ht="15" customHeight="1">
      <c r="A1591" s="335">
        <v>41324</v>
      </c>
      <c r="B1591" s="336">
        <v>11400</v>
      </c>
      <c r="C1591" s="336">
        <v>12000</v>
      </c>
      <c r="D1591" s="337">
        <f t="shared" si="102"/>
        <v>11700</v>
      </c>
    </row>
    <row r="1592" spans="1:9" ht="15" customHeight="1">
      <c r="A1592" s="335">
        <v>41325</v>
      </c>
      <c r="B1592" s="336">
        <v>11400</v>
      </c>
      <c r="C1592" s="336">
        <v>12000</v>
      </c>
      <c r="D1592" s="337">
        <f t="shared" si="102"/>
        <v>11700</v>
      </c>
    </row>
    <row r="1593" spans="1:9" ht="15" customHeight="1">
      <c r="A1593" s="335">
        <v>41326</v>
      </c>
      <c r="B1593" s="336">
        <v>11400</v>
      </c>
      <c r="C1593" s="336">
        <v>12000</v>
      </c>
      <c r="D1593" s="337">
        <f t="shared" si="102"/>
        <v>11700</v>
      </c>
    </row>
    <row r="1594" spans="1:9" ht="15" customHeight="1">
      <c r="A1594" s="335">
        <v>41327</v>
      </c>
      <c r="B1594" s="336">
        <v>11500</v>
      </c>
      <c r="C1594" s="336">
        <v>12000</v>
      </c>
      <c r="D1594" s="337">
        <f t="shared" si="102"/>
        <v>11750</v>
      </c>
    </row>
    <row r="1595" spans="1:9" ht="15" customHeight="1">
      <c r="A1595" s="335">
        <v>41330</v>
      </c>
      <c r="B1595" s="336">
        <v>11500</v>
      </c>
      <c r="C1595" s="336">
        <v>12000</v>
      </c>
      <c r="D1595" s="337">
        <f t="shared" si="102"/>
        <v>11750</v>
      </c>
    </row>
    <row r="1596" spans="1:9" ht="15" customHeight="1">
      <c r="A1596" s="335">
        <v>41331</v>
      </c>
      <c r="B1596" s="336">
        <v>11500</v>
      </c>
      <c r="C1596" s="336">
        <v>12000</v>
      </c>
      <c r="D1596" s="337">
        <f t="shared" si="102"/>
        <v>11750</v>
      </c>
    </row>
    <row r="1597" spans="1:9" ht="15" customHeight="1">
      <c r="A1597" s="335">
        <v>41332</v>
      </c>
      <c r="B1597" s="336">
        <v>11500</v>
      </c>
      <c r="C1597" s="336">
        <v>12000</v>
      </c>
      <c r="D1597" s="337">
        <f t="shared" si="102"/>
        <v>11750</v>
      </c>
    </row>
    <row r="1598" spans="1:9" ht="15" customHeight="1" thickBot="1">
      <c r="A1598" s="340">
        <v>41333</v>
      </c>
      <c r="B1598" s="341">
        <v>11500</v>
      </c>
      <c r="C1598" s="341">
        <v>12000</v>
      </c>
      <c r="D1598" s="342">
        <f t="shared" si="102"/>
        <v>11750</v>
      </c>
      <c r="E1598" s="360">
        <f>AVERAGE(D1579:D1598)</f>
        <v>11712.5</v>
      </c>
      <c r="F1598" s="360"/>
      <c r="G1598" s="344"/>
      <c r="H1598" s="354"/>
      <c r="I1598" s="358"/>
    </row>
    <row r="1599" spans="1:9" ht="15" customHeight="1">
      <c r="A1599" s="335">
        <v>41334</v>
      </c>
      <c r="B1599" s="336">
        <v>10650</v>
      </c>
      <c r="C1599" s="336">
        <v>11100</v>
      </c>
      <c r="D1599" s="337">
        <f t="shared" si="102"/>
        <v>10875</v>
      </c>
    </row>
    <row r="1600" spans="1:9" ht="15" customHeight="1">
      <c r="A1600" s="335">
        <v>41337</v>
      </c>
      <c r="B1600" s="336">
        <v>10650</v>
      </c>
      <c r="C1600" s="336">
        <v>11100</v>
      </c>
      <c r="D1600" s="337">
        <f t="shared" si="102"/>
        <v>10875</v>
      </c>
    </row>
    <row r="1601" spans="1:4" ht="15" customHeight="1">
      <c r="A1601" s="335">
        <v>41338</v>
      </c>
      <c r="B1601" s="336">
        <v>10650</v>
      </c>
      <c r="C1601" s="336">
        <v>11100</v>
      </c>
      <c r="D1601" s="337">
        <f t="shared" si="102"/>
        <v>10875</v>
      </c>
    </row>
    <row r="1602" spans="1:4" ht="15" customHeight="1">
      <c r="A1602" s="335">
        <v>41339</v>
      </c>
      <c r="B1602" s="336">
        <v>10650</v>
      </c>
      <c r="C1602" s="336">
        <v>11100</v>
      </c>
      <c r="D1602" s="337">
        <f t="shared" si="102"/>
        <v>10875</v>
      </c>
    </row>
    <row r="1603" spans="1:4" ht="15" customHeight="1">
      <c r="A1603" s="335">
        <v>41340</v>
      </c>
      <c r="B1603" s="336">
        <v>10650</v>
      </c>
      <c r="C1603" s="336">
        <v>11100</v>
      </c>
      <c r="D1603" s="337">
        <f t="shared" si="102"/>
        <v>10875</v>
      </c>
    </row>
    <row r="1604" spans="1:4" ht="15" customHeight="1">
      <c r="A1604" s="335">
        <v>41341</v>
      </c>
      <c r="B1604" s="336">
        <v>10650</v>
      </c>
      <c r="C1604" s="336">
        <v>11100</v>
      </c>
      <c r="D1604" s="337">
        <f t="shared" si="102"/>
        <v>10875</v>
      </c>
    </row>
    <row r="1605" spans="1:4" ht="15" customHeight="1">
      <c r="A1605" s="335">
        <v>41344</v>
      </c>
      <c r="B1605" s="336">
        <v>10650</v>
      </c>
      <c r="C1605" s="336">
        <v>11100</v>
      </c>
      <c r="D1605" s="337">
        <f t="shared" si="102"/>
        <v>10875</v>
      </c>
    </row>
    <row r="1606" spans="1:4" ht="15" customHeight="1">
      <c r="A1606" s="335">
        <v>41345</v>
      </c>
      <c r="B1606" s="336">
        <v>10650</v>
      </c>
      <c r="C1606" s="336">
        <v>11100</v>
      </c>
      <c r="D1606" s="337">
        <f t="shared" si="102"/>
        <v>10875</v>
      </c>
    </row>
    <row r="1607" spans="1:4" ht="15" customHeight="1">
      <c r="A1607" s="335">
        <v>41346</v>
      </c>
      <c r="B1607" s="336">
        <v>10650</v>
      </c>
      <c r="C1607" s="336">
        <v>11100</v>
      </c>
      <c r="D1607" s="337">
        <f t="shared" si="102"/>
        <v>10875</v>
      </c>
    </row>
    <row r="1608" spans="1:4" ht="15" customHeight="1">
      <c r="A1608" s="335">
        <v>41347</v>
      </c>
      <c r="B1608" s="336">
        <v>10650</v>
      </c>
      <c r="C1608" s="336">
        <v>11100</v>
      </c>
      <c r="D1608" s="337">
        <f t="shared" si="102"/>
        <v>10875</v>
      </c>
    </row>
    <row r="1609" spans="1:4" ht="15" customHeight="1">
      <c r="A1609" s="335">
        <v>41348</v>
      </c>
      <c r="B1609" s="336">
        <v>10650</v>
      </c>
      <c r="C1609" s="336">
        <v>11200</v>
      </c>
      <c r="D1609" s="337">
        <f t="shared" si="102"/>
        <v>10925</v>
      </c>
    </row>
    <row r="1610" spans="1:4" ht="15" customHeight="1">
      <c r="A1610" s="335">
        <v>41351</v>
      </c>
      <c r="B1610" s="336">
        <v>10650</v>
      </c>
      <c r="C1610" s="336">
        <v>11200</v>
      </c>
      <c r="D1610" s="337">
        <f t="shared" si="102"/>
        <v>10925</v>
      </c>
    </row>
    <row r="1611" spans="1:4" ht="15" customHeight="1">
      <c r="A1611" s="335">
        <v>41352</v>
      </c>
      <c r="B1611" s="336">
        <v>10650</v>
      </c>
      <c r="C1611" s="336">
        <v>11200</v>
      </c>
      <c r="D1611" s="337">
        <f t="shared" si="102"/>
        <v>10925</v>
      </c>
    </row>
    <row r="1612" spans="1:4" ht="15" customHeight="1">
      <c r="A1612" s="335">
        <v>41353</v>
      </c>
      <c r="B1612" s="336">
        <v>10650</v>
      </c>
      <c r="C1612" s="336">
        <v>11200</v>
      </c>
      <c r="D1612" s="337">
        <f t="shared" si="102"/>
        <v>10925</v>
      </c>
    </row>
    <row r="1613" spans="1:4" ht="15" customHeight="1">
      <c r="A1613" s="335">
        <v>41354</v>
      </c>
      <c r="B1613" s="336">
        <v>10650</v>
      </c>
      <c r="C1613" s="336">
        <v>11200</v>
      </c>
      <c r="D1613" s="337">
        <f t="shared" si="102"/>
        <v>10925</v>
      </c>
    </row>
    <row r="1614" spans="1:4" ht="15" customHeight="1">
      <c r="A1614" s="335">
        <v>41355</v>
      </c>
      <c r="B1614" s="336">
        <v>10650</v>
      </c>
      <c r="C1614" s="336">
        <v>11200</v>
      </c>
      <c r="D1614" s="337">
        <f t="shared" si="102"/>
        <v>10925</v>
      </c>
    </row>
    <row r="1615" spans="1:4" ht="15" customHeight="1">
      <c r="A1615" s="335">
        <v>41358</v>
      </c>
      <c r="B1615" s="336">
        <v>10650</v>
      </c>
      <c r="C1615" s="336">
        <v>11200</v>
      </c>
      <c r="D1615" s="337">
        <f t="shared" si="102"/>
        <v>10925</v>
      </c>
    </row>
    <row r="1616" spans="1:4" ht="15" customHeight="1">
      <c r="A1616" s="335">
        <v>41359</v>
      </c>
      <c r="B1616" s="336">
        <v>10650</v>
      </c>
      <c r="C1616" s="336">
        <v>11200</v>
      </c>
      <c r="D1616" s="337">
        <f t="shared" si="102"/>
        <v>10925</v>
      </c>
    </row>
    <row r="1617" spans="1:9" ht="15" customHeight="1">
      <c r="A1617" s="335">
        <v>41360</v>
      </c>
      <c r="B1617" s="336">
        <v>10650</v>
      </c>
      <c r="C1617" s="336">
        <v>11200</v>
      </c>
      <c r="D1617" s="337">
        <f t="shared" si="102"/>
        <v>10925</v>
      </c>
    </row>
    <row r="1618" spans="1:9" ht="15" customHeight="1">
      <c r="A1618" s="335">
        <v>41361</v>
      </c>
      <c r="B1618" s="336">
        <v>10650</v>
      </c>
      <c r="C1618" s="336">
        <v>11200</v>
      </c>
      <c r="D1618" s="337">
        <f t="shared" si="102"/>
        <v>10925</v>
      </c>
      <c r="H1618" s="371"/>
    </row>
    <row r="1619" spans="1:9" ht="15" customHeight="1" thickBot="1">
      <c r="A1619" s="340">
        <v>41362</v>
      </c>
      <c r="B1619" s="1415" t="s">
        <v>86</v>
      </c>
      <c r="C1619" s="1415"/>
      <c r="D1619" s="1415"/>
      <c r="E1619" s="360">
        <f>AVERAGE(D1599:D1618)</f>
        <v>10900</v>
      </c>
      <c r="F1619" s="360"/>
      <c r="G1619" s="344"/>
      <c r="H1619" s="354"/>
      <c r="I1619" s="358"/>
    </row>
    <row r="1620" spans="1:9" ht="15" customHeight="1">
      <c r="A1620" s="335">
        <v>41365</v>
      </c>
      <c r="B1620" s="1416" t="s">
        <v>86</v>
      </c>
      <c r="C1620" s="1416"/>
      <c r="D1620" s="1416"/>
    </row>
    <row r="1621" spans="1:9" ht="15" customHeight="1">
      <c r="A1621" s="335">
        <v>41366</v>
      </c>
      <c r="B1621" s="336">
        <v>10650</v>
      </c>
      <c r="C1621" s="336">
        <v>11200</v>
      </c>
      <c r="D1621" s="337">
        <f t="shared" ref="D1621:D1688" si="103">AVERAGE(B1621:C1621)</f>
        <v>10925</v>
      </c>
    </row>
    <row r="1622" spans="1:9" ht="15" customHeight="1">
      <c r="A1622" s="335">
        <v>41367</v>
      </c>
      <c r="B1622" s="336">
        <v>10650</v>
      </c>
      <c r="C1622" s="336">
        <v>11200</v>
      </c>
      <c r="D1622" s="337">
        <f t="shared" si="103"/>
        <v>10925</v>
      </c>
    </row>
    <row r="1623" spans="1:9" ht="15" customHeight="1">
      <c r="A1623" s="335">
        <v>41368</v>
      </c>
      <c r="B1623" s="336">
        <v>10650</v>
      </c>
      <c r="C1623" s="336">
        <v>11200</v>
      </c>
      <c r="D1623" s="337">
        <f t="shared" si="103"/>
        <v>10925</v>
      </c>
    </row>
    <row r="1624" spans="1:9" ht="15" customHeight="1">
      <c r="A1624" s="335">
        <v>41369</v>
      </c>
      <c r="B1624" s="336">
        <v>10650</v>
      </c>
      <c r="C1624" s="336">
        <v>11200</v>
      </c>
      <c r="D1624" s="337">
        <f t="shared" si="103"/>
        <v>10925</v>
      </c>
    </row>
    <row r="1625" spans="1:9" ht="15" customHeight="1">
      <c r="A1625" s="335">
        <v>41372</v>
      </c>
      <c r="B1625" s="336">
        <v>10650</v>
      </c>
      <c r="C1625" s="336">
        <v>11200</v>
      </c>
      <c r="D1625" s="337">
        <f t="shared" si="103"/>
        <v>10925</v>
      </c>
    </row>
    <row r="1626" spans="1:9" ht="15" customHeight="1">
      <c r="A1626" s="335">
        <v>41373</v>
      </c>
      <c r="B1626" s="336">
        <v>10650</v>
      </c>
      <c r="C1626" s="336">
        <v>11200</v>
      </c>
      <c r="D1626" s="337">
        <f t="shared" si="103"/>
        <v>10925</v>
      </c>
    </row>
    <row r="1627" spans="1:9" ht="15" customHeight="1">
      <c r="A1627" s="335">
        <v>41374</v>
      </c>
      <c r="B1627" s="336">
        <v>10650</v>
      </c>
      <c r="C1627" s="336">
        <v>11200</v>
      </c>
      <c r="D1627" s="337">
        <f t="shared" si="103"/>
        <v>10925</v>
      </c>
    </row>
    <row r="1628" spans="1:9" ht="15" customHeight="1">
      <c r="A1628" s="335">
        <v>41375</v>
      </c>
      <c r="B1628" s="336">
        <v>10650</v>
      </c>
      <c r="C1628" s="336">
        <v>11200</v>
      </c>
      <c r="D1628" s="337">
        <f t="shared" si="103"/>
        <v>10925</v>
      </c>
    </row>
    <row r="1629" spans="1:9" ht="15" customHeight="1">
      <c r="A1629" s="335">
        <v>41376</v>
      </c>
      <c r="B1629" s="336">
        <v>10650</v>
      </c>
      <c r="C1629" s="336">
        <v>11200</v>
      </c>
      <c r="D1629" s="337">
        <f t="shared" si="103"/>
        <v>10925</v>
      </c>
    </row>
    <row r="1630" spans="1:9" ht="15" customHeight="1">
      <c r="A1630" s="335">
        <v>41379</v>
      </c>
      <c r="B1630" s="336">
        <v>10650</v>
      </c>
      <c r="C1630" s="336">
        <v>11200</v>
      </c>
      <c r="D1630" s="337">
        <f t="shared" si="103"/>
        <v>10925</v>
      </c>
    </row>
    <row r="1631" spans="1:9" ht="15" customHeight="1">
      <c r="A1631" s="335">
        <v>41380</v>
      </c>
      <c r="B1631" s="336">
        <v>10650</v>
      </c>
      <c r="C1631" s="336">
        <v>11200</v>
      </c>
      <c r="D1631" s="337">
        <f t="shared" si="103"/>
        <v>10925</v>
      </c>
    </row>
    <row r="1632" spans="1:9" ht="15" customHeight="1">
      <c r="A1632" s="335">
        <v>41381</v>
      </c>
      <c r="B1632" s="336">
        <v>10650</v>
      </c>
      <c r="C1632" s="336">
        <v>11200</v>
      </c>
      <c r="D1632" s="337">
        <f t="shared" si="103"/>
        <v>10925</v>
      </c>
    </row>
    <row r="1633" spans="1:9" ht="15" customHeight="1">
      <c r="A1633" s="335">
        <v>41382</v>
      </c>
      <c r="B1633" s="336">
        <v>10650</v>
      </c>
      <c r="C1633" s="336">
        <v>11200</v>
      </c>
      <c r="D1633" s="337">
        <f t="shared" si="103"/>
        <v>10925</v>
      </c>
    </row>
    <row r="1634" spans="1:9" ht="15" customHeight="1">
      <c r="A1634" s="335">
        <v>41383</v>
      </c>
      <c r="B1634" s="336">
        <v>10400</v>
      </c>
      <c r="C1634" s="336">
        <v>10850</v>
      </c>
      <c r="D1634" s="337">
        <f t="shared" si="103"/>
        <v>10625</v>
      </c>
    </row>
    <row r="1635" spans="1:9" ht="15" customHeight="1">
      <c r="A1635" s="335">
        <v>41386</v>
      </c>
      <c r="B1635" s="336">
        <v>10400</v>
      </c>
      <c r="C1635" s="336">
        <v>10850</v>
      </c>
      <c r="D1635" s="337">
        <f t="shared" si="103"/>
        <v>10625</v>
      </c>
    </row>
    <row r="1636" spans="1:9" ht="15" customHeight="1">
      <c r="A1636" s="335">
        <v>41387</v>
      </c>
      <c r="B1636" s="336">
        <v>10400</v>
      </c>
      <c r="C1636" s="336">
        <v>10850</v>
      </c>
      <c r="D1636" s="337">
        <f t="shared" si="103"/>
        <v>10625</v>
      </c>
    </row>
    <row r="1637" spans="1:9" ht="15" customHeight="1">
      <c r="A1637" s="335">
        <v>41388</v>
      </c>
      <c r="B1637" s="336">
        <v>10400</v>
      </c>
      <c r="C1637" s="336">
        <v>10850</v>
      </c>
      <c r="D1637" s="337">
        <f t="shared" si="103"/>
        <v>10625</v>
      </c>
    </row>
    <row r="1638" spans="1:9" ht="15" customHeight="1">
      <c r="A1638" s="335">
        <v>41389</v>
      </c>
      <c r="B1638" s="336">
        <v>10400</v>
      </c>
      <c r="C1638" s="336">
        <v>10850</v>
      </c>
      <c r="D1638" s="337">
        <f t="shared" si="103"/>
        <v>10625</v>
      </c>
    </row>
    <row r="1639" spans="1:9" ht="15" customHeight="1">
      <c r="A1639" s="335">
        <v>41390</v>
      </c>
      <c r="B1639" s="336">
        <v>10300</v>
      </c>
      <c r="C1639" s="336">
        <v>10800</v>
      </c>
      <c r="D1639" s="337">
        <f t="shared" si="103"/>
        <v>10550</v>
      </c>
    </row>
    <row r="1640" spans="1:9" ht="15" customHeight="1">
      <c r="A1640" s="335">
        <v>41393</v>
      </c>
      <c r="B1640" s="336">
        <v>10300</v>
      </c>
      <c r="C1640" s="336">
        <v>10800</v>
      </c>
      <c r="D1640" s="337">
        <f t="shared" si="103"/>
        <v>10550</v>
      </c>
    </row>
    <row r="1641" spans="1:9" ht="15" customHeight="1" thickBot="1">
      <c r="A1641" s="340">
        <v>41394</v>
      </c>
      <c r="B1641" s="341">
        <v>10300</v>
      </c>
      <c r="C1641" s="341">
        <v>10800</v>
      </c>
      <c r="D1641" s="342">
        <f t="shared" si="103"/>
        <v>10550</v>
      </c>
      <c r="E1641" s="360">
        <f>AVERAGE(D1620:D1641)</f>
        <v>10800</v>
      </c>
      <c r="F1641" s="360"/>
      <c r="G1641" s="344"/>
      <c r="H1641" s="354"/>
      <c r="I1641" s="358"/>
    </row>
    <row r="1642" spans="1:9" ht="15" customHeight="1">
      <c r="A1642" s="335">
        <v>41395</v>
      </c>
      <c r="B1642" s="336">
        <v>10300</v>
      </c>
      <c r="C1642" s="336">
        <v>10800</v>
      </c>
      <c r="D1642" s="337">
        <f t="shared" si="103"/>
        <v>10550</v>
      </c>
    </row>
    <row r="1643" spans="1:9" ht="15" customHeight="1">
      <c r="A1643" s="335">
        <v>41396</v>
      </c>
      <c r="B1643" s="336">
        <v>10300</v>
      </c>
      <c r="C1643" s="336">
        <v>10800</v>
      </c>
      <c r="D1643" s="337">
        <f t="shared" si="103"/>
        <v>10550</v>
      </c>
    </row>
    <row r="1644" spans="1:9" ht="15" customHeight="1">
      <c r="A1644" s="335">
        <v>41397</v>
      </c>
      <c r="B1644" s="336">
        <v>10300</v>
      </c>
      <c r="C1644" s="336">
        <v>10500</v>
      </c>
      <c r="D1644" s="337">
        <f t="shared" si="103"/>
        <v>10400</v>
      </c>
      <c r="E1644" s="347"/>
      <c r="F1644" s="347"/>
    </row>
    <row r="1645" spans="1:9" ht="15" customHeight="1">
      <c r="A1645" s="335">
        <v>41400</v>
      </c>
      <c r="B1645" s="1416" t="s">
        <v>86</v>
      </c>
      <c r="C1645" s="1416"/>
      <c r="D1645" s="1416"/>
      <c r="E1645" s="347"/>
      <c r="F1645" s="347"/>
    </row>
    <row r="1646" spans="1:9" ht="15" customHeight="1">
      <c r="A1646" s="335">
        <v>41401</v>
      </c>
      <c r="B1646" s="336">
        <v>10300</v>
      </c>
      <c r="C1646" s="336">
        <v>10500</v>
      </c>
      <c r="D1646" s="337">
        <f t="shared" si="103"/>
        <v>10400</v>
      </c>
    </row>
    <row r="1647" spans="1:9" ht="15" customHeight="1">
      <c r="A1647" s="335">
        <v>41402</v>
      </c>
      <c r="B1647" s="336">
        <v>10300</v>
      </c>
      <c r="C1647" s="336">
        <v>10500</v>
      </c>
      <c r="D1647" s="337">
        <f t="shared" si="103"/>
        <v>10400</v>
      </c>
    </row>
    <row r="1648" spans="1:9" ht="15" customHeight="1">
      <c r="A1648" s="335">
        <v>41403</v>
      </c>
      <c r="B1648" s="336">
        <v>10300</v>
      </c>
      <c r="C1648" s="336">
        <v>10500</v>
      </c>
      <c r="D1648" s="337">
        <f t="shared" si="103"/>
        <v>10400</v>
      </c>
    </row>
    <row r="1649" spans="1:9" ht="15" customHeight="1">
      <c r="A1649" s="335">
        <v>41404</v>
      </c>
      <c r="B1649" s="336">
        <v>10300</v>
      </c>
      <c r="C1649" s="336">
        <v>10500</v>
      </c>
      <c r="D1649" s="337">
        <f t="shared" si="103"/>
        <v>10400</v>
      </c>
    </row>
    <row r="1650" spans="1:9" ht="15" customHeight="1">
      <c r="A1650" s="335">
        <v>41407</v>
      </c>
      <c r="B1650" s="336">
        <v>10300</v>
      </c>
      <c r="C1650" s="336">
        <v>10500</v>
      </c>
      <c r="D1650" s="337">
        <f t="shared" si="103"/>
        <v>10400</v>
      </c>
    </row>
    <row r="1651" spans="1:9" ht="15" customHeight="1">
      <c r="A1651" s="335">
        <v>41408</v>
      </c>
      <c r="B1651" s="336">
        <v>10300</v>
      </c>
      <c r="C1651" s="336">
        <v>10500</v>
      </c>
      <c r="D1651" s="337">
        <f t="shared" si="103"/>
        <v>10400</v>
      </c>
    </row>
    <row r="1652" spans="1:9" ht="15" customHeight="1">
      <c r="A1652" s="335">
        <v>41409</v>
      </c>
      <c r="B1652" s="336">
        <v>10300</v>
      </c>
      <c r="C1652" s="336">
        <v>10500</v>
      </c>
      <c r="D1652" s="337">
        <f t="shared" si="103"/>
        <v>10400</v>
      </c>
    </row>
    <row r="1653" spans="1:9" ht="15" customHeight="1">
      <c r="A1653" s="335">
        <v>41410</v>
      </c>
      <c r="B1653" s="336">
        <v>10300</v>
      </c>
      <c r="C1653" s="336">
        <v>10500</v>
      </c>
      <c r="D1653" s="337">
        <f t="shared" si="103"/>
        <v>10400</v>
      </c>
    </row>
    <row r="1654" spans="1:9" ht="15" customHeight="1">
      <c r="A1654" s="335">
        <v>41411</v>
      </c>
      <c r="B1654" s="336">
        <v>10300</v>
      </c>
      <c r="C1654" s="336">
        <v>10500</v>
      </c>
      <c r="D1654" s="337">
        <f t="shared" si="103"/>
        <v>10400</v>
      </c>
    </row>
    <row r="1655" spans="1:9" ht="15" customHeight="1">
      <c r="A1655" s="335">
        <v>41414</v>
      </c>
      <c r="B1655" s="336">
        <v>10300</v>
      </c>
      <c r="C1655" s="336">
        <v>10500</v>
      </c>
      <c r="D1655" s="337">
        <f t="shared" si="103"/>
        <v>10400</v>
      </c>
    </row>
    <row r="1656" spans="1:9" ht="15" customHeight="1">
      <c r="A1656" s="335">
        <v>41415</v>
      </c>
      <c r="B1656" s="336">
        <v>10300</v>
      </c>
      <c r="C1656" s="336">
        <v>10500</v>
      </c>
      <c r="D1656" s="337">
        <f t="shared" si="103"/>
        <v>10400</v>
      </c>
    </row>
    <row r="1657" spans="1:9" ht="15" customHeight="1">
      <c r="A1657" s="335">
        <v>41416</v>
      </c>
      <c r="B1657" s="336">
        <v>10300</v>
      </c>
      <c r="C1657" s="336">
        <v>10500</v>
      </c>
      <c r="D1657" s="337">
        <f t="shared" si="103"/>
        <v>10400</v>
      </c>
    </row>
    <row r="1658" spans="1:9" ht="15" customHeight="1">
      <c r="A1658" s="335">
        <v>41417</v>
      </c>
      <c r="B1658" s="336">
        <v>10300</v>
      </c>
      <c r="C1658" s="336">
        <v>10500</v>
      </c>
      <c r="D1658" s="337">
        <f t="shared" si="103"/>
        <v>10400</v>
      </c>
    </row>
    <row r="1659" spans="1:9" ht="15" customHeight="1">
      <c r="A1659" s="335">
        <v>41418</v>
      </c>
      <c r="B1659" s="336">
        <v>10300</v>
      </c>
      <c r="C1659" s="336">
        <v>10500</v>
      </c>
      <c r="D1659" s="337">
        <f t="shared" si="103"/>
        <v>10400</v>
      </c>
    </row>
    <row r="1660" spans="1:9" ht="15" customHeight="1">
      <c r="A1660" s="335">
        <v>41421</v>
      </c>
      <c r="B1660" s="1416" t="s">
        <v>86</v>
      </c>
      <c r="C1660" s="1416"/>
      <c r="D1660" s="1416"/>
    </row>
    <row r="1661" spans="1:9" ht="15" customHeight="1">
      <c r="A1661" s="335">
        <v>41422</v>
      </c>
      <c r="B1661" s="336">
        <v>10300</v>
      </c>
      <c r="C1661" s="336">
        <v>10500</v>
      </c>
      <c r="D1661" s="337">
        <f t="shared" si="103"/>
        <v>10400</v>
      </c>
    </row>
    <row r="1662" spans="1:9" ht="15" customHeight="1">
      <c r="A1662" s="335">
        <v>41423</v>
      </c>
      <c r="B1662" s="336">
        <v>10300</v>
      </c>
      <c r="C1662" s="336">
        <v>10500</v>
      </c>
      <c r="D1662" s="337">
        <f t="shared" si="103"/>
        <v>10400</v>
      </c>
    </row>
    <row r="1663" spans="1:9" ht="15" customHeight="1">
      <c r="A1663" s="335">
        <v>41424</v>
      </c>
      <c r="B1663" s="336">
        <v>10300</v>
      </c>
      <c r="C1663" s="336">
        <v>10500</v>
      </c>
      <c r="D1663" s="337">
        <f t="shared" si="103"/>
        <v>10400</v>
      </c>
    </row>
    <row r="1664" spans="1:9" ht="15" customHeight="1" thickBot="1">
      <c r="A1664" s="340">
        <v>41425</v>
      </c>
      <c r="B1664" s="341">
        <v>10300</v>
      </c>
      <c r="C1664" s="341">
        <v>10500</v>
      </c>
      <c r="D1664" s="342">
        <f t="shared" si="103"/>
        <v>10400</v>
      </c>
      <c r="E1664" s="360">
        <f>AVERAGE(D1642:D1664)</f>
        <v>10414.285714285714</v>
      </c>
      <c r="F1664" s="360"/>
      <c r="G1664" s="344"/>
      <c r="H1664" s="354"/>
      <c r="I1664" s="358"/>
    </row>
    <row r="1665" spans="1:6" ht="15" customHeight="1">
      <c r="A1665" s="335">
        <v>41428</v>
      </c>
      <c r="B1665" s="336">
        <v>10300</v>
      </c>
      <c r="C1665" s="336">
        <v>10500</v>
      </c>
      <c r="D1665" s="337">
        <f t="shared" si="103"/>
        <v>10400</v>
      </c>
    </row>
    <row r="1666" spans="1:6" ht="15" customHeight="1">
      <c r="A1666" s="335">
        <v>41429</v>
      </c>
      <c r="B1666" s="336">
        <v>10300</v>
      </c>
      <c r="C1666" s="336">
        <v>10500</v>
      </c>
      <c r="D1666" s="337">
        <f t="shared" si="103"/>
        <v>10400</v>
      </c>
    </row>
    <row r="1667" spans="1:6" ht="15" customHeight="1">
      <c r="A1667" s="335">
        <v>41430</v>
      </c>
      <c r="B1667" s="336">
        <v>10300</v>
      </c>
      <c r="C1667" s="336">
        <v>10500</v>
      </c>
      <c r="D1667" s="337">
        <f t="shared" si="103"/>
        <v>10400</v>
      </c>
    </row>
    <row r="1668" spans="1:6" ht="15" customHeight="1">
      <c r="A1668" s="335">
        <v>41431</v>
      </c>
      <c r="B1668" s="372">
        <v>10300</v>
      </c>
      <c r="C1668" s="372">
        <v>10500</v>
      </c>
      <c r="D1668" s="409">
        <f t="shared" si="103"/>
        <v>10400</v>
      </c>
    </row>
    <row r="1669" spans="1:6" ht="15" customHeight="1">
      <c r="A1669" s="335">
        <v>41432</v>
      </c>
      <c r="B1669" s="372">
        <v>10300</v>
      </c>
      <c r="C1669" s="372">
        <v>10500</v>
      </c>
      <c r="D1669" s="409">
        <f t="shared" si="103"/>
        <v>10400</v>
      </c>
    </row>
    <row r="1670" spans="1:6" ht="15" customHeight="1">
      <c r="A1670" s="335">
        <v>41435</v>
      </c>
      <c r="B1670" s="336">
        <v>10300</v>
      </c>
      <c r="C1670" s="336">
        <v>10500</v>
      </c>
      <c r="D1670" s="337">
        <f t="shared" si="103"/>
        <v>10400</v>
      </c>
    </row>
    <row r="1671" spans="1:6" ht="15" customHeight="1">
      <c r="A1671" s="335">
        <v>41436</v>
      </c>
      <c r="B1671" s="336">
        <v>10000</v>
      </c>
      <c r="C1671" s="336">
        <v>10300</v>
      </c>
      <c r="D1671" s="337">
        <f t="shared" si="103"/>
        <v>10150</v>
      </c>
    </row>
    <row r="1672" spans="1:6" ht="15" customHeight="1">
      <c r="A1672" s="335">
        <v>41437</v>
      </c>
      <c r="B1672" s="336">
        <v>10000</v>
      </c>
      <c r="C1672" s="336">
        <v>10300</v>
      </c>
      <c r="D1672" s="337">
        <f t="shared" si="103"/>
        <v>10150</v>
      </c>
    </row>
    <row r="1673" spans="1:6" ht="15" customHeight="1">
      <c r="A1673" s="335">
        <v>41438</v>
      </c>
      <c r="B1673" s="336">
        <v>10000</v>
      </c>
      <c r="C1673" s="336">
        <v>10300</v>
      </c>
      <c r="D1673" s="337">
        <f t="shared" si="103"/>
        <v>10150</v>
      </c>
    </row>
    <row r="1674" spans="1:6" ht="15" customHeight="1">
      <c r="A1674" s="335">
        <v>41439</v>
      </c>
      <c r="B1674" s="336">
        <v>10000</v>
      </c>
      <c r="C1674" s="336">
        <v>10300</v>
      </c>
      <c r="D1674" s="337">
        <f t="shared" si="103"/>
        <v>10150</v>
      </c>
    </row>
    <row r="1675" spans="1:6" ht="15" customHeight="1">
      <c r="A1675" s="335">
        <v>41442</v>
      </c>
      <c r="B1675" s="336">
        <v>10000</v>
      </c>
      <c r="C1675" s="336">
        <v>10300</v>
      </c>
      <c r="D1675" s="337">
        <f t="shared" si="103"/>
        <v>10150</v>
      </c>
    </row>
    <row r="1676" spans="1:6" ht="15" customHeight="1">
      <c r="A1676" s="335">
        <v>41443</v>
      </c>
      <c r="B1676" s="336">
        <v>10000</v>
      </c>
      <c r="C1676" s="336">
        <v>10300</v>
      </c>
      <c r="D1676" s="337">
        <f t="shared" si="103"/>
        <v>10150</v>
      </c>
    </row>
    <row r="1677" spans="1:6" ht="15" customHeight="1">
      <c r="A1677" s="335">
        <v>41444</v>
      </c>
      <c r="B1677" s="336">
        <v>10000</v>
      </c>
      <c r="C1677" s="336">
        <v>10300</v>
      </c>
      <c r="D1677" s="337">
        <f t="shared" si="103"/>
        <v>10150</v>
      </c>
      <c r="E1677" s="347"/>
      <c r="F1677" s="347"/>
    </row>
    <row r="1678" spans="1:6" ht="15" customHeight="1">
      <c r="A1678" s="335">
        <v>41445</v>
      </c>
      <c r="B1678" s="336">
        <v>10000</v>
      </c>
      <c r="C1678" s="336">
        <v>10300</v>
      </c>
      <c r="D1678" s="337">
        <f t="shared" si="103"/>
        <v>10150</v>
      </c>
    </row>
    <row r="1679" spans="1:6" ht="15" customHeight="1">
      <c r="A1679" s="335">
        <v>41446</v>
      </c>
      <c r="B1679" s="336">
        <v>10000</v>
      </c>
      <c r="C1679" s="336">
        <v>10200</v>
      </c>
      <c r="D1679" s="337">
        <f t="shared" si="103"/>
        <v>10100</v>
      </c>
    </row>
    <row r="1680" spans="1:6" ht="15" customHeight="1">
      <c r="A1680" s="335">
        <v>41449</v>
      </c>
      <c r="B1680" s="336">
        <v>10000</v>
      </c>
      <c r="C1680" s="336">
        <v>10200</v>
      </c>
      <c r="D1680" s="337">
        <f t="shared" si="103"/>
        <v>10100</v>
      </c>
    </row>
    <row r="1681" spans="1:9" ht="15" customHeight="1">
      <c r="A1681" s="335">
        <v>41450</v>
      </c>
      <c r="B1681" s="336">
        <v>10000</v>
      </c>
      <c r="C1681" s="336">
        <v>10200</v>
      </c>
      <c r="D1681" s="337">
        <f t="shared" si="103"/>
        <v>10100</v>
      </c>
    </row>
    <row r="1682" spans="1:9" ht="15" customHeight="1">
      <c r="A1682" s="335">
        <v>41451</v>
      </c>
      <c r="B1682" s="336">
        <v>10000</v>
      </c>
      <c r="C1682" s="336">
        <v>10200</v>
      </c>
      <c r="D1682" s="337">
        <f t="shared" si="103"/>
        <v>10100</v>
      </c>
    </row>
    <row r="1683" spans="1:9" ht="15" customHeight="1">
      <c r="A1683" s="335">
        <v>41452</v>
      </c>
      <c r="B1683" s="336">
        <v>10000</v>
      </c>
      <c r="C1683" s="336">
        <v>10200</v>
      </c>
      <c r="D1683" s="337">
        <f t="shared" si="103"/>
        <v>10100</v>
      </c>
    </row>
    <row r="1684" spans="1:9" ht="15" customHeight="1" thickBot="1">
      <c r="A1684" s="340">
        <v>41453</v>
      </c>
      <c r="B1684" s="341">
        <v>10000</v>
      </c>
      <c r="C1684" s="341">
        <v>10200</v>
      </c>
      <c r="D1684" s="342">
        <f t="shared" si="103"/>
        <v>10100</v>
      </c>
      <c r="E1684" s="360">
        <f>AVERAGE(D1665:D1684)</f>
        <v>10210</v>
      </c>
      <c r="F1684" s="360"/>
      <c r="G1684" s="344"/>
      <c r="H1684" s="354"/>
      <c r="I1684" s="358"/>
    </row>
    <row r="1685" spans="1:9" ht="15" customHeight="1">
      <c r="A1685" s="362">
        <v>41456</v>
      </c>
      <c r="B1685" s="336">
        <v>10000</v>
      </c>
      <c r="C1685" s="336">
        <v>10200</v>
      </c>
      <c r="D1685" s="337">
        <f t="shared" si="103"/>
        <v>10100</v>
      </c>
    </row>
    <row r="1686" spans="1:9" ht="15" customHeight="1">
      <c r="A1686" s="335">
        <v>41457</v>
      </c>
      <c r="B1686" s="345">
        <v>10000</v>
      </c>
      <c r="C1686" s="345">
        <v>10200</v>
      </c>
      <c r="D1686" s="337">
        <f t="shared" si="103"/>
        <v>10100</v>
      </c>
    </row>
    <row r="1687" spans="1:9" ht="15" customHeight="1">
      <c r="A1687" s="335">
        <v>41458</v>
      </c>
      <c r="B1687" s="345">
        <v>10000</v>
      </c>
      <c r="C1687" s="345">
        <v>10200</v>
      </c>
      <c r="D1687" s="337">
        <f t="shared" si="103"/>
        <v>10100</v>
      </c>
    </row>
    <row r="1688" spans="1:9" ht="15" customHeight="1">
      <c r="A1688" s="335">
        <v>41459</v>
      </c>
      <c r="B1688" s="345">
        <v>10000</v>
      </c>
      <c r="C1688" s="345">
        <v>10200</v>
      </c>
      <c r="D1688" s="337">
        <f t="shared" si="103"/>
        <v>10100</v>
      </c>
    </row>
    <row r="1689" spans="1:9" ht="15" customHeight="1">
      <c r="A1689" s="335">
        <v>41460</v>
      </c>
      <c r="B1689" s="336">
        <v>10000</v>
      </c>
      <c r="C1689" s="336">
        <v>10200</v>
      </c>
      <c r="D1689" s="337">
        <f>AVERAGE(B1689:C1689)</f>
        <v>10100</v>
      </c>
    </row>
    <row r="1690" spans="1:9" ht="15" customHeight="1">
      <c r="A1690" s="335">
        <v>41463</v>
      </c>
      <c r="B1690" s="336">
        <v>10000</v>
      </c>
      <c r="C1690" s="336">
        <v>10200</v>
      </c>
      <c r="D1690" s="337">
        <f>AVERAGE(B1690:C1690)</f>
        <v>10100</v>
      </c>
    </row>
    <row r="1691" spans="1:9" ht="15" customHeight="1">
      <c r="A1691" s="335">
        <v>41464</v>
      </c>
      <c r="B1691" s="336">
        <v>10000</v>
      </c>
      <c r="C1691" s="336">
        <v>10200</v>
      </c>
      <c r="D1691" s="337">
        <f>AVERAGE(B1691:C1691)</f>
        <v>10100</v>
      </c>
    </row>
    <row r="1692" spans="1:9" ht="15" customHeight="1">
      <c r="A1692" s="335">
        <v>41465</v>
      </c>
      <c r="B1692" s="336">
        <v>10000</v>
      </c>
      <c r="C1692" s="336">
        <v>10200</v>
      </c>
      <c r="D1692" s="337">
        <f>AVERAGE(B1692:C1692)</f>
        <v>10100</v>
      </c>
    </row>
    <row r="1693" spans="1:9" ht="15" customHeight="1">
      <c r="A1693" s="335">
        <v>41466</v>
      </c>
      <c r="B1693" s="336">
        <v>10000</v>
      </c>
      <c r="C1693" s="336">
        <v>10100</v>
      </c>
      <c r="D1693" s="337">
        <f t="shared" ref="D1693:D1703" si="104">AVERAGE(B1693:C1693)</f>
        <v>10050</v>
      </c>
    </row>
    <row r="1694" spans="1:9" ht="15" customHeight="1">
      <c r="A1694" s="335">
        <v>41467</v>
      </c>
      <c r="B1694" s="336">
        <v>10000</v>
      </c>
      <c r="C1694" s="336">
        <v>10100</v>
      </c>
      <c r="D1694" s="337">
        <f t="shared" si="104"/>
        <v>10050</v>
      </c>
    </row>
    <row r="1695" spans="1:9" ht="15" customHeight="1">
      <c r="A1695" s="335">
        <v>41470</v>
      </c>
      <c r="B1695" s="336">
        <v>10000</v>
      </c>
      <c r="C1695" s="336">
        <v>10100</v>
      </c>
      <c r="D1695" s="337">
        <f t="shared" si="104"/>
        <v>10050</v>
      </c>
    </row>
    <row r="1696" spans="1:9" ht="15" customHeight="1">
      <c r="A1696" s="335">
        <v>41471</v>
      </c>
      <c r="B1696" s="336">
        <v>10000</v>
      </c>
      <c r="C1696" s="336">
        <v>10100</v>
      </c>
      <c r="D1696" s="337">
        <f t="shared" si="104"/>
        <v>10050</v>
      </c>
    </row>
    <row r="1697" spans="1:9" ht="15" customHeight="1">
      <c r="A1697" s="335">
        <v>41472</v>
      </c>
      <c r="B1697" s="336">
        <v>10000</v>
      </c>
      <c r="C1697" s="336">
        <v>10100</v>
      </c>
      <c r="D1697" s="337">
        <f t="shared" si="104"/>
        <v>10050</v>
      </c>
    </row>
    <row r="1698" spans="1:9" ht="15" customHeight="1">
      <c r="A1698" s="335">
        <v>41473</v>
      </c>
      <c r="B1698" s="336">
        <v>9100</v>
      </c>
      <c r="C1698" s="336">
        <v>9500</v>
      </c>
      <c r="D1698" s="337">
        <f t="shared" si="104"/>
        <v>9300</v>
      </c>
    </row>
    <row r="1699" spans="1:9" ht="15" customHeight="1">
      <c r="A1699" s="335">
        <v>41474</v>
      </c>
      <c r="B1699" s="336">
        <v>9100</v>
      </c>
      <c r="C1699" s="336">
        <v>9500</v>
      </c>
      <c r="D1699" s="337">
        <f t="shared" si="104"/>
        <v>9300</v>
      </c>
    </row>
    <row r="1700" spans="1:9" ht="15" customHeight="1">
      <c r="A1700" s="335">
        <v>41477</v>
      </c>
      <c r="B1700" s="336">
        <v>9100</v>
      </c>
      <c r="C1700" s="336">
        <v>9500</v>
      </c>
      <c r="D1700" s="337">
        <f t="shared" si="104"/>
        <v>9300</v>
      </c>
    </row>
    <row r="1701" spans="1:9" ht="15" customHeight="1">
      <c r="A1701" s="335">
        <v>41478</v>
      </c>
      <c r="B1701" s="336">
        <v>9100</v>
      </c>
      <c r="C1701" s="336">
        <v>9500</v>
      </c>
      <c r="D1701" s="337">
        <f t="shared" si="104"/>
        <v>9300</v>
      </c>
    </row>
    <row r="1702" spans="1:9" ht="15" customHeight="1">
      <c r="A1702" s="335">
        <v>41479</v>
      </c>
      <c r="B1702" s="336">
        <v>9100</v>
      </c>
      <c r="C1702" s="336">
        <v>9500</v>
      </c>
      <c r="D1702" s="337">
        <f t="shared" si="104"/>
        <v>9300</v>
      </c>
    </row>
    <row r="1703" spans="1:9" ht="15" customHeight="1">
      <c r="A1703" s="335">
        <v>41480</v>
      </c>
      <c r="B1703" s="336">
        <v>9100</v>
      </c>
      <c r="C1703" s="336">
        <v>9300</v>
      </c>
      <c r="D1703" s="337">
        <f t="shared" si="104"/>
        <v>9200</v>
      </c>
    </row>
    <row r="1704" spans="1:9" ht="15" customHeight="1">
      <c r="A1704" s="335">
        <v>41481</v>
      </c>
      <c r="B1704" s="336">
        <v>9300</v>
      </c>
      <c r="C1704" s="336">
        <v>9600</v>
      </c>
      <c r="D1704" s="337">
        <f t="shared" ref="D1704:D1724" si="105">AVERAGE(B1704:C1704)</f>
        <v>9450</v>
      </c>
    </row>
    <row r="1705" spans="1:9" ht="15" customHeight="1">
      <c r="A1705" s="335">
        <v>41484</v>
      </c>
      <c r="B1705" s="336">
        <v>9300</v>
      </c>
      <c r="C1705" s="336">
        <v>9600</v>
      </c>
      <c r="D1705" s="337">
        <f t="shared" si="105"/>
        <v>9450</v>
      </c>
    </row>
    <row r="1706" spans="1:9" ht="15" customHeight="1">
      <c r="A1706" s="335">
        <v>41485</v>
      </c>
      <c r="B1706" s="345">
        <v>9300</v>
      </c>
      <c r="C1706" s="345">
        <v>9600</v>
      </c>
      <c r="D1706" s="346">
        <f t="shared" si="105"/>
        <v>9450</v>
      </c>
      <c r="G1706" s="365"/>
      <c r="I1706" s="366"/>
    </row>
    <row r="1707" spans="1:9" ht="15" customHeight="1" thickBot="1">
      <c r="A1707" s="340">
        <v>41486</v>
      </c>
      <c r="B1707" s="341">
        <v>9300</v>
      </c>
      <c r="C1707" s="341">
        <v>9600</v>
      </c>
      <c r="D1707" s="342">
        <f t="shared" si="105"/>
        <v>9450</v>
      </c>
      <c r="E1707" s="360">
        <f>AVERAGE(D1685:D1707)</f>
        <v>9763.04347826087</v>
      </c>
      <c r="F1707" s="360"/>
      <c r="G1707" s="344"/>
      <c r="H1707" s="354"/>
      <c r="I1707" s="358"/>
    </row>
    <row r="1708" spans="1:9" ht="15" customHeight="1">
      <c r="A1708" s="335">
        <v>41487</v>
      </c>
      <c r="B1708" s="336">
        <v>9300</v>
      </c>
      <c r="C1708" s="336">
        <v>9600</v>
      </c>
      <c r="D1708" s="337">
        <f t="shared" si="105"/>
        <v>9450</v>
      </c>
    </row>
    <row r="1709" spans="1:9" ht="15" customHeight="1">
      <c r="A1709" s="335">
        <v>41488</v>
      </c>
      <c r="B1709" s="336">
        <v>9500</v>
      </c>
      <c r="C1709" s="336">
        <v>10000</v>
      </c>
      <c r="D1709" s="337">
        <f t="shared" si="105"/>
        <v>9750</v>
      </c>
    </row>
    <row r="1710" spans="1:9" ht="15" customHeight="1">
      <c r="A1710" s="335">
        <v>41491</v>
      </c>
      <c r="B1710" s="336">
        <v>9500</v>
      </c>
      <c r="C1710" s="336">
        <v>10000</v>
      </c>
      <c r="D1710" s="337">
        <f t="shared" si="105"/>
        <v>9750</v>
      </c>
    </row>
    <row r="1711" spans="1:9" ht="15" customHeight="1">
      <c r="A1711" s="335">
        <v>41492</v>
      </c>
      <c r="B1711" s="336">
        <v>9500</v>
      </c>
      <c r="C1711" s="336">
        <v>10000</v>
      </c>
      <c r="D1711" s="337">
        <f t="shared" si="105"/>
        <v>9750</v>
      </c>
    </row>
    <row r="1712" spans="1:9" ht="15" customHeight="1">
      <c r="A1712" s="335">
        <v>41493</v>
      </c>
      <c r="B1712" s="336">
        <v>9500</v>
      </c>
      <c r="C1712" s="336">
        <v>10000</v>
      </c>
      <c r="D1712" s="337">
        <f t="shared" si="105"/>
        <v>9750</v>
      </c>
    </row>
    <row r="1713" spans="1:6" ht="15" customHeight="1">
      <c r="A1713" s="335">
        <v>41494</v>
      </c>
      <c r="B1713" s="336">
        <v>9500</v>
      </c>
      <c r="C1713" s="336">
        <v>10000</v>
      </c>
      <c r="D1713" s="337">
        <f t="shared" si="105"/>
        <v>9750</v>
      </c>
    </row>
    <row r="1714" spans="1:6" ht="15" customHeight="1">
      <c r="A1714" s="335">
        <v>41495</v>
      </c>
      <c r="B1714" s="336">
        <v>9800</v>
      </c>
      <c r="C1714" s="336">
        <v>10000</v>
      </c>
      <c r="D1714" s="337">
        <f t="shared" si="105"/>
        <v>9900</v>
      </c>
    </row>
    <row r="1715" spans="1:6" ht="15" customHeight="1">
      <c r="A1715" s="335">
        <v>41498</v>
      </c>
      <c r="B1715" s="336">
        <v>9800</v>
      </c>
      <c r="C1715" s="336">
        <v>10000</v>
      </c>
      <c r="D1715" s="337">
        <f t="shared" si="105"/>
        <v>9900</v>
      </c>
    </row>
    <row r="1716" spans="1:6" ht="15" customHeight="1">
      <c r="A1716" s="335">
        <v>41499</v>
      </c>
      <c r="B1716" s="336">
        <v>9800</v>
      </c>
      <c r="C1716" s="336">
        <v>10000</v>
      </c>
      <c r="D1716" s="337">
        <f t="shared" si="105"/>
        <v>9900</v>
      </c>
    </row>
    <row r="1717" spans="1:6" ht="15" customHeight="1">
      <c r="A1717" s="335">
        <v>41500</v>
      </c>
      <c r="B1717" s="336">
        <v>9800</v>
      </c>
      <c r="C1717" s="336">
        <v>10000</v>
      </c>
      <c r="D1717" s="337">
        <f t="shared" si="105"/>
        <v>9900</v>
      </c>
    </row>
    <row r="1718" spans="1:6" ht="15" customHeight="1">
      <c r="A1718" s="335">
        <v>41501</v>
      </c>
      <c r="B1718" s="336">
        <v>9800</v>
      </c>
      <c r="C1718" s="336">
        <v>10000</v>
      </c>
      <c r="D1718" s="337">
        <f t="shared" si="105"/>
        <v>9900</v>
      </c>
    </row>
    <row r="1719" spans="1:6" ht="15" customHeight="1">
      <c r="A1719" s="335">
        <v>41502</v>
      </c>
      <c r="B1719" s="336">
        <v>9800</v>
      </c>
      <c r="C1719" s="336">
        <v>10100</v>
      </c>
      <c r="D1719" s="337">
        <f t="shared" si="105"/>
        <v>9950</v>
      </c>
    </row>
    <row r="1720" spans="1:6" ht="15" customHeight="1">
      <c r="A1720" s="335">
        <v>41505</v>
      </c>
      <c r="B1720" s="336">
        <v>9800</v>
      </c>
      <c r="C1720" s="336">
        <v>10100</v>
      </c>
      <c r="D1720" s="337">
        <f t="shared" si="105"/>
        <v>9950</v>
      </c>
      <c r="E1720" s="347"/>
      <c r="F1720" s="347"/>
    </row>
    <row r="1721" spans="1:6" ht="15" customHeight="1">
      <c r="A1721" s="335">
        <v>41506</v>
      </c>
      <c r="B1721" s="336">
        <v>9800</v>
      </c>
      <c r="C1721" s="336">
        <v>10100</v>
      </c>
      <c r="D1721" s="337">
        <f t="shared" si="105"/>
        <v>9950</v>
      </c>
      <c r="E1721" s="347"/>
      <c r="F1721" s="347"/>
    </row>
    <row r="1722" spans="1:6" ht="15" customHeight="1">
      <c r="A1722" s="335">
        <v>41507</v>
      </c>
      <c r="B1722" s="336">
        <v>9800</v>
      </c>
      <c r="C1722" s="336">
        <v>10100</v>
      </c>
      <c r="D1722" s="337">
        <f t="shared" si="105"/>
        <v>9950</v>
      </c>
      <c r="E1722" s="347"/>
      <c r="F1722" s="347"/>
    </row>
    <row r="1723" spans="1:6" ht="15" customHeight="1">
      <c r="A1723" s="335">
        <v>41508</v>
      </c>
      <c r="B1723" s="336">
        <v>9800</v>
      </c>
      <c r="C1723" s="336">
        <v>10100</v>
      </c>
      <c r="D1723" s="337">
        <f t="shared" si="105"/>
        <v>9950</v>
      </c>
    </row>
    <row r="1724" spans="1:6" ht="15" customHeight="1">
      <c r="A1724" s="335">
        <v>41509</v>
      </c>
      <c r="B1724" s="336">
        <v>10300</v>
      </c>
      <c r="C1724" s="336">
        <v>10500</v>
      </c>
      <c r="D1724" s="337">
        <f t="shared" si="105"/>
        <v>10400</v>
      </c>
    </row>
    <row r="1725" spans="1:6" ht="15" customHeight="1">
      <c r="A1725" s="335">
        <v>41512</v>
      </c>
      <c r="B1725" s="1416" t="s">
        <v>86</v>
      </c>
      <c r="C1725" s="1416"/>
      <c r="D1725" s="1416"/>
    </row>
    <row r="1726" spans="1:6" ht="15" customHeight="1">
      <c r="A1726" s="335">
        <v>41513</v>
      </c>
      <c r="B1726" s="336">
        <v>10300</v>
      </c>
      <c r="C1726" s="336">
        <v>10500</v>
      </c>
      <c r="D1726" s="337">
        <f t="shared" ref="D1726:D1738" si="106">AVERAGE(B1726:C1726)</f>
        <v>10400</v>
      </c>
    </row>
    <row r="1727" spans="1:6" ht="15" customHeight="1">
      <c r="A1727" s="335">
        <v>41514</v>
      </c>
      <c r="B1727" s="336">
        <v>10300</v>
      </c>
      <c r="C1727" s="336">
        <v>10500</v>
      </c>
      <c r="D1727" s="337">
        <f t="shared" si="106"/>
        <v>10400</v>
      </c>
    </row>
    <row r="1728" spans="1:6" ht="15" customHeight="1">
      <c r="A1728" s="335">
        <v>41515</v>
      </c>
      <c r="B1728" s="336">
        <v>10300</v>
      </c>
      <c r="C1728" s="336">
        <v>10500</v>
      </c>
      <c r="D1728" s="337">
        <f t="shared" si="106"/>
        <v>10400</v>
      </c>
    </row>
    <row r="1729" spans="1:9" ht="15" customHeight="1" thickBot="1">
      <c r="A1729" s="340">
        <v>41516</v>
      </c>
      <c r="B1729" s="341">
        <v>10300</v>
      </c>
      <c r="C1729" s="341">
        <v>10500</v>
      </c>
      <c r="D1729" s="342">
        <f t="shared" si="106"/>
        <v>10400</v>
      </c>
      <c r="E1729" s="360">
        <f>AVERAGE(D1708:D1729)</f>
        <v>9973.8095238095229</v>
      </c>
      <c r="F1729" s="360"/>
      <c r="G1729" s="344"/>
      <c r="H1729" s="354"/>
      <c r="I1729" s="358"/>
    </row>
    <row r="1730" spans="1:9" ht="15" customHeight="1">
      <c r="A1730" s="335">
        <v>41519</v>
      </c>
      <c r="B1730" s="336">
        <v>10300</v>
      </c>
      <c r="C1730" s="336">
        <v>10500</v>
      </c>
      <c r="D1730" s="337">
        <f t="shared" si="106"/>
        <v>10400</v>
      </c>
    </row>
    <row r="1731" spans="1:9" ht="15" customHeight="1">
      <c r="A1731" s="335">
        <v>41520</v>
      </c>
      <c r="B1731" s="336">
        <v>10300</v>
      </c>
      <c r="C1731" s="336">
        <v>10500</v>
      </c>
      <c r="D1731" s="337">
        <f t="shared" si="106"/>
        <v>10400</v>
      </c>
    </row>
    <row r="1732" spans="1:9" ht="15" customHeight="1">
      <c r="A1732" s="335">
        <v>41521</v>
      </c>
      <c r="B1732" s="336">
        <v>10300</v>
      </c>
      <c r="C1732" s="336">
        <v>10500</v>
      </c>
      <c r="D1732" s="337">
        <f t="shared" si="106"/>
        <v>10400</v>
      </c>
    </row>
    <row r="1733" spans="1:9" ht="15" customHeight="1">
      <c r="A1733" s="335">
        <v>41522</v>
      </c>
      <c r="B1733" s="336">
        <v>10300</v>
      </c>
      <c r="C1733" s="336">
        <v>10500</v>
      </c>
      <c r="D1733" s="337">
        <f t="shared" si="106"/>
        <v>10400</v>
      </c>
    </row>
    <row r="1734" spans="1:9" ht="15" customHeight="1">
      <c r="A1734" s="335">
        <v>41523</v>
      </c>
      <c r="B1734" s="336">
        <v>10300</v>
      </c>
      <c r="C1734" s="336">
        <v>10500</v>
      </c>
      <c r="D1734" s="337">
        <f t="shared" si="106"/>
        <v>10400</v>
      </c>
    </row>
    <row r="1735" spans="1:9" ht="15" customHeight="1">
      <c r="A1735" s="335">
        <v>41526</v>
      </c>
      <c r="B1735" s="336">
        <v>10300</v>
      </c>
      <c r="C1735" s="336">
        <v>10500</v>
      </c>
      <c r="D1735" s="337">
        <f t="shared" si="106"/>
        <v>10400</v>
      </c>
    </row>
    <row r="1736" spans="1:9" ht="15" customHeight="1">
      <c r="A1736" s="335">
        <v>41527</v>
      </c>
      <c r="B1736" s="336">
        <v>10300</v>
      </c>
      <c r="C1736" s="336">
        <v>10500</v>
      </c>
      <c r="D1736" s="337">
        <f t="shared" si="106"/>
        <v>10400</v>
      </c>
    </row>
    <row r="1737" spans="1:9" ht="15" customHeight="1">
      <c r="A1737" s="335">
        <v>41528</v>
      </c>
      <c r="B1737" s="336">
        <v>10300</v>
      </c>
      <c r="C1737" s="336">
        <v>10500</v>
      </c>
      <c r="D1737" s="337">
        <f t="shared" si="106"/>
        <v>10400</v>
      </c>
      <c r="E1737" s="347"/>
      <c r="F1737" s="347"/>
    </row>
    <row r="1738" spans="1:9" ht="15" customHeight="1">
      <c r="A1738" s="335">
        <v>41529</v>
      </c>
      <c r="B1738" s="336">
        <v>10300</v>
      </c>
      <c r="C1738" s="336">
        <v>10500</v>
      </c>
      <c r="D1738" s="337">
        <f t="shared" si="106"/>
        <v>10400</v>
      </c>
      <c r="E1738" s="347"/>
      <c r="F1738" s="347"/>
    </row>
    <row r="1739" spans="1:9" ht="15" customHeight="1">
      <c r="A1739" s="335">
        <v>41530</v>
      </c>
      <c r="B1739" s="336">
        <v>10300</v>
      </c>
      <c r="C1739" s="336">
        <v>10500</v>
      </c>
      <c r="D1739" s="337">
        <f t="shared" ref="D1739:D1758" si="107">AVERAGE(B1739:C1739)</f>
        <v>10400</v>
      </c>
    </row>
    <row r="1740" spans="1:9" ht="15" customHeight="1">
      <c r="A1740" s="335">
        <v>41533</v>
      </c>
      <c r="B1740" s="336">
        <v>10300</v>
      </c>
      <c r="C1740" s="336">
        <v>10500</v>
      </c>
      <c r="D1740" s="337">
        <f t="shared" si="107"/>
        <v>10400</v>
      </c>
    </row>
    <row r="1741" spans="1:9" ht="15" customHeight="1">
      <c r="A1741" s="335">
        <v>41534</v>
      </c>
      <c r="B1741" s="336">
        <v>10300</v>
      </c>
      <c r="C1741" s="336">
        <v>10500</v>
      </c>
      <c r="D1741" s="337">
        <f t="shared" si="107"/>
        <v>10400</v>
      </c>
    </row>
    <row r="1742" spans="1:9" ht="15" customHeight="1">
      <c r="A1742" s="335">
        <v>41535</v>
      </c>
      <c r="B1742" s="336">
        <v>10300</v>
      </c>
      <c r="C1742" s="336">
        <v>10500</v>
      </c>
      <c r="D1742" s="337">
        <f t="shared" si="107"/>
        <v>10400</v>
      </c>
    </row>
    <row r="1743" spans="1:9" ht="15" customHeight="1">
      <c r="A1743" s="335">
        <v>41536</v>
      </c>
      <c r="B1743" s="336">
        <v>10300</v>
      </c>
      <c r="C1743" s="336">
        <v>10500</v>
      </c>
      <c r="D1743" s="337">
        <f t="shared" si="107"/>
        <v>10400</v>
      </c>
    </row>
    <row r="1744" spans="1:9" ht="15" customHeight="1">
      <c r="A1744" s="335">
        <v>41537</v>
      </c>
      <c r="B1744" s="336">
        <v>10300</v>
      </c>
      <c r="C1744" s="336">
        <v>10500</v>
      </c>
      <c r="D1744" s="337">
        <f t="shared" si="107"/>
        <v>10400</v>
      </c>
    </row>
    <row r="1745" spans="1:9" ht="15" customHeight="1">
      <c r="A1745" s="335">
        <v>41540</v>
      </c>
      <c r="B1745" s="336">
        <v>10300</v>
      </c>
      <c r="C1745" s="336">
        <v>10500</v>
      </c>
      <c r="D1745" s="337">
        <f t="shared" si="107"/>
        <v>10400</v>
      </c>
    </row>
    <row r="1746" spans="1:9" ht="15" customHeight="1">
      <c r="A1746" s="335">
        <v>41541</v>
      </c>
      <c r="B1746" s="336">
        <v>10300</v>
      </c>
      <c r="C1746" s="336">
        <v>10500</v>
      </c>
      <c r="D1746" s="337">
        <f t="shared" si="107"/>
        <v>10400</v>
      </c>
    </row>
    <row r="1747" spans="1:9" ht="15" customHeight="1">
      <c r="A1747" s="335">
        <v>41542</v>
      </c>
      <c r="B1747" s="336">
        <v>10300</v>
      </c>
      <c r="C1747" s="336">
        <v>10500</v>
      </c>
      <c r="D1747" s="337">
        <f t="shared" si="107"/>
        <v>10400</v>
      </c>
    </row>
    <row r="1748" spans="1:9" ht="15" customHeight="1">
      <c r="A1748" s="335">
        <v>41543</v>
      </c>
      <c r="B1748" s="336">
        <v>10300</v>
      </c>
      <c r="C1748" s="336">
        <v>10500</v>
      </c>
      <c r="D1748" s="337">
        <f t="shared" si="107"/>
        <v>10400</v>
      </c>
    </row>
    <row r="1749" spans="1:9" ht="15" customHeight="1">
      <c r="A1749" s="335">
        <v>41544</v>
      </c>
      <c r="B1749" s="336">
        <v>10300</v>
      </c>
      <c r="C1749" s="336">
        <v>10500</v>
      </c>
      <c r="D1749" s="337">
        <f t="shared" si="107"/>
        <v>10400</v>
      </c>
    </row>
    <row r="1750" spans="1:9" ht="15" customHeight="1" thickBot="1">
      <c r="A1750" s="340">
        <v>41547</v>
      </c>
      <c r="B1750" s="341">
        <v>10300</v>
      </c>
      <c r="C1750" s="341">
        <v>10500</v>
      </c>
      <c r="D1750" s="342">
        <f t="shared" si="107"/>
        <v>10400</v>
      </c>
      <c r="E1750" s="360">
        <f>AVERAGE(D1730:D1750)</f>
        <v>10400</v>
      </c>
      <c r="F1750" s="360"/>
      <c r="G1750" s="344"/>
      <c r="H1750" s="354"/>
      <c r="I1750" s="358"/>
    </row>
    <row r="1751" spans="1:9" ht="15" customHeight="1">
      <c r="A1751" s="335">
        <v>41548</v>
      </c>
      <c r="B1751" s="336">
        <v>10300</v>
      </c>
      <c r="C1751" s="336">
        <v>10500</v>
      </c>
      <c r="D1751" s="337">
        <f t="shared" si="107"/>
        <v>10400</v>
      </c>
    </row>
    <row r="1752" spans="1:9" ht="15" customHeight="1">
      <c r="A1752" s="335">
        <v>41549</v>
      </c>
      <c r="B1752" s="336">
        <v>10300</v>
      </c>
      <c r="C1752" s="336">
        <v>10500</v>
      </c>
      <c r="D1752" s="337">
        <f t="shared" si="107"/>
        <v>10400</v>
      </c>
    </row>
    <row r="1753" spans="1:9" ht="15" customHeight="1">
      <c r="A1753" s="335">
        <v>41550</v>
      </c>
      <c r="B1753" s="336">
        <v>10300</v>
      </c>
      <c r="C1753" s="336">
        <v>10500</v>
      </c>
      <c r="D1753" s="337">
        <f t="shared" si="107"/>
        <v>10400</v>
      </c>
    </row>
    <row r="1754" spans="1:9" ht="15" customHeight="1">
      <c r="A1754" s="335">
        <v>41551</v>
      </c>
      <c r="B1754" s="336">
        <v>10300</v>
      </c>
      <c r="C1754" s="336">
        <v>10500</v>
      </c>
      <c r="D1754" s="337">
        <f t="shared" si="107"/>
        <v>10400</v>
      </c>
    </row>
    <row r="1755" spans="1:9" ht="15" customHeight="1">
      <c r="A1755" s="335">
        <v>41554</v>
      </c>
      <c r="B1755" s="336">
        <v>10300</v>
      </c>
      <c r="C1755" s="336">
        <v>10500</v>
      </c>
      <c r="D1755" s="337">
        <f t="shared" si="107"/>
        <v>10400</v>
      </c>
    </row>
    <row r="1756" spans="1:9" ht="15" customHeight="1">
      <c r="A1756" s="335">
        <v>41555</v>
      </c>
      <c r="B1756" s="336">
        <v>10300</v>
      </c>
      <c r="C1756" s="336">
        <v>10500</v>
      </c>
      <c r="D1756" s="337">
        <f t="shared" si="107"/>
        <v>10400</v>
      </c>
    </row>
    <row r="1757" spans="1:9" ht="15" customHeight="1">
      <c r="A1757" s="335">
        <v>41556</v>
      </c>
      <c r="B1757" s="336">
        <v>10300</v>
      </c>
      <c r="C1757" s="336">
        <v>10500</v>
      </c>
      <c r="D1757" s="337">
        <f t="shared" si="107"/>
        <v>10400</v>
      </c>
    </row>
    <row r="1758" spans="1:9" ht="15" customHeight="1">
      <c r="A1758" s="335">
        <v>41557</v>
      </c>
      <c r="B1758" s="336">
        <v>10300</v>
      </c>
      <c r="C1758" s="336">
        <v>10500</v>
      </c>
      <c r="D1758" s="337">
        <f t="shared" si="107"/>
        <v>10400</v>
      </c>
    </row>
    <row r="1759" spans="1:9" ht="15" customHeight="1">
      <c r="A1759" s="335">
        <v>41558</v>
      </c>
      <c r="B1759" s="336">
        <v>10300</v>
      </c>
      <c r="C1759" s="336">
        <v>10500</v>
      </c>
      <c r="D1759" s="337">
        <f t="shared" ref="D1759:D1811" si="108">AVERAGE(B1759:C1759)</f>
        <v>10400</v>
      </c>
    </row>
    <row r="1760" spans="1:9" ht="15" customHeight="1">
      <c r="A1760" s="335">
        <v>41561</v>
      </c>
      <c r="B1760" s="336">
        <v>10300</v>
      </c>
      <c r="C1760" s="336">
        <v>10500</v>
      </c>
      <c r="D1760" s="337">
        <f t="shared" si="108"/>
        <v>10400</v>
      </c>
    </row>
    <row r="1761" spans="1:9" ht="15" customHeight="1">
      <c r="A1761" s="335">
        <v>41562</v>
      </c>
      <c r="B1761" s="336">
        <v>10300</v>
      </c>
      <c r="C1761" s="336">
        <v>10500</v>
      </c>
      <c r="D1761" s="337">
        <f t="shared" si="108"/>
        <v>10400</v>
      </c>
    </row>
    <row r="1762" spans="1:9" ht="15" customHeight="1">
      <c r="A1762" s="335">
        <v>41563</v>
      </c>
      <c r="B1762" s="336">
        <v>10300</v>
      </c>
      <c r="C1762" s="336">
        <v>10500</v>
      </c>
      <c r="D1762" s="337">
        <f t="shared" si="108"/>
        <v>10400</v>
      </c>
    </row>
    <row r="1763" spans="1:9" ht="15" customHeight="1">
      <c r="A1763" s="335">
        <v>41564</v>
      </c>
      <c r="B1763" s="336">
        <v>10300</v>
      </c>
      <c r="C1763" s="336">
        <v>10500</v>
      </c>
      <c r="D1763" s="337">
        <f t="shared" si="108"/>
        <v>10400</v>
      </c>
    </row>
    <row r="1764" spans="1:9" ht="15" customHeight="1">
      <c r="A1764" s="335">
        <v>41565</v>
      </c>
      <c r="B1764" s="336">
        <v>10300</v>
      </c>
      <c r="C1764" s="336">
        <v>10600</v>
      </c>
      <c r="D1764" s="337">
        <f t="shared" si="108"/>
        <v>10450</v>
      </c>
    </row>
    <row r="1765" spans="1:9" ht="15" customHeight="1">
      <c r="A1765" s="335">
        <v>41568</v>
      </c>
      <c r="B1765" s="336">
        <v>10300</v>
      </c>
      <c r="C1765" s="336">
        <v>10600</v>
      </c>
      <c r="D1765" s="337">
        <f t="shared" si="108"/>
        <v>10450</v>
      </c>
    </row>
    <row r="1766" spans="1:9" ht="15" customHeight="1">
      <c r="A1766" s="335">
        <v>41569</v>
      </c>
      <c r="B1766" s="336">
        <v>10300</v>
      </c>
      <c r="C1766" s="336">
        <v>10600</v>
      </c>
      <c r="D1766" s="337">
        <f t="shared" si="108"/>
        <v>10450</v>
      </c>
    </row>
    <row r="1767" spans="1:9" ht="15" customHeight="1">
      <c r="A1767" s="335">
        <v>41570</v>
      </c>
      <c r="B1767" s="336">
        <v>10300</v>
      </c>
      <c r="C1767" s="336">
        <v>10600</v>
      </c>
      <c r="D1767" s="337">
        <f t="shared" si="108"/>
        <v>10450</v>
      </c>
    </row>
    <row r="1768" spans="1:9" ht="15" customHeight="1">
      <c r="A1768" s="335">
        <v>41571</v>
      </c>
      <c r="B1768" s="336">
        <v>10300</v>
      </c>
      <c r="C1768" s="336">
        <v>10600</v>
      </c>
      <c r="D1768" s="337">
        <f t="shared" si="108"/>
        <v>10450</v>
      </c>
    </row>
    <row r="1769" spans="1:9" ht="15" customHeight="1">
      <c r="A1769" s="335">
        <v>41572</v>
      </c>
      <c r="B1769" s="336">
        <v>10200</v>
      </c>
      <c r="C1769" s="336">
        <v>10500</v>
      </c>
      <c r="D1769" s="337">
        <f t="shared" si="108"/>
        <v>10350</v>
      </c>
    </row>
    <row r="1770" spans="1:9" ht="15" customHeight="1">
      <c r="A1770" s="335">
        <v>41575</v>
      </c>
      <c r="B1770" s="336">
        <v>10200</v>
      </c>
      <c r="C1770" s="336">
        <v>10500</v>
      </c>
      <c r="D1770" s="337">
        <f t="shared" si="108"/>
        <v>10350</v>
      </c>
    </row>
    <row r="1771" spans="1:9" ht="15" customHeight="1">
      <c r="A1771" s="335">
        <v>41576</v>
      </c>
      <c r="B1771" s="336">
        <v>10200</v>
      </c>
      <c r="C1771" s="336">
        <v>10500</v>
      </c>
      <c r="D1771" s="337">
        <f t="shared" si="108"/>
        <v>10350</v>
      </c>
    </row>
    <row r="1772" spans="1:9" ht="15" customHeight="1">
      <c r="A1772" s="335">
        <v>41577</v>
      </c>
      <c r="B1772" s="336">
        <v>10200</v>
      </c>
      <c r="C1772" s="336">
        <v>10500</v>
      </c>
      <c r="D1772" s="337">
        <f t="shared" si="108"/>
        <v>10350</v>
      </c>
    </row>
    <row r="1773" spans="1:9" ht="15" customHeight="1" thickBot="1">
      <c r="A1773" s="340">
        <v>41578</v>
      </c>
      <c r="B1773" s="341">
        <v>10200</v>
      </c>
      <c r="C1773" s="341">
        <v>10500</v>
      </c>
      <c r="D1773" s="342">
        <f t="shared" si="108"/>
        <v>10350</v>
      </c>
      <c r="E1773" s="360">
        <f>AVERAGE(D1751:D1773)</f>
        <v>10400</v>
      </c>
      <c r="F1773" s="360"/>
      <c r="G1773" s="344"/>
      <c r="H1773" s="354"/>
      <c r="I1773" s="358"/>
    </row>
    <row r="1774" spans="1:9" ht="15" customHeight="1">
      <c r="A1774" s="335">
        <v>41579</v>
      </c>
      <c r="B1774" s="336">
        <v>10200</v>
      </c>
      <c r="C1774" s="336">
        <v>10500</v>
      </c>
      <c r="D1774" s="337">
        <f t="shared" si="108"/>
        <v>10350</v>
      </c>
    </row>
    <row r="1775" spans="1:9" ht="15" customHeight="1">
      <c r="A1775" s="335">
        <v>41582</v>
      </c>
      <c r="B1775" s="336">
        <v>10200</v>
      </c>
      <c r="C1775" s="336">
        <v>10500</v>
      </c>
      <c r="D1775" s="337">
        <f t="shared" si="108"/>
        <v>10350</v>
      </c>
    </row>
    <row r="1776" spans="1:9" ht="15" customHeight="1">
      <c r="A1776" s="335">
        <v>41583</v>
      </c>
      <c r="B1776" s="336">
        <v>10200</v>
      </c>
      <c r="C1776" s="336">
        <v>10500</v>
      </c>
      <c r="D1776" s="337">
        <f t="shared" si="108"/>
        <v>10350</v>
      </c>
    </row>
    <row r="1777" spans="1:4" ht="15" customHeight="1">
      <c r="A1777" s="335">
        <v>41584</v>
      </c>
      <c r="B1777" s="336">
        <v>10200</v>
      </c>
      <c r="C1777" s="336">
        <v>10500</v>
      </c>
      <c r="D1777" s="337">
        <f t="shared" si="108"/>
        <v>10350</v>
      </c>
    </row>
    <row r="1778" spans="1:4" ht="15" customHeight="1">
      <c r="A1778" s="335">
        <v>41585</v>
      </c>
      <c r="B1778" s="336">
        <v>10200</v>
      </c>
      <c r="C1778" s="336">
        <v>10500</v>
      </c>
      <c r="D1778" s="337">
        <f t="shared" si="108"/>
        <v>10350</v>
      </c>
    </row>
    <row r="1779" spans="1:4" ht="15" customHeight="1">
      <c r="A1779" s="335">
        <v>41586</v>
      </c>
      <c r="B1779" s="336">
        <v>10200</v>
      </c>
      <c r="C1779" s="336">
        <v>10500</v>
      </c>
      <c r="D1779" s="337">
        <f t="shared" si="108"/>
        <v>10350</v>
      </c>
    </row>
    <row r="1780" spans="1:4" ht="15" customHeight="1">
      <c r="A1780" s="335">
        <v>41589</v>
      </c>
      <c r="B1780" s="336">
        <v>10200</v>
      </c>
      <c r="C1780" s="336">
        <v>10500</v>
      </c>
      <c r="D1780" s="337">
        <f t="shared" si="108"/>
        <v>10350</v>
      </c>
    </row>
    <row r="1781" spans="1:4" ht="15" customHeight="1">
      <c r="A1781" s="335">
        <v>41590</v>
      </c>
      <c r="B1781" s="336">
        <v>10000</v>
      </c>
      <c r="C1781" s="336">
        <v>10300</v>
      </c>
      <c r="D1781" s="337">
        <f t="shared" si="108"/>
        <v>10150</v>
      </c>
    </row>
    <row r="1782" spans="1:4" ht="15" customHeight="1">
      <c r="A1782" s="335">
        <v>41591</v>
      </c>
      <c r="B1782" s="336">
        <v>10000</v>
      </c>
      <c r="C1782" s="336">
        <v>10300</v>
      </c>
      <c r="D1782" s="337">
        <f t="shared" si="108"/>
        <v>10150</v>
      </c>
    </row>
    <row r="1783" spans="1:4" ht="15" customHeight="1">
      <c r="A1783" s="335">
        <v>41592</v>
      </c>
      <c r="B1783" s="336">
        <v>10000</v>
      </c>
      <c r="C1783" s="336">
        <v>10300</v>
      </c>
      <c r="D1783" s="337">
        <f t="shared" si="108"/>
        <v>10150</v>
      </c>
    </row>
    <row r="1784" spans="1:4" ht="15" customHeight="1">
      <c r="A1784" s="335">
        <v>41593</v>
      </c>
      <c r="B1784" s="336">
        <v>10000</v>
      </c>
      <c r="C1784" s="336">
        <v>10300</v>
      </c>
      <c r="D1784" s="337">
        <f t="shared" si="108"/>
        <v>10150</v>
      </c>
    </row>
    <row r="1785" spans="1:4" ht="15" customHeight="1">
      <c r="A1785" s="335">
        <v>41596</v>
      </c>
      <c r="B1785" s="336">
        <v>10000</v>
      </c>
      <c r="C1785" s="336">
        <v>10300</v>
      </c>
      <c r="D1785" s="337">
        <f t="shared" si="108"/>
        <v>10150</v>
      </c>
    </row>
    <row r="1786" spans="1:4" ht="15" customHeight="1">
      <c r="A1786" s="335">
        <v>41597</v>
      </c>
      <c r="B1786" s="336">
        <v>10000</v>
      </c>
      <c r="C1786" s="336">
        <v>10300</v>
      </c>
      <c r="D1786" s="337">
        <f t="shared" si="108"/>
        <v>10150</v>
      </c>
    </row>
    <row r="1787" spans="1:4" ht="15" customHeight="1">
      <c r="A1787" s="335">
        <v>41598</v>
      </c>
      <c r="B1787" s="336">
        <v>10000</v>
      </c>
      <c r="C1787" s="336">
        <v>10300</v>
      </c>
      <c r="D1787" s="337">
        <f t="shared" si="108"/>
        <v>10150</v>
      </c>
    </row>
    <row r="1788" spans="1:4" ht="15" customHeight="1">
      <c r="A1788" s="335">
        <v>41599</v>
      </c>
      <c r="B1788" s="336">
        <v>10000</v>
      </c>
      <c r="C1788" s="336">
        <v>10300</v>
      </c>
      <c r="D1788" s="337">
        <f t="shared" si="108"/>
        <v>10150</v>
      </c>
    </row>
    <row r="1789" spans="1:4" ht="15" customHeight="1">
      <c r="A1789" s="335">
        <v>41600</v>
      </c>
      <c r="B1789" s="336">
        <v>10000</v>
      </c>
      <c r="C1789" s="336">
        <v>10300</v>
      </c>
      <c r="D1789" s="337">
        <f t="shared" si="108"/>
        <v>10150</v>
      </c>
    </row>
    <row r="1790" spans="1:4" ht="15" customHeight="1">
      <c r="A1790" s="335">
        <v>41603</v>
      </c>
      <c r="B1790" s="336">
        <v>10000</v>
      </c>
      <c r="C1790" s="336">
        <v>10300</v>
      </c>
      <c r="D1790" s="337">
        <f t="shared" si="108"/>
        <v>10150</v>
      </c>
    </row>
    <row r="1791" spans="1:4" ht="15" customHeight="1">
      <c r="A1791" s="335">
        <v>41604</v>
      </c>
      <c r="B1791" s="336">
        <v>10000</v>
      </c>
      <c r="C1791" s="336">
        <v>10300</v>
      </c>
      <c r="D1791" s="337">
        <f t="shared" si="108"/>
        <v>10150</v>
      </c>
    </row>
    <row r="1792" spans="1:4" ht="15" customHeight="1">
      <c r="A1792" s="335">
        <v>41605</v>
      </c>
      <c r="B1792" s="336">
        <v>10000</v>
      </c>
      <c r="C1792" s="336">
        <v>10300</v>
      </c>
      <c r="D1792" s="337">
        <f t="shared" si="108"/>
        <v>10150</v>
      </c>
    </row>
    <row r="1793" spans="1:9" ht="15" customHeight="1">
      <c r="A1793" s="335">
        <v>41606</v>
      </c>
      <c r="B1793" s="336">
        <v>10000</v>
      </c>
      <c r="C1793" s="336">
        <v>10300</v>
      </c>
      <c r="D1793" s="337">
        <f t="shared" si="108"/>
        <v>10150</v>
      </c>
    </row>
    <row r="1794" spans="1:9" ht="15" customHeight="1" thickBot="1">
      <c r="A1794" s="340">
        <v>41607</v>
      </c>
      <c r="B1794" s="341">
        <v>10000</v>
      </c>
      <c r="C1794" s="341">
        <v>10300</v>
      </c>
      <c r="D1794" s="342">
        <f t="shared" si="108"/>
        <v>10150</v>
      </c>
      <c r="E1794" s="360">
        <f>AVERAGE(D1774:D1794)</f>
        <v>10216.666666666666</v>
      </c>
      <c r="F1794" s="360"/>
      <c r="G1794" s="344"/>
      <c r="H1794" s="354"/>
      <c r="I1794" s="358"/>
    </row>
    <row r="1795" spans="1:9" ht="15" customHeight="1">
      <c r="A1795" s="335">
        <v>41610</v>
      </c>
      <c r="B1795" s="336">
        <v>10000</v>
      </c>
      <c r="C1795" s="336">
        <v>10300</v>
      </c>
      <c r="D1795" s="337">
        <f t="shared" si="108"/>
        <v>10150</v>
      </c>
    </row>
    <row r="1796" spans="1:9" ht="15" customHeight="1">
      <c r="A1796" s="335">
        <v>41611</v>
      </c>
      <c r="B1796" s="336">
        <v>10000</v>
      </c>
      <c r="C1796" s="336">
        <v>10300</v>
      </c>
      <c r="D1796" s="337">
        <f t="shared" si="108"/>
        <v>10150</v>
      </c>
    </row>
    <row r="1797" spans="1:9" ht="15" customHeight="1">
      <c r="A1797" s="335">
        <v>41612</v>
      </c>
      <c r="B1797" s="336">
        <v>10000</v>
      </c>
      <c r="C1797" s="336">
        <v>10300</v>
      </c>
      <c r="D1797" s="337">
        <f t="shared" si="108"/>
        <v>10150</v>
      </c>
    </row>
    <row r="1798" spans="1:9" ht="15" customHeight="1">
      <c r="A1798" s="335">
        <v>41613</v>
      </c>
      <c r="B1798" s="336">
        <v>10000</v>
      </c>
      <c r="C1798" s="336">
        <v>10300</v>
      </c>
      <c r="D1798" s="337">
        <f t="shared" si="108"/>
        <v>10150</v>
      </c>
    </row>
    <row r="1799" spans="1:9" ht="15" customHeight="1">
      <c r="A1799" s="335">
        <v>41614</v>
      </c>
      <c r="B1799" s="336">
        <v>10000</v>
      </c>
      <c r="C1799" s="336">
        <v>10300</v>
      </c>
      <c r="D1799" s="337">
        <f t="shared" si="108"/>
        <v>10150</v>
      </c>
    </row>
    <row r="1800" spans="1:9" ht="15" customHeight="1">
      <c r="A1800" s="335">
        <v>41617</v>
      </c>
      <c r="B1800" s="336">
        <v>10000</v>
      </c>
      <c r="C1800" s="336">
        <v>10300</v>
      </c>
      <c r="D1800" s="337">
        <f t="shared" si="108"/>
        <v>10150</v>
      </c>
    </row>
    <row r="1801" spans="1:9" ht="15" customHeight="1">
      <c r="A1801" s="335">
        <v>41618</v>
      </c>
      <c r="B1801" s="336">
        <v>10000</v>
      </c>
      <c r="C1801" s="336">
        <v>10300</v>
      </c>
      <c r="D1801" s="337">
        <f t="shared" si="108"/>
        <v>10150</v>
      </c>
    </row>
    <row r="1802" spans="1:9" ht="15" customHeight="1">
      <c r="A1802" s="335">
        <v>41619</v>
      </c>
      <c r="B1802" s="336">
        <v>10000</v>
      </c>
      <c r="C1802" s="336">
        <v>10300</v>
      </c>
      <c r="D1802" s="337">
        <f t="shared" si="108"/>
        <v>10150</v>
      </c>
    </row>
    <row r="1803" spans="1:9" ht="15" customHeight="1">
      <c r="A1803" s="335">
        <v>41620</v>
      </c>
      <c r="B1803" s="336">
        <v>10000</v>
      </c>
      <c r="C1803" s="336">
        <v>10300</v>
      </c>
      <c r="D1803" s="337">
        <f>AVERAGE(B1803:C1803)</f>
        <v>10150</v>
      </c>
    </row>
    <row r="1804" spans="1:9" ht="15" customHeight="1">
      <c r="A1804" s="335">
        <v>41621</v>
      </c>
      <c r="B1804" s="336">
        <v>10000</v>
      </c>
      <c r="C1804" s="336">
        <v>10300</v>
      </c>
      <c r="D1804" s="337">
        <f t="shared" si="108"/>
        <v>10150</v>
      </c>
    </row>
    <row r="1805" spans="1:9" ht="15" customHeight="1">
      <c r="A1805" s="335">
        <v>41624</v>
      </c>
      <c r="B1805" s="336">
        <v>10000</v>
      </c>
      <c r="C1805" s="336">
        <v>10300</v>
      </c>
      <c r="D1805" s="337">
        <f t="shared" si="108"/>
        <v>10150</v>
      </c>
    </row>
    <row r="1806" spans="1:9" ht="15" customHeight="1">
      <c r="A1806" s="335">
        <v>41625</v>
      </c>
      <c r="B1806" s="336">
        <v>10000</v>
      </c>
      <c r="C1806" s="336">
        <v>10300</v>
      </c>
      <c r="D1806" s="337">
        <f t="shared" si="108"/>
        <v>10150</v>
      </c>
    </row>
    <row r="1807" spans="1:9" ht="15" customHeight="1">
      <c r="A1807" s="335">
        <v>41626</v>
      </c>
      <c r="B1807" s="336">
        <v>10000</v>
      </c>
      <c r="C1807" s="336">
        <v>10300</v>
      </c>
      <c r="D1807" s="337">
        <f t="shared" si="108"/>
        <v>10150</v>
      </c>
    </row>
    <row r="1808" spans="1:9" ht="15" customHeight="1">
      <c r="A1808" s="335">
        <v>41627</v>
      </c>
      <c r="B1808" s="336">
        <v>10000</v>
      </c>
      <c r="C1808" s="336">
        <v>10300</v>
      </c>
      <c r="D1808" s="337">
        <f t="shared" si="108"/>
        <v>10150</v>
      </c>
    </row>
    <row r="1809" spans="1:9" ht="15" customHeight="1">
      <c r="A1809" s="335">
        <v>41628</v>
      </c>
      <c r="B1809" s="336">
        <v>10000</v>
      </c>
      <c r="C1809" s="336">
        <v>10300</v>
      </c>
      <c r="D1809" s="337">
        <f t="shared" si="108"/>
        <v>10150</v>
      </c>
    </row>
    <row r="1810" spans="1:9" ht="15" customHeight="1">
      <c r="A1810" s="335">
        <v>41631</v>
      </c>
      <c r="B1810" s="336">
        <v>10000</v>
      </c>
      <c r="C1810" s="336">
        <v>10300</v>
      </c>
      <c r="D1810" s="337">
        <f t="shared" si="108"/>
        <v>10150</v>
      </c>
    </row>
    <row r="1811" spans="1:9" ht="15" customHeight="1">
      <c r="A1811" s="335">
        <v>41632</v>
      </c>
      <c r="B1811" s="336">
        <v>10000</v>
      </c>
      <c r="C1811" s="336">
        <v>10300</v>
      </c>
      <c r="D1811" s="337">
        <f t="shared" si="108"/>
        <v>10150</v>
      </c>
    </row>
    <row r="1812" spans="1:9" ht="15" customHeight="1">
      <c r="A1812" s="335">
        <v>41633</v>
      </c>
      <c r="B1812" s="1416" t="s">
        <v>86</v>
      </c>
      <c r="C1812" s="1416"/>
      <c r="D1812" s="1416"/>
    </row>
    <row r="1813" spans="1:9" ht="15" customHeight="1">
      <c r="A1813" s="335">
        <v>41634</v>
      </c>
      <c r="B1813" s="1416" t="s">
        <v>86</v>
      </c>
      <c r="C1813" s="1416"/>
      <c r="D1813" s="1416"/>
    </row>
    <row r="1814" spans="1:9" ht="15" customHeight="1">
      <c r="A1814" s="335">
        <v>41635</v>
      </c>
      <c r="B1814" s="336">
        <v>10000</v>
      </c>
      <c r="C1814" s="336">
        <v>10300</v>
      </c>
      <c r="D1814" s="337">
        <f t="shared" ref="D1814:D1821" si="109">AVERAGE(B1814:C1814)</f>
        <v>10150</v>
      </c>
    </row>
    <row r="1815" spans="1:9" ht="15" customHeight="1">
      <c r="A1815" s="335">
        <v>41638</v>
      </c>
      <c r="B1815" s="345">
        <v>10000</v>
      </c>
      <c r="C1815" s="345">
        <v>10300</v>
      </c>
      <c r="D1815" s="346">
        <f t="shared" si="109"/>
        <v>10150</v>
      </c>
      <c r="E1815" s="347"/>
      <c r="F1815" s="347"/>
      <c r="G1815" s="365"/>
      <c r="I1815" s="366"/>
    </row>
    <row r="1816" spans="1:9" ht="15" customHeight="1" thickBot="1">
      <c r="A1816" s="340">
        <v>41639</v>
      </c>
      <c r="B1816" s="341">
        <v>10000</v>
      </c>
      <c r="C1816" s="341">
        <v>10300</v>
      </c>
      <c r="D1816" s="342">
        <f t="shared" si="109"/>
        <v>10150</v>
      </c>
      <c r="E1816" s="360">
        <f>AVERAGE(D1795:D1816)</f>
        <v>10150</v>
      </c>
      <c r="F1816" s="360">
        <f>AVERAGE(D1556:D1816)</f>
        <v>10537.747035573122</v>
      </c>
      <c r="G1816" s="344"/>
      <c r="H1816" s="354"/>
      <c r="I1816" s="358"/>
    </row>
    <row r="1817" spans="1:9" ht="15" customHeight="1">
      <c r="A1817" s="335">
        <v>41641</v>
      </c>
      <c r="B1817" s="345">
        <v>10000</v>
      </c>
      <c r="C1817" s="345">
        <v>10300</v>
      </c>
      <c r="D1817" s="346">
        <f t="shared" si="109"/>
        <v>10150</v>
      </c>
    </row>
    <row r="1818" spans="1:9" ht="15" customHeight="1">
      <c r="A1818" s="335">
        <v>41642</v>
      </c>
      <c r="B1818" s="336">
        <v>9300</v>
      </c>
      <c r="C1818" s="336">
        <v>9700</v>
      </c>
      <c r="D1818" s="346">
        <f t="shared" si="109"/>
        <v>9500</v>
      </c>
    </row>
    <row r="1819" spans="1:9" ht="15" customHeight="1">
      <c r="A1819" s="335">
        <v>41645</v>
      </c>
      <c r="B1819" s="336">
        <v>9300</v>
      </c>
      <c r="C1819" s="336">
        <v>9700</v>
      </c>
      <c r="D1819" s="346">
        <f t="shared" si="109"/>
        <v>9500</v>
      </c>
    </row>
    <row r="1820" spans="1:9" ht="15" customHeight="1">
      <c r="A1820" s="335">
        <v>41646</v>
      </c>
      <c r="B1820" s="336">
        <v>9300</v>
      </c>
      <c r="C1820" s="336">
        <v>9700</v>
      </c>
      <c r="D1820" s="346">
        <f t="shared" si="109"/>
        <v>9500</v>
      </c>
    </row>
    <row r="1821" spans="1:9" ht="15" customHeight="1">
      <c r="A1821" s="335">
        <v>41647</v>
      </c>
      <c r="B1821" s="336">
        <v>9300</v>
      </c>
      <c r="C1821" s="336">
        <v>9700</v>
      </c>
      <c r="D1821" s="346">
        <f t="shared" si="109"/>
        <v>9500</v>
      </c>
    </row>
    <row r="1822" spans="1:9" ht="15" customHeight="1">
      <c r="A1822" s="335">
        <v>41648</v>
      </c>
      <c r="B1822" s="336">
        <v>9300</v>
      </c>
      <c r="C1822" s="336">
        <v>9700</v>
      </c>
      <c r="D1822" s="346">
        <f>AVERAGE(B1822:C1822)</f>
        <v>9500</v>
      </c>
    </row>
    <row r="1823" spans="1:9" ht="15" customHeight="1">
      <c r="A1823" s="335">
        <v>41649</v>
      </c>
      <c r="B1823" s="336">
        <v>9300</v>
      </c>
      <c r="C1823" s="336">
        <v>9700</v>
      </c>
      <c r="D1823" s="346">
        <f>AVERAGE(B1823:C1823)</f>
        <v>9500</v>
      </c>
    </row>
    <row r="1824" spans="1:9" ht="15" customHeight="1">
      <c r="A1824" s="335">
        <v>41652</v>
      </c>
      <c r="B1824" s="336">
        <v>9300</v>
      </c>
      <c r="C1824" s="336">
        <v>9700</v>
      </c>
      <c r="D1824" s="346">
        <f t="shared" ref="D1824:D1829" si="110">AVERAGE(B1824:C1824)</f>
        <v>9500</v>
      </c>
    </row>
    <row r="1825" spans="1:9" ht="15" customHeight="1">
      <c r="A1825" s="335">
        <v>41653</v>
      </c>
      <c r="B1825" s="336">
        <v>9300</v>
      </c>
      <c r="C1825" s="336">
        <v>9700</v>
      </c>
      <c r="D1825" s="346">
        <f t="shared" si="110"/>
        <v>9500</v>
      </c>
    </row>
    <row r="1826" spans="1:9" ht="15" customHeight="1">
      <c r="A1826" s="335">
        <v>41654</v>
      </c>
      <c r="B1826" s="336">
        <v>9300</v>
      </c>
      <c r="C1826" s="336">
        <v>9700</v>
      </c>
      <c r="D1826" s="346">
        <f t="shared" si="110"/>
        <v>9500</v>
      </c>
    </row>
    <row r="1827" spans="1:9" ht="15" customHeight="1">
      <c r="A1827" s="335">
        <v>41655</v>
      </c>
      <c r="B1827" s="336">
        <v>9300</v>
      </c>
      <c r="C1827" s="336">
        <v>9700</v>
      </c>
      <c r="D1827" s="346">
        <f t="shared" si="110"/>
        <v>9500</v>
      </c>
    </row>
    <row r="1828" spans="1:9" ht="15" customHeight="1">
      <c r="A1828" s="335">
        <v>41656</v>
      </c>
      <c r="B1828" s="336">
        <v>9300</v>
      </c>
      <c r="C1828" s="336">
        <v>9700</v>
      </c>
      <c r="D1828" s="346">
        <f t="shared" si="110"/>
        <v>9500</v>
      </c>
    </row>
    <row r="1829" spans="1:9" ht="15" customHeight="1">
      <c r="A1829" s="335">
        <v>41659</v>
      </c>
      <c r="B1829" s="336">
        <v>9300</v>
      </c>
      <c r="C1829" s="336">
        <v>9700</v>
      </c>
      <c r="D1829" s="346">
        <f t="shared" si="110"/>
        <v>9500</v>
      </c>
    </row>
    <row r="1830" spans="1:9" ht="15" customHeight="1">
      <c r="A1830" s="335">
        <v>41660</v>
      </c>
      <c r="B1830" s="336">
        <v>9300</v>
      </c>
      <c r="C1830" s="336">
        <v>9700</v>
      </c>
      <c r="D1830" s="346">
        <f t="shared" ref="D1830:D1853" si="111">AVERAGE(B1830:C1830)</f>
        <v>9500</v>
      </c>
    </row>
    <row r="1831" spans="1:9" ht="15" customHeight="1">
      <c r="A1831" s="335">
        <v>41661</v>
      </c>
      <c r="B1831" s="336">
        <v>9300</v>
      </c>
      <c r="C1831" s="336">
        <v>9700</v>
      </c>
      <c r="D1831" s="346">
        <f t="shared" si="111"/>
        <v>9500</v>
      </c>
    </row>
    <row r="1832" spans="1:9" ht="15" customHeight="1">
      <c r="A1832" s="335">
        <v>41662</v>
      </c>
      <c r="B1832" s="336">
        <v>9300</v>
      </c>
      <c r="C1832" s="336">
        <v>9700</v>
      </c>
      <c r="D1832" s="346">
        <f t="shared" si="111"/>
        <v>9500</v>
      </c>
    </row>
    <row r="1833" spans="1:9" ht="15" customHeight="1">
      <c r="A1833" s="335">
        <v>41663</v>
      </c>
      <c r="B1833" s="336">
        <v>9600</v>
      </c>
      <c r="C1833" s="336">
        <v>9850</v>
      </c>
      <c r="D1833" s="337">
        <f t="shared" si="111"/>
        <v>9725</v>
      </c>
    </row>
    <row r="1834" spans="1:9" ht="15" customHeight="1">
      <c r="A1834" s="335">
        <v>41666</v>
      </c>
      <c r="B1834" s="336">
        <v>9600</v>
      </c>
      <c r="C1834" s="336">
        <v>9850</v>
      </c>
      <c r="D1834" s="337">
        <f t="shared" si="111"/>
        <v>9725</v>
      </c>
    </row>
    <row r="1835" spans="1:9" ht="15" customHeight="1">
      <c r="A1835" s="335">
        <v>41667</v>
      </c>
      <c r="B1835" s="336">
        <v>9600</v>
      </c>
      <c r="C1835" s="336">
        <v>9850</v>
      </c>
      <c r="D1835" s="337">
        <f t="shared" si="111"/>
        <v>9725</v>
      </c>
      <c r="E1835" s="347"/>
    </row>
    <row r="1836" spans="1:9" ht="15" customHeight="1">
      <c r="A1836" s="335">
        <v>41668</v>
      </c>
      <c r="B1836" s="336">
        <v>9600</v>
      </c>
      <c r="C1836" s="336">
        <v>9850</v>
      </c>
      <c r="D1836" s="337">
        <f t="shared" si="111"/>
        <v>9725</v>
      </c>
      <c r="E1836" s="347"/>
    </row>
    <row r="1837" spans="1:9" ht="15" customHeight="1">
      <c r="A1837" s="335">
        <v>41669</v>
      </c>
      <c r="B1837" s="336">
        <v>9600</v>
      </c>
      <c r="C1837" s="336">
        <v>9900</v>
      </c>
      <c r="D1837" s="337">
        <f t="shared" si="111"/>
        <v>9750</v>
      </c>
      <c r="E1837" s="347"/>
    </row>
    <row r="1838" spans="1:9" ht="15" customHeight="1" thickBot="1">
      <c r="A1838" s="340">
        <v>41670</v>
      </c>
      <c r="B1838" s="341">
        <v>9600</v>
      </c>
      <c r="C1838" s="341">
        <v>9900</v>
      </c>
      <c r="D1838" s="342">
        <f t="shared" si="111"/>
        <v>9750</v>
      </c>
      <c r="E1838" s="360">
        <f>AVERAGE(D1817:D1838)</f>
        <v>9593.181818181818</v>
      </c>
      <c r="F1838" s="360">
        <f>AVERAGE(D1817:D1838)</f>
        <v>9593.181818181818</v>
      </c>
      <c r="G1838" s="344"/>
      <c r="H1838" s="354"/>
      <c r="I1838" s="358"/>
    </row>
    <row r="1839" spans="1:9" ht="15" customHeight="1">
      <c r="A1839" s="335">
        <v>41673</v>
      </c>
      <c r="B1839" s="336">
        <v>9600</v>
      </c>
      <c r="C1839" s="336">
        <v>9900</v>
      </c>
      <c r="D1839" s="337">
        <f t="shared" si="111"/>
        <v>9750</v>
      </c>
    </row>
    <row r="1840" spans="1:9" ht="15" customHeight="1">
      <c r="A1840" s="335">
        <v>41674</v>
      </c>
      <c r="B1840" s="336">
        <v>9600</v>
      </c>
      <c r="C1840" s="336">
        <v>9900</v>
      </c>
      <c r="D1840" s="337">
        <f t="shared" si="111"/>
        <v>9750</v>
      </c>
    </row>
    <row r="1841" spans="1:4" ht="15" customHeight="1">
      <c r="A1841" s="335">
        <v>41675</v>
      </c>
      <c r="B1841" s="336">
        <v>9600</v>
      </c>
      <c r="C1841" s="336">
        <v>9900</v>
      </c>
      <c r="D1841" s="337">
        <f t="shared" si="111"/>
        <v>9750</v>
      </c>
    </row>
    <row r="1842" spans="1:4" ht="15" customHeight="1">
      <c r="A1842" s="335">
        <v>41676</v>
      </c>
      <c r="B1842" s="336">
        <v>9600</v>
      </c>
      <c r="C1842" s="336">
        <v>9900</v>
      </c>
      <c r="D1842" s="337">
        <f t="shared" si="111"/>
        <v>9750</v>
      </c>
    </row>
    <row r="1843" spans="1:4" ht="15" customHeight="1">
      <c r="A1843" s="335">
        <v>41677</v>
      </c>
      <c r="B1843" s="336">
        <v>9600</v>
      </c>
      <c r="C1843" s="336">
        <v>9900</v>
      </c>
      <c r="D1843" s="337">
        <f t="shared" si="111"/>
        <v>9750</v>
      </c>
    </row>
    <row r="1844" spans="1:4" ht="15" customHeight="1">
      <c r="A1844" s="335">
        <v>41680</v>
      </c>
      <c r="B1844" s="336">
        <v>9600</v>
      </c>
      <c r="C1844" s="336">
        <v>9900</v>
      </c>
      <c r="D1844" s="337">
        <f t="shared" si="111"/>
        <v>9750</v>
      </c>
    </row>
    <row r="1845" spans="1:4" ht="15" customHeight="1">
      <c r="A1845" s="335">
        <v>41681</v>
      </c>
      <c r="B1845" s="336">
        <v>9600</v>
      </c>
      <c r="C1845" s="336">
        <v>9900</v>
      </c>
      <c r="D1845" s="337">
        <f t="shared" si="111"/>
        <v>9750</v>
      </c>
    </row>
    <row r="1846" spans="1:4" ht="15" customHeight="1">
      <c r="A1846" s="335">
        <v>41682</v>
      </c>
      <c r="B1846" s="336">
        <v>9600</v>
      </c>
      <c r="C1846" s="336">
        <v>9900</v>
      </c>
      <c r="D1846" s="337">
        <f t="shared" si="111"/>
        <v>9750</v>
      </c>
    </row>
    <row r="1847" spans="1:4" ht="15" customHeight="1">
      <c r="A1847" s="335">
        <v>41683</v>
      </c>
      <c r="B1847" s="336">
        <v>9600</v>
      </c>
      <c r="C1847" s="336">
        <v>9900</v>
      </c>
      <c r="D1847" s="337">
        <f t="shared" si="111"/>
        <v>9750</v>
      </c>
    </row>
    <row r="1848" spans="1:4" ht="15" customHeight="1">
      <c r="A1848" s="335">
        <v>41684</v>
      </c>
      <c r="B1848" s="336">
        <v>9600</v>
      </c>
      <c r="C1848" s="336">
        <v>9900</v>
      </c>
      <c r="D1848" s="337">
        <f t="shared" si="111"/>
        <v>9750</v>
      </c>
    </row>
    <row r="1849" spans="1:4" ht="15" customHeight="1">
      <c r="A1849" s="335">
        <v>41687</v>
      </c>
      <c r="B1849" s="336">
        <v>9600</v>
      </c>
      <c r="C1849" s="336">
        <v>9900</v>
      </c>
      <c r="D1849" s="337">
        <f t="shared" si="111"/>
        <v>9750</v>
      </c>
    </row>
    <row r="1850" spans="1:4" ht="15" customHeight="1">
      <c r="A1850" s="335">
        <v>41688</v>
      </c>
      <c r="B1850" s="336">
        <v>9600</v>
      </c>
      <c r="C1850" s="336">
        <v>9900</v>
      </c>
      <c r="D1850" s="337">
        <f t="shared" si="111"/>
        <v>9750</v>
      </c>
    </row>
    <row r="1851" spans="1:4" ht="15" customHeight="1">
      <c r="A1851" s="335">
        <v>41689</v>
      </c>
      <c r="B1851" s="336">
        <v>9600</v>
      </c>
      <c r="C1851" s="336">
        <v>9900</v>
      </c>
      <c r="D1851" s="337">
        <f t="shared" si="111"/>
        <v>9750</v>
      </c>
    </row>
    <row r="1852" spans="1:4" ht="15" customHeight="1">
      <c r="A1852" s="335">
        <v>41690</v>
      </c>
      <c r="B1852" s="336">
        <v>9600</v>
      </c>
      <c r="C1852" s="336">
        <v>9800</v>
      </c>
      <c r="D1852" s="337">
        <f t="shared" si="111"/>
        <v>9700</v>
      </c>
    </row>
    <row r="1853" spans="1:4" ht="15" customHeight="1">
      <c r="A1853" s="335">
        <v>41691</v>
      </c>
      <c r="B1853" s="336">
        <v>9600</v>
      </c>
      <c r="C1853" s="336">
        <v>9800</v>
      </c>
      <c r="D1853" s="337">
        <f t="shared" si="111"/>
        <v>9700</v>
      </c>
    </row>
    <row r="1854" spans="1:4" ht="15" customHeight="1">
      <c r="A1854" s="335">
        <v>41694</v>
      </c>
      <c r="B1854" s="336">
        <v>9600</v>
      </c>
      <c r="C1854" s="336">
        <v>9800</v>
      </c>
      <c r="D1854" s="337">
        <f t="shared" ref="D1854:D1859" si="112">AVERAGE(B1854:C1854)</f>
        <v>9700</v>
      </c>
    </row>
    <row r="1855" spans="1:4" ht="15" customHeight="1">
      <c r="A1855" s="335">
        <v>41695</v>
      </c>
      <c r="B1855" s="336">
        <v>9600</v>
      </c>
      <c r="C1855" s="336">
        <v>9800</v>
      </c>
      <c r="D1855" s="337">
        <f t="shared" si="112"/>
        <v>9700</v>
      </c>
    </row>
    <row r="1856" spans="1:4" ht="15" customHeight="1">
      <c r="A1856" s="335">
        <v>41696</v>
      </c>
      <c r="B1856" s="336">
        <v>9600</v>
      </c>
      <c r="C1856" s="336">
        <v>9800</v>
      </c>
      <c r="D1856" s="337">
        <f t="shared" si="112"/>
        <v>9700</v>
      </c>
    </row>
    <row r="1857" spans="1:9" ht="15" customHeight="1">
      <c r="A1857" s="335">
        <v>41697</v>
      </c>
      <c r="B1857" s="336">
        <v>9800</v>
      </c>
      <c r="C1857" s="336">
        <v>9900</v>
      </c>
      <c r="D1857" s="337">
        <f t="shared" si="112"/>
        <v>9850</v>
      </c>
    </row>
    <row r="1858" spans="1:9" ht="15" customHeight="1" thickBot="1">
      <c r="A1858" s="340">
        <v>41698</v>
      </c>
      <c r="B1858" s="341">
        <v>9800</v>
      </c>
      <c r="C1858" s="341">
        <v>9900</v>
      </c>
      <c r="D1858" s="342">
        <f t="shared" si="112"/>
        <v>9850</v>
      </c>
      <c r="E1858" s="360">
        <f>AVERAGE(D1839:D1858)</f>
        <v>9747.5</v>
      </c>
      <c r="F1858" s="360">
        <f>AVERAGE(D1817:D1858)</f>
        <v>9666.6666666666661</v>
      </c>
      <c r="G1858" s="344"/>
      <c r="H1858" s="354"/>
      <c r="I1858" s="358"/>
    </row>
    <row r="1859" spans="1:9" ht="15" customHeight="1">
      <c r="A1859" s="335">
        <v>41701</v>
      </c>
      <c r="B1859" s="336">
        <v>9800</v>
      </c>
      <c r="C1859" s="336">
        <v>9900</v>
      </c>
      <c r="D1859" s="337">
        <f t="shared" si="112"/>
        <v>9850</v>
      </c>
    </row>
    <row r="1860" spans="1:9" ht="15" customHeight="1">
      <c r="A1860" s="335">
        <v>41702</v>
      </c>
      <c r="B1860" s="336">
        <v>9800</v>
      </c>
      <c r="C1860" s="336">
        <v>9900</v>
      </c>
      <c r="D1860" s="337">
        <f t="shared" ref="D1860:D1875" si="113">AVERAGE(B1860:C1860)</f>
        <v>9850</v>
      </c>
    </row>
    <row r="1861" spans="1:9" ht="15" customHeight="1">
      <c r="A1861" s="335">
        <v>41703</v>
      </c>
      <c r="B1861" s="336">
        <v>9800</v>
      </c>
      <c r="C1861" s="336">
        <v>9900</v>
      </c>
      <c r="D1861" s="337">
        <f t="shared" si="113"/>
        <v>9850</v>
      </c>
    </row>
    <row r="1862" spans="1:9" ht="15" customHeight="1">
      <c r="A1862" s="335">
        <v>41704</v>
      </c>
      <c r="B1862" s="336">
        <v>9800</v>
      </c>
      <c r="C1862" s="336">
        <v>9900</v>
      </c>
      <c r="D1862" s="337">
        <f t="shared" si="113"/>
        <v>9850</v>
      </c>
    </row>
    <row r="1863" spans="1:9" ht="15" customHeight="1">
      <c r="A1863" s="335">
        <v>41705</v>
      </c>
      <c r="B1863" s="336">
        <v>9800</v>
      </c>
      <c r="C1863" s="336">
        <v>9900</v>
      </c>
      <c r="D1863" s="337">
        <f t="shared" si="113"/>
        <v>9850</v>
      </c>
    </row>
    <row r="1864" spans="1:9" ht="15" customHeight="1">
      <c r="A1864" s="335">
        <v>41708</v>
      </c>
      <c r="B1864" s="336">
        <v>9800</v>
      </c>
      <c r="C1864" s="336">
        <v>9900</v>
      </c>
      <c r="D1864" s="337">
        <f t="shared" si="113"/>
        <v>9850</v>
      </c>
    </row>
    <row r="1865" spans="1:9" ht="15" customHeight="1">
      <c r="A1865" s="335">
        <v>41709</v>
      </c>
      <c r="B1865" s="336">
        <v>9800</v>
      </c>
      <c r="C1865" s="336">
        <v>9900</v>
      </c>
      <c r="D1865" s="337">
        <f t="shared" si="113"/>
        <v>9850</v>
      </c>
    </row>
    <row r="1866" spans="1:9" ht="15" customHeight="1">
      <c r="A1866" s="335">
        <v>41710</v>
      </c>
      <c r="B1866" s="336">
        <v>9800</v>
      </c>
      <c r="C1866" s="336">
        <v>9900</v>
      </c>
      <c r="D1866" s="337">
        <f t="shared" si="113"/>
        <v>9850</v>
      </c>
    </row>
    <row r="1867" spans="1:9" ht="15" customHeight="1">
      <c r="A1867" s="335">
        <v>41711</v>
      </c>
      <c r="B1867" s="336">
        <v>9500</v>
      </c>
      <c r="C1867" s="336">
        <v>9900</v>
      </c>
      <c r="D1867" s="337">
        <f t="shared" si="113"/>
        <v>9700</v>
      </c>
    </row>
    <row r="1868" spans="1:9" ht="15" customHeight="1">
      <c r="A1868" s="335">
        <v>41712</v>
      </c>
      <c r="B1868" s="336">
        <v>9500</v>
      </c>
      <c r="C1868" s="336">
        <v>9900</v>
      </c>
      <c r="D1868" s="337">
        <f t="shared" si="113"/>
        <v>9700</v>
      </c>
    </row>
    <row r="1869" spans="1:9" ht="15" customHeight="1">
      <c r="A1869" s="335">
        <v>41715</v>
      </c>
      <c r="B1869" s="336">
        <v>9500</v>
      </c>
      <c r="C1869" s="336">
        <v>9900</v>
      </c>
      <c r="D1869" s="337">
        <f t="shared" si="113"/>
        <v>9700</v>
      </c>
    </row>
    <row r="1870" spans="1:9" ht="15" customHeight="1">
      <c r="A1870" s="335">
        <v>41716</v>
      </c>
      <c r="B1870" s="336">
        <v>9500</v>
      </c>
      <c r="C1870" s="336">
        <v>9900</v>
      </c>
      <c r="D1870" s="337">
        <f t="shared" si="113"/>
        <v>9700</v>
      </c>
    </row>
    <row r="1871" spans="1:9" ht="15" customHeight="1">
      <c r="A1871" s="335">
        <v>41717</v>
      </c>
      <c r="B1871" s="336">
        <v>9500</v>
      </c>
      <c r="C1871" s="336">
        <v>9900</v>
      </c>
      <c r="D1871" s="337">
        <f t="shared" si="113"/>
        <v>9700</v>
      </c>
    </row>
    <row r="1872" spans="1:9" ht="15" customHeight="1">
      <c r="A1872" s="335">
        <v>41718</v>
      </c>
      <c r="B1872" s="336">
        <v>9500</v>
      </c>
      <c r="C1872" s="336">
        <v>9900</v>
      </c>
      <c r="D1872" s="337">
        <f t="shared" si="113"/>
        <v>9700</v>
      </c>
    </row>
    <row r="1873" spans="1:9" ht="15" customHeight="1">
      <c r="A1873" s="335">
        <v>41719</v>
      </c>
      <c r="B1873" s="336">
        <v>9500</v>
      </c>
      <c r="C1873" s="336">
        <v>9900</v>
      </c>
      <c r="D1873" s="337">
        <f t="shared" si="113"/>
        <v>9700</v>
      </c>
    </row>
    <row r="1874" spans="1:9" ht="15" customHeight="1">
      <c r="A1874" s="335">
        <v>41722</v>
      </c>
      <c r="B1874" s="336">
        <v>9500</v>
      </c>
      <c r="C1874" s="336">
        <v>9900</v>
      </c>
      <c r="D1874" s="337">
        <f t="shared" si="113"/>
        <v>9700</v>
      </c>
    </row>
    <row r="1875" spans="1:9" ht="15" customHeight="1">
      <c r="A1875" s="335">
        <v>41723</v>
      </c>
      <c r="B1875" s="336">
        <v>9500</v>
      </c>
      <c r="C1875" s="336">
        <v>9900</v>
      </c>
      <c r="D1875" s="337">
        <f t="shared" si="113"/>
        <v>9700</v>
      </c>
    </row>
    <row r="1876" spans="1:9" ht="15" customHeight="1">
      <c r="A1876" s="335">
        <v>41724</v>
      </c>
      <c r="B1876" s="336">
        <v>9500</v>
      </c>
      <c r="C1876" s="336">
        <v>9900</v>
      </c>
      <c r="D1876" s="337">
        <f t="shared" ref="D1876:D1892" si="114">AVERAGE(B1876:C1876)</f>
        <v>9700</v>
      </c>
    </row>
    <row r="1877" spans="1:9" ht="15" customHeight="1">
      <c r="A1877" s="335">
        <v>41725</v>
      </c>
      <c r="B1877" s="336">
        <v>9500</v>
      </c>
      <c r="C1877" s="336">
        <v>9900</v>
      </c>
      <c r="D1877" s="337">
        <f t="shared" si="114"/>
        <v>9700</v>
      </c>
    </row>
    <row r="1878" spans="1:9" ht="15" customHeight="1">
      <c r="A1878" s="335">
        <v>41726</v>
      </c>
      <c r="B1878" s="336">
        <v>9500</v>
      </c>
      <c r="C1878" s="336">
        <v>9900</v>
      </c>
      <c r="D1878" s="337">
        <f t="shared" si="114"/>
        <v>9700</v>
      </c>
    </row>
    <row r="1879" spans="1:9" ht="15" customHeight="1" thickBot="1">
      <c r="A1879" s="340">
        <v>41729</v>
      </c>
      <c r="B1879" s="341">
        <v>9700</v>
      </c>
      <c r="C1879" s="341">
        <v>9950</v>
      </c>
      <c r="D1879" s="342">
        <f t="shared" si="114"/>
        <v>9825</v>
      </c>
      <c r="E1879" s="360">
        <f>AVERAGE(D1859:D1879)</f>
        <v>9763.0952380952385</v>
      </c>
      <c r="F1879" s="360">
        <f>AVERAGE(D1817:D1879)</f>
        <v>9698.8095238095229</v>
      </c>
      <c r="G1879" s="344"/>
      <c r="H1879" s="354"/>
      <c r="I1879" s="358"/>
    </row>
    <row r="1880" spans="1:9" ht="15" customHeight="1">
      <c r="A1880" s="335">
        <v>41730</v>
      </c>
      <c r="B1880" s="336">
        <v>9625</v>
      </c>
      <c r="C1880" s="336">
        <v>9881</v>
      </c>
      <c r="D1880" s="337">
        <f t="shared" si="114"/>
        <v>9753</v>
      </c>
    </row>
    <row r="1881" spans="1:9" ht="15" customHeight="1">
      <c r="A1881" s="335">
        <v>41731</v>
      </c>
      <c r="B1881" s="336">
        <v>9500</v>
      </c>
      <c r="C1881" s="336">
        <v>9900</v>
      </c>
      <c r="D1881" s="337">
        <f t="shared" si="114"/>
        <v>9700</v>
      </c>
    </row>
    <row r="1882" spans="1:9" ht="15" customHeight="1">
      <c r="A1882" s="335">
        <v>41732</v>
      </c>
      <c r="B1882" s="336">
        <v>9500</v>
      </c>
      <c r="C1882" s="336">
        <v>9900</v>
      </c>
      <c r="D1882" s="337">
        <f t="shared" si="114"/>
        <v>9700</v>
      </c>
    </row>
    <row r="1883" spans="1:9" ht="15" customHeight="1">
      <c r="A1883" s="335">
        <v>41733</v>
      </c>
      <c r="B1883" s="336">
        <v>9500</v>
      </c>
      <c r="C1883" s="336">
        <v>9900</v>
      </c>
      <c r="D1883" s="337">
        <f t="shared" si="114"/>
        <v>9700</v>
      </c>
    </row>
    <row r="1884" spans="1:9" ht="15" customHeight="1">
      <c r="A1884" s="335">
        <v>41736</v>
      </c>
      <c r="B1884" s="336">
        <v>9500</v>
      </c>
      <c r="C1884" s="336">
        <v>9900</v>
      </c>
      <c r="D1884" s="337">
        <f t="shared" si="114"/>
        <v>9700</v>
      </c>
    </row>
    <row r="1885" spans="1:9" ht="15" customHeight="1">
      <c r="A1885" s="335">
        <v>41737</v>
      </c>
      <c r="B1885" s="336">
        <v>9500</v>
      </c>
      <c r="C1885" s="336">
        <v>9900</v>
      </c>
      <c r="D1885" s="337">
        <f t="shared" si="114"/>
        <v>9700</v>
      </c>
    </row>
    <row r="1886" spans="1:9" ht="15" customHeight="1">
      <c r="A1886" s="335">
        <v>41738</v>
      </c>
      <c r="B1886" s="336">
        <v>9500</v>
      </c>
      <c r="C1886" s="336">
        <v>9900</v>
      </c>
      <c r="D1886" s="337">
        <f t="shared" si="114"/>
        <v>9700</v>
      </c>
    </row>
    <row r="1887" spans="1:9" ht="15" customHeight="1">
      <c r="A1887" s="335">
        <v>41739</v>
      </c>
      <c r="B1887" s="336">
        <v>9500</v>
      </c>
      <c r="C1887" s="336">
        <v>9900</v>
      </c>
      <c r="D1887" s="337">
        <f t="shared" si="114"/>
        <v>9700</v>
      </c>
    </row>
    <row r="1888" spans="1:9" ht="15" customHeight="1">
      <c r="A1888" s="335">
        <v>41740</v>
      </c>
      <c r="B1888" s="336">
        <v>9500</v>
      </c>
      <c r="C1888" s="336">
        <v>9900</v>
      </c>
      <c r="D1888" s="337">
        <f t="shared" si="114"/>
        <v>9700</v>
      </c>
    </row>
    <row r="1889" spans="1:9" ht="15" customHeight="1">
      <c r="A1889" s="335">
        <v>41743</v>
      </c>
      <c r="B1889" s="336">
        <v>9500</v>
      </c>
      <c r="C1889" s="336">
        <v>9900</v>
      </c>
      <c r="D1889" s="337">
        <f t="shared" si="114"/>
        <v>9700</v>
      </c>
    </row>
    <row r="1890" spans="1:9" ht="15" customHeight="1">
      <c r="A1890" s="335">
        <v>41744</v>
      </c>
      <c r="B1890" s="336">
        <v>9500</v>
      </c>
      <c r="C1890" s="336">
        <v>9900</v>
      </c>
      <c r="D1890" s="337">
        <f t="shared" si="114"/>
        <v>9700</v>
      </c>
    </row>
    <row r="1891" spans="1:9" ht="15" customHeight="1">
      <c r="A1891" s="335">
        <v>41745</v>
      </c>
      <c r="B1891" s="336">
        <v>9500</v>
      </c>
      <c r="C1891" s="336">
        <v>9900</v>
      </c>
      <c r="D1891" s="337">
        <f t="shared" si="114"/>
        <v>9700</v>
      </c>
    </row>
    <row r="1892" spans="1:9" ht="15" customHeight="1">
      <c r="A1892" s="335">
        <v>41746</v>
      </c>
      <c r="B1892" s="336">
        <v>9500</v>
      </c>
      <c r="C1892" s="336">
        <v>9900</v>
      </c>
      <c r="D1892" s="337">
        <f t="shared" si="114"/>
        <v>9700</v>
      </c>
    </row>
    <row r="1893" spans="1:9" ht="15" customHeight="1">
      <c r="A1893" s="335">
        <v>41747</v>
      </c>
      <c r="C1893" s="1417" t="s">
        <v>87</v>
      </c>
      <c r="D1893" s="1417"/>
    </row>
    <row r="1894" spans="1:9" ht="15" customHeight="1">
      <c r="A1894" s="335">
        <v>41750</v>
      </c>
      <c r="C1894" s="1417"/>
      <c r="D1894" s="1417"/>
    </row>
    <row r="1895" spans="1:9" ht="15" customHeight="1">
      <c r="A1895" s="335">
        <v>41751</v>
      </c>
      <c r="B1895" s="336">
        <v>9500</v>
      </c>
      <c r="C1895" s="336">
        <v>9900</v>
      </c>
      <c r="D1895" s="337">
        <f t="shared" ref="D1895:D1903" si="115">AVERAGE(B1895:C1895)</f>
        <v>9700</v>
      </c>
    </row>
    <row r="1896" spans="1:9" ht="15" customHeight="1">
      <c r="A1896" s="335">
        <v>41752</v>
      </c>
      <c r="B1896" s="336">
        <v>9500</v>
      </c>
      <c r="C1896" s="336">
        <v>9900</v>
      </c>
      <c r="D1896" s="337">
        <f t="shared" si="115"/>
        <v>9700</v>
      </c>
    </row>
    <row r="1897" spans="1:9" ht="15" customHeight="1">
      <c r="A1897" s="335">
        <v>41753</v>
      </c>
      <c r="B1897" s="336">
        <v>9400</v>
      </c>
      <c r="C1897" s="336">
        <v>9600</v>
      </c>
      <c r="D1897" s="337">
        <f t="shared" si="115"/>
        <v>9500</v>
      </c>
    </row>
    <row r="1898" spans="1:9" ht="15" customHeight="1">
      <c r="A1898" s="335">
        <v>41754</v>
      </c>
      <c r="B1898" s="336">
        <v>9400</v>
      </c>
      <c r="C1898" s="336">
        <v>9600</v>
      </c>
      <c r="D1898" s="337">
        <f t="shared" si="115"/>
        <v>9500</v>
      </c>
    </row>
    <row r="1899" spans="1:9" ht="15" customHeight="1">
      <c r="A1899" s="335">
        <v>41757</v>
      </c>
      <c r="B1899" s="336">
        <v>9400</v>
      </c>
      <c r="C1899" s="336">
        <v>9600</v>
      </c>
      <c r="D1899" s="337">
        <f t="shared" si="115"/>
        <v>9500</v>
      </c>
    </row>
    <row r="1900" spans="1:9" ht="15" customHeight="1">
      <c r="A1900" s="335">
        <v>41758</v>
      </c>
      <c r="B1900" s="336">
        <v>9400</v>
      </c>
      <c r="C1900" s="336">
        <v>9600</v>
      </c>
      <c r="D1900" s="337">
        <f t="shared" si="115"/>
        <v>9500</v>
      </c>
    </row>
    <row r="1901" spans="1:9" ht="15" customHeight="1" thickBot="1">
      <c r="A1901" s="340">
        <v>41759</v>
      </c>
      <c r="B1901" s="341">
        <v>9400</v>
      </c>
      <c r="C1901" s="341">
        <v>9600</v>
      </c>
      <c r="D1901" s="342">
        <f t="shared" si="115"/>
        <v>9500</v>
      </c>
      <c r="E1901" s="360">
        <f>AVERAGE(D1880:D1901)</f>
        <v>9652.65</v>
      </c>
      <c r="F1901" s="360">
        <f>AVERAGE(D1817:D1901)</f>
        <v>9687.6867469879526</v>
      </c>
      <c r="G1901" s="344"/>
      <c r="H1901" s="354"/>
      <c r="I1901" s="358"/>
    </row>
    <row r="1902" spans="1:9" ht="15" customHeight="1">
      <c r="A1902" s="335">
        <v>41760</v>
      </c>
      <c r="B1902" s="336">
        <v>9400</v>
      </c>
      <c r="C1902" s="336">
        <v>9500</v>
      </c>
      <c r="D1902" s="337">
        <f t="shared" si="115"/>
        <v>9450</v>
      </c>
    </row>
    <row r="1903" spans="1:9" ht="15" customHeight="1">
      <c r="A1903" s="335">
        <v>41761</v>
      </c>
      <c r="B1903" s="336">
        <v>9400</v>
      </c>
      <c r="C1903" s="336">
        <v>9500</v>
      </c>
      <c r="D1903" s="337">
        <f t="shared" si="115"/>
        <v>9450</v>
      </c>
    </row>
    <row r="1904" spans="1:9" ht="15" customHeight="1">
      <c r="B1904" s="1416" t="s">
        <v>86</v>
      </c>
      <c r="C1904" s="1416"/>
      <c r="D1904" s="1416"/>
    </row>
    <row r="1905" spans="1:4" ht="15" customHeight="1">
      <c r="A1905" s="335">
        <v>41765</v>
      </c>
      <c r="B1905" s="336">
        <v>9400</v>
      </c>
      <c r="C1905" s="336">
        <v>9500</v>
      </c>
      <c r="D1905" s="337">
        <f>AVERAGE(B1905:C1905)</f>
        <v>9450</v>
      </c>
    </row>
    <row r="1906" spans="1:4" ht="15" customHeight="1">
      <c r="A1906" s="335">
        <v>41766</v>
      </c>
      <c r="B1906" s="336">
        <v>9400</v>
      </c>
      <c r="C1906" s="336">
        <v>9500</v>
      </c>
      <c r="D1906" s="337">
        <f>AVERAGE(B1906:C1906)</f>
        <v>9450</v>
      </c>
    </row>
    <row r="1907" spans="1:4" ht="15" customHeight="1">
      <c r="A1907" s="335">
        <v>41767</v>
      </c>
      <c r="B1907" s="336">
        <v>9400</v>
      </c>
      <c r="C1907" s="336">
        <v>9500</v>
      </c>
      <c r="D1907" s="337">
        <f>AVERAGE(B1907:C1907)</f>
        <v>9450</v>
      </c>
    </row>
    <row r="1908" spans="1:4" ht="15" customHeight="1">
      <c r="A1908" s="335">
        <v>41768</v>
      </c>
      <c r="B1908" s="336">
        <v>9400</v>
      </c>
      <c r="C1908" s="336">
        <v>9500</v>
      </c>
      <c r="D1908" s="337">
        <f>AVERAGE(B1908:C1908)</f>
        <v>9450</v>
      </c>
    </row>
    <row r="1909" spans="1:4" ht="15" customHeight="1">
      <c r="A1909" s="335">
        <v>41771</v>
      </c>
      <c r="B1909" s="336">
        <v>9400</v>
      </c>
      <c r="C1909" s="336">
        <v>9500</v>
      </c>
      <c r="D1909" s="337">
        <f>AVERAGE(B1909:C1909)</f>
        <v>9450</v>
      </c>
    </row>
    <row r="1910" spans="1:4" ht="15" customHeight="1">
      <c r="A1910" s="335">
        <v>41772</v>
      </c>
      <c r="B1910" s="336">
        <v>9400</v>
      </c>
      <c r="C1910" s="336">
        <v>9500</v>
      </c>
      <c r="D1910" s="337">
        <f t="shared" ref="D1910:D1915" si="116">AVERAGE(B1910:C1910)</f>
        <v>9450</v>
      </c>
    </row>
    <row r="1911" spans="1:4" ht="15" customHeight="1">
      <c r="A1911" s="335">
        <v>41773</v>
      </c>
      <c r="B1911" s="336">
        <v>9400</v>
      </c>
      <c r="C1911" s="336">
        <v>9500</v>
      </c>
      <c r="D1911" s="337">
        <f t="shared" si="116"/>
        <v>9450</v>
      </c>
    </row>
    <row r="1912" spans="1:4" ht="15" customHeight="1">
      <c r="A1912" s="335">
        <v>41774</v>
      </c>
      <c r="B1912" s="336">
        <v>9400</v>
      </c>
      <c r="C1912" s="336">
        <v>9500</v>
      </c>
      <c r="D1912" s="337">
        <f t="shared" si="116"/>
        <v>9450</v>
      </c>
    </row>
    <row r="1913" spans="1:4" ht="15" customHeight="1">
      <c r="A1913" s="335">
        <v>41775</v>
      </c>
      <c r="B1913" s="336">
        <v>9400</v>
      </c>
      <c r="C1913" s="336">
        <v>9500</v>
      </c>
      <c r="D1913" s="337">
        <f t="shared" si="116"/>
        <v>9450</v>
      </c>
    </row>
    <row r="1914" spans="1:4" ht="15" customHeight="1">
      <c r="A1914" s="335">
        <v>41778</v>
      </c>
      <c r="B1914" s="336">
        <v>9400</v>
      </c>
      <c r="C1914" s="336">
        <v>9500</v>
      </c>
      <c r="D1914" s="337">
        <f t="shared" si="116"/>
        <v>9450</v>
      </c>
    </row>
    <row r="1915" spans="1:4" ht="15" customHeight="1">
      <c r="A1915" s="335">
        <v>41779</v>
      </c>
      <c r="B1915" s="336">
        <v>9400</v>
      </c>
      <c r="C1915" s="336">
        <v>9500</v>
      </c>
      <c r="D1915" s="337">
        <f t="shared" si="116"/>
        <v>9450</v>
      </c>
    </row>
    <row r="1916" spans="1:4" ht="15" customHeight="1">
      <c r="A1916" s="335">
        <v>41780</v>
      </c>
      <c r="B1916" s="336">
        <v>9400</v>
      </c>
      <c r="C1916" s="336">
        <v>9500</v>
      </c>
      <c r="D1916" s="337">
        <f>AVERAGE(B1916:C1916)</f>
        <v>9450</v>
      </c>
    </row>
    <row r="1917" spans="1:4" ht="15" customHeight="1">
      <c r="A1917" s="335">
        <v>41781</v>
      </c>
      <c r="B1917" s="336">
        <v>9400</v>
      </c>
      <c r="C1917" s="336">
        <v>9500</v>
      </c>
      <c r="D1917" s="337">
        <f>AVERAGE(B1917:C1917)</f>
        <v>9450</v>
      </c>
    </row>
    <row r="1918" spans="1:4" ht="15" customHeight="1">
      <c r="A1918" s="335">
        <v>41782</v>
      </c>
      <c r="B1918" s="336">
        <v>9400</v>
      </c>
      <c r="C1918" s="336">
        <v>9500</v>
      </c>
      <c r="D1918" s="337">
        <f>AVERAGE(B1918:C1918)</f>
        <v>9450</v>
      </c>
    </row>
    <row r="1919" spans="1:4" ht="15" customHeight="1">
      <c r="A1919" s="335">
        <v>41785</v>
      </c>
      <c r="B1919" s="1416" t="s">
        <v>86</v>
      </c>
      <c r="C1919" s="1416"/>
      <c r="D1919" s="1416"/>
    </row>
    <row r="1920" spans="1:4" ht="15" customHeight="1">
      <c r="A1920" s="335">
        <v>41786</v>
      </c>
      <c r="B1920" s="336">
        <v>9400</v>
      </c>
      <c r="C1920" s="336">
        <v>9500</v>
      </c>
      <c r="D1920" s="337">
        <f t="shared" ref="D1920:D1929" si="117">AVERAGE(B1920:C1920)</f>
        <v>9450</v>
      </c>
    </row>
    <row r="1921" spans="1:9" ht="15" customHeight="1">
      <c r="A1921" s="335">
        <v>41787</v>
      </c>
      <c r="B1921" s="336">
        <v>9400</v>
      </c>
      <c r="C1921" s="336">
        <v>9500</v>
      </c>
      <c r="D1921" s="337">
        <f t="shared" si="117"/>
        <v>9450</v>
      </c>
    </row>
    <row r="1922" spans="1:9" ht="15" customHeight="1">
      <c r="A1922" s="335">
        <v>41788</v>
      </c>
      <c r="B1922" s="336">
        <v>9400</v>
      </c>
      <c r="C1922" s="336">
        <v>9500</v>
      </c>
      <c r="D1922" s="337">
        <f t="shared" si="117"/>
        <v>9450</v>
      </c>
    </row>
    <row r="1923" spans="1:9" ht="15" customHeight="1" thickBot="1">
      <c r="A1923" s="340">
        <v>41789</v>
      </c>
      <c r="B1923" s="341">
        <v>9400</v>
      </c>
      <c r="C1923" s="341">
        <v>9500</v>
      </c>
      <c r="D1923" s="342">
        <f t="shared" si="117"/>
        <v>9450</v>
      </c>
      <c r="E1923" s="360">
        <f>AVERAGE(D1902:D1923)</f>
        <v>9450</v>
      </c>
      <c r="F1923" s="360">
        <f>AVERAGE(D1817:D1923)</f>
        <v>9641.5339805825242</v>
      </c>
      <c r="G1923" s="344"/>
      <c r="H1923" s="354"/>
      <c r="I1923" s="358"/>
    </row>
    <row r="1924" spans="1:9" ht="15" customHeight="1">
      <c r="A1924" s="335">
        <v>41792</v>
      </c>
      <c r="B1924" s="336">
        <v>9400</v>
      </c>
      <c r="C1924" s="336">
        <v>9500</v>
      </c>
      <c r="D1924" s="337">
        <f t="shared" si="117"/>
        <v>9450</v>
      </c>
    </row>
    <row r="1925" spans="1:9" ht="15" customHeight="1">
      <c r="A1925" s="335">
        <v>41793</v>
      </c>
      <c r="B1925" s="336">
        <v>9400</v>
      </c>
      <c r="C1925" s="336">
        <v>9500</v>
      </c>
      <c r="D1925" s="337">
        <f t="shared" si="117"/>
        <v>9450</v>
      </c>
    </row>
    <row r="1926" spans="1:9" ht="15" customHeight="1">
      <c r="A1926" s="335">
        <v>41794</v>
      </c>
      <c r="B1926" s="336">
        <v>9400</v>
      </c>
      <c r="C1926" s="336">
        <v>9500</v>
      </c>
      <c r="D1926" s="337">
        <f t="shared" si="117"/>
        <v>9450</v>
      </c>
    </row>
    <row r="1927" spans="1:9" ht="15" customHeight="1">
      <c r="A1927" s="335">
        <v>41795</v>
      </c>
      <c r="B1927" s="336">
        <v>9400</v>
      </c>
      <c r="C1927" s="336">
        <v>9500</v>
      </c>
      <c r="D1927" s="337">
        <f t="shared" si="117"/>
        <v>9450</v>
      </c>
    </row>
    <row r="1928" spans="1:9" ht="15" customHeight="1">
      <c r="A1928" s="335">
        <v>41796</v>
      </c>
      <c r="B1928" s="336">
        <v>9400</v>
      </c>
      <c r="C1928" s="336">
        <v>9500</v>
      </c>
      <c r="D1928" s="337">
        <f t="shared" si="117"/>
        <v>9450</v>
      </c>
    </row>
    <row r="1929" spans="1:9" ht="15" customHeight="1">
      <c r="A1929" s="335">
        <v>41799</v>
      </c>
      <c r="B1929" s="336">
        <v>9400</v>
      </c>
      <c r="C1929" s="336">
        <v>9700</v>
      </c>
      <c r="D1929" s="337">
        <f t="shared" si="117"/>
        <v>9550</v>
      </c>
    </row>
    <row r="1930" spans="1:9" ht="15" customHeight="1">
      <c r="A1930" s="335">
        <v>41800</v>
      </c>
      <c r="B1930" s="336">
        <v>9400</v>
      </c>
      <c r="C1930" s="336">
        <v>9700</v>
      </c>
      <c r="D1930" s="337">
        <f t="shared" ref="D1930" si="118">AVERAGE(B1930:C1930)</f>
        <v>9550</v>
      </c>
    </row>
    <row r="1931" spans="1:9" ht="15" customHeight="1">
      <c r="A1931" s="335">
        <v>41801</v>
      </c>
      <c r="B1931" s="336">
        <v>9400</v>
      </c>
      <c r="C1931" s="336">
        <v>9700</v>
      </c>
      <c r="D1931" s="337">
        <f t="shared" ref="D1931" si="119">AVERAGE(B1931:C1931)</f>
        <v>9550</v>
      </c>
    </row>
    <row r="1932" spans="1:9" ht="15" customHeight="1">
      <c r="A1932" s="335">
        <v>41802</v>
      </c>
      <c r="B1932" s="336">
        <v>9400</v>
      </c>
      <c r="C1932" s="336">
        <v>9700</v>
      </c>
      <c r="D1932" s="337">
        <f t="shared" ref="D1932:D1943" si="120">AVERAGE(B1932:C1932)</f>
        <v>9550</v>
      </c>
    </row>
    <row r="1933" spans="1:9" ht="15" customHeight="1">
      <c r="A1933" s="335">
        <v>41803</v>
      </c>
      <c r="B1933" s="336">
        <v>9500</v>
      </c>
      <c r="C1933" s="336">
        <v>9700</v>
      </c>
      <c r="D1933" s="337">
        <f t="shared" si="120"/>
        <v>9600</v>
      </c>
    </row>
    <row r="1934" spans="1:9" ht="15" customHeight="1">
      <c r="A1934" s="335">
        <v>41806</v>
      </c>
      <c r="B1934" s="336">
        <v>9500</v>
      </c>
      <c r="C1934" s="336">
        <v>9700</v>
      </c>
      <c r="D1934" s="337">
        <f t="shared" si="120"/>
        <v>9600</v>
      </c>
    </row>
    <row r="1935" spans="1:9" ht="15" customHeight="1">
      <c r="A1935" s="335">
        <v>41807</v>
      </c>
      <c r="B1935" s="336">
        <v>9500</v>
      </c>
      <c r="C1935" s="336">
        <v>9700</v>
      </c>
      <c r="D1935" s="337">
        <f t="shared" si="120"/>
        <v>9600</v>
      </c>
    </row>
    <row r="1936" spans="1:9" ht="15" customHeight="1">
      <c r="A1936" s="335">
        <v>41808</v>
      </c>
      <c r="B1936" s="336">
        <v>9500</v>
      </c>
      <c r="C1936" s="336">
        <v>9700</v>
      </c>
      <c r="D1936" s="337">
        <f t="shared" si="120"/>
        <v>9600</v>
      </c>
    </row>
    <row r="1937" spans="1:9" ht="15" customHeight="1">
      <c r="A1937" s="335">
        <v>41809</v>
      </c>
      <c r="B1937" s="336">
        <v>9500</v>
      </c>
      <c r="C1937" s="336">
        <v>9700</v>
      </c>
      <c r="D1937" s="337">
        <f t="shared" si="120"/>
        <v>9600</v>
      </c>
    </row>
    <row r="1938" spans="1:9" ht="15" customHeight="1">
      <c r="A1938" s="335">
        <v>41810</v>
      </c>
      <c r="B1938" s="336">
        <v>9500</v>
      </c>
      <c r="C1938" s="336">
        <v>9700</v>
      </c>
      <c r="D1938" s="337">
        <f t="shared" si="120"/>
        <v>9600</v>
      </c>
    </row>
    <row r="1939" spans="1:9" ht="15" customHeight="1">
      <c r="A1939" s="335">
        <v>41813</v>
      </c>
      <c r="B1939" s="336">
        <v>9500</v>
      </c>
      <c r="C1939" s="336">
        <v>9700</v>
      </c>
      <c r="D1939" s="337">
        <f t="shared" si="120"/>
        <v>9600</v>
      </c>
    </row>
    <row r="1940" spans="1:9" ht="15" customHeight="1">
      <c r="A1940" s="335">
        <v>41814</v>
      </c>
      <c r="B1940" s="336">
        <v>9500</v>
      </c>
      <c r="C1940" s="336">
        <v>9700</v>
      </c>
      <c r="D1940" s="337">
        <f t="shared" si="120"/>
        <v>9600</v>
      </c>
    </row>
    <row r="1941" spans="1:9" ht="15" customHeight="1">
      <c r="A1941" s="335">
        <v>41815</v>
      </c>
      <c r="B1941" s="336">
        <v>9500</v>
      </c>
      <c r="C1941" s="336">
        <v>9700</v>
      </c>
      <c r="D1941" s="337">
        <f t="shared" si="120"/>
        <v>9600</v>
      </c>
    </row>
    <row r="1942" spans="1:9" ht="15" customHeight="1">
      <c r="A1942" s="335">
        <v>41816</v>
      </c>
      <c r="B1942" s="336">
        <v>9500</v>
      </c>
      <c r="C1942" s="336">
        <v>9700</v>
      </c>
      <c r="D1942" s="337">
        <f t="shared" si="120"/>
        <v>9600</v>
      </c>
    </row>
    <row r="1943" spans="1:9" ht="15" customHeight="1">
      <c r="A1943" s="335">
        <v>41817</v>
      </c>
      <c r="B1943" s="336">
        <v>9500</v>
      </c>
      <c r="C1943" s="336">
        <v>9700</v>
      </c>
      <c r="D1943" s="337">
        <f t="shared" si="120"/>
        <v>9600</v>
      </c>
    </row>
    <row r="1944" spans="1:9" ht="15" customHeight="1" thickBot="1">
      <c r="A1944" s="340">
        <v>41820</v>
      </c>
      <c r="B1944" s="341">
        <v>9500</v>
      </c>
      <c r="C1944" s="341">
        <v>9700</v>
      </c>
      <c r="D1944" s="342">
        <f t="shared" ref="D1944:D1947" si="121">AVERAGE(B1944:C1944)</f>
        <v>9600</v>
      </c>
      <c r="E1944" s="360">
        <f>AVERAGE(D1924:D1944)</f>
        <v>9554.7619047619046</v>
      </c>
      <c r="F1944" s="360">
        <f>AVERAGE(D1817:D1944)</f>
        <v>9626.8387096774186</v>
      </c>
      <c r="G1944" s="344"/>
      <c r="H1944" s="354"/>
      <c r="I1944" s="358"/>
    </row>
    <row r="1945" spans="1:9" ht="15" customHeight="1">
      <c r="A1945" s="373">
        <v>41821</v>
      </c>
      <c r="B1945" s="363">
        <v>9500</v>
      </c>
      <c r="C1945" s="363">
        <v>9700</v>
      </c>
      <c r="D1945" s="408">
        <f t="shared" si="121"/>
        <v>9600</v>
      </c>
      <c r="E1945" s="364"/>
      <c r="F1945" s="364"/>
      <c r="G1945" s="367"/>
      <c r="H1945" s="368"/>
      <c r="I1945" s="369"/>
    </row>
    <row r="1946" spans="1:9" ht="15" customHeight="1">
      <c r="A1946" s="374">
        <v>41822</v>
      </c>
      <c r="B1946" s="345">
        <v>9500</v>
      </c>
      <c r="C1946" s="345">
        <v>9700</v>
      </c>
      <c r="D1946" s="346">
        <f t="shared" si="121"/>
        <v>9600</v>
      </c>
      <c r="E1946" s="347"/>
      <c r="F1946" s="347"/>
      <c r="G1946" s="365"/>
      <c r="I1946" s="366"/>
    </row>
    <row r="1947" spans="1:9" ht="15" customHeight="1">
      <c r="A1947" s="374">
        <v>41823</v>
      </c>
      <c r="B1947" s="345">
        <v>9500</v>
      </c>
      <c r="C1947" s="345">
        <v>9700</v>
      </c>
      <c r="D1947" s="346">
        <f t="shared" si="121"/>
        <v>9600</v>
      </c>
      <c r="E1947" s="347"/>
      <c r="F1947" s="347"/>
      <c r="G1947" s="365"/>
      <c r="I1947" s="366"/>
    </row>
    <row r="1948" spans="1:9" ht="15" customHeight="1">
      <c r="A1948" s="374">
        <v>41824</v>
      </c>
      <c r="B1948" s="345">
        <v>9500</v>
      </c>
      <c r="C1948" s="345">
        <v>9700</v>
      </c>
      <c r="D1948" s="346">
        <f t="shared" ref="D1948:D1957" si="122">AVERAGE(B1948:C1948)</f>
        <v>9600</v>
      </c>
      <c r="E1948" s="347"/>
      <c r="F1948" s="347"/>
      <c r="G1948" s="365"/>
      <c r="I1948" s="366"/>
    </row>
    <row r="1949" spans="1:9" ht="15" customHeight="1">
      <c r="A1949" s="374">
        <v>41827</v>
      </c>
      <c r="B1949" s="345">
        <v>9500</v>
      </c>
      <c r="C1949" s="345">
        <v>9700</v>
      </c>
      <c r="D1949" s="346">
        <f t="shared" si="122"/>
        <v>9600</v>
      </c>
      <c r="E1949" s="347"/>
      <c r="F1949" s="347"/>
      <c r="G1949" s="365"/>
      <c r="I1949" s="366"/>
    </row>
    <row r="1950" spans="1:9" ht="15" customHeight="1">
      <c r="A1950" s="374">
        <v>41828</v>
      </c>
      <c r="B1950" s="345">
        <v>9500</v>
      </c>
      <c r="C1950" s="345">
        <v>9700</v>
      </c>
      <c r="D1950" s="346">
        <f t="shared" si="122"/>
        <v>9600</v>
      </c>
      <c r="E1950" s="347"/>
      <c r="F1950" s="347"/>
      <c r="G1950" s="365"/>
      <c r="I1950" s="366"/>
    </row>
    <row r="1951" spans="1:9" ht="15" customHeight="1">
      <c r="A1951" s="374">
        <v>41829</v>
      </c>
      <c r="B1951" s="345">
        <v>9500</v>
      </c>
      <c r="C1951" s="345">
        <v>9700</v>
      </c>
      <c r="D1951" s="346">
        <f t="shared" si="122"/>
        <v>9600</v>
      </c>
      <c r="E1951" s="347"/>
      <c r="F1951" s="347"/>
      <c r="G1951" s="365"/>
      <c r="I1951" s="366"/>
    </row>
    <row r="1952" spans="1:9" ht="15" customHeight="1">
      <c r="A1952" s="374">
        <v>41830</v>
      </c>
      <c r="B1952" s="345">
        <v>9300</v>
      </c>
      <c r="C1952" s="345">
        <v>9500</v>
      </c>
      <c r="D1952" s="346">
        <f t="shared" si="122"/>
        <v>9400</v>
      </c>
      <c r="E1952" s="347"/>
      <c r="F1952" s="347"/>
      <c r="G1952" s="365"/>
      <c r="I1952" s="366"/>
    </row>
    <row r="1953" spans="1:9" ht="15" customHeight="1">
      <c r="A1953" s="374">
        <v>41831</v>
      </c>
      <c r="B1953" s="345">
        <v>9300</v>
      </c>
      <c r="C1953" s="345">
        <v>9500</v>
      </c>
      <c r="D1953" s="346">
        <f t="shared" si="122"/>
        <v>9400</v>
      </c>
      <c r="E1953" s="347"/>
      <c r="F1953" s="347"/>
      <c r="G1953" s="365"/>
      <c r="I1953" s="366"/>
    </row>
    <row r="1954" spans="1:9" ht="15" customHeight="1">
      <c r="A1954" s="374">
        <v>41834</v>
      </c>
      <c r="B1954" s="345">
        <v>9300</v>
      </c>
      <c r="C1954" s="345">
        <v>9500</v>
      </c>
      <c r="D1954" s="346">
        <f t="shared" si="122"/>
        <v>9400</v>
      </c>
      <c r="E1954" s="347"/>
      <c r="F1954" s="347"/>
      <c r="G1954" s="365"/>
      <c r="I1954" s="366"/>
    </row>
    <row r="1955" spans="1:9" ht="15" customHeight="1">
      <c r="A1955" s="374">
        <v>41835</v>
      </c>
      <c r="B1955" s="345">
        <v>9300</v>
      </c>
      <c r="C1955" s="345">
        <v>9500</v>
      </c>
      <c r="D1955" s="346">
        <f t="shared" si="122"/>
        <v>9400</v>
      </c>
      <c r="E1955" s="347"/>
      <c r="F1955" s="347"/>
      <c r="G1955" s="365"/>
      <c r="I1955" s="366"/>
    </row>
    <row r="1956" spans="1:9" ht="15" customHeight="1">
      <c r="A1956" s="374">
        <v>41836</v>
      </c>
      <c r="B1956" s="345">
        <v>9300</v>
      </c>
      <c r="C1956" s="345">
        <v>9500</v>
      </c>
      <c r="D1956" s="346">
        <f t="shared" si="122"/>
        <v>9400</v>
      </c>
      <c r="E1956" s="347"/>
      <c r="F1956" s="347"/>
      <c r="G1956" s="365"/>
      <c r="I1956" s="366"/>
    </row>
    <row r="1957" spans="1:9" ht="15" customHeight="1">
      <c r="A1957" s="374">
        <v>41837</v>
      </c>
      <c r="B1957" s="345">
        <v>9300</v>
      </c>
      <c r="C1957" s="345">
        <v>9500</v>
      </c>
      <c r="D1957" s="346">
        <f t="shared" si="122"/>
        <v>9400</v>
      </c>
      <c r="E1957" s="347"/>
      <c r="F1957" s="347"/>
      <c r="G1957" s="365"/>
      <c r="I1957" s="366"/>
    </row>
    <row r="1958" spans="1:9" ht="15" customHeight="1">
      <c r="A1958" s="374">
        <v>41838</v>
      </c>
      <c r="B1958" s="345">
        <v>9300</v>
      </c>
      <c r="C1958" s="345">
        <v>9500</v>
      </c>
      <c r="D1958" s="346">
        <f t="shared" ref="D1958" si="123">AVERAGE(B1958:C1958)</f>
        <v>9400</v>
      </c>
      <c r="E1958" s="347"/>
      <c r="F1958" s="347"/>
      <c r="G1958" s="365"/>
      <c r="I1958" s="366"/>
    </row>
    <row r="1959" spans="1:9" ht="15" customHeight="1">
      <c r="A1959" s="374">
        <v>41841</v>
      </c>
      <c r="B1959" s="345">
        <v>9300</v>
      </c>
      <c r="C1959" s="345">
        <v>9500</v>
      </c>
      <c r="D1959" s="346">
        <f t="shared" ref="D1959:D1983" si="124">AVERAGE(B1959:C1959)</f>
        <v>9400</v>
      </c>
      <c r="E1959" s="347"/>
      <c r="F1959" s="347"/>
      <c r="G1959" s="365"/>
      <c r="I1959" s="366"/>
    </row>
    <row r="1960" spans="1:9" ht="15" customHeight="1">
      <c r="A1960" s="374">
        <v>41842</v>
      </c>
      <c r="B1960" s="345">
        <v>9300</v>
      </c>
      <c r="C1960" s="345">
        <v>9500</v>
      </c>
      <c r="D1960" s="346">
        <f t="shared" si="124"/>
        <v>9400</v>
      </c>
      <c r="E1960" s="347"/>
      <c r="F1960" s="347"/>
      <c r="G1960" s="365"/>
      <c r="I1960" s="366"/>
    </row>
    <row r="1961" spans="1:9" ht="15" customHeight="1">
      <c r="A1961" s="374">
        <v>41843</v>
      </c>
      <c r="B1961" s="345">
        <v>9300</v>
      </c>
      <c r="C1961" s="345">
        <v>9500</v>
      </c>
      <c r="D1961" s="346">
        <f t="shared" si="124"/>
        <v>9400</v>
      </c>
      <c r="E1961" s="347"/>
      <c r="F1961" s="347"/>
      <c r="G1961" s="365"/>
      <c r="I1961" s="366"/>
    </row>
    <row r="1962" spans="1:9" ht="15" customHeight="1">
      <c r="A1962" s="374">
        <v>41844</v>
      </c>
      <c r="B1962" s="345">
        <v>9300</v>
      </c>
      <c r="C1962" s="345">
        <v>9500</v>
      </c>
      <c r="D1962" s="346">
        <f t="shared" si="124"/>
        <v>9400</v>
      </c>
      <c r="E1962" s="347"/>
      <c r="F1962" s="347"/>
      <c r="G1962" s="365"/>
      <c r="I1962" s="366"/>
    </row>
    <row r="1963" spans="1:9" ht="15" customHeight="1">
      <c r="A1963" s="374">
        <v>41845</v>
      </c>
      <c r="B1963" s="345">
        <v>9300</v>
      </c>
      <c r="C1963" s="345">
        <v>9500</v>
      </c>
      <c r="D1963" s="346">
        <f t="shared" si="124"/>
        <v>9400</v>
      </c>
      <c r="E1963" s="347"/>
      <c r="F1963" s="347"/>
      <c r="G1963" s="365"/>
      <c r="I1963" s="366"/>
    </row>
    <row r="1964" spans="1:9" ht="15" customHeight="1">
      <c r="A1964" s="374">
        <v>41848</v>
      </c>
      <c r="B1964" s="345">
        <v>9300</v>
      </c>
      <c r="C1964" s="345">
        <v>9500</v>
      </c>
      <c r="D1964" s="346">
        <f t="shared" si="124"/>
        <v>9400</v>
      </c>
      <c r="E1964" s="347"/>
      <c r="F1964" s="347"/>
      <c r="G1964" s="365"/>
      <c r="I1964" s="366"/>
    </row>
    <row r="1965" spans="1:9" ht="15" customHeight="1">
      <c r="A1965" s="374">
        <v>41849</v>
      </c>
      <c r="B1965" s="345">
        <v>9300</v>
      </c>
      <c r="C1965" s="345">
        <v>9500</v>
      </c>
      <c r="D1965" s="346">
        <f t="shared" si="124"/>
        <v>9400</v>
      </c>
      <c r="E1965" s="347"/>
      <c r="F1965" s="347"/>
      <c r="G1965" s="365"/>
      <c r="I1965" s="366"/>
    </row>
    <row r="1966" spans="1:9" ht="15" customHeight="1">
      <c r="A1966" s="374">
        <v>41850</v>
      </c>
      <c r="B1966" s="345">
        <v>9300</v>
      </c>
      <c r="C1966" s="345">
        <v>9500</v>
      </c>
      <c r="D1966" s="346">
        <f t="shared" si="124"/>
        <v>9400</v>
      </c>
      <c r="E1966" s="347"/>
      <c r="F1966" s="347"/>
      <c r="G1966" s="365"/>
      <c r="I1966" s="366"/>
    </row>
    <row r="1967" spans="1:9" ht="15" customHeight="1" thickBot="1">
      <c r="A1967" s="375">
        <v>41851</v>
      </c>
      <c r="B1967" s="341">
        <v>9300</v>
      </c>
      <c r="C1967" s="341">
        <v>9500</v>
      </c>
      <c r="D1967" s="342">
        <f t="shared" si="124"/>
        <v>9400</v>
      </c>
      <c r="E1967" s="360">
        <f>AVERAGE(D1945:D1967)</f>
        <v>9460.8695652173919</v>
      </c>
      <c r="F1967" s="360">
        <f>AVERAGE(D1817:D1967)</f>
        <v>9600.8707482993195</v>
      </c>
      <c r="G1967" s="344"/>
      <c r="H1967" s="354"/>
      <c r="I1967" s="358"/>
    </row>
    <row r="1968" spans="1:9" ht="15" customHeight="1">
      <c r="A1968" s="335">
        <v>41852</v>
      </c>
      <c r="B1968" s="336">
        <v>9300</v>
      </c>
      <c r="C1968" s="336">
        <v>9500</v>
      </c>
      <c r="D1968" s="337">
        <f t="shared" si="124"/>
        <v>9400</v>
      </c>
    </row>
    <row r="1969" spans="1:6" ht="15" customHeight="1">
      <c r="A1969" s="335">
        <v>41855</v>
      </c>
      <c r="B1969" s="336">
        <v>9300</v>
      </c>
      <c r="C1969" s="336">
        <v>9600</v>
      </c>
      <c r="D1969" s="337">
        <f t="shared" si="124"/>
        <v>9450</v>
      </c>
    </row>
    <row r="1970" spans="1:6" ht="15" customHeight="1">
      <c r="A1970" s="335">
        <v>41856</v>
      </c>
      <c r="B1970" s="336">
        <v>9300</v>
      </c>
      <c r="C1970" s="336">
        <v>9600</v>
      </c>
      <c r="D1970" s="337">
        <f t="shared" si="124"/>
        <v>9450</v>
      </c>
    </row>
    <row r="1971" spans="1:6" ht="15" customHeight="1">
      <c r="A1971" s="335">
        <v>41857</v>
      </c>
      <c r="B1971" s="336">
        <v>9300</v>
      </c>
      <c r="C1971" s="336">
        <v>9600</v>
      </c>
      <c r="D1971" s="337">
        <f t="shared" si="124"/>
        <v>9450</v>
      </c>
    </row>
    <row r="1972" spans="1:6" ht="15" customHeight="1">
      <c r="A1972" s="335">
        <v>41858</v>
      </c>
      <c r="B1972" s="336">
        <v>9300</v>
      </c>
      <c r="C1972" s="336">
        <v>9600</v>
      </c>
      <c r="D1972" s="337">
        <f t="shared" si="124"/>
        <v>9450</v>
      </c>
    </row>
    <row r="1973" spans="1:6" ht="15" customHeight="1">
      <c r="A1973" s="335">
        <v>41859</v>
      </c>
      <c r="B1973" s="336">
        <v>9300</v>
      </c>
      <c r="C1973" s="336">
        <v>9600</v>
      </c>
      <c r="D1973" s="337">
        <f t="shared" si="124"/>
        <v>9450</v>
      </c>
    </row>
    <row r="1974" spans="1:6" ht="15" customHeight="1">
      <c r="A1974" s="335">
        <v>41862</v>
      </c>
      <c r="B1974" s="336">
        <v>9300</v>
      </c>
      <c r="C1974" s="336">
        <v>9600</v>
      </c>
      <c r="D1974" s="337">
        <f t="shared" si="124"/>
        <v>9450</v>
      </c>
    </row>
    <row r="1975" spans="1:6" ht="15" customHeight="1">
      <c r="A1975" s="335">
        <v>41863</v>
      </c>
      <c r="B1975" s="336">
        <v>9300</v>
      </c>
      <c r="C1975" s="336">
        <v>9600</v>
      </c>
      <c r="D1975" s="337">
        <f t="shared" si="124"/>
        <v>9450</v>
      </c>
    </row>
    <row r="1976" spans="1:6" ht="15" customHeight="1">
      <c r="A1976" s="335">
        <v>41864</v>
      </c>
      <c r="B1976" s="336">
        <v>9300</v>
      </c>
      <c r="C1976" s="336">
        <v>9600</v>
      </c>
      <c r="D1976" s="337">
        <f t="shared" si="124"/>
        <v>9450</v>
      </c>
    </row>
    <row r="1977" spans="1:6" ht="15" customHeight="1">
      <c r="A1977" s="335">
        <v>41865</v>
      </c>
      <c r="B1977" s="336">
        <v>9300</v>
      </c>
      <c r="C1977" s="336">
        <v>9600</v>
      </c>
      <c r="D1977" s="337">
        <f t="shared" si="124"/>
        <v>9450</v>
      </c>
    </row>
    <row r="1978" spans="1:6" ht="15" customHeight="1">
      <c r="A1978" s="335">
        <v>41866</v>
      </c>
      <c r="B1978" s="336">
        <v>9300</v>
      </c>
      <c r="C1978" s="336">
        <v>9600</v>
      </c>
      <c r="D1978" s="337">
        <f t="shared" si="124"/>
        <v>9450</v>
      </c>
    </row>
    <row r="1979" spans="1:6" ht="15" customHeight="1">
      <c r="A1979" s="335">
        <v>41869</v>
      </c>
      <c r="B1979" s="336">
        <v>9300</v>
      </c>
      <c r="C1979" s="336">
        <v>9600</v>
      </c>
      <c r="D1979" s="337">
        <f t="shared" si="124"/>
        <v>9450</v>
      </c>
    </row>
    <row r="1980" spans="1:6" ht="15" customHeight="1">
      <c r="A1980" s="335">
        <v>41870</v>
      </c>
      <c r="B1980" s="336">
        <v>9300</v>
      </c>
      <c r="C1980" s="336">
        <v>9600</v>
      </c>
      <c r="D1980" s="337">
        <f t="shared" si="124"/>
        <v>9450</v>
      </c>
    </row>
    <row r="1981" spans="1:6" ht="15" customHeight="1">
      <c r="A1981" s="335">
        <v>41871</v>
      </c>
      <c r="B1981" s="336">
        <v>9300</v>
      </c>
      <c r="C1981" s="336">
        <v>9600</v>
      </c>
      <c r="D1981" s="337">
        <f t="shared" si="124"/>
        <v>9450</v>
      </c>
    </row>
    <row r="1982" spans="1:6" ht="15" customHeight="1">
      <c r="A1982" s="335">
        <v>41872</v>
      </c>
      <c r="B1982" s="336">
        <v>9300</v>
      </c>
      <c r="C1982" s="336">
        <v>9600</v>
      </c>
      <c r="D1982" s="337">
        <f t="shared" si="124"/>
        <v>9450</v>
      </c>
    </row>
    <row r="1983" spans="1:6" ht="15" customHeight="1">
      <c r="A1983" s="335">
        <v>41873</v>
      </c>
      <c r="B1983" s="336">
        <v>9300</v>
      </c>
      <c r="C1983" s="336">
        <v>9600</v>
      </c>
      <c r="D1983" s="337">
        <f t="shared" si="124"/>
        <v>9450</v>
      </c>
    </row>
    <row r="1984" spans="1:6" ht="15" customHeight="1">
      <c r="A1984" s="335">
        <v>41876</v>
      </c>
      <c r="B1984" s="1416" t="s">
        <v>88</v>
      </c>
      <c r="C1984" s="1416"/>
      <c r="D1984" s="1416"/>
      <c r="E1984" s="347"/>
      <c r="F1984" s="347"/>
    </row>
    <row r="1985" spans="1:9" ht="15" customHeight="1">
      <c r="A1985" s="335">
        <v>41877</v>
      </c>
      <c r="B1985" s="336">
        <v>9300</v>
      </c>
      <c r="C1985" s="336">
        <v>9500</v>
      </c>
      <c r="D1985" s="337">
        <f t="shared" ref="D1985:D2018" si="125">AVERAGE(B1985:C1985)</f>
        <v>9400</v>
      </c>
    </row>
    <row r="1986" spans="1:9" ht="15" customHeight="1">
      <c r="A1986" s="335">
        <v>41878</v>
      </c>
      <c r="B1986" s="336">
        <v>9300</v>
      </c>
      <c r="C1986" s="336">
        <v>9500</v>
      </c>
      <c r="D1986" s="337">
        <f t="shared" si="125"/>
        <v>9400</v>
      </c>
    </row>
    <row r="1987" spans="1:9" ht="15" customHeight="1">
      <c r="A1987" s="335">
        <v>41879</v>
      </c>
      <c r="B1987" s="336">
        <v>9300</v>
      </c>
      <c r="C1987" s="336">
        <v>9500</v>
      </c>
      <c r="D1987" s="337">
        <f t="shared" si="125"/>
        <v>9400</v>
      </c>
    </row>
    <row r="1988" spans="1:9" ht="15" customHeight="1" thickBot="1">
      <c r="A1988" s="340">
        <v>41880</v>
      </c>
      <c r="B1988" s="341">
        <v>9300</v>
      </c>
      <c r="C1988" s="341">
        <v>9500</v>
      </c>
      <c r="D1988" s="342">
        <f t="shared" si="125"/>
        <v>9400</v>
      </c>
      <c r="E1988" s="376">
        <f>AVERAGE(D1968:D1988)</f>
        <v>9437.5</v>
      </c>
      <c r="F1988" s="360">
        <f>AVERAGE(D1817:D1988)</f>
        <v>9581.3053892215576</v>
      </c>
      <c r="G1988" s="344"/>
      <c r="H1988" s="354"/>
      <c r="I1988" s="358"/>
    </row>
    <row r="1989" spans="1:9" ht="15" customHeight="1">
      <c r="A1989" s="335">
        <v>41883</v>
      </c>
      <c r="B1989" s="336">
        <v>9300</v>
      </c>
      <c r="C1989" s="336">
        <v>9600</v>
      </c>
      <c r="D1989" s="337">
        <f t="shared" si="125"/>
        <v>9450</v>
      </c>
      <c r="E1989" s="364"/>
    </row>
    <row r="1990" spans="1:9" ht="15" customHeight="1">
      <c r="A1990" s="335">
        <v>41884</v>
      </c>
      <c r="B1990" s="336">
        <v>9300</v>
      </c>
      <c r="C1990" s="336">
        <v>9600</v>
      </c>
      <c r="D1990" s="337">
        <f t="shared" si="125"/>
        <v>9450</v>
      </c>
    </row>
    <row r="1991" spans="1:9" ht="15" customHeight="1">
      <c r="A1991" s="335">
        <v>41885</v>
      </c>
      <c r="B1991" s="336">
        <v>9300</v>
      </c>
      <c r="C1991" s="336">
        <v>9600</v>
      </c>
      <c r="D1991" s="337">
        <f t="shared" si="125"/>
        <v>9450</v>
      </c>
    </row>
    <row r="1992" spans="1:9" ht="15" customHeight="1">
      <c r="A1992" s="335">
        <v>41886</v>
      </c>
      <c r="B1992" s="336">
        <v>9300</v>
      </c>
      <c r="C1992" s="336">
        <v>9600</v>
      </c>
      <c r="D1992" s="337">
        <f t="shared" si="125"/>
        <v>9450</v>
      </c>
    </row>
    <row r="1993" spans="1:9" ht="15" customHeight="1">
      <c r="A1993" s="335">
        <v>41887</v>
      </c>
      <c r="B1993" s="336">
        <v>9300</v>
      </c>
      <c r="C1993" s="336">
        <v>9600</v>
      </c>
      <c r="D1993" s="337">
        <f t="shared" si="125"/>
        <v>9450</v>
      </c>
    </row>
    <row r="1994" spans="1:9" ht="15" customHeight="1">
      <c r="A1994" s="335">
        <v>41890</v>
      </c>
      <c r="B1994" s="336">
        <v>9300</v>
      </c>
      <c r="C1994" s="336">
        <v>9600</v>
      </c>
      <c r="D1994" s="337">
        <f t="shared" si="125"/>
        <v>9450</v>
      </c>
    </row>
    <row r="1995" spans="1:9" ht="15" customHeight="1">
      <c r="A1995" s="335">
        <v>41891</v>
      </c>
      <c r="B1995" s="336">
        <v>9400</v>
      </c>
      <c r="C1995" s="336">
        <v>9600</v>
      </c>
      <c r="D1995" s="337">
        <f t="shared" si="125"/>
        <v>9500</v>
      </c>
    </row>
    <row r="1996" spans="1:9" ht="15" customHeight="1">
      <c r="A1996" s="335">
        <v>41892</v>
      </c>
      <c r="B1996" s="336">
        <v>9400</v>
      </c>
      <c r="C1996" s="336">
        <v>9600</v>
      </c>
      <c r="D1996" s="337">
        <f t="shared" si="125"/>
        <v>9500</v>
      </c>
    </row>
    <row r="1997" spans="1:9" ht="15" customHeight="1">
      <c r="A1997" s="335">
        <v>41893</v>
      </c>
      <c r="B1997" s="336">
        <v>9400</v>
      </c>
      <c r="C1997" s="336">
        <v>9600</v>
      </c>
      <c r="D1997" s="337">
        <f t="shared" si="125"/>
        <v>9500</v>
      </c>
    </row>
    <row r="1998" spans="1:9" ht="15" customHeight="1">
      <c r="A1998" s="335">
        <v>41894</v>
      </c>
      <c r="B1998" s="336">
        <v>9400</v>
      </c>
      <c r="C1998" s="336">
        <v>9600</v>
      </c>
      <c r="D1998" s="337">
        <f t="shared" si="125"/>
        <v>9500</v>
      </c>
    </row>
    <row r="1999" spans="1:9" ht="15" customHeight="1">
      <c r="A1999" s="335">
        <v>41897</v>
      </c>
      <c r="B1999" s="336">
        <v>9400</v>
      </c>
      <c r="C1999" s="336">
        <v>9600</v>
      </c>
      <c r="D1999" s="337">
        <f t="shared" si="125"/>
        <v>9500</v>
      </c>
    </row>
    <row r="2000" spans="1:9" ht="15" customHeight="1">
      <c r="A2000" s="335">
        <v>41898</v>
      </c>
      <c r="B2000" s="336">
        <v>9400</v>
      </c>
      <c r="C2000" s="336">
        <v>9600</v>
      </c>
      <c r="D2000" s="337">
        <f t="shared" si="125"/>
        <v>9500</v>
      </c>
    </row>
    <row r="2001" spans="1:9" ht="15" customHeight="1">
      <c r="A2001" s="335">
        <v>41899</v>
      </c>
      <c r="B2001" s="336">
        <v>9400</v>
      </c>
      <c r="C2001" s="336">
        <v>9600</v>
      </c>
      <c r="D2001" s="337">
        <f t="shared" si="125"/>
        <v>9500</v>
      </c>
    </row>
    <row r="2002" spans="1:9" ht="15" customHeight="1">
      <c r="A2002" s="335">
        <v>41900</v>
      </c>
      <c r="B2002" s="336">
        <v>9400</v>
      </c>
      <c r="C2002" s="336">
        <v>9600</v>
      </c>
      <c r="D2002" s="337">
        <f t="shared" si="125"/>
        <v>9500</v>
      </c>
    </row>
    <row r="2003" spans="1:9" ht="15" customHeight="1">
      <c r="A2003" s="335">
        <v>41901</v>
      </c>
      <c r="B2003" s="336">
        <v>9400</v>
      </c>
      <c r="C2003" s="336">
        <v>9600</v>
      </c>
      <c r="D2003" s="337">
        <f t="shared" si="125"/>
        <v>9500</v>
      </c>
    </row>
    <row r="2004" spans="1:9" ht="15" customHeight="1">
      <c r="A2004" s="335">
        <v>41904</v>
      </c>
      <c r="B2004" s="336">
        <v>9300</v>
      </c>
      <c r="C2004" s="336">
        <v>9500</v>
      </c>
      <c r="D2004" s="337">
        <f t="shared" si="125"/>
        <v>9400</v>
      </c>
    </row>
    <row r="2005" spans="1:9" ht="15" customHeight="1">
      <c r="A2005" s="335">
        <v>41905</v>
      </c>
      <c r="B2005" s="336">
        <v>9300</v>
      </c>
      <c r="C2005" s="336">
        <v>9500</v>
      </c>
      <c r="D2005" s="337">
        <f t="shared" si="125"/>
        <v>9400</v>
      </c>
    </row>
    <row r="2006" spans="1:9" ht="15" customHeight="1">
      <c r="A2006" s="335">
        <v>41906</v>
      </c>
      <c r="B2006" s="336">
        <v>9300</v>
      </c>
      <c r="C2006" s="336">
        <v>9500</v>
      </c>
      <c r="D2006" s="337">
        <f t="shared" si="125"/>
        <v>9400</v>
      </c>
    </row>
    <row r="2007" spans="1:9" ht="15" customHeight="1">
      <c r="A2007" s="335">
        <v>41907</v>
      </c>
      <c r="B2007" s="336">
        <v>9300</v>
      </c>
      <c r="C2007" s="336">
        <v>9500</v>
      </c>
      <c r="D2007" s="337">
        <f t="shared" si="125"/>
        <v>9400</v>
      </c>
    </row>
    <row r="2008" spans="1:9" ht="15" customHeight="1">
      <c r="A2008" s="335">
        <v>41908</v>
      </c>
      <c r="B2008" s="336">
        <v>9300</v>
      </c>
      <c r="C2008" s="336">
        <v>9500</v>
      </c>
      <c r="D2008" s="337">
        <f t="shared" si="125"/>
        <v>9400</v>
      </c>
    </row>
    <row r="2009" spans="1:9" ht="15" customHeight="1">
      <c r="A2009" s="335">
        <v>41911</v>
      </c>
      <c r="B2009" s="336">
        <v>9300</v>
      </c>
      <c r="C2009" s="336">
        <v>9500</v>
      </c>
      <c r="D2009" s="337">
        <f t="shared" si="125"/>
        <v>9400</v>
      </c>
    </row>
    <row r="2010" spans="1:9" ht="15" customHeight="1" thickBot="1">
      <c r="A2010" s="340">
        <v>41912</v>
      </c>
      <c r="B2010" s="341">
        <v>9300</v>
      </c>
      <c r="C2010" s="341">
        <v>9500</v>
      </c>
      <c r="D2010" s="342">
        <f t="shared" si="125"/>
        <v>9400</v>
      </c>
      <c r="E2010" s="360">
        <f>AVERAGE(D1989:D2010)</f>
        <v>9454.545454545454</v>
      </c>
      <c r="F2010" s="360">
        <f>AVERAGE(D1817:D2010)</f>
        <v>9566.5502645502638</v>
      </c>
      <c r="G2010" s="344"/>
      <c r="H2010" s="354"/>
      <c r="I2010" s="358"/>
    </row>
    <row r="2011" spans="1:9" ht="15" customHeight="1">
      <c r="A2011" s="335">
        <v>41913</v>
      </c>
      <c r="B2011" s="336">
        <v>9300</v>
      </c>
      <c r="C2011" s="336">
        <v>9500</v>
      </c>
      <c r="D2011" s="337">
        <f t="shared" si="125"/>
        <v>9400</v>
      </c>
    </row>
    <row r="2012" spans="1:9" ht="15" customHeight="1">
      <c r="A2012" s="335">
        <v>41914</v>
      </c>
      <c r="B2012" s="336">
        <v>9300</v>
      </c>
      <c r="C2012" s="336">
        <v>9500</v>
      </c>
      <c r="D2012" s="337">
        <f t="shared" si="125"/>
        <v>9400</v>
      </c>
      <c r="E2012" s="347"/>
      <c r="F2012" s="347"/>
    </row>
    <row r="2013" spans="1:9" ht="15" customHeight="1">
      <c r="A2013" s="335">
        <v>41915</v>
      </c>
      <c r="B2013" s="336">
        <v>9300</v>
      </c>
      <c r="C2013" s="336">
        <v>9500</v>
      </c>
      <c r="D2013" s="337">
        <f t="shared" si="125"/>
        <v>9400</v>
      </c>
    </row>
    <row r="2014" spans="1:9" ht="15" customHeight="1">
      <c r="A2014" s="335">
        <v>41918</v>
      </c>
      <c r="B2014" s="336">
        <v>9300</v>
      </c>
      <c r="C2014" s="336">
        <v>9400</v>
      </c>
      <c r="D2014" s="337">
        <f t="shared" si="125"/>
        <v>9350</v>
      </c>
    </row>
    <row r="2015" spans="1:9" ht="15" customHeight="1">
      <c r="A2015" s="335">
        <v>41919</v>
      </c>
      <c r="B2015" s="336">
        <v>9300</v>
      </c>
      <c r="C2015" s="336">
        <v>9400</v>
      </c>
      <c r="D2015" s="337">
        <f t="shared" si="125"/>
        <v>9350</v>
      </c>
    </row>
    <row r="2016" spans="1:9" ht="15" customHeight="1">
      <c r="A2016" s="335">
        <v>41920</v>
      </c>
      <c r="B2016" s="336">
        <v>9300</v>
      </c>
      <c r="C2016" s="336">
        <v>9400</v>
      </c>
      <c r="D2016" s="337">
        <f t="shared" si="125"/>
        <v>9350</v>
      </c>
    </row>
    <row r="2017" spans="1:4" ht="15" customHeight="1">
      <c r="A2017" s="335">
        <v>41921</v>
      </c>
      <c r="B2017" s="336">
        <v>9300</v>
      </c>
      <c r="C2017" s="336">
        <v>9400</v>
      </c>
      <c r="D2017" s="337">
        <f t="shared" si="125"/>
        <v>9350</v>
      </c>
    </row>
    <row r="2018" spans="1:4" ht="15" customHeight="1">
      <c r="A2018" s="335">
        <v>41922</v>
      </c>
      <c r="B2018" s="336">
        <v>9300</v>
      </c>
      <c r="C2018" s="336">
        <v>9400</v>
      </c>
      <c r="D2018" s="337">
        <f t="shared" si="125"/>
        <v>9350</v>
      </c>
    </row>
    <row r="2019" spans="1:4" ht="15" customHeight="1">
      <c r="A2019" s="335">
        <v>41925</v>
      </c>
      <c r="B2019" s="336">
        <v>9300</v>
      </c>
      <c r="C2019" s="336">
        <v>9400</v>
      </c>
      <c r="D2019" s="337">
        <f t="shared" ref="D2019:D2047" si="126">AVERAGE(B2019:C2019)</f>
        <v>9350</v>
      </c>
    </row>
    <row r="2020" spans="1:4" ht="15" customHeight="1">
      <c r="A2020" s="335">
        <v>41926</v>
      </c>
      <c r="B2020" s="336">
        <v>9300</v>
      </c>
      <c r="C2020" s="336">
        <v>9500</v>
      </c>
      <c r="D2020" s="337">
        <f t="shared" si="126"/>
        <v>9400</v>
      </c>
    </row>
    <row r="2021" spans="1:4" ht="15" customHeight="1">
      <c r="A2021" s="335">
        <v>41927</v>
      </c>
      <c r="B2021" s="336">
        <v>9300</v>
      </c>
      <c r="C2021" s="336">
        <v>9500</v>
      </c>
      <c r="D2021" s="337">
        <f t="shared" si="126"/>
        <v>9400</v>
      </c>
    </row>
    <row r="2022" spans="1:4" ht="15" customHeight="1">
      <c r="A2022" s="335">
        <v>41928</v>
      </c>
      <c r="B2022" s="336">
        <v>9300</v>
      </c>
      <c r="C2022" s="336">
        <v>9500</v>
      </c>
      <c r="D2022" s="337">
        <f t="shared" si="126"/>
        <v>9400</v>
      </c>
    </row>
    <row r="2023" spans="1:4" ht="15" customHeight="1">
      <c r="A2023" s="335">
        <v>41929</v>
      </c>
      <c r="B2023" s="336">
        <v>9300</v>
      </c>
      <c r="C2023" s="336">
        <v>9500</v>
      </c>
      <c r="D2023" s="337">
        <f t="shared" si="126"/>
        <v>9400</v>
      </c>
    </row>
    <row r="2024" spans="1:4" ht="15" customHeight="1">
      <c r="A2024" s="335">
        <v>41932</v>
      </c>
      <c r="B2024" s="336">
        <v>9300</v>
      </c>
      <c r="C2024" s="336">
        <v>9500</v>
      </c>
      <c r="D2024" s="337">
        <f t="shared" si="126"/>
        <v>9400</v>
      </c>
    </row>
    <row r="2025" spans="1:4" ht="15" customHeight="1">
      <c r="A2025" s="335">
        <v>41933</v>
      </c>
      <c r="B2025" s="336">
        <v>9300</v>
      </c>
      <c r="C2025" s="336">
        <v>9500</v>
      </c>
      <c r="D2025" s="337">
        <f t="shared" si="126"/>
        <v>9400</v>
      </c>
    </row>
    <row r="2026" spans="1:4" ht="15" customHeight="1">
      <c r="A2026" s="335">
        <v>41934</v>
      </c>
      <c r="B2026" s="336">
        <v>9300</v>
      </c>
      <c r="C2026" s="336">
        <v>9500</v>
      </c>
      <c r="D2026" s="337">
        <f t="shared" si="126"/>
        <v>9400</v>
      </c>
    </row>
    <row r="2027" spans="1:4" ht="15" customHeight="1">
      <c r="A2027" s="335">
        <v>41935</v>
      </c>
      <c r="B2027" s="336">
        <v>9300</v>
      </c>
      <c r="C2027" s="336">
        <v>9500</v>
      </c>
      <c r="D2027" s="337">
        <f t="shared" si="126"/>
        <v>9400</v>
      </c>
    </row>
    <row r="2028" spans="1:4" ht="15" customHeight="1">
      <c r="A2028" s="335">
        <v>41936</v>
      </c>
      <c r="B2028" s="336">
        <v>9300</v>
      </c>
      <c r="C2028" s="336">
        <v>9500</v>
      </c>
      <c r="D2028" s="337">
        <f t="shared" si="126"/>
        <v>9400</v>
      </c>
    </row>
    <row r="2029" spans="1:4" ht="15" customHeight="1">
      <c r="A2029" s="335">
        <v>41939</v>
      </c>
      <c r="B2029" s="336">
        <v>9300</v>
      </c>
      <c r="C2029" s="336">
        <v>9500</v>
      </c>
      <c r="D2029" s="337">
        <f t="shared" si="126"/>
        <v>9400</v>
      </c>
    </row>
    <row r="2030" spans="1:4" ht="15" customHeight="1">
      <c r="A2030" s="335">
        <v>41940</v>
      </c>
      <c r="B2030" s="336">
        <v>9300</v>
      </c>
      <c r="C2030" s="336">
        <v>9500</v>
      </c>
      <c r="D2030" s="337">
        <f t="shared" si="126"/>
        <v>9400</v>
      </c>
    </row>
    <row r="2031" spans="1:4" ht="15" customHeight="1">
      <c r="A2031" s="335">
        <v>41941</v>
      </c>
      <c r="B2031" s="336">
        <v>9300</v>
      </c>
      <c r="C2031" s="336">
        <v>9500</v>
      </c>
      <c r="D2031" s="337">
        <f t="shared" si="126"/>
        <v>9400</v>
      </c>
    </row>
    <row r="2032" spans="1:4" ht="15" customHeight="1">
      <c r="A2032" s="335">
        <v>41942</v>
      </c>
      <c r="B2032" s="336">
        <v>9300</v>
      </c>
      <c r="C2032" s="336">
        <v>9500</v>
      </c>
      <c r="D2032" s="337">
        <f t="shared" si="126"/>
        <v>9400</v>
      </c>
    </row>
    <row r="2033" spans="1:9" ht="15" customHeight="1" thickBot="1">
      <c r="A2033" s="340">
        <v>41943</v>
      </c>
      <c r="B2033" s="341">
        <v>9300</v>
      </c>
      <c r="C2033" s="341">
        <v>9500</v>
      </c>
      <c r="D2033" s="342">
        <f t="shared" si="126"/>
        <v>9400</v>
      </c>
      <c r="E2033" s="360">
        <f>AVERAGE(D2011:D2033)</f>
        <v>9386.95652173913</v>
      </c>
      <c r="F2033" s="360">
        <f>AVERAGE(D1817:D2033)</f>
        <v>9547.066037735849</v>
      </c>
      <c r="G2033" s="344"/>
      <c r="H2033" s="354"/>
      <c r="I2033" s="358"/>
    </row>
    <row r="2034" spans="1:9" ht="15" customHeight="1">
      <c r="A2034" s="335">
        <v>41946</v>
      </c>
      <c r="B2034" s="336">
        <v>8900</v>
      </c>
      <c r="C2034" s="336">
        <v>9200</v>
      </c>
      <c r="D2034" s="337">
        <f t="shared" si="126"/>
        <v>9050</v>
      </c>
    </row>
    <row r="2035" spans="1:9" ht="15" customHeight="1">
      <c r="A2035" s="335">
        <v>41947</v>
      </c>
      <c r="B2035" s="336">
        <v>8900</v>
      </c>
      <c r="C2035" s="336">
        <v>9200</v>
      </c>
      <c r="D2035" s="337">
        <f t="shared" si="126"/>
        <v>9050</v>
      </c>
    </row>
    <row r="2036" spans="1:9" ht="15" customHeight="1">
      <c r="A2036" s="335">
        <v>41948</v>
      </c>
      <c r="B2036" s="336">
        <v>8900</v>
      </c>
      <c r="C2036" s="336">
        <v>9200</v>
      </c>
      <c r="D2036" s="337">
        <f t="shared" si="126"/>
        <v>9050</v>
      </c>
    </row>
    <row r="2037" spans="1:9" ht="15" customHeight="1">
      <c r="A2037" s="335">
        <v>41949</v>
      </c>
      <c r="B2037" s="336">
        <v>8900</v>
      </c>
      <c r="C2037" s="336">
        <v>9200</v>
      </c>
      <c r="D2037" s="337">
        <f t="shared" si="126"/>
        <v>9050</v>
      </c>
    </row>
    <row r="2038" spans="1:9" ht="15" customHeight="1">
      <c r="A2038" s="335">
        <v>41950</v>
      </c>
      <c r="B2038" s="336">
        <v>8900</v>
      </c>
      <c r="C2038" s="336">
        <v>9200</v>
      </c>
      <c r="D2038" s="337">
        <f t="shared" si="126"/>
        <v>9050</v>
      </c>
    </row>
    <row r="2039" spans="1:9" ht="15" customHeight="1">
      <c r="A2039" s="335">
        <v>41953</v>
      </c>
      <c r="B2039" s="336">
        <v>8900</v>
      </c>
      <c r="C2039" s="336">
        <v>9200</v>
      </c>
      <c r="D2039" s="337">
        <f t="shared" si="126"/>
        <v>9050</v>
      </c>
    </row>
    <row r="2040" spans="1:9" ht="15" customHeight="1">
      <c r="A2040" s="335">
        <v>41954</v>
      </c>
      <c r="B2040" s="336">
        <v>8900</v>
      </c>
      <c r="C2040" s="336">
        <v>9200</v>
      </c>
      <c r="D2040" s="337">
        <f t="shared" si="126"/>
        <v>9050</v>
      </c>
    </row>
    <row r="2041" spans="1:9" ht="15" customHeight="1">
      <c r="A2041" s="335">
        <v>41955</v>
      </c>
      <c r="B2041" s="336">
        <v>8900</v>
      </c>
      <c r="C2041" s="336">
        <v>9200</v>
      </c>
      <c r="D2041" s="337">
        <f t="shared" si="126"/>
        <v>9050</v>
      </c>
    </row>
    <row r="2042" spans="1:9" ht="15" customHeight="1">
      <c r="A2042" s="335">
        <v>41956</v>
      </c>
      <c r="B2042" s="336">
        <v>8900</v>
      </c>
      <c r="C2042" s="336">
        <v>9200</v>
      </c>
      <c r="D2042" s="337">
        <f t="shared" si="126"/>
        <v>9050</v>
      </c>
    </row>
    <row r="2043" spans="1:9" ht="15" customHeight="1">
      <c r="A2043" s="335">
        <v>41957</v>
      </c>
      <c r="B2043" s="336">
        <v>8900</v>
      </c>
      <c r="C2043" s="336">
        <v>9200</v>
      </c>
      <c r="D2043" s="337">
        <f t="shared" si="126"/>
        <v>9050</v>
      </c>
    </row>
    <row r="2044" spans="1:9" ht="15" customHeight="1">
      <c r="A2044" s="335">
        <v>41960</v>
      </c>
      <c r="B2044" s="336">
        <v>8900</v>
      </c>
      <c r="C2044" s="336">
        <v>9200</v>
      </c>
      <c r="D2044" s="337">
        <f t="shared" si="126"/>
        <v>9050</v>
      </c>
    </row>
    <row r="2045" spans="1:9" ht="15" customHeight="1">
      <c r="A2045" s="335">
        <v>41961</v>
      </c>
      <c r="B2045" s="336">
        <v>8900</v>
      </c>
      <c r="C2045" s="336">
        <v>9200</v>
      </c>
      <c r="D2045" s="337">
        <f t="shared" si="126"/>
        <v>9050</v>
      </c>
    </row>
    <row r="2046" spans="1:9" ht="15" customHeight="1">
      <c r="A2046" s="335">
        <v>41962</v>
      </c>
      <c r="B2046" s="336">
        <v>8900</v>
      </c>
      <c r="C2046" s="336">
        <v>9200</v>
      </c>
      <c r="D2046" s="337">
        <f t="shared" si="126"/>
        <v>9050</v>
      </c>
    </row>
    <row r="2047" spans="1:9" ht="15" customHeight="1">
      <c r="A2047" s="335">
        <v>41963</v>
      </c>
      <c r="B2047" s="336">
        <v>8900</v>
      </c>
      <c r="C2047" s="336">
        <v>9200</v>
      </c>
      <c r="D2047" s="337">
        <f t="shared" si="126"/>
        <v>9050</v>
      </c>
    </row>
    <row r="2048" spans="1:9" ht="15" customHeight="1">
      <c r="A2048" s="335">
        <v>41964</v>
      </c>
      <c r="B2048" s="336">
        <v>8900</v>
      </c>
      <c r="C2048" s="336">
        <v>9200</v>
      </c>
      <c r="D2048" s="337">
        <f t="shared" ref="D2048" si="127">AVERAGE(B2048:C2048)</f>
        <v>9050</v>
      </c>
    </row>
    <row r="2049" spans="1:9" ht="15" customHeight="1">
      <c r="A2049" s="335">
        <v>41967</v>
      </c>
      <c r="B2049" s="336">
        <v>8900</v>
      </c>
      <c r="C2049" s="336">
        <v>9200</v>
      </c>
      <c r="D2049" s="337">
        <f t="shared" ref="D2049" si="128">AVERAGE(B2049:C2049)</f>
        <v>9050</v>
      </c>
    </row>
    <row r="2050" spans="1:9" ht="15" customHeight="1">
      <c r="A2050" s="335">
        <v>41968</v>
      </c>
      <c r="B2050" s="336">
        <v>8900</v>
      </c>
      <c r="C2050" s="336">
        <v>9200</v>
      </c>
      <c r="D2050" s="337">
        <f t="shared" ref="D2050:D2071" si="129">AVERAGE(B2050:C2050)</f>
        <v>9050</v>
      </c>
    </row>
    <row r="2051" spans="1:9" ht="15" customHeight="1">
      <c r="A2051" s="335">
        <v>41969</v>
      </c>
      <c r="B2051" s="336">
        <v>8900</v>
      </c>
      <c r="C2051" s="336">
        <v>9200</v>
      </c>
      <c r="D2051" s="337">
        <f t="shared" si="129"/>
        <v>9050</v>
      </c>
    </row>
    <row r="2052" spans="1:9" ht="15" customHeight="1">
      <c r="A2052" s="335">
        <v>41970</v>
      </c>
      <c r="B2052" s="336">
        <v>8900</v>
      </c>
      <c r="C2052" s="336">
        <v>9200</v>
      </c>
      <c r="D2052" s="337">
        <f t="shared" si="129"/>
        <v>9050</v>
      </c>
    </row>
    <row r="2053" spans="1:9" ht="15" customHeight="1" thickBot="1">
      <c r="A2053" s="340">
        <v>41971</v>
      </c>
      <c r="B2053" s="341">
        <v>8900</v>
      </c>
      <c r="C2053" s="341">
        <v>9200</v>
      </c>
      <c r="D2053" s="342">
        <f t="shared" si="129"/>
        <v>9050</v>
      </c>
      <c r="E2053" s="360">
        <f>AVERAGE(D2034:D2053)</f>
        <v>9050</v>
      </c>
      <c r="F2053" s="360">
        <f>AVERAGE(D1817:D2053)</f>
        <v>9504.2155172413786</v>
      </c>
      <c r="G2053" s="344"/>
      <c r="H2053" s="354"/>
      <c r="I2053" s="358"/>
    </row>
    <row r="2054" spans="1:9" ht="15" customHeight="1">
      <c r="A2054" s="335">
        <v>41974</v>
      </c>
      <c r="B2054" s="336">
        <v>8900</v>
      </c>
      <c r="C2054" s="336">
        <v>9200</v>
      </c>
      <c r="D2054" s="337">
        <f t="shared" si="129"/>
        <v>9050</v>
      </c>
    </row>
    <row r="2055" spans="1:9" ht="15" customHeight="1">
      <c r="A2055" s="335">
        <v>41975</v>
      </c>
      <c r="B2055" s="336">
        <v>8900</v>
      </c>
      <c r="C2055" s="336">
        <v>9200</v>
      </c>
      <c r="D2055" s="337">
        <f t="shared" si="129"/>
        <v>9050</v>
      </c>
    </row>
    <row r="2056" spans="1:9" ht="15" customHeight="1">
      <c r="A2056" s="335">
        <v>41976</v>
      </c>
      <c r="B2056" s="336">
        <v>8900</v>
      </c>
      <c r="C2056" s="336">
        <v>9200</v>
      </c>
      <c r="D2056" s="337">
        <f t="shared" si="129"/>
        <v>9050</v>
      </c>
    </row>
    <row r="2057" spans="1:9" ht="15" customHeight="1">
      <c r="A2057" s="335">
        <v>41977</v>
      </c>
      <c r="B2057" s="336">
        <v>8900</v>
      </c>
      <c r="C2057" s="336">
        <v>9200</v>
      </c>
      <c r="D2057" s="337">
        <f t="shared" si="129"/>
        <v>9050</v>
      </c>
    </row>
    <row r="2058" spans="1:9" ht="15" customHeight="1">
      <c r="A2058" s="335">
        <v>41978</v>
      </c>
      <c r="B2058" s="336">
        <v>8900</v>
      </c>
      <c r="C2058" s="336">
        <v>9200</v>
      </c>
      <c r="D2058" s="337">
        <f t="shared" si="129"/>
        <v>9050</v>
      </c>
    </row>
    <row r="2059" spans="1:9" ht="15" customHeight="1">
      <c r="A2059" s="335">
        <v>41981</v>
      </c>
      <c r="B2059" s="336">
        <v>8900</v>
      </c>
      <c r="C2059" s="336">
        <v>9200</v>
      </c>
      <c r="D2059" s="337">
        <f t="shared" si="129"/>
        <v>9050</v>
      </c>
    </row>
    <row r="2060" spans="1:9" ht="15" customHeight="1">
      <c r="A2060" s="335">
        <v>41982</v>
      </c>
      <c r="B2060" s="336">
        <v>8900</v>
      </c>
      <c r="C2060" s="336">
        <v>9200</v>
      </c>
      <c r="D2060" s="337">
        <f t="shared" si="129"/>
        <v>9050</v>
      </c>
    </row>
    <row r="2061" spans="1:9" ht="15" customHeight="1">
      <c r="A2061" s="335">
        <v>41983</v>
      </c>
      <c r="B2061" s="336">
        <v>8900</v>
      </c>
      <c r="C2061" s="336">
        <v>9200</v>
      </c>
      <c r="D2061" s="337">
        <f t="shared" si="129"/>
        <v>9050</v>
      </c>
    </row>
    <row r="2062" spans="1:9" ht="15" customHeight="1">
      <c r="A2062" s="335">
        <v>41984</v>
      </c>
      <c r="B2062" s="336">
        <v>8900</v>
      </c>
      <c r="C2062" s="336">
        <v>9200</v>
      </c>
      <c r="D2062" s="337">
        <f t="shared" si="129"/>
        <v>9050</v>
      </c>
    </row>
    <row r="2063" spans="1:9" ht="15" customHeight="1">
      <c r="A2063" s="335">
        <v>41985</v>
      </c>
      <c r="B2063" s="336">
        <v>8900</v>
      </c>
      <c r="C2063" s="336">
        <v>9200</v>
      </c>
      <c r="D2063" s="337">
        <f t="shared" si="129"/>
        <v>9050</v>
      </c>
    </row>
    <row r="2064" spans="1:9" ht="15" customHeight="1">
      <c r="A2064" s="335">
        <v>41988</v>
      </c>
      <c r="B2064" s="336">
        <v>8900</v>
      </c>
      <c r="C2064" s="336">
        <v>9200</v>
      </c>
      <c r="D2064" s="337">
        <f t="shared" si="129"/>
        <v>9050</v>
      </c>
    </row>
    <row r="2065" spans="1:9" ht="15" customHeight="1">
      <c r="A2065" s="335">
        <v>41989</v>
      </c>
      <c r="B2065" s="336">
        <v>8900</v>
      </c>
      <c r="C2065" s="336">
        <v>9200</v>
      </c>
      <c r="D2065" s="337">
        <f t="shared" si="129"/>
        <v>9050</v>
      </c>
    </row>
    <row r="2066" spans="1:9" ht="15" customHeight="1">
      <c r="A2066" s="335">
        <v>41990</v>
      </c>
      <c r="B2066" s="336">
        <v>8900</v>
      </c>
      <c r="C2066" s="336">
        <v>9200</v>
      </c>
      <c r="D2066" s="337">
        <f t="shared" si="129"/>
        <v>9050</v>
      </c>
    </row>
    <row r="2067" spans="1:9" ht="15" customHeight="1">
      <c r="A2067" s="335">
        <v>41991</v>
      </c>
      <c r="B2067" s="336">
        <v>8900</v>
      </c>
      <c r="C2067" s="336">
        <v>9200</v>
      </c>
      <c r="D2067" s="337">
        <f t="shared" si="129"/>
        <v>9050</v>
      </c>
    </row>
    <row r="2068" spans="1:9" ht="15" customHeight="1">
      <c r="A2068" s="335">
        <v>41992</v>
      </c>
      <c r="B2068" s="336">
        <v>8900</v>
      </c>
      <c r="C2068" s="336">
        <v>9200</v>
      </c>
      <c r="D2068" s="337">
        <f t="shared" si="129"/>
        <v>9050</v>
      </c>
    </row>
    <row r="2069" spans="1:9" ht="15" customHeight="1">
      <c r="A2069" s="335">
        <v>41995</v>
      </c>
      <c r="B2069" s="336">
        <v>8900</v>
      </c>
      <c r="C2069" s="336">
        <v>9200</v>
      </c>
      <c r="D2069" s="337">
        <f t="shared" si="129"/>
        <v>9050</v>
      </c>
    </row>
    <row r="2070" spans="1:9" ht="15" customHeight="1">
      <c r="A2070" s="335">
        <v>41996</v>
      </c>
      <c r="B2070" s="336">
        <v>8900</v>
      </c>
      <c r="C2070" s="336">
        <v>9200</v>
      </c>
      <c r="D2070" s="337">
        <f t="shared" si="129"/>
        <v>9050</v>
      </c>
    </row>
    <row r="2071" spans="1:9" ht="15" customHeight="1">
      <c r="A2071" s="335">
        <v>41997</v>
      </c>
      <c r="B2071" s="336">
        <v>8900</v>
      </c>
      <c r="C2071" s="336">
        <v>9200</v>
      </c>
      <c r="D2071" s="337">
        <f t="shared" si="129"/>
        <v>9050</v>
      </c>
    </row>
    <row r="2072" spans="1:9" ht="15" customHeight="1">
      <c r="A2072" s="335">
        <v>41998</v>
      </c>
      <c r="B2072" s="1416" t="s">
        <v>88</v>
      </c>
      <c r="C2072" s="1416"/>
      <c r="D2072" s="1416"/>
    </row>
    <row r="2073" spans="1:9" ht="15" customHeight="1">
      <c r="A2073" s="335">
        <v>41999</v>
      </c>
      <c r="B2073" s="1416"/>
      <c r="C2073" s="1416"/>
      <c r="D2073" s="1416"/>
    </row>
    <row r="2074" spans="1:9" ht="15" customHeight="1">
      <c r="A2074" s="335">
        <v>42002</v>
      </c>
      <c r="B2074" s="336">
        <v>8900</v>
      </c>
      <c r="C2074" s="336">
        <v>9200</v>
      </c>
      <c r="D2074" s="337">
        <f t="shared" ref="D2074:D2108" si="130">AVERAGE(B2074:C2074)</f>
        <v>9050</v>
      </c>
    </row>
    <row r="2075" spans="1:9" ht="15" customHeight="1">
      <c r="A2075" s="335">
        <v>42003</v>
      </c>
      <c r="B2075" s="336">
        <v>8900</v>
      </c>
      <c r="C2075" s="336">
        <v>9200</v>
      </c>
      <c r="D2075" s="337">
        <f t="shared" si="130"/>
        <v>9050</v>
      </c>
    </row>
    <row r="2076" spans="1:9" ht="15" customHeight="1" thickBot="1">
      <c r="A2076" s="340">
        <v>42004</v>
      </c>
      <c r="B2076" s="341">
        <v>8900</v>
      </c>
      <c r="C2076" s="341">
        <v>9200</v>
      </c>
      <c r="D2076" s="342">
        <f t="shared" si="130"/>
        <v>9050</v>
      </c>
      <c r="E2076" s="360">
        <f>AVERAGE(D2054:D2076)</f>
        <v>9050</v>
      </c>
      <c r="F2076" s="360">
        <f>AVERAGE(D1817:D2076)</f>
        <v>9466.5138339920941</v>
      </c>
      <c r="G2076" s="344"/>
      <c r="H2076" s="354"/>
      <c r="I2076" s="358"/>
    </row>
    <row r="2077" spans="1:9" ht="15" customHeight="1">
      <c r="A2077" s="335">
        <v>42006</v>
      </c>
      <c r="B2077" s="336">
        <v>8900</v>
      </c>
      <c r="C2077" s="336">
        <v>9200</v>
      </c>
      <c r="D2077" s="346">
        <f t="shared" si="130"/>
        <v>9050</v>
      </c>
    </row>
    <row r="2078" spans="1:9" ht="15" customHeight="1">
      <c r="A2078" s="335">
        <v>42009</v>
      </c>
      <c r="B2078" s="336">
        <v>8900</v>
      </c>
      <c r="C2078" s="336">
        <v>9200</v>
      </c>
      <c r="D2078" s="346">
        <f t="shared" si="130"/>
        <v>9050</v>
      </c>
    </row>
    <row r="2079" spans="1:9" ht="15" customHeight="1">
      <c r="A2079" s="335">
        <v>42010</v>
      </c>
      <c r="B2079" s="336">
        <v>8900</v>
      </c>
      <c r="C2079" s="336">
        <v>9200</v>
      </c>
      <c r="D2079" s="337">
        <f t="shared" si="130"/>
        <v>9050</v>
      </c>
    </row>
    <row r="2080" spans="1:9" ht="15" customHeight="1">
      <c r="A2080" s="335">
        <v>42011</v>
      </c>
      <c r="B2080" s="336">
        <v>8900</v>
      </c>
      <c r="C2080" s="336">
        <v>9200</v>
      </c>
      <c r="D2080" s="337">
        <f t="shared" si="130"/>
        <v>9050</v>
      </c>
    </row>
    <row r="2081" spans="1:4" ht="15" customHeight="1">
      <c r="A2081" s="335">
        <v>42012</v>
      </c>
      <c r="B2081" s="336">
        <v>8900</v>
      </c>
      <c r="C2081" s="336">
        <v>9200</v>
      </c>
      <c r="D2081" s="337">
        <f t="shared" si="130"/>
        <v>9050</v>
      </c>
    </row>
    <row r="2082" spans="1:4" ht="15" customHeight="1">
      <c r="A2082" s="335">
        <v>42013</v>
      </c>
      <c r="B2082" s="336">
        <v>8900</v>
      </c>
      <c r="C2082" s="336">
        <v>9200</v>
      </c>
      <c r="D2082" s="337">
        <f t="shared" si="130"/>
        <v>9050</v>
      </c>
    </row>
    <row r="2083" spans="1:4" ht="15" customHeight="1">
      <c r="A2083" s="335">
        <v>42016</v>
      </c>
      <c r="B2083" s="336">
        <v>8900</v>
      </c>
      <c r="C2083" s="336">
        <v>9200</v>
      </c>
      <c r="D2083" s="337">
        <f t="shared" si="130"/>
        <v>9050</v>
      </c>
    </row>
    <row r="2084" spans="1:4" ht="15" customHeight="1">
      <c r="A2084" s="335">
        <v>42017</v>
      </c>
      <c r="B2084" s="336">
        <v>8900</v>
      </c>
      <c r="C2084" s="336">
        <v>9200</v>
      </c>
      <c r="D2084" s="337">
        <f t="shared" si="130"/>
        <v>9050</v>
      </c>
    </row>
    <row r="2085" spans="1:4" ht="15" customHeight="1">
      <c r="A2085" s="335">
        <v>42018</v>
      </c>
      <c r="B2085" s="336">
        <v>8900</v>
      </c>
      <c r="C2085" s="336">
        <v>9200</v>
      </c>
      <c r="D2085" s="337">
        <f t="shared" si="130"/>
        <v>9050</v>
      </c>
    </row>
    <row r="2086" spans="1:4" ht="15" customHeight="1">
      <c r="A2086" s="335">
        <v>42019</v>
      </c>
      <c r="B2086" s="336">
        <v>8900</v>
      </c>
      <c r="C2086" s="336">
        <v>9200</v>
      </c>
      <c r="D2086" s="337">
        <f t="shared" si="130"/>
        <v>9050</v>
      </c>
    </row>
    <row r="2087" spans="1:4" ht="15" customHeight="1">
      <c r="A2087" s="335">
        <v>42020</v>
      </c>
      <c r="B2087" s="336">
        <v>8900</v>
      </c>
      <c r="C2087" s="336">
        <v>9200</v>
      </c>
      <c r="D2087" s="337">
        <f t="shared" si="130"/>
        <v>9050</v>
      </c>
    </row>
    <row r="2088" spans="1:4" ht="15" customHeight="1">
      <c r="A2088" s="335">
        <v>42023</v>
      </c>
      <c r="B2088" s="336">
        <v>8900</v>
      </c>
      <c r="C2088" s="336">
        <v>9200</v>
      </c>
      <c r="D2088" s="337">
        <f t="shared" si="130"/>
        <v>9050</v>
      </c>
    </row>
    <row r="2089" spans="1:4" ht="15" customHeight="1">
      <c r="A2089" s="335">
        <v>42024</v>
      </c>
      <c r="B2089" s="336">
        <v>8900</v>
      </c>
      <c r="C2089" s="336">
        <v>9200</v>
      </c>
      <c r="D2089" s="337">
        <f t="shared" si="130"/>
        <v>9050</v>
      </c>
    </row>
    <row r="2090" spans="1:4" ht="15" customHeight="1">
      <c r="A2090" s="335">
        <v>42025</v>
      </c>
      <c r="B2090" s="336">
        <v>8900</v>
      </c>
      <c r="C2090" s="336">
        <v>9200</v>
      </c>
      <c r="D2090" s="337">
        <f t="shared" si="130"/>
        <v>9050</v>
      </c>
    </row>
    <row r="2091" spans="1:4" ht="15" customHeight="1">
      <c r="A2091" s="335">
        <v>42026</v>
      </c>
      <c r="B2091" s="336">
        <v>8900</v>
      </c>
      <c r="C2091" s="336">
        <v>9200</v>
      </c>
      <c r="D2091" s="337">
        <f t="shared" si="130"/>
        <v>9050</v>
      </c>
    </row>
    <row r="2092" spans="1:4" ht="15" customHeight="1">
      <c r="A2092" s="335">
        <v>42027</v>
      </c>
      <c r="B2092" s="336">
        <v>8900</v>
      </c>
      <c r="C2092" s="336">
        <v>9200</v>
      </c>
      <c r="D2092" s="337">
        <f t="shared" si="130"/>
        <v>9050</v>
      </c>
    </row>
    <row r="2093" spans="1:4" ht="15" customHeight="1">
      <c r="A2093" s="335">
        <v>42030</v>
      </c>
      <c r="B2093" s="336">
        <v>7700</v>
      </c>
      <c r="C2093" s="336">
        <v>8200</v>
      </c>
      <c r="D2093" s="337">
        <f t="shared" si="130"/>
        <v>7950</v>
      </c>
    </row>
    <row r="2094" spans="1:4" ht="15" customHeight="1">
      <c r="A2094" s="335">
        <v>42031</v>
      </c>
      <c r="B2094" s="336">
        <v>7700</v>
      </c>
      <c r="C2094" s="336">
        <v>8200</v>
      </c>
      <c r="D2094" s="337">
        <f t="shared" si="130"/>
        <v>7950</v>
      </c>
    </row>
    <row r="2095" spans="1:4" ht="15" customHeight="1">
      <c r="A2095" s="335">
        <v>42032</v>
      </c>
      <c r="B2095" s="336">
        <v>7700</v>
      </c>
      <c r="C2095" s="336">
        <v>8200</v>
      </c>
      <c r="D2095" s="337">
        <f t="shared" si="130"/>
        <v>7950</v>
      </c>
    </row>
    <row r="2096" spans="1:4" ht="15" customHeight="1">
      <c r="A2096" s="335">
        <v>42033</v>
      </c>
      <c r="B2096" s="336">
        <v>7700</v>
      </c>
      <c r="C2096" s="336">
        <v>8200</v>
      </c>
      <c r="D2096" s="337">
        <f t="shared" si="130"/>
        <v>7950</v>
      </c>
    </row>
    <row r="2097" spans="1:9" ht="15" customHeight="1" thickBot="1">
      <c r="A2097" s="340">
        <v>42034</v>
      </c>
      <c r="B2097" s="341">
        <v>7700</v>
      </c>
      <c r="C2097" s="341">
        <v>8200</v>
      </c>
      <c r="D2097" s="342">
        <f t="shared" si="130"/>
        <v>7950</v>
      </c>
      <c r="E2097" s="360">
        <f>AVERAGE(D2077:D2097)</f>
        <v>8788.0952380952385</v>
      </c>
      <c r="F2097" s="360">
        <f>AVERAGE(D2077:D2097)</f>
        <v>8788.0952380952385</v>
      </c>
      <c r="G2097" s="344"/>
      <c r="H2097" s="354"/>
      <c r="I2097" s="358"/>
    </row>
    <row r="2098" spans="1:9" ht="15" customHeight="1">
      <c r="A2098" s="335">
        <v>42037</v>
      </c>
      <c r="B2098" s="336">
        <v>7700</v>
      </c>
      <c r="C2098" s="336">
        <v>8200</v>
      </c>
      <c r="D2098" s="337">
        <f t="shared" si="130"/>
        <v>7950</v>
      </c>
    </row>
    <row r="2099" spans="1:9" ht="15" customHeight="1">
      <c r="A2099" s="335">
        <v>42038</v>
      </c>
      <c r="B2099" s="336">
        <v>7700</v>
      </c>
      <c r="C2099" s="336">
        <v>8200</v>
      </c>
      <c r="D2099" s="337">
        <f t="shared" si="130"/>
        <v>7950</v>
      </c>
    </row>
    <row r="2100" spans="1:9" ht="15" customHeight="1">
      <c r="A2100" s="335">
        <v>42039</v>
      </c>
      <c r="B2100" s="336">
        <v>7700</v>
      </c>
      <c r="C2100" s="336">
        <v>8200</v>
      </c>
      <c r="D2100" s="337">
        <f t="shared" si="130"/>
        <v>7950</v>
      </c>
    </row>
    <row r="2101" spans="1:9" ht="15" customHeight="1">
      <c r="A2101" s="335">
        <v>42040</v>
      </c>
      <c r="B2101" s="336">
        <v>7700</v>
      </c>
      <c r="C2101" s="336">
        <v>8000</v>
      </c>
      <c r="D2101" s="337">
        <f t="shared" si="130"/>
        <v>7850</v>
      </c>
    </row>
    <row r="2102" spans="1:9" ht="15" customHeight="1">
      <c r="A2102" s="335">
        <v>42041</v>
      </c>
      <c r="B2102" s="336">
        <v>7700</v>
      </c>
      <c r="C2102" s="336">
        <v>8000</v>
      </c>
      <c r="D2102" s="337">
        <f t="shared" si="130"/>
        <v>7850</v>
      </c>
    </row>
    <row r="2103" spans="1:9" ht="15" customHeight="1">
      <c r="A2103" s="335">
        <v>42044</v>
      </c>
      <c r="B2103" s="336">
        <v>7700</v>
      </c>
      <c r="C2103" s="336">
        <v>8000</v>
      </c>
      <c r="D2103" s="337">
        <f t="shared" si="130"/>
        <v>7850</v>
      </c>
    </row>
    <row r="2104" spans="1:9" ht="15" customHeight="1">
      <c r="A2104" s="335">
        <v>42045</v>
      </c>
      <c r="B2104" s="336">
        <v>7700</v>
      </c>
      <c r="C2104" s="336">
        <v>8000</v>
      </c>
      <c r="D2104" s="337">
        <f t="shared" si="130"/>
        <v>7850</v>
      </c>
    </row>
    <row r="2105" spans="1:9" ht="15" customHeight="1">
      <c r="A2105" s="335">
        <v>42046</v>
      </c>
      <c r="B2105" s="336">
        <v>7700</v>
      </c>
      <c r="C2105" s="336">
        <v>8000</v>
      </c>
      <c r="D2105" s="337">
        <f t="shared" si="130"/>
        <v>7850</v>
      </c>
    </row>
    <row r="2106" spans="1:9" ht="15" customHeight="1">
      <c r="A2106" s="335">
        <v>42047</v>
      </c>
      <c r="B2106" s="336">
        <v>7700</v>
      </c>
      <c r="C2106" s="336">
        <v>8000</v>
      </c>
      <c r="D2106" s="337">
        <f t="shared" si="130"/>
        <v>7850</v>
      </c>
    </row>
    <row r="2107" spans="1:9" ht="15" customHeight="1">
      <c r="A2107" s="335">
        <v>42048</v>
      </c>
      <c r="B2107" s="336">
        <v>7700</v>
      </c>
      <c r="C2107" s="336">
        <v>8000</v>
      </c>
      <c r="D2107" s="337">
        <f t="shared" si="130"/>
        <v>7850</v>
      </c>
    </row>
    <row r="2108" spans="1:9" ht="15" customHeight="1">
      <c r="A2108" s="335">
        <v>42051</v>
      </c>
      <c r="B2108" s="336">
        <v>7700</v>
      </c>
      <c r="C2108" s="336">
        <v>8000</v>
      </c>
      <c r="D2108" s="337">
        <f t="shared" si="130"/>
        <v>7850</v>
      </c>
    </row>
    <row r="2109" spans="1:9" ht="15" customHeight="1">
      <c r="A2109" s="335">
        <v>42052</v>
      </c>
      <c r="B2109" s="336">
        <v>7700</v>
      </c>
      <c r="C2109" s="336">
        <v>8000</v>
      </c>
      <c r="D2109" s="337">
        <f t="shared" ref="D2109" si="131">AVERAGE(B2109:C2109)</f>
        <v>7850</v>
      </c>
    </row>
    <row r="2110" spans="1:9" ht="15" customHeight="1">
      <c r="A2110" s="335">
        <v>42053</v>
      </c>
      <c r="B2110" s="336">
        <v>7700</v>
      </c>
      <c r="C2110" s="336">
        <v>8000</v>
      </c>
      <c r="D2110" s="337">
        <f t="shared" ref="D2110:D2115" si="132">AVERAGE(B2110:C2110)</f>
        <v>7850</v>
      </c>
    </row>
    <row r="2111" spans="1:9" ht="15" customHeight="1">
      <c r="A2111" s="335">
        <v>42054</v>
      </c>
      <c r="B2111" s="336">
        <v>7900</v>
      </c>
      <c r="C2111" s="336">
        <v>8000</v>
      </c>
      <c r="D2111" s="337">
        <f t="shared" si="132"/>
        <v>7950</v>
      </c>
    </row>
    <row r="2112" spans="1:9" ht="15" customHeight="1">
      <c r="A2112" s="335">
        <v>42055</v>
      </c>
      <c r="B2112" s="336">
        <v>7900</v>
      </c>
      <c r="C2112" s="336">
        <v>8100</v>
      </c>
      <c r="D2112" s="337">
        <f t="shared" si="132"/>
        <v>8000</v>
      </c>
    </row>
    <row r="2113" spans="1:9" ht="15" customHeight="1">
      <c r="A2113" s="335">
        <v>42058</v>
      </c>
      <c r="B2113" s="336">
        <v>7900</v>
      </c>
      <c r="C2113" s="336">
        <v>8100</v>
      </c>
      <c r="D2113" s="337">
        <f t="shared" si="132"/>
        <v>8000</v>
      </c>
    </row>
    <row r="2114" spans="1:9" ht="15" customHeight="1">
      <c r="A2114" s="335">
        <v>42059</v>
      </c>
      <c r="B2114" s="336">
        <v>7900</v>
      </c>
      <c r="C2114" s="336">
        <v>8100</v>
      </c>
      <c r="D2114" s="337">
        <f t="shared" si="132"/>
        <v>8000</v>
      </c>
    </row>
    <row r="2115" spans="1:9" ht="15" customHeight="1">
      <c r="A2115" s="335">
        <v>42060</v>
      </c>
      <c r="B2115" s="336">
        <v>7900</v>
      </c>
      <c r="C2115" s="336">
        <v>8100</v>
      </c>
      <c r="D2115" s="337">
        <f t="shared" si="132"/>
        <v>8000</v>
      </c>
    </row>
    <row r="2116" spans="1:9" ht="15" customHeight="1">
      <c r="A2116" s="335">
        <v>42061</v>
      </c>
      <c r="B2116" s="336">
        <v>7900</v>
      </c>
      <c r="C2116" s="336">
        <v>8100</v>
      </c>
      <c r="D2116" s="337">
        <f t="shared" ref="D2116:D2117" si="133">AVERAGE(B2116:C2116)</f>
        <v>8000</v>
      </c>
    </row>
    <row r="2117" spans="1:9" ht="15" customHeight="1" thickBot="1">
      <c r="A2117" s="340">
        <v>42062</v>
      </c>
      <c r="B2117" s="341">
        <v>7900</v>
      </c>
      <c r="C2117" s="341">
        <v>8100</v>
      </c>
      <c r="D2117" s="342">
        <f t="shared" si="133"/>
        <v>8000</v>
      </c>
      <c r="E2117" s="360">
        <f>AVERAGE(D2098:D2117)</f>
        <v>7915</v>
      </c>
      <c r="F2117" s="360">
        <f>AVERAGE(D2077:D2117)</f>
        <v>8362.1951219512193</v>
      </c>
      <c r="G2117" s="344"/>
      <c r="H2117" s="354"/>
      <c r="I2117" s="358"/>
    </row>
    <row r="2118" spans="1:9" ht="15" customHeight="1">
      <c r="A2118" s="335">
        <v>42065</v>
      </c>
      <c r="B2118" s="336">
        <v>7900</v>
      </c>
      <c r="C2118" s="336">
        <v>8100</v>
      </c>
      <c r="D2118" s="337">
        <f t="shared" ref="D2118" si="134">AVERAGE(B2118:C2118)</f>
        <v>8000</v>
      </c>
    </row>
    <row r="2119" spans="1:9" ht="15" customHeight="1">
      <c r="A2119" s="335">
        <v>42066</v>
      </c>
      <c r="B2119" s="336">
        <v>8000</v>
      </c>
      <c r="C2119" s="336">
        <v>8400</v>
      </c>
      <c r="D2119" s="337">
        <f t="shared" ref="D2119:D2122" si="135">AVERAGE(B2119:C2119)</f>
        <v>8200</v>
      </c>
    </row>
    <row r="2120" spans="1:9" ht="15" customHeight="1">
      <c r="A2120" s="335">
        <v>42067</v>
      </c>
      <c r="B2120" s="336">
        <v>8000</v>
      </c>
      <c r="C2120" s="336">
        <v>8400</v>
      </c>
      <c r="D2120" s="337">
        <f t="shared" si="135"/>
        <v>8200</v>
      </c>
    </row>
    <row r="2121" spans="1:9" ht="15" customHeight="1">
      <c r="A2121" s="335">
        <v>42068</v>
      </c>
      <c r="B2121" s="336">
        <v>8000</v>
      </c>
      <c r="C2121" s="336">
        <v>8400</v>
      </c>
      <c r="D2121" s="337">
        <f t="shared" si="135"/>
        <v>8200</v>
      </c>
    </row>
    <row r="2122" spans="1:9" ht="15" customHeight="1">
      <c r="A2122" s="335">
        <v>42069</v>
      </c>
      <c r="B2122" s="336">
        <v>8000</v>
      </c>
      <c r="C2122" s="336">
        <v>8400</v>
      </c>
      <c r="D2122" s="337">
        <f t="shared" si="135"/>
        <v>8200</v>
      </c>
    </row>
    <row r="2123" spans="1:9" ht="15" customHeight="1">
      <c r="A2123" s="335">
        <v>42072</v>
      </c>
      <c r="B2123" s="336">
        <v>8000</v>
      </c>
      <c r="C2123" s="336">
        <v>8400</v>
      </c>
      <c r="D2123" s="337">
        <f t="shared" ref="D2123:D2131" si="136">AVERAGE(B2123:C2123)</f>
        <v>8200</v>
      </c>
    </row>
    <row r="2124" spans="1:9" ht="15" customHeight="1">
      <c r="A2124" s="335">
        <v>42073</v>
      </c>
      <c r="B2124" s="336">
        <v>8000</v>
      </c>
      <c r="C2124" s="336">
        <v>8400</v>
      </c>
      <c r="D2124" s="337">
        <f t="shared" si="136"/>
        <v>8200</v>
      </c>
    </row>
    <row r="2125" spans="1:9" ht="15" customHeight="1">
      <c r="A2125" s="335">
        <v>42074</v>
      </c>
      <c r="B2125" s="336">
        <v>8000</v>
      </c>
      <c r="C2125" s="336">
        <v>8400</v>
      </c>
      <c r="D2125" s="337">
        <f t="shared" si="136"/>
        <v>8200</v>
      </c>
    </row>
    <row r="2126" spans="1:9" ht="15" customHeight="1">
      <c r="A2126" s="335">
        <v>42075</v>
      </c>
      <c r="B2126" s="336">
        <v>8000</v>
      </c>
      <c r="C2126" s="336">
        <v>8400</v>
      </c>
      <c r="D2126" s="337">
        <f t="shared" si="136"/>
        <v>8200</v>
      </c>
    </row>
    <row r="2127" spans="1:9" ht="15" customHeight="1">
      <c r="A2127" s="335">
        <v>42076</v>
      </c>
      <c r="B2127" s="336">
        <v>8300</v>
      </c>
      <c r="C2127" s="336">
        <v>8600</v>
      </c>
      <c r="D2127" s="337">
        <f t="shared" si="136"/>
        <v>8450</v>
      </c>
    </row>
    <row r="2128" spans="1:9" ht="15" customHeight="1">
      <c r="A2128" s="335">
        <v>42079</v>
      </c>
      <c r="B2128" s="336">
        <v>8300</v>
      </c>
      <c r="C2128" s="336">
        <v>8600</v>
      </c>
      <c r="D2128" s="337">
        <f t="shared" si="136"/>
        <v>8450</v>
      </c>
    </row>
    <row r="2129" spans="1:9" ht="15" customHeight="1">
      <c r="A2129" s="335">
        <v>42080</v>
      </c>
      <c r="B2129" s="336">
        <v>8300</v>
      </c>
      <c r="C2129" s="336">
        <v>8600</v>
      </c>
      <c r="D2129" s="337">
        <f t="shared" si="136"/>
        <v>8450</v>
      </c>
    </row>
    <row r="2130" spans="1:9" ht="15" customHeight="1">
      <c r="A2130" s="335">
        <v>42081</v>
      </c>
      <c r="B2130" s="336">
        <v>8300</v>
      </c>
      <c r="C2130" s="336">
        <v>8600</v>
      </c>
      <c r="D2130" s="337">
        <f t="shared" si="136"/>
        <v>8450</v>
      </c>
    </row>
    <row r="2131" spans="1:9" ht="15" customHeight="1">
      <c r="A2131" s="335">
        <v>42082</v>
      </c>
      <c r="B2131" s="336">
        <v>8300</v>
      </c>
      <c r="C2131" s="336">
        <v>8600</v>
      </c>
      <c r="D2131" s="337">
        <f t="shared" si="136"/>
        <v>8450</v>
      </c>
    </row>
    <row r="2132" spans="1:9" ht="15" customHeight="1">
      <c r="A2132" s="335">
        <v>42083</v>
      </c>
      <c r="B2132" s="336">
        <v>8300</v>
      </c>
      <c r="C2132" s="336">
        <v>8600</v>
      </c>
      <c r="D2132" s="337">
        <f t="shared" ref="D2132:D2141" si="137">AVERAGE(B2132:C2132)</f>
        <v>8450</v>
      </c>
    </row>
    <row r="2133" spans="1:9" ht="15" customHeight="1">
      <c r="A2133" s="335">
        <v>42086</v>
      </c>
      <c r="B2133" s="336">
        <v>8300</v>
      </c>
      <c r="C2133" s="336">
        <v>8600</v>
      </c>
      <c r="D2133" s="337">
        <f t="shared" si="137"/>
        <v>8450</v>
      </c>
    </row>
    <row r="2134" spans="1:9" ht="15" customHeight="1">
      <c r="A2134" s="335">
        <v>42087</v>
      </c>
      <c r="B2134" s="336">
        <v>8300</v>
      </c>
      <c r="C2134" s="336">
        <v>8600</v>
      </c>
      <c r="D2134" s="337">
        <f t="shared" si="137"/>
        <v>8450</v>
      </c>
    </row>
    <row r="2135" spans="1:9" ht="15" customHeight="1">
      <c r="A2135" s="335">
        <v>42088</v>
      </c>
      <c r="B2135" s="336">
        <v>7900</v>
      </c>
      <c r="C2135" s="336">
        <v>8600</v>
      </c>
      <c r="D2135" s="337">
        <f t="shared" si="137"/>
        <v>8250</v>
      </c>
    </row>
    <row r="2136" spans="1:9" ht="15" customHeight="1">
      <c r="A2136" s="335">
        <v>42089</v>
      </c>
      <c r="B2136" s="336">
        <v>7900</v>
      </c>
      <c r="C2136" s="336">
        <v>8600</v>
      </c>
      <c r="D2136" s="337">
        <f t="shared" si="137"/>
        <v>8250</v>
      </c>
    </row>
    <row r="2137" spans="1:9" ht="15" customHeight="1">
      <c r="A2137" s="335">
        <v>42090</v>
      </c>
      <c r="B2137" s="336">
        <v>7900</v>
      </c>
      <c r="C2137" s="336">
        <v>8600</v>
      </c>
      <c r="D2137" s="337">
        <f t="shared" si="137"/>
        <v>8250</v>
      </c>
    </row>
    <row r="2138" spans="1:9" ht="15" customHeight="1">
      <c r="A2138" s="335">
        <v>42093</v>
      </c>
      <c r="B2138" s="336">
        <v>7900</v>
      </c>
      <c r="C2138" s="336">
        <v>8600</v>
      </c>
      <c r="D2138" s="337">
        <f t="shared" si="137"/>
        <v>8250</v>
      </c>
    </row>
    <row r="2139" spans="1:9" ht="15" customHeight="1" thickBot="1">
      <c r="A2139" s="340">
        <v>42094</v>
      </c>
      <c r="B2139" s="341">
        <v>7900</v>
      </c>
      <c r="C2139" s="341">
        <v>8600</v>
      </c>
      <c r="D2139" s="342">
        <f t="shared" si="137"/>
        <v>8250</v>
      </c>
      <c r="E2139" s="360">
        <f>AVERAGE(D2118:D2139)</f>
        <v>8293.181818181818</v>
      </c>
      <c r="F2139" s="360">
        <f>AVERAGE(D2077:D2139)</f>
        <v>8338.0952380952385</v>
      </c>
      <c r="G2139" s="344"/>
      <c r="H2139" s="354"/>
      <c r="I2139" s="358"/>
    </row>
    <row r="2140" spans="1:9" ht="15" customHeight="1">
      <c r="A2140" s="335">
        <v>42095</v>
      </c>
      <c r="B2140" s="336">
        <v>7900</v>
      </c>
      <c r="C2140" s="336">
        <v>8600</v>
      </c>
      <c r="D2140" s="346">
        <f t="shared" si="137"/>
        <v>8250</v>
      </c>
    </row>
    <row r="2141" spans="1:9" ht="15" customHeight="1">
      <c r="A2141" s="335">
        <v>42096</v>
      </c>
      <c r="B2141" s="336">
        <v>7900</v>
      </c>
      <c r="C2141" s="336">
        <v>8600</v>
      </c>
      <c r="D2141" s="346">
        <f t="shared" si="137"/>
        <v>8250</v>
      </c>
    </row>
    <row r="2142" spans="1:9" ht="15" customHeight="1">
      <c r="A2142" s="335">
        <v>42097</v>
      </c>
      <c r="B2142" s="1416" t="s">
        <v>88</v>
      </c>
      <c r="C2142" s="1416"/>
      <c r="D2142" s="1416"/>
      <c r="E2142" s="347"/>
      <c r="F2142" s="347"/>
    </row>
    <row r="2143" spans="1:9" ht="15" customHeight="1">
      <c r="A2143" s="335">
        <v>42100</v>
      </c>
      <c r="B2143" s="1416"/>
      <c r="C2143" s="1416"/>
      <c r="D2143" s="1416"/>
    </row>
    <row r="2144" spans="1:9" ht="15" customHeight="1">
      <c r="A2144" s="335">
        <v>42101</v>
      </c>
      <c r="B2144" s="336">
        <v>7900</v>
      </c>
      <c r="C2144" s="336">
        <v>8650</v>
      </c>
      <c r="D2144" s="346">
        <f t="shared" ref="D2144:D2146" si="138">AVERAGE(B2144:C2144)</f>
        <v>8275</v>
      </c>
    </row>
    <row r="2145" spans="1:4" ht="15" customHeight="1">
      <c r="A2145" s="335">
        <v>42102</v>
      </c>
      <c r="B2145" s="336">
        <v>8300</v>
      </c>
      <c r="C2145" s="336">
        <v>8600</v>
      </c>
      <c r="D2145" s="346">
        <f t="shared" si="138"/>
        <v>8450</v>
      </c>
    </row>
    <row r="2146" spans="1:4" ht="15" customHeight="1">
      <c r="A2146" s="335">
        <v>42103</v>
      </c>
      <c r="B2146" s="336">
        <v>8300</v>
      </c>
      <c r="C2146" s="336">
        <v>8600</v>
      </c>
      <c r="D2146" s="346">
        <f t="shared" si="138"/>
        <v>8450</v>
      </c>
    </row>
    <row r="2147" spans="1:4" ht="15" customHeight="1">
      <c r="A2147" s="335">
        <v>42104</v>
      </c>
      <c r="B2147" s="336">
        <v>8250</v>
      </c>
      <c r="C2147" s="336">
        <v>8550</v>
      </c>
      <c r="D2147" s="346">
        <f t="shared" ref="D2147:D2154" si="139">AVERAGE(B2147:C2147)</f>
        <v>8400</v>
      </c>
    </row>
    <row r="2148" spans="1:4" ht="15" customHeight="1">
      <c r="A2148" s="335">
        <v>42107</v>
      </c>
      <c r="B2148" s="336">
        <v>8250</v>
      </c>
      <c r="C2148" s="336">
        <v>8550</v>
      </c>
      <c r="D2148" s="346">
        <f t="shared" si="139"/>
        <v>8400</v>
      </c>
    </row>
    <row r="2149" spans="1:4" ht="15" customHeight="1">
      <c r="A2149" s="335">
        <v>42108</v>
      </c>
      <c r="B2149" s="336">
        <v>8250</v>
      </c>
      <c r="C2149" s="336">
        <v>8550</v>
      </c>
      <c r="D2149" s="346">
        <f t="shared" si="139"/>
        <v>8400</v>
      </c>
    </row>
    <row r="2150" spans="1:4" ht="15" customHeight="1">
      <c r="A2150" s="335">
        <v>42109</v>
      </c>
      <c r="B2150" s="336">
        <v>8250</v>
      </c>
      <c r="C2150" s="336">
        <v>8550</v>
      </c>
      <c r="D2150" s="346">
        <f t="shared" si="139"/>
        <v>8400</v>
      </c>
    </row>
    <row r="2151" spans="1:4" ht="15" customHeight="1">
      <c r="A2151" s="335">
        <v>42110</v>
      </c>
      <c r="B2151" s="336">
        <v>8250</v>
      </c>
      <c r="C2151" s="336">
        <v>8550</v>
      </c>
      <c r="D2151" s="346">
        <f t="shared" si="139"/>
        <v>8400</v>
      </c>
    </row>
    <row r="2152" spans="1:4" ht="15" customHeight="1">
      <c r="A2152" s="335">
        <v>42111</v>
      </c>
      <c r="B2152" s="336">
        <v>8250</v>
      </c>
      <c r="C2152" s="336">
        <v>8550</v>
      </c>
      <c r="D2152" s="346">
        <f t="shared" si="139"/>
        <v>8400</v>
      </c>
    </row>
    <row r="2153" spans="1:4" ht="15" customHeight="1">
      <c r="A2153" s="335">
        <v>42114</v>
      </c>
      <c r="B2153" s="336">
        <v>8250</v>
      </c>
      <c r="C2153" s="336">
        <v>8550</v>
      </c>
      <c r="D2153" s="346">
        <f t="shared" si="139"/>
        <v>8400</v>
      </c>
    </row>
    <row r="2154" spans="1:4" ht="15" customHeight="1">
      <c r="A2154" s="335">
        <v>42115</v>
      </c>
      <c r="B2154" s="336">
        <v>8250</v>
      </c>
      <c r="C2154" s="336">
        <v>8550</v>
      </c>
      <c r="D2154" s="346">
        <f t="shared" si="139"/>
        <v>8400</v>
      </c>
    </row>
    <row r="2155" spans="1:4" ht="15" customHeight="1">
      <c r="A2155" s="335">
        <v>42116</v>
      </c>
      <c r="B2155" s="336">
        <v>8350</v>
      </c>
      <c r="C2155" s="336">
        <v>8900</v>
      </c>
      <c r="D2155" s="346">
        <f t="shared" ref="D2155:D2167" si="140">AVERAGE(B2155:C2155)</f>
        <v>8625</v>
      </c>
    </row>
    <row r="2156" spans="1:4" ht="15" customHeight="1">
      <c r="A2156" s="335">
        <v>42117</v>
      </c>
      <c r="B2156" s="336">
        <v>8350</v>
      </c>
      <c r="C2156" s="336">
        <v>8900</v>
      </c>
      <c r="D2156" s="346">
        <f t="shared" si="140"/>
        <v>8625</v>
      </c>
    </row>
    <row r="2157" spans="1:4" ht="15" customHeight="1">
      <c r="A2157" s="335">
        <v>42118</v>
      </c>
      <c r="B2157" s="336">
        <v>8350</v>
      </c>
      <c r="C2157" s="336">
        <v>8900</v>
      </c>
      <c r="D2157" s="337">
        <f t="shared" si="140"/>
        <v>8625</v>
      </c>
    </row>
    <row r="2158" spans="1:4" ht="15" customHeight="1">
      <c r="A2158" s="335">
        <v>42121</v>
      </c>
      <c r="B2158" s="336">
        <v>8350</v>
      </c>
      <c r="C2158" s="336">
        <v>8900</v>
      </c>
      <c r="D2158" s="337">
        <f t="shared" si="140"/>
        <v>8625</v>
      </c>
    </row>
    <row r="2159" spans="1:4" ht="15" customHeight="1">
      <c r="A2159" s="335">
        <v>42122</v>
      </c>
      <c r="B2159" s="336">
        <v>8350</v>
      </c>
      <c r="C2159" s="336">
        <v>8900</v>
      </c>
      <c r="D2159" s="337">
        <f t="shared" si="140"/>
        <v>8625</v>
      </c>
    </row>
    <row r="2160" spans="1:4" ht="15" customHeight="1">
      <c r="A2160" s="335">
        <v>42123</v>
      </c>
      <c r="B2160" s="336">
        <v>8350</v>
      </c>
      <c r="C2160" s="336">
        <v>8900</v>
      </c>
      <c r="D2160" s="337">
        <f t="shared" si="140"/>
        <v>8625</v>
      </c>
    </row>
    <row r="2161" spans="1:9" ht="15" customHeight="1" thickBot="1">
      <c r="A2161" s="340">
        <v>42124</v>
      </c>
      <c r="B2161" s="341">
        <v>8350</v>
      </c>
      <c r="C2161" s="341">
        <v>8900</v>
      </c>
      <c r="D2161" s="342">
        <f t="shared" si="140"/>
        <v>8625</v>
      </c>
      <c r="E2161" s="360">
        <f>AVERAGE(D2140:D2161)</f>
        <v>8462.5</v>
      </c>
      <c r="F2161" s="360">
        <f>AVERAGE(D2077:D2161)</f>
        <v>8368.0722891566256</v>
      </c>
      <c r="G2161" s="344"/>
      <c r="H2161" s="354"/>
      <c r="I2161" s="358"/>
    </row>
    <row r="2162" spans="1:9" ht="15" customHeight="1">
      <c r="A2162" s="335">
        <v>42125</v>
      </c>
      <c r="B2162" s="336">
        <v>8350</v>
      </c>
      <c r="C2162" s="336">
        <v>8900</v>
      </c>
      <c r="D2162" s="346">
        <f t="shared" si="140"/>
        <v>8625</v>
      </c>
    </row>
    <row r="2163" spans="1:9" ht="15" customHeight="1">
      <c r="A2163" s="335">
        <v>42128</v>
      </c>
      <c r="B2163" s="1416" t="s">
        <v>88</v>
      </c>
      <c r="C2163" s="1416"/>
      <c r="D2163" s="1416"/>
    </row>
    <row r="2164" spans="1:9" ht="15" customHeight="1">
      <c r="A2164" s="335">
        <v>42129</v>
      </c>
      <c r="B2164" s="336">
        <v>8350</v>
      </c>
      <c r="C2164" s="336">
        <v>8900</v>
      </c>
      <c r="D2164" s="346">
        <f t="shared" si="140"/>
        <v>8625</v>
      </c>
    </row>
    <row r="2165" spans="1:9" ht="15" customHeight="1">
      <c r="A2165" s="335">
        <v>42130</v>
      </c>
      <c r="B2165" s="336">
        <v>8350</v>
      </c>
      <c r="C2165" s="336">
        <v>8900</v>
      </c>
      <c r="D2165" s="346">
        <f t="shared" si="140"/>
        <v>8625</v>
      </c>
    </row>
    <row r="2166" spans="1:9" ht="15" customHeight="1">
      <c r="A2166" s="335">
        <v>42131</v>
      </c>
      <c r="B2166" s="336">
        <v>8350</v>
      </c>
      <c r="C2166" s="336">
        <v>8900</v>
      </c>
      <c r="D2166" s="346">
        <f t="shared" si="140"/>
        <v>8625</v>
      </c>
    </row>
    <row r="2167" spans="1:9" ht="15" customHeight="1">
      <c r="A2167" s="335">
        <v>42132</v>
      </c>
      <c r="B2167" s="336">
        <v>8350</v>
      </c>
      <c r="C2167" s="336">
        <v>8900</v>
      </c>
      <c r="D2167" s="346">
        <f t="shared" si="140"/>
        <v>8625</v>
      </c>
    </row>
    <row r="2168" spans="1:9" ht="15" customHeight="1">
      <c r="A2168" s="335">
        <v>42135</v>
      </c>
      <c r="B2168" s="336">
        <v>8350</v>
      </c>
      <c r="C2168" s="336">
        <v>8900</v>
      </c>
      <c r="D2168" s="346">
        <f t="shared" ref="D2168" si="141">AVERAGE(B2168:C2168)</f>
        <v>8625</v>
      </c>
    </row>
    <row r="2169" spans="1:9" ht="15" customHeight="1">
      <c r="A2169" s="335">
        <v>42136</v>
      </c>
      <c r="B2169" s="336">
        <v>8350</v>
      </c>
      <c r="C2169" s="336">
        <v>8900</v>
      </c>
      <c r="D2169" s="346">
        <f t="shared" ref="D2169" si="142">AVERAGE(B2169:C2169)</f>
        <v>8625</v>
      </c>
    </row>
    <row r="2170" spans="1:9" ht="15" customHeight="1">
      <c r="A2170" s="335">
        <v>42137</v>
      </c>
      <c r="B2170" s="336">
        <v>8350</v>
      </c>
      <c r="C2170" s="336">
        <v>8900</v>
      </c>
      <c r="D2170" s="346">
        <f t="shared" ref="D2170" si="143">AVERAGE(B2170:C2170)</f>
        <v>8625</v>
      </c>
    </row>
    <row r="2171" spans="1:9" ht="15" customHeight="1">
      <c r="A2171" s="335">
        <v>42138</v>
      </c>
      <c r="B2171" s="336">
        <v>8350</v>
      </c>
      <c r="C2171" s="336">
        <v>8900</v>
      </c>
      <c r="D2171" s="346">
        <f t="shared" ref="D2171" si="144">AVERAGE(B2171:C2171)</f>
        <v>8625</v>
      </c>
    </row>
    <row r="2172" spans="1:9" ht="15" customHeight="1">
      <c r="A2172" s="335">
        <v>42139</v>
      </c>
      <c r="B2172" s="336">
        <v>8350</v>
      </c>
      <c r="C2172" s="336">
        <v>8900</v>
      </c>
      <c r="D2172" s="346">
        <f t="shared" ref="D2172" si="145">AVERAGE(B2172:C2172)</f>
        <v>8625</v>
      </c>
    </row>
    <row r="2173" spans="1:9" ht="15" customHeight="1">
      <c r="A2173" s="335">
        <v>42142</v>
      </c>
      <c r="B2173" s="336">
        <v>8350</v>
      </c>
      <c r="C2173" s="336">
        <v>8900</v>
      </c>
      <c r="D2173" s="346">
        <f t="shared" ref="D2173" si="146">AVERAGE(B2173:C2173)</f>
        <v>8625</v>
      </c>
    </row>
    <row r="2174" spans="1:9" ht="15" customHeight="1">
      <c r="A2174" s="335">
        <v>42143</v>
      </c>
      <c r="B2174" s="336">
        <v>8350</v>
      </c>
      <c r="C2174" s="336">
        <v>8900</v>
      </c>
      <c r="D2174" s="346">
        <f t="shared" ref="D2174" si="147">AVERAGE(B2174:C2174)</f>
        <v>8625</v>
      </c>
    </row>
    <row r="2175" spans="1:9" ht="15" customHeight="1">
      <c r="A2175" s="335">
        <v>42144</v>
      </c>
      <c r="B2175" s="336">
        <v>8350</v>
      </c>
      <c r="C2175" s="336">
        <v>8900</v>
      </c>
      <c r="D2175" s="346">
        <f t="shared" ref="D2175" si="148">AVERAGE(B2175:C2175)</f>
        <v>8625</v>
      </c>
    </row>
    <row r="2176" spans="1:9" ht="15" customHeight="1">
      <c r="A2176" s="335">
        <v>42145</v>
      </c>
      <c r="B2176" s="336">
        <v>8350</v>
      </c>
      <c r="C2176" s="336">
        <v>8900</v>
      </c>
      <c r="D2176" s="346">
        <f t="shared" ref="D2176" si="149">AVERAGE(B2176:C2176)</f>
        <v>8625</v>
      </c>
    </row>
    <row r="2177" spans="1:9" ht="15" customHeight="1">
      <c r="A2177" s="335">
        <v>42146</v>
      </c>
      <c r="B2177" s="336">
        <v>8350</v>
      </c>
      <c r="C2177" s="336">
        <v>8900</v>
      </c>
      <c r="D2177" s="346">
        <f t="shared" ref="D2177" si="150">AVERAGE(B2177:C2177)</f>
        <v>8625</v>
      </c>
    </row>
    <row r="2178" spans="1:9" ht="15" customHeight="1">
      <c r="A2178" s="335">
        <v>42149</v>
      </c>
      <c r="B2178" s="1416" t="s">
        <v>88</v>
      </c>
      <c r="C2178" s="1416"/>
      <c r="D2178" s="1416"/>
    </row>
    <row r="2179" spans="1:9" ht="15" customHeight="1">
      <c r="A2179" s="335">
        <v>42150</v>
      </c>
      <c r="B2179" s="336">
        <v>8350</v>
      </c>
      <c r="C2179" s="336">
        <v>8900</v>
      </c>
      <c r="D2179" s="346">
        <f t="shared" ref="D2179:D2180" si="151">AVERAGE(B2179:C2179)</f>
        <v>8625</v>
      </c>
    </row>
    <row r="2180" spans="1:9" ht="15" customHeight="1">
      <c r="A2180" s="335">
        <v>42151</v>
      </c>
      <c r="B2180" s="336">
        <v>8350</v>
      </c>
      <c r="C2180" s="336">
        <v>8900</v>
      </c>
      <c r="D2180" s="346">
        <f t="shared" si="151"/>
        <v>8625</v>
      </c>
    </row>
    <row r="2181" spans="1:9" ht="15" customHeight="1">
      <c r="A2181" s="335">
        <v>42152</v>
      </c>
      <c r="B2181" s="336">
        <v>8350</v>
      </c>
      <c r="C2181" s="336">
        <v>8900</v>
      </c>
      <c r="D2181" s="346">
        <f t="shared" ref="D2181" si="152">AVERAGE(B2181:C2181)</f>
        <v>8625</v>
      </c>
    </row>
    <row r="2182" spans="1:9" ht="15" customHeight="1" thickBot="1">
      <c r="A2182" s="340">
        <v>42153</v>
      </c>
      <c r="B2182" s="341">
        <v>8350</v>
      </c>
      <c r="C2182" s="341">
        <v>8900</v>
      </c>
      <c r="D2182" s="342">
        <f t="shared" ref="D2182:D2183" si="153">AVERAGE(B2182:C2182)</f>
        <v>8625</v>
      </c>
      <c r="E2182" s="360">
        <f>AVERAGE(D2162:D2182)</f>
        <v>8625</v>
      </c>
      <c r="F2182" s="360">
        <f>AVERAGE(D2077:D2182)</f>
        <v>8415.9313725490192</v>
      </c>
      <c r="G2182" s="344"/>
      <c r="H2182" s="354"/>
      <c r="I2182" s="358"/>
    </row>
    <row r="2183" spans="1:9" ht="15" customHeight="1">
      <c r="A2183" s="335">
        <v>42156</v>
      </c>
      <c r="B2183" s="336">
        <v>8350</v>
      </c>
      <c r="C2183" s="336">
        <v>8900</v>
      </c>
      <c r="D2183" s="337">
        <f t="shared" si="153"/>
        <v>8625</v>
      </c>
    </row>
    <row r="2184" spans="1:9" ht="15" customHeight="1">
      <c r="A2184" s="335">
        <v>42157</v>
      </c>
      <c r="B2184" s="336">
        <v>8350</v>
      </c>
      <c r="C2184" s="336">
        <v>8900</v>
      </c>
      <c r="D2184" s="337">
        <f t="shared" ref="D2184" si="154">AVERAGE(B2184:C2184)</f>
        <v>8625</v>
      </c>
    </row>
    <row r="2185" spans="1:9" ht="15" customHeight="1">
      <c r="A2185" s="335">
        <v>42158</v>
      </c>
      <c r="B2185" s="336">
        <v>8350</v>
      </c>
      <c r="C2185" s="336">
        <v>8900</v>
      </c>
      <c r="D2185" s="337">
        <f t="shared" ref="D2185" si="155">AVERAGE(B2185:C2185)</f>
        <v>8625</v>
      </c>
    </row>
    <row r="2186" spans="1:9" ht="15" customHeight="1">
      <c r="A2186" s="335">
        <v>42159</v>
      </c>
      <c r="B2186" s="336">
        <v>8350</v>
      </c>
      <c r="C2186" s="336">
        <v>8900</v>
      </c>
      <c r="D2186" s="337">
        <f t="shared" ref="D2186" si="156">AVERAGE(B2186:C2186)</f>
        <v>8625</v>
      </c>
    </row>
    <row r="2187" spans="1:9" ht="15" customHeight="1">
      <c r="A2187" s="335">
        <v>42160</v>
      </c>
      <c r="B2187" s="336">
        <v>8350</v>
      </c>
      <c r="C2187" s="336">
        <v>8900</v>
      </c>
      <c r="D2187" s="337">
        <f t="shared" ref="D2187" si="157">AVERAGE(B2187:C2187)</f>
        <v>8625</v>
      </c>
    </row>
    <row r="2188" spans="1:9" ht="15" customHeight="1">
      <c r="A2188" s="335">
        <v>42163</v>
      </c>
      <c r="B2188" s="336">
        <v>8350</v>
      </c>
      <c r="C2188" s="336">
        <v>8900</v>
      </c>
      <c r="D2188" s="337">
        <f t="shared" ref="D2188" si="158">AVERAGE(B2188:C2188)</f>
        <v>8625</v>
      </c>
    </row>
    <row r="2189" spans="1:9" ht="15" customHeight="1">
      <c r="A2189" s="335">
        <v>42164</v>
      </c>
      <c r="B2189" s="336">
        <v>8350</v>
      </c>
      <c r="C2189" s="336">
        <v>8900</v>
      </c>
      <c r="D2189" s="337">
        <f t="shared" ref="D2189" si="159">AVERAGE(B2189:C2189)</f>
        <v>8625</v>
      </c>
    </row>
    <row r="2190" spans="1:9" ht="15" customHeight="1">
      <c r="A2190" s="335">
        <v>42165</v>
      </c>
      <c r="B2190" s="336">
        <v>8350</v>
      </c>
      <c r="C2190" s="336">
        <v>8900</v>
      </c>
      <c r="D2190" s="337">
        <f t="shared" ref="D2190" si="160">AVERAGE(B2190:C2190)</f>
        <v>8625</v>
      </c>
    </row>
    <row r="2191" spans="1:9" ht="15" customHeight="1">
      <c r="A2191" s="335">
        <v>42166</v>
      </c>
      <c r="B2191" s="336">
        <v>8350</v>
      </c>
      <c r="C2191" s="336">
        <v>8900</v>
      </c>
      <c r="D2191" s="337">
        <f t="shared" ref="D2191" si="161">AVERAGE(B2191:C2191)</f>
        <v>8625</v>
      </c>
    </row>
    <row r="2192" spans="1:9" ht="15" customHeight="1">
      <c r="A2192" s="335">
        <v>42167</v>
      </c>
      <c r="B2192" s="336">
        <v>8350</v>
      </c>
      <c r="C2192" s="336">
        <v>8900</v>
      </c>
      <c r="D2192" s="337">
        <f t="shared" ref="D2192" si="162">AVERAGE(B2192:C2192)</f>
        <v>8625</v>
      </c>
    </row>
    <row r="2193" spans="1:9" ht="15" customHeight="1">
      <c r="A2193" s="335">
        <v>42170</v>
      </c>
      <c r="B2193" s="336">
        <v>8350</v>
      </c>
      <c r="C2193" s="336">
        <v>8900</v>
      </c>
      <c r="D2193" s="337">
        <f t="shared" ref="D2193" si="163">AVERAGE(B2193:C2193)</f>
        <v>8625</v>
      </c>
    </row>
    <row r="2194" spans="1:9" ht="15" customHeight="1">
      <c r="A2194" s="335">
        <v>42171</v>
      </c>
      <c r="B2194" s="336">
        <v>8350</v>
      </c>
      <c r="C2194" s="336">
        <v>8900</v>
      </c>
      <c r="D2194" s="337">
        <f t="shared" ref="D2194" si="164">AVERAGE(B2194:C2194)</f>
        <v>8625</v>
      </c>
    </row>
    <row r="2195" spans="1:9" ht="15" customHeight="1">
      <c r="A2195" s="335">
        <v>42172</v>
      </c>
      <c r="B2195" s="336">
        <v>8350</v>
      </c>
      <c r="C2195" s="336">
        <v>8900</v>
      </c>
      <c r="D2195" s="337">
        <f t="shared" ref="D2195" si="165">AVERAGE(B2195:C2195)</f>
        <v>8625</v>
      </c>
    </row>
    <row r="2196" spans="1:9" ht="15" customHeight="1">
      <c r="A2196" s="335">
        <v>42173</v>
      </c>
      <c r="B2196" s="336">
        <v>8350</v>
      </c>
      <c r="C2196" s="336">
        <v>8900</v>
      </c>
      <c r="D2196" s="337">
        <f t="shared" ref="D2196" si="166">AVERAGE(B2196:C2196)</f>
        <v>8625</v>
      </c>
    </row>
    <row r="2197" spans="1:9" ht="15" customHeight="1">
      <c r="A2197" s="335">
        <v>42174</v>
      </c>
      <c r="B2197" s="336">
        <v>8350</v>
      </c>
      <c r="C2197" s="336">
        <v>8900</v>
      </c>
      <c r="D2197" s="337">
        <f t="shared" ref="D2197" si="167">AVERAGE(B2197:C2197)</f>
        <v>8625</v>
      </c>
    </row>
    <row r="2198" spans="1:9" ht="15" customHeight="1">
      <c r="A2198" s="335">
        <v>42177</v>
      </c>
      <c r="B2198" s="336">
        <v>8350</v>
      </c>
      <c r="C2198" s="336">
        <v>8900</v>
      </c>
      <c r="D2198" s="337">
        <f t="shared" ref="D2198" si="168">AVERAGE(B2198:C2198)</f>
        <v>8625</v>
      </c>
    </row>
    <row r="2199" spans="1:9" ht="15" customHeight="1">
      <c r="A2199" s="335">
        <v>42178</v>
      </c>
      <c r="B2199" s="336">
        <v>8350</v>
      </c>
      <c r="C2199" s="336">
        <v>8900</v>
      </c>
      <c r="D2199" s="337">
        <f t="shared" ref="D2199" si="169">AVERAGE(B2199:C2199)</f>
        <v>8625</v>
      </c>
    </row>
    <row r="2200" spans="1:9" ht="15" customHeight="1">
      <c r="A2200" s="335">
        <v>42179</v>
      </c>
      <c r="B2200" s="336">
        <v>8350</v>
      </c>
      <c r="C2200" s="336">
        <v>8900</v>
      </c>
      <c r="D2200" s="337">
        <f t="shared" ref="D2200" si="170">AVERAGE(B2200:C2200)</f>
        <v>8625</v>
      </c>
    </row>
    <row r="2201" spans="1:9" ht="15" customHeight="1">
      <c r="A2201" s="335">
        <v>42180</v>
      </c>
      <c r="B2201" s="336">
        <v>8350</v>
      </c>
      <c r="C2201" s="336">
        <v>8900</v>
      </c>
      <c r="D2201" s="337">
        <f t="shared" ref="D2201" si="171">AVERAGE(B2201:C2201)</f>
        <v>8625</v>
      </c>
    </row>
    <row r="2202" spans="1:9" ht="15" customHeight="1">
      <c r="A2202" s="335">
        <v>42181</v>
      </c>
      <c r="B2202" s="336">
        <v>8350</v>
      </c>
      <c r="C2202" s="336">
        <v>8900</v>
      </c>
      <c r="D2202" s="337">
        <f t="shared" ref="D2202" si="172">AVERAGE(B2202:C2202)</f>
        <v>8625</v>
      </c>
    </row>
    <row r="2203" spans="1:9" ht="15" customHeight="1">
      <c r="A2203" s="335">
        <v>42184</v>
      </c>
      <c r="B2203" s="336">
        <v>8350</v>
      </c>
      <c r="C2203" s="336">
        <v>8900</v>
      </c>
      <c r="D2203" s="337">
        <f t="shared" ref="D2203" si="173">AVERAGE(B2203:C2203)</f>
        <v>8625</v>
      </c>
    </row>
    <row r="2204" spans="1:9" ht="15" customHeight="1" thickBot="1">
      <c r="A2204" s="340">
        <v>42185</v>
      </c>
      <c r="B2204" s="341">
        <v>8350</v>
      </c>
      <c r="C2204" s="341">
        <v>8900</v>
      </c>
      <c r="D2204" s="342">
        <f t="shared" ref="D2204" si="174">AVERAGE(B2204:C2204)</f>
        <v>8625</v>
      </c>
      <c r="E2204" s="360">
        <f>AVERAGE(D2183:D2204)</f>
        <v>8625</v>
      </c>
      <c r="F2204" s="360">
        <f>AVERAGE(D2077:D2204)</f>
        <v>8453.0241935483864</v>
      </c>
      <c r="G2204" s="344"/>
      <c r="H2204" s="354"/>
      <c r="I2204" s="358"/>
    </row>
    <row r="2205" spans="1:9" ht="15" customHeight="1">
      <c r="A2205" s="335">
        <v>42186</v>
      </c>
      <c r="B2205" s="345">
        <v>8350</v>
      </c>
      <c r="C2205" s="345">
        <v>8900</v>
      </c>
      <c r="D2205" s="346">
        <f t="shared" ref="D2205" si="175">AVERAGE(B2205:C2205)</f>
        <v>8625</v>
      </c>
    </row>
    <row r="2206" spans="1:9" ht="15" customHeight="1">
      <c r="A2206" s="335">
        <v>42187</v>
      </c>
      <c r="B2206" s="345">
        <v>8350</v>
      </c>
      <c r="C2206" s="345">
        <v>8900</v>
      </c>
      <c r="D2206" s="346">
        <f t="shared" ref="D2206" si="176">AVERAGE(B2206:C2206)</f>
        <v>8625</v>
      </c>
    </row>
    <row r="2207" spans="1:9" ht="15" customHeight="1">
      <c r="A2207" s="335">
        <v>42188</v>
      </c>
      <c r="B2207" s="345">
        <v>8350</v>
      </c>
      <c r="C2207" s="345">
        <v>8900</v>
      </c>
      <c r="D2207" s="346">
        <f t="shared" ref="D2207:D2208" si="177">AVERAGE(B2207:C2207)</f>
        <v>8625</v>
      </c>
    </row>
    <row r="2208" spans="1:9" ht="15" customHeight="1">
      <c r="A2208" s="335">
        <v>42191</v>
      </c>
      <c r="B2208" s="336">
        <v>7100</v>
      </c>
      <c r="C2208" s="336">
        <v>7600</v>
      </c>
      <c r="D2208" s="337">
        <f t="shared" si="177"/>
        <v>7350</v>
      </c>
    </row>
    <row r="2209" spans="1:4" ht="15" customHeight="1">
      <c r="A2209" s="335">
        <v>42192</v>
      </c>
      <c r="B2209" s="336">
        <v>7100</v>
      </c>
      <c r="C2209" s="336">
        <v>7600</v>
      </c>
      <c r="D2209" s="337">
        <f t="shared" ref="D2209" si="178">AVERAGE(B2209:C2209)</f>
        <v>7350</v>
      </c>
    </row>
    <row r="2210" spans="1:4" ht="15" customHeight="1">
      <c r="A2210" s="335">
        <v>42193</v>
      </c>
      <c r="B2210" s="336">
        <v>7100</v>
      </c>
      <c r="C2210" s="336">
        <v>7600</v>
      </c>
      <c r="D2210" s="337">
        <f t="shared" ref="D2210" si="179">AVERAGE(B2210:C2210)</f>
        <v>7350</v>
      </c>
    </row>
    <row r="2211" spans="1:4" ht="15" customHeight="1">
      <c r="A2211" s="335">
        <v>42194</v>
      </c>
      <c r="B2211" s="336">
        <v>7100</v>
      </c>
      <c r="C2211" s="336">
        <v>7600</v>
      </c>
      <c r="D2211" s="337">
        <f t="shared" ref="D2211" si="180">AVERAGE(B2211:C2211)</f>
        <v>7350</v>
      </c>
    </row>
    <row r="2212" spans="1:4" ht="15" customHeight="1">
      <c r="A2212" s="335">
        <v>42195</v>
      </c>
      <c r="B2212" s="336">
        <v>7100</v>
      </c>
      <c r="C2212" s="336">
        <v>7600</v>
      </c>
      <c r="D2212" s="337">
        <f t="shared" ref="D2212" si="181">AVERAGE(B2212:C2212)</f>
        <v>7350</v>
      </c>
    </row>
    <row r="2213" spans="1:4" ht="15" customHeight="1">
      <c r="A2213" s="335">
        <v>42198</v>
      </c>
      <c r="B2213" s="336">
        <v>7100</v>
      </c>
      <c r="C2213" s="336">
        <v>7600</v>
      </c>
      <c r="D2213" s="337">
        <f t="shared" ref="D2213" si="182">AVERAGE(B2213:C2213)</f>
        <v>7350</v>
      </c>
    </row>
    <row r="2214" spans="1:4" ht="15" customHeight="1">
      <c r="A2214" s="335">
        <v>42199</v>
      </c>
      <c r="B2214" s="336">
        <v>7100</v>
      </c>
      <c r="C2214" s="336">
        <v>7600</v>
      </c>
      <c r="D2214" s="337">
        <f t="shared" ref="D2214" si="183">AVERAGE(B2214:C2214)</f>
        <v>7350</v>
      </c>
    </row>
    <row r="2215" spans="1:4" ht="15" customHeight="1">
      <c r="A2215" s="335">
        <v>42200</v>
      </c>
      <c r="B2215" s="336">
        <v>7100</v>
      </c>
      <c r="C2215" s="336">
        <v>7600</v>
      </c>
      <c r="D2215" s="337">
        <f t="shared" ref="D2215" si="184">AVERAGE(B2215:C2215)</f>
        <v>7350</v>
      </c>
    </row>
    <row r="2216" spans="1:4" ht="15" customHeight="1">
      <c r="A2216" s="335">
        <v>42201</v>
      </c>
      <c r="B2216" s="336">
        <v>7100</v>
      </c>
      <c r="C2216" s="336">
        <v>7600</v>
      </c>
      <c r="D2216" s="337">
        <f t="shared" ref="D2216" si="185">AVERAGE(B2216:C2216)</f>
        <v>7350</v>
      </c>
    </row>
    <row r="2217" spans="1:4" ht="15" customHeight="1">
      <c r="A2217" s="335">
        <v>42202</v>
      </c>
      <c r="B2217" s="336">
        <v>7100</v>
      </c>
      <c r="C2217" s="336">
        <v>7600</v>
      </c>
      <c r="D2217" s="337">
        <f t="shared" ref="D2217" si="186">AVERAGE(B2217:C2217)</f>
        <v>7350</v>
      </c>
    </row>
    <row r="2218" spans="1:4" ht="15" customHeight="1">
      <c r="A2218" s="335">
        <v>42205</v>
      </c>
      <c r="B2218" s="336">
        <v>7100</v>
      </c>
      <c r="C2218" s="336">
        <v>7600</v>
      </c>
      <c r="D2218" s="337">
        <f t="shared" ref="D2218" si="187">AVERAGE(B2218:C2218)</f>
        <v>7350</v>
      </c>
    </row>
    <row r="2219" spans="1:4" ht="15" customHeight="1">
      <c r="A2219" s="335">
        <v>42206</v>
      </c>
      <c r="B2219" s="336">
        <v>7100</v>
      </c>
      <c r="C2219" s="336">
        <v>7600</v>
      </c>
      <c r="D2219" s="337">
        <f t="shared" ref="D2219" si="188">AVERAGE(B2219:C2219)</f>
        <v>7350</v>
      </c>
    </row>
    <row r="2220" spans="1:4" ht="15" customHeight="1">
      <c r="A2220" s="335">
        <v>42207</v>
      </c>
      <c r="B2220" s="336">
        <v>7100</v>
      </c>
      <c r="C2220" s="336">
        <v>7600</v>
      </c>
      <c r="D2220" s="337">
        <f t="shared" ref="D2220" si="189">AVERAGE(B2220:C2220)</f>
        <v>7350</v>
      </c>
    </row>
    <row r="2221" spans="1:4" ht="15" customHeight="1">
      <c r="A2221" s="335">
        <v>42208</v>
      </c>
      <c r="B2221" s="336">
        <v>7100</v>
      </c>
      <c r="C2221" s="336">
        <v>7600</v>
      </c>
      <c r="D2221" s="337">
        <f t="shared" ref="D2221" si="190">AVERAGE(B2221:C2221)</f>
        <v>7350</v>
      </c>
    </row>
    <row r="2222" spans="1:4" ht="15" customHeight="1">
      <c r="A2222" s="335">
        <v>42209</v>
      </c>
      <c r="B2222" s="336">
        <v>7100</v>
      </c>
      <c r="C2222" s="336">
        <v>7600</v>
      </c>
      <c r="D2222" s="337">
        <f t="shared" ref="D2222" si="191">AVERAGE(B2222:C2222)</f>
        <v>7350</v>
      </c>
    </row>
    <row r="2223" spans="1:4" ht="15" customHeight="1">
      <c r="A2223" s="335">
        <v>42212</v>
      </c>
      <c r="B2223" s="336">
        <v>7100</v>
      </c>
      <c r="C2223" s="336">
        <v>7600</v>
      </c>
      <c r="D2223" s="337">
        <f t="shared" ref="D2223" si="192">AVERAGE(B2223:C2223)</f>
        <v>7350</v>
      </c>
    </row>
    <row r="2224" spans="1:4" ht="15" customHeight="1">
      <c r="A2224" s="335">
        <v>42213</v>
      </c>
      <c r="B2224" s="336">
        <v>7100</v>
      </c>
      <c r="C2224" s="336">
        <v>7600</v>
      </c>
      <c r="D2224" s="337">
        <f t="shared" ref="D2224" si="193">AVERAGE(B2224:C2224)</f>
        <v>7350</v>
      </c>
    </row>
    <row r="2225" spans="1:9" ht="15" customHeight="1">
      <c r="A2225" s="335">
        <v>42214</v>
      </c>
      <c r="B2225" s="336">
        <v>7100</v>
      </c>
      <c r="C2225" s="336">
        <v>7600</v>
      </c>
      <c r="D2225" s="337">
        <f t="shared" ref="D2225" si="194">AVERAGE(B2225:C2225)</f>
        <v>7350</v>
      </c>
    </row>
    <row r="2226" spans="1:9" ht="15" customHeight="1">
      <c r="A2226" s="335">
        <v>42215</v>
      </c>
      <c r="B2226" s="336">
        <v>7100</v>
      </c>
      <c r="C2226" s="336">
        <v>7600</v>
      </c>
      <c r="D2226" s="337">
        <f t="shared" ref="D2226" si="195">AVERAGE(B2226:C2226)</f>
        <v>7350</v>
      </c>
    </row>
    <row r="2227" spans="1:9" ht="15" customHeight="1" thickBot="1">
      <c r="A2227" s="340">
        <v>42216</v>
      </c>
      <c r="B2227" s="341">
        <v>7100</v>
      </c>
      <c r="C2227" s="341">
        <v>7600</v>
      </c>
      <c r="D2227" s="342">
        <f t="shared" ref="D2227" si="196">AVERAGE(B2227:C2227)</f>
        <v>7350</v>
      </c>
      <c r="E2227" s="360">
        <f>AVERAGE(D2205:D2227)</f>
        <v>7516.304347826087</v>
      </c>
      <c r="F2227" s="360">
        <f>AVERAGE(D2077:D2227)</f>
        <v>8306.4625850340144</v>
      </c>
      <c r="G2227" s="344"/>
      <c r="H2227" s="354"/>
      <c r="I2227" s="358"/>
    </row>
    <row r="2228" spans="1:9" ht="15" customHeight="1">
      <c r="A2228" s="335">
        <v>42219</v>
      </c>
      <c r="B2228" s="345">
        <v>7100</v>
      </c>
      <c r="C2228" s="345">
        <v>7600</v>
      </c>
      <c r="D2228" s="346">
        <f t="shared" ref="D2228" si="197">AVERAGE(B2228:C2228)</f>
        <v>7350</v>
      </c>
    </row>
    <row r="2229" spans="1:9" ht="15" customHeight="1">
      <c r="A2229" s="335">
        <v>42220</v>
      </c>
      <c r="B2229" s="345">
        <v>7100</v>
      </c>
      <c r="C2229" s="345">
        <v>7600</v>
      </c>
      <c r="D2229" s="346">
        <f t="shared" ref="D2229" si="198">AVERAGE(B2229:C2229)</f>
        <v>7350</v>
      </c>
    </row>
    <row r="2230" spans="1:9" ht="15" customHeight="1">
      <c r="A2230" s="335">
        <v>42221</v>
      </c>
      <c r="B2230" s="345">
        <v>7100</v>
      </c>
      <c r="C2230" s="345">
        <v>7600</v>
      </c>
      <c r="D2230" s="346">
        <f t="shared" ref="D2230" si="199">AVERAGE(B2230:C2230)</f>
        <v>7350</v>
      </c>
    </row>
    <row r="2231" spans="1:9" ht="15" customHeight="1">
      <c r="A2231" s="335">
        <v>42222</v>
      </c>
      <c r="B2231" s="345">
        <v>7100</v>
      </c>
      <c r="C2231" s="345">
        <v>7600</v>
      </c>
      <c r="D2231" s="346">
        <f t="shared" ref="D2231" si="200">AVERAGE(B2231:C2231)</f>
        <v>7350</v>
      </c>
    </row>
    <row r="2232" spans="1:9" ht="15" customHeight="1">
      <c r="A2232" s="335">
        <v>42223</v>
      </c>
      <c r="B2232" s="345">
        <v>7100</v>
      </c>
      <c r="C2232" s="345">
        <v>7600</v>
      </c>
      <c r="D2232" s="346">
        <f t="shared" ref="D2232:D2235" si="201">AVERAGE(B2232:C2232)</f>
        <v>7350</v>
      </c>
    </row>
    <row r="2233" spans="1:9" ht="15" customHeight="1">
      <c r="A2233" s="335">
        <v>42226</v>
      </c>
      <c r="B2233" s="336">
        <v>7100</v>
      </c>
      <c r="C2233" s="336">
        <v>7600</v>
      </c>
      <c r="D2233" s="346">
        <f t="shared" si="201"/>
        <v>7350</v>
      </c>
    </row>
    <row r="2234" spans="1:9" ht="15" customHeight="1">
      <c r="A2234" s="335">
        <v>42227</v>
      </c>
      <c r="B2234" s="336">
        <v>7100</v>
      </c>
      <c r="C2234" s="336">
        <v>7600</v>
      </c>
      <c r="D2234" s="346">
        <f t="shared" si="201"/>
        <v>7350</v>
      </c>
    </row>
    <row r="2235" spans="1:9" ht="15" customHeight="1">
      <c r="A2235" s="335">
        <v>42228</v>
      </c>
      <c r="B2235" s="336">
        <v>7100</v>
      </c>
      <c r="C2235" s="336">
        <v>7600</v>
      </c>
      <c r="D2235" s="346">
        <f t="shared" si="201"/>
        <v>7350</v>
      </c>
    </row>
    <row r="2236" spans="1:9" ht="15" customHeight="1">
      <c r="A2236" s="335">
        <v>42229</v>
      </c>
      <c r="B2236" s="336">
        <v>7100</v>
      </c>
      <c r="C2236" s="336">
        <v>7600</v>
      </c>
      <c r="D2236" s="346">
        <f t="shared" ref="D2236" si="202">AVERAGE(B2236:C2236)</f>
        <v>7350</v>
      </c>
    </row>
    <row r="2237" spans="1:9" ht="15" customHeight="1">
      <c r="A2237" s="335">
        <v>42230</v>
      </c>
      <c r="B2237" s="336">
        <v>7100</v>
      </c>
      <c r="C2237" s="336">
        <v>7600</v>
      </c>
      <c r="D2237" s="346">
        <f t="shared" ref="D2237:D2244" si="203">AVERAGE(B2237:C2237)</f>
        <v>7350</v>
      </c>
    </row>
    <row r="2238" spans="1:9" ht="15" customHeight="1">
      <c r="A2238" s="335">
        <v>42233</v>
      </c>
      <c r="B2238" s="336">
        <v>7100</v>
      </c>
      <c r="C2238" s="336">
        <v>7600</v>
      </c>
      <c r="D2238" s="346">
        <f t="shared" si="203"/>
        <v>7350</v>
      </c>
    </row>
    <row r="2239" spans="1:9" ht="15" customHeight="1">
      <c r="A2239" s="335">
        <v>42234</v>
      </c>
      <c r="B2239" s="336">
        <v>7100</v>
      </c>
      <c r="C2239" s="336">
        <v>7600</v>
      </c>
      <c r="D2239" s="346">
        <f t="shared" si="203"/>
        <v>7350</v>
      </c>
    </row>
    <row r="2240" spans="1:9" ht="15" customHeight="1">
      <c r="A2240" s="335">
        <v>42235</v>
      </c>
      <c r="B2240" s="336">
        <v>7100</v>
      </c>
      <c r="C2240" s="336">
        <v>7600</v>
      </c>
      <c r="D2240" s="346">
        <f t="shared" si="203"/>
        <v>7350</v>
      </c>
    </row>
    <row r="2241" spans="1:9" ht="15" customHeight="1">
      <c r="A2241" s="335">
        <v>42236</v>
      </c>
      <c r="B2241" s="336">
        <v>7100</v>
      </c>
      <c r="C2241" s="336">
        <v>7600</v>
      </c>
      <c r="D2241" s="346">
        <f t="shared" si="203"/>
        <v>7350</v>
      </c>
    </row>
    <row r="2242" spans="1:9" ht="15" customHeight="1">
      <c r="A2242" s="335">
        <v>42237</v>
      </c>
      <c r="B2242" s="336">
        <v>7100</v>
      </c>
      <c r="C2242" s="336">
        <v>7600</v>
      </c>
      <c r="D2242" s="346">
        <f t="shared" si="203"/>
        <v>7350</v>
      </c>
    </row>
    <row r="2243" spans="1:9" ht="15" customHeight="1">
      <c r="A2243" s="335">
        <v>42240</v>
      </c>
      <c r="B2243" s="336">
        <v>7100</v>
      </c>
      <c r="C2243" s="336">
        <v>7600</v>
      </c>
      <c r="D2243" s="337">
        <f t="shared" si="203"/>
        <v>7350</v>
      </c>
    </row>
    <row r="2244" spans="1:9" ht="15" customHeight="1">
      <c r="A2244" s="335">
        <v>42241</v>
      </c>
      <c r="B2244" s="336">
        <v>7100</v>
      </c>
      <c r="C2244" s="336">
        <v>7600</v>
      </c>
      <c r="D2244" s="337">
        <f t="shared" si="203"/>
        <v>7350</v>
      </c>
    </row>
    <row r="2245" spans="1:9" ht="15" customHeight="1">
      <c r="A2245" s="335">
        <v>42242</v>
      </c>
      <c r="B2245" s="336">
        <v>7100</v>
      </c>
      <c r="C2245" s="336">
        <v>7600</v>
      </c>
      <c r="D2245" s="337">
        <f t="shared" ref="D2245" si="204">AVERAGE(B2245:C2245)</f>
        <v>7350</v>
      </c>
    </row>
    <row r="2246" spans="1:9" ht="15" customHeight="1">
      <c r="A2246" s="335">
        <v>42243</v>
      </c>
      <c r="B2246" s="336">
        <v>7100</v>
      </c>
      <c r="C2246" s="336">
        <v>7600</v>
      </c>
      <c r="D2246" s="337">
        <f t="shared" ref="D2246" si="205">AVERAGE(B2246:C2246)</f>
        <v>7350</v>
      </c>
    </row>
    <row r="2247" spans="1:9" ht="15" customHeight="1">
      <c r="A2247" s="335">
        <v>42244</v>
      </c>
      <c r="B2247" s="336">
        <v>7100</v>
      </c>
      <c r="C2247" s="336">
        <v>7600</v>
      </c>
      <c r="D2247" s="337">
        <f t="shared" ref="D2247" si="206">AVERAGE(B2247:C2247)</f>
        <v>7350</v>
      </c>
    </row>
    <row r="2248" spans="1:9" ht="15" customHeight="1" thickBot="1">
      <c r="A2248" s="340">
        <v>42247</v>
      </c>
      <c r="B2248" s="1415" t="s">
        <v>88</v>
      </c>
      <c r="C2248" s="1415"/>
      <c r="D2248" s="1415"/>
      <c r="E2248" s="360">
        <f>AVERAGE(D2228:D2247)</f>
        <v>7350</v>
      </c>
      <c r="F2248" s="360">
        <f>AVERAGE(D2077:D2247)</f>
        <v>8191.9161676646709</v>
      </c>
      <c r="G2248" s="344"/>
      <c r="H2248" s="354"/>
      <c r="I2248" s="358"/>
    </row>
    <row r="2249" spans="1:9" ht="15" customHeight="1">
      <c r="A2249" s="335">
        <v>42248</v>
      </c>
      <c r="B2249" s="336">
        <v>7100</v>
      </c>
      <c r="C2249" s="336">
        <v>7600</v>
      </c>
      <c r="D2249" s="337">
        <f t="shared" ref="D2249" si="207">AVERAGE(B2249:C2249)</f>
        <v>7350</v>
      </c>
    </row>
    <row r="2250" spans="1:9" ht="15" customHeight="1">
      <c r="A2250" s="335">
        <v>42249</v>
      </c>
      <c r="B2250" s="336">
        <v>7100</v>
      </c>
      <c r="C2250" s="336">
        <v>7600</v>
      </c>
      <c r="D2250" s="337">
        <f t="shared" ref="D2250" si="208">AVERAGE(B2250:C2250)</f>
        <v>7350</v>
      </c>
    </row>
    <row r="2251" spans="1:9" ht="15" customHeight="1">
      <c r="A2251" s="335">
        <v>42250</v>
      </c>
      <c r="B2251" s="336">
        <v>7100</v>
      </c>
      <c r="C2251" s="336">
        <v>7600</v>
      </c>
      <c r="D2251" s="337">
        <f t="shared" ref="D2251" si="209">AVERAGE(B2251:C2251)</f>
        <v>7350</v>
      </c>
    </row>
    <row r="2252" spans="1:9" ht="15" customHeight="1">
      <c r="A2252" s="335">
        <v>42251</v>
      </c>
      <c r="B2252" s="336">
        <v>7100</v>
      </c>
      <c r="C2252" s="336">
        <v>7600</v>
      </c>
      <c r="D2252" s="337">
        <f t="shared" ref="D2252" si="210">AVERAGE(B2252:C2252)</f>
        <v>7350</v>
      </c>
    </row>
    <row r="2253" spans="1:9" ht="15" customHeight="1">
      <c r="A2253" s="335">
        <v>42254</v>
      </c>
      <c r="B2253" s="336">
        <v>7100</v>
      </c>
      <c r="C2253" s="336">
        <v>7600</v>
      </c>
      <c r="D2253" s="337">
        <f t="shared" ref="D2253" si="211">AVERAGE(B2253:C2253)</f>
        <v>7350</v>
      </c>
    </row>
    <row r="2254" spans="1:9" ht="15" customHeight="1">
      <c r="A2254" s="335">
        <v>42255</v>
      </c>
      <c r="B2254" s="336">
        <v>7100</v>
      </c>
      <c r="C2254" s="336">
        <v>7600</v>
      </c>
      <c r="D2254" s="337">
        <f t="shared" ref="D2254" si="212">AVERAGE(B2254:C2254)</f>
        <v>7350</v>
      </c>
    </row>
    <row r="2255" spans="1:9" ht="15" customHeight="1">
      <c r="A2255" s="335">
        <v>42256</v>
      </c>
      <c r="B2255" s="336">
        <v>7100</v>
      </c>
      <c r="C2255" s="336">
        <v>7600</v>
      </c>
      <c r="D2255" s="337">
        <f t="shared" ref="D2255" si="213">AVERAGE(B2255:C2255)</f>
        <v>7350</v>
      </c>
    </row>
    <row r="2256" spans="1:9" ht="15" customHeight="1">
      <c r="A2256" s="335">
        <v>42257</v>
      </c>
      <c r="B2256" s="336">
        <v>7100</v>
      </c>
      <c r="C2256" s="336">
        <v>7600</v>
      </c>
      <c r="D2256" s="337">
        <f t="shared" ref="D2256" si="214">AVERAGE(B2256:C2256)</f>
        <v>7350</v>
      </c>
    </row>
    <row r="2257" spans="1:9" ht="15" customHeight="1">
      <c r="A2257" s="335">
        <v>42258</v>
      </c>
      <c r="B2257" s="336">
        <v>7100</v>
      </c>
      <c r="C2257" s="336">
        <v>7600</v>
      </c>
      <c r="D2257" s="337">
        <f t="shared" ref="D2257" si="215">AVERAGE(B2257:C2257)</f>
        <v>7350</v>
      </c>
    </row>
    <row r="2258" spans="1:9" ht="15" customHeight="1">
      <c r="A2258" s="335">
        <v>42261</v>
      </c>
      <c r="B2258" s="336">
        <v>7100</v>
      </c>
      <c r="C2258" s="336">
        <v>7600</v>
      </c>
      <c r="D2258" s="337">
        <f t="shared" ref="D2258" si="216">AVERAGE(B2258:C2258)</f>
        <v>7350</v>
      </c>
    </row>
    <row r="2259" spans="1:9" ht="15" customHeight="1">
      <c r="A2259" s="335">
        <v>42262</v>
      </c>
      <c r="B2259" s="336">
        <v>7100</v>
      </c>
      <c r="C2259" s="336">
        <v>7600</v>
      </c>
      <c r="D2259" s="337">
        <f t="shared" ref="D2259" si="217">AVERAGE(B2259:C2259)</f>
        <v>7350</v>
      </c>
    </row>
    <row r="2260" spans="1:9" ht="15" customHeight="1">
      <c r="A2260" s="335">
        <v>42263</v>
      </c>
      <c r="B2260" s="336">
        <v>7100</v>
      </c>
      <c r="C2260" s="336">
        <v>7600</v>
      </c>
      <c r="D2260" s="337">
        <f t="shared" ref="D2260" si="218">AVERAGE(B2260:C2260)</f>
        <v>7350</v>
      </c>
    </row>
    <row r="2261" spans="1:9" ht="15" customHeight="1">
      <c r="A2261" s="335">
        <v>42264</v>
      </c>
      <c r="B2261" s="336">
        <v>7100</v>
      </c>
      <c r="C2261" s="336">
        <v>7600</v>
      </c>
      <c r="D2261" s="337">
        <f t="shared" ref="D2261" si="219">AVERAGE(B2261:C2261)</f>
        <v>7350</v>
      </c>
    </row>
    <row r="2262" spans="1:9" ht="15" customHeight="1">
      <c r="A2262" s="335">
        <v>42265</v>
      </c>
      <c r="B2262" s="336">
        <v>7100</v>
      </c>
      <c r="C2262" s="336">
        <v>7600</v>
      </c>
      <c r="D2262" s="337">
        <f t="shared" ref="D2262" si="220">AVERAGE(B2262:C2262)</f>
        <v>7350</v>
      </c>
    </row>
    <row r="2263" spans="1:9" ht="15" customHeight="1">
      <c r="A2263" s="335">
        <v>42268</v>
      </c>
      <c r="B2263" s="336">
        <v>7100</v>
      </c>
      <c r="C2263" s="336">
        <v>7600</v>
      </c>
      <c r="D2263" s="337">
        <f t="shared" ref="D2263" si="221">AVERAGE(B2263:C2263)</f>
        <v>7350</v>
      </c>
    </row>
    <row r="2264" spans="1:9" ht="15" customHeight="1">
      <c r="A2264" s="335">
        <v>42269</v>
      </c>
      <c r="B2264" s="336">
        <v>7100</v>
      </c>
      <c r="C2264" s="336">
        <v>7600</v>
      </c>
      <c r="D2264" s="337">
        <f t="shared" ref="D2264" si="222">AVERAGE(B2264:C2264)</f>
        <v>7350</v>
      </c>
    </row>
    <row r="2265" spans="1:9" ht="15" customHeight="1">
      <c r="A2265" s="335">
        <v>42270</v>
      </c>
      <c r="B2265" s="336">
        <v>7100</v>
      </c>
      <c r="C2265" s="336">
        <v>7600</v>
      </c>
      <c r="D2265" s="337">
        <f t="shared" ref="D2265" si="223">AVERAGE(B2265:C2265)</f>
        <v>7350</v>
      </c>
    </row>
    <row r="2266" spans="1:9" ht="15" customHeight="1">
      <c r="A2266" s="335">
        <v>42271</v>
      </c>
      <c r="B2266" s="336">
        <v>7100</v>
      </c>
      <c r="C2266" s="336">
        <v>7600</v>
      </c>
      <c r="D2266" s="337">
        <f t="shared" ref="D2266" si="224">AVERAGE(B2266:C2266)</f>
        <v>7350</v>
      </c>
    </row>
    <row r="2267" spans="1:9" ht="15" customHeight="1">
      <c r="A2267" s="335">
        <v>42272</v>
      </c>
      <c r="B2267" s="336">
        <v>7100</v>
      </c>
      <c r="C2267" s="336">
        <v>7600</v>
      </c>
      <c r="D2267" s="337">
        <f t="shared" ref="D2267" si="225">AVERAGE(B2267:C2267)</f>
        <v>7350</v>
      </c>
    </row>
    <row r="2268" spans="1:9" ht="15" customHeight="1">
      <c r="A2268" s="335">
        <v>42275</v>
      </c>
      <c r="B2268" s="336">
        <v>7100</v>
      </c>
      <c r="C2268" s="336">
        <v>7600</v>
      </c>
      <c r="D2268" s="337">
        <f t="shared" ref="D2268" si="226">AVERAGE(B2268:C2268)</f>
        <v>7350</v>
      </c>
    </row>
    <row r="2269" spans="1:9" ht="15" customHeight="1">
      <c r="A2269" s="335">
        <v>42276</v>
      </c>
      <c r="B2269" s="336">
        <v>7100</v>
      </c>
      <c r="C2269" s="336">
        <v>7600</v>
      </c>
      <c r="D2269" s="337">
        <f t="shared" ref="D2269" si="227">AVERAGE(B2269:C2269)</f>
        <v>7350</v>
      </c>
    </row>
    <row r="2270" spans="1:9" ht="15" customHeight="1" thickBot="1">
      <c r="A2270" s="340">
        <v>42277</v>
      </c>
      <c r="B2270" s="341">
        <v>7100</v>
      </c>
      <c r="C2270" s="341">
        <v>7600</v>
      </c>
      <c r="D2270" s="342">
        <f t="shared" ref="D2270" si="228">AVERAGE(B2270:C2270)</f>
        <v>7350</v>
      </c>
      <c r="E2270" s="360">
        <f>AVERAGE(D2249:D2270)</f>
        <v>7350</v>
      </c>
      <c r="F2270" s="360">
        <f>AVERAGE(D2077:D2270)</f>
        <v>8093.9153439153442</v>
      </c>
      <c r="G2270" s="344"/>
      <c r="H2270" s="354"/>
      <c r="I2270" s="358"/>
    </row>
    <row r="2271" spans="1:9" ht="15" customHeight="1">
      <c r="A2271" s="335">
        <v>42278</v>
      </c>
      <c r="B2271" s="336">
        <v>7100</v>
      </c>
      <c r="C2271" s="336">
        <v>7600</v>
      </c>
      <c r="D2271" s="337">
        <f t="shared" ref="D2271:D2277" si="229">AVERAGE(B2271:C2271)</f>
        <v>7350</v>
      </c>
    </row>
    <row r="2272" spans="1:9" ht="15" customHeight="1">
      <c r="A2272" s="335">
        <v>42279</v>
      </c>
      <c r="B2272" s="336">
        <v>7100</v>
      </c>
      <c r="C2272" s="336">
        <v>7600</v>
      </c>
      <c r="D2272" s="337">
        <f t="shared" si="229"/>
        <v>7350</v>
      </c>
    </row>
    <row r="2273" spans="1:4" ht="15" customHeight="1">
      <c r="A2273" s="335">
        <v>42282</v>
      </c>
      <c r="B2273" s="336">
        <v>7100</v>
      </c>
      <c r="C2273" s="336">
        <v>7600</v>
      </c>
      <c r="D2273" s="337">
        <f t="shared" si="229"/>
        <v>7350</v>
      </c>
    </row>
    <row r="2274" spans="1:4" ht="15" customHeight="1">
      <c r="A2274" s="335">
        <v>42283</v>
      </c>
      <c r="B2274" s="336">
        <v>7100</v>
      </c>
      <c r="C2274" s="336">
        <v>7600</v>
      </c>
      <c r="D2274" s="337">
        <f t="shared" si="229"/>
        <v>7350</v>
      </c>
    </row>
    <row r="2275" spans="1:4" ht="15" customHeight="1">
      <c r="A2275" s="335">
        <v>42284</v>
      </c>
      <c r="B2275" s="336">
        <v>7100</v>
      </c>
      <c r="C2275" s="336">
        <v>7600</v>
      </c>
      <c r="D2275" s="337">
        <f t="shared" si="229"/>
        <v>7350</v>
      </c>
    </row>
    <row r="2276" spans="1:4" ht="15" customHeight="1">
      <c r="A2276" s="335">
        <v>42285</v>
      </c>
      <c r="B2276" s="336">
        <v>7100</v>
      </c>
      <c r="C2276" s="336">
        <v>7600</v>
      </c>
      <c r="D2276" s="337">
        <f t="shared" si="229"/>
        <v>7350</v>
      </c>
    </row>
    <row r="2277" spans="1:4" ht="15" customHeight="1">
      <c r="A2277" s="335">
        <v>42286</v>
      </c>
      <c r="B2277" s="336">
        <v>7100</v>
      </c>
      <c r="C2277" s="336">
        <v>7600</v>
      </c>
      <c r="D2277" s="337">
        <f t="shared" si="229"/>
        <v>7350</v>
      </c>
    </row>
    <row r="2278" spans="1:4" ht="15" customHeight="1">
      <c r="A2278" s="335">
        <v>42289</v>
      </c>
      <c r="B2278" s="336">
        <v>7100</v>
      </c>
      <c r="C2278" s="336">
        <v>7600</v>
      </c>
      <c r="D2278" s="337">
        <f t="shared" ref="D2278" si="230">AVERAGE(B2278:C2278)</f>
        <v>7350</v>
      </c>
    </row>
    <row r="2279" spans="1:4" ht="15" customHeight="1">
      <c r="A2279" s="335">
        <v>42290</v>
      </c>
      <c r="B2279" s="336">
        <v>7100</v>
      </c>
      <c r="C2279" s="336">
        <v>7600</v>
      </c>
      <c r="D2279" s="337">
        <f t="shared" ref="D2279" si="231">AVERAGE(B2279:C2279)</f>
        <v>7350</v>
      </c>
    </row>
    <row r="2280" spans="1:4" ht="15" customHeight="1">
      <c r="A2280" s="335">
        <v>42291</v>
      </c>
      <c r="B2280" s="336">
        <v>7100</v>
      </c>
      <c r="C2280" s="336">
        <v>7600</v>
      </c>
      <c r="D2280" s="337">
        <f t="shared" ref="D2280" si="232">AVERAGE(B2280:C2280)</f>
        <v>7350</v>
      </c>
    </row>
    <row r="2281" spans="1:4" ht="15" customHeight="1">
      <c r="A2281" s="335">
        <v>42292</v>
      </c>
      <c r="B2281" s="336">
        <v>7100</v>
      </c>
      <c r="C2281" s="336">
        <v>7600</v>
      </c>
      <c r="D2281" s="337">
        <f t="shared" ref="D2281:D2283" si="233">AVERAGE(B2281:C2281)</f>
        <v>7350</v>
      </c>
    </row>
    <row r="2282" spans="1:4" ht="15" customHeight="1">
      <c r="A2282" s="335">
        <v>42293</v>
      </c>
      <c r="B2282" s="336">
        <v>6000</v>
      </c>
      <c r="C2282" s="336">
        <v>6500</v>
      </c>
      <c r="D2282" s="337">
        <f t="shared" si="233"/>
        <v>6250</v>
      </c>
    </row>
    <row r="2283" spans="1:4" ht="15" customHeight="1">
      <c r="A2283" s="335">
        <v>42296</v>
      </c>
      <c r="B2283" s="336">
        <v>6000</v>
      </c>
      <c r="C2283" s="336">
        <v>6500</v>
      </c>
      <c r="D2283" s="337">
        <f t="shared" si="233"/>
        <v>6250</v>
      </c>
    </row>
    <row r="2284" spans="1:4" ht="15" customHeight="1">
      <c r="A2284" s="335">
        <v>42297</v>
      </c>
      <c r="B2284" s="336">
        <v>6000</v>
      </c>
      <c r="C2284" s="336">
        <v>6500</v>
      </c>
      <c r="D2284" s="337">
        <f t="shared" ref="D2284" si="234">AVERAGE(B2284:C2284)</f>
        <v>6250</v>
      </c>
    </row>
    <row r="2285" spans="1:4" ht="15" customHeight="1">
      <c r="A2285" s="335">
        <v>42298</v>
      </c>
      <c r="B2285" s="336">
        <v>6000</v>
      </c>
      <c r="C2285" s="336">
        <v>6500</v>
      </c>
      <c r="D2285" s="337">
        <f t="shared" ref="D2285" si="235">AVERAGE(B2285:C2285)</f>
        <v>6250</v>
      </c>
    </row>
    <row r="2286" spans="1:4" ht="15" customHeight="1">
      <c r="A2286" s="335">
        <v>42299</v>
      </c>
      <c r="B2286" s="336">
        <v>6000</v>
      </c>
      <c r="C2286" s="336">
        <v>6500</v>
      </c>
      <c r="D2286" s="337">
        <f t="shared" ref="D2286" si="236">AVERAGE(B2286:C2286)</f>
        <v>6250</v>
      </c>
    </row>
    <row r="2287" spans="1:4" ht="15" customHeight="1">
      <c r="A2287" s="335">
        <v>42300</v>
      </c>
      <c r="B2287" s="336">
        <v>6000</v>
      </c>
      <c r="C2287" s="336">
        <v>6500</v>
      </c>
      <c r="D2287" s="337">
        <f t="shared" ref="D2287" si="237">AVERAGE(B2287:C2287)</f>
        <v>6250</v>
      </c>
    </row>
    <row r="2288" spans="1:4" ht="15" customHeight="1">
      <c r="A2288" s="335">
        <v>42303</v>
      </c>
      <c r="B2288" s="336">
        <v>6000</v>
      </c>
      <c r="C2288" s="336">
        <v>6500</v>
      </c>
      <c r="D2288" s="337">
        <f t="shared" ref="D2288" si="238">AVERAGE(B2288:C2288)</f>
        <v>6250</v>
      </c>
    </row>
    <row r="2289" spans="1:9" ht="15" customHeight="1">
      <c r="A2289" s="335">
        <v>42304</v>
      </c>
      <c r="B2289" s="336">
        <v>6000</v>
      </c>
      <c r="C2289" s="336">
        <v>6500</v>
      </c>
      <c r="D2289" s="337">
        <f t="shared" ref="D2289" si="239">AVERAGE(B2289:C2289)</f>
        <v>6250</v>
      </c>
    </row>
    <row r="2290" spans="1:9" ht="15" customHeight="1">
      <c r="A2290" s="335">
        <v>42305</v>
      </c>
      <c r="B2290" s="336">
        <v>6000</v>
      </c>
      <c r="C2290" s="336">
        <v>6500</v>
      </c>
      <c r="D2290" s="337">
        <f t="shared" ref="D2290" si="240">AVERAGE(B2290:C2290)</f>
        <v>6250</v>
      </c>
    </row>
    <row r="2291" spans="1:9" ht="15" customHeight="1">
      <c r="A2291" s="335">
        <v>42306</v>
      </c>
      <c r="B2291" s="336">
        <v>6000</v>
      </c>
      <c r="C2291" s="336">
        <v>6500</v>
      </c>
      <c r="D2291" s="337">
        <f t="shared" ref="D2291" si="241">AVERAGE(B2291:C2291)</f>
        <v>6250</v>
      </c>
    </row>
    <row r="2292" spans="1:9" ht="15" customHeight="1" thickBot="1">
      <c r="A2292" s="340">
        <v>42307</v>
      </c>
      <c r="B2292" s="341">
        <v>6000</v>
      </c>
      <c r="C2292" s="341">
        <v>6500</v>
      </c>
      <c r="D2292" s="342">
        <f t="shared" ref="D2292:D2293" si="242">AVERAGE(B2292:C2292)</f>
        <v>6250</v>
      </c>
      <c r="E2292" s="360">
        <f>AVERAGE(D2271:D2292)</f>
        <v>6800</v>
      </c>
      <c r="F2292" s="360">
        <f>AVERAGE(D2077:D2292)</f>
        <v>7959.004739336493</v>
      </c>
      <c r="G2292" s="344"/>
      <c r="H2292" s="354"/>
      <c r="I2292" s="358"/>
    </row>
    <row r="2293" spans="1:9" ht="15" customHeight="1">
      <c r="A2293" s="335">
        <v>42310</v>
      </c>
      <c r="B2293" s="336">
        <v>5900</v>
      </c>
      <c r="C2293" s="336">
        <v>6300</v>
      </c>
      <c r="D2293" s="337">
        <f t="shared" si="242"/>
        <v>6100</v>
      </c>
    </row>
    <row r="2294" spans="1:9" ht="15" customHeight="1">
      <c r="A2294" s="335">
        <v>42311</v>
      </c>
      <c r="B2294" s="336">
        <v>5900</v>
      </c>
      <c r="C2294" s="336">
        <v>6300</v>
      </c>
      <c r="D2294" s="337">
        <f t="shared" ref="D2294" si="243">AVERAGE(B2294:C2294)</f>
        <v>6100</v>
      </c>
    </row>
    <row r="2295" spans="1:9" ht="15" customHeight="1">
      <c r="A2295" s="335">
        <v>42312</v>
      </c>
      <c r="B2295" s="336">
        <v>5900</v>
      </c>
      <c r="C2295" s="336">
        <v>6300</v>
      </c>
      <c r="D2295" s="337">
        <f t="shared" ref="D2295" si="244">AVERAGE(B2295:C2295)</f>
        <v>6100</v>
      </c>
    </row>
    <row r="2296" spans="1:9" ht="15" customHeight="1">
      <c r="A2296" s="335">
        <v>42313</v>
      </c>
      <c r="B2296" s="336">
        <v>5900</v>
      </c>
      <c r="C2296" s="336">
        <v>6300</v>
      </c>
      <c r="D2296" s="337">
        <f t="shared" ref="D2296" si="245">AVERAGE(B2296:C2296)</f>
        <v>6100</v>
      </c>
    </row>
    <row r="2297" spans="1:9" ht="15" customHeight="1">
      <c r="A2297" s="335">
        <v>42314</v>
      </c>
      <c r="B2297" s="336">
        <v>5900</v>
      </c>
      <c r="C2297" s="336">
        <v>6300</v>
      </c>
      <c r="D2297" s="337">
        <f t="shared" ref="D2297" si="246">AVERAGE(B2297:C2297)</f>
        <v>6100</v>
      </c>
    </row>
    <row r="2298" spans="1:9" ht="15" customHeight="1">
      <c r="A2298" s="335">
        <v>42317</v>
      </c>
      <c r="B2298" s="336">
        <v>5900</v>
      </c>
      <c r="C2298" s="336">
        <v>6300</v>
      </c>
      <c r="D2298" s="337">
        <f t="shared" ref="D2298" si="247">AVERAGE(B2298:C2298)</f>
        <v>6100</v>
      </c>
    </row>
    <row r="2299" spans="1:9" ht="15" customHeight="1">
      <c r="A2299" s="335">
        <v>42318</v>
      </c>
      <c r="B2299" s="336">
        <v>5900</v>
      </c>
      <c r="C2299" s="336">
        <v>6300</v>
      </c>
      <c r="D2299" s="337">
        <f t="shared" ref="D2299" si="248">AVERAGE(B2299:C2299)</f>
        <v>6100</v>
      </c>
    </row>
    <row r="2300" spans="1:9" ht="15" customHeight="1">
      <c r="A2300" s="335">
        <v>42319</v>
      </c>
      <c r="B2300" s="336">
        <v>5900</v>
      </c>
      <c r="C2300" s="336">
        <v>6300</v>
      </c>
      <c r="D2300" s="337">
        <f t="shared" ref="D2300" si="249">AVERAGE(B2300:C2300)</f>
        <v>6100</v>
      </c>
    </row>
    <row r="2301" spans="1:9" ht="15" customHeight="1">
      <c r="A2301" s="335">
        <v>42320</v>
      </c>
      <c r="B2301" s="336">
        <v>5900</v>
      </c>
      <c r="C2301" s="336">
        <v>6300</v>
      </c>
      <c r="D2301" s="337">
        <f t="shared" ref="D2301:D2302" si="250">AVERAGE(B2301:C2301)</f>
        <v>6100</v>
      </c>
    </row>
    <row r="2302" spans="1:9" ht="15" customHeight="1">
      <c r="A2302" s="335">
        <v>42321</v>
      </c>
      <c r="B2302" s="336">
        <v>5700</v>
      </c>
      <c r="C2302" s="336">
        <v>5900</v>
      </c>
      <c r="D2302" s="337">
        <f t="shared" si="250"/>
        <v>5800</v>
      </c>
    </row>
    <row r="2303" spans="1:9" ht="15" customHeight="1">
      <c r="A2303" s="335">
        <v>42324</v>
      </c>
      <c r="B2303" s="336">
        <v>5700</v>
      </c>
      <c r="C2303" s="336">
        <v>5900</v>
      </c>
      <c r="D2303" s="337">
        <f t="shared" ref="D2303" si="251">AVERAGE(B2303:C2303)</f>
        <v>5800</v>
      </c>
    </row>
    <row r="2304" spans="1:9" ht="15" customHeight="1">
      <c r="A2304" s="335">
        <v>42325</v>
      </c>
      <c r="B2304" s="336">
        <v>5700</v>
      </c>
      <c r="C2304" s="336">
        <v>5900</v>
      </c>
      <c r="D2304" s="337">
        <f t="shared" ref="D2304" si="252">AVERAGE(B2304:C2304)</f>
        <v>5800</v>
      </c>
    </row>
    <row r="2305" spans="1:9" ht="15" customHeight="1">
      <c r="A2305" s="335">
        <v>42326</v>
      </c>
      <c r="B2305" s="336">
        <v>5700</v>
      </c>
      <c r="C2305" s="336">
        <v>5900</v>
      </c>
      <c r="D2305" s="337">
        <f t="shared" ref="D2305" si="253">AVERAGE(B2305:C2305)</f>
        <v>5800</v>
      </c>
    </row>
    <row r="2306" spans="1:9" ht="15" customHeight="1">
      <c r="A2306" s="335">
        <v>42327</v>
      </c>
      <c r="B2306" s="336">
        <v>5700</v>
      </c>
      <c r="C2306" s="336">
        <v>5900</v>
      </c>
      <c r="D2306" s="337">
        <f t="shared" ref="D2306" si="254">AVERAGE(B2306:C2306)</f>
        <v>5800</v>
      </c>
    </row>
    <row r="2307" spans="1:9" ht="15" customHeight="1">
      <c r="A2307" s="335">
        <v>42328</v>
      </c>
      <c r="B2307" s="336">
        <v>5700</v>
      </c>
      <c r="C2307" s="336">
        <v>5900</v>
      </c>
      <c r="D2307" s="337">
        <f t="shared" ref="D2307" si="255">AVERAGE(B2307:C2307)</f>
        <v>5800</v>
      </c>
    </row>
    <row r="2308" spans="1:9" ht="15" customHeight="1">
      <c r="A2308" s="335">
        <v>42331</v>
      </c>
      <c r="B2308" s="336">
        <v>5700</v>
      </c>
      <c r="C2308" s="336">
        <v>5900</v>
      </c>
      <c r="D2308" s="337">
        <f t="shared" ref="D2308" si="256">AVERAGE(B2308:C2308)</f>
        <v>5800</v>
      </c>
    </row>
    <row r="2309" spans="1:9" ht="15" customHeight="1">
      <c r="A2309" s="335">
        <v>42332</v>
      </c>
      <c r="B2309" s="336">
        <v>5700</v>
      </c>
      <c r="C2309" s="336">
        <v>5900</v>
      </c>
      <c r="D2309" s="337">
        <f t="shared" ref="D2309" si="257">AVERAGE(B2309:C2309)</f>
        <v>5800</v>
      </c>
    </row>
    <row r="2310" spans="1:9" ht="15" customHeight="1">
      <c r="A2310" s="335">
        <v>42333</v>
      </c>
      <c r="B2310" s="336">
        <v>5700</v>
      </c>
      <c r="C2310" s="336">
        <v>5900</v>
      </c>
      <c r="D2310" s="337">
        <f t="shared" ref="D2310" si="258">AVERAGE(B2310:C2310)</f>
        <v>5800</v>
      </c>
    </row>
    <row r="2311" spans="1:9" ht="15" customHeight="1">
      <c r="A2311" s="335">
        <v>42334</v>
      </c>
      <c r="B2311" s="336">
        <v>5700</v>
      </c>
      <c r="C2311" s="336">
        <v>5900</v>
      </c>
      <c r="D2311" s="337">
        <f t="shared" ref="D2311:D2312" si="259">AVERAGE(B2311:C2311)</f>
        <v>5800</v>
      </c>
    </row>
    <row r="2312" spans="1:9" ht="15" customHeight="1">
      <c r="A2312" s="335">
        <v>42335</v>
      </c>
      <c r="B2312" s="336">
        <v>5400</v>
      </c>
      <c r="C2312" s="336">
        <v>5500</v>
      </c>
      <c r="D2312" s="337">
        <f t="shared" si="259"/>
        <v>5450</v>
      </c>
    </row>
    <row r="2313" spans="1:9" ht="15" customHeight="1" thickBot="1">
      <c r="A2313" s="340">
        <v>42338</v>
      </c>
      <c r="B2313" s="341">
        <v>5400</v>
      </c>
      <c r="C2313" s="341">
        <v>5500</v>
      </c>
      <c r="D2313" s="342">
        <f t="shared" ref="D2313" si="260">AVERAGE(B2313:C2313)</f>
        <v>5450</v>
      </c>
      <c r="E2313" s="360">
        <f>AVERAGE(D2293:D2313)</f>
        <v>5895.2380952380954</v>
      </c>
      <c r="F2313" s="360">
        <f>AVERAGE(D2077:D2313)</f>
        <v>7772.1982758620688</v>
      </c>
      <c r="G2313" s="344"/>
      <c r="H2313" s="354"/>
      <c r="I2313" s="358"/>
    </row>
    <row r="2314" spans="1:9" ht="15" customHeight="1">
      <c r="A2314" s="335">
        <v>42339</v>
      </c>
      <c r="B2314" s="336">
        <v>5400</v>
      </c>
      <c r="C2314" s="336">
        <v>5500</v>
      </c>
      <c r="D2314" s="337">
        <f t="shared" ref="D2314:D2315" si="261">AVERAGE(B2314:C2314)</f>
        <v>5450</v>
      </c>
    </row>
    <row r="2315" spans="1:9" ht="15" customHeight="1">
      <c r="A2315" s="335">
        <v>42340</v>
      </c>
      <c r="B2315" s="336">
        <v>5400</v>
      </c>
      <c r="C2315" s="336">
        <v>5500</v>
      </c>
      <c r="D2315" s="337">
        <f t="shared" si="261"/>
        <v>5450</v>
      </c>
    </row>
    <row r="2316" spans="1:9" ht="15" customHeight="1">
      <c r="A2316" s="335">
        <v>42341</v>
      </c>
      <c r="B2316" s="336">
        <v>5400</v>
      </c>
      <c r="C2316" s="336">
        <v>5500</v>
      </c>
      <c r="D2316" s="337">
        <f t="shared" ref="D2316" si="262">AVERAGE(B2316:C2316)</f>
        <v>5450</v>
      </c>
    </row>
    <row r="2317" spans="1:9" ht="15" customHeight="1">
      <c r="A2317" s="335">
        <v>42342</v>
      </c>
      <c r="B2317" s="336">
        <v>5400</v>
      </c>
      <c r="C2317" s="336">
        <v>5500</v>
      </c>
      <c r="D2317" s="337">
        <f t="shared" ref="D2317:D2318" si="263">AVERAGE(B2317:C2317)</f>
        <v>5450</v>
      </c>
    </row>
    <row r="2318" spans="1:9" ht="15" customHeight="1">
      <c r="A2318" s="335">
        <v>42345</v>
      </c>
      <c r="B2318" s="336">
        <v>5100</v>
      </c>
      <c r="C2318" s="336">
        <v>5300</v>
      </c>
      <c r="D2318" s="337">
        <f t="shared" si="263"/>
        <v>5200</v>
      </c>
    </row>
    <row r="2319" spans="1:9" ht="15" customHeight="1">
      <c r="A2319" s="335">
        <v>42346</v>
      </c>
      <c r="B2319" s="336">
        <v>5100</v>
      </c>
      <c r="C2319" s="336">
        <v>5300</v>
      </c>
      <c r="D2319" s="337">
        <f t="shared" ref="D2319" si="264">AVERAGE(B2319:C2319)</f>
        <v>5200</v>
      </c>
    </row>
    <row r="2320" spans="1:9" ht="15" customHeight="1">
      <c r="A2320" s="335">
        <v>42347</v>
      </c>
      <c r="B2320" s="336">
        <v>5100</v>
      </c>
      <c r="C2320" s="336">
        <v>5300</v>
      </c>
      <c r="D2320" s="337">
        <f t="shared" ref="D2320" si="265">AVERAGE(B2320:C2320)</f>
        <v>5200</v>
      </c>
    </row>
    <row r="2321" spans="1:9" ht="15" customHeight="1">
      <c r="A2321" s="335">
        <v>42348</v>
      </c>
      <c r="B2321" s="336">
        <v>5100</v>
      </c>
      <c r="C2321" s="336">
        <v>5300</v>
      </c>
      <c r="D2321" s="337">
        <f t="shared" ref="D2321:D2322" si="266">AVERAGE(B2321:C2321)</f>
        <v>5200</v>
      </c>
    </row>
    <row r="2322" spans="1:9" ht="15" customHeight="1">
      <c r="A2322" s="335">
        <v>42349</v>
      </c>
      <c r="B2322" s="336">
        <v>5100</v>
      </c>
      <c r="C2322" s="336">
        <v>5300</v>
      </c>
      <c r="D2322" s="337">
        <f t="shared" si="266"/>
        <v>5200</v>
      </c>
    </row>
    <row r="2323" spans="1:9" ht="15" customHeight="1">
      <c r="A2323" s="335">
        <v>42352</v>
      </c>
      <c r="B2323" s="336">
        <v>5100</v>
      </c>
      <c r="C2323" s="336">
        <v>5300</v>
      </c>
      <c r="D2323" s="337">
        <f t="shared" ref="D2323" si="267">AVERAGE(B2323:C2323)</f>
        <v>5200</v>
      </c>
    </row>
    <row r="2324" spans="1:9" ht="15" customHeight="1">
      <c r="A2324" s="335">
        <v>42353</v>
      </c>
      <c r="B2324" s="336">
        <v>5100</v>
      </c>
      <c r="C2324" s="336">
        <v>5300</v>
      </c>
      <c r="D2324" s="337">
        <f t="shared" ref="D2324" si="268">AVERAGE(B2324:C2324)</f>
        <v>5200</v>
      </c>
    </row>
    <row r="2325" spans="1:9" ht="15" customHeight="1">
      <c r="A2325" s="335">
        <v>42354</v>
      </c>
      <c r="B2325" s="336">
        <v>5100</v>
      </c>
      <c r="C2325" s="336">
        <v>5300</v>
      </c>
      <c r="D2325" s="337">
        <f t="shared" ref="D2325" si="269">AVERAGE(B2325:C2325)</f>
        <v>5200</v>
      </c>
    </row>
    <row r="2326" spans="1:9" ht="15" customHeight="1">
      <c r="A2326" s="335">
        <v>42355</v>
      </c>
      <c r="B2326" s="336">
        <v>5100</v>
      </c>
      <c r="C2326" s="336">
        <v>5300</v>
      </c>
      <c r="D2326" s="337">
        <f t="shared" ref="D2326" si="270">AVERAGE(B2326:C2326)</f>
        <v>5200</v>
      </c>
    </row>
    <row r="2327" spans="1:9" ht="15" customHeight="1">
      <c r="A2327" s="335">
        <v>42356</v>
      </c>
      <c r="B2327" s="336">
        <v>5100</v>
      </c>
      <c r="C2327" s="336">
        <v>5300</v>
      </c>
      <c r="D2327" s="337">
        <f t="shared" ref="D2327" si="271">AVERAGE(B2327:C2327)</f>
        <v>5200</v>
      </c>
    </row>
    <row r="2328" spans="1:9" ht="15" customHeight="1">
      <c r="A2328" s="335">
        <v>42359</v>
      </c>
      <c r="B2328" s="336">
        <v>5100</v>
      </c>
      <c r="C2328" s="336">
        <v>5300</v>
      </c>
      <c r="D2328" s="337">
        <f t="shared" ref="D2328" si="272">AVERAGE(B2328:C2328)</f>
        <v>5200</v>
      </c>
    </row>
    <row r="2329" spans="1:9" ht="15" customHeight="1">
      <c r="A2329" s="335">
        <v>42360</v>
      </c>
      <c r="B2329" s="336">
        <v>5100</v>
      </c>
      <c r="C2329" s="336">
        <v>5300</v>
      </c>
      <c r="D2329" s="337">
        <f t="shared" ref="D2329" si="273">AVERAGE(B2329:C2329)</f>
        <v>5200</v>
      </c>
    </row>
    <row r="2330" spans="1:9" ht="15" customHeight="1">
      <c r="A2330" s="335">
        <v>42361</v>
      </c>
      <c r="B2330" s="336">
        <v>5100</v>
      </c>
      <c r="C2330" s="336">
        <v>5300</v>
      </c>
      <c r="D2330" s="337">
        <f t="shared" ref="D2330" si="274">AVERAGE(B2330:C2330)</f>
        <v>5200</v>
      </c>
    </row>
    <row r="2331" spans="1:9" ht="15" customHeight="1">
      <c r="A2331" s="335">
        <v>42362</v>
      </c>
      <c r="B2331" s="336">
        <v>5100</v>
      </c>
      <c r="C2331" s="336">
        <v>5300</v>
      </c>
      <c r="D2331" s="337">
        <f t="shared" ref="D2331" si="275">AVERAGE(B2331:C2331)</f>
        <v>5200</v>
      </c>
    </row>
    <row r="2332" spans="1:9" ht="15" customHeight="1">
      <c r="A2332" s="335">
        <v>42366</v>
      </c>
      <c r="B2332" s="1411" t="s">
        <v>88</v>
      </c>
      <c r="C2332" s="1411"/>
      <c r="D2332" s="1411"/>
    </row>
    <row r="2333" spans="1:9" ht="15" customHeight="1">
      <c r="A2333" s="335">
        <v>42367</v>
      </c>
      <c r="B2333" s="336">
        <v>5100</v>
      </c>
      <c r="C2333" s="336">
        <v>5300</v>
      </c>
      <c r="D2333" s="337">
        <f t="shared" ref="D2333:D2334" si="276">AVERAGE(B2333:C2333)</f>
        <v>5200</v>
      </c>
    </row>
    <row r="2334" spans="1:9" ht="15" customHeight="1">
      <c r="A2334" s="335">
        <v>42368</v>
      </c>
      <c r="B2334" s="345">
        <v>5100</v>
      </c>
      <c r="C2334" s="345">
        <v>5300</v>
      </c>
      <c r="D2334" s="346">
        <f t="shared" si="276"/>
        <v>5200</v>
      </c>
      <c r="E2334" s="347"/>
      <c r="F2334" s="347"/>
      <c r="G2334" s="365"/>
      <c r="I2334" s="366"/>
    </row>
    <row r="2335" spans="1:9" ht="15" customHeight="1" thickBot="1">
      <c r="A2335" s="340">
        <v>42369</v>
      </c>
      <c r="B2335" s="341">
        <v>5100</v>
      </c>
      <c r="C2335" s="341">
        <v>5300</v>
      </c>
      <c r="D2335" s="342">
        <f t="shared" ref="D2335:D2337" si="277">AVERAGE(B2335:C2335)</f>
        <v>5200</v>
      </c>
      <c r="E2335" s="360">
        <f>AVERAGE(D2314:D2335)</f>
        <v>5247.6190476190477</v>
      </c>
      <c r="F2335" s="360">
        <f>AVERAGE(D2077:D2335)</f>
        <v>7562.648221343874</v>
      </c>
      <c r="G2335" s="344"/>
      <c r="H2335" s="354"/>
      <c r="I2335" s="358"/>
    </row>
    <row r="2336" spans="1:9" ht="15" customHeight="1">
      <c r="A2336" s="335">
        <v>42373</v>
      </c>
      <c r="B2336" s="336">
        <v>5100</v>
      </c>
      <c r="C2336" s="336">
        <v>5300</v>
      </c>
      <c r="D2336" s="337">
        <f t="shared" si="277"/>
        <v>5200</v>
      </c>
    </row>
    <row r="2337" spans="1:4" ht="15" customHeight="1">
      <c r="A2337" s="335">
        <v>42374</v>
      </c>
      <c r="B2337" s="336">
        <v>5100</v>
      </c>
      <c r="C2337" s="336">
        <v>5300</v>
      </c>
      <c r="D2337" s="337">
        <f t="shared" si="277"/>
        <v>5200</v>
      </c>
    </row>
    <row r="2338" spans="1:4" ht="15" customHeight="1">
      <c r="A2338" s="335">
        <v>42375</v>
      </c>
      <c r="B2338" s="336">
        <v>5100</v>
      </c>
      <c r="C2338" s="336">
        <v>5300</v>
      </c>
      <c r="D2338" s="337">
        <f t="shared" ref="D2338" si="278">AVERAGE(B2338:C2338)</f>
        <v>5200</v>
      </c>
    </row>
    <row r="2339" spans="1:4" ht="15" customHeight="1">
      <c r="A2339" s="335">
        <v>42376</v>
      </c>
      <c r="B2339" s="336">
        <v>5100</v>
      </c>
      <c r="C2339" s="336">
        <v>5300</v>
      </c>
      <c r="D2339" s="337">
        <f t="shared" ref="D2339" si="279">AVERAGE(B2339:C2339)</f>
        <v>5200</v>
      </c>
    </row>
    <row r="2340" spans="1:4" ht="15" customHeight="1">
      <c r="A2340" s="335">
        <v>42377</v>
      </c>
      <c r="B2340" s="336">
        <v>5100</v>
      </c>
      <c r="C2340" s="336">
        <v>5300</v>
      </c>
      <c r="D2340" s="337">
        <f t="shared" ref="D2340" si="280">AVERAGE(B2340:C2340)</f>
        <v>5200</v>
      </c>
    </row>
    <row r="2341" spans="1:4" ht="15" customHeight="1">
      <c r="A2341" s="335">
        <v>42380</v>
      </c>
      <c r="B2341" s="336">
        <v>5100</v>
      </c>
      <c r="C2341" s="336">
        <v>5300</v>
      </c>
      <c r="D2341" s="337">
        <f t="shared" ref="D2341" si="281">AVERAGE(B2341:C2341)</f>
        <v>5200</v>
      </c>
    </row>
    <row r="2342" spans="1:4" ht="15" customHeight="1">
      <c r="A2342" s="335">
        <v>42381</v>
      </c>
      <c r="B2342" s="336">
        <v>5100</v>
      </c>
      <c r="C2342" s="336">
        <v>5300</v>
      </c>
      <c r="D2342" s="337">
        <f t="shared" ref="D2342" si="282">AVERAGE(B2342:C2342)</f>
        <v>5200</v>
      </c>
    </row>
    <row r="2343" spans="1:4" ht="15" customHeight="1">
      <c r="A2343" s="335">
        <v>42382</v>
      </c>
      <c r="B2343" s="336">
        <v>5100</v>
      </c>
      <c r="C2343" s="336">
        <v>5300</v>
      </c>
      <c r="D2343" s="337">
        <f t="shared" ref="D2343" si="283">AVERAGE(B2343:C2343)</f>
        <v>5200</v>
      </c>
    </row>
    <row r="2344" spans="1:4" ht="15" customHeight="1">
      <c r="A2344" s="335">
        <v>42383</v>
      </c>
      <c r="B2344" s="336">
        <v>5100</v>
      </c>
      <c r="C2344" s="336">
        <v>5300</v>
      </c>
      <c r="D2344" s="337">
        <f t="shared" ref="D2344" si="284">AVERAGE(B2344:C2344)</f>
        <v>5200</v>
      </c>
    </row>
    <row r="2345" spans="1:4" ht="15" customHeight="1">
      <c r="A2345" s="335">
        <v>42384</v>
      </c>
      <c r="B2345" s="336">
        <v>5100</v>
      </c>
      <c r="C2345" s="336">
        <v>5300</v>
      </c>
      <c r="D2345" s="337">
        <f t="shared" ref="D2345" si="285">AVERAGE(B2345:C2345)</f>
        <v>5200</v>
      </c>
    </row>
    <row r="2346" spans="1:4" ht="15" customHeight="1">
      <c r="A2346" s="335">
        <v>42387</v>
      </c>
      <c r="B2346" s="336">
        <v>5100</v>
      </c>
      <c r="C2346" s="336">
        <v>5300</v>
      </c>
      <c r="D2346" s="337">
        <f t="shared" ref="D2346" si="286">AVERAGE(B2346:C2346)</f>
        <v>5200</v>
      </c>
    </row>
    <row r="2347" spans="1:4" ht="15" customHeight="1">
      <c r="A2347" s="335">
        <v>42388</v>
      </c>
      <c r="B2347" s="336">
        <v>5100</v>
      </c>
      <c r="C2347" s="336">
        <v>5300</v>
      </c>
      <c r="D2347" s="337">
        <f t="shared" ref="D2347" si="287">AVERAGE(B2347:C2347)</f>
        <v>5200</v>
      </c>
    </row>
    <row r="2348" spans="1:4" ht="15" customHeight="1">
      <c r="A2348" s="335">
        <v>42389</v>
      </c>
      <c r="B2348" s="336">
        <v>5100</v>
      </c>
      <c r="C2348" s="336">
        <v>5300</v>
      </c>
      <c r="D2348" s="337">
        <f t="shared" ref="D2348" si="288">AVERAGE(B2348:C2348)</f>
        <v>5200</v>
      </c>
    </row>
    <row r="2349" spans="1:4" ht="15" customHeight="1">
      <c r="A2349" s="335">
        <v>42390</v>
      </c>
      <c r="B2349" s="336">
        <v>5100</v>
      </c>
      <c r="C2349" s="336">
        <v>5300</v>
      </c>
      <c r="D2349" s="337">
        <f t="shared" ref="D2349" si="289">AVERAGE(B2349:C2349)</f>
        <v>5200</v>
      </c>
    </row>
    <row r="2350" spans="1:4" ht="15" customHeight="1">
      <c r="A2350" s="335">
        <v>42391</v>
      </c>
      <c r="B2350" s="336">
        <v>5100</v>
      </c>
      <c r="C2350" s="336">
        <v>5300</v>
      </c>
      <c r="D2350" s="337">
        <f t="shared" ref="D2350" si="290">AVERAGE(B2350:C2350)</f>
        <v>5200</v>
      </c>
    </row>
    <row r="2351" spans="1:4" ht="15" customHeight="1">
      <c r="A2351" s="335">
        <v>42394</v>
      </c>
      <c r="B2351" s="336">
        <v>5100</v>
      </c>
      <c r="C2351" s="336">
        <v>5300</v>
      </c>
      <c r="D2351" s="337">
        <f t="shared" ref="D2351" si="291">AVERAGE(B2351:C2351)</f>
        <v>5200</v>
      </c>
    </row>
    <row r="2352" spans="1:4" ht="15" customHeight="1">
      <c r="A2352" s="335">
        <v>42395</v>
      </c>
      <c r="B2352" s="336">
        <v>5100</v>
      </c>
      <c r="C2352" s="336">
        <v>5300</v>
      </c>
      <c r="D2352" s="337">
        <f t="shared" ref="D2352" si="292">AVERAGE(B2352:C2352)</f>
        <v>5200</v>
      </c>
    </row>
    <row r="2353" spans="1:9" ht="15" customHeight="1">
      <c r="A2353" s="335">
        <v>42396</v>
      </c>
      <c r="B2353" s="336">
        <v>5100</v>
      </c>
      <c r="C2353" s="336">
        <v>5300</v>
      </c>
      <c r="D2353" s="337">
        <f t="shared" ref="D2353" si="293">AVERAGE(B2353:C2353)</f>
        <v>5200</v>
      </c>
    </row>
    <row r="2354" spans="1:9" ht="15" customHeight="1">
      <c r="A2354" s="335">
        <v>42397</v>
      </c>
      <c r="B2354" s="336">
        <v>5100</v>
      </c>
      <c r="C2354" s="336">
        <v>5300</v>
      </c>
      <c r="D2354" s="337">
        <f t="shared" ref="D2354:D2355" si="294">AVERAGE(B2354:C2354)</f>
        <v>5200</v>
      </c>
    </row>
    <row r="2355" spans="1:9" ht="15" customHeight="1" thickBot="1">
      <c r="A2355" s="340">
        <v>42398</v>
      </c>
      <c r="B2355" s="341">
        <v>5200</v>
      </c>
      <c r="C2355" s="341">
        <v>5400</v>
      </c>
      <c r="D2355" s="342">
        <f t="shared" si="294"/>
        <v>5300</v>
      </c>
      <c r="E2355" s="360">
        <f>AVERAGE(D2336:D2355)</f>
        <v>5205</v>
      </c>
      <c r="F2355" s="360">
        <f>AVERAGE(D2336:D2355)</f>
        <v>5205</v>
      </c>
      <c r="G2355" s="344"/>
      <c r="H2355" s="354"/>
      <c r="I2355" s="358"/>
    </row>
    <row r="2356" spans="1:9" ht="15" customHeight="1">
      <c r="A2356" s="335">
        <v>42401</v>
      </c>
      <c r="B2356" s="363">
        <v>5200</v>
      </c>
      <c r="C2356" s="363">
        <v>5400</v>
      </c>
      <c r="D2356" s="408">
        <f t="shared" ref="D2356" si="295">AVERAGE(B2356:C2356)</f>
        <v>5300</v>
      </c>
    </row>
    <row r="2357" spans="1:9" ht="15" customHeight="1">
      <c r="A2357" s="335">
        <v>42402</v>
      </c>
      <c r="B2357" s="345">
        <v>5200</v>
      </c>
      <c r="C2357" s="345">
        <v>5400</v>
      </c>
      <c r="D2357" s="346">
        <f t="shared" ref="D2357" si="296">AVERAGE(B2357:C2357)</f>
        <v>5300</v>
      </c>
      <c r="G2357" s="365"/>
    </row>
    <row r="2358" spans="1:9" ht="15" customHeight="1">
      <c r="A2358" s="335">
        <v>42403</v>
      </c>
      <c r="B2358" s="345">
        <v>5200</v>
      </c>
      <c r="C2358" s="345">
        <v>5400</v>
      </c>
      <c r="D2358" s="346">
        <f t="shared" ref="D2358:D2359" si="297">AVERAGE(B2358:C2358)</f>
        <v>5300</v>
      </c>
    </row>
    <row r="2359" spans="1:9" ht="15" customHeight="1">
      <c r="A2359" s="335">
        <v>42404</v>
      </c>
      <c r="B2359" s="336">
        <v>5200</v>
      </c>
      <c r="C2359" s="336">
        <v>5400</v>
      </c>
      <c r="D2359" s="337">
        <f t="shared" si="297"/>
        <v>5300</v>
      </c>
    </row>
    <row r="2360" spans="1:9" ht="15" customHeight="1">
      <c r="A2360" s="335">
        <v>42405</v>
      </c>
      <c r="B2360" s="336">
        <v>5200</v>
      </c>
      <c r="C2360" s="336">
        <v>5400</v>
      </c>
      <c r="D2360" s="337">
        <f t="shared" ref="D2360:D2363" si="298">AVERAGE(B2360:C2360)</f>
        <v>5300</v>
      </c>
    </row>
    <row r="2361" spans="1:9" ht="15" customHeight="1">
      <c r="A2361" s="335">
        <v>42408</v>
      </c>
      <c r="B2361" s="336">
        <v>5200</v>
      </c>
      <c r="C2361" s="336">
        <v>5400</v>
      </c>
      <c r="D2361" s="337">
        <f t="shared" si="298"/>
        <v>5300</v>
      </c>
    </row>
    <row r="2362" spans="1:9" ht="15" customHeight="1">
      <c r="A2362" s="335">
        <v>42409</v>
      </c>
      <c r="B2362" s="336">
        <v>5200</v>
      </c>
      <c r="C2362" s="336">
        <v>5400</v>
      </c>
      <c r="D2362" s="337">
        <f t="shared" si="298"/>
        <v>5300</v>
      </c>
    </row>
    <row r="2363" spans="1:9" ht="15" customHeight="1">
      <c r="A2363" s="335">
        <v>42410</v>
      </c>
      <c r="B2363" s="336">
        <v>5200</v>
      </c>
      <c r="C2363" s="336">
        <v>5400</v>
      </c>
      <c r="D2363" s="337">
        <f t="shared" si="298"/>
        <v>5300</v>
      </c>
    </row>
    <row r="2364" spans="1:9" ht="15" customHeight="1">
      <c r="A2364" s="335">
        <v>42411</v>
      </c>
      <c r="B2364" s="336">
        <v>5200</v>
      </c>
      <c r="C2364" s="336">
        <v>5400</v>
      </c>
      <c r="D2364" s="337">
        <f t="shared" ref="D2364" si="299">AVERAGE(B2364:C2364)</f>
        <v>5300</v>
      </c>
    </row>
    <row r="2365" spans="1:9" ht="15" customHeight="1">
      <c r="A2365" s="335">
        <v>42412</v>
      </c>
      <c r="B2365" s="336">
        <v>5200</v>
      </c>
      <c r="C2365" s="336">
        <v>5400</v>
      </c>
      <c r="D2365" s="337">
        <f t="shared" ref="D2365" si="300">AVERAGE(B2365:C2365)</f>
        <v>5300</v>
      </c>
    </row>
    <row r="2366" spans="1:9" ht="15" customHeight="1">
      <c r="A2366" s="335">
        <v>42415</v>
      </c>
      <c r="B2366" s="336">
        <v>5200</v>
      </c>
      <c r="C2366" s="336">
        <v>5400</v>
      </c>
      <c r="D2366" s="337">
        <f t="shared" ref="D2366" si="301">AVERAGE(B2366:C2366)</f>
        <v>5300</v>
      </c>
    </row>
    <row r="2367" spans="1:9" ht="15" customHeight="1">
      <c r="A2367" s="335">
        <v>42416</v>
      </c>
      <c r="B2367" s="336">
        <v>5200</v>
      </c>
      <c r="C2367" s="336">
        <v>5400</v>
      </c>
      <c r="D2367" s="337">
        <f t="shared" ref="D2367" si="302">AVERAGE(B2367:C2367)</f>
        <v>5300</v>
      </c>
    </row>
    <row r="2368" spans="1:9" ht="15" customHeight="1">
      <c r="A2368" s="335">
        <v>42417</v>
      </c>
      <c r="B2368" s="336">
        <v>5200</v>
      </c>
      <c r="C2368" s="336">
        <v>5400</v>
      </c>
      <c r="D2368" s="337">
        <f t="shared" ref="D2368" si="303">AVERAGE(B2368:C2368)</f>
        <v>5300</v>
      </c>
    </row>
    <row r="2369" spans="1:9" ht="15" customHeight="1">
      <c r="A2369" s="335">
        <v>42418</v>
      </c>
      <c r="B2369" s="336">
        <v>5200</v>
      </c>
      <c r="C2369" s="336">
        <v>5400</v>
      </c>
      <c r="D2369" s="337">
        <f t="shared" ref="D2369" si="304">AVERAGE(B2369:C2369)</f>
        <v>5300</v>
      </c>
    </row>
    <row r="2370" spans="1:9" ht="15" customHeight="1">
      <c r="A2370" s="335">
        <v>42419</v>
      </c>
      <c r="B2370" s="336">
        <v>5100</v>
      </c>
      <c r="C2370" s="336">
        <v>5500</v>
      </c>
      <c r="D2370" s="337">
        <f t="shared" ref="D2370:D2375" si="305">AVERAGE(B2370:C2370)</f>
        <v>5300</v>
      </c>
    </row>
    <row r="2371" spans="1:9" ht="15" customHeight="1">
      <c r="A2371" s="335">
        <v>42422</v>
      </c>
      <c r="B2371" s="336">
        <v>5100</v>
      </c>
      <c r="C2371" s="336">
        <v>5500</v>
      </c>
      <c r="D2371" s="337">
        <f t="shared" si="305"/>
        <v>5300</v>
      </c>
    </row>
    <row r="2372" spans="1:9" ht="15" customHeight="1">
      <c r="A2372" s="335">
        <v>42423</v>
      </c>
      <c r="B2372" s="336">
        <v>5100</v>
      </c>
      <c r="C2372" s="336">
        <v>5500</v>
      </c>
      <c r="D2372" s="337">
        <f t="shared" si="305"/>
        <v>5300</v>
      </c>
    </row>
    <row r="2373" spans="1:9" ht="15" customHeight="1">
      <c r="A2373" s="335">
        <v>42424</v>
      </c>
      <c r="B2373" s="336">
        <v>5100</v>
      </c>
      <c r="C2373" s="336">
        <v>5500</v>
      </c>
      <c r="D2373" s="337">
        <f t="shared" si="305"/>
        <v>5300</v>
      </c>
    </row>
    <row r="2374" spans="1:9" ht="15" customHeight="1">
      <c r="A2374" s="335">
        <v>42425</v>
      </c>
      <c r="B2374" s="336">
        <v>5100</v>
      </c>
      <c r="C2374" s="336">
        <v>5500</v>
      </c>
      <c r="D2374" s="337">
        <f t="shared" si="305"/>
        <v>5300</v>
      </c>
    </row>
    <row r="2375" spans="1:9" ht="15" customHeight="1">
      <c r="A2375" s="335">
        <v>42426</v>
      </c>
      <c r="B2375" s="336">
        <v>5100</v>
      </c>
      <c r="C2375" s="336">
        <v>5500</v>
      </c>
      <c r="D2375" s="337">
        <f t="shared" si="305"/>
        <v>5300</v>
      </c>
    </row>
    <row r="2376" spans="1:9" ht="15" customHeight="1" thickBot="1">
      <c r="A2376" s="340">
        <v>42429</v>
      </c>
      <c r="B2376" s="341">
        <v>5100</v>
      </c>
      <c r="C2376" s="341">
        <v>5500</v>
      </c>
      <c r="D2376" s="342">
        <f t="shared" ref="D2376:D2377" si="306">AVERAGE(B2376:C2376)</f>
        <v>5300</v>
      </c>
      <c r="E2376" s="360">
        <f>AVERAGE(D2356:D2376)</f>
        <v>5300</v>
      </c>
      <c r="F2376" s="360">
        <f>AVERAGE(D2336:D2376)</f>
        <v>5253.6585365853662</v>
      </c>
      <c r="G2376" s="344"/>
      <c r="H2376" s="354"/>
      <c r="I2376" s="358"/>
    </row>
    <row r="2377" spans="1:9" ht="15" customHeight="1">
      <c r="A2377" s="335">
        <v>42430</v>
      </c>
      <c r="B2377" s="336">
        <v>5100</v>
      </c>
      <c r="C2377" s="336">
        <v>5500</v>
      </c>
      <c r="D2377" s="337">
        <f t="shared" si="306"/>
        <v>5300</v>
      </c>
    </row>
    <row r="2378" spans="1:9" ht="15" customHeight="1">
      <c r="A2378" s="335">
        <v>42431</v>
      </c>
      <c r="B2378" s="336">
        <v>5100</v>
      </c>
      <c r="C2378" s="336">
        <v>5500</v>
      </c>
      <c r="D2378" s="337">
        <f t="shared" ref="D2378:D2383" si="307">AVERAGE(B2378:C2378)</f>
        <v>5300</v>
      </c>
    </row>
    <row r="2379" spans="1:9" ht="15" customHeight="1">
      <c r="A2379" s="335">
        <v>42432</v>
      </c>
      <c r="B2379" s="336">
        <v>5100</v>
      </c>
      <c r="C2379" s="336">
        <v>5500</v>
      </c>
      <c r="D2379" s="337">
        <f t="shared" si="307"/>
        <v>5300</v>
      </c>
    </row>
    <row r="2380" spans="1:9" ht="15" customHeight="1">
      <c r="A2380" s="335">
        <v>42433</v>
      </c>
      <c r="B2380" s="336">
        <v>5100</v>
      </c>
      <c r="C2380" s="336">
        <v>5400</v>
      </c>
      <c r="D2380" s="337">
        <f t="shared" si="307"/>
        <v>5250</v>
      </c>
    </row>
    <row r="2381" spans="1:9" ht="15" customHeight="1">
      <c r="A2381" s="335">
        <v>42436</v>
      </c>
      <c r="B2381" s="336">
        <v>5100</v>
      </c>
      <c r="C2381" s="336">
        <v>5400</v>
      </c>
      <c r="D2381" s="337">
        <f t="shared" si="307"/>
        <v>5250</v>
      </c>
    </row>
    <row r="2382" spans="1:9" ht="15" customHeight="1">
      <c r="A2382" s="335">
        <v>42437</v>
      </c>
      <c r="B2382" s="336">
        <v>5100</v>
      </c>
      <c r="C2382" s="336">
        <v>5400</v>
      </c>
      <c r="D2382" s="337">
        <f t="shared" si="307"/>
        <v>5250</v>
      </c>
    </row>
    <row r="2383" spans="1:9" ht="15" customHeight="1">
      <c r="A2383" s="335">
        <v>42438</v>
      </c>
      <c r="B2383" s="336">
        <v>5100</v>
      </c>
      <c r="C2383" s="336">
        <v>5400</v>
      </c>
      <c r="D2383" s="337">
        <f t="shared" si="307"/>
        <v>5250</v>
      </c>
    </row>
    <row r="2384" spans="1:9" ht="15" customHeight="1">
      <c r="A2384" s="335">
        <v>42439</v>
      </c>
      <c r="B2384" s="336">
        <v>5100</v>
      </c>
      <c r="C2384" s="336">
        <v>5400</v>
      </c>
      <c r="D2384" s="337">
        <f t="shared" ref="D2384" si="308">AVERAGE(B2384:C2384)</f>
        <v>5250</v>
      </c>
    </row>
    <row r="2385" spans="1:9" ht="15" customHeight="1">
      <c r="A2385" s="335">
        <v>42440</v>
      </c>
      <c r="B2385" s="336">
        <v>5100</v>
      </c>
      <c r="C2385" s="336">
        <v>5400</v>
      </c>
      <c r="D2385" s="337">
        <f t="shared" ref="D2385" si="309">AVERAGE(B2385:C2385)</f>
        <v>5250</v>
      </c>
    </row>
    <row r="2386" spans="1:9" ht="15" customHeight="1">
      <c r="A2386" s="335">
        <v>42443</v>
      </c>
      <c r="B2386" s="336">
        <v>5100</v>
      </c>
      <c r="C2386" s="336">
        <v>5400</v>
      </c>
      <c r="D2386" s="337">
        <f t="shared" ref="D2386" si="310">AVERAGE(B2386:C2386)</f>
        <v>5250</v>
      </c>
    </row>
    <row r="2387" spans="1:9" ht="15" customHeight="1">
      <c r="A2387" s="335">
        <v>42444</v>
      </c>
      <c r="B2387" s="336">
        <v>5100</v>
      </c>
      <c r="C2387" s="336">
        <v>5400</v>
      </c>
      <c r="D2387" s="337">
        <f t="shared" ref="D2387" si="311">AVERAGE(B2387:C2387)</f>
        <v>5250</v>
      </c>
    </row>
    <row r="2388" spans="1:9" ht="15" customHeight="1">
      <c r="A2388" s="335">
        <v>42445</v>
      </c>
      <c r="B2388" s="336">
        <v>5100</v>
      </c>
      <c r="C2388" s="336">
        <v>5400</v>
      </c>
      <c r="D2388" s="337">
        <f t="shared" ref="D2388" si="312">AVERAGE(B2388:C2388)</f>
        <v>5250</v>
      </c>
    </row>
    <row r="2389" spans="1:9" ht="15" customHeight="1">
      <c r="A2389" s="335">
        <v>42446</v>
      </c>
      <c r="B2389" s="336">
        <v>5100</v>
      </c>
      <c r="C2389" s="336">
        <v>5400</v>
      </c>
      <c r="D2389" s="337">
        <f t="shared" ref="D2389" si="313">AVERAGE(B2389:C2389)</f>
        <v>5250</v>
      </c>
    </row>
    <row r="2390" spans="1:9" ht="15" customHeight="1">
      <c r="A2390" s="335">
        <v>42447</v>
      </c>
      <c r="B2390" s="336">
        <v>5100</v>
      </c>
      <c r="C2390" s="336">
        <v>5300</v>
      </c>
      <c r="D2390" s="337">
        <f t="shared" ref="D2390" si="314">AVERAGE(B2390:C2390)</f>
        <v>5200</v>
      </c>
    </row>
    <row r="2391" spans="1:9" ht="15" customHeight="1">
      <c r="A2391" s="335">
        <v>42450</v>
      </c>
      <c r="B2391" s="336">
        <v>5100</v>
      </c>
      <c r="C2391" s="336">
        <v>5300</v>
      </c>
      <c r="D2391" s="337">
        <f t="shared" ref="D2391" si="315">AVERAGE(B2391:C2391)</f>
        <v>5200</v>
      </c>
    </row>
    <row r="2392" spans="1:9" ht="15" customHeight="1">
      <c r="A2392" s="335">
        <v>42451</v>
      </c>
      <c r="B2392" s="336">
        <v>5100</v>
      </c>
      <c r="C2392" s="336">
        <v>5300</v>
      </c>
      <c r="D2392" s="337">
        <f t="shared" ref="D2392" si="316">AVERAGE(B2392:C2392)</f>
        <v>5200</v>
      </c>
    </row>
    <row r="2393" spans="1:9" ht="15" customHeight="1">
      <c r="A2393" s="335">
        <v>42452</v>
      </c>
      <c r="B2393" s="336">
        <v>5100</v>
      </c>
      <c r="C2393" s="336">
        <v>5300</v>
      </c>
      <c r="D2393" s="337">
        <f t="shared" ref="D2393" si="317">AVERAGE(B2393:C2393)</f>
        <v>5200</v>
      </c>
    </row>
    <row r="2394" spans="1:9" ht="15" customHeight="1">
      <c r="A2394" s="335">
        <v>42453</v>
      </c>
      <c r="B2394" s="336">
        <v>5100</v>
      </c>
      <c r="C2394" s="336">
        <v>5300</v>
      </c>
      <c r="D2394" s="337">
        <f t="shared" ref="D2394" si="318">AVERAGE(B2394:C2394)</f>
        <v>5200</v>
      </c>
    </row>
    <row r="2395" spans="1:9" ht="15" customHeight="1">
      <c r="A2395" s="335">
        <v>42454</v>
      </c>
      <c r="B2395" s="336">
        <v>5100</v>
      </c>
      <c r="C2395" s="336">
        <v>5300</v>
      </c>
      <c r="D2395" s="337">
        <f t="shared" ref="D2395:D2397" si="319">AVERAGE(B2395:C2395)</f>
        <v>5200</v>
      </c>
    </row>
    <row r="2396" spans="1:9" ht="15" customHeight="1">
      <c r="A2396" s="335">
        <v>42457</v>
      </c>
      <c r="B2396" s="336">
        <v>5100</v>
      </c>
      <c r="C2396" s="336">
        <v>5300</v>
      </c>
      <c r="D2396" s="337">
        <f t="shared" si="319"/>
        <v>5200</v>
      </c>
    </row>
    <row r="2397" spans="1:9" ht="15" customHeight="1">
      <c r="A2397" s="335">
        <v>42458</v>
      </c>
      <c r="B2397" s="336">
        <v>5100</v>
      </c>
      <c r="C2397" s="336">
        <v>5300</v>
      </c>
      <c r="D2397" s="337">
        <f t="shared" si="319"/>
        <v>5200</v>
      </c>
    </row>
    <row r="2398" spans="1:9" ht="15" customHeight="1">
      <c r="A2398" s="335">
        <v>42459</v>
      </c>
      <c r="B2398" s="336">
        <v>5100</v>
      </c>
      <c r="C2398" s="336">
        <v>5300</v>
      </c>
      <c r="D2398" s="337">
        <f t="shared" ref="D2398" si="320">AVERAGE(B2398:C2398)</f>
        <v>5200</v>
      </c>
    </row>
    <row r="2399" spans="1:9" ht="15" customHeight="1" thickBot="1">
      <c r="A2399" s="340">
        <v>42460</v>
      </c>
      <c r="B2399" s="341">
        <v>5100</v>
      </c>
      <c r="C2399" s="341">
        <v>5300</v>
      </c>
      <c r="D2399" s="342">
        <f t="shared" ref="D2399:D2400" si="321">AVERAGE(B2399:C2399)</f>
        <v>5200</v>
      </c>
      <c r="E2399" s="360">
        <f>AVERAGE(D2377:D2399)</f>
        <v>5234.782608695652</v>
      </c>
      <c r="F2399" s="360">
        <f>AVERAGE(D2336:D2399)</f>
        <v>5246.875</v>
      </c>
      <c r="G2399" s="344"/>
      <c r="H2399" s="354"/>
      <c r="I2399" s="358"/>
    </row>
    <row r="2400" spans="1:9" ht="15" customHeight="1">
      <c r="A2400" s="362">
        <v>42461</v>
      </c>
      <c r="B2400" s="363">
        <v>5300</v>
      </c>
      <c r="C2400" s="363">
        <v>5600</v>
      </c>
      <c r="D2400" s="408">
        <f t="shared" si="321"/>
        <v>5450</v>
      </c>
    </row>
    <row r="2401" spans="1:4" ht="15" customHeight="1">
      <c r="A2401" s="335">
        <v>42464</v>
      </c>
      <c r="B2401" s="345">
        <v>5300</v>
      </c>
      <c r="C2401" s="345">
        <v>5600</v>
      </c>
      <c r="D2401" s="346">
        <f t="shared" ref="D2401" si="322">AVERAGE(B2401:C2401)</f>
        <v>5450</v>
      </c>
    </row>
    <row r="2402" spans="1:4" ht="15" customHeight="1">
      <c r="A2402" s="335">
        <v>42465</v>
      </c>
      <c r="B2402" s="345">
        <v>5300</v>
      </c>
      <c r="C2402" s="345">
        <v>5600</v>
      </c>
      <c r="D2402" s="346">
        <f t="shared" ref="D2402" si="323">AVERAGE(B2402:C2402)</f>
        <v>5450</v>
      </c>
    </row>
    <row r="2403" spans="1:4" ht="15" customHeight="1">
      <c r="A2403" s="335">
        <v>42466</v>
      </c>
      <c r="B2403" s="345">
        <v>5300</v>
      </c>
      <c r="C2403" s="345">
        <v>5600</v>
      </c>
      <c r="D2403" s="346">
        <f t="shared" ref="D2403" si="324">AVERAGE(B2403:C2403)</f>
        <v>5450</v>
      </c>
    </row>
    <row r="2404" spans="1:4" ht="15" customHeight="1">
      <c r="A2404" s="335">
        <v>42467</v>
      </c>
      <c r="B2404" s="345">
        <v>5300</v>
      </c>
      <c r="C2404" s="345">
        <v>5600</v>
      </c>
      <c r="D2404" s="346">
        <f t="shared" ref="D2404" si="325">AVERAGE(B2404:C2404)</f>
        <v>5450</v>
      </c>
    </row>
    <row r="2405" spans="1:4" ht="15" customHeight="1">
      <c r="A2405" s="335">
        <v>42468</v>
      </c>
      <c r="B2405" s="345">
        <v>5300</v>
      </c>
      <c r="C2405" s="345">
        <v>5600</v>
      </c>
      <c r="D2405" s="346">
        <f t="shared" ref="D2405" si="326">AVERAGE(B2405:C2405)</f>
        <v>5450</v>
      </c>
    </row>
    <row r="2406" spans="1:4" ht="15" customHeight="1">
      <c r="A2406" s="335">
        <v>42471</v>
      </c>
      <c r="B2406" s="345">
        <v>5300</v>
      </c>
      <c r="C2406" s="345">
        <v>5600</v>
      </c>
      <c r="D2406" s="346">
        <f t="shared" ref="D2406" si="327">AVERAGE(B2406:C2406)</f>
        <v>5450</v>
      </c>
    </row>
    <row r="2407" spans="1:4" ht="15" customHeight="1">
      <c r="A2407" s="335">
        <v>42472</v>
      </c>
      <c r="B2407" s="345">
        <v>5300</v>
      </c>
      <c r="C2407" s="345">
        <v>5600</v>
      </c>
      <c r="D2407" s="346">
        <f t="shared" ref="D2407" si="328">AVERAGE(B2407:C2407)</f>
        <v>5450</v>
      </c>
    </row>
    <row r="2408" spans="1:4" ht="15" customHeight="1">
      <c r="A2408" s="335">
        <v>42473</v>
      </c>
      <c r="B2408" s="345">
        <v>5300</v>
      </c>
      <c r="C2408" s="345">
        <v>5600</v>
      </c>
      <c r="D2408" s="346">
        <f t="shared" ref="D2408" si="329">AVERAGE(B2408:C2408)</f>
        <v>5450</v>
      </c>
    </row>
    <row r="2409" spans="1:4" ht="15" customHeight="1">
      <c r="A2409" s="335">
        <v>42474</v>
      </c>
      <c r="B2409" s="345">
        <v>5300</v>
      </c>
      <c r="C2409" s="345">
        <v>5600</v>
      </c>
      <c r="D2409" s="346">
        <f t="shared" ref="D2409" si="330">AVERAGE(B2409:C2409)</f>
        <v>5450</v>
      </c>
    </row>
    <row r="2410" spans="1:4" ht="15" customHeight="1">
      <c r="A2410" s="335">
        <v>42475</v>
      </c>
      <c r="B2410" s="345">
        <v>5600</v>
      </c>
      <c r="C2410" s="345">
        <v>5800</v>
      </c>
      <c r="D2410" s="346">
        <f t="shared" ref="D2410" si="331">AVERAGE(B2410:C2410)</f>
        <v>5700</v>
      </c>
    </row>
    <row r="2411" spans="1:4" ht="15" customHeight="1">
      <c r="A2411" s="335">
        <v>42478</v>
      </c>
      <c r="B2411" s="345">
        <v>5600</v>
      </c>
      <c r="C2411" s="345">
        <v>5800</v>
      </c>
      <c r="D2411" s="346">
        <f t="shared" ref="D2411" si="332">AVERAGE(B2411:C2411)</f>
        <v>5700</v>
      </c>
    </row>
    <row r="2412" spans="1:4" ht="15" customHeight="1">
      <c r="A2412" s="335">
        <v>42479</v>
      </c>
      <c r="B2412" s="345">
        <v>5600</v>
      </c>
      <c r="C2412" s="345">
        <v>5800</v>
      </c>
      <c r="D2412" s="346">
        <f t="shared" ref="D2412" si="333">AVERAGE(B2412:C2412)</f>
        <v>5700</v>
      </c>
    </row>
    <row r="2413" spans="1:4" ht="15" customHeight="1">
      <c r="A2413" s="335">
        <v>42480</v>
      </c>
      <c r="B2413" s="345">
        <v>5600</v>
      </c>
      <c r="C2413" s="345">
        <v>5800</v>
      </c>
      <c r="D2413" s="346">
        <f t="shared" ref="D2413" si="334">AVERAGE(B2413:C2413)</f>
        <v>5700</v>
      </c>
    </row>
    <row r="2414" spans="1:4" ht="15" customHeight="1">
      <c r="A2414" s="335">
        <v>42481</v>
      </c>
      <c r="B2414" s="345">
        <v>5600</v>
      </c>
      <c r="C2414" s="345">
        <v>5800</v>
      </c>
      <c r="D2414" s="346">
        <f t="shared" ref="D2414:D2420" si="335">AVERAGE(B2414:C2414)</f>
        <v>5700</v>
      </c>
    </row>
    <row r="2415" spans="1:4" ht="15" customHeight="1">
      <c r="A2415" s="335">
        <v>42482</v>
      </c>
      <c r="B2415" s="345">
        <v>5600</v>
      </c>
      <c r="C2415" s="345">
        <v>5800</v>
      </c>
      <c r="D2415" s="346">
        <f t="shared" si="335"/>
        <v>5700</v>
      </c>
    </row>
    <row r="2416" spans="1:4" ht="15" customHeight="1">
      <c r="A2416" s="335">
        <v>42485</v>
      </c>
      <c r="B2416" s="345">
        <v>5600</v>
      </c>
      <c r="C2416" s="345">
        <v>5800</v>
      </c>
      <c r="D2416" s="346">
        <f t="shared" si="335"/>
        <v>5700</v>
      </c>
    </row>
    <row r="2417" spans="1:9" ht="15" customHeight="1">
      <c r="A2417" s="335">
        <v>42486</v>
      </c>
      <c r="B2417" s="345">
        <v>5600</v>
      </c>
      <c r="C2417" s="345">
        <v>5800</v>
      </c>
      <c r="D2417" s="346">
        <f t="shared" si="335"/>
        <v>5700</v>
      </c>
    </row>
    <row r="2418" spans="1:9" ht="15" customHeight="1">
      <c r="A2418" s="335">
        <v>42487</v>
      </c>
      <c r="B2418" s="345">
        <v>5600</v>
      </c>
      <c r="C2418" s="345">
        <v>5800</v>
      </c>
      <c r="D2418" s="346">
        <f t="shared" si="335"/>
        <v>5700</v>
      </c>
    </row>
    <row r="2419" spans="1:9" ht="15" customHeight="1">
      <c r="A2419" s="335">
        <v>42488</v>
      </c>
      <c r="B2419" s="345">
        <v>5600</v>
      </c>
      <c r="C2419" s="345">
        <v>5800</v>
      </c>
      <c r="D2419" s="346">
        <f t="shared" si="335"/>
        <v>5700</v>
      </c>
    </row>
    <row r="2420" spans="1:9" ht="15" customHeight="1" thickBot="1">
      <c r="A2420" s="340">
        <v>42489</v>
      </c>
      <c r="B2420" s="341">
        <v>6300</v>
      </c>
      <c r="C2420" s="341">
        <v>6600</v>
      </c>
      <c r="D2420" s="342">
        <f t="shared" si="335"/>
        <v>6450</v>
      </c>
      <c r="E2420" s="360">
        <f>AVERAGE(D2400:D2420)</f>
        <v>5616.666666666667</v>
      </c>
      <c r="F2420" s="360">
        <f>AVERAGE(D2336:D2420)</f>
        <v>5338.2352941176468</v>
      </c>
      <c r="G2420" s="344"/>
      <c r="H2420" s="354"/>
      <c r="I2420" s="358"/>
    </row>
    <row r="2421" spans="1:9" ht="15" customHeight="1">
      <c r="A2421" s="335">
        <v>42492</v>
      </c>
      <c r="B2421" s="1412" t="s">
        <v>89</v>
      </c>
      <c r="C2421" s="1412"/>
      <c r="D2421" s="1412"/>
    </row>
    <row r="2422" spans="1:9" ht="15" customHeight="1">
      <c r="A2422" s="335">
        <v>42493</v>
      </c>
      <c r="B2422" s="345">
        <v>6300</v>
      </c>
      <c r="C2422" s="345">
        <v>6600</v>
      </c>
      <c r="D2422" s="346">
        <f t="shared" ref="D2422" si="336">AVERAGE(B2422:C2422)</f>
        <v>6450</v>
      </c>
    </row>
    <row r="2423" spans="1:9" ht="15" customHeight="1">
      <c r="A2423" s="335">
        <v>42494</v>
      </c>
      <c r="B2423" s="345">
        <v>6300</v>
      </c>
      <c r="C2423" s="345">
        <v>6600</v>
      </c>
      <c r="D2423" s="346">
        <f t="shared" ref="D2423" si="337">AVERAGE(B2423:C2423)</f>
        <v>6450</v>
      </c>
    </row>
    <row r="2424" spans="1:9" ht="15" customHeight="1">
      <c r="A2424" s="335">
        <v>42495</v>
      </c>
      <c r="B2424" s="345">
        <v>6300</v>
      </c>
      <c r="C2424" s="345">
        <v>6600</v>
      </c>
      <c r="D2424" s="346">
        <f t="shared" ref="D2424" si="338">AVERAGE(B2424:C2424)</f>
        <v>6450</v>
      </c>
    </row>
    <row r="2425" spans="1:9" ht="15" customHeight="1">
      <c r="A2425" s="335">
        <v>42496</v>
      </c>
      <c r="B2425" s="345">
        <v>6300</v>
      </c>
      <c r="C2425" s="345">
        <v>6600</v>
      </c>
      <c r="D2425" s="346">
        <f t="shared" ref="D2425" si="339">AVERAGE(B2425:C2425)</f>
        <v>6450</v>
      </c>
    </row>
    <row r="2426" spans="1:9" ht="15" customHeight="1">
      <c r="A2426" s="335">
        <v>42499</v>
      </c>
      <c r="B2426" s="345">
        <v>6300</v>
      </c>
      <c r="C2426" s="345">
        <v>6600</v>
      </c>
      <c r="D2426" s="346">
        <f t="shared" ref="D2426" si="340">AVERAGE(B2426:C2426)</f>
        <v>6450</v>
      </c>
    </row>
    <row r="2427" spans="1:9" ht="15" customHeight="1">
      <c r="A2427" s="335">
        <v>42500</v>
      </c>
      <c r="B2427" s="345">
        <v>6300</v>
      </c>
      <c r="C2427" s="345">
        <v>6600</v>
      </c>
      <c r="D2427" s="346">
        <f t="shared" ref="D2427" si="341">AVERAGE(B2427:C2427)</f>
        <v>6450</v>
      </c>
    </row>
    <row r="2428" spans="1:9" ht="15" customHeight="1">
      <c r="A2428" s="335">
        <v>42501</v>
      </c>
      <c r="B2428" s="345">
        <v>6300</v>
      </c>
      <c r="C2428" s="345">
        <v>6600</v>
      </c>
      <c r="D2428" s="346">
        <f t="shared" ref="D2428" si="342">AVERAGE(B2428:C2428)</f>
        <v>6450</v>
      </c>
    </row>
    <row r="2429" spans="1:9" ht="15" customHeight="1">
      <c r="A2429" s="335">
        <v>42502</v>
      </c>
      <c r="B2429" s="345">
        <v>6300</v>
      </c>
      <c r="C2429" s="345">
        <v>6600</v>
      </c>
      <c r="D2429" s="346">
        <f t="shared" ref="D2429" si="343">AVERAGE(B2429:C2429)</f>
        <v>6450</v>
      </c>
    </row>
    <row r="2430" spans="1:9" ht="15" customHeight="1">
      <c r="A2430" s="335">
        <v>42503</v>
      </c>
      <c r="B2430" s="345">
        <v>6300</v>
      </c>
      <c r="C2430" s="345">
        <v>6600</v>
      </c>
      <c r="D2430" s="346">
        <f t="shared" ref="D2430:D2431" si="344">AVERAGE(B2430:C2430)</f>
        <v>6450</v>
      </c>
    </row>
    <row r="2431" spans="1:9" ht="15" customHeight="1">
      <c r="A2431" s="335">
        <v>42506</v>
      </c>
      <c r="B2431" s="336">
        <v>6000</v>
      </c>
      <c r="C2431" s="336">
        <v>6300</v>
      </c>
      <c r="D2431" s="337">
        <f t="shared" si="344"/>
        <v>6150</v>
      </c>
    </row>
    <row r="2432" spans="1:9" ht="15" customHeight="1">
      <c r="A2432" s="335">
        <v>42507</v>
      </c>
      <c r="B2432" s="336">
        <v>6000</v>
      </c>
      <c r="C2432" s="336">
        <v>6300</v>
      </c>
      <c r="D2432" s="337">
        <f t="shared" ref="D2432" si="345">AVERAGE(B2432:C2432)</f>
        <v>6150</v>
      </c>
    </row>
    <row r="2433" spans="1:9" ht="15" customHeight="1">
      <c r="A2433" s="335">
        <v>42508</v>
      </c>
      <c r="B2433" s="336">
        <v>6000</v>
      </c>
      <c r="C2433" s="336">
        <v>6300</v>
      </c>
      <c r="D2433" s="337">
        <f t="shared" ref="D2433" si="346">AVERAGE(B2433:C2433)</f>
        <v>6150</v>
      </c>
    </row>
    <row r="2434" spans="1:9" ht="15" customHeight="1">
      <c r="A2434" s="335">
        <v>42509</v>
      </c>
      <c r="B2434" s="336">
        <v>6000</v>
      </c>
      <c r="C2434" s="336">
        <v>6300</v>
      </c>
      <c r="D2434" s="337">
        <f t="shared" ref="D2434" si="347">AVERAGE(B2434:C2434)</f>
        <v>6150</v>
      </c>
    </row>
    <row r="2435" spans="1:9" ht="15" customHeight="1">
      <c r="A2435" s="335">
        <v>42510</v>
      </c>
      <c r="B2435" s="336">
        <v>6000</v>
      </c>
      <c r="C2435" s="336">
        <v>6300</v>
      </c>
      <c r="D2435" s="337">
        <f t="shared" ref="D2435" si="348">AVERAGE(B2435:C2435)</f>
        <v>6150</v>
      </c>
    </row>
    <row r="2436" spans="1:9" ht="15" customHeight="1">
      <c r="A2436" s="335">
        <v>42513</v>
      </c>
      <c r="B2436" s="336">
        <v>6000</v>
      </c>
      <c r="C2436" s="336">
        <v>6300</v>
      </c>
      <c r="D2436" s="337">
        <f t="shared" ref="D2436" si="349">AVERAGE(B2436:C2436)</f>
        <v>6150</v>
      </c>
    </row>
    <row r="2437" spans="1:9" ht="15" customHeight="1">
      <c r="A2437" s="335">
        <v>42514</v>
      </c>
      <c r="B2437" s="336">
        <v>6000</v>
      </c>
      <c r="C2437" s="336">
        <v>6300</v>
      </c>
      <c r="D2437" s="337">
        <f t="shared" ref="D2437" si="350">AVERAGE(B2437:C2437)</f>
        <v>6150</v>
      </c>
    </row>
    <row r="2438" spans="1:9" ht="15" customHeight="1">
      <c r="A2438" s="335">
        <v>42515</v>
      </c>
      <c r="B2438" s="336">
        <v>6000</v>
      </c>
      <c r="C2438" s="336">
        <v>6300</v>
      </c>
      <c r="D2438" s="337">
        <f t="shared" ref="D2438" si="351">AVERAGE(B2438:C2438)</f>
        <v>6150</v>
      </c>
    </row>
    <row r="2439" spans="1:9" ht="15" customHeight="1">
      <c r="A2439" s="335">
        <v>42516</v>
      </c>
      <c r="B2439" s="336">
        <v>6000</v>
      </c>
      <c r="C2439" s="336">
        <v>6300</v>
      </c>
      <c r="D2439" s="337">
        <f t="shared" ref="D2439" si="352">AVERAGE(B2439:C2439)</f>
        <v>6150</v>
      </c>
    </row>
    <row r="2440" spans="1:9" ht="15" customHeight="1">
      <c r="A2440" s="335">
        <v>42517</v>
      </c>
      <c r="B2440" s="336">
        <v>6000</v>
      </c>
      <c r="C2440" s="336">
        <v>6300</v>
      </c>
      <c r="D2440" s="337">
        <f t="shared" ref="D2440" si="353">AVERAGE(B2440:C2440)</f>
        <v>6150</v>
      </c>
    </row>
    <row r="2441" spans="1:9" ht="15" customHeight="1">
      <c r="A2441" s="335">
        <v>42520</v>
      </c>
      <c r="B2441" s="1411" t="s">
        <v>89</v>
      </c>
      <c r="C2441" s="1411"/>
      <c r="D2441" s="1411"/>
    </row>
    <row r="2442" spans="1:9" ht="15" customHeight="1" thickBot="1">
      <c r="A2442" s="340">
        <v>42521</v>
      </c>
      <c r="B2442" s="341">
        <v>6000</v>
      </c>
      <c r="C2442" s="341">
        <v>6300</v>
      </c>
      <c r="D2442" s="342">
        <f t="shared" ref="D2442" si="354">AVERAGE(B2442:C2442)</f>
        <v>6150</v>
      </c>
      <c r="E2442" s="360">
        <f>AVERAGE(D2422:D2442)</f>
        <v>6285</v>
      </c>
      <c r="F2442" s="360">
        <f>AVERAGE(D2336:D2442)</f>
        <v>5518.5714285714284</v>
      </c>
      <c r="G2442" s="344"/>
      <c r="H2442" s="354"/>
      <c r="I2442" s="358"/>
    </row>
    <row r="2443" spans="1:9" ht="15" customHeight="1">
      <c r="A2443" s="335">
        <v>42522</v>
      </c>
      <c r="B2443" s="363">
        <v>6000</v>
      </c>
      <c r="C2443" s="363">
        <v>6300</v>
      </c>
      <c r="D2443" s="408">
        <f t="shared" ref="D2443" si="355">AVERAGE(B2443:C2443)</f>
        <v>6150</v>
      </c>
    </row>
    <row r="2444" spans="1:9" ht="15" customHeight="1">
      <c r="A2444" s="335">
        <v>42523</v>
      </c>
      <c r="B2444" s="345">
        <v>6000</v>
      </c>
      <c r="C2444" s="345">
        <v>6300</v>
      </c>
      <c r="D2444" s="346">
        <f t="shared" ref="D2444:D2445" si="356">AVERAGE(B2444:C2444)</f>
        <v>6150</v>
      </c>
    </row>
    <row r="2445" spans="1:9" ht="15" customHeight="1">
      <c r="A2445" s="335">
        <v>42524</v>
      </c>
      <c r="B2445" s="336">
        <v>6000</v>
      </c>
      <c r="C2445" s="336">
        <v>6200</v>
      </c>
      <c r="D2445" s="337">
        <f t="shared" si="356"/>
        <v>6100</v>
      </c>
    </row>
    <row r="2446" spans="1:9" ht="15" customHeight="1">
      <c r="A2446" s="335">
        <v>42527</v>
      </c>
      <c r="B2446" s="336">
        <v>6000</v>
      </c>
      <c r="C2446" s="336">
        <v>6200</v>
      </c>
      <c r="D2446" s="337">
        <f t="shared" ref="D2446" si="357">AVERAGE(B2446:C2446)</f>
        <v>6100</v>
      </c>
    </row>
    <row r="2447" spans="1:9" ht="15" customHeight="1">
      <c r="A2447" s="335">
        <v>42528</v>
      </c>
      <c r="B2447" s="336">
        <v>6000</v>
      </c>
      <c r="C2447" s="336">
        <v>6200</v>
      </c>
      <c r="D2447" s="337">
        <f t="shared" ref="D2447" si="358">AVERAGE(B2447:C2447)</f>
        <v>6100</v>
      </c>
    </row>
    <row r="2448" spans="1:9" ht="15" customHeight="1">
      <c r="A2448" s="335">
        <v>42529</v>
      </c>
      <c r="B2448" s="336">
        <v>6000</v>
      </c>
      <c r="C2448" s="336">
        <v>6200</v>
      </c>
      <c r="D2448" s="337">
        <f t="shared" ref="D2448" si="359">AVERAGE(B2448:C2448)</f>
        <v>6100</v>
      </c>
    </row>
    <row r="2449" spans="1:6" ht="15" customHeight="1">
      <c r="A2449" s="335">
        <v>42530</v>
      </c>
      <c r="B2449" s="336">
        <v>6000</v>
      </c>
      <c r="C2449" s="336">
        <v>6200</v>
      </c>
      <c r="D2449" s="337">
        <f t="shared" ref="D2449" si="360">AVERAGE(B2449:C2449)</f>
        <v>6100</v>
      </c>
    </row>
    <row r="2450" spans="1:6" ht="15" customHeight="1">
      <c r="A2450" s="335">
        <v>42531</v>
      </c>
      <c r="B2450" s="336">
        <v>6000</v>
      </c>
      <c r="C2450" s="336">
        <v>6200</v>
      </c>
      <c r="D2450" s="337">
        <f t="shared" ref="D2450" si="361">AVERAGE(B2450:C2450)</f>
        <v>6100</v>
      </c>
    </row>
    <row r="2451" spans="1:6" ht="15" customHeight="1">
      <c r="A2451" s="335">
        <v>42534</v>
      </c>
      <c r="B2451" s="336">
        <v>6000</v>
      </c>
      <c r="C2451" s="336">
        <v>6200</v>
      </c>
      <c r="D2451" s="337">
        <f t="shared" ref="D2451" si="362">AVERAGE(B2451:C2451)</f>
        <v>6100</v>
      </c>
    </row>
    <row r="2452" spans="1:6" ht="15" customHeight="1">
      <c r="A2452" s="335">
        <v>42535</v>
      </c>
      <c r="B2452" s="336">
        <v>6000</v>
      </c>
      <c r="C2452" s="336">
        <v>6200</v>
      </c>
      <c r="D2452" s="337">
        <f t="shared" ref="D2452" si="363">AVERAGE(B2452:C2452)</f>
        <v>6100</v>
      </c>
    </row>
    <row r="2453" spans="1:6" ht="15" customHeight="1">
      <c r="A2453" s="335">
        <v>42536</v>
      </c>
      <c r="B2453" s="336">
        <v>6000</v>
      </c>
      <c r="C2453" s="336">
        <v>6200</v>
      </c>
      <c r="D2453" s="337">
        <f t="shared" ref="D2453" si="364">AVERAGE(B2453:C2453)</f>
        <v>6100</v>
      </c>
    </row>
    <row r="2454" spans="1:6" ht="15" customHeight="1">
      <c r="A2454" s="335">
        <v>42537</v>
      </c>
      <c r="B2454" s="336">
        <v>6000</v>
      </c>
      <c r="C2454" s="336">
        <v>6200</v>
      </c>
      <c r="D2454" s="337">
        <f t="shared" ref="D2454:D2455" si="365">AVERAGE(B2454:C2454)</f>
        <v>6100</v>
      </c>
    </row>
    <row r="2455" spans="1:6" ht="15" customHeight="1">
      <c r="A2455" s="335">
        <v>42538</v>
      </c>
      <c r="B2455" s="336">
        <v>6000</v>
      </c>
      <c r="C2455" s="336">
        <v>6200</v>
      </c>
      <c r="D2455" s="337">
        <f t="shared" si="365"/>
        <v>6100</v>
      </c>
    </row>
    <row r="2456" spans="1:6" ht="15" customHeight="1">
      <c r="A2456" s="335">
        <v>42541</v>
      </c>
      <c r="B2456" s="336">
        <v>6400</v>
      </c>
      <c r="C2456" s="336">
        <v>6600</v>
      </c>
      <c r="D2456" s="337">
        <f t="shared" ref="D2456" si="366">AVERAGE(B2456:C2456)</f>
        <v>6500</v>
      </c>
    </row>
    <row r="2457" spans="1:6" ht="15" customHeight="1">
      <c r="A2457" s="335">
        <v>42542</v>
      </c>
      <c r="B2457" s="336">
        <v>6400</v>
      </c>
      <c r="C2457" s="336">
        <v>6600</v>
      </c>
      <c r="D2457" s="337">
        <f t="shared" ref="D2457" si="367">AVERAGE(B2457:C2457)</f>
        <v>6500</v>
      </c>
    </row>
    <row r="2458" spans="1:6" ht="15" customHeight="1">
      <c r="A2458" s="335">
        <v>42543</v>
      </c>
      <c r="B2458" s="336">
        <v>6400</v>
      </c>
      <c r="C2458" s="336">
        <v>6600</v>
      </c>
      <c r="D2458" s="337">
        <f t="shared" ref="D2458" si="368">AVERAGE(B2458:C2458)</f>
        <v>6500</v>
      </c>
    </row>
    <row r="2459" spans="1:6" ht="15" customHeight="1">
      <c r="A2459" s="335">
        <v>42544</v>
      </c>
      <c r="B2459" s="336">
        <v>6400</v>
      </c>
      <c r="C2459" s="336">
        <v>6600</v>
      </c>
      <c r="D2459" s="337">
        <f t="shared" ref="D2459:D2460" si="369">AVERAGE(B2459:C2459)</f>
        <v>6500</v>
      </c>
    </row>
    <row r="2460" spans="1:6" ht="15" customHeight="1">
      <c r="A2460" s="335">
        <v>42545</v>
      </c>
      <c r="B2460" s="336">
        <v>6400</v>
      </c>
      <c r="C2460" s="336">
        <v>6600</v>
      </c>
      <c r="D2460" s="337">
        <f t="shared" si="369"/>
        <v>6500</v>
      </c>
    </row>
    <row r="2461" spans="1:6" ht="15" customHeight="1">
      <c r="A2461" s="335">
        <v>42548</v>
      </c>
      <c r="B2461" s="336">
        <v>6400</v>
      </c>
      <c r="C2461" s="336">
        <v>6600</v>
      </c>
      <c r="D2461" s="337">
        <f t="shared" ref="D2461" si="370">AVERAGE(B2461:C2461)</f>
        <v>6500</v>
      </c>
    </row>
    <row r="2462" spans="1:6" ht="15" customHeight="1">
      <c r="A2462" s="335">
        <v>42549</v>
      </c>
      <c r="B2462" s="336">
        <v>6400</v>
      </c>
      <c r="C2462" s="336">
        <v>6600</v>
      </c>
      <c r="D2462" s="337">
        <f t="shared" ref="D2462" si="371">AVERAGE(B2462:C2462)</f>
        <v>6500</v>
      </c>
    </row>
    <row r="2463" spans="1:6" ht="15" customHeight="1">
      <c r="A2463" s="335">
        <v>42550</v>
      </c>
      <c r="B2463" s="336">
        <v>6400</v>
      </c>
      <c r="C2463" s="336">
        <v>6600</v>
      </c>
      <c r="D2463" s="337">
        <f t="shared" ref="D2463" si="372">AVERAGE(B2463:C2463)</f>
        <v>6500</v>
      </c>
    </row>
    <row r="2464" spans="1:6" ht="15" customHeight="1" thickBot="1">
      <c r="A2464" s="340">
        <v>42551</v>
      </c>
      <c r="B2464" s="341">
        <v>6400</v>
      </c>
      <c r="C2464" s="341">
        <v>6600</v>
      </c>
      <c r="D2464" s="342">
        <f t="shared" ref="D2464:D2465" si="373">AVERAGE(B2464:C2464)</f>
        <v>6500</v>
      </c>
      <c r="E2464" s="360">
        <f>AVERAGE(D2443:D2464)</f>
        <v>6268.181818181818</v>
      </c>
      <c r="F2464" s="360">
        <f>AVERAGE(D2336:D2464)</f>
        <v>5648.4251968503941</v>
      </c>
    </row>
    <row r="2465" spans="1:4" ht="15" customHeight="1">
      <c r="A2465" s="335">
        <v>42552</v>
      </c>
      <c r="B2465" s="336">
        <v>6400</v>
      </c>
      <c r="C2465" s="336">
        <v>6600</v>
      </c>
      <c r="D2465" s="337">
        <f t="shared" si="373"/>
        <v>6500</v>
      </c>
    </row>
    <row r="2466" spans="1:4" ht="15" customHeight="1">
      <c r="A2466" s="335">
        <v>42555</v>
      </c>
      <c r="B2466" s="336">
        <v>6400</v>
      </c>
      <c r="C2466" s="336">
        <v>6600</v>
      </c>
      <c r="D2466" s="337">
        <f t="shared" ref="D2466" si="374">AVERAGE(B2466:C2466)</f>
        <v>6500</v>
      </c>
    </row>
    <row r="2467" spans="1:4" ht="15" customHeight="1">
      <c r="A2467" s="335">
        <v>42556</v>
      </c>
      <c r="B2467" s="336">
        <v>6400</v>
      </c>
      <c r="C2467" s="336">
        <v>6600</v>
      </c>
      <c r="D2467" s="337">
        <f t="shared" ref="D2467" si="375">AVERAGE(B2467:C2467)</f>
        <v>6500</v>
      </c>
    </row>
    <row r="2468" spans="1:4" ht="15" customHeight="1">
      <c r="A2468" s="335">
        <v>42557</v>
      </c>
      <c r="B2468" s="336">
        <v>6400</v>
      </c>
      <c r="C2468" s="336">
        <v>6600</v>
      </c>
      <c r="D2468" s="337">
        <f t="shared" ref="D2468" si="376">AVERAGE(B2468:C2468)</f>
        <v>6500</v>
      </c>
    </row>
    <row r="2469" spans="1:4" ht="15" customHeight="1">
      <c r="A2469" s="335">
        <v>42558</v>
      </c>
      <c r="B2469" s="336">
        <v>6400</v>
      </c>
      <c r="C2469" s="336">
        <v>6600</v>
      </c>
      <c r="D2469" s="337">
        <f t="shared" ref="D2469:D2470" si="377">AVERAGE(B2469:C2469)</f>
        <v>6500</v>
      </c>
    </row>
    <row r="2470" spans="1:4" ht="15" customHeight="1">
      <c r="A2470" s="335">
        <v>42559</v>
      </c>
      <c r="B2470" s="336">
        <v>6400</v>
      </c>
      <c r="C2470" s="336">
        <v>6600</v>
      </c>
      <c r="D2470" s="337">
        <f t="shared" si="377"/>
        <v>6500</v>
      </c>
    </row>
    <row r="2471" spans="1:4" ht="15" customHeight="1">
      <c r="A2471" s="335">
        <v>42562</v>
      </c>
      <c r="B2471" s="336">
        <v>6400</v>
      </c>
      <c r="C2471" s="336">
        <v>6600</v>
      </c>
      <c r="D2471" s="337">
        <f t="shared" ref="D2471" si="378">AVERAGE(B2471:C2471)</f>
        <v>6500</v>
      </c>
    </row>
    <row r="2472" spans="1:4" ht="15" customHeight="1">
      <c r="A2472" s="335">
        <v>42563</v>
      </c>
      <c r="B2472" s="336">
        <v>6400</v>
      </c>
      <c r="C2472" s="336">
        <v>6600</v>
      </c>
      <c r="D2472" s="337">
        <f t="shared" ref="D2472" si="379">AVERAGE(B2472:C2472)</f>
        <v>6500</v>
      </c>
    </row>
    <row r="2473" spans="1:4" ht="15" customHeight="1">
      <c r="A2473" s="335">
        <v>42564</v>
      </c>
      <c r="B2473" s="336">
        <v>6400</v>
      </c>
      <c r="C2473" s="336">
        <v>6600</v>
      </c>
      <c r="D2473" s="337">
        <f t="shared" ref="D2473" si="380">AVERAGE(B2473:C2473)</f>
        <v>6500</v>
      </c>
    </row>
    <row r="2474" spans="1:4" ht="15" customHeight="1">
      <c r="A2474" s="335">
        <v>42565</v>
      </c>
      <c r="B2474" s="336">
        <v>6400</v>
      </c>
      <c r="C2474" s="336">
        <v>6600</v>
      </c>
      <c r="D2474" s="337">
        <f t="shared" ref="D2474" si="381">AVERAGE(B2474:C2474)</f>
        <v>6500</v>
      </c>
    </row>
    <row r="2475" spans="1:4" ht="15" customHeight="1">
      <c r="A2475" s="335">
        <v>42566</v>
      </c>
      <c r="B2475" s="336">
        <v>6400</v>
      </c>
      <c r="C2475" s="336">
        <v>6600</v>
      </c>
      <c r="D2475" s="337">
        <f t="shared" ref="D2475" si="382">AVERAGE(B2475:C2475)</f>
        <v>6500</v>
      </c>
    </row>
    <row r="2476" spans="1:4" ht="15" customHeight="1">
      <c r="A2476" s="335">
        <v>42569</v>
      </c>
      <c r="B2476" s="336">
        <v>6400</v>
      </c>
      <c r="C2476" s="336">
        <v>6600</v>
      </c>
      <c r="D2476" s="337">
        <f t="shared" ref="D2476" si="383">AVERAGE(B2476:C2476)</f>
        <v>6500</v>
      </c>
    </row>
    <row r="2477" spans="1:4" ht="15" customHeight="1">
      <c r="A2477" s="335">
        <v>42570</v>
      </c>
      <c r="B2477" s="336">
        <v>6400</v>
      </c>
      <c r="C2477" s="336">
        <v>6600</v>
      </c>
      <c r="D2477" s="337">
        <f t="shared" ref="D2477" si="384">AVERAGE(B2477:C2477)</f>
        <v>6500</v>
      </c>
    </row>
    <row r="2478" spans="1:4" ht="15" customHeight="1">
      <c r="A2478" s="335">
        <v>42571</v>
      </c>
      <c r="B2478" s="336">
        <v>6400</v>
      </c>
      <c r="C2478" s="336">
        <v>6600</v>
      </c>
      <c r="D2478" s="337">
        <f t="shared" ref="D2478" si="385">AVERAGE(B2478:C2478)</f>
        <v>6500</v>
      </c>
    </row>
    <row r="2479" spans="1:4" ht="15" customHeight="1">
      <c r="A2479" s="335">
        <v>42572</v>
      </c>
      <c r="B2479" s="336">
        <v>6400</v>
      </c>
      <c r="C2479" s="336">
        <v>6600</v>
      </c>
      <c r="D2479" s="337">
        <f t="shared" ref="D2479" si="386">AVERAGE(B2479:C2479)</f>
        <v>6500</v>
      </c>
    </row>
    <row r="2480" spans="1:4" ht="15" customHeight="1">
      <c r="A2480" s="335">
        <v>42573</v>
      </c>
      <c r="B2480" s="336">
        <v>6400</v>
      </c>
      <c r="C2480" s="336">
        <v>6600</v>
      </c>
      <c r="D2480" s="337">
        <f t="shared" ref="D2480" si="387">AVERAGE(B2480:C2480)</f>
        <v>6500</v>
      </c>
    </row>
    <row r="2481" spans="1:6" ht="15" customHeight="1">
      <c r="A2481" s="335">
        <v>42576</v>
      </c>
      <c r="B2481" s="336">
        <v>6400</v>
      </c>
      <c r="C2481" s="336">
        <v>6600</v>
      </c>
      <c r="D2481" s="337">
        <f t="shared" ref="D2481:D2482" si="388">AVERAGE(B2481:C2481)</f>
        <v>6500</v>
      </c>
    </row>
    <row r="2482" spans="1:6" ht="15" customHeight="1">
      <c r="A2482" s="335">
        <v>42577</v>
      </c>
      <c r="B2482" s="336">
        <v>6400</v>
      </c>
      <c r="C2482" s="336">
        <v>6600</v>
      </c>
      <c r="D2482" s="337">
        <f t="shared" si="388"/>
        <v>6500</v>
      </c>
    </row>
    <row r="2483" spans="1:6" ht="15" customHeight="1">
      <c r="A2483" s="335">
        <v>42578</v>
      </c>
      <c r="B2483" s="336">
        <v>6800</v>
      </c>
      <c r="C2483" s="336">
        <v>7000</v>
      </c>
      <c r="D2483" s="337">
        <f t="shared" ref="D2483:D2488" si="389">AVERAGE(B2483:C2483)</f>
        <v>6900</v>
      </c>
    </row>
    <row r="2484" spans="1:6" ht="15" customHeight="1">
      <c r="A2484" s="335">
        <v>42579</v>
      </c>
      <c r="B2484" s="336">
        <v>6800</v>
      </c>
      <c r="C2484" s="336">
        <v>7000</v>
      </c>
      <c r="D2484" s="337">
        <f t="shared" si="389"/>
        <v>6900</v>
      </c>
    </row>
    <row r="2485" spans="1:6" ht="15" customHeight="1" thickBot="1">
      <c r="A2485" s="340">
        <v>42580</v>
      </c>
      <c r="B2485" s="341">
        <v>6800</v>
      </c>
      <c r="C2485" s="341">
        <v>7000</v>
      </c>
      <c r="D2485" s="342">
        <f t="shared" si="389"/>
        <v>6900</v>
      </c>
      <c r="E2485" s="360">
        <f>AVERAGE(D2465:D2485)</f>
        <v>6557.1428571428569</v>
      </c>
      <c r="F2485" s="360">
        <f>AVERAGE(D2336:D2485)</f>
        <v>5777.364864864865</v>
      </c>
    </row>
    <row r="2486" spans="1:6" ht="15" customHeight="1">
      <c r="A2486" s="335">
        <v>42583</v>
      </c>
      <c r="B2486" s="336">
        <v>6800</v>
      </c>
      <c r="C2486" s="336">
        <v>7000</v>
      </c>
      <c r="D2486" s="337">
        <f t="shared" si="389"/>
        <v>6900</v>
      </c>
    </row>
    <row r="2487" spans="1:6" ht="15" customHeight="1">
      <c r="A2487" s="335">
        <v>42584</v>
      </c>
      <c r="B2487" s="336">
        <v>6800</v>
      </c>
      <c r="C2487" s="336">
        <v>7000</v>
      </c>
      <c r="D2487" s="337">
        <f t="shared" si="389"/>
        <v>6900</v>
      </c>
    </row>
    <row r="2488" spans="1:6" ht="15" customHeight="1">
      <c r="A2488" s="335">
        <v>42585</v>
      </c>
      <c r="B2488" s="336">
        <v>6800</v>
      </c>
      <c r="C2488" s="336">
        <v>7000</v>
      </c>
      <c r="D2488" s="337">
        <f t="shared" si="389"/>
        <v>6900</v>
      </c>
    </row>
    <row r="2489" spans="1:6" ht="15" customHeight="1">
      <c r="A2489" s="335">
        <v>42586</v>
      </c>
      <c r="B2489" s="336">
        <v>6800</v>
      </c>
      <c r="C2489" s="336">
        <v>7000</v>
      </c>
      <c r="D2489" s="337">
        <f t="shared" ref="D2489" si="390">AVERAGE(B2489:C2489)</f>
        <v>6900</v>
      </c>
    </row>
    <row r="2490" spans="1:6" ht="15" customHeight="1">
      <c r="A2490" s="335">
        <v>42587</v>
      </c>
      <c r="B2490" s="336">
        <v>6800</v>
      </c>
      <c r="C2490" s="336">
        <v>7000</v>
      </c>
      <c r="D2490" s="337">
        <f t="shared" ref="D2490" si="391">AVERAGE(B2490:C2490)</f>
        <v>6900</v>
      </c>
    </row>
    <row r="2491" spans="1:6" ht="15" customHeight="1">
      <c r="A2491" s="335">
        <v>42590</v>
      </c>
      <c r="B2491" s="336">
        <v>6800</v>
      </c>
      <c r="C2491" s="336">
        <v>7000</v>
      </c>
      <c r="D2491" s="337">
        <f t="shared" ref="D2491" si="392">AVERAGE(B2491:C2491)</f>
        <v>6900</v>
      </c>
    </row>
    <row r="2492" spans="1:6" ht="15" customHeight="1">
      <c r="A2492" s="335">
        <v>42591</v>
      </c>
      <c r="B2492" s="336">
        <v>6800</v>
      </c>
      <c r="C2492" s="336">
        <v>7000</v>
      </c>
      <c r="D2492" s="337">
        <f t="shared" ref="D2492" si="393">AVERAGE(B2492:C2492)</f>
        <v>6900</v>
      </c>
    </row>
    <row r="2493" spans="1:6" ht="15" customHeight="1">
      <c r="A2493" s="335">
        <v>42592</v>
      </c>
      <c r="B2493" s="336">
        <v>6800</v>
      </c>
      <c r="C2493" s="336">
        <v>7000</v>
      </c>
      <c r="D2493" s="337">
        <f t="shared" ref="D2493" si="394">AVERAGE(B2493:C2493)</f>
        <v>6900</v>
      </c>
    </row>
    <row r="2494" spans="1:6" ht="15" customHeight="1">
      <c r="A2494" s="335">
        <v>42593</v>
      </c>
      <c r="B2494" s="336">
        <v>6800</v>
      </c>
      <c r="C2494" s="336">
        <v>7000</v>
      </c>
      <c r="D2494" s="337">
        <f t="shared" ref="D2494" si="395">AVERAGE(B2494:C2494)</f>
        <v>6900</v>
      </c>
    </row>
    <row r="2495" spans="1:6" ht="15" customHeight="1">
      <c r="A2495" s="335">
        <v>42594</v>
      </c>
      <c r="B2495" s="336">
        <v>6800</v>
      </c>
      <c r="C2495" s="336">
        <v>7000</v>
      </c>
      <c r="D2495" s="337">
        <f t="shared" ref="D2495" si="396">AVERAGE(B2495:C2495)</f>
        <v>6900</v>
      </c>
    </row>
    <row r="2496" spans="1:6" ht="15" customHeight="1">
      <c r="A2496" s="335">
        <v>42597</v>
      </c>
      <c r="B2496" s="336">
        <v>6800</v>
      </c>
      <c r="C2496" s="336">
        <v>7000</v>
      </c>
      <c r="D2496" s="337">
        <f t="shared" ref="D2496" si="397">AVERAGE(B2496:C2496)</f>
        <v>6900</v>
      </c>
    </row>
    <row r="2497" spans="1:6" ht="15" customHeight="1">
      <c r="A2497" s="335">
        <v>42598</v>
      </c>
      <c r="B2497" s="336">
        <v>6800</v>
      </c>
      <c r="C2497" s="336">
        <v>7000</v>
      </c>
      <c r="D2497" s="337">
        <f t="shared" ref="D2497" si="398">AVERAGE(B2497:C2497)</f>
        <v>6900</v>
      </c>
    </row>
    <row r="2498" spans="1:6" ht="15" customHeight="1">
      <c r="A2498" s="335">
        <v>42599</v>
      </c>
      <c r="B2498" s="336">
        <v>6800</v>
      </c>
      <c r="C2498" s="336">
        <v>7000</v>
      </c>
      <c r="D2498" s="337">
        <f t="shared" ref="D2498" si="399">AVERAGE(B2498:C2498)</f>
        <v>6900</v>
      </c>
    </row>
    <row r="2499" spans="1:6" ht="15" customHeight="1">
      <c r="A2499" s="335">
        <v>42600</v>
      </c>
      <c r="B2499" s="336">
        <v>6800</v>
      </c>
      <c r="C2499" s="336">
        <v>7000</v>
      </c>
      <c r="D2499" s="337">
        <f t="shared" ref="D2499" si="400">AVERAGE(B2499:C2499)</f>
        <v>6900</v>
      </c>
    </row>
    <row r="2500" spans="1:6" ht="15" customHeight="1">
      <c r="A2500" s="335">
        <v>42601</v>
      </c>
      <c r="B2500" s="336">
        <v>6800</v>
      </c>
      <c r="C2500" s="336">
        <v>7000</v>
      </c>
      <c r="D2500" s="337">
        <f t="shared" ref="D2500" si="401">AVERAGE(B2500:C2500)</f>
        <v>6900</v>
      </c>
    </row>
    <row r="2501" spans="1:6" ht="15" customHeight="1">
      <c r="A2501" s="335">
        <v>42604</v>
      </c>
      <c r="B2501" s="336">
        <v>6800</v>
      </c>
      <c r="C2501" s="336">
        <v>7000</v>
      </c>
      <c r="D2501" s="337">
        <f t="shared" ref="D2501" si="402">AVERAGE(B2501:C2501)</f>
        <v>6900</v>
      </c>
    </row>
    <row r="2502" spans="1:6" ht="15" customHeight="1">
      <c r="A2502" s="335">
        <v>42605</v>
      </c>
      <c r="B2502" s="336">
        <v>6800</v>
      </c>
      <c r="C2502" s="336">
        <v>7000</v>
      </c>
      <c r="D2502" s="337">
        <f t="shared" ref="D2502" si="403">AVERAGE(B2502:C2502)</f>
        <v>6900</v>
      </c>
    </row>
    <row r="2503" spans="1:6" ht="15" customHeight="1">
      <c r="A2503" s="335">
        <v>42606</v>
      </c>
      <c r="B2503" s="336">
        <v>6800</v>
      </c>
      <c r="C2503" s="336">
        <v>7000</v>
      </c>
      <c r="D2503" s="337">
        <f t="shared" ref="D2503" si="404">AVERAGE(B2503:C2503)</f>
        <v>6900</v>
      </c>
    </row>
    <row r="2504" spans="1:6" ht="15" customHeight="1">
      <c r="A2504" s="335">
        <v>42607</v>
      </c>
      <c r="B2504" s="336">
        <v>6800</v>
      </c>
      <c r="C2504" s="336">
        <v>7000</v>
      </c>
      <c r="D2504" s="337">
        <f t="shared" ref="D2504:D2505" si="405">AVERAGE(B2504:C2504)</f>
        <v>6900</v>
      </c>
    </row>
    <row r="2505" spans="1:6" ht="15" customHeight="1">
      <c r="A2505" s="335">
        <v>42608</v>
      </c>
      <c r="B2505" s="336">
        <v>7100</v>
      </c>
      <c r="C2505" s="336">
        <v>7500</v>
      </c>
      <c r="D2505" s="337">
        <f t="shared" si="405"/>
        <v>7300</v>
      </c>
    </row>
    <row r="2506" spans="1:6" ht="15" customHeight="1">
      <c r="A2506" s="335">
        <v>42611</v>
      </c>
      <c r="B2506" s="1411" t="s">
        <v>89</v>
      </c>
      <c r="C2506" s="1411"/>
      <c r="D2506" s="1411"/>
    </row>
    <row r="2507" spans="1:6" ht="15" customHeight="1">
      <c r="A2507" s="335">
        <v>42612</v>
      </c>
      <c r="B2507" s="336">
        <v>7100</v>
      </c>
      <c r="C2507" s="336">
        <v>7500</v>
      </c>
      <c r="D2507" s="337">
        <f t="shared" ref="D2507" si="406">AVERAGE(B2507:C2507)</f>
        <v>7300</v>
      </c>
    </row>
    <row r="2508" spans="1:6" ht="15" customHeight="1" thickBot="1">
      <c r="A2508" s="340">
        <v>42613</v>
      </c>
      <c r="B2508" s="341">
        <v>7100</v>
      </c>
      <c r="C2508" s="341">
        <v>7500</v>
      </c>
      <c r="D2508" s="342">
        <f t="shared" ref="D2508:D2509" si="407">AVERAGE(B2508:C2508)</f>
        <v>7300</v>
      </c>
      <c r="E2508" s="360">
        <f>AVERAGE(D2486:D2508)</f>
        <v>6954.545454545455</v>
      </c>
      <c r="F2508" s="360">
        <f>AVERAGE(D2336:D2508)</f>
        <v>5929.7058823529414</v>
      </c>
    </row>
    <row r="2509" spans="1:6" ht="15" customHeight="1">
      <c r="A2509" s="335">
        <v>42614</v>
      </c>
      <c r="B2509" s="336">
        <v>7100</v>
      </c>
      <c r="C2509" s="336">
        <v>7500</v>
      </c>
      <c r="D2509" s="337">
        <f t="shared" si="407"/>
        <v>7300</v>
      </c>
    </row>
    <row r="2510" spans="1:6" ht="15" customHeight="1">
      <c r="A2510" s="335">
        <v>42615</v>
      </c>
      <c r="B2510" s="336">
        <v>7100</v>
      </c>
      <c r="C2510" s="336">
        <v>7500</v>
      </c>
      <c r="D2510" s="337">
        <f t="shared" ref="D2510" si="408">AVERAGE(B2510:C2510)</f>
        <v>7300</v>
      </c>
    </row>
    <row r="2511" spans="1:6" ht="15" customHeight="1">
      <c r="A2511" s="335">
        <v>42618</v>
      </c>
      <c r="B2511" s="336">
        <v>7100</v>
      </c>
      <c r="C2511" s="336">
        <v>7500</v>
      </c>
      <c r="D2511" s="337">
        <f t="shared" ref="D2511" si="409">AVERAGE(B2511:C2511)</f>
        <v>7300</v>
      </c>
    </row>
    <row r="2512" spans="1:6" ht="15" customHeight="1">
      <c r="A2512" s="335">
        <v>42619</v>
      </c>
      <c r="B2512" s="336">
        <v>7100</v>
      </c>
      <c r="C2512" s="336">
        <v>7500</v>
      </c>
      <c r="D2512" s="337">
        <f t="shared" ref="D2512" si="410">AVERAGE(B2512:C2512)</f>
        <v>7300</v>
      </c>
    </row>
    <row r="2513" spans="1:4" ht="15" customHeight="1">
      <c r="A2513" s="335">
        <v>42620</v>
      </c>
      <c r="B2513" s="336">
        <v>7100</v>
      </c>
      <c r="C2513" s="336">
        <v>7500</v>
      </c>
      <c r="D2513" s="337">
        <f t="shared" ref="D2513" si="411">AVERAGE(B2513:C2513)</f>
        <v>7300</v>
      </c>
    </row>
    <row r="2514" spans="1:4" ht="15" customHeight="1">
      <c r="A2514" s="335">
        <v>42621</v>
      </c>
      <c r="B2514" s="336">
        <v>7100</v>
      </c>
      <c r="C2514" s="336">
        <v>7500</v>
      </c>
      <c r="D2514" s="337">
        <f t="shared" ref="D2514" si="412">AVERAGE(B2514:C2514)</f>
        <v>7300</v>
      </c>
    </row>
    <row r="2515" spans="1:4" ht="15" customHeight="1">
      <c r="A2515" s="335">
        <v>42622</v>
      </c>
      <c r="B2515" s="336">
        <v>7100</v>
      </c>
      <c r="C2515" s="336">
        <v>7500</v>
      </c>
      <c r="D2515" s="337">
        <f t="shared" ref="D2515" si="413">AVERAGE(B2515:C2515)</f>
        <v>7300</v>
      </c>
    </row>
    <row r="2516" spans="1:4" ht="15" customHeight="1">
      <c r="A2516" s="335">
        <v>42625</v>
      </c>
      <c r="B2516" s="336">
        <v>7100</v>
      </c>
      <c r="C2516" s="336">
        <v>7500</v>
      </c>
      <c r="D2516" s="337">
        <f t="shared" ref="D2516:D2520" si="414">AVERAGE(B2516:C2516)</f>
        <v>7300</v>
      </c>
    </row>
    <row r="2517" spans="1:4" ht="15" customHeight="1">
      <c r="A2517" s="335">
        <v>42626</v>
      </c>
      <c r="B2517" s="336">
        <v>7100</v>
      </c>
      <c r="C2517" s="336">
        <v>7500</v>
      </c>
      <c r="D2517" s="337">
        <f t="shared" si="414"/>
        <v>7300</v>
      </c>
    </row>
    <row r="2518" spans="1:4" ht="15" customHeight="1">
      <c r="A2518" s="335">
        <v>42627</v>
      </c>
      <c r="B2518" s="336">
        <v>7100</v>
      </c>
      <c r="C2518" s="336">
        <v>7500</v>
      </c>
      <c r="D2518" s="337">
        <f t="shared" si="414"/>
        <v>7300</v>
      </c>
    </row>
    <row r="2519" spans="1:4" ht="15" customHeight="1">
      <c r="A2519" s="335">
        <v>42628</v>
      </c>
      <c r="B2519" s="336">
        <v>7100</v>
      </c>
      <c r="C2519" s="336">
        <v>7500</v>
      </c>
      <c r="D2519" s="337">
        <f t="shared" si="414"/>
        <v>7300</v>
      </c>
    </row>
    <row r="2520" spans="1:4" ht="15" customHeight="1">
      <c r="A2520" s="335">
        <v>42629</v>
      </c>
      <c r="B2520" s="336">
        <v>7300</v>
      </c>
      <c r="C2520" s="336">
        <v>7800</v>
      </c>
      <c r="D2520" s="337">
        <f t="shared" si="414"/>
        <v>7550</v>
      </c>
    </row>
    <row r="2521" spans="1:4" ht="15" customHeight="1">
      <c r="A2521" s="335">
        <v>42632</v>
      </c>
      <c r="B2521" s="336">
        <v>7300</v>
      </c>
      <c r="C2521" s="336">
        <v>7800</v>
      </c>
      <c r="D2521" s="337">
        <f t="shared" ref="D2521" si="415">AVERAGE(B2521:C2521)</f>
        <v>7550</v>
      </c>
    </row>
    <row r="2522" spans="1:4" ht="15" customHeight="1">
      <c r="A2522" s="335">
        <v>42633</v>
      </c>
      <c r="B2522" s="336">
        <v>7300</v>
      </c>
      <c r="C2522" s="336">
        <v>7800</v>
      </c>
      <c r="D2522" s="337">
        <f t="shared" ref="D2522" si="416">AVERAGE(B2522:C2522)</f>
        <v>7550</v>
      </c>
    </row>
    <row r="2523" spans="1:4" ht="15" customHeight="1">
      <c r="A2523" s="335">
        <v>42634</v>
      </c>
      <c r="B2523" s="336">
        <v>7300</v>
      </c>
      <c r="C2523" s="336">
        <v>7800</v>
      </c>
      <c r="D2523" s="337">
        <f t="shared" ref="D2523" si="417">AVERAGE(B2523:C2523)</f>
        <v>7550</v>
      </c>
    </row>
    <row r="2524" spans="1:4" ht="15" customHeight="1">
      <c r="A2524" s="335">
        <v>42635</v>
      </c>
      <c r="B2524" s="336">
        <v>7300</v>
      </c>
      <c r="C2524" s="336">
        <v>7800</v>
      </c>
      <c r="D2524" s="337">
        <f t="shared" ref="D2524" si="418">AVERAGE(B2524:C2524)</f>
        <v>7550</v>
      </c>
    </row>
    <row r="2525" spans="1:4" ht="15" customHeight="1">
      <c r="A2525" s="335">
        <v>42636</v>
      </c>
      <c r="B2525" s="336">
        <v>7300</v>
      </c>
      <c r="C2525" s="336">
        <v>7800</v>
      </c>
      <c r="D2525" s="337">
        <f t="shared" ref="D2525" si="419">AVERAGE(B2525:C2525)</f>
        <v>7550</v>
      </c>
    </row>
    <row r="2526" spans="1:4" ht="15" customHeight="1">
      <c r="A2526" s="335">
        <v>42639</v>
      </c>
      <c r="B2526" s="336">
        <v>7300</v>
      </c>
      <c r="C2526" s="336">
        <v>7800</v>
      </c>
      <c r="D2526" s="337">
        <f t="shared" ref="D2526" si="420">AVERAGE(B2526:C2526)</f>
        <v>7550</v>
      </c>
    </row>
    <row r="2527" spans="1:4" ht="15" customHeight="1">
      <c r="A2527" s="335">
        <v>42640</v>
      </c>
      <c r="B2527" s="336">
        <v>7300</v>
      </c>
      <c r="C2527" s="336">
        <v>7800</v>
      </c>
      <c r="D2527" s="337">
        <f t="shared" ref="D2527" si="421">AVERAGE(B2527:C2527)</f>
        <v>7550</v>
      </c>
    </row>
    <row r="2528" spans="1:4" ht="15" customHeight="1">
      <c r="A2528" s="335">
        <v>42641</v>
      </c>
      <c r="B2528" s="336">
        <v>7300</v>
      </c>
      <c r="C2528" s="336">
        <v>7800</v>
      </c>
      <c r="D2528" s="337">
        <f t="shared" ref="D2528" si="422">AVERAGE(B2528:C2528)</f>
        <v>7550</v>
      </c>
    </row>
    <row r="2529" spans="1:6" ht="15" customHeight="1">
      <c r="A2529" s="335">
        <v>42642</v>
      </c>
      <c r="B2529" s="336">
        <v>7300</v>
      </c>
      <c r="C2529" s="336">
        <v>7800</v>
      </c>
      <c r="D2529" s="337">
        <f t="shared" ref="D2529" si="423">AVERAGE(B2529:C2529)</f>
        <v>7550</v>
      </c>
    </row>
    <row r="2530" spans="1:6" ht="15" customHeight="1" thickBot="1">
      <c r="A2530" s="340">
        <v>42643</v>
      </c>
      <c r="B2530" s="341">
        <v>7300</v>
      </c>
      <c r="C2530" s="341">
        <v>7800</v>
      </c>
      <c r="D2530" s="342">
        <f t="shared" ref="D2530" si="424">AVERAGE(B2530:C2530)</f>
        <v>7550</v>
      </c>
      <c r="E2530" s="360">
        <f>AVERAGE(D2509:D2530)</f>
        <v>7425</v>
      </c>
      <c r="F2530" s="360">
        <f>AVERAGE(D2336:D2530)</f>
        <v>6101.041666666667</v>
      </c>
    </row>
    <row r="2531" spans="1:6" ht="15" customHeight="1">
      <c r="A2531" s="335">
        <v>42646</v>
      </c>
      <c r="B2531" s="336">
        <v>7300</v>
      </c>
      <c r="C2531" s="336">
        <v>7800</v>
      </c>
      <c r="D2531" s="337">
        <f t="shared" ref="D2531" si="425">AVERAGE(B2531:C2531)</f>
        <v>7550</v>
      </c>
    </row>
    <row r="2532" spans="1:6" ht="15" customHeight="1">
      <c r="A2532" s="335">
        <v>42647</v>
      </c>
      <c r="B2532" s="336">
        <v>7300</v>
      </c>
      <c r="C2532" s="336">
        <v>7800</v>
      </c>
      <c r="D2532" s="337">
        <f t="shared" ref="D2532" si="426">AVERAGE(B2532:C2532)</f>
        <v>7550</v>
      </c>
    </row>
    <row r="2533" spans="1:6" ht="15" customHeight="1">
      <c r="A2533" s="335">
        <v>42648</v>
      </c>
      <c r="B2533" s="336">
        <v>7300</v>
      </c>
      <c r="C2533" s="336">
        <v>7800</v>
      </c>
      <c r="D2533" s="337">
        <f t="shared" ref="D2533" si="427">AVERAGE(B2533:C2533)</f>
        <v>7550</v>
      </c>
    </row>
    <row r="2534" spans="1:6" ht="15" customHeight="1">
      <c r="A2534" s="335">
        <v>42649</v>
      </c>
      <c r="B2534" s="336">
        <v>7300</v>
      </c>
      <c r="C2534" s="336">
        <v>7800</v>
      </c>
      <c r="D2534" s="337">
        <f t="shared" ref="D2534:D2535" si="428">AVERAGE(B2534:C2534)</f>
        <v>7550</v>
      </c>
    </row>
    <row r="2535" spans="1:6" ht="15" customHeight="1">
      <c r="A2535" s="335">
        <v>42650</v>
      </c>
      <c r="B2535" s="336">
        <v>7500</v>
      </c>
      <c r="C2535" s="336">
        <v>7800</v>
      </c>
      <c r="D2535" s="337">
        <f t="shared" si="428"/>
        <v>7650</v>
      </c>
    </row>
    <row r="2536" spans="1:6" ht="15" customHeight="1">
      <c r="A2536" s="335">
        <v>42653</v>
      </c>
      <c r="B2536" s="336">
        <v>7500</v>
      </c>
      <c r="C2536" s="336">
        <v>7800</v>
      </c>
      <c r="D2536" s="337">
        <f t="shared" ref="D2536:D2537" si="429">AVERAGE(B2536:C2536)</f>
        <v>7650</v>
      </c>
    </row>
    <row r="2537" spans="1:6" ht="15" customHeight="1">
      <c r="A2537" s="335">
        <v>42654</v>
      </c>
      <c r="B2537" s="336">
        <v>7500</v>
      </c>
      <c r="C2537" s="336">
        <v>7800</v>
      </c>
      <c r="D2537" s="337">
        <f t="shared" si="429"/>
        <v>7650</v>
      </c>
    </row>
    <row r="2538" spans="1:6" ht="15" customHeight="1">
      <c r="A2538" s="335">
        <v>42655</v>
      </c>
      <c r="B2538" s="336">
        <v>7500</v>
      </c>
      <c r="C2538" s="336">
        <v>7800</v>
      </c>
      <c r="D2538" s="337">
        <f t="shared" ref="D2538:D2539" si="430">AVERAGE(B2538:C2538)</f>
        <v>7650</v>
      </c>
    </row>
    <row r="2539" spans="1:6" ht="15" customHeight="1">
      <c r="A2539" s="335">
        <v>42656</v>
      </c>
      <c r="B2539" s="336">
        <v>7500</v>
      </c>
      <c r="C2539" s="336">
        <v>7800</v>
      </c>
      <c r="D2539" s="337">
        <f t="shared" si="430"/>
        <v>7650</v>
      </c>
    </row>
    <row r="2540" spans="1:6" ht="15" customHeight="1">
      <c r="A2540" s="335">
        <v>42657</v>
      </c>
      <c r="B2540" s="336">
        <v>7500</v>
      </c>
      <c r="C2540" s="336">
        <v>7800</v>
      </c>
      <c r="D2540" s="337">
        <f t="shared" ref="D2540" si="431">AVERAGE(B2540:C2540)</f>
        <v>7650</v>
      </c>
    </row>
    <row r="2541" spans="1:6" ht="15" customHeight="1">
      <c r="A2541" s="335">
        <v>42660</v>
      </c>
      <c r="B2541" s="336">
        <v>7500</v>
      </c>
      <c r="C2541" s="336">
        <v>7800</v>
      </c>
      <c r="D2541" s="337">
        <f t="shared" ref="D2541" si="432">AVERAGE(B2541:C2541)</f>
        <v>7650</v>
      </c>
    </row>
    <row r="2542" spans="1:6" ht="15" customHeight="1">
      <c r="A2542" s="335">
        <v>42661</v>
      </c>
      <c r="B2542" s="336">
        <v>7500</v>
      </c>
      <c r="C2542" s="336">
        <v>7800</v>
      </c>
      <c r="D2542" s="337">
        <f t="shared" ref="D2542" si="433">AVERAGE(B2542:C2542)</f>
        <v>7650</v>
      </c>
    </row>
    <row r="2543" spans="1:6" ht="15" customHeight="1">
      <c r="A2543" s="335">
        <v>42662</v>
      </c>
      <c r="B2543" s="336">
        <v>7500</v>
      </c>
      <c r="C2543" s="336">
        <v>7800</v>
      </c>
      <c r="D2543" s="337">
        <f t="shared" ref="D2543" si="434">AVERAGE(B2543:C2543)</f>
        <v>7650</v>
      </c>
    </row>
    <row r="2544" spans="1:6" ht="15" customHeight="1">
      <c r="A2544" s="335">
        <v>42663</v>
      </c>
      <c r="B2544" s="336">
        <v>7500</v>
      </c>
      <c r="C2544" s="336">
        <v>7800</v>
      </c>
      <c r="D2544" s="337">
        <f t="shared" ref="D2544:D2545" si="435">AVERAGE(B2544:C2544)</f>
        <v>7650</v>
      </c>
    </row>
    <row r="2545" spans="1:6" ht="15" customHeight="1">
      <c r="A2545" s="335">
        <v>42664</v>
      </c>
      <c r="B2545" s="336">
        <v>7500</v>
      </c>
      <c r="C2545" s="336">
        <v>7900</v>
      </c>
      <c r="D2545" s="337">
        <f t="shared" si="435"/>
        <v>7700</v>
      </c>
    </row>
    <row r="2546" spans="1:6" ht="15" customHeight="1">
      <c r="A2546" s="335">
        <v>42667</v>
      </c>
      <c r="B2546" s="336">
        <v>7500</v>
      </c>
      <c r="C2546" s="336">
        <v>7900</v>
      </c>
      <c r="D2546" s="337">
        <f t="shared" ref="D2546" si="436">AVERAGE(B2546:C2546)</f>
        <v>7700</v>
      </c>
    </row>
    <row r="2547" spans="1:6" ht="15" customHeight="1">
      <c r="A2547" s="335">
        <v>42668</v>
      </c>
      <c r="B2547" s="336">
        <v>7500</v>
      </c>
      <c r="C2547" s="336">
        <v>7900</v>
      </c>
      <c r="D2547" s="337">
        <f t="shared" ref="D2547" si="437">AVERAGE(B2547:C2547)</f>
        <v>7700</v>
      </c>
    </row>
    <row r="2548" spans="1:6" ht="15" customHeight="1">
      <c r="A2548" s="335">
        <v>42669</v>
      </c>
      <c r="B2548" s="336">
        <v>7500</v>
      </c>
      <c r="C2548" s="336">
        <v>7900</v>
      </c>
      <c r="D2548" s="337">
        <f t="shared" ref="D2548" si="438">AVERAGE(B2548:C2548)</f>
        <v>7700</v>
      </c>
    </row>
    <row r="2549" spans="1:6" ht="15" customHeight="1">
      <c r="A2549" s="335">
        <v>42670</v>
      </c>
      <c r="B2549" s="336">
        <v>7500</v>
      </c>
      <c r="C2549" s="336">
        <v>7900</v>
      </c>
      <c r="D2549" s="337">
        <f t="shared" ref="D2549" si="439">AVERAGE(B2549:C2549)</f>
        <v>7700</v>
      </c>
    </row>
    <row r="2550" spans="1:6" ht="15" customHeight="1">
      <c r="A2550" s="335">
        <v>42671</v>
      </c>
      <c r="B2550" s="336">
        <v>7500</v>
      </c>
      <c r="C2550" s="336">
        <v>7900</v>
      </c>
      <c r="D2550" s="337">
        <f t="shared" ref="D2550" si="440">AVERAGE(B2550:C2550)</f>
        <v>7700</v>
      </c>
    </row>
    <row r="2551" spans="1:6" ht="15" customHeight="1" thickBot="1">
      <c r="A2551" s="340">
        <v>42674</v>
      </c>
      <c r="B2551" s="341">
        <v>7500</v>
      </c>
      <c r="C2551" s="341">
        <v>7900</v>
      </c>
      <c r="D2551" s="342">
        <f t="shared" ref="D2551:D2552" si="441">AVERAGE(B2551:C2551)</f>
        <v>7700</v>
      </c>
      <c r="E2551" s="360">
        <f>AVERAGE(D2531:D2551)</f>
        <v>7647.6190476190477</v>
      </c>
      <c r="F2551" s="360">
        <f>AVERAGE(D2336:D2551)</f>
        <v>6253.5211267605637</v>
      </c>
    </row>
    <row r="2552" spans="1:6" ht="15" customHeight="1">
      <c r="A2552" s="335">
        <v>42675</v>
      </c>
      <c r="B2552" s="336">
        <v>7500</v>
      </c>
      <c r="C2552" s="336">
        <v>7900</v>
      </c>
      <c r="D2552" s="337">
        <f t="shared" si="441"/>
        <v>7700</v>
      </c>
    </row>
    <row r="2553" spans="1:6" ht="15" customHeight="1">
      <c r="A2553" s="335">
        <v>42676</v>
      </c>
      <c r="B2553" s="336">
        <v>7500</v>
      </c>
      <c r="C2553" s="336">
        <v>7900</v>
      </c>
      <c r="D2553" s="337">
        <f t="shared" ref="D2553" si="442">AVERAGE(B2553:C2553)</f>
        <v>7700</v>
      </c>
    </row>
    <row r="2554" spans="1:6" ht="15" customHeight="1">
      <c r="A2554" s="335">
        <v>42677</v>
      </c>
      <c r="B2554" s="336">
        <v>7500</v>
      </c>
      <c r="C2554" s="336">
        <v>7900</v>
      </c>
      <c r="D2554" s="337">
        <f t="shared" ref="D2554" si="443">AVERAGE(B2554:C2554)</f>
        <v>7700</v>
      </c>
    </row>
    <row r="2555" spans="1:6" ht="15" customHeight="1">
      <c r="A2555" s="335">
        <v>42678</v>
      </c>
      <c r="B2555" s="336">
        <v>7500</v>
      </c>
      <c r="C2555" s="336">
        <v>7900</v>
      </c>
      <c r="D2555" s="337">
        <f t="shared" ref="D2555" si="444">AVERAGE(B2555:C2555)</f>
        <v>7700</v>
      </c>
    </row>
    <row r="2556" spans="1:6" ht="15" customHeight="1">
      <c r="A2556" s="335">
        <v>42681</v>
      </c>
      <c r="B2556" s="336">
        <v>7500</v>
      </c>
      <c r="C2556" s="336">
        <v>7900</v>
      </c>
      <c r="D2556" s="337">
        <f t="shared" ref="D2556" si="445">AVERAGE(B2556:C2556)</f>
        <v>7700</v>
      </c>
    </row>
    <row r="2557" spans="1:6" ht="15" customHeight="1">
      <c r="A2557" s="335">
        <v>42682</v>
      </c>
      <c r="B2557" s="336">
        <v>7500</v>
      </c>
      <c r="C2557" s="336">
        <v>7900</v>
      </c>
      <c r="D2557" s="337">
        <f t="shared" ref="D2557" si="446">AVERAGE(B2557:C2557)</f>
        <v>7700</v>
      </c>
    </row>
    <row r="2558" spans="1:6" ht="15" customHeight="1">
      <c r="A2558" s="335">
        <v>42683</v>
      </c>
      <c r="B2558" s="336">
        <v>7500</v>
      </c>
      <c r="C2558" s="336">
        <v>7900</v>
      </c>
      <c r="D2558" s="337">
        <f t="shared" ref="D2558" si="447">AVERAGE(B2558:C2558)</f>
        <v>7700</v>
      </c>
    </row>
    <row r="2559" spans="1:6" ht="15" customHeight="1">
      <c r="A2559" s="335">
        <v>42684</v>
      </c>
      <c r="B2559" s="336">
        <v>7500</v>
      </c>
      <c r="C2559" s="336">
        <v>7900</v>
      </c>
      <c r="D2559" s="337">
        <f t="shared" ref="D2559" si="448">AVERAGE(B2559:C2559)</f>
        <v>7700</v>
      </c>
    </row>
    <row r="2560" spans="1:6" ht="15" customHeight="1">
      <c r="A2560" s="335">
        <v>42685</v>
      </c>
      <c r="B2560" s="336">
        <v>7500</v>
      </c>
      <c r="C2560" s="336">
        <v>7900</v>
      </c>
      <c r="D2560" s="337">
        <f t="shared" ref="D2560" si="449">AVERAGE(B2560:C2560)</f>
        <v>7700</v>
      </c>
      <c r="E2560" s="347"/>
      <c r="F2560" s="347"/>
    </row>
    <row r="2561" spans="1:6" ht="15" customHeight="1">
      <c r="A2561" s="335">
        <v>42688</v>
      </c>
      <c r="B2561" s="336">
        <v>7500</v>
      </c>
      <c r="C2561" s="336">
        <v>7900</v>
      </c>
      <c r="D2561" s="337">
        <f t="shared" ref="D2561" si="450">AVERAGE(B2561:C2561)</f>
        <v>7700</v>
      </c>
    </row>
    <row r="2562" spans="1:6" ht="15" customHeight="1">
      <c r="A2562" s="335">
        <v>42689</v>
      </c>
      <c r="B2562" s="336">
        <v>7500</v>
      </c>
      <c r="C2562" s="336">
        <v>7900</v>
      </c>
      <c r="D2562" s="337">
        <f t="shared" ref="D2562" si="451">AVERAGE(B2562:C2562)</f>
        <v>7700</v>
      </c>
    </row>
    <row r="2563" spans="1:6" ht="15" customHeight="1">
      <c r="A2563" s="335">
        <v>42690</v>
      </c>
      <c r="B2563" s="336">
        <v>7500</v>
      </c>
      <c r="C2563" s="336">
        <v>7900</v>
      </c>
      <c r="D2563" s="337">
        <f t="shared" ref="D2563" si="452">AVERAGE(B2563:C2563)</f>
        <v>7700</v>
      </c>
    </row>
    <row r="2564" spans="1:6" ht="15" customHeight="1">
      <c r="A2564" s="335">
        <v>42691</v>
      </c>
      <c r="B2564" s="336">
        <v>7500</v>
      </c>
      <c r="C2564" s="336">
        <v>7900</v>
      </c>
      <c r="D2564" s="337">
        <f t="shared" ref="D2564" si="453">AVERAGE(B2564:C2564)</f>
        <v>7700</v>
      </c>
    </row>
    <row r="2565" spans="1:6" ht="15" customHeight="1">
      <c r="A2565" s="335">
        <v>42692</v>
      </c>
      <c r="B2565" s="336">
        <v>7500</v>
      </c>
      <c r="C2565" s="336">
        <v>7900</v>
      </c>
      <c r="D2565" s="337">
        <f t="shared" ref="D2565" si="454">AVERAGE(B2565:C2565)</f>
        <v>7700</v>
      </c>
    </row>
    <row r="2566" spans="1:6" ht="15" customHeight="1">
      <c r="A2566" s="335">
        <v>42695</v>
      </c>
      <c r="B2566" s="336">
        <v>7500</v>
      </c>
      <c r="C2566" s="336">
        <v>7900</v>
      </c>
      <c r="D2566" s="337">
        <f t="shared" ref="D2566" si="455">AVERAGE(B2566:C2566)</f>
        <v>7700</v>
      </c>
    </row>
    <row r="2567" spans="1:6" ht="15" customHeight="1">
      <c r="A2567" s="335">
        <v>42696</v>
      </c>
      <c r="B2567" s="336">
        <v>7500</v>
      </c>
      <c r="C2567" s="336">
        <v>7900</v>
      </c>
      <c r="D2567" s="337">
        <f t="shared" ref="D2567" si="456">AVERAGE(B2567:C2567)</f>
        <v>7700</v>
      </c>
    </row>
    <row r="2568" spans="1:6" ht="15" customHeight="1">
      <c r="A2568" s="335">
        <v>42697</v>
      </c>
      <c r="B2568" s="336">
        <v>7500</v>
      </c>
      <c r="C2568" s="336">
        <v>7900</v>
      </c>
      <c r="D2568" s="337">
        <f t="shared" ref="D2568" si="457">AVERAGE(B2568:C2568)</f>
        <v>7700</v>
      </c>
    </row>
    <row r="2569" spans="1:6" ht="15" customHeight="1">
      <c r="A2569" s="335">
        <v>42698</v>
      </c>
      <c r="B2569" s="336">
        <v>7500</v>
      </c>
      <c r="C2569" s="336">
        <v>7900</v>
      </c>
      <c r="D2569" s="337">
        <f t="shared" ref="D2569:D2570" si="458">AVERAGE(B2569:C2569)</f>
        <v>7700</v>
      </c>
    </row>
    <row r="2570" spans="1:6" ht="15" customHeight="1">
      <c r="A2570" s="335">
        <v>42699</v>
      </c>
      <c r="B2570" s="336">
        <v>7200</v>
      </c>
      <c r="C2570" s="336">
        <v>7500</v>
      </c>
      <c r="D2570" s="337">
        <f t="shared" si="458"/>
        <v>7350</v>
      </c>
    </row>
    <row r="2571" spans="1:6" ht="15" customHeight="1">
      <c r="A2571" s="335">
        <v>42702</v>
      </c>
      <c r="B2571" s="336">
        <v>7200</v>
      </c>
      <c r="C2571" s="336">
        <v>7500</v>
      </c>
      <c r="D2571" s="337">
        <f t="shared" ref="D2571" si="459">AVERAGE(B2571:C2571)</f>
        <v>7350</v>
      </c>
    </row>
    <row r="2572" spans="1:6" ht="15" customHeight="1">
      <c r="A2572" s="335">
        <v>42703</v>
      </c>
      <c r="B2572" s="336">
        <v>7200</v>
      </c>
      <c r="C2572" s="336">
        <v>7500</v>
      </c>
      <c r="D2572" s="337">
        <f t="shared" ref="D2572:D2573" si="460">AVERAGE(B2572:C2572)</f>
        <v>7350</v>
      </c>
    </row>
    <row r="2573" spans="1:6" ht="15" customHeight="1" thickBot="1">
      <c r="A2573" s="340">
        <v>42704</v>
      </c>
      <c r="B2573" s="341">
        <v>7200</v>
      </c>
      <c r="C2573" s="341">
        <v>7500</v>
      </c>
      <c r="D2573" s="342">
        <f t="shared" si="460"/>
        <v>7350</v>
      </c>
      <c r="E2573" s="360">
        <f>AVERAGE(D2552:D2573)</f>
        <v>7636.363636363636</v>
      </c>
      <c r="F2573" s="360">
        <f>AVERAGE(D2336:D2573)</f>
        <v>6382.9787234042551</v>
      </c>
    </row>
    <row r="2574" spans="1:6" ht="15" customHeight="1">
      <c r="A2574" s="335">
        <v>42705</v>
      </c>
      <c r="B2574" s="336">
        <v>7200</v>
      </c>
      <c r="C2574" s="336">
        <v>7500</v>
      </c>
      <c r="D2574" s="337">
        <f t="shared" ref="D2574:D2579" si="461">AVERAGE(B2574:C2574)</f>
        <v>7350</v>
      </c>
    </row>
    <row r="2575" spans="1:6" ht="15" customHeight="1">
      <c r="A2575" s="335">
        <v>42706</v>
      </c>
      <c r="B2575" s="336">
        <v>7200</v>
      </c>
      <c r="C2575" s="336">
        <v>7500</v>
      </c>
      <c r="D2575" s="337">
        <f t="shared" si="461"/>
        <v>7350</v>
      </c>
    </row>
    <row r="2576" spans="1:6" ht="15" customHeight="1">
      <c r="A2576" s="335">
        <v>42709</v>
      </c>
      <c r="B2576" s="336">
        <v>7200</v>
      </c>
      <c r="C2576" s="336">
        <v>7500</v>
      </c>
      <c r="D2576" s="337">
        <f t="shared" si="461"/>
        <v>7350</v>
      </c>
    </row>
    <row r="2577" spans="1:5" ht="15" customHeight="1">
      <c r="A2577" s="335">
        <v>42710</v>
      </c>
      <c r="B2577" s="336">
        <v>7200</v>
      </c>
      <c r="C2577" s="336">
        <v>7500</v>
      </c>
      <c r="D2577" s="337">
        <f t="shared" si="461"/>
        <v>7350</v>
      </c>
    </row>
    <row r="2578" spans="1:5" ht="15" customHeight="1">
      <c r="A2578" s="335">
        <v>42711</v>
      </c>
      <c r="B2578" s="336">
        <v>7200</v>
      </c>
      <c r="C2578" s="336">
        <v>7500</v>
      </c>
      <c r="D2578" s="337">
        <f t="shared" si="461"/>
        <v>7350</v>
      </c>
    </row>
    <row r="2579" spans="1:5" ht="15" customHeight="1">
      <c r="A2579" s="335">
        <v>42712</v>
      </c>
      <c r="B2579" s="336">
        <v>7200</v>
      </c>
      <c r="C2579" s="336">
        <v>7500</v>
      </c>
      <c r="D2579" s="337">
        <f t="shared" si="461"/>
        <v>7350</v>
      </c>
    </row>
    <row r="2580" spans="1:5" ht="15" customHeight="1">
      <c r="A2580" s="335">
        <v>42713</v>
      </c>
      <c r="B2580" s="336">
        <v>7200</v>
      </c>
      <c r="C2580" s="336">
        <v>7500</v>
      </c>
      <c r="D2580" s="337">
        <f t="shared" ref="D2580" si="462">AVERAGE(B2580:C2580)</f>
        <v>7350</v>
      </c>
    </row>
    <row r="2581" spans="1:5" ht="15" customHeight="1">
      <c r="A2581" s="335">
        <v>42716</v>
      </c>
      <c r="B2581" s="336">
        <v>7200</v>
      </c>
      <c r="C2581" s="336">
        <v>7500</v>
      </c>
      <c r="D2581" s="337">
        <f t="shared" ref="D2581" si="463">AVERAGE(B2581:C2581)</f>
        <v>7350</v>
      </c>
    </row>
    <row r="2582" spans="1:5" ht="15" customHeight="1">
      <c r="A2582" s="335">
        <v>42717</v>
      </c>
      <c r="B2582" s="336">
        <v>7200</v>
      </c>
      <c r="C2582" s="336">
        <v>7500</v>
      </c>
      <c r="D2582" s="337">
        <f t="shared" ref="D2582" si="464">AVERAGE(B2582:C2582)</f>
        <v>7350</v>
      </c>
    </row>
    <row r="2583" spans="1:5" ht="15" customHeight="1">
      <c r="A2583" s="335">
        <v>42718</v>
      </c>
      <c r="B2583" s="336">
        <v>7200</v>
      </c>
      <c r="C2583" s="336">
        <v>7500</v>
      </c>
      <c r="D2583" s="337">
        <f t="shared" ref="D2583" si="465">AVERAGE(B2583:C2583)</f>
        <v>7350</v>
      </c>
    </row>
    <row r="2584" spans="1:5" ht="15" customHeight="1">
      <c r="A2584" s="335">
        <v>42719</v>
      </c>
      <c r="B2584" s="336">
        <v>7200</v>
      </c>
      <c r="C2584" s="336">
        <v>7500</v>
      </c>
      <c r="D2584" s="337">
        <f t="shared" ref="D2584" si="466">AVERAGE(B2584:C2584)</f>
        <v>7350</v>
      </c>
    </row>
    <row r="2585" spans="1:5" ht="15" customHeight="1">
      <c r="A2585" s="335">
        <v>42720</v>
      </c>
      <c r="B2585" s="336">
        <v>7200</v>
      </c>
      <c r="C2585" s="336">
        <v>7500</v>
      </c>
      <c r="D2585" s="337">
        <f t="shared" ref="D2585" si="467">AVERAGE(B2585:C2585)</f>
        <v>7350</v>
      </c>
    </row>
    <row r="2586" spans="1:5" ht="15" customHeight="1">
      <c r="A2586" s="335">
        <v>42723</v>
      </c>
      <c r="B2586" s="336">
        <v>7200</v>
      </c>
      <c r="C2586" s="336">
        <v>7500</v>
      </c>
      <c r="D2586" s="337">
        <f t="shared" ref="D2586" si="468">AVERAGE(B2586:C2586)</f>
        <v>7350</v>
      </c>
    </row>
    <row r="2587" spans="1:5" ht="15" customHeight="1">
      <c r="A2587" s="335">
        <v>42724</v>
      </c>
      <c r="B2587" s="336">
        <v>7200</v>
      </c>
      <c r="C2587" s="336">
        <v>7500</v>
      </c>
      <c r="D2587" s="337">
        <f t="shared" ref="D2587:D2588" si="469">AVERAGE(B2587:C2587)</f>
        <v>7350</v>
      </c>
    </row>
    <row r="2588" spans="1:5" ht="15" customHeight="1">
      <c r="A2588" s="335">
        <v>42725</v>
      </c>
      <c r="B2588" s="336">
        <v>7200</v>
      </c>
      <c r="C2588" s="336">
        <v>7500</v>
      </c>
      <c r="D2588" s="337">
        <f t="shared" si="469"/>
        <v>7350</v>
      </c>
    </row>
    <row r="2589" spans="1:5" ht="15" customHeight="1">
      <c r="A2589" s="335">
        <v>42726</v>
      </c>
      <c r="B2589" s="336">
        <v>7200</v>
      </c>
      <c r="C2589" s="336">
        <v>7500</v>
      </c>
      <c r="D2589" s="337">
        <f t="shared" ref="D2589" si="470">AVERAGE(B2589:C2589)</f>
        <v>7350</v>
      </c>
    </row>
    <row r="2590" spans="1:5" ht="15" customHeight="1">
      <c r="A2590" s="335">
        <v>42727</v>
      </c>
      <c r="B2590" s="336">
        <v>7200</v>
      </c>
      <c r="C2590" s="336">
        <v>7500</v>
      </c>
      <c r="D2590" s="337">
        <f t="shared" ref="D2590" si="471">AVERAGE(B2590:C2590)</f>
        <v>7350</v>
      </c>
    </row>
    <row r="2591" spans="1:5" ht="15" customHeight="1">
      <c r="A2591" s="3">
        <v>42730</v>
      </c>
      <c r="B2591" s="1414" t="s">
        <v>90</v>
      </c>
      <c r="C2591" s="1414"/>
      <c r="D2591" s="1414"/>
      <c r="E2591" s="244"/>
    </row>
    <row r="2592" spans="1:5" ht="15" customHeight="1">
      <c r="A2592" s="3">
        <v>42731</v>
      </c>
      <c r="B2592" s="1414"/>
      <c r="C2592" s="1414"/>
      <c r="D2592" s="1414"/>
      <c r="E2592" s="244"/>
    </row>
    <row r="2593" spans="1:6" ht="15" customHeight="1">
      <c r="A2593" s="3">
        <v>42732</v>
      </c>
      <c r="B2593" s="336">
        <v>7200</v>
      </c>
      <c r="C2593" s="336">
        <v>7500</v>
      </c>
      <c r="D2593" s="337">
        <f t="shared" ref="D2593" si="472">AVERAGE(B2593:C2593)</f>
        <v>7350</v>
      </c>
    </row>
    <row r="2594" spans="1:6" ht="15" customHeight="1">
      <c r="A2594" s="3">
        <v>42733</v>
      </c>
      <c r="B2594" s="336">
        <v>7200</v>
      </c>
      <c r="C2594" s="336">
        <v>7500</v>
      </c>
      <c r="D2594" s="337">
        <f t="shared" ref="D2594" si="473">AVERAGE(B2594:C2594)</f>
        <v>7350</v>
      </c>
    </row>
    <row r="2595" spans="1:6" ht="15" customHeight="1" thickBot="1">
      <c r="A2595" s="11">
        <v>42734</v>
      </c>
      <c r="B2595" s="341">
        <v>7200</v>
      </c>
      <c r="C2595" s="341">
        <v>7500</v>
      </c>
      <c r="D2595" s="342">
        <f t="shared" ref="D2595" si="474">AVERAGE(B2595:C2595)</f>
        <v>7350</v>
      </c>
      <c r="E2595" s="360">
        <f>AVERAGE(D2574:D2595)</f>
        <v>7350</v>
      </c>
      <c r="F2595" s="360">
        <f>AVERAGE(D2336:D2595)</f>
        <v>6458.8235294117649</v>
      </c>
    </row>
    <row r="2596" spans="1:6" ht="15" customHeight="1">
      <c r="A2596" s="3">
        <v>42738</v>
      </c>
      <c r="B2596" s="336">
        <v>6870</v>
      </c>
      <c r="C2596" s="336">
        <v>7300</v>
      </c>
      <c r="D2596" s="337">
        <f t="shared" ref="D2596:D2601" si="475">AVERAGE(B2596:C2596)</f>
        <v>7085</v>
      </c>
    </row>
    <row r="2597" spans="1:6" ht="15" customHeight="1">
      <c r="A2597" s="3">
        <v>42739</v>
      </c>
      <c r="B2597" s="336">
        <v>6870</v>
      </c>
      <c r="C2597" s="336">
        <v>7300</v>
      </c>
      <c r="D2597" s="337">
        <f t="shared" si="475"/>
        <v>7085</v>
      </c>
    </row>
    <row r="2598" spans="1:6" ht="15" customHeight="1">
      <c r="A2598" s="3">
        <v>42740</v>
      </c>
      <c r="B2598" s="336">
        <v>6870</v>
      </c>
      <c r="C2598" s="336">
        <v>7300</v>
      </c>
      <c r="D2598" s="337">
        <f t="shared" si="475"/>
        <v>7085</v>
      </c>
    </row>
    <row r="2599" spans="1:6" ht="15" customHeight="1">
      <c r="A2599" s="3">
        <v>42741</v>
      </c>
      <c r="B2599" s="336">
        <v>6870</v>
      </c>
      <c r="C2599" s="336">
        <v>7300</v>
      </c>
      <c r="D2599" s="337">
        <f t="shared" si="475"/>
        <v>7085</v>
      </c>
    </row>
    <row r="2600" spans="1:6" ht="15" customHeight="1">
      <c r="A2600" s="3">
        <v>42744</v>
      </c>
      <c r="B2600" s="336">
        <v>6870</v>
      </c>
      <c r="C2600" s="336">
        <v>7300</v>
      </c>
      <c r="D2600" s="337">
        <f t="shared" si="475"/>
        <v>7085</v>
      </c>
    </row>
    <row r="2601" spans="1:6" ht="15" customHeight="1">
      <c r="A2601" s="3">
        <v>42745</v>
      </c>
      <c r="B2601" s="336">
        <v>6870</v>
      </c>
      <c r="C2601" s="336">
        <v>7300</v>
      </c>
      <c r="D2601" s="337">
        <f t="shared" si="475"/>
        <v>7085</v>
      </c>
    </row>
    <row r="2602" spans="1:6" ht="15" customHeight="1">
      <c r="A2602" s="3">
        <v>42746</v>
      </c>
      <c r="B2602" s="336">
        <v>6870</v>
      </c>
      <c r="C2602" s="336">
        <v>7300</v>
      </c>
      <c r="D2602" s="337">
        <f t="shared" ref="D2602:D2603" si="476">AVERAGE(B2602:C2602)</f>
        <v>7085</v>
      </c>
    </row>
    <row r="2603" spans="1:6" ht="15" customHeight="1">
      <c r="A2603" s="3">
        <v>42747</v>
      </c>
      <c r="B2603" s="336">
        <v>7300</v>
      </c>
      <c r="C2603" s="336">
        <v>7600</v>
      </c>
      <c r="D2603" s="337">
        <f t="shared" si="476"/>
        <v>7450</v>
      </c>
    </row>
    <row r="2604" spans="1:6" ht="15" customHeight="1">
      <c r="A2604" s="3">
        <v>42748</v>
      </c>
      <c r="B2604" s="336">
        <v>7300</v>
      </c>
      <c r="C2604" s="336">
        <v>7600</v>
      </c>
      <c r="D2604" s="337">
        <f t="shared" ref="D2604" si="477">AVERAGE(B2604:C2604)</f>
        <v>7450</v>
      </c>
    </row>
    <row r="2605" spans="1:6" ht="15" customHeight="1">
      <c r="A2605" s="3">
        <v>42751</v>
      </c>
      <c r="B2605" s="336">
        <v>7300</v>
      </c>
      <c r="C2605" s="336">
        <v>7600</v>
      </c>
      <c r="D2605" s="337">
        <f t="shared" ref="D2605" si="478">AVERAGE(B2605:C2605)</f>
        <v>7450</v>
      </c>
    </row>
    <row r="2606" spans="1:6" ht="15" customHeight="1">
      <c r="A2606" s="3">
        <v>42752</v>
      </c>
      <c r="B2606" s="336">
        <v>7300</v>
      </c>
      <c r="C2606" s="336">
        <v>7600</v>
      </c>
      <c r="D2606" s="337">
        <f t="shared" ref="D2606" si="479">AVERAGE(B2606:C2606)</f>
        <v>7450</v>
      </c>
    </row>
    <row r="2607" spans="1:6" ht="15" customHeight="1">
      <c r="A2607" s="3">
        <v>42753</v>
      </c>
      <c r="B2607" s="336">
        <v>7300</v>
      </c>
      <c r="C2607" s="336">
        <v>7600</v>
      </c>
      <c r="D2607" s="337">
        <f t="shared" ref="D2607" si="480">AVERAGE(B2607:C2607)</f>
        <v>7450</v>
      </c>
    </row>
    <row r="2608" spans="1:6" ht="15" customHeight="1">
      <c r="A2608" s="3">
        <v>42754</v>
      </c>
      <c r="B2608" s="336">
        <v>7300</v>
      </c>
      <c r="C2608" s="336">
        <v>7600</v>
      </c>
      <c r="D2608" s="337">
        <f t="shared" ref="D2608" si="481">AVERAGE(B2608:C2608)</f>
        <v>7450</v>
      </c>
    </row>
    <row r="2609" spans="1:6" ht="15" customHeight="1">
      <c r="A2609" s="3">
        <v>42755</v>
      </c>
      <c r="B2609" s="336">
        <v>7300</v>
      </c>
      <c r="C2609" s="336">
        <v>7600</v>
      </c>
      <c r="D2609" s="337">
        <f t="shared" ref="D2609" si="482">AVERAGE(B2609:C2609)</f>
        <v>7450</v>
      </c>
    </row>
    <row r="2610" spans="1:6" ht="15" customHeight="1">
      <c r="A2610" s="3">
        <v>42758</v>
      </c>
      <c r="B2610" s="336">
        <v>7300</v>
      </c>
      <c r="C2610" s="336">
        <v>7600</v>
      </c>
      <c r="D2610" s="337">
        <f t="shared" ref="D2610" si="483">AVERAGE(B2610:C2610)</f>
        <v>7450</v>
      </c>
    </row>
    <row r="2611" spans="1:6" ht="15" customHeight="1">
      <c r="A2611" s="3">
        <v>42759</v>
      </c>
      <c r="B2611" s="336">
        <v>7300</v>
      </c>
      <c r="C2611" s="336">
        <v>7600</v>
      </c>
      <c r="D2611" s="337">
        <f t="shared" ref="D2611" si="484">AVERAGE(B2611:C2611)</f>
        <v>7450</v>
      </c>
    </row>
    <row r="2612" spans="1:6" ht="15" customHeight="1">
      <c r="A2612" s="3">
        <v>42760</v>
      </c>
      <c r="B2612" s="336">
        <v>7300</v>
      </c>
      <c r="C2612" s="336">
        <v>7600</v>
      </c>
      <c r="D2612" s="337">
        <f t="shared" ref="D2612" si="485">AVERAGE(B2612:C2612)</f>
        <v>7450</v>
      </c>
    </row>
    <row r="2613" spans="1:6" ht="15" customHeight="1">
      <c r="A2613" s="3">
        <v>42761</v>
      </c>
      <c r="B2613" s="336">
        <v>7300</v>
      </c>
      <c r="C2613" s="336">
        <v>7600</v>
      </c>
      <c r="D2613" s="337">
        <f t="shared" ref="D2613" si="486">AVERAGE(B2613:C2613)</f>
        <v>7450</v>
      </c>
    </row>
    <row r="2614" spans="1:6" ht="15" customHeight="1">
      <c r="A2614" s="3">
        <v>42762</v>
      </c>
      <c r="B2614" s="336">
        <v>7300</v>
      </c>
      <c r="C2614" s="336">
        <v>7600</v>
      </c>
      <c r="D2614" s="337">
        <f t="shared" ref="D2614:D2615" si="487">AVERAGE(B2614:C2614)</f>
        <v>7450</v>
      </c>
    </row>
    <row r="2615" spans="1:6" ht="15" customHeight="1">
      <c r="A2615" s="3">
        <v>42765</v>
      </c>
      <c r="B2615" s="336">
        <v>7400</v>
      </c>
      <c r="C2615" s="336">
        <v>7800</v>
      </c>
      <c r="D2615" s="337">
        <f t="shared" si="487"/>
        <v>7600</v>
      </c>
    </row>
    <row r="2616" spans="1:6" ht="15" customHeight="1" thickBot="1">
      <c r="A2616" s="11">
        <v>42766</v>
      </c>
      <c r="B2616" s="341">
        <v>7400</v>
      </c>
      <c r="C2616" s="341">
        <v>7800</v>
      </c>
      <c r="D2616" s="342">
        <f t="shared" ref="D2616:D2618" si="488">AVERAGE(B2616:C2616)</f>
        <v>7600</v>
      </c>
      <c r="E2616" s="360">
        <f>AVERAGE(D2596:D2616)</f>
        <v>7342.6190476190477</v>
      </c>
      <c r="F2616" s="360">
        <f>AVERAGE(D2596:D2616)</f>
        <v>7342.6190476190477</v>
      </c>
    </row>
    <row r="2617" spans="1:6" ht="15" customHeight="1">
      <c r="A2617" s="3">
        <v>42767</v>
      </c>
      <c r="B2617" s="336">
        <v>7400</v>
      </c>
      <c r="C2617" s="336">
        <v>7800</v>
      </c>
      <c r="D2617" s="337">
        <f t="shared" si="488"/>
        <v>7600</v>
      </c>
    </row>
    <row r="2618" spans="1:6" ht="15" customHeight="1">
      <c r="A2618" s="3">
        <v>42768</v>
      </c>
      <c r="B2618" s="336">
        <v>7400</v>
      </c>
      <c r="C2618" s="336">
        <v>7800</v>
      </c>
      <c r="D2618" s="337">
        <f t="shared" si="488"/>
        <v>7600</v>
      </c>
    </row>
    <row r="2619" spans="1:6" ht="15" customHeight="1">
      <c r="A2619" s="3">
        <v>42769</v>
      </c>
      <c r="B2619" s="336">
        <v>7400</v>
      </c>
      <c r="C2619" s="336">
        <v>7800</v>
      </c>
      <c r="D2619" s="337">
        <f t="shared" ref="D2619" si="489">AVERAGE(B2619:C2619)</f>
        <v>7600</v>
      </c>
    </row>
    <row r="2620" spans="1:6" ht="15" customHeight="1">
      <c r="A2620" s="3">
        <v>42772</v>
      </c>
      <c r="B2620" s="336">
        <v>7400</v>
      </c>
      <c r="C2620" s="336">
        <v>7800</v>
      </c>
      <c r="D2620" s="337">
        <f t="shared" ref="D2620" si="490">AVERAGE(B2620:C2620)</f>
        <v>7600</v>
      </c>
    </row>
    <row r="2621" spans="1:6" ht="15" customHeight="1">
      <c r="A2621" s="3">
        <v>42773</v>
      </c>
      <c r="B2621" s="336">
        <v>7400</v>
      </c>
      <c r="C2621" s="336">
        <v>7800</v>
      </c>
      <c r="D2621" s="337">
        <f t="shared" ref="D2621" si="491">AVERAGE(B2621:C2621)</f>
        <v>7600</v>
      </c>
    </row>
    <row r="2622" spans="1:6" ht="15" customHeight="1">
      <c r="A2622" s="3">
        <v>42774</v>
      </c>
      <c r="B2622" s="336">
        <v>7400</v>
      </c>
      <c r="C2622" s="336">
        <v>7800</v>
      </c>
      <c r="D2622" s="337">
        <f t="shared" ref="D2622" si="492">AVERAGE(B2622:C2622)</f>
        <v>7600</v>
      </c>
    </row>
    <row r="2623" spans="1:6" ht="15" customHeight="1">
      <c r="A2623" s="3">
        <v>42775</v>
      </c>
      <c r="B2623" s="336">
        <v>7400</v>
      </c>
      <c r="C2623" s="336">
        <v>7800</v>
      </c>
      <c r="D2623" s="337">
        <f t="shared" ref="D2623" si="493">AVERAGE(B2623:C2623)</f>
        <v>7600</v>
      </c>
    </row>
    <row r="2624" spans="1:6" ht="15" customHeight="1">
      <c r="A2624" s="3">
        <v>42776</v>
      </c>
      <c r="B2624" s="336">
        <v>7400</v>
      </c>
      <c r="C2624" s="336">
        <v>7800</v>
      </c>
      <c r="D2624" s="337">
        <f t="shared" ref="D2624" si="494">AVERAGE(B2624:C2624)</f>
        <v>7600</v>
      </c>
    </row>
    <row r="2625" spans="1:6" ht="15" customHeight="1">
      <c r="A2625" s="3">
        <v>42779</v>
      </c>
      <c r="B2625" s="336">
        <v>7400</v>
      </c>
      <c r="C2625" s="336">
        <v>7800</v>
      </c>
      <c r="D2625" s="337">
        <f t="shared" ref="D2625" si="495">AVERAGE(B2625:C2625)</f>
        <v>7600</v>
      </c>
    </row>
    <row r="2626" spans="1:6" ht="15" customHeight="1">
      <c r="A2626" s="3">
        <v>42780</v>
      </c>
      <c r="B2626" s="336">
        <v>7400</v>
      </c>
      <c r="C2626" s="336">
        <v>7800</v>
      </c>
      <c r="D2626" s="337">
        <f t="shared" ref="D2626" si="496">AVERAGE(B2626:C2626)</f>
        <v>7600</v>
      </c>
    </row>
    <row r="2627" spans="1:6" ht="15" customHeight="1">
      <c r="A2627" s="3">
        <v>42781</v>
      </c>
      <c r="B2627" s="336">
        <v>7400</v>
      </c>
      <c r="C2627" s="336">
        <v>7800</v>
      </c>
      <c r="D2627" s="337">
        <f t="shared" ref="D2627" si="497">AVERAGE(B2627:C2627)</f>
        <v>7600</v>
      </c>
    </row>
    <row r="2628" spans="1:6" ht="15" customHeight="1">
      <c r="A2628" s="3">
        <v>42782</v>
      </c>
      <c r="B2628" s="336">
        <v>7400</v>
      </c>
      <c r="C2628" s="336">
        <v>7800</v>
      </c>
      <c r="D2628" s="337">
        <f t="shared" ref="D2628:D2629" si="498">AVERAGE(B2628:C2628)</f>
        <v>7600</v>
      </c>
    </row>
    <row r="2629" spans="1:6" ht="15" customHeight="1">
      <c r="A2629" s="3">
        <v>42783</v>
      </c>
      <c r="B2629" s="336">
        <v>7800</v>
      </c>
      <c r="C2629" s="336">
        <v>8100</v>
      </c>
      <c r="D2629" s="337">
        <f t="shared" si="498"/>
        <v>7950</v>
      </c>
    </row>
    <row r="2630" spans="1:6" ht="15" customHeight="1">
      <c r="A2630" s="3">
        <v>42786</v>
      </c>
      <c r="B2630" s="336">
        <v>7800</v>
      </c>
      <c r="C2630" s="336">
        <v>8100</v>
      </c>
      <c r="D2630" s="337">
        <f t="shared" ref="D2630" si="499">AVERAGE(B2630:C2630)</f>
        <v>7950</v>
      </c>
    </row>
    <row r="2631" spans="1:6" ht="15" customHeight="1">
      <c r="A2631" s="3">
        <v>42787</v>
      </c>
      <c r="B2631" s="336">
        <v>7800</v>
      </c>
      <c r="C2631" s="336">
        <v>8100</v>
      </c>
      <c r="D2631" s="337">
        <f t="shared" ref="D2631" si="500">AVERAGE(B2631:C2631)</f>
        <v>7950</v>
      </c>
    </row>
    <row r="2632" spans="1:6" ht="15" customHeight="1">
      <c r="A2632" s="3">
        <v>42788</v>
      </c>
      <c r="B2632" s="336">
        <v>7800</v>
      </c>
      <c r="C2632" s="336">
        <v>8100</v>
      </c>
      <c r="D2632" s="337">
        <f t="shared" ref="D2632" si="501">AVERAGE(B2632:C2632)</f>
        <v>7950</v>
      </c>
    </row>
    <row r="2633" spans="1:6" ht="15" customHeight="1">
      <c r="A2633" s="3">
        <v>42789</v>
      </c>
      <c r="B2633" s="336">
        <v>7800</v>
      </c>
      <c r="C2633" s="336">
        <v>8100</v>
      </c>
      <c r="D2633" s="337">
        <f t="shared" ref="D2633" si="502">AVERAGE(B2633:C2633)</f>
        <v>7950</v>
      </c>
    </row>
    <row r="2634" spans="1:6" ht="15" customHeight="1">
      <c r="A2634" s="3">
        <v>42790</v>
      </c>
      <c r="B2634" s="336">
        <v>7800</v>
      </c>
      <c r="C2634" s="336">
        <v>8100</v>
      </c>
      <c r="D2634" s="337">
        <f t="shared" ref="D2634" si="503">AVERAGE(B2634:C2634)</f>
        <v>7950</v>
      </c>
    </row>
    <row r="2635" spans="1:6" ht="15" customHeight="1">
      <c r="A2635" s="3">
        <v>42793</v>
      </c>
      <c r="B2635" s="336">
        <v>7800</v>
      </c>
      <c r="C2635" s="336">
        <v>8100</v>
      </c>
      <c r="D2635" s="337">
        <f t="shared" ref="D2635" si="504">AVERAGE(B2635:C2635)</f>
        <v>7950</v>
      </c>
    </row>
    <row r="2636" spans="1:6" ht="15" customHeight="1" thickBot="1">
      <c r="A2636" s="11">
        <v>42794</v>
      </c>
      <c r="B2636" s="341">
        <v>7800</v>
      </c>
      <c r="C2636" s="341">
        <v>8100</v>
      </c>
      <c r="D2636" s="342">
        <f t="shared" ref="D2636" si="505">AVERAGE(B2636:C2636)</f>
        <v>7950</v>
      </c>
      <c r="E2636" s="360">
        <f>AVERAGE(D2617:D2636)</f>
        <v>7740</v>
      </c>
      <c r="F2636" s="360">
        <f>AVERAGE(D2596:D2636)</f>
        <v>7536.4634146341459</v>
      </c>
    </row>
    <row r="2637" spans="1:6" ht="15" customHeight="1">
      <c r="A2637" s="3">
        <v>42795</v>
      </c>
      <c r="B2637" s="336">
        <v>7800</v>
      </c>
      <c r="C2637" s="336">
        <v>8100</v>
      </c>
      <c r="D2637" s="337">
        <f t="shared" ref="D2637" si="506">AVERAGE(B2637:C2637)</f>
        <v>7950</v>
      </c>
    </row>
    <row r="2638" spans="1:6" ht="15" customHeight="1">
      <c r="A2638" s="3">
        <v>42796</v>
      </c>
      <c r="B2638" s="336">
        <v>7800</v>
      </c>
      <c r="C2638" s="336">
        <v>8100</v>
      </c>
      <c r="D2638" s="337">
        <f t="shared" ref="D2638" si="507">AVERAGE(B2638:C2638)</f>
        <v>7950</v>
      </c>
    </row>
    <row r="2639" spans="1:6" ht="15" customHeight="1">
      <c r="A2639" s="3">
        <v>42797</v>
      </c>
      <c r="B2639" s="336">
        <v>7800</v>
      </c>
      <c r="C2639" s="336">
        <v>8100</v>
      </c>
      <c r="D2639" s="337">
        <f t="shared" ref="D2639" si="508">AVERAGE(B2639:C2639)</f>
        <v>7950</v>
      </c>
    </row>
    <row r="2640" spans="1:6" ht="15" customHeight="1">
      <c r="A2640" s="3">
        <v>42800</v>
      </c>
      <c r="B2640" s="336">
        <v>7800</v>
      </c>
      <c r="C2640" s="336">
        <v>8100</v>
      </c>
      <c r="D2640" s="337">
        <f t="shared" ref="D2640" si="509">AVERAGE(B2640:C2640)</f>
        <v>7950</v>
      </c>
    </row>
    <row r="2641" spans="1:4" ht="15" customHeight="1">
      <c r="A2641" s="3">
        <v>42801</v>
      </c>
      <c r="B2641" s="336">
        <v>7800</v>
      </c>
      <c r="C2641" s="336">
        <v>8100</v>
      </c>
      <c r="D2641" s="337">
        <f t="shared" ref="D2641" si="510">AVERAGE(B2641:C2641)</f>
        <v>7950</v>
      </c>
    </row>
    <row r="2642" spans="1:4" ht="15" customHeight="1">
      <c r="A2642" s="3">
        <v>42802</v>
      </c>
      <c r="B2642" s="336">
        <v>7800</v>
      </c>
      <c r="C2642" s="336">
        <v>8100</v>
      </c>
      <c r="D2642" s="337">
        <f t="shared" ref="D2642" si="511">AVERAGE(B2642:C2642)</f>
        <v>7950</v>
      </c>
    </row>
    <row r="2643" spans="1:4" ht="15" customHeight="1">
      <c r="A2643" s="3">
        <v>42803</v>
      </c>
      <c r="B2643" s="336">
        <v>7800</v>
      </c>
      <c r="C2643" s="336">
        <v>8100</v>
      </c>
      <c r="D2643" s="337">
        <f t="shared" ref="D2643:D2644" si="512">AVERAGE(B2643:C2643)</f>
        <v>7950</v>
      </c>
    </row>
    <row r="2644" spans="1:4" ht="15" customHeight="1">
      <c r="A2644" s="3">
        <v>42804</v>
      </c>
      <c r="B2644" s="336">
        <v>8400</v>
      </c>
      <c r="C2644" s="336">
        <v>8800</v>
      </c>
      <c r="D2644" s="337">
        <f t="shared" si="512"/>
        <v>8600</v>
      </c>
    </row>
    <row r="2645" spans="1:4" ht="15" customHeight="1">
      <c r="A2645" s="3">
        <v>42807</v>
      </c>
      <c r="B2645" s="336">
        <v>8400</v>
      </c>
      <c r="C2645" s="336">
        <v>8800</v>
      </c>
      <c r="D2645" s="337">
        <f t="shared" ref="D2645" si="513">AVERAGE(B2645:C2645)</f>
        <v>8600</v>
      </c>
    </row>
    <row r="2646" spans="1:4" ht="15" customHeight="1">
      <c r="A2646" s="3">
        <v>42808</v>
      </c>
      <c r="B2646" s="336">
        <v>8400</v>
      </c>
      <c r="C2646" s="336">
        <v>8800</v>
      </c>
      <c r="D2646" s="337">
        <f t="shared" ref="D2646" si="514">AVERAGE(B2646:C2646)</f>
        <v>8600</v>
      </c>
    </row>
    <row r="2647" spans="1:4" ht="15" customHeight="1">
      <c r="A2647" s="3">
        <v>42809</v>
      </c>
      <c r="B2647" s="336">
        <v>8400</v>
      </c>
      <c r="C2647" s="336">
        <v>8800</v>
      </c>
      <c r="D2647" s="337">
        <f t="shared" ref="D2647:D2648" si="515">AVERAGE(B2647:C2647)</f>
        <v>8600</v>
      </c>
    </row>
    <row r="2648" spans="1:4" ht="15" customHeight="1">
      <c r="A2648" s="3">
        <v>42810</v>
      </c>
      <c r="B2648" s="336">
        <v>8400</v>
      </c>
      <c r="C2648" s="336">
        <v>8800</v>
      </c>
      <c r="D2648" s="337">
        <f t="shared" si="515"/>
        <v>8600</v>
      </c>
    </row>
    <row r="2649" spans="1:4" ht="15" customHeight="1">
      <c r="A2649" s="3">
        <v>42811</v>
      </c>
      <c r="B2649" s="336">
        <v>8400</v>
      </c>
      <c r="C2649" s="336">
        <v>8800</v>
      </c>
      <c r="D2649" s="337">
        <f t="shared" ref="D2649" si="516">AVERAGE(B2649:C2649)</f>
        <v>8600</v>
      </c>
    </row>
    <row r="2650" spans="1:4" ht="15" customHeight="1">
      <c r="A2650" s="3">
        <v>42814</v>
      </c>
      <c r="B2650" s="336">
        <v>8400</v>
      </c>
      <c r="C2650" s="336">
        <v>8800</v>
      </c>
      <c r="D2650" s="337">
        <f t="shared" ref="D2650" si="517">AVERAGE(B2650:C2650)</f>
        <v>8600</v>
      </c>
    </row>
    <row r="2651" spans="1:4" ht="15" customHeight="1">
      <c r="A2651" s="3">
        <v>42815</v>
      </c>
      <c r="B2651" s="336">
        <v>8400</v>
      </c>
      <c r="C2651" s="336">
        <v>8800</v>
      </c>
      <c r="D2651" s="337">
        <f t="shared" ref="D2651" si="518">AVERAGE(B2651:C2651)</f>
        <v>8600</v>
      </c>
    </row>
    <row r="2652" spans="1:4" ht="15" customHeight="1">
      <c r="A2652" s="3">
        <v>42816</v>
      </c>
      <c r="B2652" s="336">
        <v>8400</v>
      </c>
      <c r="C2652" s="336">
        <v>8800</v>
      </c>
      <c r="D2652" s="337">
        <f t="shared" ref="D2652" si="519">AVERAGE(B2652:C2652)</f>
        <v>8600</v>
      </c>
    </row>
    <row r="2653" spans="1:4" ht="15" customHeight="1">
      <c r="A2653" s="3">
        <v>42817</v>
      </c>
      <c r="B2653" s="336">
        <v>8400</v>
      </c>
      <c r="C2653" s="336">
        <v>8800</v>
      </c>
      <c r="D2653" s="337">
        <f t="shared" ref="D2653" si="520">AVERAGE(B2653:C2653)</f>
        <v>8600</v>
      </c>
    </row>
    <row r="2654" spans="1:4" ht="15" customHeight="1">
      <c r="A2654" s="3">
        <v>42818</v>
      </c>
      <c r="B2654" s="336">
        <v>8400</v>
      </c>
      <c r="C2654" s="336">
        <v>8800</v>
      </c>
      <c r="D2654" s="337">
        <f t="shared" ref="D2654" si="521">AVERAGE(B2654:C2654)</f>
        <v>8600</v>
      </c>
    </row>
    <row r="2655" spans="1:4" ht="15" customHeight="1">
      <c r="A2655" s="3">
        <v>42821</v>
      </c>
      <c r="B2655" s="336">
        <v>8400</v>
      </c>
      <c r="C2655" s="336">
        <v>8800</v>
      </c>
      <c r="D2655" s="337">
        <f t="shared" ref="D2655:D2656" si="522">AVERAGE(B2655:C2655)</f>
        <v>8600</v>
      </c>
    </row>
    <row r="2656" spans="1:4" ht="15" customHeight="1">
      <c r="A2656" s="3">
        <v>42822</v>
      </c>
      <c r="B2656" s="336">
        <v>8700</v>
      </c>
      <c r="C2656" s="336">
        <v>9000</v>
      </c>
      <c r="D2656" s="337">
        <f t="shared" si="522"/>
        <v>8850</v>
      </c>
    </row>
    <row r="2657" spans="1:6" ht="15" customHeight="1">
      <c r="A2657" s="3">
        <v>42823</v>
      </c>
      <c r="B2657" s="336">
        <v>8700</v>
      </c>
      <c r="C2657" s="336">
        <v>9000</v>
      </c>
      <c r="D2657" s="337">
        <f t="shared" ref="D2657" si="523">AVERAGE(B2657:C2657)</f>
        <v>8850</v>
      </c>
    </row>
    <row r="2658" spans="1:6" ht="15" customHeight="1">
      <c r="A2658" s="3">
        <v>42824</v>
      </c>
      <c r="B2658" s="345">
        <v>8700</v>
      </c>
      <c r="C2658" s="345">
        <v>9000</v>
      </c>
      <c r="D2658" s="346">
        <f t="shared" ref="D2658" si="524">AVERAGE(B2658:C2658)</f>
        <v>8850</v>
      </c>
      <c r="E2658" s="347"/>
      <c r="F2658" s="347"/>
    </row>
    <row r="2659" spans="1:6" ht="15" customHeight="1" thickBot="1">
      <c r="A2659" s="11">
        <v>42825</v>
      </c>
      <c r="B2659" s="341">
        <v>8700</v>
      </c>
      <c r="C2659" s="341">
        <v>9000</v>
      </c>
      <c r="D2659" s="342">
        <f t="shared" ref="D2659:D2660" si="525">AVERAGE(B2659:C2659)</f>
        <v>8850</v>
      </c>
      <c r="E2659" s="360">
        <f>AVERAGE(D2637:D2659)</f>
        <v>8445.652173913044</v>
      </c>
      <c r="F2659" s="360">
        <f>AVERAGE(D2596:D2659)</f>
        <v>7863.203125</v>
      </c>
    </row>
    <row r="2660" spans="1:6" ht="15" customHeight="1">
      <c r="A2660" s="3">
        <v>42828</v>
      </c>
      <c r="B2660" s="336">
        <v>8700</v>
      </c>
      <c r="C2660" s="336">
        <v>9000</v>
      </c>
      <c r="D2660" s="337">
        <f t="shared" si="525"/>
        <v>8850</v>
      </c>
    </row>
    <row r="2661" spans="1:6" ht="15" customHeight="1">
      <c r="A2661" s="3">
        <v>42829</v>
      </c>
      <c r="B2661" s="336">
        <v>8700</v>
      </c>
      <c r="C2661" s="336">
        <v>9000</v>
      </c>
      <c r="D2661" s="337">
        <f t="shared" ref="D2661" si="526">AVERAGE(B2661:C2661)</f>
        <v>8850</v>
      </c>
    </row>
    <row r="2662" spans="1:6" ht="15" customHeight="1">
      <c r="A2662" s="3">
        <v>42830</v>
      </c>
      <c r="B2662" s="336">
        <v>8700</v>
      </c>
      <c r="C2662" s="336">
        <v>9000</v>
      </c>
      <c r="D2662" s="337">
        <f t="shared" ref="D2662" si="527">AVERAGE(B2662:C2662)</f>
        <v>8850</v>
      </c>
    </row>
    <row r="2663" spans="1:6" ht="15" customHeight="1">
      <c r="A2663" s="3">
        <v>42831</v>
      </c>
      <c r="B2663" s="336">
        <v>8700</v>
      </c>
      <c r="C2663" s="336">
        <v>9000</v>
      </c>
      <c r="D2663" s="337">
        <f t="shared" ref="D2663" si="528">AVERAGE(B2663:C2663)</f>
        <v>8850</v>
      </c>
    </row>
    <row r="2664" spans="1:6" ht="15" customHeight="1">
      <c r="A2664" s="3">
        <v>42832</v>
      </c>
      <c r="B2664" s="336">
        <v>8700</v>
      </c>
      <c r="C2664" s="336">
        <v>9000</v>
      </c>
      <c r="D2664" s="337">
        <f t="shared" ref="D2664" si="529">AVERAGE(B2664:C2664)</f>
        <v>8850</v>
      </c>
    </row>
    <row r="2665" spans="1:6" ht="15" customHeight="1">
      <c r="A2665" s="3">
        <v>42835</v>
      </c>
      <c r="B2665" s="336">
        <v>8700</v>
      </c>
      <c r="C2665" s="336">
        <v>9000</v>
      </c>
      <c r="D2665" s="337">
        <f t="shared" ref="D2665" si="530">AVERAGE(B2665:C2665)</f>
        <v>8850</v>
      </c>
    </row>
    <row r="2666" spans="1:6" ht="15" customHeight="1">
      <c r="A2666" s="3">
        <v>42836</v>
      </c>
      <c r="B2666" s="336">
        <v>8700</v>
      </c>
      <c r="C2666" s="336">
        <v>9000</v>
      </c>
      <c r="D2666" s="337">
        <f t="shared" ref="D2666" si="531">AVERAGE(B2666:C2666)</f>
        <v>8850</v>
      </c>
    </row>
    <row r="2667" spans="1:6" ht="15" customHeight="1">
      <c r="A2667" s="3">
        <v>42837</v>
      </c>
      <c r="B2667" s="336">
        <v>8700</v>
      </c>
      <c r="C2667" s="336">
        <v>9000</v>
      </c>
      <c r="D2667" s="337">
        <f t="shared" ref="D2667" si="532">AVERAGE(B2667:C2667)</f>
        <v>8850</v>
      </c>
    </row>
    <row r="2668" spans="1:6" ht="15" customHeight="1">
      <c r="A2668" s="3">
        <v>42838</v>
      </c>
      <c r="B2668" s="336">
        <v>8700</v>
      </c>
      <c r="C2668" s="336">
        <v>9000</v>
      </c>
      <c r="D2668" s="337">
        <f t="shared" ref="D2668" si="533">AVERAGE(B2668:C2668)</f>
        <v>8850</v>
      </c>
    </row>
    <row r="2669" spans="1:6" ht="15" customHeight="1">
      <c r="A2669" s="3">
        <v>42839</v>
      </c>
      <c r="B2669" s="1414" t="s">
        <v>90</v>
      </c>
      <c r="C2669" s="1414"/>
      <c r="D2669" s="1414"/>
    </row>
    <row r="2670" spans="1:6" ht="15" customHeight="1">
      <c r="A2670" s="3">
        <v>42842</v>
      </c>
      <c r="B2670" s="1414"/>
      <c r="C2670" s="1414"/>
      <c r="D2670" s="1414"/>
    </row>
    <row r="2671" spans="1:6" ht="15" customHeight="1">
      <c r="A2671" s="3">
        <v>42843</v>
      </c>
      <c r="B2671" s="336">
        <v>8700</v>
      </c>
      <c r="C2671" s="336">
        <v>9000</v>
      </c>
      <c r="D2671" s="337">
        <f t="shared" ref="D2671" si="534">AVERAGE(B2671:C2671)</f>
        <v>8850</v>
      </c>
    </row>
    <row r="2672" spans="1:6" ht="15" customHeight="1">
      <c r="A2672" s="3">
        <v>42844</v>
      </c>
      <c r="B2672" s="336">
        <v>8700</v>
      </c>
      <c r="C2672" s="336">
        <v>9000</v>
      </c>
      <c r="D2672" s="337">
        <f t="shared" ref="D2672" si="535">AVERAGE(B2672:C2672)</f>
        <v>8850</v>
      </c>
    </row>
    <row r="2673" spans="1:6" ht="15" customHeight="1">
      <c r="A2673" s="3">
        <v>42845</v>
      </c>
      <c r="B2673" s="336">
        <v>8700</v>
      </c>
      <c r="C2673" s="336">
        <v>9000</v>
      </c>
      <c r="D2673" s="337">
        <f t="shared" ref="D2673:D2674" si="536">AVERAGE(B2673:C2673)</f>
        <v>8850</v>
      </c>
    </row>
    <row r="2674" spans="1:6" ht="15" customHeight="1">
      <c r="A2674" s="3">
        <v>42846</v>
      </c>
      <c r="B2674" s="336">
        <v>9000</v>
      </c>
      <c r="C2674" s="336">
        <v>9300</v>
      </c>
      <c r="D2674" s="337">
        <f t="shared" si="536"/>
        <v>9150</v>
      </c>
    </row>
    <row r="2675" spans="1:6" ht="15" customHeight="1">
      <c r="A2675" s="3">
        <v>42849</v>
      </c>
      <c r="B2675" s="336">
        <v>9000</v>
      </c>
      <c r="C2675" s="336">
        <v>9300</v>
      </c>
      <c r="D2675" s="337">
        <f t="shared" ref="D2675" si="537">AVERAGE(B2675:C2675)</f>
        <v>9150</v>
      </c>
    </row>
    <row r="2676" spans="1:6" ht="15" customHeight="1">
      <c r="A2676" s="3">
        <v>42850</v>
      </c>
      <c r="B2676" s="336">
        <v>9000</v>
      </c>
      <c r="C2676" s="336">
        <v>9300</v>
      </c>
      <c r="D2676" s="337">
        <f t="shared" ref="D2676" si="538">AVERAGE(B2676:C2676)</f>
        <v>9150</v>
      </c>
    </row>
    <row r="2677" spans="1:6" ht="15" customHeight="1">
      <c r="A2677" s="3">
        <v>42851</v>
      </c>
      <c r="B2677" s="336">
        <v>9000</v>
      </c>
      <c r="C2677" s="336">
        <v>9300</v>
      </c>
      <c r="D2677" s="337">
        <f t="shared" ref="D2677" si="539">AVERAGE(B2677:C2677)</f>
        <v>9150</v>
      </c>
    </row>
    <row r="2678" spans="1:6" ht="15" customHeight="1">
      <c r="A2678" s="3">
        <v>42852</v>
      </c>
      <c r="B2678" s="336">
        <v>9000</v>
      </c>
      <c r="C2678" s="336">
        <v>9300</v>
      </c>
      <c r="D2678" s="337">
        <f t="shared" ref="D2678" si="540">AVERAGE(B2678:C2678)</f>
        <v>9150</v>
      </c>
    </row>
    <row r="2679" spans="1:6" ht="15" customHeight="1" thickBot="1">
      <c r="A2679" s="11">
        <v>42853</v>
      </c>
      <c r="B2679" s="341">
        <v>9000</v>
      </c>
      <c r="C2679" s="341">
        <v>9300</v>
      </c>
      <c r="D2679" s="342">
        <f t="shared" ref="D2679" si="541">AVERAGE(B2679:C2679)</f>
        <v>9150</v>
      </c>
      <c r="E2679" s="360">
        <f>AVERAGE(D2660:D2679)</f>
        <v>8950</v>
      </c>
      <c r="F2679" s="360">
        <f>AVERAGE(D2596:D2679)</f>
        <v>8101.7682926829266</v>
      </c>
    </row>
    <row r="2680" spans="1:6" ht="15" customHeight="1">
      <c r="A2680" s="3">
        <v>42856</v>
      </c>
      <c r="B2680" s="1424" t="s">
        <v>90</v>
      </c>
      <c r="C2680" s="1424"/>
      <c r="D2680" s="1424"/>
    </row>
    <row r="2681" spans="1:6" ht="15" customHeight="1">
      <c r="A2681" s="3">
        <v>42857</v>
      </c>
      <c r="B2681" s="336">
        <v>9000</v>
      </c>
      <c r="C2681" s="336">
        <v>9300</v>
      </c>
      <c r="D2681" s="337">
        <f t="shared" ref="D2681" si="542">AVERAGE(B2681:C2681)</f>
        <v>9150</v>
      </c>
    </row>
    <row r="2682" spans="1:6" ht="15" customHeight="1">
      <c r="A2682" s="3">
        <v>42858</v>
      </c>
      <c r="B2682" s="336">
        <v>9000</v>
      </c>
      <c r="C2682" s="336">
        <v>9300</v>
      </c>
      <c r="D2682" s="337">
        <f t="shared" ref="D2682" si="543">AVERAGE(B2682:C2682)</f>
        <v>9150</v>
      </c>
    </row>
    <row r="2683" spans="1:6" ht="15" customHeight="1">
      <c r="A2683" s="3">
        <v>42859</v>
      </c>
      <c r="B2683" s="336">
        <v>9000</v>
      </c>
      <c r="C2683" s="336">
        <v>9300</v>
      </c>
      <c r="D2683" s="337">
        <f t="shared" ref="D2683" si="544">AVERAGE(B2683:C2683)</f>
        <v>9150</v>
      </c>
    </row>
    <row r="2684" spans="1:6" ht="15" customHeight="1">
      <c r="A2684" s="3">
        <v>42860</v>
      </c>
      <c r="B2684" s="336">
        <v>9000</v>
      </c>
      <c r="C2684" s="336">
        <v>9300</v>
      </c>
      <c r="D2684" s="337">
        <f t="shared" ref="D2684" si="545">AVERAGE(B2684:C2684)</f>
        <v>9150</v>
      </c>
    </row>
    <row r="2685" spans="1:6" ht="15" customHeight="1">
      <c r="A2685" s="3">
        <v>42863</v>
      </c>
      <c r="B2685" s="336">
        <v>9000</v>
      </c>
      <c r="C2685" s="336">
        <v>9300</v>
      </c>
      <c r="D2685" s="337">
        <f t="shared" ref="D2685" si="546">AVERAGE(B2685:C2685)</f>
        <v>9150</v>
      </c>
    </row>
    <row r="2686" spans="1:6" ht="15" customHeight="1">
      <c r="A2686" s="3">
        <v>42864</v>
      </c>
      <c r="B2686" s="336">
        <v>9000</v>
      </c>
      <c r="C2686" s="336">
        <v>9300</v>
      </c>
      <c r="D2686" s="337">
        <f t="shared" ref="D2686" si="547">AVERAGE(B2686:C2686)</f>
        <v>9150</v>
      </c>
    </row>
    <row r="2687" spans="1:6" ht="15" customHeight="1">
      <c r="A2687" s="3">
        <v>42865</v>
      </c>
      <c r="B2687" s="336">
        <v>9000</v>
      </c>
      <c r="C2687" s="336">
        <v>9300</v>
      </c>
      <c r="D2687" s="337">
        <f t="shared" ref="D2687" si="548">AVERAGE(B2687:C2687)</f>
        <v>9150</v>
      </c>
    </row>
    <row r="2688" spans="1:6" ht="15" customHeight="1">
      <c r="A2688" s="3">
        <v>42866</v>
      </c>
      <c r="B2688" s="336">
        <v>9000</v>
      </c>
      <c r="C2688" s="336">
        <v>9300</v>
      </c>
      <c r="D2688" s="337">
        <f t="shared" ref="D2688" si="549">AVERAGE(B2688:C2688)</f>
        <v>9150</v>
      </c>
    </row>
    <row r="2689" spans="1:6" ht="15" customHeight="1">
      <c r="A2689" s="3">
        <v>42867</v>
      </c>
      <c r="B2689" s="336">
        <v>9000</v>
      </c>
      <c r="C2689" s="336">
        <v>9300</v>
      </c>
      <c r="D2689" s="337">
        <f t="shared" ref="D2689:D2690" si="550">AVERAGE(B2689:C2689)</f>
        <v>9150</v>
      </c>
    </row>
    <row r="2690" spans="1:6" ht="15" customHeight="1">
      <c r="A2690" s="3">
        <v>42870</v>
      </c>
      <c r="B2690" s="336">
        <v>8600</v>
      </c>
      <c r="C2690" s="336">
        <v>9000</v>
      </c>
      <c r="D2690" s="337">
        <f t="shared" si="550"/>
        <v>8800</v>
      </c>
    </row>
    <row r="2691" spans="1:6" ht="15" customHeight="1">
      <c r="A2691" s="3">
        <v>42871</v>
      </c>
      <c r="B2691" s="336">
        <v>8600</v>
      </c>
      <c r="C2691" s="336">
        <v>9000</v>
      </c>
      <c r="D2691" s="337">
        <f t="shared" ref="D2691" si="551">AVERAGE(B2691:C2691)</f>
        <v>8800</v>
      </c>
    </row>
    <row r="2692" spans="1:6" ht="15" customHeight="1">
      <c r="A2692" s="3">
        <v>42872</v>
      </c>
      <c r="B2692" s="336">
        <v>8600</v>
      </c>
      <c r="C2692" s="336">
        <v>9000</v>
      </c>
      <c r="D2692" s="337">
        <f t="shared" ref="D2692" si="552">AVERAGE(B2692:C2692)</f>
        <v>8800</v>
      </c>
    </row>
    <row r="2693" spans="1:6" ht="15" customHeight="1">
      <c r="A2693" s="3">
        <v>42873</v>
      </c>
      <c r="B2693" s="336">
        <v>8600</v>
      </c>
      <c r="C2693" s="336">
        <v>9000</v>
      </c>
      <c r="D2693" s="337">
        <f t="shared" ref="D2693" si="553">AVERAGE(B2693:C2693)</f>
        <v>8800</v>
      </c>
    </row>
    <row r="2694" spans="1:6" ht="15" customHeight="1">
      <c r="A2694" s="3">
        <v>42874</v>
      </c>
      <c r="B2694" s="336">
        <v>8600</v>
      </c>
      <c r="C2694" s="336">
        <v>9000</v>
      </c>
      <c r="D2694" s="337">
        <f t="shared" ref="D2694" si="554">AVERAGE(B2694:C2694)</f>
        <v>8800</v>
      </c>
    </row>
    <row r="2695" spans="1:6" ht="15" customHeight="1">
      <c r="A2695" s="3">
        <v>42877</v>
      </c>
      <c r="B2695" s="336">
        <v>8600</v>
      </c>
      <c r="C2695" s="336">
        <v>9000</v>
      </c>
      <c r="D2695" s="337">
        <f t="shared" ref="D2695" si="555">AVERAGE(B2695:C2695)</f>
        <v>8800</v>
      </c>
    </row>
    <row r="2696" spans="1:6" ht="15" customHeight="1">
      <c r="A2696" s="3">
        <v>42878</v>
      </c>
      <c r="B2696" s="336">
        <v>8600</v>
      </c>
      <c r="C2696" s="336">
        <v>9000</v>
      </c>
      <c r="D2696" s="337">
        <f t="shared" ref="D2696" si="556">AVERAGE(B2696:C2696)</f>
        <v>8800</v>
      </c>
    </row>
    <row r="2697" spans="1:6" ht="15" customHeight="1">
      <c r="A2697" s="3">
        <v>42879</v>
      </c>
      <c r="B2697" s="336">
        <v>8600</v>
      </c>
      <c r="C2697" s="336">
        <v>9000</v>
      </c>
      <c r="D2697" s="337">
        <f t="shared" ref="D2697" si="557">AVERAGE(B2697:C2697)</f>
        <v>8800</v>
      </c>
    </row>
    <row r="2698" spans="1:6" ht="15" customHeight="1">
      <c r="A2698" s="3">
        <v>42880</v>
      </c>
      <c r="B2698" s="336">
        <v>8600</v>
      </c>
      <c r="C2698" s="336">
        <v>9000</v>
      </c>
      <c r="D2698" s="337">
        <f t="shared" ref="D2698" si="558">AVERAGE(B2698:C2698)</f>
        <v>8800</v>
      </c>
    </row>
    <row r="2699" spans="1:6" ht="15" customHeight="1">
      <c r="A2699" s="3">
        <v>42881</v>
      </c>
      <c r="B2699" s="345">
        <v>8600</v>
      </c>
      <c r="C2699" s="345">
        <v>9000</v>
      </c>
      <c r="D2699" s="346">
        <f t="shared" ref="D2699" si="559">AVERAGE(B2699:C2699)</f>
        <v>8800</v>
      </c>
    </row>
    <row r="2700" spans="1:6" ht="15" customHeight="1">
      <c r="A2700" s="3">
        <v>42884</v>
      </c>
      <c r="B2700" s="1425" t="s">
        <v>90</v>
      </c>
      <c r="C2700" s="1425"/>
      <c r="D2700" s="1425"/>
    </row>
    <row r="2701" spans="1:6" ht="15" customHeight="1">
      <c r="A2701" s="3">
        <v>42885</v>
      </c>
      <c r="B2701" s="336">
        <v>8600</v>
      </c>
      <c r="C2701" s="336">
        <v>9000</v>
      </c>
      <c r="D2701" s="337">
        <f t="shared" ref="D2701" si="560">AVERAGE(B2701:C2701)</f>
        <v>8800</v>
      </c>
    </row>
    <row r="2702" spans="1:6" ht="15" customHeight="1" thickBot="1">
      <c r="A2702" s="11">
        <v>42886</v>
      </c>
      <c r="B2702" s="341">
        <v>8600</v>
      </c>
      <c r="C2702" s="341">
        <v>9000</v>
      </c>
      <c r="D2702" s="342">
        <f t="shared" ref="D2702:D2703" si="561">AVERAGE(B2702:C2702)</f>
        <v>8800</v>
      </c>
      <c r="E2702" s="360">
        <f>AVERAGE(D2680:D2702)</f>
        <v>8950</v>
      </c>
      <c r="F2702" s="360">
        <f>AVERAGE(D2596:D2702)</f>
        <v>8274.7087378640772</v>
      </c>
    </row>
    <row r="2703" spans="1:6" ht="15" customHeight="1">
      <c r="A2703" s="3">
        <v>42887</v>
      </c>
      <c r="B2703" s="336">
        <v>8800</v>
      </c>
      <c r="C2703" s="336">
        <v>9150</v>
      </c>
      <c r="D2703" s="337">
        <f t="shared" si="561"/>
        <v>8975</v>
      </c>
    </row>
    <row r="2704" spans="1:6" ht="15" customHeight="1">
      <c r="A2704" s="3">
        <v>42888</v>
      </c>
      <c r="B2704" s="336">
        <v>8800</v>
      </c>
      <c r="C2704" s="336">
        <v>9150</v>
      </c>
      <c r="D2704" s="337">
        <f t="shared" ref="D2704" si="562">AVERAGE(B2704:C2704)</f>
        <v>8975</v>
      </c>
    </row>
    <row r="2705" spans="1:4" ht="15" customHeight="1">
      <c r="A2705" s="3">
        <v>42891</v>
      </c>
      <c r="B2705" s="336">
        <v>8800</v>
      </c>
      <c r="C2705" s="336">
        <v>9150</v>
      </c>
      <c r="D2705" s="337">
        <f t="shared" ref="D2705" si="563">AVERAGE(B2705:C2705)</f>
        <v>8975</v>
      </c>
    </row>
    <row r="2706" spans="1:4" ht="15" customHeight="1">
      <c r="A2706" s="3">
        <v>42892</v>
      </c>
      <c r="B2706" s="336">
        <v>8800</v>
      </c>
      <c r="C2706" s="336">
        <v>9150</v>
      </c>
      <c r="D2706" s="337">
        <f t="shared" ref="D2706:D2707" si="564">AVERAGE(B2706:C2706)</f>
        <v>8975</v>
      </c>
    </row>
    <row r="2707" spans="1:4" ht="15" customHeight="1">
      <c r="A2707" s="3">
        <v>42893</v>
      </c>
      <c r="B2707" s="336">
        <v>8800</v>
      </c>
      <c r="C2707" s="336">
        <v>9000</v>
      </c>
      <c r="D2707" s="337">
        <f t="shared" si="564"/>
        <v>8900</v>
      </c>
    </row>
    <row r="2708" spans="1:4" ht="15" customHeight="1">
      <c r="A2708" s="3">
        <v>42894</v>
      </c>
      <c r="B2708" s="336">
        <v>8800</v>
      </c>
      <c r="C2708" s="336">
        <v>9000</v>
      </c>
      <c r="D2708" s="337">
        <f t="shared" ref="D2708:D2709" si="565">AVERAGE(B2708:C2708)</f>
        <v>8900</v>
      </c>
    </row>
    <row r="2709" spans="1:4" ht="15" customHeight="1">
      <c r="A2709" s="3">
        <v>42895</v>
      </c>
      <c r="B2709" s="336">
        <v>8650</v>
      </c>
      <c r="C2709" s="336">
        <v>8950</v>
      </c>
      <c r="D2709" s="337">
        <f t="shared" si="565"/>
        <v>8800</v>
      </c>
    </row>
    <row r="2710" spans="1:4" ht="15" customHeight="1">
      <c r="A2710" s="3">
        <v>42898</v>
      </c>
      <c r="B2710" s="336">
        <v>8650</v>
      </c>
      <c r="C2710" s="336">
        <v>8950</v>
      </c>
      <c r="D2710" s="337">
        <f t="shared" ref="D2710" si="566">AVERAGE(B2710:C2710)</f>
        <v>8800</v>
      </c>
    </row>
    <row r="2711" spans="1:4" ht="15" customHeight="1">
      <c r="A2711" s="3">
        <v>42899</v>
      </c>
      <c r="B2711" s="336">
        <v>8650</v>
      </c>
      <c r="C2711" s="336">
        <v>8950</v>
      </c>
      <c r="D2711" s="337">
        <f t="shared" ref="D2711" si="567">AVERAGE(B2711:C2711)</f>
        <v>8800</v>
      </c>
    </row>
    <row r="2712" spans="1:4" ht="15" customHeight="1">
      <c r="A2712" s="3">
        <v>42900</v>
      </c>
      <c r="B2712" s="336">
        <v>8650</v>
      </c>
      <c r="C2712" s="336">
        <v>8950</v>
      </c>
      <c r="D2712" s="337">
        <f t="shared" ref="D2712" si="568">AVERAGE(B2712:C2712)</f>
        <v>8800</v>
      </c>
    </row>
    <row r="2713" spans="1:4" ht="15" customHeight="1">
      <c r="A2713" s="3">
        <v>42901</v>
      </c>
      <c r="B2713" s="336">
        <v>8650</v>
      </c>
      <c r="C2713" s="336">
        <v>8950</v>
      </c>
      <c r="D2713" s="337">
        <f t="shared" ref="D2713" si="569">AVERAGE(B2713:C2713)</f>
        <v>8800</v>
      </c>
    </row>
    <row r="2714" spans="1:4" ht="15" customHeight="1">
      <c r="A2714" s="3">
        <v>42902</v>
      </c>
      <c r="B2714" s="336">
        <v>8650</v>
      </c>
      <c r="C2714" s="336">
        <v>8950</v>
      </c>
      <c r="D2714" s="337">
        <f t="shared" ref="D2714:D2715" si="570">AVERAGE(B2714:C2714)</f>
        <v>8800</v>
      </c>
    </row>
    <row r="2715" spans="1:4" ht="15" customHeight="1">
      <c r="A2715" s="3">
        <v>42905</v>
      </c>
      <c r="B2715" s="336">
        <v>8650</v>
      </c>
      <c r="C2715" s="336">
        <v>8950</v>
      </c>
      <c r="D2715" s="337">
        <f t="shared" si="570"/>
        <v>8800</v>
      </c>
    </row>
    <row r="2716" spans="1:4" ht="15" customHeight="1">
      <c r="A2716" s="3">
        <v>42906</v>
      </c>
      <c r="B2716" s="336">
        <v>8650</v>
      </c>
      <c r="C2716" s="336">
        <v>8950</v>
      </c>
      <c r="D2716" s="337">
        <f t="shared" ref="D2716" si="571">AVERAGE(B2716:C2716)</f>
        <v>8800</v>
      </c>
    </row>
    <row r="2717" spans="1:4" ht="15" customHeight="1">
      <c r="A2717" s="3">
        <v>42907</v>
      </c>
      <c r="B2717" s="336">
        <v>8650</v>
      </c>
      <c r="C2717" s="336">
        <v>8950</v>
      </c>
      <c r="D2717" s="337">
        <f t="shared" ref="D2717" si="572">AVERAGE(B2717:C2717)</f>
        <v>8800</v>
      </c>
    </row>
    <row r="2718" spans="1:4" ht="15" customHeight="1">
      <c r="A2718" s="3">
        <v>42908</v>
      </c>
      <c r="B2718" s="336">
        <v>8650</v>
      </c>
      <c r="C2718" s="336">
        <v>8950</v>
      </c>
      <c r="D2718" s="337">
        <f t="shared" ref="D2718:D2719" si="573">AVERAGE(B2718:C2718)</f>
        <v>8800</v>
      </c>
    </row>
    <row r="2719" spans="1:4" ht="15" customHeight="1">
      <c r="A2719" s="3">
        <v>42909</v>
      </c>
      <c r="B2719" s="336">
        <v>8400</v>
      </c>
      <c r="C2719" s="336">
        <v>8800</v>
      </c>
      <c r="D2719" s="337">
        <f t="shared" si="573"/>
        <v>8600</v>
      </c>
    </row>
    <row r="2720" spans="1:4" ht="15" customHeight="1">
      <c r="A2720" s="3">
        <v>42912</v>
      </c>
      <c r="B2720" s="336">
        <v>8400</v>
      </c>
      <c r="C2720" s="336">
        <v>8800</v>
      </c>
      <c r="D2720" s="337">
        <f t="shared" ref="D2720" si="574">AVERAGE(B2720:C2720)</f>
        <v>8600</v>
      </c>
    </row>
    <row r="2721" spans="1:6" ht="15" customHeight="1">
      <c r="A2721" s="3">
        <v>42913</v>
      </c>
      <c r="B2721" s="336">
        <v>8400</v>
      </c>
      <c r="C2721" s="336">
        <v>8800</v>
      </c>
      <c r="D2721" s="337">
        <f t="shared" ref="D2721:D2722" si="575">AVERAGE(B2721:C2721)</f>
        <v>8600</v>
      </c>
    </row>
    <row r="2722" spans="1:6" ht="15" customHeight="1">
      <c r="A2722" s="3">
        <v>42914</v>
      </c>
      <c r="B2722" s="336">
        <v>8400</v>
      </c>
      <c r="C2722" s="336">
        <v>8550</v>
      </c>
      <c r="D2722" s="337">
        <f t="shared" si="575"/>
        <v>8475</v>
      </c>
    </row>
    <row r="2723" spans="1:6" ht="15" customHeight="1">
      <c r="A2723" s="3">
        <v>42915</v>
      </c>
      <c r="B2723" s="336">
        <v>8400</v>
      </c>
      <c r="C2723" s="336">
        <v>8550</v>
      </c>
      <c r="D2723" s="337">
        <f t="shared" ref="D2723" si="576">AVERAGE(B2723:C2723)</f>
        <v>8475</v>
      </c>
    </row>
    <row r="2724" spans="1:6" ht="15" customHeight="1" thickBot="1">
      <c r="A2724" s="11">
        <v>42916</v>
      </c>
      <c r="B2724" s="341">
        <v>8400</v>
      </c>
      <c r="C2724" s="341">
        <v>8550</v>
      </c>
      <c r="D2724" s="342">
        <f t="shared" ref="D2724:D2725" si="577">AVERAGE(B2724:C2724)</f>
        <v>8475</v>
      </c>
      <c r="E2724" s="360">
        <f>AVERAGE(D2703:D2724)</f>
        <v>8769.318181818182</v>
      </c>
      <c r="F2724" s="360">
        <f>AVERAGE(D2596:D2724)</f>
        <v>8361.76</v>
      </c>
    </row>
    <row r="2725" spans="1:6" ht="15" customHeight="1">
      <c r="A2725" s="3">
        <v>42919</v>
      </c>
      <c r="B2725" s="336">
        <v>8100</v>
      </c>
      <c r="C2725" s="336">
        <v>8400</v>
      </c>
      <c r="D2725" s="337">
        <f t="shared" si="577"/>
        <v>8250</v>
      </c>
    </row>
    <row r="2726" spans="1:6" ht="15" customHeight="1">
      <c r="A2726" s="3">
        <v>42920</v>
      </c>
      <c r="B2726" s="336">
        <v>8100</v>
      </c>
      <c r="C2726" s="336">
        <v>8400</v>
      </c>
      <c r="D2726" s="337">
        <f t="shared" ref="D2726:D2727" si="578">AVERAGE(B2726:C2726)</f>
        <v>8250</v>
      </c>
    </row>
    <row r="2727" spans="1:6" ht="15" customHeight="1">
      <c r="A2727" s="3">
        <v>42921</v>
      </c>
      <c r="B2727" s="336">
        <v>8050</v>
      </c>
      <c r="C2727" s="336">
        <v>8300</v>
      </c>
      <c r="D2727" s="337">
        <f t="shared" si="578"/>
        <v>8175</v>
      </c>
    </row>
    <row r="2728" spans="1:6" ht="15" customHeight="1">
      <c r="A2728" s="3">
        <v>42922</v>
      </c>
      <c r="B2728" s="336">
        <v>8050</v>
      </c>
      <c r="C2728" s="336">
        <v>8300</v>
      </c>
      <c r="D2728" s="337">
        <f t="shared" ref="D2728:D2729" si="579">AVERAGE(B2728:C2728)</f>
        <v>8175</v>
      </c>
    </row>
    <row r="2729" spans="1:6" ht="15" customHeight="1">
      <c r="A2729" s="3">
        <v>42923</v>
      </c>
      <c r="B2729" s="336">
        <v>7950</v>
      </c>
      <c r="C2729" s="336">
        <v>8200</v>
      </c>
      <c r="D2729" s="337">
        <f t="shared" si="579"/>
        <v>8075</v>
      </c>
    </row>
    <row r="2730" spans="1:6" ht="15" customHeight="1">
      <c r="A2730" s="3">
        <v>42926</v>
      </c>
      <c r="B2730" s="336">
        <v>7950</v>
      </c>
      <c r="C2730" s="336">
        <v>8200</v>
      </c>
      <c r="D2730" s="337">
        <f t="shared" ref="D2730" si="580">AVERAGE(B2730:C2730)</f>
        <v>8075</v>
      </c>
    </row>
    <row r="2731" spans="1:6" ht="15" customHeight="1">
      <c r="A2731" s="3">
        <v>42927</v>
      </c>
      <c r="B2731" s="336">
        <v>7950</v>
      </c>
      <c r="C2731" s="336">
        <v>8200</v>
      </c>
      <c r="D2731" s="337">
        <f t="shared" ref="D2731" si="581">AVERAGE(B2731:C2731)</f>
        <v>8075</v>
      </c>
    </row>
    <row r="2732" spans="1:6" ht="15" customHeight="1">
      <c r="A2732" s="3">
        <v>42928</v>
      </c>
      <c r="B2732" s="336">
        <v>7950</v>
      </c>
      <c r="C2732" s="336">
        <v>8200</v>
      </c>
      <c r="D2732" s="337">
        <f t="shared" ref="D2732:D2734" si="582">AVERAGE(B2732:C2732)</f>
        <v>8075</v>
      </c>
    </row>
    <row r="2733" spans="1:6" ht="15" customHeight="1">
      <c r="A2733" s="3">
        <v>42929</v>
      </c>
      <c r="B2733" s="336">
        <v>7750</v>
      </c>
      <c r="C2733" s="336">
        <v>8100</v>
      </c>
      <c r="D2733" s="337">
        <f t="shared" si="582"/>
        <v>7925</v>
      </c>
    </row>
    <row r="2734" spans="1:6" ht="15" customHeight="1">
      <c r="A2734" s="3">
        <v>42930</v>
      </c>
      <c r="B2734" s="336">
        <v>7750</v>
      </c>
      <c r="C2734" s="336">
        <v>8150</v>
      </c>
      <c r="D2734" s="337">
        <f t="shared" si="582"/>
        <v>7950</v>
      </c>
    </row>
    <row r="2735" spans="1:6" ht="15" customHeight="1">
      <c r="A2735" s="3">
        <v>42933</v>
      </c>
      <c r="B2735" s="336">
        <v>7750</v>
      </c>
      <c r="C2735" s="336">
        <v>8150</v>
      </c>
      <c r="D2735" s="337">
        <f t="shared" ref="D2735" si="583">AVERAGE(B2735:C2735)</f>
        <v>7950</v>
      </c>
    </row>
    <row r="2736" spans="1:6" ht="15" customHeight="1">
      <c r="A2736" s="3">
        <v>42934</v>
      </c>
      <c r="B2736" s="336">
        <v>7750</v>
      </c>
      <c r="C2736" s="336">
        <v>8150</v>
      </c>
      <c r="D2736" s="337">
        <f t="shared" ref="D2736" si="584">AVERAGE(B2736:C2736)</f>
        <v>7950</v>
      </c>
    </row>
    <row r="2737" spans="1:6" ht="15" customHeight="1">
      <c r="A2737" s="3">
        <v>42935</v>
      </c>
      <c r="B2737" s="336">
        <v>7750</v>
      </c>
      <c r="C2737" s="336">
        <v>8150</v>
      </c>
      <c r="D2737" s="337">
        <f t="shared" ref="D2737" si="585">AVERAGE(B2737:C2737)</f>
        <v>7950</v>
      </c>
    </row>
    <row r="2738" spans="1:6" ht="15" customHeight="1">
      <c r="A2738" s="3">
        <v>42936</v>
      </c>
      <c r="B2738" s="336">
        <v>7750</v>
      </c>
      <c r="C2738" s="336">
        <v>8150</v>
      </c>
      <c r="D2738" s="337">
        <f t="shared" ref="D2738" si="586">AVERAGE(B2738:C2738)</f>
        <v>7950</v>
      </c>
    </row>
    <row r="2739" spans="1:6" ht="15" customHeight="1">
      <c r="A2739" s="3">
        <v>42937</v>
      </c>
      <c r="B2739" s="336">
        <v>7750</v>
      </c>
      <c r="C2739" s="336">
        <v>8150</v>
      </c>
      <c r="D2739" s="337">
        <f t="shared" ref="D2739" si="587">AVERAGE(B2739:C2739)</f>
        <v>7950</v>
      </c>
    </row>
    <row r="2740" spans="1:6" ht="15" customHeight="1">
      <c r="A2740" s="3">
        <v>42940</v>
      </c>
      <c r="B2740" s="336">
        <v>7750</v>
      </c>
      <c r="C2740" s="336">
        <v>8150</v>
      </c>
      <c r="D2740" s="337">
        <f t="shared" ref="D2740" si="588">AVERAGE(B2740:C2740)</f>
        <v>7950</v>
      </c>
    </row>
    <row r="2741" spans="1:6" ht="15" customHeight="1">
      <c r="A2741" s="3">
        <v>42941</v>
      </c>
      <c r="B2741" s="336">
        <v>7750</v>
      </c>
      <c r="C2741" s="336">
        <v>8150</v>
      </c>
      <c r="D2741" s="337">
        <f t="shared" ref="D2741:D2742" si="589">AVERAGE(B2741:C2741)</f>
        <v>7950</v>
      </c>
    </row>
    <row r="2742" spans="1:6" ht="15" customHeight="1">
      <c r="A2742" s="3">
        <v>42942</v>
      </c>
      <c r="B2742" s="336">
        <v>7800</v>
      </c>
      <c r="C2742" s="336">
        <v>8200</v>
      </c>
      <c r="D2742" s="337">
        <f t="shared" si="589"/>
        <v>8000</v>
      </c>
    </row>
    <row r="2743" spans="1:6" ht="15" customHeight="1">
      <c r="A2743" s="3">
        <v>42943</v>
      </c>
      <c r="B2743" s="336">
        <v>7800</v>
      </c>
      <c r="C2743" s="336">
        <v>8200</v>
      </c>
      <c r="D2743" s="337">
        <f t="shared" ref="D2743" si="590">AVERAGE(B2743:C2743)</f>
        <v>8000</v>
      </c>
    </row>
    <row r="2744" spans="1:6" ht="15" customHeight="1">
      <c r="A2744" s="3">
        <v>42944</v>
      </c>
      <c r="B2744" s="336">
        <v>7800</v>
      </c>
      <c r="C2744" s="336">
        <v>8200</v>
      </c>
      <c r="D2744" s="337">
        <f t="shared" ref="D2744" si="591">AVERAGE(B2744:C2744)</f>
        <v>8000</v>
      </c>
    </row>
    <row r="2745" spans="1:6" ht="15" customHeight="1" thickBot="1">
      <c r="A2745" s="11">
        <v>42947</v>
      </c>
      <c r="B2745" s="341">
        <v>7800</v>
      </c>
      <c r="C2745" s="341">
        <v>8200</v>
      </c>
      <c r="D2745" s="342">
        <f t="shared" ref="D2745" si="592">AVERAGE(B2745:C2745)</f>
        <v>8000</v>
      </c>
      <c r="E2745" s="360">
        <f>AVERAGE(D2725:D2745)</f>
        <v>8032.1428571428569</v>
      </c>
      <c r="F2745" s="360">
        <f>AVERAGE(D2596:D2745)</f>
        <v>8314.3493150684935</v>
      </c>
    </row>
    <row r="2746" spans="1:6" ht="15" customHeight="1">
      <c r="A2746" s="3">
        <v>42948</v>
      </c>
      <c r="B2746" s="363">
        <v>7800</v>
      </c>
      <c r="C2746" s="363">
        <v>8200</v>
      </c>
      <c r="D2746" s="408">
        <f t="shared" ref="D2746:D2747" si="593">AVERAGE(B2746:C2746)</f>
        <v>8000</v>
      </c>
    </row>
    <row r="2747" spans="1:6" ht="15" customHeight="1">
      <c r="A2747" s="3">
        <v>42949</v>
      </c>
      <c r="B2747" s="336">
        <v>7850</v>
      </c>
      <c r="C2747" s="336">
        <v>8250</v>
      </c>
      <c r="D2747" s="337">
        <f t="shared" si="593"/>
        <v>8050</v>
      </c>
    </row>
    <row r="2748" spans="1:6" ht="15" customHeight="1">
      <c r="A2748" s="3">
        <v>42950</v>
      </c>
      <c r="B2748" s="336">
        <v>7850</v>
      </c>
      <c r="C2748" s="336">
        <v>8250</v>
      </c>
      <c r="D2748" s="337">
        <f t="shared" ref="D2748:D2749" si="594">AVERAGE(B2748:C2748)</f>
        <v>8050</v>
      </c>
    </row>
    <row r="2749" spans="1:6" ht="15" customHeight="1">
      <c r="A2749" s="3">
        <v>42951</v>
      </c>
      <c r="B2749" s="336">
        <v>8150</v>
      </c>
      <c r="C2749" s="336">
        <v>8450</v>
      </c>
      <c r="D2749" s="337">
        <f t="shared" si="594"/>
        <v>8300</v>
      </c>
    </row>
    <row r="2750" spans="1:6" ht="15" customHeight="1">
      <c r="A2750" s="3">
        <v>42954</v>
      </c>
      <c r="B2750" s="336">
        <v>8150</v>
      </c>
      <c r="C2750" s="336">
        <v>8450</v>
      </c>
      <c r="D2750" s="337">
        <f t="shared" ref="D2750" si="595">AVERAGE(B2750:C2750)</f>
        <v>8300</v>
      </c>
    </row>
    <row r="2751" spans="1:6" ht="15" customHeight="1">
      <c r="A2751" s="3">
        <v>42955</v>
      </c>
      <c r="B2751" s="336">
        <v>8150</v>
      </c>
      <c r="C2751" s="336">
        <v>8450</v>
      </c>
      <c r="D2751" s="337">
        <f t="shared" ref="D2751" si="596">AVERAGE(B2751:C2751)</f>
        <v>8300</v>
      </c>
    </row>
    <row r="2752" spans="1:6" ht="15" customHeight="1">
      <c r="A2752" s="3">
        <v>42956</v>
      </c>
      <c r="B2752" s="336">
        <v>8150</v>
      </c>
      <c r="C2752" s="336">
        <v>8450</v>
      </c>
      <c r="D2752" s="337">
        <f t="shared" ref="D2752" si="597">AVERAGE(B2752:C2752)</f>
        <v>8300</v>
      </c>
    </row>
    <row r="2753" spans="1:6" ht="15" customHeight="1">
      <c r="A2753" s="3">
        <v>42957</v>
      </c>
      <c r="B2753" s="336">
        <v>8150</v>
      </c>
      <c r="C2753" s="336">
        <v>8450</v>
      </c>
      <c r="D2753" s="337">
        <f t="shared" ref="D2753" si="598">AVERAGE(B2753:C2753)</f>
        <v>8300</v>
      </c>
    </row>
    <row r="2754" spans="1:6" ht="15" customHeight="1">
      <c r="A2754" s="3">
        <v>42958</v>
      </c>
      <c r="B2754" s="336">
        <v>8150</v>
      </c>
      <c r="C2754" s="336">
        <v>8450</v>
      </c>
      <c r="D2754" s="337">
        <f t="shared" ref="D2754" si="599">AVERAGE(B2754:C2754)</f>
        <v>8300</v>
      </c>
    </row>
    <row r="2755" spans="1:6" ht="15" customHeight="1">
      <c r="A2755" s="3">
        <v>42961</v>
      </c>
      <c r="B2755" s="336">
        <v>8150</v>
      </c>
      <c r="C2755" s="336">
        <v>8450</v>
      </c>
      <c r="D2755" s="337">
        <f t="shared" ref="D2755:D2756" si="600">AVERAGE(B2755:C2755)</f>
        <v>8300</v>
      </c>
    </row>
    <row r="2756" spans="1:6" ht="15" customHeight="1">
      <c r="A2756" s="3">
        <v>42962</v>
      </c>
      <c r="B2756" s="336">
        <v>8200</v>
      </c>
      <c r="C2756" s="336">
        <v>8500</v>
      </c>
      <c r="D2756" s="337">
        <f t="shared" si="600"/>
        <v>8350</v>
      </c>
    </row>
    <row r="2757" spans="1:6" ht="15" customHeight="1">
      <c r="A2757" s="3">
        <v>42963</v>
      </c>
      <c r="B2757" s="336">
        <v>8200</v>
      </c>
      <c r="C2757" s="336">
        <v>8500</v>
      </c>
      <c r="D2757" s="337">
        <f t="shared" ref="D2757" si="601">AVERAGE(B2757:C2757)</f>
        <v>8350</v>
      </c>
    </row>
    <row r="2758" spans="1:6" ht="15" customHeight="1">
      <c r="A2758" s="3">
        <v>42964</v>
      </c>
      <c r="B2758" s="336">
        <v>8200</v>
      </c>
      <c r="C2758" s="336">
        <v>8500</v>
      </c>
      <c r="D2758" s="337">
        <f t="shared" ref="D2758:D2759" si="602">AVERAGE(B2758:C2758)</f>
        <v>8350</v>
      </c>
    </row>
    <row r="2759" spans="1:6" ht="15" customHeight="1">
      <c r="A2759" s="3">
        <v>42965</v>
      </c>
      <c r="B2759" s="336">
        <v>8300</v>
      </c>
      <c r="C2759" s="336">
        <v>8650</v>
      </c>
      <c r="D2759" s="337">
        <f t="shared" si="602"/>
        <v>8475</v>
      </c>
    </row>
    <row r="2760" spans="1:6" ht="15" customHeight="1">
      <c r="A2760" s="3">
        <v>42968</v>
      </c>
      <c r="B2760" s="336">
        <v>8300</v>
      </c>
      <c r="C2760" s="336">
        <v>8650</v>
      </c>
      <c r="D2760" s="337">
        <f t="shared" ref="D2760" si="603">AVERAGE(B2760:C2760)</f>
        <v>8475</v>
      </c>
    </row>
    <row r="2761" spans="1:6" ht="15" customHeight="1">
      <c r="A2761" s="3">
        <v>42969</v>
      </c>
      <c r="B2761" s="336">
        <v>8300</v>
      </c>
      <c r="C2761" s="336">
        <v>8650</v>
      </c>
      <c r="D2761" s="337">
        <f t="shared" ref="D2761:D2763" si="604">AVERAGE(B2761:C2761)</f>
        <v>8475</v>
      </c>
    </row>
    <row r="2762" spans="1:6" ht="15" customHeight="1">
      <c r="A2762" s="3">
        <v>42970</v>
      </c>
      <c r="B2762" s="336">
        <v>8300</v>
      </c>
      <c r="C2762" s="336">
        <v>8650</v>
      </c>
      <c r="D2762" s="337">
        <f t="shared" si="604"/>
        <v>8475</v>
      </c>
    </row>
    <row r="2763" spans="1:6" ht="15" customHeight="1">
      <c r="A2763" s="3">
        <v>42971</v>
      </c>
      <c r="B2763" s="336">
        <v>8350</v>
      </c>
      <c r="C2763" s="336">
        <v>8700</v>
      </c>
      <c r="D2763" s="337">
        <f t="shared" si="604"/>
        <v>8525</v>
      </c>
    </row>
    <row r="2764" spans="1:6" ht="15" customHeight="1">
      <c r="A2764" s="3">
        <v>42972</v>
      </c>
      <c r="B2764" s="336">
        <v>8350</v>
      </c>
      <c r="C2764" s="336">
        <v>8700</v>
      </c>
      <c r="D2764" s="337">
        <f t="shared" ref="D2764" si="605">AVERAGE(B2764:C2764)</f>
        <v>8525</v>
      </c>
    </row>
    <row r="2765" spans="1:6" ht="15" customHeight="1">
      <c r="A2765" s="3">
        <v>42975</v>
      </c>
      <c r="B2765" s="1416" t="s">
        <v>91</v>
      </c>
      <c r="C2765" s="1416"/>
      <c r="D2765" s="1416"/>
    </row>
    <row r="2766" spans="1:6" ht="15" customHeight="1">
      <c r="A2766" s="3">
        <v>42976</v>
      </c>
      <c r="B2766" s="336">
        <v>8350</v>
      </c>
      <c r="C2766" s="336">
        <v>8700</v>
      </c>
      <c r="D2766" s="337">
        <f t="shared" ref="D2766:D2767" si="606">AVERAGE(B2766:C2766)</f>
        <v>8525</v>
      </c>
    </row>
    <row r="2767" spans="1:6" ht="15" customHeight="1">
      <c r="A2767" s="3">
        <v>42977</v>
      </c>
      <c r="B2767" s="336">
        <v>8350</v>
      </c>
      <c r="C2767" s="336">
        <v>8650</v>
      </c>
      <c r="D2767" s="337">
        <f t="shared" si="606"/>
        <v>8500</v>
      </c>
    </row>
    <row r="2768" spans="1:6" ht="15" customHeight="1" thickBot="1">
      <c r="A2768" s="11">
        <v>42978</v>
      </c>
      <c r="B2768" s="341">
        <v>8350</v>
      </c>
      <c r="C2768" s="341">
        <v>8650</v>
      </c>
      <c r="D2768" s="342">
        <f t="shared" ref="D2768" si="607">AVERAGE(B2768:C2768)</f>
        <v>8500</v>
      </c>
      <c r="E2768" s="360">
        <f>AVERAGE(D2746:D2768)</f>
        <v>8351.136363636364</v>
      </c>
      <c r="F2768" s="360">
        <f>AVERAGE(D2596:D2768)</f>
        <v>8319.1666666666661</v>
      </c>
    </row>
    <row r="2769" spans="1:4" ht="15" customHeight="1">
      <c r="A2769" s="3">
        <v>42979</v>
      </c>
      <c r="B2769" s="363">
        <v>8350</v>
      </c>
      <c r="C2769" s="363">
        <v>8650</v>
      </c>
      <c r="D2769" s="408">
        <f t="shared" ref="D2769" si="608">AVERAGE(B2769:C2769)</f>
        <v>8500</v>
      </c>
    </row>
    <row r="2770" spans="1:4" ht="15" customHeight="1">
      <c r="A2770" s="3">
        <v>42982</v>
      </c>
      <c r="B2770" s="345">
        <v>8350</v>
      </c>
      <c r="C2770" s="345">
        <v>8650</v>
      </c>
      <c r="D2770" s="346">
        <f t="shared" ref="D2770:D2772" si="609">AVERAGE(B2770:C2770)</f>
        <v>8500</v>
      </c>
    </row>
    <row r="2771" spans="1:4" ht="15" customHeight="1">
      <c r="A2771" s="3">
        <v>42983</v>
      </c>
      <c r="B2771" s="336">
        <v>8350</v>
      </c>
      <c r="C2771" s="336">
        <v>8650</v>
      </c>
      <c r="D2771" s="337">
        <f t="shared" si="609"/>
        <v>8500</v>
      </c>
    </row>
    <row r="2772" spans="1:4" ht="15" customHeight="1">
      <c r="A2772" s="3">
        <v>42984</v>
      </c>
      <c r="B2772" s="336">
        <v>8350</v>
      </c>
      <c r="C2772" s="336">
        <v>8650</v>
      </c>
      <c r="D2772" s="337">
        <f t="shared" si="609"/>
        <v>8500</v>
      </c>
    </row>
    <row r="2773" spans="1:4" ht="15" customHeight="1">
      <c r="A2773" s="3">
        <v>42985</v>
      </c>
      <c r="B2773" s="336">
        <v>8350</v>
      </c>
      <c r="C2773" s="336">
        <v>8650</v>
      </c>
      <c r="D2773" s="337">
        <f t="shared" ref="D2773" si="610">AVERAGE(B2773:C2773)</f>
        <v>8500</v>
      </c>
    </row>
    <row r="2774" spans="1:4" ht="15" customHeight="1">
      <c r="A2774" s="3">
        <v>42986</v>
      </c>
      <c r="B2774" s="336">
        <v>8350</v>
      </c>
      <c r="C2774" s="336">
        <v>8650</v>
      </c>
      <c r="D2774" s="337">
        <f t="shared" ref="D2774" si="611">AVERAGE(B2774:C2774)</f>
        <v>8500</v>
      </c>
    </row>
    <row r="2775" spans="1:4" ht="15" customHeight="1">
      <c r="A2775" s="3">
        <v>42989</v>
      </c>
      <c r="B2775" s="336">
        <v>8350</v>
      </c>
      <c r="C2775" s="336">
        <v>8650</v>
      </c>
      <c r="D2775" s="337">
        <f t="shared" ref="D2775" si="612">AVERAGE(B2775:C2775)</f>
        <v>8500</v>
      </c>
    </row>
    <row r="2776" spans="1:4" ht="15" customHeight="1">
      <c r="A2776" s="3">
        <v>42990</v>
      </c>
      <c r="B2776" s="336">
        <v>8350</v>
      </c>
      <c r="C2776" s="336">
        <v>8650</v>
      </c>
      <c r="D2776" s="337">
        <f t="shared" ref="D2776:D2777" si="613">AVERAGE(B2776:C2776)</f>
        <v>8500</v>
      </c>
    </row>
    <row r="2777" spans="1:4" ht="15" customHeight="1">
      <c r="A2777" s="3">
        <v>42991</v>
      </c>
      <c r="B2777" s="336">
        <v>8350</v>
      </c>
      <c r="C2777" s="336">
        <v>8650</v>
      </c>
      <c r="D2777" s="337">
        <f t="shared" si="613"/>
        <v>8500</v>
      </c>
    </row>
    <row r="2778" spans="1:4" ht="15" customHeight="1">
      <c r="A2778" s="3">
        <v>42992</v>
      </c>
      <c r="B2778" s="336">
        <v>8350</v>
      </c>
      <c r="C2778" s="336">
        <v>8650</v>
      </c>
      <c r="D2778" s="337">
        <f t="shared" ref="D2778" si="614">AVERAGE(B2778:C2778)</f>
        <v>8500</v>
      </c>
    </row>
    <row r="2779" spans="1:4" ht="15" customHeight="1">
      <c r="A2779" s="3">
        <v>42993</v>
      </c>
      <c r="B2779" s="336">
        <v>8350</v>
      </c>
      <c r="C2779" s="336">
        <v>8650</v>
      </c>
      <c r="D2779" s="337">
        <f t="shared" ref="D2779" si="615">AVERAGE(B2779:C2779)</f>
        <v>8500</v>
      </c>
    </row>
    <row r="2780" spans="1:4" ht="15" customHeight="1">
      <c r="A2780" s="3">
        <v>42996</v>
      </c>
      <c r="B2780" s="336">
        <v>8350</v>
      </c>
      <c r="C2780" s="336">
        <v>8650</v>
      </c>
      <c r="D2780" s="337">
        <f t="shared" ref="D2780" si="616">AVERAGE(B2780:C2780)</f>
        <v>8500</v>
      </c>
    </row>
    <row r="2781" spans="1:4" ht="15" customHeight="1">
      <c r="A2781" s="3">
        <v>42997</v>
      </c>
      <c r="B2781" s="336">
        <v>8350</v>
      </c>
      <c r="C2781" s="336">
        <v>8650</v>
      </c>
      <c r="D2781" s="337">
        <f t="shared" ref="D2781" si="617">AVERAGE(B2781:C2781)</f>
        <v>8500</v>
      </c>
    </row>
    <row r="2782" spans="1:4" ht="15" customHeight="1">
      <c r="A2782" s="3">
        <v>42998</v>
      </c>
      <c r="B2782" s="336">
        <v>8350</v>
      </c>
      <c r="C2782" s="336">
        <v>8650</v>
      </c>
      <c r="D2782" s="337">
        <f t="shared" ref="D2782" si="618">AVERAGE(B2782:C2782)</f>
        <v>8500</v>
      </c>
    </row>
    <row r="2783" spans="1:4" ht="15" customHeight="1">
      <c r="A2783" s="3">
        <v>42999</v>
      </c>
      <c r="B2783" s="336">
        <v>8350</v>
      </c>
      <c r="C2783" s="336">
        <v>8650</v>
      </c>
      <c r="D2783" s="337">
        <f t="shared" ref="D2783:D2784" si="619">AVERAGE(B2783:C2783)</f>
        <v>8500</v>
      </c>
    </row>
    <row r="2784" spans="1:4" ht="15" customHeight="1">
      <c r="A2784" s="3">
        <v>43000</v>
      </c>
      <c r="B2784" s="336">
        <v>8350</v>
      </c>
      <c r="C2784" s="336">
        <v>8600</v>
      </c>
      <c r="D2784" s="337">
        <f t="shared" si="619"/>
        <v>8475</v>
      </c>
    </row>
    <row r="2785" spans="1:6" ht="15" customHeight="1">
      <c r="A2785" s="3">
        <v>43003</v>
      </c>
      <c r="B2785" s="336">
        <v>8350</v>
      </c>
      <c r="C2785" s="336">
        <v>8600</v>
      </c>
      <c r="D2785" s="337">
        <f t="shared" ref="D2785" si="620">AVERAGE(B2785:C2785)</f>
        <v>8475</v>
      </c>
    </row>
    <row r="2786" spans="1:6" ht="15" customHeight="1">
      <c r="A2786" s="3">
        <v>43004</v>
      </c>
      <c r="B2786" s="336">
        <v>8350</v>
      </c>
      <c r="C2786" s="336">
        <v>8600</v>
      </c>
      <c r="D2786" s="337">
        <f t="shared" ref="D2786:D2787" si="621">AVERAGE(B2786:C2786)</f>
        <v>8475</v>
      </c>
    </row>
    <row r="2787" spans="1:6" ht="15" customHeight="1">
      <c r="A2787" s="3">
        <v>43005</v>
      </c>
      <c r="B2787" s="336">
        <v>8250</v>
      </c>
      <c r="C2787" s="336">
        <v>8450</v>
      </c>
      <c r="D2787" s="337">
        <f t="shared" si="621"/>
        <v>8350</v>
      </c>
    </row>
    <row r="2788" spans="1:6" ht="15" customHeight="1">
      <c r="A2788" s="3">
        <v>43006</v>
      </c>
      <c r="B2788" s="336">
        <v>8250</v>
      </c>
      <c r="C2788" s="336">
        <v>8450</v>
      </c>
      <c r="D2788" s="337">
        <f>AVERAGE(B2788:C2788)</f>
        <v>8350</v>
      </c>
    </row>
    <row r="2789" spans="1:6" ht="15" customHeight="1" thickBot="1">
      <c r="A2789" s="11">
        <v>43007</v>
      </c>
      <c r="B2789" s="341">
        <v>8250</v>
      </c>
      <c r="C2789" s="341">
        <v>8450</v>
      </c>
      <c r="D2789" s="342">
        <f t="shared" ref="D2789" si="622">AVERAGE(B2789:C2789)</f>
        <v>8350</v>
      </c>
      <c r="E2789" s="360">
        <f>AVERAGE(D2769:D2789)</f>
        <v>8475</v>
      </c>
      <c r="F2789" s="360">
        <f>AVERAGE(D2596:D2789)</f>
        <v>8336.4814814814818</v>
      </c>
    </row>
    <row r="2790" spans="1:6" ht="15" customHeight="1">
      <c r="A2790" s="3">
        <v>43010</v>
      </c>
      <c r="B2790" s="336">
        <v>8250</v>
      </c>
      <c r="C2790" s="336">
        <v>8450</v>
      </c>
      <c r="D2790" s="337">
        <f>AVERAGE(B2790:C2790)</f>
        <v>8350</v>
      </c>
    </row>
    <row r="2791" spans="1:6" ht="15" customHeight="1">
      <c r="A2791" s="3">
        <v>43011</v>
      </c>
      <c r="B2791" s="336">
        <v>8250</v>
      </c>
      <c r="C2791" s="336">
        <v>8450</v>
      </c>
      <c r="D2791" s="337">
        <f t="shared" ref="D2791" si="623">AVERAGE(B2791:C2791)</f>
        <v>8350</v>
      </c>
    </row>
    <row r="2792" spans="1:6" ht="15" customHeight="1">
      <c r="A2792" s="3">
        <v>43012</v>
      </c>
      <c r="B2792" s="336">
        <v>8250</v>
      </c>
      <c r="C2792" s="336">
        <v>8450</v>
      </c>
      <c r="D2792" s="337">
        <f t="shared" ref="D2792" si="624">AVERAGE(B2792:C2792)</f>
        <v>8350</v>
      </c>
    </row>
    <row r="2793" spans="1:6" ht="15" customHeight="1">
      <c r="A2793" s="3">
        <v>43013</v>
      </c>
      <c r="B2793" s="336">
        <v>8250</v>
      </c>
      <c r="C2793" s="336">
        <v>8450</v>
      </c>
      <c r="D2793" s="337">
        <f t="shared" ref="D2793" si="625">AVERAGE(B2793:C2793)</f>
        <v>8350</v>
      </c>
    </row>
    <row r="2794" spans="1:6" ht="15" customHeight="1">
      <c r="A2794" s="3">
        <v>43014</v>
      </c>
      <c r="B2794" s="336">
        <v>8250</v>
      </c>
      <c r="C2794" s="336">
        <v>8450</v>
      </c>
      <c r="D2794" s="337">
        <f t="shared" ref="D2794:D2795" si="626">AVERAGE(B2794:C2794)</f>
        <v>8350</v>
      </c>
    </row>
    <row r="2795" spans="1:6" ht="15" customHeight="1">
      <c r="A2795" s="3">
        <v>43017</v>
      </c>
      <c r="B2795" s="336">
        <v>8150</v>
      </c>
      <c r="C2795" s="336">
        <v>8250</v>
      </c>
      <c r="D2795" s="337">
        <f t="shared" si="626"/>
        <v>8200</v>
      </c>
    </row>
    <row r="2796" spans="1:6" ht="15" customHeight="1">
      <c r="A2796" s="3">
        <v>43018</v>
      </c>
      <c r="B2796" s="336">
        <v>8150</v>
      </c>
      <c r="C2796" s="336">
        <v>8250</v>
      </c>
      <c r="D2796" s="337">
        <f t="shared" ref="D2796" si="627">AVERAGE(B2796:C2796)</f>
        <v>8200</v>
      </c>
    </row>
    <row r="2797" spans="1:6" ht="15" customHeight="1">
      <c r="A2797" s="3">
        <v>43019</v>
      </c>
      <c r="B2797" s="336">
        <v>8150</v>
      </c>
      <c r="C2797" s="336">
        <v>8250</v>
      </c>
      <c r="D2797" s="337">
        <f t="shared" ref="D2797" si="628">AVERAGE(B2797:C2797)</f>
        <v>8200</v>
      </c>
    </row>
    <row r="2798" spans="1:6" ht="15" customHeight="1">
      <c r="A2798" s="3">
        <v>43020</v>
      </c>
      <c r="B2798" s="336">
        <v>8150</v>
      </c>
      <c r="C2798" s="336">
        <v>8250</v>
      </c>
      <c r="D2798" s="337">
        <f t="shared" ref="D2798" si="629">AVERAGE(B2798:C2798)</f>
        <v>8200</v>
      </c>
    </row>
    <row r="2799" spans="1:6" ht="15" customHeight="1">
      <c r="A2799" s="3">
        <v>43021</v>
      </c>
      <c r="B2799" s="336">
        <v>8150</v>
      </c>
      <c r="C2799" s="336">
        <v>8250</v>
      </c>
      <c r="D2799" s="337">
        <f t="shared" ref="D2799" si="630">AVERAGE(B2799:C2799)</f>
        <v>8200</v>
      </c>
    </row>
    <row r="2800" spans="1:6" ht="15" customHeight="1">
      <c r="A2800" s="3">
        <v>43024</v>
      </c>
      <c r="B2800" s="336">
        <v>8150</v>
      </c>
      <c r="C2800" s="336">
        <v>8250</v>
      </c>
      <c r="D2800" s="337">
        <f t="shared" ref="D2800" si="631">AVERAGE(B2800:C2800)</f>
        <v>8200</v>
      </c>
    </row>
    <row r="2801" spans="1:9" ht="15" customHeight="1">
      <c r="A2801" s="3">
        <v>43025</v>
      </c>
      <c r="B2801" s="336">
        <v>8150</v>
      </c>
      <c r="C2801" s="336">
        <v>8250</v>
      </c>
      <c r="D2801" s="337">
        <f t="shared" ref="D2801" si="632">AVERAGE(B2801:C2801)</f>
        <v>8200</v>
      </c>
    </row>
    <row r="2802" spans="1:9" ht="15" customHeight="1">
      <c r="A2802" s="3">
        <v>43026</v>
      </c>
      <c r="B2802" s="336">
        <v>8150</v>
      </c>
      <c r="C2802" s="336">
        <v>8250</v>
      </c>
      <c r="D2802" s="337">
        <f t="shared" ref="D2802" si="633">AVERAGE(B2802:C2802)</f>
        <v>8200</v>
      </c>
    </row>
    <row r="2803" spans="1:9" ht="15" customHeight="1">
      <c r="A2803" s="3">
        <v>43027</v>
      </c>
      <c r="B2803" s="336">
        <v>8150</v>
      </c>
      <c r="C2803" s="336">
        <v>8250</v>
      </c>
      <c r="D2803" s="337">
        <f t="shared" ref="D2803:D2804" si="634">AVERAGE(B2803:C2803)</f>
        <v>8200</v>
      </c>
    </row>
    <row r="2804" spans="1:9" ht="15" customHeight="1">
      <c r="A2804" s="3">
        <v>43028</v>
      </c>
      <c r="B2804" s="336">
        <v>8000</v>
      </c>
      <c r="C2804" s="336">
        <v>8250</v>
      </c>
      <c r="D2804" s="337">
        <f t="shared" si="634"/>
        <v>8125</v>
      </c>
    </row>
    <row r="2805" spans="1:9" ht="15" customHeight="1">
      <c r="A2805" s="3">
        <v>43031</v>
      </c>
      <c r="B2805" s="336">
        <v>8000</v>
      </c>
      <c r="C2805" s="336">
        <v>8250</v>
      </c>
      <c r="D2805" s="337">
        <f t="shared" ref="D2805" si="635">AVERAGE(B2805:C2805)</f>
        <v>8125</v>
      </c>
    </row>
    <row r="2806" spans="1:9" ht="15" customHeight="1">
      <c r="A2806" s="3">
        <v>43032</v>
      </c>
      <c r="B2806" s="336">
        <v>8000</v>
      </c>
      <c r="C2806" s="336">
        <v>8250</v>
      </c>
      <c r="D2806" s="337">
        <f t="shared" ref="D2806:D2808" si="636">AVERAGE(B2806:C2806)</f>
        <v>8125</v>
      </c>
    </row>
    <row r="2807" spans="1:9" ht="15" customHeight="1">
      <c r="A2807" s="3">
        <v>43033</v>
      </c>
      <c r="B2807" s="336">
        <v>7900</v>
      </c>
      <c r="C2807" s="336">
        <v>8200</v>
      </c>
      <c r="D2807" s="337">
        <f t="shared" si="636"/>
        <v>8050</v>
      </c>
    </row>
    <row r="2808" spans="1:9" ht="15" customHeight="1">
      <c r="A2808" s="3">
        <v>43034</v>
      </c>
      <c r="B2808" s="336">
        <v>7900</v>
      </c>
      <c r="C2808" s="336">
        <v>8200</v>
      </c>
      <c r="D2808" s="337">
        <f t="shared" si="636"/>
        <v>8050</v>
      </c>
    </row>
    <row r="2809" spans="1:9" ht="15" customHeight="1">
      <c r="A2809" s="3">
        <v>43035</v>
      </c>
      <c r="B2809" s="336">
        <v>7900</v>
      </c>
      <c r="C2809" s="336">
        <v>8200</v>
      </c>
      <c r="D2809" s="337">
        <f t="shared" ref="D2809" si="637">AVERAGE(B2809:C2809)</f>
        <v>8050</v>
      </c>
    </row>
    <row r="2810" spans="1:9" ht="15" customHeight="1">
      <c r="A2810" s="3">
        <v>43038</v>
      </c>
      <c r="B2810" s="336">
        <v>7900</v>
      </c>
      <c r="C2810" s="336">
        <v>8200</v>
      </c>
      <c r="D2810" s="337">
        <f t="shared" ref="D2810" si="638">AVERAGE(B2810:C2810)</f>
        <v>8050</v>
      </c>
    </row>
    <row r="2811" spans="1:9" ht="15" customHeight="1" thickBot="1">
      <c r="A2811" s="11">
        <v>43039</v>
      </c>
      <c r="B2811" s="341">
        <v>7900</v>
      </c>
      <c r="C2811" s="341">
        <v>8200</v>
      </c>
      <c r="D2811" s="342">
        <f t="shared" ref="D2811:D2813" si="639">AVERAGE(B2811:C2811)</f>
        <v>8050</v>
      </c>
      <c r="E2811" s="360">
        <f>AVERAGE(D2790:D2811)</f>
        <v>8189.772727272727</v>
      </c>
      <c r="F2811" s="360">
        <f>AVERAGE(D2596:D2811)</f>
        <v>8321.1848341232235</v>
      </c>
    </row>
    <row r="2812" spans="1:9" ht="15" customHeight="1">
      <c r="A2812" s="3">
        <v>43040</v>
      </c>
      <c r="B2812" s="336">
        <v>7900</v>
      </c>
      <c r="C2812" s="336">
        <v>8200</v>
      </c>
      <c r="D2812" s="337">
        <f t="shared" si="639"/>
        <v>8050</v>
      </c>
    </row>
    <row r="2813" spans="1:9" ht="15" customHeight="1">
      <c r="A2813" s="3">
        <v>43041</v>
      </c>
      <c r="B2813" s="336">
        <v>7900</v>
      </c>
      <c r="C2813" s="336">
        <v>8200</v>
      </c>
      <c r="D2813" s="337">
        <f t="shared" si="639"/>
        <v>8050</v>
      </c>
      <c r="G2813" s="365"/>
      <c r="I2813" s="366"/>
    </row>
    <row r="2814" spans="1:9" ht="15" customHeight="1">
      <c r="A2814" s="3">
        <v>43042</v>
      </c>
      <c r="B2814" s="336">
        <v>7900</v>
      </c>
      <c r="C2814" s="336">
        <v>8200</v>
      </c>
      <c r="D2814" s="337">
        <f t="shared" ref="D2814" si="640">AVERAGE(B2814:C2814)</f>
        <v>8050</v>
      </c>
    </row>
    <row r="2815" spans="1:9" ht="15" customHeight="1">
      <c r="A2815" s="3">
        <v>43045</v>
      </c>
      <c r="B2815" s="336">
        <v>7900</v>
      </c>
      <c r="C2815" s="336">
        <v>8200</v>
      </c>
      <c r="D2815" s="337">
        <f t="shared" ref="D2815" si="641">AVERAGE(B2815:C2815)</f>
        <v>8050</v>
      </c>
    </row>
    <row r="2816" spans="1:9" ht="15" customHeight="1">
      <c r="A2816" s="3">
        <v>43046</v>
      </c>
      <c r="B2816" s="336">
        <v>7900</v>
      </c>
      <c r="C2816" s="336">
        <v>8200</v>
      </c>
      <c r="D2816" s="337">
        <f t="shared" ref="D2816" si="642">AVERAGE(B2816:C2816)</f>
        <v>8050</v>
      </c>
    </row>
    <row r="2817" spans="1:4" ht="15" customHeight="1">
      <c r="A2817" s="3">
        <v>43047</v>
      </c>
      <c r="B2817" s="336">
        <v>7900</v>
      </c>
      <c r="C2817" s="336">
        <v>8200</v>
      </c>
      <c r="D2817" s="337">
        <f t="shared" ref="D2817" si="643">AVERAGE(B2817:C2817)</f>
        <v>8050</v>
      </c>
    </row>
    <row r="2818" spans="1:4" ht="15" customHeight="1">
      <c r="A2818" s="3">
        <v>43048</v>
      </c>
      <c r="B2818" s="336">
        <v>7900</v>
      </c>
      <c r="C2818" s="336">
        <v>8200</v>
      </c>
      <c r="D2818" s="337">
        <f t="shared" ref="D2818" si="644">AVERAGE(B2818:C2818)</f>
        <v>8050</v>
      </c>
    </row>
    <row r="2819" spans="1:4" ht="15" customHeight="1">
      <c r="A2819" s="3">
        <v>43049</v>
      </c>
      <c r="B2819" s="336">
        <v>7900</v>
      </c>
      <c r="C2819" s="336">
        <v>8200</v>
      </c>
      <c r="D2819" s="337">
        <f t="shared" ref="D2819" si="645">AVERAGE(B2819:C2819)</f>
        <v>8050</v>
      </c>
    </row>
    <row r="2820" spans="1:4" ht="15" customHeight="1">
      <c r="A2820" s="3">
        <v>43052</v>
      </c>
      <c r="B2820" s="336">
        <v>7900</v>
      </c>
      <c r="C2820" s="336">
        <v>8200</v>
      </c>
      <c r="D2820" s="337">
        <f t="shared" ref="D2820" si="646">AVERAGE(B2820:C2820)</f>
        <v>8050</v>
      </c>
    </row>
    <row r="2821" spans="1:4" ht="15" customHeight="1">
      <c r="A2821" s="3">
        <v>43053</v>
      </c>
      <c r="B2821" s="336">
        <v>7900</v>
      </c>
      <c r="C2821" s="336">
        <v>8200</v>
      </c>
      <c r="D2821" s="337">
        <f t="shared" ref="D2821" si="647">AVERAGE(B2821:C2821)</f>
        <v>8050</v>
      </c>
    </row>
    <row r="2822" spans="1:4" ht="15" customHeight="1">
      <c r="A2822" s="3">
        <v>43054</v>
      </c>
      <c r="B2822" s="336">
        <v>7900</v>
      </c>
      <c r="C2822" s="336">
        <v>8200</v>
      </c>
      <c r="D2822" s="337">
        <f t="shared" ref="D2822" si="648">AVERAGE(B2822:C2822)</f>
        <v>8050</v>
      </c>
    </row>
    <row r="2823" spans="1:4" ht="15" customHeight="1">
      <c r="A2823" s="3">
        <v>43055</v>
      </c>
      <c r="B2823" s="336">
        <v>7900</v>
      </c>
      <c r="C2823" s="336">
        <v>8200</v>
      </c>
      <c r="D2823" s="337">
        <f t="shared" ref="D2823" si="649">AVERAGE(B2823:C2823)</f>
        <v>8050</v>
      </c>
    </row>
    <row r="2824" spans="1:4" ht="15" customHeight="1">
      <c r="A2824" s="3">
        <v>43056</v>
      </c>
      <c r="B2824" s="336">
        <v>7900</v>
      </c>
      <c r="C2824" s="336">
        <v>8200</v>
      </c>
      <c r="D2824" s="337">
        <f t="shared" ref="D2824" si="650">AVERAGE(B2824:C2824)</f>
        <v>8050</v>
      </c>
    </row>
    <row r="2825" spans="1:4" ht="15" customHeight="1">
      <c r="A2825" s="3">
        <v>43059</v>
      </c>
      <c r="B2825" s="336">
        <v>7900</v>
      </c>
      <c r="C2825" s="336">
        <v>8200</v>
      </c>
      <c r="D2825" s="337">
        <f t="shared" ref="D2825" si="651">AVERAGE(B2825:C2825)</f>
        <v>8050</v>
      </c>
    </row>
    <row r="2826" spans="1:4" ht="15" customHeight="1">
      <c r="A2826" s="3">
        <v>43060</v>
      </c>
      <c r="B2826" s="336">
        <v>7900</v>
      </c>
      <c r="C2826" s="336">
        <v>8200</v>
      </c>
      <c r="D2826" s="337">
        <f t="shared" ref="D2826" si="652">AVERAGE(B2826:C2826)</f>
        <v>8050</v>
      </c>
    </row>
    <row r="2827" spans="1:4" ht="15" customHeight="1">
      <c r="A2827" s="3">
        <v>43061</v>
      </c>
      <c r="B2827" s="336">
        <v>7900</v>
      </c>
      <c r="C2827" s="336">
        <v>8200</v>
      </c>
      <c r="D2827" s="337">
        <f t="shared" ref="D2827" si="653">AVERAGE(B2827:C2827)</f>
        <v>8050</v>
      </c>
    </row>
    <row r="2828" spans="1:4" ht="15" customHeight="1">
      <c r="A2828" s="3">
        <v>43062</v>
      </c>
      <c r="B2828" s="336">
        <v>7900</v>
      </c>
      <c r="C2828" s="336">
        <v>8200</v>
      </c>
      <c r="D2828" s="337">
        <f t="shared" ref="D2828:D2829" si="654">AVERAGE(B2828:C2828)</f>
        <v>8050</v>
      </c>
    </row>
    <row r="2829" spans="1:4" ht="15" customHeight="1">
      <c r="A2829" s="3">
        <v>43063</v>
      </c>
      <c r="B2829" s="336">
        <v>8000</v>
      </c>
      <c r="C2829" s="336">
        <v>8300</v>
      </c>
      <c r="D2829" s="337">
        <f t="shared" si="654"/>
        <v>8150</v>
      </c>
    </row>
    <row r="2830" spans="1:4" ht="15" customHeight="1">
      <c r="A2830" s="3">
        <v>43066</v>
      </c>
      <c r="B2830" s="336">
        <v>8000</v>
      </c>
      <c r="C2830" s="336">
        <v>8300</v>
      </c>
      <c r="D2830" s="337">
        <f t="shared" ref="D2830" si="655">AVERAGE(B2830:C2830)</f>
        <v>8150</v>
      </c>
    </row>
    <row r="2831" spans="1:4" ht="15" customHeight="1">
      <c r="A2831" s="3">
        <v>43067</v>
      </c>
      <c r="B2831" s="336">
        <v>8000</v>
      </c>
      <c r="C2831" s="336">
        <v>8300</v>
      </c>
      <c r="D2831" s="337">
        <f t="shared" ref="D2831" si="656">AVERAGE(B2831:C2831)</f>
        <v>8150</v>
      </c>
    </row>
    <row r="2832" spans="1:4" ht="15" customHeight="1">
      <c r="A2832" s="3">
        <v>43068</v>
      </c>
      <c r="B2832" s="336">
        <v>8000</v>
      </c>
      <c r="C2832" s="336">
        <v>8300</v>
      </c>
      <c r="D2832" s="337">
        <f t="shared" ref="D2832" si="657">AVERAGE(B2832:C2832)</f>
        <v>8150</v>
      </c>
    </row>
    <row r="2833" spans="1:6" ht="15" customHeight="1" thickBot="1">
      <c r="A2833" s="11">
        <v>43069</v>
      </c>
      <c r="B2833" s="341">
        <v>8000</v>
      </c>
      <c r="C2833" s="341">
        <v>8300</v>
      </c>
      <c r="D2833" s="342">
        <f t="shared" ref="D2833:D2835" si="658">AVERAGE(B2833:C2833)</f>
        <v>8150</v>
      </c>
      <c r="E2833" s="360">
        <f>AVERAGE(D2812:D2833)</f>
        <v>8072.727272727273</v>
      </c>
      <c r="F2833" s="360">
        <f>AVERAGE(D2596:D2833)</f>
        <v>8297.7253218884125</v>
      </c>
    </row>
    <row r="2834" spans="1:6" ht="15" customHeight="1">
      <c r="A2834" s="3">
        <v>43070</v>
      </c>
      <c r="B2834" s="336">
        <v>8000</v>
      </c>
      <c r="C2834" s="336">
        <v>8300</v>
      </c>
      <c r="D2834" s="337">
        <f t="shared" si="658"/>
        <v>8150</v>
      </c>
    </row>
    <row r="2835" spans="1:6" ht="15" customHeight="1">
      <c r="A2835" s="3">
        <v>43073</v>
      </c>
      <c r="B2835" s="336">
        <v>8000</v>
      </c>
      <c r="C2835" s="336">
        <v>8300</v>
      </c>
      <c r="D2835" s="337">
        <f t="shared" si="658"/>
        <v>8150</v>
      </c>
    </row>
    <row r="2836" spans="1:6" ht="15" customHeight="1">
      <c r="A2836" s="3">
        <v>43074</v>
      </c>
      <c r="B2836" s="336">
        <v>8000</v>
      </c>
      <c r="C2836" s="336">
        <v>8300</v>
      </c>
      <c r="D2836" s="337">
        <f t="shared" ref="D2836:D2837" si="659">AVERAGE(B2836:C2836)</f>
        <v>8150</v>
      </c>
    </row>
    <row r="2837" spans="1:6" ht="15" customHeight="1">
      <c r="A2837" s="3">
        <v>43075</v>
      </c>
      <c r="B2837" s="336">
        <v>8050</v>
      </c>
      <c r="C2837" s="336">
        <v>8350</v>
      </c>
      <c r="D2837" s="337">
        <f t="shared" si="659"/>
        <v>8200</v>
      </c>
    </row>
    <row r="2838" spans="1:6" ht="15" customHeight="1">
      <c r="A2838" s="3">
        <v>43076</v>
      </c>
      <c r="B2838" s="336">
        <v>8050</v>
      </c>
      <c r="C2838" s="336">
        <v>8350</v>
      </c>
      <c r="D2838" s="337">
        <f t="shared" ref="D2838" si="660">AVERAGE(B2838:C2838)</f>
        <v>8200</v>
      </c>
    </row>
    <row r="2839" spans="1:6" ht="15" customHeight="1">
      <c r="A2839" s="3">
        <v>43077</v>
      </c>
      <c r="B2839" s="336">
        <v>8050</v>
      </c>
      <c r="C2839" s="336">
        <v>8350</v>
      </c>
      <c r="D2839" s="337">
        <f t="shared" ref="D2839" si="661">AVERAGE(B2839:C2839)</f>
        <v>8200</v>
      </c>
    </row>
    <row r="2840" spans="1:6" ht="15" customHeight="1">
      <c r="A2840" s="3">
        <v>43080</v>
      </c>
      <c r="B2840" s="336">
        <v>8050</v>
      </c>
      <c r="C2840" s="336">
        <v>8350</v>
      </c>
      <c r="D2840" s="337">
        <f t="shared" ref="D2840" si="662">AVERAGE(B2840:C2840)</f>
        <v>8200</v>
      </c>
    </row>
    <row r="2841" spans="1:6" ht="15" customHeight="1">
      <c r="A2841" s="3">
        <v>43081</v>
      </c>
      <c r="B2841" s="336">
        <v>8050</v>
      </c>
      <c r="C2841" s="336">
        <v>8350</v>
      </c>
      <c r="D2841" s="337">
        <f t="shared" ref="D2841" si="663">AVERAGE(B2841:C2841)</f>
        <v>8200</v>
      </c>
    </row>
    <row r="2842" spans="1:6" ht="15" customHeight="1">
      <c r="A2842" s="3">
        <v>43082</v>
      </c>
      <c r="B2842" s="336">
        <v>8050</v>
      </c>
      <c r="C2842" s="336">
        <v>8350</v>
      </c>
      <c r="D2842" s="337">
        <f t="shared" ref="D2842" si="664">AVERAGE(B2842:C2842)</f>
        <v>8200</v>
      </c>
    </row>
    <row r="2843" spans="1:6" ht="15" customHeight="1">
      <c r="A2843" s="3">
        <v>43083</v>
      </c>
      <c r="B2843" s="336">
        <v>8050</v>
      </c>
      <c r="C2843" s="336">
        <v>8350</v>
      </c>
      <c r="D2843" s="337">
        <f t="shared" ref="D2843" si="665">AVERAGE(B2843:C2843)</f>
        <v>8200</v>
      </c>
    </row>
    <row r="2844" spans="1:6" ht="15" customHeight="1">
      <c r="A2844" s="3">
        <v>43084</v>
      </c>
      <c r="B2844" s="336">
        <v>8050</v>
      </c>
      <c r="C2844" s="336">
        <v>8350</v>
      </c>
      <c r="D2844" s="337">
        <f t="shared" ref="D2844" si="666">AVERAGE(B2844:C2844)</f>
        <v>8200</v>
      </c>
    </row>
    <row r="2845" spans="1:6" ht="15" customHeight="1">
      <c r="A2845" s="3">
        <v>43087</v>
      </c>
      <c r="B2845" s="336">
        <v>8050</v>
      </c>
      <c r="C2845" s="336">
        <v>8350</v>
      </c>
      <c r="D2845" s="337">
        <f t="shared" ref="D2845" si="667">AVERAGE(B2845:C2845)</f>
        <v>8200</v>
      </c>
    </row>
    <row r="2846" spans="1:6" ht="15" customHeight="1">
      <c r="A2846" s="3">
        <v>43088</v>
      </c>
      <c r="B2846" s="336">
        <v>8050</v>
      </c>
      <c r="C2846" s="336">
        <v>8350</v>
      </c>
      <c r="D2846" s="337">
        <f t="shared" ref="D2846:D2848" si="668">AVERAGE(B2846:C2846)</f>
        <v>8200</v>
      </c>
    </row>
    <row r="2847" spans="1:6" ht="15" customHeight="1">
      <c r="A2847" s="3">
        <v>43089</v>
      </c>
      <c r="B2847" s="336">
        <v>7950</v>
      </c>
      <c r="C2847" s="336">
        <v>8300</v>
      </c>
      <c r="D2847" s="337">
        <f t="shared" si="668"/>
        <v>8125</v>
      </c>
    </row>
    <row r="2848" spans="1:6" ht="15" customHeight="1">
      <c r="A2848" s="3">
        <v>43090</v>
      </c>
      <c r="B2848" s="336">
        <v>7950</v>
      </c>
      <c r="C2848" s="336">
        <v>8300</v>
      </c>
      <c r="D2848" s="337">
        <f t="shared" si="668"/>
        <v>8125</v>
      </c>
    </row>
    <row r="2849" spans="1:6" ht="15" customHeight="1">
      <c r="A2849" s="3">
        <v>43091</v>
      </c>
      <c r="B2849" s="336">
        <v>7950</v>
      </c>
      <c r="C2849" s="336">
        <v>8300</v>
      </c>
      <c r="D2849" s="337">
        <f t="shared" ref="D2849" si="669">AVERAGE(B2849:C2849)</f>
        <v>8125</v>
      </c>
    </row>
    <row r="2850" spans="1:6" ht="15" customHeight="1">
      <c r="A2850" s="3">
        <v>43094</v>
      </c>
      <c r="B2850" s="1416" t="s">
        <v>91</v>
      </c>
      <c r="C2850" s="1416"/>
      <c r="D2850" s="1416"/>
    </row>
    <row r="2851" spans="1:6" ht="15" customHeight="1">
      <c r="A2851" s="3">
        <v>43095</v>
      </c>
      <c r="B2851" s="1416"/>
      <c r="C2851" s="1416"/>
      <c r="D2851" s="1416"/>
    </row>
    <row r="2852" spans="1:6" ht="15" customHeight="1">
      <c r="A2852" s="3">
        <v>43096</v>
      </c>
      <c r="B2852" s="336">
        <v>7950</v>
      </c>
      <c r="C2852" s="336">
        <v>8300</v>
      </c>
      <c r="D2852" s="337">
        <f t="shared" ref="D2852" si="670">AVERAGE(B2852:C2852)</f>
        <v>8125</v>
      </c>
    </row>
    <row r="2853" spans="1:6" ht="15" customHeight="1">
      <c r="A2853" s="3">
        <v>43097</v>
      </c>
      <c r="B2853" s="336">
        <v>7950</v>
      </c>
      <c r="C2853" s="336">
        <v>8300</v>
      </c>
      <c r="D2853" s="337">
        <f t="shared" ref="D2853" si="671">AVERAGE(B2853:C2853)</f>
        <v>8125</v>
      </c>
    </row>
    <row r="2854" spans="1:6" ht="15" customHeight="1" thickBot="1">
      <c r="A2854" s="11">
        <v>43098</v>
      </c>
      <c r="B2854" s="341">
        <v>7950</v>
      </c>
      <c r="C2854" s="341">
        <v>8300</v>
      </c>
      <c r="D2854" s="342">
        <f t="shared" ref="D2854:D2856" si="672">AVERAGE(B2854:C2854)</f>
        <v>8125</v>
      </c>
      <c r="E2854" s="360">
        <f>AVERAGE(D2834:D2854)</f>
        <v>8168.4210526315792</v>
      </c>
      <c r="F2854" s="360">
        <f>AVERAGE(D2596:D2854)</f>
        <v>8287.9761904761908</v>
      </c>
    </row>
    <row r="2855" spans="1:6" ht="15" customHeight="1">
      <c r="A2855" s="3">
        <v>43102</v>
      </c>
      <c r="B2855" s="336">
        <v>7950</v>
      </c>
      <c r="C2855" s="336">
        <v>8300</v>
      </c>
      <c r="D2855" s="337">
        <f t="shared" si="672"/>
        <v>8125</v>
      </c>
    </row>
    <row r="2856" spans="1:6" ht="15" customHeight="1">
      <c r="A2856" s="3">
        <v>43103</v>
      </c>
      <c r="B2856" s="336">
        <v>8000</v>
      </c>
      <c r="C2856" s="336">
        <v>8350</v>
      </c>
      <c r="D2856" s="337">
        <f t="shared" si="672"/>
        <v>8175</v>
      </c>
    </row>
    <row r="2857" spans="1:6" ht="15" customHeight="1">
      <c r="A2857" s="3">
        <v>43104</v>
      </c>
      <c r="B2857" s="336">
        <v>8000</v>
      </c>
      <c r="C2857" s="336">
        <v>8350</v>
      </c>
      <c r="D2857" s="337">
        <f t="shared" ref="D2857" si="673">AVERAGE(B2857:C2857)</f>
        <v>8175</v>
      </c>
    </row>
    <row r="2858" spans="1:6" ht="15" customHeight="1">
      <c r="A2858" s="3">
        <v>43105</v>
      </c>
      <c r="B2858" s="336">
        <v>8000</v>
      </c>
      <c r="C2858" s="336">
        <v>8350</v>
      </c>
      <c r="D2858" s="337">
        <f t="shared" ref="D2858" si="674">AVERAGE(B2858:C2858)</f>
        <v>8175</v>
      </c>
    </row>
    <row r="2859" spans="1:6" ht="15" customHeight="1">
      <c r="A2859" s="3">
        <v>43108</v>
      </c>
      <c r="B2859" s="336">
        <v>8000</v>
      </c>
      <c r="C2859" s="336">
        <v>8350</v>
      </c>
      <c r="D2859" s="337">
        <f t="shared" ref="D2859" si="675">AVERAGE(B2859:C2859)</f>
        <v>8175</v>
      </c>
    </row>
    <row r="2860" spans="1:6" ht="15" customHeight="1">
      <c r="A2860" s="3">
        <v>43109</v>
      </c>
      <c r="B2860" s="336">
        <v>8000</v>
      </c>
      <c r="C2860" s="336">
        <v>8350</v>
      </c>
      <c r="D2860" s="337">
        <f t="shared" ref="D2860" si="676">AVERAGE(B2860:C2860)</f>
        <v>8175</v>
      </c>
    </row>
    <row r="2861" spans="1:6" ht="15" customHeight="1">
      <c r="A2861" s="3">
        <v>43110</v>
      </c>
      <c r="B2861" s="336">
        <v>8000</v>
      </c>
      <c r="C2861" s="336">
        <v>8350</v>
      </c>
      <c r="D2861" s="337">
        <f t="shared" ref="D2861" si="677">AVERAGE(B2861:C2861)</f>
        <v>8175</v>
      </c>
    </row>
    <row r="2862" spans="1:6" ht="15" customHeight="1">
      <c r="A2862" s="3">
        <v>43111</v>
      </c>
      <c r="B2862" s="336">
        <v>8000</v>
      </c>
      <c r="C2862" s="336">
        <v>8350</v>
      </c>
      <c r="D2862" s="337">
        <f t="shared" ref="D2862" si="678">AVERAGE(B2862:C2862)</f>
        <v>8175</v>
      </c>
    </row>
    <row r="2863" spans="1:6" ht="15" customHeight="1">
      <c r="A2863" s="3">
        <v>43112</v>
      </c>
      <c r="B2863" s="336">
        <v>8000</v>
      </c>
      <c r="C2863" s="336">
        <v>8350</v>
      </c>
      <c r="D2863" s="337">
        <f t="shared" ref="D2863" si="679">AVERAGE(B2863:C2863)</f>
        <v>8175</v>
      </c>
    </row>
    <row r="2864" spans="1:6" ht="15" customHeight="1">
      <c r="A2864" s="3">
        <v>43115</v>
      </c>
      <c r="B2864" s="336">
        <v>8000</v>
      </c>
      <c r="C2864" s="336">
        <v>8350</v>
      </c>
      <c r="D2864" s="337">
        <f t="shared" ref="D2864" si="680">AVERAGE(B2864:C2864)</f>
        <v>8175</v>
      </c>
    </row>
    <row r="2865" spans="1:6" ht="15" customHeight="1">
      <c r="A2865" s="3">
        <v>43116</v>
      </c>
      <c r="B2865" s="336">
        <v>8000</v>
      </c>
      <c r="C2865" s="336">
        <v>8350</v>
      </c>
      <c r="D2865" s="337">
        <f t="shared" ref="D2865:D2866" si="681">AVERAGE(B2865:C2865)</f>
        <v>8175</v>
      </c>
    </row>
    <row r="2866" spans="1:6" ht="15" customHeight="1">
      <c r="A2866" s="3">
        <v>43117</v>
      </c>
      <c r="B2866" s="336">
        <v>8100</v>
      </c>
      <c r="C2866" s="336">
        <v>8400</v>
      </c>
      <c r="D2866" s="337">
        <f t="shared" si="681"/>
        <v>8250</v>
      </c>
    </row>
    <row r="2867" spans="1:6" ht="15" customHeight="1">
      <c r="A2867" s="3">
        <v>43118</v>
      </c>
      <c r="B2867" s="336">
        <v>8100</v>
      </c>
      <c r="C2867" s="336">
        <v>8400</v>
      </c>
      <c r="D2867" s="337">
        <f t="shared" ref="D2867" si="682">AVERAGE(B2867:C2867)</f>
        <v>8250</v>
      </c>
    </row>
    <row r="2868" spans="1:6" ht="15" customHeight="1">
      <c r="A2868" s="3">
        <v>43119</v>
      </c>
      <c r="B2868" s="336">
        <v>8100</v>
      </c>
      <c r="C2868" s="336">
        <v>8400</v>
      </c>
      <c r="D2868" s="337">
        <f t="shared" ref="D2868" si="683">AVERAGE(B2868:C2868)</f>
        <v>8250</v>
      </c>
    </row>
    <row r="2869" spans="1:6" ht="15" customHeight="1">
      <c r="A2869" s="3">
        <v>43122</v>
      </c>
      <c r="B2869" s="336">
        <v>8100</v>
      </c>
      <c r="C2869" s="336">
        <v>8400</v>
      </c>
      <c r="D2869" s="337">
        <f t="shared" ref="D2869" si="684">AVERAGE(B2869:C2869)</f>
        <v>8250</v>
      </c>
    </row>
    <row r="2870" spans="1:6" ht="15" customHeight="1">
      <c r="A2870" s="3">
        <v>43123</v>
      </c>
      <c r="B2870" s="336">
        <v>8100</v>
      </c>
      <c r="C2870" s="336">
        <v>8400</v>
      </c>
      <c r="D2870" s="337">
        <f t="shared" ref="D2870:D2871" si="685">AVERAGE(B2870:C2870)</f>
        <v>8250</v>
      </c>
    </row>
    <row r="2871" spans="1:6" ht="15" customHeight="1">
      <c r="A2871" s="3">
        <v>43124</v>
      </c>
      <c r="B2871" s="336">
        <v>8200</v>
      </c>
      <c r="C2871" s="336">
        <v>8500</v>
      </c>
      <c r="D2871" s="337">
        <f t="shared" si="685"/>
        <v>8350</v>
      </c>
    </row>
    <row r="2872" spans="1:6" ht="15" customHeight="1">
      <c r="A2872" s="3">
        <v>43125</v>
      </c>
      <c r="B2872" s="336">
        <v>8200</v>
      </c>
      <c r="C2872" s="336">
        <v>8500</v>
      </c>
      <c r="D2872" s="337">
        <f t="shared" ref="D2872" si="686">AVERAGE(B2872:C2872)</f>
        <v>8350</v>
      </c>
    </row>
    <row r="2873" spans="1:6" ht="15" customHeight="1">
      <c r="A2873" s="3">
        <v>43126</v>
      </c>
      <c r="B2873" s="336">
        <v>8200</v>
      </c>
      <c r="C2873" s="336">
        <v>8500</v>
      </c>
      <c r="D2873" s="337">
        <f t="shared" ref="D2873" si="687">AVERAGE(B2873:C2873)</f>
        <v>8350</v>
      </c>
    </row>
    <row r="2874" spans="1:6" ht="15" customHeight="1">
      <c r="A2874" s="3">
        <v>43129</v>
      </c>
      <c r="B2874" s="336">
        <v>8200</v>
      </c>
      <c r="C2874" s="336">
        <v>8500</v>
      </c>
      <c r="D2874" s="337">
        <f t="shared" ref="D2874" si="688">AVERAGE(B2874:C2874)</f>
        <v>8350</v>
      </c>
    </row>
    <row r="2875" spans="1:6" ht="15" customHeight="1">
      <c r="A2875" s="3">
        <v>43130</v>
      </c>
      <c r="B2875" s="336">
        <v>8200</v>
      </c>
      <c r="C2875" s="336">
        <v>8500</v>
      </c>
      <c r="D2875" s="337">
        <f t="shared" ref="D2875" si="689">AVERAGE(B2875:C2875)</f>
        <v>8350</v>
      </c>
    </row>
    <row r="2876" spans="1:6" ht="15" customHeight="1" thickBot="1">
      <c r="A2876" s="11">
        <v>43131</v>
      </c>
      <c r="B2876" s="341">
        <v>8200</v>
      </c>
      <c r="C2876" s="341">
        <v>8500</v>
      </c>
      <c r="D2876" s="342">
        <f t="shared" ref="D2876:D2879" si="690">AVERAGE(B2876:C2876)</f>
        <v>8350</v>
      </c>
      <c r="E2876" s="360">
        <f>AVERAGE(D2855:D2876)</f>
        <v>8237.5</v>
      </c>
      <c r="F2876" s="360">
        <f>AVERAGE(D2855:D2876)</f>
        <v>8237.5</v>
      </c>
    </row>
    <row r="2877" spans="1:6" ht="15" customHeight="1">
      <c r="A2877" s="3">
        <v>43132</v>
      </c>
      <c r="B2877" s="336">
        <v>8250</v>
      </c>
      <c r="C2877" s="336">
        <v>8500</v>
      </c>
      <c r="D2877" s="337">
        <f t="shared" si="690"/>
        <v>8375</v>
      </c>
    </row>
    <row r="2878" spans="1:6" ht="15" customHeight="1">
      <c r="A2878" s="3">
        <v>43133</v>
      </c>
      <c r="B2878" s="336">
        <v>8250</v>
      </c>
      <c r="C2878" s="336">
        <v>8500</v>
      </c>
      <c r="D2878" s="337">
        <f t="shared" si="690"/>
        <v>8375</v>
      </c>
    </row>
    <row r="2879" spans="1:6" ht="15" customHeight="1">
      <c r="A2879" s="3">
        <v>43136</v>
      </c>
      <c r="B2879" s="336">
        <v>8300</v>
      </c>
      <c r="C2879" s="336">
        <v>8500</v>
      </c>
      <c r="D2879" s="337">
        <f t="shared" si="690"/>
        <v>8400</v>
      </c>
    </row>
    <row r="2880" spans="1:6" ht="15" customHeight="1">
      <c r="A2880" s="3">
        <v>43137</v>
      </c>
      <c r="B2880" s="336">
        <v>8300</v>
      </c>
      <c r="C2880" s="336">
        <v>8500</v>
      </c>
      <c r="D2880" s="337">
        <f t="shared" ref="D2880:D2881" si="691">AVERAGE(B2880:C2880)</f>
        <v>8400</v>
      </c>
    </row>
    <row r="2881" spans="1:6" ht="15" customHeight="1">
      <c r="A2881" s="3">
        <v>43138</v>
      </c>
      <c r="B2881" s="336">
        <v>8400</v>
      </c>
      <c r="C2881" s="336">
        <v>8600</v>
      </c>
      <c r="D2881" s="337">
        <f t="shared" si="691"/>
        <v>8500</v>
      </c>
    </row>
    <row r="2882" spans="1:6" ht="15" customHeight="1">
      <c r="A2882" s="3">
        <v>43139</v>
      </c>
      <c r="B2882" s="336">
        <v>8400</v>
      </c>
      <c r="C2882" s="336">
        <v>8600</v>
      </c>
      <c r="D2882" s="337">
        <f t="shared" ref="D2882:D2883" si="692">AVERAGE(B2882:C2882)</f>
        <v>8500</v>
      </c>
    </row>
    <row r="2883" spans="1:6" ht="15" customHeight="1">
      <c r="A2883" s="3">
        <v>43140</v>
      </c>
      <c r="B2883" s="336">
        <v>8500</v>
      </c>
      <c r="C2883" s="336">
        <v>8700</v>
      </c>
      <c r="D2883" s="337">
        <f t="shared" si="692"/>
        <v>8600</v>
      </c>
    </row>
    <row r="2884" spans="1:6" ht="15" customHeight="1">
      <c r="A2884" s="3">
        <v>43143</v>
      </c>
      <c r="B2884" s="336">
        <v>8500</v>
      </c>
      <c r="C2884" s="336">
        <v>8700</v>
      </c>
      <c r="D2884" s="337">
        <f t="shared" ref="D2884" si="693">AVERAGE(B2884:C2884)</f>
        <v>8600</v>
      </c>
    </row>
    <row r="2885" spans="1:6" ht="15" customHeight="1">
      <c r="A2885" s="3">
        <v>43144</v>
      </c>
      <c r="B2885" s="336">
        <v>8500</v>
      </c>
      <c r="C2885" s="336">
        <v>8700</v>
      </c>
      <c r="D2885" s="337">
        <f t="shared" ref="D2885" si="694">AVERAGE(B2885:C2885)</f>
        <v>8600</v>
      </c>
    </row>
    <row r="2886" spans="1:6" ht="15" customHeight="1">
      <c r="A2886" s="3">
        <v>43145</v>
      </c>
      <c r="B2886" s="336">
        <v>8500</v>
      </c>
      <c r="C2886" s="336">
        <v>8700</v>
      </c>
      <c r="D2886" s="337">
        <f t="shared" ref="D2886" si="695">AVERAGE(B2886:C2886)</f>
        <v>8600</v>
      </c>
    </row>
    <row r="2887" spans="1:6" ht="15" customHeight="1">
      <c r="A2887" s="3">
        <v>43146</v>
      </c>
      <c r="B2887" s="336">
        <v>8500</v>
      </c>
      <c r="C2887" s="336">
        <v>8700</v>
      </c>
      <c r="D2887" s="337">
        <f t="shared" ref="D2887" si="696">AVERAGE(B2887:C2887)</f>
        <v>8600</v>
      </c>
    </row>
    <row r="2888" spans="1:6" ht="15" customHeight="1">
      <c r="A2888" s="3">
        <v>43147</v>
      </c>
      <c r="B2888" s="336">
        <v>8500</v>
      </c>
      <c r="C2888" s="336">
        <v>8700</v>
      </c>
      <c r="D2888" s="337">
        <f t="shared" ref="D2888" si="697">AVERAGE(B2888:C2888)</f>
        <v>8600</v>
      </c>
    </row>
    <row r="2889" spans="1:6" ht="15" customHeight="1">
      <c r="A2889" s="3">
        <v>43150</v>
      </c>
      <c r="B2889" s="336">
        <v>8500</v>
      </c>
      <c r="C2889" s="336">
        <v>8700</v>
      </c>
      <c r="D2889" s="337">
        <f t="shared" ref="D2889" si="698">AVERAGE(B2889:C2889)</f>
        <v>8600</v>
      </c>
    </row>
    <row r="2890" spans="1:6" ht="15" customHeight="1">
      <c r="A2890" s="3">
        <v>43151</v>
      </c>
      <c r="B2890" s="336">
        <v>8500</v>
      </c>
      <c r="C2890" s="336">
        <v>8700</v>
      </c>
      <c r="D2890" s="337">
        <f t="shared" ref="D2890:D2891" si="699">AVERAGE(B2890:C2890)</f>
        <v>8600</v>
      </c>
    </row>
    <row r="2891" spans="1:6" ht="15" customHeight="1">
      <c r="A2891" s="3">
        <v>43152</v>
      </c>
      <c r="B2891" s="336">
        <v>8500</v>
      </c>
      <c r="C2891" s="336">
        <v>8800</v>
      </c>
      <c r="D2891" s="337">
        <f t="shared" si="699"/>
        <v>8650</v>
      </c>
    </row>
    <row r="2892" spans="1:6" ht="15" customHeight="1">
      <c r="A2892" s="3">
        <v>43153</v>
      </c>
      <c r="B2892" s="336">
        <v>8500</v>
      </c>
      <c r="C2892" s="336">
        <v>8800</v>
      </c>
      <c r="D2892" s="337">
        <f t="shared" ref="D2892" si="700">AVERAGE(B2892:C2892)</f>
        <v>8650</v>
      </c>
    </row>
    <row r="2893" spans="1:6" ht="15" customHeight="1">
      <c r="A2893" s="3">
        <v>43154</v>
      </c>
      <c r="B2893" s="336">
        <v>8500</v>
      </c>
      <c r="C2893" s="336">
        <v>8800</v>
      </c>
      <c r="D2893" s="337">
        <f t="shared" ref="D2893" si="701">AVERAGE(B2893:C2893)</f>
        <v>8650</v>
      </c>
    </row>
    <row r="2894" spans="1:6" ht="15" customHeight="1">
      <c r="A2894" s="3">
        <v>43157</v>
      </c>
      <c r="B2894" s="336">
        <v>8500</v>
      </c>
      <c r="C2894" s="336">
        <v>8800</v>
      </c>
      <c r="D2894" s="337">
        <f t="shared" ref="D2894" si="702">AVERAGE(B2894:C2894)</f>
        <v>8650</v>
      </c>
    </row>
    <row r="2895" spans="1:6" ht="15" customHeight="1">
      <c r="A2895" s="3">
        <v>43158</v>
      </c>
      <c r="B2895" s="336">
        <v>8500</v>
      </c>
      <c r="C2895" s="336">
        <v>8800</v>
      </c>
      <c r="D2895" s="337">
        <f t="shared" ref="D2895" si="703">AVERAGE(B2895:C2895)</f>
        <v>8650</v>
      </c>
    </row>
    <row r="2896" spans="1:6" ht="15" customHeight="1" thickBot="1">
      <c r="A2896" s="11">
        <v>43159</v>
      </c>
      <c r="B2896" s="341">
        <v>8500</v>
      </c>
      <c r="C2896" s="341">
        <v>8800</v>
      </c>
      <c r="D2896" s="342">
        <f t="shared" ref="D2896" si="704">AVERAGE(B2896:C2896)</f>
        <v>8650</v>
      </c>
      <c r="E2896" s="360">
        <f>AVERAGE(D2877:D2896)</f>
        <v>8562.5</v>
      </c>
      <c r="F2896" s="360">
        <f>AVERAGE(D2855:D2896)</f>
        <v>8392.2619047619046</v>
      </c>
    </row>
    <row r="2897" spans="1:4" ht="15" customHeight="1">
      <c r="A2897" s="3">
        <v>43160</v>
      </c>
      <c r="B2897" s="363">
        <v>8500</v>
      </c>
      <c r="C2897" s="363">
        <v>8800</v>
      </c>
      <c r="D2897" s="408">
        <f t="shared" ref="D2897" si="705">AVERAGE(B2897:C2897)</f>
        <v>8650</v>
      </c>
    </row>
    <row r="2898" spans="1:4" ht="15" customHeight="1">
      <c r="A2898" s="3">
        <v>43161</v>
      </c>
      <c r="B2898" s="345">
        <v>8500</v>
      </c>
      <c r="C2898" s="345">
        <v>8800</v>
      </c>
      <c r="D2898" s="346">
        <f t="shared" ref="D2898:D2899" si="706">AVERAGE(B2898:C2898)</f>
        <v>8650</v>
      </c>
    </row>
    <row r="2899" spans="1:4" ht="15" customHeight="1">
      <c r="A2899" s="3">
        <v>43164</v>
      </c>
      <c r="B2899" s="336">
        <v>8650</v>
      </c>
      <c r="C2899" s="336">
        <v>8800</v>
      </c>
      <c r="D2899" s="337">
        <f t="shared" si="706"/>
        <v>8725</v>
      </c>
    </row>
    <row r="2900" spans="1:4" ht="15" customHeight="1">
      <c r="A2900" s="3">
        <v>43165</v>
      </c>
      <c r="B2900" s="336">
        <v>8650</v>
      </c>
      <c r="C2900" s="336">
        <v>8800</v>
      </c>
      <c r="D2900" s="337">
        <f t="shared" ref="D2900" si="707">AVERAGE(B2900:C2900)</f>
        <v>8725</v>
      </c>
    </row>
    <row r="2901" spans="1:4" ht="15" customHeight="1">
      <c r="A2901" s="3">
        <v>43166</v>
      </c>
      <c r="B2901" s="336">
        <v>8650</v>
      </c>
      <c r="C2901" s="336">
        <v>8800</v>
      </c>
      <c r="D2901" s="337">
        <f t="shared" ref="D2901" si="708">AVERAGE(B2901:C2901)</f>
        <v>8725</v>
      </c>
    </row>
    <row r="2902" spans="1:4" ht="15" customHeight="1">
      <c r="A2902" s="3">
        <v>43167</v>
      </c>
      <c r="B2902" s="336">
        <v>8650</v>
      </c>
      <c r="C2902" s="336">
        <v>8800</v>
      </c>
      <c r="D2902" s="337">
        <f t="shared" ref="D2902" si="709">AVERAGE(B2902:C2902)</f>
        <v>8725</v>
      </c>
    </row>
    <row r="2903" spans="1:4" ht="15" customHeight="1">
      <c r="A2903" s="3">
        <v>43168</v>
      </c>
      <c r="B2903" s="336">
        <v>8650</v>
      </c>
      <c r="C2903" s="336">
        <v>8800</v>
      </c>
      <c r="D2903" s="337">
        <f t="shared" ref="D2903" si="710">AVERAGE(B2903:C2903)</f>
        <v>8725</v>
      </c>
    </row>
    <row r="2904" spans="1:4" ht="15" customHeight="1">
      <c r="A2904" s="3">
        <v>43171</v>
      </c>
      <c r="B2904" s="336">
        <v>8650</v>
      </c>
      <c r="C2904" s="336">
        <v>8800</v>
      </c>
      <c r="D2904" s="337">
        <f t="shared" ref="D2904" si="711">AVERAGE(B2904:C2904)</f>
        <v>8725</v>
      </c>
    </row>
    <row r="2905" spans="1:4" ht="15" customHeight="1">
      <c r="A2905" s="3">
        <v>43172</v>
      </c>
      <c r="B2905" s="336">
        <v>8650</v>
      </c>
      <c r="C2905" s="336">
        <v>8800</v>
      </c>
      <c r="D2905" s="337">
        <f t="shared" ref="D2905" si="712">AVERAGE(B2905:C2905)</f>
        <v>8725</v>
      </c>
    </row>
    <row r="2906" spans="1:4" ht="15" customHeight="1">
      <c r="A2906" s="3">
        <v>43173</v>
      </c>
      <c r="B2906" s="336">
        <v>8650</v>
      </c>
      <c r="C2906" s="336">
        <v>8800</v>
      </c>
      <c r="D2906" s="337">
        <f t="shared" ref="D2906" si="713">AVERAGE(B2906:C2906)</f>
        <v>8725</v>
      </c>
    </row>
    <row r="2907" spans="1:4" ht="15" customHeight="1">
      <c r="A2907" s="3">
        <v>43174</v>
      </c>
      <c r="B2907" s="336">
        <v>8650</v>
      </c>
      <c r="C2907" s="336">
        <v>8800</v>
      </c>
      <c r="D2907" s="337">
        <f t="shared" ref="D2907" si="714">AVERAGE(B2907:C2907)</f>
        <v>8725</v>
      </c>
    </row>
    <row r="2908" spans="1:4" ht="15" customHeight="1">
      <c r="A2908" s="3">
        <v>43175</v>
      </c>
      <c r="B2908" s="336">
        <v>8650</v>
      </c>
      <c r="C2908" s="336">
        <v>8800</v>
      </c>
      <c r="D2908" s="337">
        <f t="shared" ref="D2908" si="715">AVERAGE(B2908:C2908)</f>
        <v>8725</v>
      </c>
    </row>
    <row r="2909" spans="1:4" ht="15" customHeight="1">
      <c r="A2909" s="3">
        <v>43178</v>
      </c>
      <c r="B2909" s="336">
        <v>8650</v>
      </c>
      <c r="C2909" s="336">
        <v>8800</v>
      </c>
      <c r="D2909" s="337">
        <f t="shared" ref="D2909" si="716">AVERAGE(B2909:C2909)</f>
        <v>8725</v>
      </c>
    </row>
    <row r="2910" spans="1:4" ht="15" customHeight="1">
      <c r="A2910" s="3">
        <v>43179</v>
      </c>
      <c r="B2910" s="336">
        <v>8650</v>
      </c>
      <c r="C2910" s="336">
        <v>8800</v>
      </c>
      <c r="D2910" s="337">
        <f t="shared" ref="D2910" si="717">AVERAGE(B2910:C2910)</f>
        <v>8725</v>
      </c>
    </row>
    <row r="2911" spans="1:4" ht="15" customHeight="1">
      <c r="A2911" s="3">
        <v>43180</v>
      </c>
      <c r="B2911" s="336">
        <v>8650</v>
      </c>
      <c r="C2911" s="336">
        <v>8800</v>
      </c>
      <c r="D2911" s="337">
        <f t="shared" ref="D2911" si="718">AVERAGE(B2911:C2911)</f>
        <v>8725</v>
      </c>
    </row>
    <row r="2912" spans="1:4" ht="15" customHeight="1">
      <c r="A2912" s="3">
        <v>43181</v>
      </c>
      <c r="B2912" s="336">
        <v>8650</v>
      </c>
      <c r="C2912" s="336">
        <v>8800</v>
      </c>
      <c r="D2912" s="337">
        <f t="shared" ref="D2912" si="719">AVERAGE(B2912:C2912)</f>
        <v>8725</v>
      </c>
    </row>
    <row r="2913" spans="1:6" ht="15" customHeight="1">
      <c r="A2913" s="3">
        <v>43182</v>
      </c>
      <c r="B2913" s="336">
        <v>8650</v>
      </c>
      <c r="C2913" s="336">
        <v>8800</v>
      </c>
      <c r="D2913" s="337">
        <f t="shared" ref="D2913" si="720">AVERAGE(B2913:C2913)</f>
        <v>8725</v>
      </c>
    </row>
    <row r="2914" spans="1:6" ht="15" customHeight="1">
      <c r="A2914" s="3">
        <v>43185</v>
      </c>
      <c r="B2914" s="336">
        <v>8650</v>
      </c>
      <c r="C2914" s="336">
        <v>8800</v>
      </c>
      <c r="D2914" s="337">
        <f t="shared" ref="D2914" si="721">AVERAGE(B2914:C2914)</f>
        <v>8725</v>
      </c>
    </row>
    <row r="2915" spans="1:6" ht="15" customHeight="1">
      <c r="A2915" s="3">
        <v>43186</v>
      </c>
      <c r="B2915" s="336">
        <v>8650</v>
      </c>
      <c r="C2915" s="336">
        <v>8800</v>
      </c>
      <c r="D2915" s="337">
        <f t="shared" ref="D2915:D2916" si="722">AVERAGE(B2915:C2915)</f>
        <v>8725</v>
      </c>
    </row>
    <row r="2916" spans="1:6" ht="15" customHeight="1">
      <c r="A2916" s="3">
        <v>43187</v>
      </c>
      <c r="B2916" s="336">
        <v>8500</v>
      </c>
      <c r="C2916" s="336">
        <v>8750</v>
      </c>
      <c r="D2916" s="337">
        <f t="shared" si="722"/>
        <v>8625</v>
      </c>
    </row>
    <row r="2917" spans="1:6" ht="15" customHeight="1">
      <c r="A2917" s="3">
        <v>43188</v>
      </c>
      <c r="B2917" s="336">
        <v>8500</v>
      </c>
      <c r="C2917" s="336">
        <v>8750</v>
      </c>
      <c r="D2917" s="337">
        <f t="shared" ref="D2917" si="723">AVERAGE(B2917:C2917)</f>
        <v>8625</v>
      </c>
    </row>
    <row r="2918" spans="1:6" ht="15" customHeight="1" thickBot="1">
      <c r="A2918" s="11">
        <v>43189</v>
      </c>
      <c r="B2918" s="1373" t="s">
        <v>92</v>
      </c>
      <c r="C2918" s="1373"/>
      <c r="D2918" s="1373"/>
      <c r="E2918" s="360">
        <f>AVERAGE(D2897:D2917)</f>
        <v>8708.3333333333339</v>
      </c>
      <c r="F2918" s="360">
        <f>AVERAGE(D2855:D2917)</f>
        <v>8497.6190476190477</v>
      </c>
    </row>
    <row r="2919" spans="1:6" ht="15" customHeight="1">
      <c r="A2919" s="29">
        <v>43192</v>
      </c>
      <c r="B2919" s="1361" t="s">
        <v>92</v>
      </c>
      <c r="C2919" s="1361"/>
      <c r="D2919" s="1361"/>
      <c r="E2919" s="364"/>
      <c r="F2919" s="364"/>
    </row>
    <row r="2920" spans="1:6" ht="15" customHeight="1">
      <c r="A2920" s="3">
        <v>43193</v>
      </c>
      <c r="B2920" s="345">
        <v>8500</v>
      </c>
      <c r="C2920" s="345">
        <v>8750</v>
      </c>
      <c r="D2920" s="346">
        <f t="shared" ref="D2920:D2921" si="724">AVERAGE(B2920:C2920)</f>
        <v>8625</v>
      </c>
    </row>
    <row r="2921" spans="1:6" ht="15" customHeight="1">
      <c r="A2921" s="3">
        <v>43194</v>
      </c>
      <c r="B2921" s="336">
        <v>8500</v>
      </c>
      <c r="C2921" s="336">
        <v>8600</v>
      </c>
      <c r="D2921" s="346">
        <f t="shared" si="724"/>
        <v>8550</v>
      </c>
    </row>
    <row r="2922" spans="1:6" ht="15" customHeight="1">
      <c r="A2922" s="3">
        <v>43195</v>
      </c>
      <c r="B2922" s="336">
        <v>8500</v>
      </c>
      <c r="C2922" s="336">
        <v>8600</v>
      </c>
      <c r="D2922" s="346">
        <f t="shared" ref="D2922" si="725">AVERAGE(B2922:C2922)</f>
        <v>8550</v>
      </c>
    </row>
    <row r="2923" spans="1:6" ht="15" customHeight="1">
      <c r="A2923" s="3">
        <v>43196</v>
      </c>
      <c r="B2923" s="336">
        <v>8500</v>
      </c>
      <c r="C2923" s="336">
        <v>8600</v>
      </c>
      <c r="D2923" s="346">
        <f t="shared" ref="D2923" si="726">AVERAGE(B2923:C2923)</f>
        <v>8550</v>
      </c>
    </row>
    <row r="2924" spans="1:6" ht="15" customHeight="1">
      <c r="A2924" s="3">
        <v>43199</v>
      </c>
      <c r="B2924" s="336">
        <v>8500</v>
      </c>
      <c r="C2924" s="336">
        <v>8600</v>
      </c>
      <c r="D2924" s="346">
        <f t="shared" ref="D2924" si="727">AVERAGE(B2924:C2924)</f>
        <v>8550</v>
      </c>
    </row>
    <row r="2925" spans="1:6" ht="15" customHeight="1">
      <c r="A2925" s="3">
        <v>43200</v>
      </c>
      <c r="B2925" s="336">
        <v>8500</v>
      </c>
      <c r="C2925" s="336">
        <v>8600</v>
      </c>
      <c r="D2925" s="346">
        <f t="shared" ref="D2925:D2926" si="728">AVERAGE(B2925:C2925)</f>
        <v>8550</v>
      </c>
    </row>
    <row r="2926" spans="1:6" ht="15" customHeight="1">
      <c r="A2926" s="3">
        <v>43201</v>
      </c>
      <c r="B2926" s="336">
        <v>8450</v>
      </c>
      <c r="C2926" s="336">
        <v>8550</v>
      </c>
      <c r="D2926" s="337">
        <f t="shared" si="728"/>
        <v>8500</v>
      </c>
    </row>
    <row r="2927" spans="1:6" ht="15" customHeight="1">
      <c r="A2927" s="3">
        <v>43202</v>
      </c>
      <c r="B2927" s="336">
        <v>8450</v>
      </c>
      <c r="C2927" s="336">
        <v>8550</v>
      </c>
      <c r="D2927" s="337">
        <f t="shared" ref="D2927" si="729">AVERAGE(B2927:C2927)</f>
        <v>8500</v>
      </c>
    </row>
    <row r="2928" spans="1:6" ht="15" customHeight="1">
      <c r="A2928" s="3">
        <v>43203</v>
      </c>
      <c r="B2928" s="336">
        <v>8450</v>
      </c>
      <c r="C2928" s="336">
        <v>8550</v>
      </c>
      <c r="D2928" s="337">
        <f t="shared" ref="D2928" si="730">AVERAGE(B2928:C2928)</f>
        <v>8500</v>
      </c>
    </row>
    <row r="2929" spans="1:6" ht="15" customHeight="1">
      <c r="A2929" s="3">
        <v>43206</v>
      </c>
      <c r="B2929" s="336">
        <v>8450</v>
      </c>
      <c r="C2929" s="336">
        <v>8550</v>
      </c>
      <c r="D2929" s="337">
        <f t="shared" ref="D2929" si="731">AVERAGE(B2929:C2929)</f>
        <v>8500</v>
      </c>
    </row>
    <row r="2930" spans="1:6" ht="15" customHeight="1">
      <c r="A2930" s="3">
        <v>43207</v>
      </c>
      <c r="B2930" s="336">
        <v>8450</v>
      </c>
      <c r="C2930" s="336">
        <v>8550</v>
      </c>
      <c r="D2930" s="337">
        <f t="shared" ref="D2930:D2931" si="732">AVERAGE(B2930:C2930)</f>
        <v>8500</v>
      </c>
    </row>
    <row r="2931" spans="1:6" ht="15" customHeight="1">
      <c r="A2931" s="3">
        <v>43208</v>
      </c>
      <c r="B2931" s="336">
        <v>8350</v>
      </c>
      <c r="C2931" s="336">
        <v>8450</v>
      </c>
      <c r="D2931" s="337">
        <f t="shared" si="732"/>
        <v>8400</v>
      </c>
    </row>
    <row r="2932" spans="1:6" ht="15" customHeight="1">
      <c r="A2932" s="3">
        <v>43209</v>
      </c>
      <c r="B2932" s="336">
        <v>8350</v>
      </c>
      <c r="C2932" s="336">
        <v>8450</v>
      </c>
      <c r="D2932" s="337">
        <f t="shared" ref="D2932" si="733">AVERAGE(B2932:C2932)</f>
        <v>8400</v>
      </c>
    </row>
    <row r="2933" spans="1:6" ht="15" customHeight="1">
      <c r="A2933" s="3">
        <v>43210</v>
      </c>
      <c r="B2933" s="336">
        <v>8350</v>
      </c>
      <c r="C2933" s="336">
        <v>8450</v>
      </c>
      <c r="D2933" s="337">
        <f t="shared" ref="D2933:D2934" si="734">AVERAGE(B2933:C2933)</f>
        <v>8400</v>
      </c>
    </row>
    <row r="2934" spans="1:6" ht="15" customHeight="1">
      <c r="A2934" s="3">
        <v>43213</v>
      </c>
      <c r="B2934" s="336">
        <v>8200</v>
      </c>
      <c r="C2934" s="336">
        <v>8350</v>
      </c>
      <c r="D2934" s="337">
        <f t="shared" si="734"/>
        <v>8275</v>
      </c>
    </row>
    <row r="2935" spans="1:6" ht="15" customHeight="1">
      <c r="A2935" s="3">
        <v>43214</v>
      </c>
      <c r="B2935" s="336">
        <v>8200</v>
      </c>
      <c r="C2935" s="336">
        <v>8350</v>
      </c>
      <c r="D2935" s="337">
        <f t="shared" ref="D2935:D2936" si="735">AVERAGE(B2935:C2935)</f>
        <v>8275</v>
      </c>
    </row>
    <row r="2936" spans="1:6" ht="15" customHeight="1">
      <c r="A2936" s="3">
        <v>43215</v>
      </c>
      <c r="B2936" s="336">
        <v>8150</v>
      </c>
      <c r="C2936" s="336">
        <v>8300</v>
      </c>
      <c r="D2936" s="337">
        <f t="shared" si="735"/>
        <v>8225</v>
      </c>
    </row>
    <row r="2937" spans="1:6" ht="15" customHeight="1">
      <c r="A2937" s="3">
        <v>43216</v>
      </c>
      <c r="B2937" s="336">
        <v>8150</v>
      </c>
      <c r="C2937" s="336">
        <v>8300</v>
      </c>
      <c r="D2937" s="337">
        <f t="shared" ref="D2937" si="736">AVERAGE(B2937:C2937)</f>
        <v>8225</v>
      </c>
    </row>
    <row r="2938" spans="1:6" ht="15" customHeight="1">
      <c r="A2938" s="3">
        <v>43217</v>
      </c>
      <c r="B2938" s="336">
        <v>8150</v>
      </c>
      <c r="C2938" s="336">
        <v>8300</v>
      </c>
      <c r="D2938" s="337">
        <f t="shared" ref="D2938" si="737">AVERAGE(B2938:C2938)</f>
        <v>8225</v>
      </c>
    </row>
    <row r="2939" spans="1:6" ht="15" customHeight="1" thickBot="1">
      <c r="A2939" s="11">
        <v>43220</v>
      </c>
      <c r="B2939" s="341">
        <v>8150</v>
      </c>
      <c r="C2939" s="341">
        <v>8300</v>
      </c>
      <c r="D2939" s="342">
        <f t="shared" ref="D2939:D2941" si="738">AVERAGE(B2939:C2939)</f>
        <v>8225</v>
      </c>
      <c r="E2939" s="360">
        <f>AVERAGE(D2920:D2939)</f>
        <v>8426.25</v>
      </c>
      <c r="F2939" s="360">
        <f>AVERAGE(D2855:D2939)</f>
        <v>8480.4216867469877</v>
      </c>
    </row>
    <row r="2940" spans="1:6" ht="15" customHeight="1">
      <c r="A2940" s="3">
        <v>43221</v>
      </c>
      <c r="B2940" s="336">
        <v>8150</v>
      </c>
      <c r="C2940" s="336">
        <v>8300</v>
      </c>
      <c r="D2940" s="337">
        <f t="shared" si="738"/>
        <v>8225</v>
      </c>
    </row>
    <row r="2941" spans="1:6" ht="15" customHeight="1">
      <c r="A2941" s="3">
        <v>43222</v>
      </c>
      <c r="B2941" s="336">
        <v>8150</v>
      </c>
      <c r="C2941" s="336">
        <v>8300</v>
      </c>
      <c r="D2941" s="337">
        <f t="shared" si="738"/>
        <v>8225</v>
      </c>
    </row>
    <row r="2942" spans="1:6" ht="15" customHeight="1">
      <c r="A2942" s="3">
        <v>43223</v>
      </c>
      <c r="B2942" s="336">
        <v>8150</v>
      </c>
      <c r="C2942" s="336">
        <v>8300</v>
      </c>
      <c r="D2942" s="337">
        <f t="shared" ref="D2942" si="739">AVERAGE(B2942:C2942)</f>
        <v>8225</v>
      </c>
    </row>
    <row r="2943" spans="1:6" ht="15" customHeight="1">
      <c r="A2943" s="3">
        <v>43224</v>
      </c>
      <c r="B2943" s="336">
        <v>8150</v>
      </c>
      <c r="C2943" s="336">
        <v>8300</v>
      </c>
      <c r="D2943" s="337">
        <f t="shared" ref="D2943" si="740">AVERAGE(B2943:C2943)</f>
        <v>8225</v>
      </c>
    </row>
    <row r="2944" spans="1:6" ht="15" customHeight="1">
      <c r="A2944" s="3">
        <v>43227</v>
      </c>
      <c r="B2944" s="1333" t="s">
        <v>92</v>
      </c>
      <c r="C2944" s="1333"/>
      <c r="D2944" s="1333"/>
    </row>
    <row r="2945" spans="1:4" ht="15" customHeight="1">
      <c r="A2945" s="3">
        <v>43228</v>
      </c>
      <c r="B2945" s="336">
        <v>8000</v>
      </c>
      <c r="C2945" s="336">
        <v>8300</v>
      </c>
      <c r="D2945" s="337">
        <f t="shared" ref="D2945" si="741">AVERAGE(B2945:C2945)</f>
        <v>8150</v>
      </c>
    </row>
    <row r="2946" spans="1:4" ht="15" customHeight="1">
      <c r="A2946" s="3">
        <v>43229</v>
      </c>
      <c r="B2946" s="336">
        <v>8000</v>
      </c>
      <c r="C2946" s="336">
        <v>8300</v>
      </c>
      <c r="D2946" s="337">
        <f t="shared" ref="D2946" si="742">AVERAGE(B2946:C2946)</f>
        <v>8150</v>
      </c>
    </row>
    <row r="2947" spans="1:4" ht="15" customHeight="1">
      <c r="A2947" s="3">
        <v>43230</v>
      </c>
      <c r="B2947" s="336">
        <v>8000</v>
      </c>
      <c r="C2947" s="336">
        <v>8300</v>
      </c>
      <c r="D2947" s="337">
        <f t="shared" ref="D2947:D2948" si="743">AVERAGE(B2947:C2947)</f>
        <v>8150</v>
      </c>
    </row>
    <row r="2948" spans="1:4" ht="15" customHeight="1">
      <c r="A2948" s="3">
        <v>43231</v>
      </c>
      <c r="B2948" s="336">
        <v>8050</v>
      </c>
      <c r="C2948" s="336">
        <v>8350</v>
      </c>
      <c r="D2948" s="337">
        <f t="shared" si="743"/>
        <v>8200</v>
      </c>
    </row>
    <row r="2949" spans="1:4" ht="15" customHeight="1">
      <c r="A2949" s="3">
        <v>43234</v>
      </c>
      <c r="B2949" s="336">
        <v>8050</v>
      </c>
      <c r="C2949" s="336">
        <v>8350</v>
      </c>
      <c r="D2949" s="337">
        <f t="shared" ref="D2949" si="744">AVERAGE(B2949:C2949)</f>
        <v>8200</v>
      </c>
    </row>
    <row r="2950" spans="1:4" ht="15" customHeight="1">
      <c r="A2950" s="3">
        <v>43235</v>
      </c>
      <c r="B2950" s="336">
        <v>8050</v>
      </c>
      <c r="C2950" s="336">
        <v>8350</v>
      </c>
      <c r="D2950" s="337">
        <f t="shared" ref="D2950" si="745">AVERAGE(B2950:C2950)</f>
        <v>8200</v>
      </c>
    </row>
    <row r="2951" spans="1:4" ht="15" customHeight="1">
      <c r="A2951" s="3">
        <v>43236</v>
      </c>
      <c r="B2951" s="336">
        <v>8050</v>
      </c>
      <c r="C2951" s="336">
        <v>8350</v>
      </c>
      <c r="D2951" s="337">
        <f t="shared" ref="D2951" si="746">AVERAGE(B2951:C2951)</f>
        <v>8200</v>
      </c>
    </row>
    <row r="2952" spans="1:4" ht="15" customHeight="1">
      <c r="A2952" s="3">
        <v>43237</v>
      </c>
      <c r="B2952" s="336">
        <v>8050</v>
      </c>
      <c r="C2952" s="336">
        <v>8350</v>
      </c>
      <c r="D2952" s="337">
        <f t="shared" ref="D2952" si="747">AVERAGE(B2952:C2952)</f>
        <v>8200</v>
      </c>
    </row>
    <row r="2953" spans="1:4" ht="15" customHeight="1">
      <c r="A2953" s="3">
        <v>43238</v>
      </c>
      <c r="B2953" s="336">
        <v>8050</v>
      </c>
      <c r="C2953" s="336">
        <v>8350</v>
      </c>
      <c r="D2953" s="337">
        <f t="shared" ref="D2953" si="748">AVERAGE(B2953:C2953)</f>
        <v>8200</v>
      </c>
    </row>
    <row r="2954" spans="1:4" ht="15" customHeight="1">
      <c r="A2954" s="3">
        <v>43241</v>
      </c>
      <c r="B2954" s="336">
        <v>8050</v>
      </c>
      <c r="C2954" s="336">
        <v>8350</v>
      </c>
      <c r="D2954" s="337">
        <f t="shared" ref="D2954:D2955" si="749">AVERAGE(B2954:C2954)</f>
        <v>8200</v>
      </c>
    </row>
    <row r="2955" spans="1:4" ht="15" customHeight="1">
      <c r="A2955" s="3">
        <v>43242</v>
      </c>
      <c r="B2955" s="336">
        <v>8100</v>
      </c>
      <c r="C2955" s="336">
        <v>8400</v>
      </c>
      <c r="D2955" s="337">
        <f t="shared" si="749"/>
        <v>8250</v>
      </c>
    </row>
    <row r="2956" spans="1:4" ht="15" customHeight="1">
      <c r="A2956" s="3">
        <v>43243</v>
      </c>
      <c r="B2956" s="336">
        <v>8100</v>
      </c>
      <c r="C2956" s="336">
        <v>8400</v>
      </c>
      <c r="D2956" s="337">
        <f t="shared" ref="D2956" si="750">AVERAGE(B2956:C2956)</f>
        <v>8250</v>
      </c>
    </row>
    <row r="2957" spans="1:4" ht="15" customHeight="1">
      <c r="A2957" s="3">
        <v>43244</v>
      </c>
      <c r="B2957" s="336">
        <v>8100</v>
      </c>
      <c r="C2957" s="336">
        <v>8400</v>
      </c>
      <c r="D2957" s="337">
        <f t="shared" ref="D2957:D2958" si="751">AVERAGE(B2957:C2957)</f>
        <v>8250</v>
      </c>
    </row>
    <row r="2958" spans="1:4" ht="15" customHeight="1">
      <c r="A2958" s="3">
        <v>43245</v>
      </c>
      <c r="B2958" s="336">
        <v>8200</v>
      </c>
      <c r="C2958" s="336">
        <v>8500</v>
      </c>
      <c r="D2958" s="337">
        <f t="shared" si="751"/>
        <v>8350</v>
      </c>
    </row>
    <row r="2959" spans="1:4" ht="15" customHeight="1">
      <c r="A2959" s="3">
        <v>43248</v>
      </c>
      <c r="B2959" s="1333" t="s">
        <v>92</v>
      </c>
      <c r="C2959" s="1333"/>
      <c r="D2959" s="1333"/>
    </row>
    <row r="2960" spans="1:4" ht="15" customHeight="1">
      <c r="A2960" s="3">
        <v>43249</v>
      </c>
      <c r="B2960" s="336">
        <v>8200</v>
      </c>
      <c r="C2960" s="336">
        <v>8500</v>
      </c>
      <c r="D2960" s="337">
        <f t="shared" ref="D2960" si="752">AVERAGE(B2960:C2960)</f>
        <v>8350</v>
      </c>
    </row>
    <row r="2961" spans="1:6" ht="15" customHeight="1">
      <c r="A2961" s="3">
        <v>43250</v>
      </c>
      <c r="B2961" s="336">
        <v>8200</v>
      </c>
      <c r="C2961" s="336">
        <v>8500</v>
      </c>
      <c r="D2961" s="337">
        <f t="shared" ref="D2961" si="753">AVERAGE(B2961:C2961)</f>
        <v>8350</v>
      </c>
    </row>
    <row r="2962" spans="1:6" ht="15" customHeight="1" thickBot="1">
      <c r="A2962" s="11">
        <v>43251</v>
      </c>
      <c r="B2962" s="341">
        <v>8200</v>
      </c>
      <c r="C2962" s="341">
        <v>8500</v>
      </c>
      <c r="D2962" s="342">
        <f t="shared" ref="D2962" si="754">AVERAGE(B2962:C2962)</f>
        <v>8350</v>
      </c>
      <c r="E2962" s="360">
        <f>AVERAGE(D2940:D2962)</f>
        <v>8233.3333333333339</v>
      </c>
      <c r="F2962" s="360">
        <f>AVERAGE(D2855:D2962)</f>
        <v>8430.5288461538457</v>
      </c>
    </row>
    <row r="2963" spans="1:6" ht="15" customHeight="1">
      <c r="A2963" s="3">
        <v>43252</v>
      </c>
      <c r="B2963" s="336">
        <v>8200</v>
      </c>
      <c r="C2963" s="336">
        <v>8500</v>
      </c>
      <c r="D2963" s="337">
        <f t="shared" ref="D2963:D2964" si="755">AVERAGE(B2963:C2963)</f>
        <v>8350</v>
      </c>
    </row>
    <row r="2964" spans="1:6" ht="15" customHeight="1">
      <c r="A2964" s="3">
        <v>43255</v>
      </c>
      <c r="B2964" s="336">
        <v>8200</v>
      </c>
      <c r="C2964" s="336">
        <v>8500</v>
      </c>
      <c r="D2964" s="337">
        <f t="shared" si="755"/>
        <v>8350</v>
      </c>
    </row>
    <row r="2965" spans="1:6" ht="15" customHeight="1">
      <c r="A2965" s="3">
        <v>43256</v>
      </c>
      <c r="B2965" s="336">
        <v>8200</v>
      </c>
      <c r="C2965" s="336">
        <v>8500</v>
      </c>
      <c r="D2965" s="337">
        <f t="shared" ref="D2965" si="756">AVERAGE(B2965:C2965)</f>
        <v>8350</v>
      </c>
    </row>
    <row r="2966" spans="1:6" ht="15" customHeight="1">
      <c r="A2966" s="3">
        <v>43257</v>
      </c>
      <c r="B2966" s="336">
        <v>8200</v>
      </c>
      <c r="C2966" s="336">
        <v>8500</v>
      </c>
      <c r="D2966" s="337">
        <f t="shared" ref="D2966" si="757">AVERAGE(B2966:C2966)</f>
        <v>8350</v>
      </c>
    </row>
    <row r="2967" spans="1:6" ht="15" customHeight="1">
      <c r="A2967" s="3">
        <v>43258</v>
      </c>
      <c r="B2967" s="336">
        <v>8200</v>
      </c>
      <c r="C2967" s="336">
        <v>8500</v>
      </c>
      <c r="D2967" s="337">
        <f t="shared" ref="D2967:D2968" si="758">AVERAGE(B2967:C2967)</f>
        <v>8350</v>
      </c>
    </row>
    <row r="2968" spans="1:6" ht="15" customHeight="1">
      <c r="A2968" s="3">
        <v>43259</v>
      </c>
      <c r="B2968" s="336">
        <v>8200</v>
      </c>
      <c r="C2968" s="336">
        <v>8450</v>
      </c>
      <c r="D2968" s="337">
        <f t="shared" si="758"/>
        <v>8325</v>
      </c>
    </row>
    <row r="2969" spans="1:6" ht="15" customHeight="1">
      <c r="A2969" s="3">
        <v>43262</v>
      </c>
      <c r="B2969" s="336">
        <v>8200</v>
      </c>
      <c r="C2969" s="336">
        <v>8450</v>
      </c>
      <c r="D2969" s="337">
        <f t="shared" ref="D2969" si="759">AVERAGE(B2969:C2969)</f>
        <v>8325</v>
      </c>
    </row>
    <row r="2970" spans="1:6" ht="15" customHeight="1">
      <c r="A2970" s="3">
        <v>43263</v>
      </c>
      <c r="B2970" s="336">
        <v>8200</v>
      </c>
      <c r="C2970" s="336">
        <v>8450</v>
      </c>
      <c r="D2970" s="337">
        <f t="shared" ref="D2970:D2971" si="760">AVERAGE(B2970:C2970)</f>
        <v>8325</v>
      </c>
    </row>
    <row r="2971" spans="1:6" ht="15" customHeight="1">
      <c r="A2971" s="3">
        <v>43264</v>
      </c>
      <c r="B2971" s="336">
        <v>8150</v>
      </c>
      <c r="C2971" s="336">
        <v>8400</v>
      </c>
      <c r="D2971" s="337">
        <f t="shared" si="760"/>
        <v>8275</v>
      </c>
    </row>
    <row r="2972" spans="1:6" ht="15" customHeight="1">
      <c r="A2972" s="3">
        <v>43265</v>
      </c>
      <c r="B2972" s="336">
        <v>8150</v>
      </c>
      <c r="C2972" s="336">
        <v>8400</v>
      </c>
      <c r="D2972" s="337">
        <f t="shared" ref="D2972:D2973" si="761">AVERAGE(B2972:C2972)</f>
        <v>8275</v>
      </c>
    </row>
    <row r="2973" spans="1:6" ht="15" customHeight="1">
      <c r="A2973" s="3">
        <v>43266</v>
      </c>
      <c r="B2973" s="336">
        <v>8050</v>
      </c>
      <c r="C2973" s="336">
        <v>8300</v>
      </c>
      <c r="D2973" s="337">
        <f t="shared" si="761"/>
        <v>8175</v>
      </c>
    </row>
    <row r="2974" spans="1:6" ht="15" customHeight="1">
      <c r="A2974" s="3">
        <v>43269</v>
      </c>
      <c r="B2974" s="336">
        <v>8050</v>
      </c>
      <c r="C2974" s="336">
        <v>8300</v>
      </c>
      <c r="D2974" s="337">
        <f t="shared" ref="D2974" si="762">AVERAGE(B2974:C2974)</f>
        <v>8175</v>
      </c>
    </row>
    <row r="2975" spans="1:6" ht="15" customHeight="1">
      <c r="A2975" s="3">
        <v>43270</v>
      </c>
      <c r="B2975" s="336">
        <v>8050</v>
      </c>
      <c r="C2975" s="336">
        <v>8300</v>
      </c>
      <c r="D2975" s="337">
        <f t="shared" ref="D2975" si="763">AVERAGE(B2975:C2975)</f>
        <v>8175</v>
      </c>
    </row>
    <row r="2976" spans="1:6" ht="15" customHeight="1">
      <c r="A2976" s="3">
        <v>43271</v>
      </c>
      <c r="B2976" s="336">
        <v>8050</v>
      </c>
      <c r="C2976" s="336">
        <v>8300</v>
      </c>
      <c r="D2976" s="337">
        <f t="shared" ref="D2976" si="764">AVERAGE(B2976:C2976)</f>
        <v>8175</v>
      </c>
    </row>
    <row r="2977" spans="1:7" ht="15" customHeight="1">
      <c r="A2977" s="3">
        <v>43272</v>
      </c>
      <c r="B2977" s="336">
        <v>8050</v>
      </c>
      <c r="C2977" s="336">
        <v>8300</v>
      </c>
      <c r="D2977" s="337">
        <f t="shared" ref="D2977:D2978" si="765">AVERAGE(B2977:C2977)</f>
        <v>8175</v>
      </c>
    </row>
    <row r="2978" spans="1:7" ht="15" customHeight="1">
      <c r="A2978" s="3">
        <v>43273</v>
      </c>
      <c r="B2978" s="336">
        <v>8000</v>
      </c>
      <c r="C2978" s="336">
        <v>8250</v>
      </c>
      <c r="D2978" s="337">
        <f t="shared" si="765"/>
        <v>8125</v>
      </c>
    </row>
    <row r="2979" spans="1:7" ht="15" customHeight="1">
      <c r="A2979" s="3">
        <v>43276</v>
      </c>
      <c r="B2979" s="336">
        <v>8000</v>
      </c>
      <c r="C2979" s="336">
        <v>8250</v>
      </c>
      <c r="D2979" s="337">
        <f t="shared" ref="D2979:D2985" si="766">AVERAGE(B2979:C2979)</f>
        <v>8125</v>
      </c>
    </row>
    <row r="2980" spans="1:7" ht="15" customHeight="1">
      <c r="A2980" s="3">
        <v>43277</v>
      </c>
      <c r="B2980" s="336">
        <v>8000</v>
      </c>
      <c r="C2980" s="336">
        <v>8250</v>
      </c>
      <c r="D2980" s="337">
        <f t="shared" si="766"/>
        <v>8125</v>
      </c>
    </row>
    <row r="2981" spans="1:7" ht="15" customHeight="1">
      <c r="A2981" s="3">
        <v>43278</v>
      </c>
      <c r="B2981" s="336">
        <v>8000</v>
      </c>
      <c r="C2981" s="336">
        <v>8250</v>
      </c>
      <c r="D2981" s="337">
        <f t="shared" si="766"/>
        <v>8125</v>
      </c>
    </row>
    <row r="2982" spans="1:7" ht="15" customHeight="1">
      <c r="A2982" s="3">
        <v>43279</v>
      </c>
      <c r="B2982" s="336">
        <v>8000</v>
      </c>
      <c r="C2982" s="336">
        <v>8250</v>
      </c>
      <c r="D2982" s="337">
        <f t="shared" si="766"/>
        <v>8125</v>
      </c>
    </row>
    <row r="2983" spans="1:7" ht="15" customHeight="1" thickBot="1">
      <c r="A2983" s="11">
        <v>43280</v>
      </c>
      <c r="B2983" s="341">
        <v>7900</v>
      </c>
      <c r="C2983" s="341">
        <v>8150</v>
      </c>
      <c r="D2983" s="342">
        <f t="shared" si="766"/>
        <v>8025</v>
      </c>
      <c r="E2983" s="360">
        <f>AVERAGE($D$2963:D2983)</f>
        <v>8228.5714285714294</v>
      </c>
      <c r="F2983" s="360">
        <f>AVERAGE($D$2855:D2983)</f>
        <v>8396.6</v>
      </c>
    </row>
    <row r="2984" spans="1:7" ht="15" customHeight="1">
      <c r="A2984" s="3">
        <v>43283</v>
      </c>
      <c r="B2984" s="336">
        <v>7900</v>
      </c>
      <c r="C2984" s="336">
        <v>8150</v>
      </c>
      <c r="D2984" s="337">
        <f t="shared" si="766"/>
        <v>8025</v>
      </c>
    </row>
    <row r="2985" spans="1:7" ht="15" customHeight="1">
      <c r="A2985" s="3">
        <v>43284</v>
      </c>
      <c r="B2985" s="336">
        <v>7900</v>
      </c>
      <c r="C2985" s="336">
        <v>8150</v>
      </c>
      <c r="D2985" s="337">
        <f t="shared" si="766"/>
        <v>8025</v>
      </c>
    </row>
    <row r="2986" spans="1:7" ht="15" customHeight="1">
      <c r="A2986" s="3">
        <v>43285</v>
      </c>
      <c r="B2986" s="336">
        <v>7900</v>
      </c>
      <c r="C2986" s="336">
        <v>8150</v>
      </c>
      <c r="D2986" s="337">
        <f t="shared" ref="D2986" si="767">AVERAGE(B2986:C2986)</f>
        <v>8025</v>
      </c>
    </row>
    <row r="2987" spans="1:7" ht="15" customHeight="1">
      <c r="A2987" s="3">
        <v>43286</v>
      </c>
      <c r="B2987" s="336">
        <v>7900</v>
      </c>
      <c r="C2987" s="336">
        <v>8150</v>
      </c>
      <c r="D2987" s="337">
        <f t="shared" ref="D2987:D2988" si="768">AVERAGE(B2987:C2987)</f>
        <v>8025</v>
      </c>
    </row>
    <row r="2988" spans="1:7" ht="15" customHeight="1">
      <c r="A2988" s="3">
        <v>43287</v>
      </c>
      <c r="B2988" s="336">
        <v>7900</v>
      </c>
      <c r="C2988" s="336">
        <v>8150</v>
      </c>
      <c r="D2988" s="337">
        <f t="shared" si="768"/>
        <v>8025</v>
      </c>
    </row>
    <row r="2989" spans="1:7" ht="15" customHeight="1">
      <c r="A2989" s="3">
        <v>43290</v>
      </c>
      <c r="B2989" s="336">
        <v>7900</v>
      </c>
      <c r="C2989" s="336">
        <v>8150</v>
      </c>
      <c r="D2989" s="337">
        <f t="shared" ref="D2989" si="769">AVERAGE(B2989:C2989)</f>
        <v>8025</v>
      </c>
    </row>
    <row r="2990" spans="1:7" ht="15" customHeight="1">
      <c r="A2990" s="3">
        <v>43291</v>
      </c>
      <c r="B2990" s="336">
        <v>7900</v>
      </c>
      <c r="C2990" s="336">
        <v>8150</v>
      </c>
      <c r="D2990" s="337">
        <f t="shared" ref="D2990" si="770">AVERAGE(B2990:C2990)</f>
        <v>8025</v>
      </c>
    </row>
    <row r="2991" spans="1:7" ht="15" customHeight="1">
      <c r="A2991" s="3">
        <v>43292</v>
      </c>
      <c r="B2991" s="336">
        <v>7900</v>
      </c>
      <c r="C2991" s="336">
        <v>8150</v>
      </c>
      <c r="D2991" s="337">
        <f t="shared" ref="D2991:D3003" si="771">AVERAGE(B2991:C2991)</f>
        <v>8025</v>
      </c>
      <c r="G2991" s="338"/>
    </row>
    <row r="2992" spans="1:7" ht="15" customHeight="1">
      <c r="A2992" s="3">
        <v>43293</v>
      </c>
      <c r="B2992" s="336">
        <v>7900</v>
      </c>
      <c r="C2992" s="336">
        <v>8150</v>
      </c>
      <c r="D2992" s="337">
        <f t="shared" si="771"/>
        <v>8025</v>
      </c>
    </row>
    <row r="2993" spans="1:6" ht="15" customHeight="1">
      <c r="A2993" s="3">
        <v>43294</v>
      </c>
      <c r="B2993" s="336">
        <v>7800</v>
      </c>
      <c r="C2993" s="336">
        <v>8100</v>
      </c>
      <c r="D2993" s="337">
        <f t="shared" si="771"/>
        <v>7950</v>
      </c>
    </row>
    <row r="2994" spans="1:6" ht="15" customHeight="1">
      <c r="A2994" s="3">
        <v>43297</v>
      </c>
      <c r="B2994" s="336">
        <v>7800</v>
      </c>
      <c r="C2994" s="336">
        <v>8100</v>
      </c>
      <c r="D2994" s="337">
        <f t="shared" si="771"/>
        <v>7950</v>
      </c>
    </row>
    <row r="2995" spans="1:6" ht="15" customHeight="1">
      <c r="A2995" s="3">
        <v>43298</v>
      </c>
      <c r="B2995" s="336">
        <v>7800</v>
      </c>
      <c r="C2995" s="336">
        <v>8100</v>
      </c>
      <c r="D2995" s="337">
        <f t="shared" si="771"/>
        <v>7950</v>
      </c>
    </row>
    <row r="2996" spans="1:6" ht="15" customHeight="1">
      <c r="A2996" s="3">
        <v>43299</v>
      </c>
      <c r="B2996" s="336">
        <v>7800</v>
      </c>
      <c r="C2996" s="336">
        <v>8100</v>
      </c>
      <c r="D2996" s="337">
        <f t="shared" si="771"/>
        <v>7950</v>
      </c>
    </row>
    <row r="2997" spans="1:6" ht="15" customHeight="1">
      <c r="A2997" s="3">
        <v>43300</v>
      </c>
      <c r="B2997" s="336">
        <v>7800</v>
      </c>
      <c r="C2997" s="336">
        <v>8100</v>
      </c>
      <c r="D2997" s="337">
        <f t="shared" si="771"/>
        <v>7950</v>
      </c>
    </row>
    <row r="2998" spans="1:6" ht="15" customHeight="1">
      <c r="A2998" s="3">
        <v>43301</v>
      </c>
      <c r="B2998" s="336">
        <v>7800</v>
      </c>
      <c r="C2998" s="336">
        <v>8100</v>
      </c>
      <c r="D2998" s="337">
        <f t="shared" si="771"/>
        <v>7950</v>
      </c>
    </row>
    <row r="2999" spans="1:6" ht="15" customHeight="1">
      <c r="A2999" s="3">
        <v>43304</v>
      </c>
      <c r="B2999" s="336">
        <v>7800</v>
      </c>
      <c r="C2999" s="336">
        <v>8100</v>
      </c>
      <c r="D2999" s="337">
        <f t="shared" si="771"/>
        <v>7950</v>
      </c>
    </row>
    <row r="3000" spans="1:6" ht="15" customHeight="1">
      <c r="A3000" s="3">
        <v>43305</v>
      </c>
      <c r="B3000" s="336">
        <v>7800</v>
      </c>
      <c r="C3000" s="336">
        <v>8100</v>
      </c>
      <c r="D3000" s="337">
        <f t="shared" si="771"/>
        <v>7950</v>
      </c>
    </row>
    <row r="3001" spans="1:6" ht="15" customHeight="1">
      <c r="A3001" s="3">
        <v>43306</v>
      </c>
      <c r="B3001" s="336">
        <v>7800</v>
      </c>
      <c r="C3001" s="336">
        <v>8200</v>
      </c>
      <c r="D3001" s="337">
        <f t="shared" si="771"/>
        <v>8000</v>
      </c>
    </row>
    <row r="3002" spans="1:6" ht="15" customHeight="1">
      <c r="A3002" s="3">
        <v>43307</v>
      </c>
      <c r="B3002" s="336">
        <v>7800</v>
      </c>
      <c r="C3002" s="336">
        <v>8200</v>
      </c>
      <c r="D3002" s="337">
        <f t="shared" si="771"/>
        <v>8000</v>
      </c>
    </row>
    <row r="3003" spans="1:6" ht="15" customHeight="1">
      <c r="A3003" s="3">
        <v>43308</v>
      </c>
      <c r="B3003" s="336">
        <v>7900</v>
      </c>
      <c r="C3003" s="336">
        <v>8200</v>
      </c>
      <c r="D3003" s="337">
        <f t="shared" si="771"/>
        <v>8050</v>
      </c>
    </row>
    <row r="3004" spans="1:6" ht="15" customHeight="1">
      <c r="A3004" s="3">
        <v>43311</v>
      </c>
      <c r="B3004" s="336">
        <v>7900</v>
      </c>
      <c r="C3004" s="336">
        <v>8200</v>
      </c>
      <c r="D3004" s="337">
        <f t="shared" ref="D3004" si="772">AVERAGE(B3004:C3004)</f>
        <v>8050</v>
      </c>
    </row>
    <row r="3005" spans="1:6" ht="15" customHeight="1" thickBot="1">
      <c r="A3005" s="11">
        <v>43312</v>
      </c>
      <c r="B3005" s="341">
        <v>7900</v>
      </c>
      <c r="C3005" s="341">
        <v>8200</v>
      </c>
      <c r="D3005" s="342">
        <f t="shared" ref="D3005:D3006" si="773">AVERAGE(B3005:C3005)</f>
        <v>8050</v>
      </c>
      <c r="E3005" s="360">
        <f>AVERAGE($D$2984:D3005)</f>
        <v>7998.863636363636</v>
      </c>
      <c r="F3005" s="360">
        <f>AVERAGE($D$2855:D3005)</f>
        <v>8337.074829931973</v>
      </c>
    </row>
    <row r="3006" spans="1:6" ht="15" customHeight="1">
      <c r="A3006" s="3">
        <v>43313</v>
      </c>
      <c r="B3006" s="336">
        <v>7900</v>
      </c>
      <c r="C3006" s="336">
        <v>8200</v>
      </c>
      <c r="D3006" s="337">
        <f t="shared" si="773"/>
        <v>8050</v>
      </c>
    </row>
    <row r="3007" spans="1:6" ht="15" customHeight="1">
      <c r="A3007" s="3">
        <v>43314</v>
      </c>
      <c r="B3007" s="336">
        <v>7900</v>
      </c>
      <c r="C3007" s="336">
        <v>8200</v>
      </c>
      <c r="D3007" s="337">
        <f t="shared" ref="D3007" si="774">AVERAGE(B3007:C3007)</f>
        <v>8050</v>
      </c>
    </row>
    <row r="3008" spans="1:6" ht="15" customHeight="1">
      <c r="A3008" s="3">
        <v>43315</v>
      </c>
      <c r="B3008" s="336">
        <v>7900</v>
      </c>
      <c r="C3008" s="336">
        <v>8200</v>
      </c>
      <c r="D3008" s="337">
        <f t="shared" ref="D3008" si="775">AVERAGE(B3008:C3008)</f>
        <v>8050</v>
      </c>
    </row>
    <row r="3009" spans="1:4" ht="15" customHeight="1">
      <c r="A3009" s="3">
        <v>43318</v>
      </c>
      <c r="B3009" s="336">
        <v>7900</v>
      </c>
      <c r="C3009" s="336">
        <v>8200</v>
      </c>
      <c r="D3009" s="337">
        <f t="shared" ref="D3009" si="776">AVERAGE(B3009:C3009)</f>
        <v>8050</v>
      </c>
    </row>
    <row r="3010" spans="1:4" ht="15" customHeight="1">
      <c r="A3010" s="3">
        <v>43319</v>
      </c>
      <c r="B3010" s="336">
        <v>7900</v>
      </c>
      <c r="C3010" s="336">
        <v>8200</v>
      </c>
      <c r="D3010" s="337">
        <f t="shared" ref="D3010" si="777">AVERAGE(B3010:C3010)</f>
        <v>8050</v>
      </c>
    </row>
    <row r="3011" spans="1:4" ht="15" customHeight="1">
      <c r="A3011" s="3">
        <v>43320</v>
      </c>
      <c r="B3011" s="336">
        <v>7900</v>
      </c>
      <c r="C3011" s="336">
        <v>8300</v>
      </c>
      <c r="D3011" s="337">
        <f t="shared" ref="D3011" si="778">AVERAGE(B3011:C3011)</f>
        <v>8100</v>
      </c>
    </row>
    <row r="3012" spans="1:4" ht="15" customHeight="1">
      <c r="A3012" s="3">
        <v>43321</v>
      </c>
      <c r="B3012" s="336">
        <v>7900</v>
      </c>
      <c r="C3012" s="336">
        <v>8300</v>
      </c>
      <c r="D3012" s="337">
        <f t="shared" ref="D3012:D3022" si="779">AVERAGE(B3012:C3012)</f>
        <v>8100</v>
      </c>
    </row>
    <row r="3013" spans="1:4" ht="15" customHeight="1">
      <c r="A3013" s="3">
        <v>43322</v>
      </c>
      <c r="B3013" s="336">
        <v>8000</v>
      </c>
      <c r="C3013" s="336">
        <v>8400</v>
      </c>
      <c r="D3013" s="337">
        <f t="shared" si="779"/>
        <v>8200</v>
      </c>
    </row>
    <row r="3014" spans="1:4" ht="15" customHeight="1">
      <c r="A3014" s="3">
        <v>43325</v>
      </c>
      <c r="B3014" s="336">
        <v>8000</v>
      </c>
      <c r="C3014" s="336">
        <v>8400</v>
      </c>
      <c r="D3014" s="337">
        <f t="shared" si="779"/>
        <v>8200</v>
      </c>
    </row>
    <row r="3015" spans="1:4" ht="15" customHeight="1">
      <c r="A3015" s="3">
        <v>43326</v>
      </c>
      <c r="B3015" s="336">
        <v>8000</v>
      </c>
      <c r="C3015" s="336">
        <v>8400</v>
      </c>
      <c r="D3015" s="337">
        <f t="shared" si="779"/>
        <v>8200</v>
      </c>
    </row>
    <row r="3016" spans="1:4" ht="15" customHeight="1">
      <c r="A3016" s="3">
        <v>43327</v>
      </c>
      <c r="B3016" s="336">
        <v>8000</v>
      </c>
      <c r="C3016" s="336">
        <v>8400</v>
      </c>
      <c r="D3016" s="337">
        <f t="shared" si="779"/>
        <v>8200</v>
      </c>
    </row>
    <row r="3017" spans="1:4" ht="15" customHeight="1">
      <c r="A3017" s="3">
        <v>43328</v>
      </c>
      <c r="B3017" s="336">
        <v>8000</v>
      </c>
      <c r="C3017" s="336">
        <v>8400</v>
      </c>
      <c r="D3017" s="337">
        <f t="shared" si="779"/>
        <v>8200</v>
      </c>
    </row>
    <row r="3018" spans="1:4" ht="15" customHeight="1">
      <c r="A3018" s="3">
        <v>43329</v>
      </c>
      <c r="B3018" s="336">
        <v>8300</v>
      </c>
      <c r="C3018" s="336">
        <v>8500</v>
      </c>
      <c r="D3018" s="337">
        <f t="shared" si="779"/>
        <v>8400</v>
      </c>
    </row>
    <row r="3019" spans="1:4" ht="15" customHeight="1">
      <c r="A3019" s="3">
        <v>43332</v>
      </c>
      <c r="B3019" s="336">
        <v>8300</v>
      </c>
      <c r="C3019" s="336">
        <v>8500</v>
      </c>
      <c r="D3019" s="337">
        <f t="shared" si="779"/>
        <v>8400</v>
      </c>
    </row>
    <row r="3020" spans="1:4" ht="15" customHeight="1">
      <c r="A3020" s="3">
        <v>43333</v>
      </c>
      <c r="B3020" s="336">
        <v>8300</v>
      </c>
      <c r="C3020" s="336">
        <v>8500</v>
      </c>
      <c r="D3020" s="337">
        <f t="shared" si="779"/>
        <v>8400</v>
      </c>
    </row>
    <row r="3021" spans="1:4" ht="15" customHeight="1">
      <c r="A3021" s="3">
        <v>43334</v>
      </c>
      <c r="B3021" s="336">
        <v>8300</v>
      </c>
      <c r="C3021" s="336">
        <v>8500</v>
      </c>
      <c r="D3021" s="337">
        <f t="shared" si="779"/>
        <v>8400</v>
      </c>
    </row>
    <row r="3022" spans="1:4" ht="15" customHeight="1">
      <c r="A3022" s="3">
        <v>43335</v>
      </c>
      <c r="B3022" s="336">
        <v>8300</v>
      </c>
      <c r="C3022" s="336">
        <v>8500</v>
      </c>
      <c r="D3022" s="337">
        <f t="shared" si="779"/>
        <v>8400</v>
      </c>
    </row>
    <row r="3023" spans="1:4" ht="15" customHeight="1">
      <c r="A3023" s="3">
        <v>43336</v>
      </c>
      <c r="B3023" s="336">
        <v>8300</v>
      </c>
      <c r="C3023" s="336">
        <v>8600</v>
      </c>
      <c r="D3023" s="337">
        <f>AVERAGE(B3023:C3023)</f>
        <v>8450</v>
      </c>
    </row>
    <row r="3024" spans="1:4" ht="15" customHeight="1">
      <c r="A3024" s="3">
        <v>43339</v>
      </c>
      <c r="B3024" s="1333" t="s">
        <v>92</v>
      </c>
      <c r="C3024" s="1333"/>
      <c r="D3024" s="1333"/>
    </row>
    <row r="3025" spans="1:6" ht="15" customHeight="1">
      <c r="A3025" s="3">
        <v>43340</v>
      </c>
      <c r="B3025" s="336">
        <v>8300</v>
      </c>
      <c r="C3025" s="336">
        <v>8600</v>
      </c>
      <c r="D3025" s="337">
        <f t="shared" ref="D3025:D3038" si="780">AVERAGE(B3025:C3025)</f>
        <v>8450</v>
      </c>
    </row>
    <row r="3026" spans="1:6" ht="15" customHeight="1">
      <c r="A3026" s="3">
        <v>43341</v>
      </c>
      <c r="B3026" s="336">
        <v>8300</v>
      </c>
      <c r="C3026" s="336">
        <v>8600</v>
      </c>
      <c r="D3026" s="337">
        <f t="shared" si="780"/>
        <v>8450</v>
      </c>
    </row>
    <row r="3027" spans="1:6" ht="15" customHeight="1">
      <c r="A3027" s="3">
        <v>43342</v>
      </c>
      <c r="B3027" s="336">
        <v>8300</v>
      </c>
      <c r="C3027" s="336">
        <v>8600</v>
      </c>
      <c r="D3027" s="337">
        <f t="shared" si="780"/>
        <v>8450</v>
      </c>
    </row>
    <row r="3028" spans="1:6" ht="15" customHeight="1" thickBot="1">
      <c r="A3028" s="11">
        <v>43343</v>
      </c>
      <c r="B3028" s="341">
        <v>8350</v>
      </c>
      <c r="C3028" s="341">
        <v>8600</v>
      </c>
      <c r="D3028" s="342">
        <f t="shared" si="780"/>
        <v>8475</v>
      </c>
      <c r="E3028" s="360">
        <f>AVERAGE($D$3006:D3028)</f>
        <v>8260.2272727272721</v>
      </c>
      <c r="F3028" s="360">
        <f>AVERAGE($D$2855:D3028)</f>
        <v>8327.0710059171597</v>
      </c>
    </row>
    <row r="3029" spans="1:6" ht="15" customHeight="1">
      <c r="A3029" s="3">
        <v>43346</v>
      </c>
      <c r="B3029" s="336">
        <v>8350</v>
      </c>
      <c r="C3029" s="336">
        <v>8600</v>
      </c>
      <c r="D3029" s="337">
        <f t="shared" si="780"/>
        <v>8475</v>
      </c>
    </row>
    <row r="3030" spans="1:6" ht="15" customHeight="1">
      <c r="A3030" s="3">
        <v>43347</v>
      </c>
      <c r="B3030" s="336">
        <v>8350</v>
      </c>
      <c r="C3030" s="336">
        <v>8600</v>
      </c>
      <c r="D3030" s="337">
        <f t="shared" si="780"/>
        <v>8475</v>
      </c>
    </row>
    <row r="3031" spans="1:6" ht="15" customHeight="1">
      <c r="A3031" s="3">
        <v>43348</v>
      </c>
      <c r="B3031" s="336">
        <v>8350</v>
      </c>
      <c r="C3031" s="336">
        <v>8600</v>
      </c>
      <c r="D3031" s="337">
        <f t="shared" si="780"/>
        <v>8475</v>
      </c>
    </row>
    <row r="3032" spans="1:6" ht="15" customHeight="1">
      <c r="A3032" s="3">
        <v>43349</v>
      </c>
      <c r="B3032" s="336">
        <v>8350</v>
      </c>
      <c r="C3032" s="336">
        <v>8600</v>
      </c>
      <c r="D3032" s="337">
        <f t="shared" si="780"/>
        <v>8475</v>
      </c>
    </row>
    <row r="3033" spans="1:6" ht="15" customHeight="1">
      <c r="A3033" s="3">
        <v>43350</v>
      </c>
      <c r="B3033" s="336">
        <v>8400</v>
      </c>
      <c r="C3033" s="336">
        <v>8600</v>
      </c>
      <c r="D3033" s="337">
        <f t="shared" si="780"/>
        <v>8500</v>
      </c>
    </row>
    <row r="3034" spans="1:6" ht="15" customHeight="1">
      <c r="A3034" s="3">
        <v>43353</v>
      </c>
      <c r="B3034" s="336">
        <v>8400</v>
      </c>
      <c r="C3034" s="336">
        <v>8600</v>
      </c>
      <c r="D3034" s="337">
        <f t="shared" si="780"/>
        <v>8500</v>
      </c>
    </row>
    <row r="3035" spans="1:6" ht="15" customHeight="1">
      <c r="A3035" s="3">
        <v>43354</v>
      </c>
      <c r="B3035" s="336">
        <v>8400</v>
      </c>
      <c r="C3035" s="336">
        <v>8600</v>
      </c>
      <c r="D3035" s="337">
        <f t="shared" si="780"/>
        <v>8500</v>
      </c>
    </row>
    <row r="3036" spans="1:6" ht="15" customHeight="1">
      <c r="A3036" s="3">
        <v>43355</v>
      </c>
      <c r="B3036" s="336">
        <v>8450</v>
      </c>
      <c r="C3036" s="336">
        <v>8650</v>
      </c>
      <c r="D3036" s="337">
        <f t="shared" si="780"/>
        <v>8550</v>
      </c>
    </row>
    <row r="3037" spans="1:6" ht="15" customHeight="1">
      <c r="A3037" s="3">
        <v>43356</v>
      </c>
      <c r="B3037" s="336">
        <v>8450</v>
      </c>
      <c r="C3037" s="336">
        <v>8650</v>
      </c>
      <c r="D3037" s="337">
        <f t="shared" si="780"/>
        <v>8550</v>
      </c>
    </row>
    <row r="3038" spans="1:6" ht="15" customHeight="1">
      <c r="A3038" s="3">
        <v>43357</v>
      </c>
      <c r="B3038" s="336">
        <v>8500</v>
      </c>
      <c r="C3038" s="336">
        <v>8700</v>
      </c>
      <c r="D3038" s="337">
        <f t="shared" si="780"/>
        <v>8600</v>
      </c>
    </row>
    <row r="3039" spans="1:6" ht="15" customHeight="1">
      <c r="A3039" s="3">
        <v>43360</v>
      </c>
      <c r="B3039" s="336">
        <v>8500</v>
      </c>
      <c r="C3039" s="336">
        <v>8700</v>
      </c>
      <c r="D3039" s="337">
        <f t="shared" ref="D3039" si="781">AVERAGE(B3039:C3039)</f>
        <v>8600</v>
      </c>
    </row>
    <row r="3040" spans="1:6" ht="15" customHeight="1">
      <c r="A3040" s="3">
        <v>43361</v>
      </c>
      <c r="B3040" s="336">
        <v>8500</v>
      </c>
      <c r="C3040" s="336">
        <v>8700</v>
      </c>
      <c r="D3040" s="337">
        <f t="shared" ref="D3040:D3063" si="782">AVERAGE(B3040:C3040)</f>
        <v>8600</v>
      </c>
    </row>
    <row r="3041" spans="1:6" ht="15" customHeight="1">
      <c r="A3041" s="3">
        <v>43362</v>
      </c>
      <c r="B3041" s="336">
        <v>8500</v>
      </c>
      <c r="C3041" s="336">
        <v>8700</v>
      </c>
      <c r="D3041" s="337">
        <f t="shared" si="782"/>
        <v>8600</v>
      </c>
    </row>
    <row r="3042" spans="1:6" ht="15" customHeight="1">
      <c r="A3042" s="3">
        <v>43363</v>
      </c>
      <c r="B3042" s="336">
        <v>8500</v>
      </c>
      <c r="C3042" s="336">
        <v>8700</v>
      </c>
      <c r="D3042" s="337">
        <f t="shared" si="782"/>
        <v>8600</v>
      </c>
    </row>
    <row r="3043" spans="1:6" ht="15" customHeight="1">
      <c r="A3043" s="3">
        <v>43364</v>
      </c>
      <c r="B3043" s="336">
        <v>8500</v>
      </c>
      <c r="C3043" s="336">
        <v>8700</v>
      </c>
      <c r="D3043" s="337">
        <f t="shared" si="782"/>
        <v>8600</v>
      </c>
    </row>
    <row r="3044" spans="1:6" ht="15" customHeight="1">
      <c r="A3044" s="3">
        <v>43367</v>
      </c>
      <c r="B3044" s="336">
        <v>8500</v>
      </c>
      <c r="C3044" s="336">
        <v>8700</v>
      </c>
      <c r="D3044" s="337">
        <f t="shared" si="782"/>
        <v>8600</v>
      </c>
    </row>
    <row r="3045" spans="1:6" ht="15" customHeight="1">
      <c r="A3045" s="3">
        <v>43368</v>
      </c>
      <c r="B3045" s="336">
        <v>8500</v>
      </c>
      <c r="C3045" s="336">
        <v>8700</v>
      </c>
      <c r="D3045" s="337">
        <f t="shared" si="782"/>
        <v>8600</v>
      </c>
    </row>
    <row r="3046" spans="1:6" ht="15" customHeight="1">
      <c r="A3046" s="3">
        <v>43369</v>
      </c>
      <c r="B3046" s="336">
        <v>8500</v>
      </c>
      <c r="C3046" s="336">
        <v>8700</v>
      </c>
      <c r="D3046" s="337">
        <f t="shared" si="782"/>
        <v>8600</v>
      </c>
    </row>
    <row r="3047" spans="1:6" ht="15" customHeight="1">
      <c r="A3047" s="3">
        <v>43370</v>
      </c>
      <c r="B3047" s="336">
        <v>8500</v>
      </c>
      <c r="C3047" s="336">
        <v>8700</v>
      </c>
      <c r="D3047" s="337">
        <f t="shared" si="782"/>
        <v>8600</v>
      </c>
    </row>
    <row r="3048" spans="1:6" ht="15" customHeight="1" thickBot="1">
      <c r="A3048" s="11">
        <v>43371</v>
      </c>
      <c r="B3048" s="341">
        <v>8500</v>
      </c>
      <c r="C3048" s="341">
        <v>8700</v>
      </c>
      <c r="D3048" s="342">
        <f t="shared" si="782"/>
        <v>8600</v>
      </c>
      <c r="E3048" s="360">
        <f>AVERAGE(D3029:D3048)</f>
        <v>8555</v>
      </c>
      <c r="F3048" s="360">
        <f>AVERAGE($D$2855:D3048)</f>
        <v>8351.1904761904771</v>
      </c>
    </row>
    <row r="3049" spans="1:6" ht="15" customHeight="1">
      <c r="A3049" s="3">
        <v>43374</v>
      </c>
      <c r="B3049" s="336">
        <v>8500</v>
      </c>
      <c r="C3049" s="336">
        <v>8700</v>
      </c>
      <c r="D3049" s="337">
        <f t="shared" si="782"/>
        <v>8600</v>
      </c>
      <c r="F3049" s="364"/>
    </row>
    <row r="3050" spans="1:6" ht="15" customHeight="1">
      <c r="A3050" s="3">
        <v>43375</v>
      </c>
      <c r="B3050" s="336">
        <v>8500</v>
      </c>
      <c r="C3050" s="336">
        <v>8700</v>
      </c>
      <c r="D3050" s="337">
        <f t="shared" si="782"/>
        <v>8600</v>
      </c>
      <c r="F3050" s="347"/>
    </row>
    <row r="3051" spans="1:6" ht="15" customHeight="1">
      <c r="A3051" s="3">
        <v>43376</v>
      </c>
      <c r="B3051" s="336">
        <v>8450</v>
      </c>
      <c r="C3051" s="336">
        <v>8650</v>
      </c>
      <c r="D3051" s="337">
        <f t="shared" si="782"/>
        <v>8550</v>
      </c>
      <c r="F3051" s="347"/>
    </row>
    <row r="3052" spans="1:6" ht="15" customHeight="1">
      <c r="A3052" s="3">
        <v>43377</v>
      </c>
      <c r="B3052" s="336">
        <v>8450</v>
      </c>
      <c r="C3052" s="336">
        <v>8650</v>
      </c>
      <c r="D3052" s="337">
        <f t="shared" si="782"/>
        <v>8550</v>
      </c>
      <c r="F3052" s="347"/>
    </row>
    <row r="3053" spans="1:6" ht="15" customHeight="1">
      <c r="A3053" s="3">
        <v>43378</v>
      </c>
      <c r="B3053" s="336">
        <v>8450</v>
      </c>
      <c r="C3053" s="336">
        <v>8650</v>
      </c>
      <c r="D3053" s="337">
        <f t="shared" si="782"/>
        <v>8550</v>
      </c>
      <c r="F3053" s="347"/>
    </row>
    <row r="3054" spans="1:6" ht="15" customHeight="1">
      <c r="A3054" s="3">
        <v>43381</v>
      </c>
      <c r="B3054" s="336">
        <v>8450</v>
      </c>
      <c r="C3054" s="336">
        <v>8650</v>
      </c>
      <c r="D3054" s="337">
        <f t="shared" si="782"/>
        <v>8550</v>
      </c>
      <c r="F3054" s="347"/>
    </row>
    <row r="3055" spans="1:6" ht="15" customHeight="1">
      <c r="A3055" s="3">
        <v>43382</v>
      </c>
      <c r="B3055" s="336">
        <v>8450</v>
      </c>
      <c r="C3055" s="336">
        <v>8650</v>
      </c>
      <c r="D3055" s="337">
        <f t="shared" si="782"/>
        <v>8550</v>
      </c>
      <c r="F3055" s="347"/>
    </row>
    <row r="3056" spans="1:6" ht="15" customHeight="1">
      <c r="A3056" s="3">
        <v>43383</v>
      </c>
      <c r="B3056" s="336">
        <v>8400</v>
      </c>
      <c r="C3056" s="336">
        <v>8600</v>
      </c>
      <c r="D3056" s="337">
        <f t="shared" si="782"/>
        <v>8500</v>
      </c>
      <c r="F3056" s="347"/>
    </row>
    <row r="3057" spans="1:6" ht="15" customHeight="1">
      <c r="A3057" s="3">
        <v>43384</v>
      </c>
      <c r="B3057" s="336">
        <v>8400</v>
      </c>
      <c r="C3057" s="336">
        <v>8600</v>
      </c>
      <c r="D3057" s="337">
        <f t="shared" si="782"/>
        <v>8500</v>
      </c>
      <c r="F3057" s="347"/>
    </row>
    <row r="3058" spans="1:6" ht="15" customHeight="1">
      <c r="A3058" s="3">
        <v>43385</v>
      </c>
      <c r="B3058" s="336">
        <v>8400</v>
      </c>
      <c r="C3058" s="336">
        <v>8600</v>
      </c>
      <c r="D3058" s="337">
        <f t="shared" si="782"/>
        <v>8500</v>
      </c>
      <c r="F3058" s="347"/>
    </row>
    <row r="3059" spans="1:6" ht="15" customHeight="1">
      <c r="A3059" s="3">
        <v>43388</v>
      </c>
      <c r="B3059" s="336">
        <v>8400</v>
      </c>
      <c r="C3059" s="336">
        <v>8600</v>
      </c>
      <c r="D3059" s="337">
        <f t="shared" si="782"/>
        <v>8500</v>
      </c>
      <c r="F3059" s="347"/>
    </row>
    <row r="3060" spans="1:6" ht="15" customHeight="1">
      <c r="A3060" s="3">
        <v>43389</v>
      </c>
      <c r="B3060" s="336">
        <v>8400</v>
      </c>
      <c r="C3060" s="336">
        <v>8600</v>
      </c>
      <c r="D3060" s="337">
        <f t="shared" si="782"/>
        <v>8500</v>
      </c>
      <c r="F3060" s="347"/>
    </row>
    <row r="3061" spans="1:6" ht="15" customHeight="1">
      <c r="A3061" s="3">
        <v>43390</v>
      </c>
      <c r="B3061" s="336">
        <v>8150</v>
      </c>
      <c r="C3061" s="336">
        <v>8500</v>
      </c>
      <c r="D3061" s="337">
        <f t="shared" si="782"/>
        <v>8325</v>
      </c>
      <c r="F3061" s="347"/>
    </row>
    <row r="3062" spans="1:6" ht="15" customHeight="1">
      <c r="A3062" s="3">
        <v>43391</v>
      </c>
      <c r="B3062" s="336">
        <v>8150</v>
      </c>
      <c r="C3062" s="336">
        <v>8500</v>
      </c>
      <c r="D3062" s="337">
        <f t="shared" si="782"/>
        <v>8325</v>
      </c>
      <c r="F3062" s="347"/>
    </row>
    <row r="3063" spans="1:6" ht="15" customHeight="1">
      <c r="A3063" s="3">
        <v>43392</v>
      </c>
      <c r="B3063" s="336">
        <v>8150</v>
      </c>
      <c r="C3063" s="336">
        <v>8500</v>
      </c>
      <c r="D3063" s="337">
        <f t="shared" si="782"/>
        <v>8325</v>
      </c>
    </row>
    <row r="3064" spans="1:6" ht="15" customHeight="1">
      <c r="A3064" s="3">
        <v>43395</v>
      </c>
      <c r="B3064" s="336">
        <v>8150</v>
      </c>
      <c r="C3064" s="336">
        <v>8500</v>
      </c>
      <c r="D3064" s="337">
        <f t="shared" ref="D3064" si="783">AVERAGE(B3064:C3064)</f>
        <v>8325</v>
      </c>
    </row>
    <row r="3065" spans="1:6" ht="15" customHeight="1">
      <c r="A3065" s="3">
        <v>43396</v>
      </c>
      <c r="B3065" s="336">
        <v>8150</v>
      </c>
      <c r="C3065" s="336">
        <v>8500</v>
      </c>
      <c r="D3065" s="337">
        <f t="shared" ref="D3065" si="784">AVERAGE(B3065:C3065)</f>
        <v>8325</v>
      </c>
    </row>
    <row r="3066" spans="1:6" ht="15" customHeight="1">
      <c r="A3066" s="3">
        <v>43397</v>
      </c>
      <c r="B3066" s="336">
        <v>8150</v>
      </c>
      <c r="C3066" s="336">
        <v>8500</v>
      </c>
      <c r="D3066" s="337">
        <f t="shared" ref="D3066" si="785">AVERAGE(B3066:C3066)</f>
        <v>8325</v>
      </c>
    </row>
    <row r="3067" spans="1:6" ht="15" customHeight="1">
      <c r="A3067" s="3">
        <v>43398</v>
      </c>
      <c r="B3067" s="336">
        <v>8150</v>
      </c>
      <c r="C3067" s="336">
        <v>8500</v>
      </c>
      <c r="D3067" s="337">
        <f t="shared" ref="D3067:D3109" si="786">AVERAGE(B3067:C3067)</f>
        <v>8325</v>
      </c>
    </row>
    <row r="3068" spans="1:6" ht="15" customHeight="1">
      <c r="A3068" s="3">
        <v>43399</v>
      </c>
      <c r="B3068" s="336">
        <v>8150</v>
      </c>
      <c r="C3068" s="336">
        <v>8500</v>
      </c>
      <c r="D3068" s="337">
        <f t="shared" si="786"/>
        <v>8325</v>
      </c>
    </row>
    <row r="3069" spans="1:6" ht="15" customHeight="1">
      <c r="A3069" s="3">
        <v>43402</v>
      </c>
      <c r="B3069" s="336">
        <v>8150</v>
      </c>
      <c r="C3069" s="336">
        <v>8500</v>
      </c>
      <c r="D3069" s="337">
        <f t="shared" si="786"/>
        <v>8325</v>
      </c>
    </row>
    <row r="3070" spans="1:6" ht="15" customHeight="1">
      <c r="A3070" s="3">
        <v>43403</v>
      </c>
      <c r="B3070" s="336">
        <v>8150</v>
      </c>
      <c r="C3070" s="336">
        <v>8500</v>
      </c>
      <c r="D3070" s="337">
        <f t="shared" si="786"/>
        <v>8325</v>
      </c>
    </row>
    <row r="3071" spans="1:6" ht="15" customHeight="1" thickBot="1">
      <c r="A3071" s="11">
        <v>43404</v>
      </c>
      <c r="B3071" s="341">
        <v>8150</v>
      </c>
      <c r="C3071" s="341">
        <v>8500</v>
      </c>
      <c r="D3071" s="342">
        <f t="shared" si="786"/>
        <v>8325</v>
      </c>
      <c r="E3071" s="360">
        <f>AVERAGE($D$3049:D3071)</f>
        <v>8435.8695652173919</v>
      </c>
      <c r="F3071" s="360">
        <f>AVERAGE($D$2855:D3071)</f>
        <v>8360.3773584905666</v>
      </c>
    </row>
    <row r="3072" spans="1:6" ht="15" customHeight="1">
      <c r="A3072" s="3">
        <v>43405</v>
      </c>
      <c r="B3072" s="336">
        <v>8150</v>
      </c>
      <c r="C3072" s="336">
        <v>8500</v>
      </c>
      <c r="D3072" s="337">
        <f t="shared" si="786"/>
        <v>8325</v>
      </c>
      <c r="E3072" s="331"/>
      <c r="F3072" s="331"/>
    </row>
    <row r="3073" spans="1:6" ht="15" customHeight="1">
      <c r="A3073" s="3">
        <v>43406</v>
      </c>
      <c r="B3073" s="336">
        <v>8150</v>
      </c>
      <c r="C3073" s="336">
        <v>8500</v>
      </c>
      <c r="D3073" s="337">
        <f t="shared" si="786"/>
        <v>8325</v>
      </c>
      <c r="E3073" s="347"/>
      <c r="F3073" s="347"/>
    </row>
    <row r="3074" spans="1:6" ht="15" customHeight="1">
      <c r="A3074" s="3">
        <v>43409</v>
      </c>
      <c r="B3074" s="336">
        <v>8150</v>
      </c>
      <c r="C3074" s="336">
        <v>8500</v>
      </c>
      <c r="D3074" s="337">
        <f t="shared" si="786"/>
        <v>8325</v>
      </c>
      <c r="E3074" s="347"/>
      <c r="F3074" s="347"/>
    </row>
    <row r="3075" spans="1:6" ht="15" customHeight="1">
      <c r="A3075" s="3">
        <v>43410</v>
      </c>
      <c r="B3075" s="336">
        <v>8150</v>
      </c>
      <c r="C3075" s="336">
        <v>8500</v>
      </c>
      <c r="D3075" s="337">
        <f t="shared" si="786"/>
        <v>8325</v>
      </c>
      <c r="E3075" s="347"/>
      <c r="F3075" s="347"/>
    </row>
    <row r="3076" spans="1:6" ht="15" customHeight="1">
      <c r="A3076" s="3">
        <v>43411</v>
      </c>
      <c r="B3076" s="336">
        <v>8150</v>
      </c>
      <c r="C3076" s="336">
        <v>8350</v>
      </c>
      <c r="D3076" s="337">
        <f t="shared" si="786"/>
        <v>8250</v>
      </c>
      <c r="E3076" s="347"/>
      <c r="F3076" s="347"/>
    </row>
    <row r="3077" spans="1:6" ht="15" customHeight="1">
      <c r="A3077" s="3">
        <v>43412</v>
      </c>
      <c r="B3077" s="336">
        <v>8150</v>
      </c>
      <c r="C3077" s="336">
        <v>8350</v>
      </c>
      <c r="D3077" s="337">
        <f t="shared" si="786"/>
        <v>8250</v>
      </c>
      <c r="E3077" s="347"/>
      <c r="F3077" s="347"/>
    </row>
    <row r="3078" spans="1:6" ht="15" customHeight="1">
      <c r="A3078" s="3">
        <v>43413</v>
      </c>
      <c r="B3078" s="336">
        <v>8150</v>
      </c>
      <c r="C3078" s="336">
        <v>8350</v>
      </c>
      <c r="D3078" s="337">
        <f t="shared" si="786"/>
        <v>8250</v>
      </c>
      <c r="E3078" s="347"/>
      <c r="F3078" s="347"/>
    </row>
    <row r="3079" spans="1:6" ht="15" customHeight="1">
      <c r="A3079" s="3">
        <v>43416</v>
      </c>
      <c r="B3079" s="336">
        <v>8150</v>
      </c>
      <c r="C3079" s="336">
        <v>8350</v>
      </c>
      <c r="D3079" s="337">
        <f t="shared" si="786"/>
        <v>8250</v>
      </c>
      <c r="E3079" s="347"/>
      <c r="F3079" s="347"/>
    </row>
    <row r="3080" spans="1:6" ht="15" customHeight="1">
      <c r="A3080" s="3">
        <v>43417</v>
      </c>
      <c r="B3080" s="336">
        <v>8150</v>
      </c>
      <c r="C3080" s="336">
        <v>8350</v>
      </c>
      <c r="D3080" s="337">
        <f t="shared" si="786"/>
        <v>8250</v>
      </c>
      <c r="E3080" s="347"/>
      <c r="F3080" s="347"/>
    </row>
    <row r="3081" spans="1:6" ht="15" customHeight="1">
      <c r="A3081" s="3">
        <v>43418</v>
      </c>
      <c r="B3081" s="336">
        <v>8100</v>
      </c>
      <c r="C3081" s="336">
        <v>8300</v>
      </c>
      <c r="D3081" s="337">
        <f t="shared" si="786"/>
        <v>8200</v>
      </c>
      <c r="E3081" s="347"/>
      <c r="F3081" s="347"/>
    </row>
    <row r="3082" spans="1:6" ht="15" customHeight="1">
      <c r="A3082" s="3">
        <v>43419</v>
      </c>
      <c r="B3082" s="336">
        <v>8100</v>
      </c>
      <c r="C3082" s="336">
        <v>8300</v>
      </c>
      <c r="D3082" s="337">
        <f t="shared" si="786"/>
        <v>8200</v>
      </c>
      <c r="E3082" s="347"/>
      <c r="F3082" s="347"/>
    </row>
    <row r="3083" spans="1:6" ht="15" customHeight="1">
      <c r="A3083" s="3">
        <v>43420</v>
      </c>
      <c r="B3083" s="336">
        <v>8100</v>
      </c>
      <c r="C3083" s="336">
        <v>8300</v>
      </c>
      <c r="D3083" s="337">
        <f t="shared" si="786"/>
        <v>8200</v>
      </c>
      <c r="E3083" s="347"/>
      <c r="F3083" s="347"/>
    </row>
    <row r="3084" spans="1:6" ht="15" customHeight="1">
      <c r="A3084" s="3">
        <v>43423</v>
      </c>
      <c r="B3084" s="336">
        <v>8100</v>
      </c>
      <c r="C3084" s="336">
        <v>8300</v>
      </c>
      <c r="D3084" s="337">
        <f t="shared" si="786"/>
        <v>8200</v>
      </c>
      <c r="E3084" s="347"/>
      <c r="F3084" s="347"/>
    </row>
    <row r="3085" spans="1:6" ht="15" customHeight="1">
      <c r="A3085" s="3">
        <v>43424</v>
      </c>
      <c r="B3085" s="336">
        <v>8150</v>
      </c>
      <c r="C3085" s="336">
        <v>8500</v>
      </c>
      <c r="D3085" s="337">
        <f t="shared" si="786"/>
        <v>8325</v>
      </c>
      <c r="E3085" s="347"/>
      <c r="F3085" s="347"/>
    </row>
    <row r="3086" spans="1:6" ht="15" customHeight="1">
      <c r="A3086" s="3">
        <v>43425</v>
      </c>
      <c r="B3086" s="336">
        <v>8000</v>
      </c>
      <c r="C3086" s="336">
        <v>8200</v>
      </c>
      <c r="D3086" s="337">
        <f t="shared" si="786"/>
        <v>8100</v>
      </c>
      <c r="E3086" s="347"/>
      <c r="F3086" s="347"/>
    </row>
    <row r="3087" spans="1:6" ht="15" customHeight="1">
      <c r="A3087" s="3">
        <v>43426</v>
      </c>
      <c r="B3087" s="336">
        <v>8000</v>
      </c>
      <c r="C3087" s="336">
        <v>8200</v>
      </c>
      <c r="D3087" s="337">
        <f t="shared" si="786"/>
        <v>8100</v>
      </c>
    </row>
    <row r="3088" spans="1:6" ht="15" customHeight="1">
      <c r="A3088" s="3">
        <v>43427</v>
      </c>
      <c r="B3088" s="336">
        <v>8000</v>
      </c>
      <c r="C3088" s="336">
        <v>8200</v>
      </c>
      <c r="D3088" s="337">
        <f t="shared" si="786"/>
        <v>8100</v>
      </c>
    </row>
    <row r="3089" spans="1:6" ht="15" customHeight="1">
      <c r="A3089" s="3">
        <v>43430</v>
      </c>
      <c r="B3089" s="336">
        <v>8000</v>
      </c>
      <c r="C3089" s="336">
        <v>8200</v>
      </c>
      <c r="D3089" s="337">
        <f t="shared" si="786"/>
        <v>8100</v>
      </c>
    </row>
    <row r="3090" spans="1:6" ht="15" customHeight="1">
      <c r="A3090" s="3">
        <v>43431</v>
      </c>
      <c r="B3090" s="336">
        <v>8000</v>
      </c>
      <c r="C3090" s="336">
        <v>8200</v>
      </c>
      <c r="D3090" s="337">
        <f t="shared" si="786"/>
        <v>8100</v>
      </c>
    </row>
    <row r="3091" spans="1:6" ht="15" customHeight="1">
      <c r="A3091" s="3">
        <v>43432</v>
      </c>
      <c r="B3091" s="336">
        <v>8000</v>
      </c>
      <c r="C3091" s="336">
        <v>8200</v>
      </c>
      <c r="D3091" s="337">
        <f t="shared" si="786"/>
        <v>8100</v>
      </c>
    </row>
    <row r="3092" spans="1:6" ht="15" customHeight="1">
      <c r="A3092" s="3">
        <v>43433</v>
      </c>
      <c r="B3092" s="336">
        <v>8000</v>
      </c>
      <c r="C3092" s="336">
        <v>8200</v>
      </c>
      <c r="D3092" s="337">
        <f t="shared" si="786"/>
        <v>8100</v>
      </c>
    </row>
    <row r="3093" spans="1:6" ht="15" customHeight="1" thickBot="1">
      <c r="A3093" s="11">
        <v>43434</v>
      </c>
      <c r="B3093" s="341">
        <v>8000</v>
      </c>
      <c r="C3093" s="341">
        <v>8200</v>
      </c>
      <c r="D3093" s="342">
        <f t="shared" si="786"/>
        <v>8100</v>
      </c>
      <c r="E3093" s="360">
        <f>AVERAGE($D$3072:D3093)</f>
        <v>8203.4090909090901</v>
      </c>
      <c r="F3093" s="360">
        <f>AVERAGE($D$2855:D3093)</f>
        <v>8345.6196581196582</v>
      </c>
    </row>
    <row r="3094" spans="1:6" ht="15" customHeight="1">
      <c r="A3094" s="3">
        <v>43437</v>
      </c>
      <c r="B3094" s="336">
        <v>8000</v>
      </c>
      <c r="C3094" s="336">
        <v>8200</v>
      </c>
      <c r="D3094" s="337">
        <f t="shared" si="786"/>
        <v>8100</v>
      </c>
      <c r="E3094" s="336"/>
      <c r="F3094" s="336"/>
    </row>
    <row r="3095" spans="1:6" ht="15" customHeight="1">
      <c r="A3095" s="3">
        <v>43438</v>
      </c>
      <c r="B3095" s="336">
        <v>7900</v>
      </c>
      <c r="C3095" s="336">
        <v>8100</v>
      </c>
      <c r="D3095" s="337">
        <f t="shared" si="786"/>
        <v>8000</v>
      </c>
      <c r="E3095" s="336"/>
      <c r="F3095" s="336"/>
    </row>
    <row r="3096" spans="1:6" ht="15" customHeight="1">
      <c r="A3096" s="3">
        <v>43439</v>
      </c>
      <c r="B3096" s="336">
        <v>7900</v>
      </c>
      <c r="C3096" s="336">
        <v>8100</v>
      </c>
      <c r="D3096" s="337">
        <f t="shared" si="786"/>
        <v>8000</v>
      </c>
      <c r="E3096" s="336"/>
      <c r="F3096" s="336"/>
    </row>
    <row r="3097" spans="1:6" ht="15" customHeight="1">
      <c r="A3097" s="3">
        <v>43440</v>
      </c>
      <c r="B3097" s="336">
        <v>7900</v>
      </c>
      <c r="C3097" s="336">
        <v>8100</v>
      </c>
      <c r="D3097" s="337">
        <f t="shared" si="786"/>
        <v>8000</v>
      </c>
      <c r="E3097" s="336"/>
      <c r="F3097" s="336"/>
    </row>
    <row r="3098" spans="1:6" ht="15" customHeight="1">
      <c r="A3098" s="3">
        <v>43441</v>
      </c>
      <c r="B3098" s="336">
        <v>7900</v>
      </c>
      <c r="C3098" s="336">
        <v>8100</v>
      </c>
      <c r="D3098" s="337">
        <f t="shared" si="786"/>
        <v>8000</v>
      </c>
      <c r="E3098" s="336"/>
      <c r="F3098" s="336"/>
    </row>
    <row r="3099" spans="1:6" ht="15" customHeight="1">
      <c r="A3099" s="3">
        <v>43444</v>
      </c>
      <c r="B3099" s="336">
        <v>7900</v>
      </c>
      <c r="C3099" s="336">
        <v>8100</v>
      </c>
      <c r="D3099" s="337">
        <f t="shared" si="786"/>
        <v>8000</v>
      </c>
      <c r="E3099" s="336"/>
      <c r="F3099" s="336"/>
    </row>
    <row r="3100" spans="1:6" ht="15" customHeight="1">
      <c r="A3100" s="3">
        <v>43445</v>
      </c>
      <c r="B3100" s="336">
        <v>7900</v>
      </c>
      <c r="C3100" s="336">
        <v>8100</v>
      </c>
      <c r="D3100" s="337">
        <f t="shared" si="786"/>
        <v>8000</v>
      </c>
      <c r="E3100" s="336"/>
      <c r="F3100" s="336"/>
    </row>
    <row r="3101" spans="1:6" ht="15" customHeight="1">
      <c r="A3101" s="3">
        <v>43446</v>
      </c>
      <c r="B3101" s="336">
        <v>7900</v>
      </c>
      <c r="C3101" s="336">
        <v>8100</v>
      </c>
      <c r="D3101" s="337">
        <f t="shared" si="786"/>
        <v>8000</v>
      </c>
      <c r="E3101" s="336"/>
      <c r="F3101" s="336"/>
    </row>
    <row r="3102" spans="1:6" ht="15" customHeight="1">
      <c r="A3102" s="3">
        <v>43447</v>
      </c>
      <c r="B3102" s="336">
        <v>7900</v>
      </c>
      <c r="C3102" s="336">
        <v>8100</v>
      </c>
      <c r="D3102" s="337">
        <f t="shared" si="786"/>
        <v>8000</v>
      </c>
      <c r="E3102" s="336"/>
      <c r="F3102" s="336"/>
    </row>
    <row r="3103" spans="1:6" ht="15" customHeight="1">
      <c r="A3103" s="3">
        <v>43448</v>
      </c>
      <c r="B3103" s="336">
        <v>7900</v>
      </c>
      <c r="C3103" s="336">
        <v>8100</v>
      </c>
      <c r="D3103" s="337">
        <f t="shared" si="786"/>
        <v>8000</v>
      </c>
      <c r="E3103" s="336"/>
      <c r="F3103" s="336"/>
    </row>
    <row r="3104" spans="1:6" ht="15" customHeight="1">
      <c r="A3104" s="3">
        <v>43451</v>
      </c>
      <c r="B3104" s="336">
        <v>7900</v>
      </c>
      <c r="C3104" s="336">
        <v>8100</v>
      </c>
      <c r="D3104" s="337">
        <f t="shared" si="786"/>
        <v>8000</v>
      </c>
      <c r="E3104" s="336"/>
      <c r="F3104" s="336"/>
    </row>
    <row r="3105" spans="1:9" ht="15" customHeight="1">
      <c r="A3105" s="3">
        <v>43452</v>
      </c>
      <c r="B3105" s="336">
        <v>7900</v>
      </c>
      <c r="C3105" s="336">
        <v>8100</v>
      </c>
      <c r="D3105" s="337">
        <f t="shared" si="786"/>
        <v>8000</v>
      </c>
      <c r="E3105" s="336"/>
      <c r="F3105" s="336"/>
    </row>
    <row r="3106" spans="1:9" ht="15" customHeight="1">
      <c r="A3106" s="3">
        <v>43453</v>
      </c>
      <c r="B3106" s="336">
        <v>7900</v>
      </c>
      <c r="C3106" s="336">
        <v>8100</v>
      </c>
      <c r="D3106" s="337">
        <f t="shared" si="786"/>
        <v>8000</v>
      </c>
      <c r="E3106" s="336"/>
      <c r="F3106" s="336"/>
    </row>
    <row r="3107" spans="1:9" ht="15" customHeight="1">
      <c r="A3107" s="3">
        <v>43454</v>
      </c>
      <c r="B3107" s="336">
        <v>7900</v>
      </c>
      <c r="C3107" s="336">
        <v>8100</v>
      </c>
      <c r="D3107" s="337">
        <f t="shared" si="786"/>
        <v>8000</v>
      </c>
      <c r="E3107" s="336"/>
      <c r="F3107" s="336"/>
    </row>
    <row r="3108" spans="1:9" ht="15" customHeight="1">
      <c r="A3108" s="3">
        <v>43455</v>
      </c>
      <c r="B3108" s="336">
        <v>7900</v>
      </c>
      <c r="C3108" s="336">
        <v>8100</v>
      </c>
      <c r="D3108" s="337">
        <f t="shared" si="786"/>
        <v>8000</v>
      </c>
      <c r="E3108" s="336"/>
      <c r="F3108" s="336"/>
    </row>
    <row r="3109" spans="1:9" ht="15" customHeight="1">
      <c r="A3109" s="3">
        <v>43458</v>
      </c>
      <c r="B3109" s="336">
        <v>7900</v>
      </c>
      <c r="C3109" s="336">
        <v>8100</v>
      </c>
      <c r="D3109" s="337">
        <f t="shared" si="786"/>
        <v>8000</v>
      </c>
      <c r="E3109" s="336"/>
      <c r="F3109" s="336"/>
    </row>
    <row r="3110" spans="1:9" ht="15" customHeight="1">
      <c r="A3110" s="3">
        <v>43459</v>
      </c>
      <c r="B3110" s="1416" t="s">
        <v>93</v>
      </c>
      <c r="C3110" s="1416"/>
      <c r="D3110" s="1416"/>
      <c r="E3110" s="397"/>
      <c r="F3110" s="397"/>
    </row>
    <row r="3111" spans="1:9" ht="15" customHeight="1">
      <c r="A3111" s="3">
        <v>43460</v>
      </c>
      <c r="B3111" s="1416"/>
      <c r="C3111" s="1416"/>
      <c r="D3111" s="1416"/>
    </row>
    <row r="3112" spans="1:9" ht="15" customHeight="1">
      <c r="A3112" s="3">
        <v>43461</v>
      </c>
      <c r="B3112" s="336">
        <v>7900</v>
      </c>
      <c r="C3112" s="336">
        <v>8100</v>
      </c>
      <c r="D3112" s="337">
        <f t="shared" ref="D3112" si="787">AVERAGE(B3112:C3112)</f>
        <v>8000</v>
      </c>
    </row>
    <row r="3113" spans="1:9" ht="15" customHeight="1">
      <c r="A3113" s="3">
        <v>43462</v>
      </c>
      <c r="B3113" s="336">
        <v>7900</v>
      </c>
      <c r="C3113" s="336">
        <v>8100</v>
      </c>
      <c r="D3113" s="337">
        <f t="shared" ref="D3113:D3130" si="788">AVERAGE(B3113:C3113)</f>
        <v>8000</v>
      </c>
    </row>
    <row r="3114" spans="1:9" ht="15" customHeight="1" thickBot="1">
      <c r="A3114" s="11">
        <v>43465</v>
      </c>
      <c r="B3114" s="341">
        <v>7900</v>
      </c>
      <c r="C3114" s="341">
        <v>8100</v>
      </c>
      <c r="D3114" s="342">
        <f t="shared" si="788"/>
        <v>8000</v>
      </c>
      <c r="E3114" s="360">
        <f>AVERAGE($D$3094:D3114)</f>
        <v>8005.2631578947367</v>
      </c>
      <c r="F3114" s="360">
        <f>AVERAGE($D$2855:D3114)</f>
        <v>8320.0592885375499</v>
      </c>
    </row>
    <row r="3115" spans="1:9" ht="15" customHeight="1">
      <c r="A3115" s="3">
        <v>43467</v>
      </c>
      <c r="B3115" s="336">
        <v>7900</v>
      </c>
      <c r="C3115" s="336">
        <v>8100</v>
      </c>
      <c r="D3115" s="337">
        <f t="shared" si="788"/>
        <v>8000</v>
      </c>
    </row>
    <row r="3116" spans="1:9" ht="15" customHeight="1">
      <c r="A3116" s="3">
        <v>43468</v>
      </c>
      <c r="B3116" s="336">
        <v>7900</v>
      </c>
      <c r="C3116" s="336">
        <v>8100</v>
      </c>
      <c r="D3116" s="337">
        <f t="shared" si="788"/>
        <v>8000</v>
      </c>
      <c r="G3116" s="376">
        <f>AVERAGE($D$3115:F3116)</f>
        <v>8000</v>
      </c>
      <c r="H3116" s="376">
        <f>AVERAGE($D$3115:G3116)</f>
        <v>8000</v>
      </c>
      <c r="I3116" s="376">
        <f>AVERAGE($D$3115:H3116)</f>
        <v>8000</v>
      </c>
    </row>
    <row r="3117" spans="1:9" ht="15" customHeight="1">
      <c r="A3117" s="3">
        <v>43469</v>
      </c>
      <c r="B3117" s="336">
        <v>7900</v>
      </c>
      <c r="C3117" s="336">
        <v>8100</v>
      </c>
      <c r="D3117" s="337">
        <f t="shared" si="788"/>
        <v>8000</v>
      </c>
    </row>
    <row r="3118" spans="1:9" ht="15" customHeight="1">
      <c r="A3118" s="3">
        <v>43472</v>
      </c>
      <c r="B3118" s="336">
        <v>7900</v>
      </c>
      <c r="C3118" s="336">
        <v>8100</v>
      </c>
      <c r="D3118" s="337">
        <f t="shared" si="788"/>
        <v>8000</v>
      </c>
    </row>
    <row r="3119" spans="1:9" ht="15" customHeight="1">
      <c r="A3119" s="3">
        <v>43473</v>
      </c>
      <c r="B3119" s="336">
        <v>7900</v>
      </c>
      <c r="C3119" s="336">
        <v>8100</v>
      </c>
      <c r="D3119" s="337">
        <f t="shared" si="788"/>
        <v>8000</v>
      </c>
    </row>
    <row r="3120" spans="1:9" ht="15" customHeight="1">
      <c r="A3120" s="3">
        <v>43474</v>
      </c>
      <c r="B3120" s="336">
        <v>7900</v>
      </c>
      <c r="C3120" s="336">
        <v>8100</v>
      </c>
      <c r="D3120" s="337">
        <f t="shared" si="788"/>
        <v>8000</v>
      </c>
    </row>
    <row r="3121" spans="1:6" ht="15" customHeight="1">
      <c r="A3121" s="3">
        <v>43475</v>
      </c>
      <c r="B3121" s="336">
        <v>7900</v>
      </c>
      <c r="C3121" s="336">
        <v>8100</v>
      </c>
      <c r="D3121" s="337">
        <f t="shared" si="788"/>
        <v>8000</v>
      </c>
    </row>
    <row r="3122" spans="1:6" ht="15" customHeight="1">
      <c r="A3122" s="3">
        <v>43476</v>
      </c>
      <c r="B3122" s="336">
        <v>7900</v>
      </c>
      <c r="C3122" s="336">
        <v>8100</v>
      </c>
      <c r="D3122" s="337">
        <f t="shared" si="788"/>
        <v>8000</v>
      </c>
    </row>
    <row r="3123" spans="1:6" ht="15" customHeight="1">
      <c r="A3123" s="3">
        <v>43479</v>
      </c>
      <c r="B3123" s="336">
        <v>7900</v>
      </c>
      <c r="C3123" s="336">
        <v>8100</v>
      </c>
      <c r="D3123" s="337">
        <f t="shared" si="788"/>
        <v>8000</v>
      </c>
    </row>
    <row r="3124" spans="1:6" ht="15" customHeight="1">
      <c r="A3124" s="3">
        <v>43480</v>
      </c>
      <c r="B3124" s="336">
        <v>7900</v>
      </c>
      <c r="C3124" s="336">
        <v>8100</v>
      </c>
      <c r="D3124" s="337">
        <f t="shared" si="788"/>
        <v>8000</v>
      </c>
    </row>
    <row r="3125" spans="1:6" ht="15" customHeight="1">
      <c r="A3125" s="3">
        <v>43481</v>
      </c>
      <c r="B3125" s="336">
        <v>7800</v>
      </c>
      <c r="C3125" s="336">
        <v>8000</v>
      </c>
      <c r="D3125" s="337">
        <f t="shared" si="788"/>
        <v>7900</v>
      </c>
    </row>
    <row r="3126" spans="1:6" ht="15" customHeight="1">
      <c r="A3126" s="3">
        <v>43482</v>
      </c>
      <c r="B3126" s="336">
        <v>7800</v>
      </c>
      <c r="C3126" s="336">
        <v>8000</v>
      </c>
      <c r="D3126" s="337">
        <f t="shared" si="788"/>
        <v>7900</v>
      </c>
    </row>
    <row r="3127" spans="1:6" ht="15" customHeight="1">
      <c r="A3127" s="3">
        <v>43483</v>
      </c>
      <c r="B3127" s="336">
        <v>7800</v>
      </c>
      <c r="C3127" s="336">
        <v>8000</v>
      </c>
      <c r="D3127" s="337">
        <f t="shared" si="788"/>
        <v>7900</v>
      </c>
    </row>
    <row r="3128" spans="1:6" ht="15" customHeight="1">
      <c r="A3128" s="3">
        <v>43486</v>
      </c>
      <c r="B3128" s="336">
        <v>7800</v>
      </c>
      <c r="C3128" s="336">
        <v>8000</v>
      </c>
      <c r="D3128" s="337">
        <f t="shared" si="788"/>
        <v>7900</v>
      </c>
    </row>
    <row r="3129" spans="1:6" ht="15" customHeight="1">
      <c r="A3129" s="3">
        <v>43487</v>
      </c>
      <c r="B3129" s="336">
        <v>7800</v>
      </c>
      <c r="C3129" s="336">
        <v>8000</v>
      </c>
      <c r="D3129" s="337">
        <f t="shared" si="788"/>
        <v>7900</v>
      </c>
    </row>
    <row r="3130" spans="1:6" ht="15" customHeight="1">
      <c r="A3130" s="3">
        <v>43488</v>
      </c>
      <c r="B3130" s="336">
        <v>7800</v>
      </c>
      <c r="C3130" s="336">
        <v>8000</v>
      </c>
      <c r="D3130" s="337">
        <f t="shared" si="788"/>
        <v>7900</v>
      </c>
    </row>
    <row r="3131" spans="1:6" ht="15" customHeight="1">
      <c r="A3131" s="3">
        <v>43489</v>
      </c>
      <c r="B3131" s="336">
        <v>7800</v>
      </c>
      <c r="C3131" s="336">
        <v>8000</v>
      </c>
      <c r="D3131" s="337">
        <f t="shared" ref="D3131:D3156" si="789">AVERAGE(B3131:C3131)</f>
        <v>7900</v>
      </c>
    </row>
    <row r="3132" spans="1:6" ht="15" customHeight="1">
      <c r="A3132" s="3">
        <v>43490</v>
      </c>
      <c r="B3132" s="336">
        <v>7800</v>
      </c>
      <c r="C3132" s="336">
        <v>8000</v>
      </c>
      <c r="D3132" s="337">
        <f t="shared" si="789"/>
        <v>7900</v>
      </c>
    </row>
    <row r="3133" spans="1:6" ht="15" customHeight="1">
      <c r="A3133" s="3">
        <v>43493</v>
      </c>
      <c r="B3133" s="336">
        <v>7800</v>
      </c>
      <c r="C3133" s="336">
        <v>8000</v>
      </c>
      <c r="D3133" s="337">
        <f t="shared" si="789"/>
        <v>7900</v>
      </c>
    </row>
    <row r="3134" spans="1:6" ht="15" customHeight="1">
      <c r="A3134" s="3">
        <v>43494</v>
      </c>
      <c r="B3134" s="336">
        <v>7800</v>
      </c>
      <c r="C3134" s="336">
        <v>8000</v>
      </c>
      <c r="D3134" s="337">
        <f t="shared" si="789"/>
        <v>7900</v>
      </c>
    </row>
    <row r="3135" spans="1:6" ht="15" customHeight="1">
      <c r="A3135" s="3">
        <v>43495</v>
      </c>
      <c r="B3135" s="336">
        <v>7800</v>
      </c>
      <c r="C3135" s="336">
        <v>8000</v>
      </c>
      <c r="D3135" s="337">
        <f t="shared" si="789"/>
        <v>7900</v>
      </c>
    </row>
    <row r="3136" spans="1:6" ht="15" customHeight="1" thickBot="1">
      <c r="A3136" s="11">
        <v>43496</v>
      </c>
      <c r="B3136" s="341">
        <v>7800</v>
      </c>
      <c r="C3136" s="341">
        <v>8000</v>
      </c>
      <c r="D3136" s="342">
        <f t="shared" si="789"/>
        <v>7900</v>
      </c>
      <c r="E3136" s="360">
        <f>AVERAGE($D$3115:D3136)</f>
        <v>7945.454545454545</v>
      </c>
      <c r="F3136" s="360">
        <f>AVERAGE($D$3115:D3136)</f>
        <v>7945.454545454545</v>
      </c>
    </row>
    <row r="3137" spans="1:6" ht="15" customHeight="1">
      <c r="A3137" s="3">
        <v>43497</v>
      </c>
      <c r="B3137" s="336">
        <v>7800</v>
      </c>
      <c r="C3137" s="336">
        <v>8000</v>
      </c>
      <c r="D3137" s="337">
        <f t="shared" si="789"/>
        <v>7900</v>
      </c>
      <c r="E3137" s="363"/>
      <c r="F3137" s="399"/>
    </row>
    <row r="3138" spans="1:6" ht="15" customHeight="1">
      <c r="A3138" s="3">
        <v>43500</v>
      </c>
      <c r="B3138" s="336">
        <v>7800</v>
      </c>
      <c r="C3138" s="336">
        <v>8000</v>
      </c>
      <c r="D3138" s="337">
        <f t="shared" si="789"/>
        <v>7900</v>
      </c>
      <c r="E3138" s="331"/>
      <c r="F3138" s="331"/>
    </row>
    <row r="3139" spans="1:6" ht="15" customHeight="1">
      <c r="A3139" s="3">
        <v>43501</v>
      </c>
      <c r="B3139" s="336">
        <v>7800</v>
      </c>
      <c r="C3139" s="336">
        <v>8000</v>
      </c>
      <c r="D3139" s="337">
        <f t="shared" si="789"/>
        <v>7900</v>
      </c>
      <c r="E3139" s="331"/>
      <c r="F3139" s="331"/>
    </row>
    <row r="3140" spans="1:6" ht="15" customHeight="1">
      <c r="A3140" s="3">
        <v>43502</v>
      </c>
      <c r="B3140" s="336">
        <v>7800</v>
      </c>
      <c r="C3140" s="336">
        <v>8000</v>
      </c>
      <c r="D3140" s="337">
        <f t="shared" si="789"/>
        <v>7900</v>
      </c>
      <c r="E3140" s="331"/>
      <c r="F3140" s="331"/>
    </row>
    <row r="3141" spans="1:6" ht="15" customHeight="1">
      <c r="A3141" s="3">
        <v>43503</v>
      </c>
      <c r="B3141" s="336">
        <v>7800</v>
      </c>
      <c r="C3141" s="336">
        <v>8000</v>
      </c>
      <c r="D3141" s="337">
        <f t="shared" si="789"/>
        <v>7900</v>
      </c>
      <c r="E3141" s="331"/>
      <c r="F3141" s="331"/>
    </row>
    <row r="3142" spans="1:6" ht="15" customHeight="1">
      <c r="A3142" s="3">
        <v>43504</v>
      </c>
      <c r="B3142" s="336">
        <v>7800</v>
      </c>
      <c r="C3142" s="336">
        <v>8000</v>
      </c>
      <c r="D3142" s="337">
        <f t="shared" si="789"/>
        <v>7900</v>
      </c>
      <c r="E3142" s="331"/>
      <c r="F3142" s="331"/>
    </row>
    <row r="3143" spans="1:6" ht="15" customHeight="1">
      <c r="A3143" s="3">
        <v>43507</v>
      </c>
      <c r="B3143" s="336">
        <v>7800</v>
      </c>
      <c r="C3143" s="336">
        <v>8000</v>
      </c>
      <c r="D3143" s="337">
        <f t="shared" si="789"/>
        <v>7900</v>
      </c>
      <c r="E3143" s="331"/>
      <c r="F3143" s="331"/>
    </row>
    <row r="3144" spans="1:6" ht="15" customHeight="1">
      <c r="A3144" s="3">
        <v>43508</v>
      </c>
      <c r="B3144" s="336">
        <v>7800</v>
      </c>
      <c r="C3144" s="336">
        <v>8000</v>
      </c>
      <c r="D3144" s="337">
        <f t="shared" si="789"/>
        <v>7900</v>
      </c>
      <c r="E3144" s="331"/>
      <c r="F3144" s="331"/>
    </row>
    <row r="3145" spans="1:6" ht="15" customHeight="1">
      <c r="A3145" s="3">
        <v>43509</v>
      </c>
      <c r="B3145" s="336">
        <v>7800</v>
      </c>
      <c r="C3145" s="336">
        <v>8000</v>
      </c>
      <c r="D3145" s="337">
        <f t="shared" si="789"/>
        <v>7900</v>
      </c>
      <c r="E3145" s="331"/>
      <c r="F3145" s="331"/>
    </row>
    <row r="3146" spans="1:6" ht="15" customHeight="1">
      <c r="A3146" s="3">
        <v>43510</v>
      </c>
      <c r="B3146" s="336">
        <v>7800</v>
      </c>
      <c r="C3146" s="336">
        <v>8000</v>
      </c>
      <c r="D3146" s="337">
        <f t="shared" si="789"/>
        <v>7900</v>
      </c>
      <c r="E3146" s="331"/>
      <c r="F3146" s="331"/>
    </row>
    <row r="3147" spans="1:6" ht="15" customHeight="1">
      <c r="A3147" s="3">
        <v>43511</v>
      </c>
      <c r="B3147" s="336">
        <v>7800</v>
      </c>
      <c r="C3147" s="336">
        <v>8000</v>
      </c>
      <c r="D3147" s="337">
        <f t="shared" si="789"/>
        <v>7900</v>
      </c>
      <c r="E3147" s="331"/>
      <c r="F3147" s="331"/>
    </row>
    <row r="3148" spans="1:6" ht="15" customHeight="1">
      <c r="A3148" s="3">
        <v>43514</v>
      </c>
      <c r="B3148" s="336">
        <v>7800</v>
      </c>
      <c r="C3148" s="336">
        <v>8000</v>
      </c>
      <c r="D3148" s="337">
        <f t="shared" si="789"/>
        <v>7900</v>
      </c>
      <c r="E3148" s="331"/>
      <c r="F3148" s="331"/>
    </row>
    <row r="3149" spans="1:6" ht="15" customHeight="1">
      <c r="A3149" s="3">
        <v>43515</v>
      </c>
      <c r="B3149" s="336">
        <v>7800</v>
      </c>
      <c r="C3149" s="336">
        <v>8000</v>
      </c>
      <c r="D3149" s="337">
        <f t="shared" si="789"/>
        <v>7900</v>
      </c>
      <c r="E3149" s="331"/>
      <c r="F3149" s="331"/>
    </row>
    <row r="3150" spans="1:6" ht="15" customHeight="1">
      <c r="A3150" s="3">
        <v>43516</v>
      </c>
      <c r="B3150" s="336">
        <v>7800</v>
      </c>
      <c r="C3150" s="336">
        <v>8000</v>
      </c>
      <c r="D3150" s="337">
        <f t="shared" si="789"/>
        <v>7900</v>
      </c>
      <c r="E3150" s="331"/>
      <c r="F3150" s="331"/>
    </row>
    <row r="3151" spans="1:6" ht="15" customHeight="1">
      <c r="A3151" s="3">
        <v>43517</v>
      </c>
      <c r="B3151" s="336">
        <v>7800</v>
      </c>
      <c r="C3151" s="336">
        <v>8000</v>
      </c>
      <c r="D3151" s="337">
        <f t="shared" si="789"/>
        <v>7900</v>
      </c>
      <c r="E3151" s="331"/>
      <c r="F3151" s="331"/>
    </row>
    <row r="3152" spans="1:6" ht="15" customHeight="1">
      <c r="A3152" s="3">
        <v>43518</v>
      </c>
      <c r="B3152" s="336">
        <v>7800</v>
      </c>
      <c r="C3152" s="336">
        <v>8000</v>
      </c>
      <c r="D3152" s="337">
        <f t="shared" si="789"/>
        <v>7900</v>
      </c>
      <c r="E3152" s="331"/>
      <c r="F3152" s="331"/>
    </row>
    <row r="3153" spans="1:6" ht="15" customHeight="1">
      <c r="A3153" s="3">
        <v>43521</v>
      </c>
      <c r="B3153" s="336">
        <v>7800</v>
      </c>
      <c r="C3153" s="336">
        <v>8000</v>
      </c>
      <c r="D3153" s="337">
        <f t="shared" si="789"/>
        <v>7900</v>
      </c>
      <c r="E3153" s="331"/>
      <c r="F3153" s="331"/>
    </row>
    <row r="3154" spans="1:6" ht="15" customHeight="1">
      <c r="A3154" s="3">
        <v>43522</v>
      </c>
      <c r="B3154" s="336">
        <v>7800</v>
      </c>
      <c r="C3154" s="336">
        <v>8000</v>
      </c>
      <c r="D3154" s="337">
        <f t="shared" si="789"/>
        <v>7900</v>
      </c>
      <c r="E3154" s="331"/>
      <c r="F3154" s="331"/>
    </row>
    <row r="3155" spans="1:6" ht="15" customHeight="1">
      <c r="A3155" s="3">
        <v>43523</v>
      </c>
      <c r="B3155" s="336">
        <v>7800</v>
      </c>
      <c r="C3155" s="336">
        <v>8000</v>
      </c>
      <c r="D3155" s="337">
        <f t="shared" si="789"/>
        <v>7900</v>
      </c>
      <c r="E3155" s="331"/>
      <c r="F3155" s="331"/>
    </row>
    <row r="3156" spans="1:6" ht="15" customHeight="1" thickBot="1">
      <c r="A3156" s="11">
        <v>43524</v>
      </c>
      <c r="B3156" s="341">
        <v>7800</v>
      </c>
      <c r="C3156" s="341">
        <v>8000</v>
      </c>
      <c r="D3156" s="342">
        <f t="shared" si="789"/>
        <v>7900</v>
      </c>
      <c r="E3156" s="360">
        <f>AVERAGE($D$3137:D3156)</f>
        <v>7900</v>
      </c>
      <c r="F3156" s="360">
        <f>AVERAGE($D$3115:D3156)</f>
        <v>7923.8095238095239</v>
      </c>
    </row>
    <row r="3157" spans="1:6" ht="15" customHeight="1">
      <c r="A3157" s="3">
        <v>43525</v>
      </c>
      <c r="B3157" s="336">
        <v>7700</v>
      </c>
      <c r="C3157" s="336">
        <v>7900</v>
      </c>
      <c r="D3157" s="337">
        <f t="shared" ref="D3157:D3168" si="790">AVERAGE(B3157:C3157)</f>
        <v>7800</v>
      </c>
      <c r="E3157" s="336"/>
      <c r="F3157" s="336"/>
    </row>
    <row r="3158" spans="1:6" ht="15" customHeight="1">
      <c r="A3158" s="3">
        <v>43528</v>
      </c>
      <c r="B3158" s="336">
        <v>7700</v>
      </c>
      <c r="C3158" s="336">
        <v>7900</v>
      </c>
      <c r="D3158" s="337">
        <f t="shared" si="790"/>
        <v>7800</v>
      </c>
      <c r="E3158" s="336"/>
      <c r="F3158" s="336"/>
    </row>
    <row r="3159" spans="1:6" ht="15" customHeight="1">
      <c r="A3159" s="3">
        <v>43529</v>
      </c>
      <c r="B3159" s="336">
        <v>7700</v>
      </c>
      <c r="C3159" s="336">
        <v>7900</v>
      </c>
      <c r="D3159" s="337">
        <f t="shared" si="790"/>
        <v>7800</v>
      </c>
      <c r="E3159" s="336"/>
      <c r="F3159" s="336"/>
    </row>
    <row r="3160" spans="1:6" ht="15" customHeight="1">
      <c r="A3160" s="3">
        <v>43530</v>
      </c>
      <c r="B3160" s="336">
        <v>7500</v>
      </c>
      <c r="C3160" s="336">
        <v>7800</v>
      </c>
      <c r="D3160" s="337">
        <f t="shared" si="790"/>
        <v>7650</v>
      </c>
      <c r="E3160" s="336"/>
      <c r="F3160" s="336"/>
    </row>
    <row r="3161" spans="1:6" ht="15" customHeight="1">
      <c r="A3161" s="3">
        <v>43531</v>
      </c>
      <c r="B3161" s="336">
        <v>7500</v>
      </c>
      <c r="C3161" s="336">
        <v>7800</v>
      </c>
      <c r="D3161" s="337">
        <f t="shared" si="790"/>
        <v>7650</v>
      </c>
      <c r="E3161" s="336"/>
      <c r="F3161" s="336"/>
    </row>
    <row r="3162" spans="1:6" ht="15" customHeight="1">
      <c r="A3162" s="3">
        <v>43532</v>
      </c>
      <c r="B3162" s="336">
        <v>7500</v>
      </c>
      <c r="C3162" s="336">
        <v>7800</v>
      </c>
      <c r="D3162" s="337">
        <f t="shared" si="790"/>
        <v>7650</v>
      </c>
      <c r="E3162" s="336"/>
      <c r="F3162" s="336"/>
    </row>
    <row r="3163" spans="1:6" ht="15" customHeight="1">
      <c r="A3163" s="3">
        <v>43535</v>
      </c>
      <c r="B3163" s="336">
        <v>7500</v>
      </c>
      <c r="C3163" s="336">
        <v>7800</v>
      </c>
      <c r="D3163" s="337">
        <f t="shared" si="790"/>
        <v>7650</v>
      </c>
      <c r="E3163" s="336"/>
      <c r="F3163" s="336"/>
    </row>
    <row r="3164" spans="1:6" ht="15" customHeight="1">
      <c r="A3164" s="3">
        <v>43536</v>
      </c>
      <c r="B3164" s="336">
        <v>7500</v>
      </c>
      <c r="C3164" s="336">
        <v>7800</v>
      </c>
      <c r="D3164" s="337">
        <f t="shared" si="790"/>
        <v>7650</v>
      </c>
      <c r="E3164" s="336"/>
      <c r="F3164" s="336"/>
    </row>
    <row r="3165" spans="1:6" ht="15" customHeight="1">
      <c r="A3165" s="3">
        <v>43537</v>
      </c>
      <c r="B3165" s="336">
        <v>7500</v>
      </c>
      <c r="C3165" s="336">
        <v>7800</v>
      </c>
      <c r="D3165" s="337">
        <f t="shared" si="790"/>
        <v>7650</v>
      </c>
      <c r="E3165" s="336"/>
      <c r="F3165" s="336"/>
    </row>
    <row r="3166" spans="1:6" ht="15" customHeight="1">
      <c r="A3166" s="3">
        <v>43538</v>
      </c>
      <c r="B3166" s="336">
        <v>7500</v>
      </c>
      <c r="C3166" s="336">
        <v>7800</v>
      </c>
      <c r="D3166" s="337">
        <f t="shared" si="790"/>
        <v>7650</v>
      </c>
      <c r="E3166" s="336"/>
      <c r="F3166" s="336"/>
    </row>
    <row r="3167" spans="1:6" ht="15" customHeight="1">
      <c r="A3167" s="3">
        <v>43539</v>
      </c>
      <c r="B3167" s="336">
        <v>7500</v>
      </c>
      <c r="C3167" s="336">
        <v>7800</v>
      </c>
      <c r="D3167" s="337">
        <f t="shared" si="790"/>
        <v>7650</v>
      </c>
      <c r="E3167" s="336"/>
      <c r="F3167" s="336"/>
    </row>
    <row r="3168" spans="1:6" ht="15" customHeight="1">
      <c r="A3168" s="3">
        <v>43542</v>
      </c>
      <c r="B3168" s="336">
        <v>7500</v>
      </c>
      <c r="C3168" s="336">
        <v>7800</v>
      </c>
      <c r="D3168" s="337">
        <f t="shared" si="790"/>
        <v>7650</v>
      </c>
    </row>
    <row r="3169" spans="1:6" ht="15" customHeight="1">
      <c r="A3169" s="3">
        <v>43543</v>
      </c>
      <c r="B3169" s="336">
        <v>7500</v>
      </c>
      <c r="C3169" s="336">
        <v>7800</v>
      </c>
      <c r="D3169" s="337">
        <f t="shared" ref="D3169:D3183" si="791">AVERAGE(B3169:C3169)</f>
        <v>7650</v>
      </c>
    </row>
    <row r="3170" spans="1:6" ht="15" customHeight="1">
      <c r="A3170" s="3">
        <v>43544</v>
      </c>
      <c r="B3170" s="336">
        <v>7400</v>
      </c>
      <c r="C3170" s="336">
        <v>7700</v>
      </c>
      <c r="D3170" s="337">
        <f t="shared" si="791"/>
        <v>7550</v>
      </c>
    </row>
    <row r="3171" spans="1:6" ht="15" customHeight="1">
      <c r="A3171" s="3">
        <v>43545</v>
      </c>
      <c r="B3171" s="336">
        <v>7400</v>
      </c>
      <c r="C3171" s="336">
        <v>7700</v>
      </c>
      <c r="D3171" s="337">
        <f t="shared" si="791"/>
        <v>7550</v>
      </c>
    </row>
    <row r="3172" spans="1:6" ht="15" customHeight="1">
      <c r="A3172" s="3">
        <v>43546</v>
      </c>
      <c r="B3172" s="336">
        <v>7400</v>
      </c>
      <c r="C3172" s="336">
        <v>7700</v>
      </c>
      <c r="D3172" s="337">
        <f t="shared" si="791"/>
        <v>7550</v>
      </c>
    </row>
    <row r="3173" spans="1:6" ht="15" customHeight="1">
      <c r="A3173" s="3">
        <v>43549</v>
      </c>
      <c r="B3173" s="336">
        <v>7400</v>
      </c>
      <c r="C3173" s="336">
        <v>7700</v>
      </c>
      <c r="D3173" s="337">
        <f t="shared" si="791"/>
        <v>7550</v>
      </c>
    </row>
    <row r="3174" spans="1:6" ht="15" customHeight="1">
      <c r="A3174" s="3">
        <v>43550</v>
      </c>
      <c r="B3174" s="336">
        <v>7400</v>
      </c>
      <c r="C3174" s="336">
        <v>7700</v>
      </c>
      <c r="D3174" s="337">
        <f t="shared" si="791"/>
        <v>7550</v>
      </c>
    </row>
    <row r="3175" spans="1:6" ht="15" customHeight="1">
      <c r="A3175" s="3">
        <v>43551</v>
      </c>
      <c r="B3175" s="336">
        <v>7300</v>
      </c>
      <c r="C3175" s="336">
        <v>7600</v>
      </c>
      <c r="D3175" s="337">
        <f t="shared" si="791"/>
        <v>7450</v>
      </c>
    </row>
    <row r="3176" spans="1:6" ht="15" customHeight="1">
      <c r="A3176" s="3">
        <v>43552</v>
      </c>
      <c r="B3176" s="336">
        <v>7300</v>
      </c>
      <c r="C3176" s="336">
        <v>7600</v>
      </c>
      <c r="D3176" s="337">
        <f t="shared" si="791"/>
        <v>7450</v>
      </c>
    </row>
    <row r="3177" spans="1:6" ht="15" customHeight="1" thickBot="1">
      <c r="A3177" s="11">
        <v>43553</v>
      </c>
      <c r="B3177" s="341">
        <v>7300</v>
      </c>
      <c r="C3177" s="341">
        <v>7600</v>
      </c>
      <c r="D3177" s="342">
        <f t="shared" si="791"/>
        <v>7450</v>
      </c>
      <c r="E3177" s="360">
        <f>AVERAGE($D$3157:D3177)</f>
        <v>7619.0476190476193</v>
      </c>
      <c r="F3177" s="360">
        <f>AVERAGE($D$3115:D3177)</f>
        <v>7822.2222222222226</v>
      </c>
    </row>
    <row r="3178" spans="1:6" ht="15" customHeight="1">
      <c r="A3178" s="29">
        <v>43556</v>
      </c>
      <c r="B3178" s="336">
        <v>7200</v>
      </c>
      <c r="C3178" s="336">
        <v>7500</v>
      </c>
      <c r="D3178" s="337">
        <f t="shared" si="791"/>
        <v>7350</v>
      </c>
      <c r="E3178" s="331"/>
      <c r="F3178" s="331"/>
    </row>
    <row r="3179" spans="1:6" ht="15" customHeight="1">
      <c r="A3179" s="3">
        <v>43557</v>
      </c>
      <c r="B3179" s="336">
        <v>7200</v>
      </c>
      <c r="C3179" s="336">
        <v>7500</v>
      </c>
      <c r="D3179" s="337">
        <f t="shared" si="791"/>
        <v>7350</v>
      </c>
    </row>
    <row r="3180" spans="1:6" ht="15" customHeight="1">
      <c r="A3180" s="3">
        <v>43558</v>
      </c>
      <c r="B3180" s="336">
        <v>7100</v>
      </c>
      <c r="C3180" s="336">
        <v>7450</v>
      </c>
      <c r="D3180" s="337">
        <f t="shared" si="791"/>
        <v>7275</v>
      </c>
    </row>
    <row r="3181" spans="1:6" ht="15" customHeight="1">
      <c r="A3181" s="3">
        <v>43559</v>
      </c>
      <c r="B3181" s="336">
        <v>7100</v>
      </c>
      <c r="C3181" s="336">
        <v>7450</v>
      </c>
      <c r="D3181" s="337">
        <f t="shared" si="791"/>
        <v>7275</v>
      </c>
    </row>
    <row r="3182" spans="1:6" ht="15" customHeight="1">
      <c r="A3182" s="3">
        <v>43560</v>
      </c>
      <c r="B3182" s="336">
        <v>7000</v>
      </c>
      <c r="C3182" s="336">
        <v>7300</v>
      </c>
      <c r="D3182" s="337">
        <f t="shared" si="791"/>
        <v>7150</v>
      </c>
    </row>
    <row r="3183" spans="1:6" ht="15" customHeight="1">
      <c r="A3183" s="3">
        <v>43563</v>
      </c>
      <c r="B3183" s="336">
        <v>7000</v>
      </c>
      <c r="C3183" s="336">
        <v>7300</v>
      </c>
      <c r="D3183" s="337">
        <f t="shared" si="791"/>
        <v>7150</v>
      </c>
    </row>
    <row r="3184" spans="1:6" ht="15" customHeight="1">
      <c r="A3184" s="3">
        <v>43564</v>
      </c>
      <c r="B3184" s="336">
        <v>7000</v>
      </c>
      <c r="C3184" s="336">
        <v>7300</v>
      </c>
      <c r="D3184" s="337">
        <f t="shared" ref="D3184:D3186" si="792">AVERAGE(B3184:C3184)</f>
        <v>7150</v>
      </c>
    </row>
    <row r="3185" spans="1:21" ht="15" customHeight="1">
      <c r="A3185" s="3">
        <v>43565</v>
      </c>
      <c r="B3185" s="336">
        <v>7000</v>
      </c>
      <c r="C3185" s="336">
        <v>7300</v>
      </c>
      <c r="D3185" s="337">
        <f t="shared" si="792"/>
        <v>7150</v>
      </c>
    </row>
    <row r="3186" spans="1:21" ht="15" customHeight="1">
      <c r="A3186" s="3">
        <v>43566</v>
      </c>
      <c r="B3186" s="336">
        <v>7000</v>
      </c>
      <c r="C3186" s="336">
        <v>7300</v>
      </c>
      <c r="D3186" s="337">
        <f t="shared" si="792"/>
        <v>7150</v>
      </c>
    </row>
    <row r="3187" spans="1:21" ht="15" customHeight="1">
      <c r="A3187" s="3">
        <v>43567</v>
      </c>
      <c r="B3187" s="336">
        <v>7000</v>
      </c>
      <c r="C3187" s="336">
        <v>7300</v>
      </c>
      <c r="D3187" s="337">
        <f t="shared" ref="D3187" si="793">AVERAGE(B3187:C3187)</f>
        <v>7150</v>
      </c>
    </row>
    <row r="3188" spans="1:21" ht="15" customHeight="1">
      <c r="A3188" s="3">
        <v>43570</v>
      </c>
      <c r="B3188" s="336">
        <v>7000</v>
      </c>
      <c r="C3188" s="336">
        <v>7300</v>
      </c>
      <c r="D3188" s="337">
        <f t="shared" ref="D3188:D3191" si="794">AVERAGE(B3188:C3188)</f>
        <v>7150</v>
      </c>
    </row>
    <row r="3189" spans="1:21" ht="15" customHeight="1">
      <c r="A3189" s="3">
        <v>43571</v>
      </c>
      <c r="B3189" s="336">
        <v>7000</v>
      </c>
      <c r="C3189" s="336">
        <v>7300</v>
      </c>
      <c r="D3189" s="337">
        <f t="shared" si="794"/>
        <v>7150</v>
      </c>
    </row>
    <row r="3190" spans="1:21" ht="15" customHeight="1">
      <c r="A3190" s="3">
        <v>43572</v>
      </c>
      <c r="B3190" s="336">
        <v>7000</v>
      </c>
      <c r="C3190" s="336">
        <v>7300</v>
      </c>
      <c r="D3190" s="337">
        <f t="shared" si="794"/>
        <v>7150</v>
      </c>
    </row>
    <row r="3191" spans="1:21" ht="15" customHeight="1">
      <c r="A3191" s="3">
        <v>43573</v>
      </c>
      <c r="B3191" s="336">
        <v>7000</v>
      </c>
      <c r="C3191" s="336">
        <v>7300</v>
      </c>
      <c r="D3191" s="337">
        <f t="shared" si="794"/>
        <v>7150</v>
      </c>
    </row>
    <row r="3192" spans="1:21" s="7" customFormat="1" ht="15" customHeight="1">
      <c r="A3192" s="3">
        <v>43574</v>
      </c>
      <c r="B3192" s="1318" t="s">
        <v>51</v>
      </c>
      <c r="C3192" s="1318"/>
      <c r="D3192" s="131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18"/>
      <c r="C3193" s="1318"/>
      <c r="D3193" s="1318"/>
      <c r="E3193" s="24"/>
      <c r="F3193" s="24"/>
      <c r="G3193" s="24"/>
      <c r="H3193" s="24"/>
      <c r="I3193" s="24"/>
      <c r="J3193" s="24"/>
      <c r="K3193" s="24"/>
      <c r="L3193" s="24"/>
      <c r="M3193" s="24"/>
      <c r="N3193" s="24"/>
      <c r="O3193"/>
      <c r="P3193"/>
      <c r="Q3193" s="247"/>
      <c r="R3193" s="25"/>
      <c r="S3193" s="25"/>
      <c r="T3193" s="25"/>
      <c r="U3193" s="25"/>
    </row>
    <row r="3194" spans="1:21" ht="15" customHeight="1">
      <c r="A3194" s="3">
        <v>43578</v>
      </c>
      <c r="B3194" s="336">
        <v>7000</v>
      </c>
      <c r="C3194" s="336">
        <v>7300</v>
      </c>
      <c r="D3194" s="337">
        <f t="shared" ref="D3194:D3210" si="795">AVERAGE(B3194:C3194)</f>
        <v>7150</v>
      </c>
      <c r="E3194" s="24"/>
      <c r="F3194" s="24"/>
    </row>
    <row r="3195" spans="1:21" ht="15" customHeight="1">
      <c r="A3195" s="3">
        <v>43579</v>
      </c>
      <c r="B3195" s="336">
        <v>7000</v>
      </c>
      <c r="C3195" s="336">
        <v>7300</v>
      </c>
      <c r="D3195" s="337">
        <f t="shared" si="795"/>
        <v>7150</v>
      </c>
      <c r="E3195" s="24"/>
      <c r="F3195" s="24"/>
    </row>
    <row r="3196" spans="1:21" ht="15" customHeight="1">
      <c r="A3196" s="3">
        <v>43580</v>
      </c>
      <c r="B3196" s="336">
        <v>7000</v>
      </c>
      <c r="C3196" s="336">
        <v>7300</v>
      </c>
      <c r="D3196" s="337">
        <f t="shared" si="795"/>
        <v>7150</v>
      </c>
      <c r="E3196" s="24"/>
      <c r="F3196" s="24"/>
    </row>
    <row r="3197" spans="1:21" ht="15" customHeight="1">
      <c r="A3197" s="3">
        <v>43581</v>
      </c>
      <c r="B3197" s="336">
        <v>7000</v>
      </c>
      <c r="C3197" s="336">
        <v>7300</v>
      </c>
      <c r="D3197" s="337">
        <f t="shared" si="795"/>
        <v>7150</v>
      </c>
      <c r="E3197" s="24"/>
      <c r="F3197" s="24"/>
    </row>
    <row r="3198" spans="1:21" ht="15" customHeight="1">
      <c r="A3198" s="3">
        <v>43584</v>
      </c>
      <c r="B3198" s="336">
        <v>7000</v>
      </c>
      <c r="C3198" s="336">
        <v>7300</v>
      </c>
      <c r="D3198" s="337">
        <f t="shared" si="795"/>
        <v>7150</v>
      </c>
      <c r="E3198" s="24"/>
      <c r="F3198" s="24"/>
    </row>
    <row r="3199" spans="1:21" ht="15" customHeight="1" thickBot="1">
      <c r="A3199" s="11">
        <v>43585</v>
      </c>
      <c r="B3199" s="341">
        <v>7000</v>
      </c>
      <c r="C3199" s="341">
        <v>7300</v>
      </c>
      <c r="D3199" s="342">
        <f t="shared" si="795"/>
        <v>7150</v>
      </c>
      <c r="E3199" s="360">
        <f>AVERAGE($D$3178:D3199)</f>
        <v>7182.5</v>
      </c>
      <c r="F3199" s="360">
        <f>AVERAGE($D$3115:D3199)</f>
        <v>7668.0722891566265</v>
      </c>
    </row>
    <row r="3200" spans="1:21" ht="15" customHeight="1">
      <c r="A3200" s="3">
        <v>43586</v>
      </c>
      <c r="B3200" s="336">
        <v>7000</v>
      </c>
      <c r="C3200" s="336">
        <v>7300</v>
      </c>
      <c r="D3200" s="337">
        <f t="shared" si="795"/>
        <v>7150</v>
      </c>
      <c r="E3200" s="24"/>
      <c r="F3200" s="24"/>
    </row>
    <row r="3201" spans="1:7" ht="15" customHeight="1">
      <c r="A3201" s="3">
        <v>43587</v>
      </c>
      <c r="B3201" s="336">
        <v>7000</v>
      </c>
      <c r="C3201" s="336">
        <v>7300</v>
      </c>
      <c r="D3201" s="337">
        <f t="shared" si="795"/>
        <v>7150</v>
      </c>
      <c r="E3201" s="24"/>
      <c r="F3201" s="24"/>
    </row>
    <row r="3202" spans="1:7" ht="15" customHeight="1">
      <c r="A3202" s="3">
        <v>43588</v>
      </c>
      <c r="B3202" s="336">
        <v>7000</v>
      </c>
      <c r="C3202" s="336">
        <v>7300</v>
      </c>
      <c r="D3202" s="337">
        <f t="shared" si="795"/>
        <v>7150</v>
      </c>
      <c r="E3202" s="24"/>
      <c r="F3202" s="24"/>
    </row>
    <row r="3203" spans="1:7" ht="15" customHeight="1">
      <c r="A3203" s="3">
        <v>43591</v>
      </c>
      <c r="B3203" s="1318" t="s">
        <v>51</v>
      </c>
      <c r="C3203" s="1318"/>
      <c r="D3203" s="1318"/>
      <c r="E3203" s="24"/>
      <c r="F3203" s="24"/>
      <c r="G3203" s="24"/>
    </row>
    <row r="3204" spans="1:7" ht="15" customHeight="1">
      <c r="A3204" s="3">
        <v>43592</v>
      </c>
      <c r="B3204" s="336">
        <v>7000</v>
      </c>
      <c r="C3204" s="336">
        <v>7300</v>
      </c>
      <c r="D3204" s="337">
        <f t="shared" si="795"/>
        <v>7150</v>
      </c>
      <c r="E3204" s="24"/>
      <c r="F3204" s="24"/>
    </row>
    <row r="3205" spans="1:7" ht="15" customHeight="1">
      <c r="A3205" s="3">
        <v>43593</v>
      </c>
      <c r="B3205" s="336">
        <v>7000</v>
      </c>
      <c r="C3205" s="336">
        <v>7300</v>
      </c>
      <c r="D3205" s="337">
        <f t="shared" si="795"/>
        <v>7150</v>
      </c>
      <c r="E3205" s="24"/>
      <c r="F3205" s="24"/>
    </row>
    <row r="3206" spans="1:7" ht="15" customHeight="1">
      <c r="A3206" s="3">
        <v>43594</v>
      </c>
      <c r="B3206" s="336">
        <v>7000</v>
      </c>
      <c r="C3206" s="336">
        <v>7300</v>
      </c>
      <c r="D3206" s="337">
        <f t="shared" si="795"/>
        <v>7150</v>
      </c>
      <c r="E3206" s="24"/>
      <c r="F3206" s="24"/>
    </row>
    <row r="3207" spans="1:7" ht="15" customHeight="1">
      <c r="A3207" s="3">
        <v>43595</v>
      </c>
      <c r="B3207" s="336">
        <v>7000</v>
      </c>
      <c r="C3207" s="336">
        <v>7200</v>
      </c>
      <c r="D3207" s="337">
        <f t="shared" si="795"/>
        <v>7100</v>
      </c>
      <c r="E3207" s="24"/>
      <c r="F3207" s="24"/>
    </row>
    <row r="3208" spans="1:7" ht="15" customHeight="1">
      <c r="A3208" s="3">
        <v>43598</v>
      </c>
      <c r="B3208" s="336">
        <v>7000</v>
      </c>
      <c r="C3208" s="336">
        <v>7200</v>
      </c>
      <c r="D3208" s="337">
        <f t="shared" si="795"/>
        <v>7100</v>
      </c>
      <c r="E3208" s="24"/>
      <c r="F3208" s="24"/>
    </row>
    <row r="3209" spans="1:7" ht="15" customHeight="1">
      <c r="A3209" s="3">
        <v>43599</v>
      </c>
      <c r="B3209" s="336">
        <v>7000</v>
      </c>
      <c r="C3209" s="336">
        <v>7200</v>
      </c>
      <c r="D3209" s="337">
        <f t="shared" si="795"/>
        <v>7100</v>
      </c>
      <c r="E3209" s="24"/>
      <c r="F3209" s="24"/>
    </row>
    <row r="3210" spans="1:7" ht="15" customHeight="1">
      <c r="A3210" s="3">
        <v>43600</v>
      </c>
      <c r="B3210" s="336">
        <v>7000</v>
      </c>
      <c r="C3210" s="336">
        <v>7200</v>
      </c>
      <c r="D3210" s="337">
        <f t="shared" si="795"/>
        <v>7100</v>
      </c>
    </row>
    <row r="3211" spans="1:7" ht="15" customHeight="1">
      <c r="A3211" s="3">
        <v>43601</v>
      </c>
      <c r="B3211" s="336">
        <v>7000</v>
      </c>
      <c r="C3211" s="336">
        <v>7200</v>
      </c>
      <c r="D3211" s="337">
        <f t="shared" ref="D3211:D3240" si="796">AVERAGE(B3211:C3211)</f>
        <v>7100</v>
      </c>
    </row>
    <row r="3212" spans="1:7" ht="15" customHeight="1">
      <c r="A3212" s="3">
        <v>43602</v>
      </c>
      <c r="B3212" s="336">
        <v>6900</v>
      </c>
      <c r="C3212" s="336">
        <v>7150</v>
      </c>
      <c r="D3212" s="337">
        <f t="shared" si="796"/>
        <v>7025</v>
      </c>
    </row>
    <row r="3213" spans="1:7" ht="15" customHeight="1">
      <c r="A3213" s="3">
        <v>43605</v>
      </c>
      <c r="B3213" s="336">
        <v>6900</v>
      </c>
      <c r="C3213" s="336">
        <v>7150</v>
      </c>
      <c r="D3213" s="337">
        <f t="shared" si="796"/>
        <v>7025</v>
      </c>
    </row>
    <row r="3214" spans="1:7" ht="15" customHeight="1">
      <c r="A3214" s="3">
        <v>43606</v>
      </c>
      <c r="B3214" s="336">
        <v>6900</v>
      </c>
      <c r="C3214" s="336">
        <v>7150</v>
      </c>
      <c r="D3214" s="337">
        <f t="shared" si="796"/>
        <v>7025</v>
      </c>
    </row>
    <row r="3215" spans="1:7" ht="15" customHeight="1">
      <c r="A3215" s="3">
        <v>43607</v>
      </c>
      <c r="B3215" s="336">
        <v>6800</v>
      </c>
      <c r="C3215" s="336">
        <v>7000</v>
      </c>
      <c r="D3215" s="337">
        <f t="shared" si="796"/>
        <v>6900</v>
      </c>
    </row>
    <row r="3216" spans="1:7" ht="15" customHeight="1">
      <c r="A3216" s="3">
        <v>43608</v>
      </c>
      <c r="B3216" s="336">
        <v>6800</v>
      </c>
      <c r="C3216" s="336">
        <v>7000</v>
      </c>
      <c r="D3216" s="337">
        <f t="shared" si="796"/>
        <v>6900</v>
      </c>
    </row>
    <row r="3217" spans="1:9" ht="15" customHeight="1">
      <c r="A3217" s="3">
        <v>43609</v>
      </c>
      <c r="B3217" s="336">
        <v>6700</v>
      </c>
      <c r="C3217" s="336">
        <v>6950</v>
      </c>
      <c r="D3217" s="337">
        <f t="shared" si="796"/>
        <v>6825</v>
      </c>
    </row>
    <row r="3218" spans="1:9" ht="15" customHeight="1">
      <c r="A3218" s="3">
        <v>43612</v>
      </c>
      <c r="B3218" s="1318" t="s">
        <v>51</v>
      </c>
      <c r="C3218" s="1318"/>
      <c r="D3218" s="1318"/>
    </row>
    <row r="3219" spans="1:9" ht="15" customHeight="1">
      <c r="A3219" s="3">
        <v>43613</v>
      </c>
      <c r="B3219" s="336">
        <v>6700</v>
      </c>
      <c r="C3219" s="336">
        <v>6950</v>
      </c>
      <c r="D3219" s="337">
        <f t="shared" si="796"/>
        <v>6825</v>
      </c>
    </row>
    <row r="3220" spans="1:9" ht="15" customHeight="1">
      <c r="A3220" s="3">
        <v>43614</v>
      </c>
      <c r="B3220" s="336">
        <v>6600</v>
      </c>
      <c r="C3220" s="336">
        <v>6850</v>
      </c>
      <c r="D3220" s="337">
        <f t="shared" si="796"/>
        <v>6725</v>
      </c>
    </row>
    <row r="3221" spans="1:9" ht="15" customHeight="1">
      <c r="A3221" s="3">
        <v>43615</v>
      </c>
      <c r="B3221" s="336">
        <v>6600</v>
      </c>
      <c r="C3221" s="336">
        <v>6850</v>
      </c>
      <c r="D3221" s="337">
        <f t="shared" si="796"/>
        <v>6725</v>
      </c>
    </row>
    <row r="3222" spans="1:9" ht="15" customHeight="1" thickBot="1">
      <c r="A3222" s="11">
        <v>43616</v>
      </c>
      <c r="B3222" s="341">
        <v>6600</v>
      </c>
      <c r="C3222" s="341">
        <v>6800</v>
      </c>
      <c r="D3222" s="342">
        <f t="shared" si="796"/>
        <v>6700</v>
      </c>
      <c r="E3222" s="360">
        <f>AVERAGE($D$3200:D3222)</f>
        <v>7003.5714285714284</v>
      </c>
      <c r="F3222" s="360">
        <f>AVERAGE($D$3115:D3222)</f>
        <v>7533.8942307692305</v>
      </c>
    </row>
    <row r="3223" spans="1:9" ht="15" customHeight="1">
      <c r="A3223" s="335">
        <v>43619</v>
      </c>
      <c r="B3223" s="336">
        <v>6600</v>
      </c>
      <c r="C3223" s="336">
        <v>6800</v>
      </c>
      <c r="D3223" s="337">
        <f t="shared" si="796"/>
        <v>6700</v>
      </c>
      <c r="E3223" s="331"/>
      <c r="F3223" s="331"/>
      <c r="G3223" s="400">
        <f t="shared" ref="G3223" si="797">F3223</f>
        <v>0</v>
      </c>
      <c r="H3223" s="400">
        <f>AVERAGE($D$3115:F3223)</f>
        <v>7537.1219687346593</v>
      </c>
      <c r="I3223" s="400">
        <f t="shared" ref="I3223" si="798">H3223</f>
        <v>7537.1219687346593</v>
      </c>
    </row>
    <row r="3224" spans="1:9" ht="15" customHeight="1">
      <c r="A3224" s="335">
        <v>43620</v>
      </c>
      <c r="B3224" s="336">
        <v>6600</v>
      </c>
      <c r="C3224" s="336">
        <v>6800</v>
      </c>
      <c r="D3224" s="337">
        <f t="shared" si="796"/>
        <v>6700</v>
      </c>
      <c r="E3224" s="331"/>
      <c r="F3224" s="331"/>
    </row>
    <row r="3225" spans="1:9" ht="15" customHeight="1">
      <c r="A3225" s="335">
        <v>43621</v>
      </c>
      <c r="B3225" s="336">
        <v>6600</v>
      </c>
      <c r="C3225" s="336">
        <v>6800</v>
      </c>
      <c r="D3225" s="337">
        <f t="shared" si="796"/>
        <v>6700</v>
      </c>
      <c r="E3225" s="331"/>
      <c r="F3225" s="331"/>
    </row>
    <row r="3226" spans="1:9" ht="15" customHeight="1">
      <c r="A3226" s="335">
        <v>43622</v>
      </c>
      <c r="B3226" s="336">
        <v>6600</v>
      </c>
      <c r="C3226" s="336">
        <v>6800</v>
      </c>
      <c r="D3226" s="337">
        <f t="shared" si="796"/>
        <v>6700</v>
      </c>
      <c r="E3226" s="331"/>
      <c r="F3226" s="331"/>
    </row>
    <row r="3227" spans="1:9" ht="15" customHeight="1">
      <c r="A3227" s="335">
        <v>43623</v>
      </c>
      <c r="B3227" s="336">
        <v>6500</v>
      </c>
      <c r="C3227" s="336">
        <v>6700</v>
      </c>
      <c r="D3227" s="337">
        <f t="shared" si="796"/>
        <v>6600</v>
      </c>
      <c r="E3227" s="331"/>
      <c r="F3227" s="331"/>
    </row>
    <row r="3228" spans="1:9" ht="15" customHeight="1">
      <c r="A3228" s="335">
        <v>43626</v>
      </c>
      <c r="B3228" s="336">
        <v>6500</v>
      </c>
      <c r="C3228" s="336">
        <v>6700</v>
      </c>
      <c r="D3228" s="337">
        <f t="shared" si="796"/>
        <v>6600</v>
      </c>
      <c r="E3228" s="331"/>
      <c r="F3228" s="331"/>
    </row>
    <row r="3229" spans="1:9" ht="15" customHeight="1">
      <c r="A3229" s="335">
        <v>43627</v>
      </c>
      <c r="B3229" s="336">
        <v>6500</v>
      </c>
      <c r="C3229" s="336">
        <v>6700</v>
      </c>
      <c r="D3229" s="337">
        <f t="shared" si="796"/>
        <v>6600</v>
      </c>
      <c r="E3229" s="331"/>
      <c r="F3229" s="331"/>
    </row>
    <row r="3230" spans="1:9" ht="15" customHeight="1">
      <c r="A3230" s="335">
        <v>43628</v>
      </c>
      <c r="B3230" s="336">
        <v>6350</v>
      </c>
      <c r="C3230" s="336">
        <v>6600</v>
      </c>
      <c r="D3230" s="337">
        <f t="shared" si="796"/>
        <v>6475</v>
      </c>
      <c r="E3230" s="331"/>
      <c r="F3230" s="331"/>
    </row>
    <row r="3231" spans="1:9" ht="15" customHeight="1">
      <c r="A3231" s="335">
        <v>43629</v>
      </c>
      <c r="B3231" s="336">
        <v>6350</v>
      </c>
      <c r="C3231" s="336">
        <v>6600</v>
      </c>
      <c r="D3231" s="337">
        <f t="shared" si="796"/>
        <v>6475</v>
      </c>
      <c r="E3231" s="331"/>
      <c r="F3231" s="331"/>
    </row>
    <row r="3232" spans="1:9" ht="15" customHeight="1">
      <c r="A3232" s="335">
        <v>43630</v>
      </c>
      <c r="B3232" s="336">
        <v>6350</v>
      </c>
      <c r="C3232" s="336">
        <v>6600</v>
      </c>
      <c r="D3232" s="337">
        <f t="shared" si="796"/>
        <v>6475</v>
      </c>
      <c r="E3232" s="331"/>
      <c r="F3232" s="331"/>
    </row>
    <row r="3233" spans="1:6" ht="15" customHeight="1">
      <c r="A3233" s="3">
        <v>43633</v>
      </c>
      <c r="B3233" s="336">
        <v>6350</v>
      </c>
      <c r="C3233" s="336">
        <v>6600</v>
      </c>
      <c r="D3233" s="337">
        <f t="shared" si="796"/>
        <v>6475</v>
      </c>
      <c r="E3233" s="331"/>
      <c r="F3233" s="331"/>
    </row>
    <row r="3234" spans="1:6" ht="15" customHeight="1">
      <c r="A3234" s="3">
        <v>43634</v>
      </c>
      <c r="B3234" s="336">
        <v>6350</v>
      </c>
      <c r="C3234" s="336">
        <v>6600</v>
      </c>
      <c r="D3234" s="337">
        <f t="shared" si="796"/>
        <v>6475</v>
      </c>
      <c r="E3234" s="331"/>
      <c r="F3234" s="331"/>
    </row>
    <row r="3235" spans="1:6" ht="15" customHeight="1">
      <c r="A3235" s="3">
        <v>43635</v>
      </c>
      <c r="B3235" s="336">
        <v>6300</v>
      </c>
      <c r="C3235" s="336">
        <v>6550</v>
      </c>
      <c r="D3235" s="337">
        <f t="shared" si="796"/>
        <v>6425</v>
      </c>
      <c r="E3235" s="331"/>
      <c r="F3235" s="331"/>
    </row>
    <row r="3236" spans="1:6" ht="15" customHeight="1">
      <c r="A3236" s="3">
        <v>43636</v>
      </c>
      <c r="B3236" s="336">
        <v>6300</v>
      </c>
      <c r="C3236" s="336">
        <v>6550</v>
      </c>
      <c r="D3236" s="337">
        <f t="shared" si="796"/>
        <v>6425</v>
      </c>
      <c r="E3236" s="331"/>
      <c r="F3236" s="331"/>
    </row>
    <row r="3237" spans="1:6" ht="15" customHeight="1">
      <c r="A3237" s="3">
        <v>43637</v>
      </c>
      <c r="B3237" s="336">
        <v>6300</v>
      </c>
      <c r="C3237" s="336">
        <v>6550</v>
      </c>
      <c r="D3237" s="337">
        <f t="shared" si="796"/>
        <v>6425</v>
      </c>
      <c r="E3237" s="331"/>
      <c r="F3237" s="331"/>
    </row>
    <row r="3238" spans="1:6" ht="15" customHeight="1">
      <c r="A3238" s="3">
        <v>43640</v>
      </c>
      <c r="B3238" s="336">
        <v>6300</v>
      </c>
      <c r="C3238" s="336">
        <v>6550</v>
      </c>
      <c r="D3238" s="337">
        <f t="shared" si="796"/>
        <v>6425</v>
      </c>
      <c r="E3238" s="331"/>
      <c r="F3238" s="331"/>
    </row>
    <row r="3239" spans="1:6" ht="15" customHeight="1">
      <c r="A3239" s="3">
        <v>43641</v>
      </c>
      <c r="B3239" s="336">
        <v>6300</v>
      </c>
      <c r="C3239" s="336">
        <v>6550</v>
      </c>
      <c r="D3239" s="337">
        <f t="shared" si="796"/>
        <v>6425</v>
      </c>
      <c r="E3239" s="331"/>
      <c r="F3239" s="331"/>
    </row>
    <row r="3240" spans="1:6" ht="15" customHeight="1">
      <c r="A3240" s="3">
        <v>43642</v>
      </c>
      <c r="B3240" s="336">
        <v>6300</v>
      </c>
      <c r="C3240" s="336">
        <v>6550</v>
      </c>
      <c r="D3240" s="337">
        <f t="shared" si="796"/>
        <v>6425</v>
      </c>
    </row>
    <row r="3241" spans="1:6" ht="15" customHeight="1">
      <c r="A3241" s="3">
        <v>43643</v>
      </c>
      <c r="B3241" s="336">
        <v>6300</v>
      </c>
      <c r="C3241" s="336">
        <v>6550</v>
      </c>
      <c r="D3241" s="337">
        <f t="shared" ref="D3241:D3268" si="799">AVERAGE(B3241:C3241)</f>
        <v>6425</v>
      </c>
    </row>
    <row r="3242" spans="1:6" ht="15" customHeight="1" thickBot="1">
      <c r="A3242" s="11">
        <v>43644</v>
      </c>
      <c r="B3242" s="341">
        <v>6180</v>
      </c>
      <c r="C3242" s="341">
        <v>6400</v>
      </c>
      <c r="D3242" s="342">
        <f t="shared" si="799"/>
        <v>6290</v>
      </c>
      <c r="E3242" s="360">
        <f>AVERAGE($D$3223:D3242)</f>
        <v>6512</v>
      </c>
      <c r="F3242" s="360">
        <f>AVERAGE($D$3115:D3242)</f>
        <v>7369.072580645161</v>
      </c>
    </row>
    <row r="3243" spans="1:6" ht="15" customHeight="1">
      <c r="A3243" s="335">
        <v>43647</v>
      </c>
      <c r="B3243" s="336">
        <v>6180</v>
      </c>
      <c r="C3243" s="336">
        <v>6400</v>
      </c>
      <c r="D3243" s="337">
        <f t="shared" si="799"/>
        <v>6290</v>
      </c>
      <c r="E3243" s="331"/>
      <c r="F3243" s="331"/>
    </row>
    <row r="3244" spans="1:6" ht="15" customHeight="1">
      <c r="A3244" s="335">
        <v>43648</v>
      </c>
      <c r="B3244" s="336">
        <v>6180</v>
      </c>
      <c r="C3244" s="336">
        <v>6400</v>
      </c>
      <c r="D3244" s="337">
        <f t="shared" si="799"/>
        <v>6290</v>
      </c>
    </row>
    <row r="3245" spans="1:6" ht="15" customHeight="1">
      <c r="A3245" s="335">
        <v>43649</v>
      </c>
      <c r="B3245" s="336">
        <v>6100</v>
      </c>
      <c r="C3245" s="336">
        <v>6250</v>
      </c>
      <c r="D3245" s="337">
        <f t="shared" si="799"/>
        <v>6175</v>
      </c>
    </row>
    <row r="3246" spans="1:6" ht="15" customHeight="1">
      <c r="A3246" s="335">
        <v>43650</v>
      </c>
      <c r="B3246" s="336">
        <v>6100</v>
      </c>
      <c r="C3246" s="336">
        <v>6250</v>
      </c>
      <c r="D3246" s="337">
        <f t="shared" si="799"/>
        <v>6175</v>
      </c>
    </row>
    <row r="3247" spans="1:6" ht="15" customHeight="1">
      <c r="A3247" s="335">
        <v>43651</v>
      </c>
      <c r="B3247" s="336">
        <v>6000</v>
      </c>
      <c r="C3247" s="336">
        <v>6250</v>
      </c>
      <c r="D3247" s="337">
        <f t="shared" si="799"/>
        <v>6125</v>
      </c>
    </row>
    <row r="3248" spans="1:6" ht="15" customHeight="1">
      <c r="A3248" s="335">
        <v>43654</v>
      </c>
      <c r="B3248" s="336">
        <v>6000</v>
      </c>
      <c r="C3248" s="336">
        <v>6250</v>
      </c>
      <c r="D3248" s="337">
        <f t="shared" si="799"/>
        <v>6125</v>
      </c>
    </row>
    <row r="3249" spans="1:4" ht="15" customHeight="1">
      <c r="A3249" s="335">
        <v>43655</v>
      </c>
      <c r="B3249" s="336">
        <v>6000</v>
      </c>
      <c r="C3249" s="336">
        <v>6250</v>
      </c>
      <c r="D3249" s="337">
        <f t="shared" si="799"/>
        <v>6125</v>
      </c>
    </row>
    <row r="3250" spans="1:4" ht="15" customHeight="1">
      <c r="A3250" s="335">
        <v>43656</v>
      </c>
      <c r="B3250" s="336">
        <v>6000</v>
      </c>
      <c r="C3250" s="336">
        <v>6250</v>
      </c>
      <c r="D3250" s="337">
        <f t="shared" si="799"/>
        <v>6125</v>
      </c>
    </row>
    <row r="3251" spans="1:4" ht="15" customHeight="1">
      <c r="A3251" s="335">
        <v>43657</v>
      </c>
      <c r="B3251" s="336">
        <v>6000</v>
      </c>
      <c r="C3251" s="336">
        <v>6200</v>
      </c>
      <c r="D3251" s="337">
        <f t="shared" si="799"/>
        <v>6100</v>
      </c>
    </row>
    <row r="3252" spans="1:4" ht="15" customHeight="1">
      <c r="A3252" s="335">
        <v>43658</v>
      </c>
      <c r="B3252" s="336">
        <v>6000</v>
      </c>
      <c r="C3252" s="336">
        <v>6200</v>
      </c>
      <c r="D3252" s="337">
        <f t="shared" si="799"/>
        <v>6100</v>
      </c>
    </row>
    <row r="3253" spans="1:4" ht="15" customHeight="1">
      <c r="A3253" s="335">
        <v>43661</v>
      </c>
      <c r="B3253" s="336">
        <v>6000</v>
      </c>
      <c r="C3253" s="336">
        <v>6200</v>
      </c>
      <c r="D3253" s="337">
        <f t="shared" si="799"/>
        <v>6100</v>
      </c>
    </row>
    <row r="3254" spans="1:4" ht="15" customHeight="1">
      <c r="A3254" s="335">
        <v>43662</v>
      </c>
      <c r="B3254" s="336">
        <v>6000</v>
      </c>
      <c r="C3254" s="336">
        <v>6200</v>
      </c>
      <c r="D3254" s="337">
        <f t="shared" si="799"/>
        <v>6100</v>
      </c>
    </row>
    <row r="3255" spans="1:4" ht="15" customHeight="1">
      <c r="A3255" s="335">
        <v>43663</v>
      </c>
      <c r="B3255" s="336">
        <v>5950</v>
      </c>
      <c r="C3255" s="336">
        <v>6200</v>
      </c>
      <c r="D3255" s="337">
        <f t="shared" si="799"/>
        <v>6075</v>
      </c>
    </row>
    <row r="3256" spans="1:4" ht="15" customHeight="1">
      <c r="A3256" s="335">
        <v>43664</v>
      </c>
      <c r="B3256" s="336">
        <v>5950</v>
      </c>
      <c r="C3256" s="336">
        <v>6200</v>
      </c>
      <c r="D3256" s="337">
        <f t="shared" si="799"/>
        <v>6075</v>
      </c>
    </row>
    <row r="3257" spans="1:4" ht="15" customHeight="1">
      <c r="A3257" s="335">
        <v>43665</v>
      </c>
      <c r="B3257" s="336">
        <v>5950</v>
      </c>
      <c r="C3257" s="336">
        <v>6150</v>
      </c>
      <c r="D3257" s="337">
        <f t="shared" si="799"/>
        <v>6050</v>
      </c>
    </row>
    <row r="3258" spans="1:4" ht="15" customHeight="1">
      <c r="A3258" s="335">
        <v>43668</v>
      </c>
      <c r="B3258" s="336">
        <v>5950</v>
      </c>
      <c r="C3258" s="336">
        <v>6150</v>
      </c>
      <c r="D3258" s="337">
        <f t="shared" si="799"/>
        <v>6050</v>
      </c>
    </row>
    <row r="3259" spans="1:4" ht="15" customHeight="1">
      <c r="A3259" s="335">
        <v>43669</v>
      </c>
      <c r="B3259" s="336">
        <v>5950</v>
      </c>
      <c r="C3259" s="336">
        <v>6150</v>
      </c>
      <c r="D3259" s="337">
        <f t="shared" si="799"/>
        <v>6050</v>
      </c>
    </row>
    <row r="3260" spans="1:4" ht="15" customHeight="1">
      <c r="A3260" s="335">
        <v>43670</v>
      </c>
      <c r="B3260" s="336">
        <v>5950</v>
      </c>
      <c r="C3260" s="336">
        <v>6150</v>
      </c>
      <c r="D3260" s="337">
        <f t="shared" si="799"/>
        <v>6050</v>
      </c>
    </row>
    <row r="3261" spans="1:4" ht="15" customHeight="1">
      <c r="A3261" s="335">
        <v>43671</v>
      </c>
      <c r="B3261" s="336">
        <v>5950</v>
      </c>
      <c r="C3261" s="336">
        <v>6150</v>
      </c>
      <c r="D3261" s="337">
        <f t="shared" si="799"/>
        <v>6050</v>
      </c>
    </row>
    <row r="3262" spans="1:4" ht="15" customHeight="1">
      <c r="A3262" s="335">
        <v>43672</v>
      </c>
      <c r="B3262" s="336">
        <v>5950</v>
      </c>
      <c r="C3262" s="336">
        <v>6150</v>
      </c>
      <c r="D3262" s="337">
        <f t="shared" si="799"/>
        <v>6050</v>
      </c>
    </row>
    <row r="3263" spans="1:4" ht="15" customHeight="1">
      <c r="A3263" s="335">
        <v>43675</v>
      </c>
      <c r="B3263" s="336">
        <v>5950</v>
      </c>
      <c r="C3263" s="336">
        <v>6150</v>
      </c>
      <c r="D3263" s="337">
        <f t="shared" si="799"/>
        <v>6050</v>
      </c>
    </row>
    <row r="3264" spans="1:4" ht="15" customHeight="1">
      <c r="A3264" s="335">
        <v>43676</v>
      </c>
      <c r="B3264" s="336">
        <v>5950</v>
      </c>
      <c r="C3264" s="336">
        <v>6150</v>
      </c>
      <c r="D3264" s="337">
        <f t="shared" si="799"/>
        <v>6050</v>
      </c>
    </row>
    <row r="3265" spans="1:6" ht="15" customHeight="1" thickBot="1">
      <c r="A3265" s="11">
        <v>43677</v>
      </c>
      <c r="B3265" s="341">
        <v>5950</v>
      </c>
      <c r="C3265" s="341">
        <v>6200</v>
      </c>
      <c r="D3265" s="342">
        <f t="shared" si="799"/>
        <v>6075</v>
      </c>
      <c r="E3265" s="360">
        <f>AVERAGE($D$3243:D3265)</f>
        <v>6106.739130434783</v>
      </c>
      <c r="F3265" s="360">
        <f>AVERAGE($D$3115:D3265)</f>
        <v>7171.5646258503402</v>
      </c>
    </row>
    <row r="3266" spans="1:6" ht="15" customHeight="1">
      <c r="A3266" s="3">
        <v>43678</v>
      </c>
      <c r="B3266" s="336">
        <v>5950</v>
      </c>
      <c r="C3266" s="336">
        <v>6200</v>
      </c>
      <c r="D3266" s="337">
        <f t="shared" si="799"/>
        <v>6075</v>
      </c>
      <c r="E3266" s="331"/>
      <c r="F3266" s="331"/>
    </row>
    <row r="3267" spans="1:6" ht="15" customHeight="1">
      <c r="A3267" s="3">
        <v>43679</v>
      </c>
      <c r="B3267" s="336">
        <v>5950</v>
      </c>
      <c r="C3267" s="336">
        <v>6200</v>
      </c>
      <c r="D3267" s="337">
        <f t="shared" si="799"/>
        <v>6075</v>
      </c>
      <c r="E3267" s="331"/>
      <c r="F3267" s="331"/>
    </row>
    <row r="3268" spans="1:6" ht="15" customHeight="1">
      <c r="A3268" s="3">
        <v>43682</v>
      </c>
      <c r="B3268" s="336">
        <v>5950</v>
      </c>
      <c r="C3268" s="336">
        <v>6200</v>
      </c>
      <c r="D3268" s="337">
        <f t="shared" si="799"/>
        <v>6075</v>
      </c>
    </row>
    <row r="3269" spans="1:6" ht="15" customHeight="1">
      <c r="A3269" s="3">
        <v>43683</v>
      </c>
      <c r="B3269" s="336">
        <v>5950</v>
      </c>
      <c r="C3269" s="336">
        <v>6200</v>
      </c>
      <c r="D3269" s="337">
        <f t="shared" ref="D3269:D3287" si="800">AVERAGE(B3269:C3269)</f>
        <v>6075</v>
      </c>
    </row>
    <row r="3270" spans="1:6" ht="15" customHeight="1">
      <c r="A3270" s="3">
        <v>43684</v>
      </c>
      <c r="B3270" s="336">
        <v>5950</v>
      </c>
      <c r="C3270" s="336">
        <v>6200</v>
      </c>
      <c r="D3270" s="337">
        <f t="shared" si="800"/>
        <v>6075</v>
      </c>
    </row>
    <row r="3271" spans="1:6" ht="15" customHeight="1">
      <c r="A3271" s="3">
        <v>43685</v>
      </c>
      <c r="B3271" s="336">
        <v>5950</v>
      </c>
      <c r="C3271" s="336">
        <v>6200</v>
      </c>
      <c r="D3271" s="337">
        <f t="shared" si="800"/>
        <v>6075</v>
      </c>
    </row>
    <row r="3272" spans="1:6" ht="15" customHeight="1">
      <c r="A3272" s="3">
        <v>43686</v>
      </c>
      <c r="B3272" s="336">
        <v>5950</v>
      </c>
      <c r="C3272" s="336">
        <v>6200</v>
      </c>
      <c r="D3272" s="337">
        <f t="shared" si="800"/>
        <v>6075</v>
      </c>
    </row>
    <row r="3273" spans="1:6" ht="15" customHeight="1">
      <c r="A3273" s="3">
        <v>43689</v>
      </c>
      <c r="B3273" s="336">
        <v>5950</v>
      </c>
      <c r="C3273" s="336">
        <v>6200</v>
      </c>
      <c r="D3273" s="337">
        <f t="shared" si="800"/>
        <v>6075</v>
      </c>
    </row>
    <row r="3274" spans="1:6" ht="15" customHeight="1">
      <c r="A3274" s="3">
        <v>43690</v>
      </c>
      <c r="B3274" s="336">
        <v>5950</v>
      </c>
      <c r="C3274" s="336">
        <v>6200</v>
      </c>
      <c r="D3274" s="337">
        <f t="shared" si="800"/>
        <v>6075</v>
      </c>
    </row>
    <row r="3275" spans="1:6" ht="15" customHeight="1">
      <c r="A3275" s="3">
        <v>43691</v>
      </c>
      <c r="B3275" s="336">
        <v>5950</v>
      </c>
      <c r="C3275" s="336">
        <v>6200</v>
      </c>
      <c r="D3275" s="337">
        <f t="shared" si="800"/>
        <v>6075</v>
      </c>
    </row>
    <row r="3276" spans="1:6" ht="15" customHeight="1">
      <c r="A3276" s="3">
        <v>43692</v>
      </c>
      <c r="B3276" s="336">
        <v>5950</v>
      </c>
      <c r="C3276" s="336">
        <v>6200</v>
      </c>
      <c r="D3276" s="337">
        <f t="shared" si="800"/>
        <v>6075</v>
      </c>
    </row>
    <row r="3277" spans="1:6" ht="15" customHeight="1">
      <c r="A3277" s="3">
        <v>43693</v>
      </c>
      <c r="B3277" s="336">
        <v>5900</v>
      </c>
      <c r="C3277" s="336">
        <v>6100</v>
      </c>
      <c r="D3277" s="337">
        <f t="shared" si="800"/>
        <v>6000</v>
      </c>
    </row>
    <row r="3278" spans="1:6" ht="15" customHeight="1">
      <c r="A3278" s="3">
        <v>43696</v>
      </c>
      <c r="B3278" s="336">
        <v>5900</v>
      </c>
      <c r="C3278" s="336">
        <v>6100</v>
      </c>
      <c r="D3278" s="337">
        <f t="shared" si="800"/>
        <v>6000</v>
      </c>
    </row>
    <row r="3279" spans="1:6" ht="15" customHeight="1">
      <c r="A3279" s="3">
        <v>43697</v>
      </c>
      <c r="B3279" s="336">
        <v>5900</v>
      </c>
      <c r="C3279" s="336">
        <v>6100</v>
      </c>
      <c r="D3279" s="337">
        <f t="shared" si="800"/>
        <v>6000</v>
      </c>
    </row>
    <row r="3280" spans="1:6" ht="15" customHeight="1">
      <c r="A3280" s="3">
        <v>43698</v>
      </c>
      <c r="B3280" s="336">
        <v>5900</v>
      </c>
      <c r="C3280" s="336">
        <v>6100</v>
      </c>
      <c r="D3280" s="337">
        <f t="shared" si="800"/>
        <v>6000</v>
      </c>
    </row>
    <row r="3281" spans="1:14" ht="15" customHeight="1">
      <c r="A3281" s="3">
        <v>43699</v>
      </c>
      <c r="B3281" s="336">
        <v>5900</v>
      </c>
      <c r="C3281" s="336">
        <v>6100</v>
      </c>
      <c r="D3281" s="337">
        <f t="shared" si="800"/>
        <v>6000</v>
      </c>
    </row>
    <row r="3282" spans="1:14" ht="15" customHeight="1">
      <c r="A3282" s="3">
        <v>43700</v>
      </c>
      <c r="B3282" s="336">
        <v>5850</v>
      </c>
      <c r="C3282" s="336">
        <v>6050</v>
      </c>
      <c r="D3282" s="337">
        <f t="shared" si="800"/>
        <v>5950</v>
      </c>
    </row>
    <row r="3283" spans="1:14" ht="15" customHeight="1">
      <c r="A3283" s="3">
        <v>43703</v>
      </c>
      <c r="B3283" s="1318" t="s">
        <v>51</v>
      </c>
      <c r="C3283" s="1318"/>
      <c r="D3283" s="1318"/>
      <c r="E3283" s="24"/>
      <c r="F3283" s="24"/>
      <c r="G3283" s="24"/>
      <c r="H3283" s="24"/>
      <c r="I3283" s="24"/>
      <c r="J3283" s="24"/>
      <c r="K3283" s="24"/>
      <c r="L3283" s="24"/>
      <c r="M3283" s="24"/>
      <c r="N3283" s="24"/>
    </row>
    <row r="3284" spans="1:14" ht="15" customHeight="1">
      <c r="A3284" s="3">
        <v>43704</v>
      </c>
      <c r="B3284" s="336">
        <v>5850</v>
      </c>
      <c r="C3284" s="336">
        <v>6050</v>
      </c>
      <c r="D3284" s="337">
        <f t="shared" si="800"/>
        <v>5950</v>
      </c>
    </row>
    <row r="3285" spans="1:14" ht="15" customHeight="1">
      <c r="A3285" s="3">
        <v>43705</v>
      </c>
      <c r="B3285" s="336">
        <v>5750</v>
      </c>
      <c r="C3285" s="336">
        <v>5950</v>
      </c>
      <c r="D3285" s="337">
        <f t="shared" si="800"/>
        <v>5850</v>
      </c>
    </row>
    <row r="3286" spans="1:14" ht="15" customHeight="1">
      <c r="A3286" s="3">
        <v>43706</v>
      </c>
      <c r="B3286" s="336">
        <v>5750</v>
      </c>
      <c r="C3286" s="336">
        <v>5950</v>
      </c>
      <c r="D3286" s="337">
        <f t="shared" si="800"/>
        <v>5850</v>
      </c>
    </row>
    <row r="3287" spans="1:14" ht="15" customHeight="1" thickBot="1">
      <c r="A3287" s="11">
        <v>43707</v>
      </c>
      <c r="B3287" s="341">
        <v>5750</v>
      </c>
      <c r="C3287" s="341">
        <v>5950</v>
      </c>
      <c r="D3287" s="342">
        <f t="shared" si="800"/>
        <v>5850</v>
      </c>
      <c r="E3287" s="360">
        <f>AVERAGE($D$3266:D3287)</f>
        <v>6013.0952380952385</v>
      </c>
      <c r="F3287" s="360">
        <f>AVERAGE($D$3115:D3287)</f>
        <v>7026.7559523809523</v>
      </c>
    </row>
    <row r="3288" spans="1:14" ht="15" customHeight="1">
      <c r="A3288" s="3">
        <v>43710</v>
      </c>
      <c r="B3288" s="336">
        <v>5750</v>
      </c>
      <c r="C3288" s="336">
        <v>5950</v>
      </c>
      <c r="D3288" s="337">
        <f>AVERAGE(B3288:C3288)</f>
        <v>5850</v>
      </c>
      <c r="E3288" s="331"/>
      <c r="F3288" s="331"/>
    </row>
    <row r="3289" spans="1:14" ht="15" customHeight="1">
      <c r="A3289" s="3">
        <v>43711</v>
      </c>
      <c r="B3289" s="336">
        <v>5750</v>
      </c>
      <c r="C3289" s="336">
        <v>5950</v>
      </c>
      <c r="D3289" s="337">
        <f>AVERAGE(B3289:C3289)</f>
        <v>5850</v>
      </c>
      <c r="J3289" s="331" t="s">
        <v>63</v>
      </c>
    </row>
    <row r="3290" spans="1:14" ht="15" customHeight="1">
      <c r="A3290" s="3">
        <v>43712</v>
      </c>
      <c r="B3290" s="336">
        <v>5750</v>
      </c>
      <c r="C3290" s="336">
        <v>5950</v>
      </c>
      <c r="D3290" s="337">
        <f>AVERAGE(B3290:C3290)</f>
        <v>5850</v>
      </c>
    </row>
    <row r="3291" spans="1:14" ht="15" customHeight="1">
      <c r="A3291" s="3">
        <v>43713</v>
      </c>
      <c r="B3291" s="336">
        <v>5750</v>
      </c>
      <c r="C3291" s="336">
        <v>5950</v>
      </c>
      <c r="D3291" s="337">
        <f t="shared" ref="D3291:D3294" si="801">AVERAGE(B3291:C3291)</f>
        <v>5850</v>
      </c>
    </row>
    <row r="3292" spans="1:14" ht="15" customHeight="1">
      <c r="A3292" s="3">
        <v>43714</v>
      </c>
      <c r="B3292" s="336">
        <v>5750</v>
      </c>
      <c r="C3292" s="336">
        <v>5950</v>
      </c>
      <c r="D3292" s="337">
        <f t="shared" si="801"/>
        <v>5850</v>
      </c>
    </row>
    <row r="3293" spans="1:14" ht="15" customHeight="1">
      <c r="A3293" s="3">
        <v>43717</v>
      </c>
      <c r="B3293" s="336">
        <v>5700</v>
      </c>
      <c r="C3293" s="336">
        <v>5900</v>
      </c>
      <c r="D3293" s="337">
        <f t="shared" si="801"/>
        <v>5800</v>
      </c>
    </row>
    <row r="3294" spans="1:14" ht="15" customHeight="1">
      <c r="A3294" s="3">
        <v>43718</v>
      </c>
      <c r="B3294" s="336">
        <v>5700</v>
      </c>
      <c r="C3294" s="336">
        <v>5900</v>
      </c>
      <c r="D3294" s="337">
        <f t="shared" si="801"/>
        <v>5800</v>
      </c>
    </row>
    <row r="3295" spans="1:14" ht="15" customHeight="1">
      <c r="A3295" s="3">
        <v>43719</v>
      </c>
      <c r="B3295" s="336">
        <v>5700</v>
      </c>
      <c r="C3295" s="336">
        <v>5900</v>
      </c>
      <c r="D3295" s="337">
        <f t="shared" ref="D3295" si="802">AVERAGE(B3295:C3295)</f>
        <v>5800</v>
      </c>
    </row>
    <row r="3296" spans="1:14" ht="15" customHeight="1">
      <c r="A3296" s="3">
        <v>43720</v>
      </c>
      <c r="B3296" s="336">
        <v>5700</v>
      </c>
      <c r="C3296" s="336">
        <v>5900</v>
      </c>
      <c r="D3296" s="337">
        <f t="shared" ref="D3296:D3297" si="803">AVERAGE(B3296:C3296)</f>
        <v>5800</v>
      </c>
    </row>
    <row r="3297" spans="1:6" ht="15" customHeight="1">
      <c r="A3297" s="3">
        <v>43721</v>
      </c>
      <c r="B3297" s="336">
        <v>5800</v>
      </c>
      <c r="C3297" s="336">
        <v>6100</v>
      </c>
      <c r="D3297" s="337">
        <f t="shared" si="803"/>
        <v>5950</v>
      </c>
    </row>
    <row r="3298" spans="1:6" ht="15" customHeight="1">
      <c r="A3298" s="3">
        <v>43724</v>
      </c>
      <c r="B3298" s="336">
        <v>5800</v>
      </c>
      <c r="C3298" s="336">
        <v>6100</v>
      </c>
      <c r="D3298" s="337">
        <f t="shared" ref="D3298:D3304" si="804">AVERAGE(B3298:C3298)</f>
        <v>5950</v>
      </c>
    </row>
    <row r="3299" spans="1:6" ht="15" customHeight="1">
      <c r="A3299" s="3">
        <v>43725</v>
      </c>
      <c r="B3299" s="336">
        <v>5800</v>
      </c>
      <c r="C3299" s="336">
        <v>6100</v>
      </c>
      <c r="D3299" s="337">
        <f t="shared" si="804"/>
        <v>5950</v>
      </c>
    </row>
    <row r="3300" spans="1:6" ht="15" customHeight="1">
      <c r="A3300" s="3">
        <v>43726</v>
      </c>
      <c r="B3300" s="336">
        <v>5800</v>
      </c>
      <c r="C3300" s="336">
        <v>6100</v>
      </c>
      <c r="D3300" s="337">
        <f t="shared" si="804"/>
        <v>5950</v>
      </c>
    </row>
    <row r="3301" spans="1:6" ht="15" customHeight="1">
      <c r="A3301" s="3">
        <v>43727</v>
      </c>
      <c r="B3301" s="336">
        <v>5800</v>
      </c>
      <c r="C3301" s="336">
        <v>6100</v>
      </c>
      <c r="D3301" s="337">
        <f t="shared" si="804"/>
        <v>5950</v>
      </c>
    </row>
    <row r="3302" spans="1:6" ht="15" customHeight="1">
      <c r="A3302" s="3">
        <v>43728</v>
      </c>
      <c r="B3302" s="336">
        <v>5850</v>
      </c>
      <c r="C3302" s="336">
        <v>6150</v>
      </c>
      <c r="D3302" s="337">
        <f t="shared" si="804"/>
        <v>6000</v>
      </c>
    </row>
    <row r="3303" spans="1:6" ht="15" customHeight="1">
      <c r="A3303" s="3">
        <v>43731</v>
      </c>
      <c r="B3303" s="336">
        <v>5850</v>
      </c>
      <c r="C3303" s="336">
        <v>6150</v>
      </c>
      <c r="D3303" s="337">
        <f t="shared" si="804"/>
        <v>6000</v>
      </c>
    </row>
    <row r="3304" spans="1:6" ht="15" customHeight="1">
      <c r="A3304" s="3">
        <v>43732</v>
      </c>
      <c r="B3304" s="336">
        <v>5850</v>
      </c>
      <c r="C3304" s="336">
        <v>6150</v>
      </c>
      <c r="D3304" s="337">
        <f t="shared" si="804"/>
        <v>6000</v>
      </c>
    </row>
    <row r="3305" spans="1:6" ht="15" customHeight="1">
      <c r="A3305" s="3">
        <v>43733</v>
      </c>
      <c r="B3305" s="336">
        <v>5850</v>
      </c>
      <c r="C3305" s="336">
        <v>6150</v>
      </c>
      <c r="D3305" s="337">
        <f t="shared" ref="D3305:D3310" si="805">AVERAGE(B3305:C3305)</f>
        <v>6000</v>
      </c>
    </row>
    <row r="3306" spans="1:6" ht="15" customHeight="1">
      <c r="A3306" s="3">
        <v>43734</v>
      </c>
      <c r="B3306" s="336">
        <v>5950</v>
      </c>
      <c r="C3306" s="336">
        <v>6175</v>
      </c>
      <c r="D3306" s="337">
        <f t="shared" si="805"/>
        <v>6062.5</v>
      </c>
    </row>
    <row r="3307" spans="1:6" ht="15" customHeight="1">
      <c r="A3307" s="3">
        <v>43735</v>
      </c>
      <c r="B3307" s="336">
        <v>5950</v>
      </c>
      <c r="C3307" s="336">
        <v>6175</v>
      </c>
      <c r="D3307" s="337">
        <f t="shared" si="805"/>
        <v>6062.5</v>
      </c>
    </row>
    <row r="3308" spans="1:6" ht="15" customHeight="1" thickBot="1">
      <c r="A3308" s="11">
        <v>43738</v>
      </c>
      <c r="B3308" s="341">
        <v>5850</v>
      </c>
      <c r="C3308" s="341">
        <v>6150</v>
      </c>
      <c r="D3308" s="342">
        <f t="shared" si="805"/>
        <v>6000</v>
      </c>
      <c r="E3308" s="360">
        <f>AVERAGE($D$3288:D3308)</f>
        <v>5920.2380952380954</v>
      </c>
      <c r="F3308" s="360">
        <f>AVERAGE($D$3115:D3308)</f>
        <v>6903.8095238095239</v>
      </c>
    </row>
    <row r="3309" spans="1:6" ht="15" customHeight="1">
      <c r="A3309" s="3">
        <v>43739</v>
      </c>
      <c r="B3309" s="336">
        <v>5950</v>
      </c>
      <c r="C3309" s="336">
        <v>6175</v>
      </c>
      <c r="D3309" s="337">
        <f t="shared" si="805"/>
        <v>6062.5</v>
      </c>
    </row>
    <row r="3310" spans="1:6" ht="15" customHeight="1">
      <c r="A3310" s="3">
        <v>43740</v>
      </c>
      <c r="B3310" s="336">
        <v>5850</v>
      </c>
      <c r="C3310" s="336">
        <v>6150</v>
      </c>
      <c r="D3310" s="337">
        <f t="shared" si="805"/>
        <v>6000</v>
      </c>
    </row>
    <row r="3311" spans="1:6" ht="15" customHeight="1">
      <c r="A3311" s="3">
        <v>43741</v>
      </c>
      <c r="B3311" s="336">
        <v>5850</v>
      </c>
      <c r="C3311" s="336">
        <v>6150</v>
      </c>
      <c r="D3311" s="337">
        <f t="shared" ref="D3311:D3333" si="806">AVERAGE(B3311:C3311)</f>
        <v>6000</v>
      </c>
    </row>
    <row r="3312" spans="1:6" ht="15" customHeight="1">
      <c r="A3312" s="3">
        <v>43742</v>
      </c>
      <c r="B3312" s="336">
        <v>5850</v>
      </c>
      <c r="C3312" s="336">
        <v>6150</v>
      </c>
      <c r="D3312" s="337">
        <f t="shared" si="806"/>
        <v>6000</v>
      </c>
    </row>
    <row r="3313" spans="1:6" ht="15" customHeight="1">
      <c r="A3313" s="3">
        <v>43745</v>
      </c>
      <c r="B3313" s="336">
        <v>5850</v>
      </c>
      <c r="C3313" s="336">
        <v>6150</v>
      </c>
      <c r="D3313" s="337">
        <f>AVERAGE(B3313:C3313)</f>
        <v>6000</v>
      </c>
    </row>
    <row r="3314" spans="1:6" ht="15" customHeight="1">
      <c r="A3314" s="3">
        <v>43746</v>
      </c>
      <c r="B3314" s="336">
        <v>5850</v>
      </c>
      <c r="C3314" s="336">
        <v>6150</v>
      </c>
      <c r="D3314" s="337">
        <f t="shared" si="806"/>
        <v>6000</v>
      </c>
    </row>
    <row r="3315" spans="1:6" ht="15" customHeight="1">
      <c r="A3315" s="3">
        <v>43747</v>
      </c>
      <c r="B3315" s="336">
        <v>5850</v>
      </c>
      <c r="C3315" s="336">
        <v>6150</v>
      </c>
      <c r="D3315" s="337">
        <f t="shared" si="806"/>
        <v>6000</v>
      </c>
    </row>
    <row r="3316" spans="1:6" ht="15" customHeight="1">
      <c r="A3316" s="3">
        <v>43748</v>
      </c>
      <c r="B3316" s="336">
        <v>5850</v>
      </c>
      <c r="C3316" s="336">
        <v>6150</v>
      </c>
      <c r="D3316" s="337">
        <f>AVERAGE(B3316:C3316)</f>
        <v>6000</v>
      </c>
    </row>
    <row r="3317" spans="1:6" ht="15" customHeight="1">
      <c r="A3317" s="3">
        <v>43749</v>
      </c>
      <c r="B3317" s="336">
        <v>6050</v>
      </c>
      <c r="C3317" s="336">
        <v>6400</v>
      </c>
      <c r="D3317" s="337">
        <f t="shared" si="806"/>
        <v>6225</v>
      </c>
    </row>
    <row r="3318" spans="1:6" ht="15" customHeight="1">
      <c r="A3318" s="3">
        <v>43752</v>
      </c>
      <c r="B3318" s="336">
        <v>6050</v>
      </c>
      <c r="C3318" s="336">
        <v>6400</v>
      </c>
      <c r="D3318" s="337">
        <f t="shared" si="806"/>
        <v>6225</v>
      </c>
      <c r="E3318" s="397"/>
      <c r="F3318" s="397"/>
    </row>
    <row r="3319" spans="1:6" ht="15" customHeight="1">
      <c r="A3319" s="3">
        <v>43753</v>
      </c>
      <c r="B3319" s="336">
        <v>6050</v>
      </c>
      <c r="C3319" s="336">
        <v>6400</v>
      </c>
      <c r="D3319" s="337">
        <f t="shared" si="806"/>
        <v>6225</v>
      </c>
      <c r="E3319" s="397"/>
      <c r="F3319" s="397"/>
    </row>
    <row r="3320" spans="1:6" ht="15" customHeight="1">
      <c r="A3320" s="3">
        <v>43754</v>
      </c>
      <c r="B3320" s="397">
        <v>6150</v>
      </c>
      <c r="C3320" s="397">
        <v>6400</v>
      </c>
      <c r="D3320" s="337">
        <f t="shared" si="806"/>
        <v>6275</v>
      </c>
      <c r="E3320" s="397"/>
      <c r="F3320" s="397"/>
    </row>
    <row r="3321" spans="1:6" ht="15" customHeight="1">
      <c r="A3321" s="3">
        <v>43755</v>
      </c>
      <c r="B3321" s="397">
        <v>6150</v>
      </c>
      <c r="C3321" s="397">
        <v>6400</v>
      </c>
      <c r="D3321" s="337">
        <f t="shared" si="806"/>
        <v>6275</v>
      </c>
      <c r="E3321" s="397"/>
      <c r="F3321" s="397"/>
    </row>
    <row r="3322" spans="1:6" ht="15" customHeight="1">
      <c r="A3322" s="3">
        <v>43756</v>
      </c>
      <c r="B3322" s="397">
        <v>6150</v>
      </c>
      <c r="C3322" s="397">
        <v>6400</v>
      </c>
      <c r="D3322" s="337">
        <f t="shared" si="806"/>
        <v>6275</v>
      </c>
      <c r="E3322" s="397"/>
      <c r="F3322" s="397"/>
    </row>
    <row r="3323" spans="1:6" ht="15" customHeight="1">
      <c r="A3323" s="3">
        <v>43759</v>
      </c>
      <c r="B3323" s="397">
        <v>6150</v>
      </c>
      <c r="C3323" s="397">
        <v>6400</v>
      </c>
      <c r="D3323" s="337">
        <f t="shared" si="806"/>
        <v>6275</v>
      </c>
      <c r="E3323" s="397"/>
      <c r="F3323" s="397"/>
    </row>
    <row r="3324" spans="1:6" ht="15" customHeight="1">
      <c r="A3324" s="3">
        <v>43760</v>
      </c>
      <c r="B3324" s="397">
        <v>6150</v>
      </c>
      <c r="C3324" s="397">
        <v>6400</v>
      </c>
      <c r="D3324" s="337">
        <f t="shared" si="806"/>
        <v>6275</v>
      </c>
      <c r="E3324" s="397"/>
      <c r="F3324" s="397"/>
    </row>
    <row r="3325" spans="1:6" ht="15" customHeight="1">
      <c r="A3325" s="3">
        <v>43761</v>
      </c>
      <c r="B3325" s="336">
        <v>6200</v>
      </c>
      <c r="C3325" s="336">
        <v>6400</v>
      </c>
      <c r="D3325" s="337">
        <f t="shared" si="806"/>
        <v>6300</v>
      </c>
      <c r="E3325" s="397"/>
      <c r="F3325" s="397"/>
    </row>
    <row r="3326" spans="1:6" ht="15" customHeight="1">
      <c r="A3326" s="3">
        <v>43762</v>
      </c>
      <c r="B3326" s="336">
        <v>6200</v>
      </c>
      <c r="C3326" s="336">
        <v>6400</v>
      </c>
      <c r="D3326" s="337">
        <f t="shared" si="806"/>
        <v>6300</v>
      </c>
      <c r="E3326" s="397"/>
      <c r="F3326" s="397"/>
    </row>
    <row r="3327" spans="1:6" ht="15" customHeight="1">
      <c r="A3327" s="3">
        <v>43763</v>
      </c>
      <c r="B3327" s="336">
        <v>6200</v>
      </c>
      <c r="C3327" s="336">
        <v>6400</v>
      </c>
      <c r="D3327" s="337">
        <f t="shared" si="806"/>
        <v>6300</v>
      </c>
      <c r="E3327" s="397"/>
      <c r="F3327" s="397"/>
    </row>
    <row r="3328" spans="1:6" ht="15" customHeight="1">
      <c r="A3328" s="3">
        <v>43766</v>
      </c>
      <c r="B3328" s="336">
        <v>6200</v>
      </c>
      <c r="C3328" s="336">
        <v>6400</v>
      </c>
      <c r="D3328" s="337">
        <f t="shared" si="806"/>
        <v>6300</v>
      </c>
      <c r="E3328" s="397"/>
      <c r="F3328" s="397"/>
    </row>
    <row r="3329" spans="1:10" ht="15" customHeight="1">
      <c r="A3329" s="3">
        <v>43767</v>
      </c>
      <c r="B3329" s="336">
        <v>6200</v>
      </c>
      <c r="C3329" s="336">
        <v>6400</v>
      </c>
      <c r="D3329" s="337">
        <f t="shared" si="806"/>
        <v>6300</v>
      </c>
      <c r="E3329" s="397"/>
      <c r="F3329" s="397"/>
    </row>
    <row r="3330" spans="1:10" ht="15" customHeight="1">
      <c r="A3330" s="3">
        <v>43768</v>
      </c>
      <c r="B3330" s="336">
        <v>6200</v>
      </c>
      <c r="C3330" s="336">
        <v>6400</v>
      </c>
      <c r="D3330" s="337">
        <f t="shared" si="806"/>
        <v>6300</v>
      </c>
      <c r="E3330" s="397"/>
      <c r="F3330" s="397"/>
    </row>
    <row r="3331" spans="1:10" ht="15" customHeight="1" thickBot="1">
      <c r="A3331" s="11">
        <v>43769</v>
      </c>
      <c r="B3331" s="341">
        <v>6200</v>
      </c>
      <c r="C3331" s="341">
        <v>6400</v>
      </c>
      <c r="D3331" s="342">
        <f t="shared" si="806"/>
        <v>6300</v>
      </c>
      <c r="E3331" s="360">
        <f>AVERAGE($D$3309:D3331)</f>
        <v>6183.152173913043</v>
      </c>
      <c r="F3331" s="360">
        <f>AVERAGE($D$3115:D3331)</f>
        <v>6825.625</v>
      </c>
    </row>
    <row r="3332" spans="1:10" ht="15" customHeight="1">
      <c r="A3332" s="335">
        <v>43770</v>
      </c>
      <c r="B3332" s="336">
        <v>6200</v>
      </c>
      <c r="C3332" s="336">
        <v>6400</v>
      </c>
      <c r="D3332" s="337">
        <f t="shared" si="806"/>
        <v>6300</v>
      </c>
      <c r="E3332" s="397"/>
      <c r="F3332" s="397"/>
    </row>
    <row r="3333" spans="1:10" ht="15" customHeight="1">
      <c r="A3333" s="335">
        <v>43773</v>
      </c>
      <c r="B3333" s="336">
        <v>6200</v>
      </c>
      <c r="C3333" s="336">
        <v>6400</v>
      </c>
      <c r="D3333" s="337">
        <f t="shared" si="806"/>
        <v>6300</v>
      </c>
      <c r="E3333" s="397"/>
      <c r="F3333" s="397"/>
    </row>
    <row r="3334" spans="1:10" ht="15" customHeight="1">
      <c r="A3334" s="335">
        <v>43774</v>
      </c>
      <c r="B3334" s="336">
        <v>6200</v>
      </c>
      <c r="C3334" s="336">
        <v>6400</v>
      </c>
      <c r="D3334" s="337">
        <v>6300</v>
      </c>
      <c r="E3334" s="397"/>
      <c r="F3334" s="397"/>
    </row>
    <row r="3335" spans="1:10" ht="15" customHeight="1">
      <c r="A3335" s="335">
        <v>43775</v>
      </c>
      <c r="B3335" s="336">
        <v>6200</v>
      </c>
      <c r="C3335" s="336">
        <v>6400</v>
      </c>
      <c r="D3335" s="337">
        <v>6300</v>
      </c>
      <c r="E3335" s="397"/>
      <c r="F3335" s="397"/>
    </row>
    <row r="3336" spans="1:10" ht="15" customHeight="1">
      <c r="A3336" s="335">
        <v>43776</v>
      </c>
      <c r="B3336" s="336">
        <v>6200</v>
      </c>
      <c r="C3336" s="336">
        <v>6400</v>
      </c>
      <c r="D3336" s="337">
        <v>6300</v>
      </c>
      <c r="E3336" s="397"/>
      <c r="F3336" s="397"/>
    </row>
    <row r="3337" spans="1:10" ht="15" customHeight="1">
      <c r="A3337" s="335">
        <v>43777</v>
      </c>
      <c r="B3337" s="336">
        <v>6200</v>
      </c>
      <c r="C3337" s="336">
        <v>6400</v>
      </c>
      <c r="D3337" s="337">
        <v>6300</v>
      </c>
      <c r="E3337" s="397"/>
      <c r="F3337" s="397"/>
    </row>
    <row r="3338" spans="1:10" ht="15" customHeight="1">
      <c r="A3338" s="335">
        <v>43780</v>
      </c>
      <c r="B3338" s="336">
        <v>6200</v>
      </c>
      <c r="C3338" s="336">
        <v>6400</v>
      </c>
      <c r="D3338" s="337">
        <v>6300</v>
      </c>
      <c r="E3338" s="397"/>
      <c r="F3338" s="397"/>
    </row>
    <row r="3339" spans="1:10" ht="15" customHeight="1">
      <c r="A3339" s="335">
        <v>43781</v>
      </c>
      <c r="B3339" s="336">
        <v>6200</v>
      </c>
      <c r="C3339" s="336">
        <v>6400</v>
      </c>
      <c r="D3339" s="337">
        <v>6300</v>
      </c>
      <c r="E3339" s="397"/>
      <c r="F3339" s="397"/>
    </row>
    <row r="3340" spans="1:10" ht="15" customHeight="1">
      <c r="A3340" s="335">
        <v>43782</v>
      </c>
      <c r="B3340" s="336">
        <v>6150</v>
      </c>
      <c r="C3340" s="336">
        <v>6350</v>
      </c>
      <c r="D3340" s="337">
        <f t="shared" ref="D3340:D3350" si="807">AVERAGE(B3340:C3340)</f>
        <v>6250</v>
      </c>
      <c r="E3340" s="397"/>
      <c r="F3340" s="397"/>
    </row>
    <row r="3341" spans="1:10" ht="15" customHeight="1">
      <c r="A3341" s="335">
        <v>43783</v>
      </c>
      <c r="B3341" s="336">
        <v>6150</v>
      </c>
      <c r="C3341" s="336">
        <v>6350</v>
      </c>
      <c r="D3341" s="337">
        <f t="shared" si="807"/>
        <v>6250</v>
      </c>
      <c r="E3341" s="397"/>
      <c r="F3341" s="397"/>
    </row>
    <row r="3342" spans="1:10" ht="15" customHeight="1">
      <c r="A3342" s="335">
        <v>43784</v>
      </c>
      <c r="B3342" s="336">
        <v>6000</v>
      </c>
      <c r="C3342" s="336">
        <v>6300</v>
      </c>
      <c r="D3342" s="337">
        <f t="shared" si="807"/>
        <v>6150</v>
      </c>
      <c r="E3342" s="397"/>
      <c r="F3342" s="397"/>
    </row>
    <row r="3343" spans="1:10" ht="15" customHeight="1">
      <c r="A3343" s="335">
        <v>43787</v>
      </c>
      <c r="B3343" s="336">
        <v>6150</v>
      </c>
      <c r="C3343" s="336">
        <v>6350</v>
      </c>
      <c r="D3343" s="337">
        <f t="shared" si="807"/>
        <v>6250</v>
      </c>
      <c r="E3343" s="397"/>
      <c r="F3343" s="397"/>
      <c r="J3343" s="411"/>
    </row>
    <row r="3344" spans="1:10" ht="15" customHeight="1">
      <c r="A3344" s="335">
        <v>43788</v>
      </c>
      <c r="B3344" s="336">
        <v>6150</v>
      </c>
      <c r="C3344" s="336">
        <v>6350</v>
      </c>
      <c r="D3344" s="337">
        <f t="shared" si="807"/>
        <v>6250</v>
      </c>
      <c r="E3344" s="397"/>
      <c r="F3344" s="397"/>
    </row>
    <row r="3345" spans="1:6" ht="15" customHeight="1">
      <c r="A3345" s="335">
        <v>43789</v>
      </c>
      <c r="B3345" s="336">
        <v>6150</v>
      </c>
      <c r="C3345" s="336">
        <v>6300</v>
      </c>
      <c r="D3345" s="337">
        <f t="shared" si="807"/>
        <v>6225</v>
      </c>
      <c r="E3345" s="397"/>
      <c r="F3345" s="397"/>
    </row>
    <row r="3346" spans="1:6" ht="15" customHeight="1">
      <c r="A3346" s="335">
        <v>43790</v>
      </c>
      <c r="B3346" s="336">
        <v>6150</v>
      </c>
      <c r="C3346" s="336">
        <v>6300</v>
      </c>
      <c r="D3346" s="337">
        <f t="shared" si="807"/>
        <v>6225</v>
      </c>
      <c r="E3346" s="397"/>
      <c r="F3346" s="397"/>
    </row>
    <row r="3347" spans="1:6" ht="15" customHeight="1">
      <c r="A3347" s="335">
        <v>43791</v>
      </c>
      <c r="B3347" s="336">
        <v>6150</v>
      </c>
      <c r="C3347" s="336">
        <v>6300</v>
      </c>
      <c r="D3347" s="337">
        <f t="shared" si="807"/>
        <v>6225</v>
      </c>
      <c r="E3347" s="397"/>
      <c r="F3347" s="397"/>
    </row>
    <row r="3348" spans="1:6" ht="15" customHeight="1">
      <c r="A3348" s="335">
        <v>43794</v>
      </c>
      <c r="B3348" s="336">
        <v>6150</v>
      </c>
      <c r="C3348" s="336">
        <v>6300</v>
      </c>
      <c r="D3348" s="337">
        <f t="shared" si="807"/>
        <v>6225</v>
      </c>
      <c r="E3348" s="397"/>
      <c r="F3348" s="397"/>
    </row>
    <row r="3349" spans="1:6" ht="15" customHeight="1">
      <c r="A3349" s="335">
        <v>43795</v>
      </c>
      <c r="B3349" s="336">
        <v>6150</v>
      </c>
      <c r="C3349" s="336">
        <v>6300</v>
      </c>
      <c r="D3349" s="337">
        <f t="shared" si="807"/>
        <v>6225</v>
      </c>
      <c r="E3349" s="397"/>
      <c r="F3349" s="397"/>
    </row>
    <row r="3350" spans="1:6" ht="15" customHeight="1">
      <c r="A3350" s="335">
        <v>43796</v>
      </c>
      <c r="B3350" s="336">
        <v>6150</v>
      </c>
      <c r="C3350" s="336">
        <v>6300</v>
      </c>
      <c r="D3350" s="337">
        <f t="shared" si="807"/>
        <v>6225</v>
      </c>
      <c r="E3350" s="397"/>
      <c r="F3350" s="397"/>
    </row>
    <row r="3351" spans="1:6" ht="15" customHeight="1">
      <c r="A3351" s="335">
        <v>43797</v>
      </c>
      <c r="B3351" s="336">
        <v>6100</v>
      </c>
      <c r="C3351" s="336">
        <v>6300</v>
      </c>
      <c r="D3351" s="337">
        <v>6200</v>
      </c>
      <c r="E3351" s="397"/>
      <c r="F3351" s="397"/>
    </row>
    <row r="3352" spans="1:6" ht="15" customHeight="1" thickBot="1">
      <c r="A3352" s="340">
        <v>43798</v>
      </c>
      <c r="B3352" s="336">
        <v>6100</v>
      </c>
      <c r="C3352" s="336">
        <v>6300</v>
      </c>
      <c r="D3352" s="337">
        <v>6200</v>
      </c>
      <c r="E3352" s="360">
        <f>AVERAGE($D$3332:D3352)</f>
        <v>6252.3809523809523</v>
      </c>
      <c r="F3352" s="360">
        <f>AVERAGE($D$3115:D3352)</f>
        <v>6773.9592274678107</v>
      </c>
    </row>
    <row r="3353" spans="1:6" ht="15" customHeight="1">
      <c r="A3353" s="362">
        <v>43801</v>
      </c>
      <c r="B3353" s="363">
        <v>6000</v>
      </c>
      <c r="C3353" s="363">
        <v>6300</v>
      </c>
      <c r="D3353" s="408">
        <f>AVERAGE(B3353:C3353)</f>
        <v>6150</v>
      </c>
      <c r="E3353" s="397"/>
      <c r="F3353" s="397"/>
    </row>
    <row r="3354" spans="1:6" ht="15" customHeight="1">
      <c r="A3354" s="335">
        <v>43802</v>
      </c>
      <c r="B3354" s="336">
        <v>6000</v>
      </c>
      <c r="C3354" s="336">
        <v>6300</v>
      </c>
      <c r="D3354" s="346">
        <v>6150</v>
      </c>
      <c r="E3354" s="397"/>
      <c r="F3354" s="397"/>
    </row>
    <row r="3355" spans="1:6" ht="15" customHeight="1">
      <c r="A3355" s="335">
        <v>43803</v>
      </c>
      <c r="B3355" s="336">
        <v>6000</v>
      </c>
      <c r="C3355" s="336">
        <v>6300</v>
      </c>
      <c r="D3355" s="337">
        <f>AVERAGE(B3355:C3355)</f>
        <v>6150</v>
      </c>
      <c r="E3355" s="397"/>
      <c r="F3355" s="397"/>
    </row>
    <row r="3356" spans="1:6" ht="15" customHeight="1">
      <c r="A3356" s="335">
        <v>43804</v>
      </c>
      <c r="B3356" s="336">
        <v>6000</v>
      </c>
      <c r="C3356" s="336">
        <v>6300</v>
      </c>
      <c r="D3356" s="337">
        <f>AVERAGE(B3356:C3356)</f>
        <v>6150</v>
      </c>
      <c r="E3356" s="397"/>
      <c r="F3356" s="397"/>
    </row>
    <row r="3357" spans="1:6" ht="15" customHeight="1">
      <c r="A3357" s="335">
        <v>43805</v>
      </c>
      <c r="B3357" s="336">
        <v>6000</v>
      </c>
      <c r="C3357" s="336">
        <v>6300</v>
      </c>
      <c r="D3357" s="337">
        <v>6150</v>
      </c>
      <c r="E3357" s="397"/>
      <c r="F3357" s="397"/>
    </row>
    <row r="3358" spans="1:6" ht="15" customHeight="1">
      <c r="A3358" s="335">
        <v>43808</v>
      </c>
      <c r="B3358" s="336">
        <v>6000</v>
      </c>
      <c r="C3358" s="336">
        <v>6300</v>
      </c>
      <c r="D3358" s="337">
        <v>6150</v>
      </c>
      <c r="E3358" s="397"/>
      <c r="F3358" s="397"/>
    </row>
    <row r="3359" spans="1:6" ht="15" customHeight="1">
      <c r="A3359" s="335">
        <v>43809</v>
      </c>
      <c r="B3359" s="336">
        <v>6000</v>
      </c>
      <c r="C3359" s="336">
        <v>6300</v>
      </c>
      <c r="D3359" s="337">
        <v>6150</v>
      </c>
      <c r="E3359" s="397"/>
      <c r="F3359" s="397"/>
    </row>
    <row r="3360" spans="1:6" ht="15" customHeight="1">
      <c r="A3360" s="335">
        <v>43810</v>
      </c>
      <c r="B3360" s="336">
        <v>6000</v>
      </c>
      <c r="C3360" s="336">
        <v>6300</v>
      </c>
      <c r="D3360" s="337">
        <v>6150</v>
      </c>
      <c r="E3360" s="397"/>
      <c r="F3360" s="397"/>
    </row>
    <row r="3361" spans="1:6" ht="15" customHeight="1">
      <c r="A3361" s="335">
        <v>43811</v>
      </c>
      <c r="B3361" s="336">
        <v>6000</v>
      </c>
      <c r="C3361" s="336">
        <v>6300</v>
      </c>
      <c r="D3361" s="337">
        <v>6150</v>
      </c>
      <c r="E3361" s="397"/>
      <c r="F3361" s="397"/>
    </row>
    <row r="3362" spans="1:6" ht="15" customHeight="1">
      <c r="A3362" s="335">
        <v>43812</v>
      </c>
      <c r="B3362" s="336">
        <v>6000</v>
      </c>
      <c r="C3362" s="336">
        <v>6250</v>
      </c>
      <c r="D3362" s="337">
        <f t="shared" ref="D3362:D3368" si="808">AVERAGE(B3362:C3362)</f>
        <v>6125</v>
      </c>
      <c r="E3362" s="397"/>
      <c r="F3362" s="397"/>
    </row>
    <row r="3363" spans="1:6" ht="15" customHeight="1">
      <c r="A3363" s="335">
        <v>43815</v>
      </c>
      <c r="B3363" s="336">
        <v>6000</v>
      </c>
      <c r="C3363" s="336">
        <v>6250</v>
      </c>
      <c r="D3363" s="337">
        <f t="shared" si="808"/>
        <v>6125</v>
      </c>
      <c r="E3363" s="397"/>
      <c r="F3363" s="397"/>
    </row>
    <row r="3364" spans="1:6" ht="15" customHeight="1">
      <c r="A3364" s="335">
        <v>43816</v>
      </c>
      <c r="B3364" s="336">
        <v>6000</v>
      </c>
      <c r="C3364" s="336">
        <v>6250</v>
      </c>
      <c r="D3364" s="337">
        <f t="shared" si="808"/>
        <v>6125</v>
      </c>
      <c r="E3364" s="397"/>
      <c r="F3364" s="397"/>
    </row>
    <row r="3365" spans="1:6" ht="15" customHeight="1">
      <c r="A3365" s="335">
        <v>43817</v>
      </c>
      <c r="B3365" s="336">
        <v>6000</v>
      </c>
      <c r="C3365" s="336">
        <v>6250</v>
      </c>
      <c r="D3365" s="337">
        <f t="shared" si="808"/>
        <v>6125</v>
      </c>
      <c r="E3365" s="397"/>
      <c r="F3365" s="397"/>
    </row>
    <row r="3366" spans="1:6" ht="15" customHeight="1">
      <c r="A3366" s="335">
        <v>43818</v>
      </c>
      <c r="B3366" s="336">
        <v>5900</v>
      </c>
      <c r="C3366" s="336">
        <v>6200</v>
      </c>
      <c r="D3366" s="337">
        <f t="shared" si="808"/>
        <v>6050</v>
      </c>
      <c r="E3366" s="397"/>
      <c r="F3366" s="397"/>
    </row>
    <row r="3367" spans="1:6" ht="15" customHeight="1">
      <c r="A3367" s="335">
        <v>43819</v>
      </c>
      <c r="B3367" s="336">
        <v>5850</v>
      </c>
      <c r="C3367" s="336">
        <v>6150</v>
      </c>
      <c r="D3367" s="337">
        <f t="shared" si="808"/>
        <v>6000</v>
      </c>
      <c r="E3367" s="397"/>
      <c r="F3367" s="397"/>
    </row>
    <row r="3368" spans="1:6" ht="15" customHeight="1">
      <c r="A3368" s="335">
        <v>43822</v>
      </c>
      <c r="B3368" s="336">
        <v>5850</v>
      </c>
      <c r="C3368" s="336">
        <v>6150</v>
      </c>
      <c r="D3368" s="337">
        <f t="shared" si="808"/>
        <v>6000</v>
      </c>
      <c r="E3368" s="397"/>
      <c r="F3368" s="397"/>
    </row>
    <row r="3369" spans="1:6" ht="15" customHeight="1">
      <c r="A3369" s="335">
        <v>43823</v>
      </c>
      <c r="B3369" s="336">
        <v>5850</v>
      </c>
      <c r="C3369" s="336">
        <v>6150</v>
      </c>
      <c r="D3369" s="337">
        <f t="shared" ref="D3369" si="809">AVERAGE(B3369:C3369)</f>
        <v>6000</v>
      </c>
      <c r="E3369" s="397"/>
      <c r="F3369" s="397"/>
    </row>
    <row r="3370" spans="1:6" ht="15" customHeight="1">
      <c r="A3370" s="3">
        <v>43824</v>
      </c>
      <c r="B3370" s="1416" t="s">
        <v>93</v>
      </c>
      <c r="C3370" s="1416"/>
      <c r="D3370" s="1416"/>
    </row>
    <row r="3371" spans="1:6" ht="15" customHeight="1">
      <c r="A3371" s="3">
        <v>43825</v>
      </c>
      <c r="B3371" s="1416"/>
      <c r="C3371" s="1416"/>
      <c r="D3371" s="1416"/>
    </row>
    <row r="3372" spans="1:6" ht="15" customHeight="1">
      <c r="A3372" s="3">
        <v>43826</v>
      </c>
      <c r="B3372" s="336">
        <v>5850</v>
      </c>
      <c r="C3372" s="336">
        <v>6150</v>
      </c>
      <c r="D3372" s="337">
        <f t="shared" ref="D3372:D3373" si="810">AVERAGE(B3372:C3372)</f>
        <v>6000</v>
      </c>
    </row>
    <row r="3373" spans="1:6" ht="15" customHeight="1">
      <c r="A3373" s="3">
        <v>43829</v>
      </c>
      <c r="B3373" s="336">
        <v>5850</v>
      </c>
      <c r="C3373" s="336">
        <v>6150</v>
      </c>
      <c r="D3373" s="337">
        <f t="shared" si="810"/>
        <v>6000</v>
      </c>
    </row>
    <row r="3374" spans="1:6" ht="15" customHeight="1" thickBot="1">
      <c r="A3374" s="340">
        <v>43830</v>
      </c>
      <c r="B3374" s="341">
        <v>5850</v>
      </c>
      <c r="C3374" s="341">
        <v>6150</v>
      </c>
      <c r="D3374" s="342">
        <f t="shared" ref="D3374:D3375" si="811">AVERAGE(B3374:C3374)</f>
        <v>6000</v>
      </c>
      <c r="E3374" s="360">
        <f>AVERAGE($D$3353:D3374)</f>
        <v>6095</v>
      </c>
      <c r="F3374" s="360">
        <f>AVERAGE($D$3115:D3374)</f>
        <v>6720.286561264822</v>
      </c>
    </row>
    <row r="3375" spans="1:6" ht="15" customHeight="1">
      <c r="A3375" s="335">
        <v>43832</v>
      </c>
      <c r="B3375" s="336">
        <v>5850</v>
      </c>
      <c r="C3375" s="336">
        <v>6150</v>
      </c>
      <c r="D3375" s="337">
        <f t="shared" si="811"/>
        <v>6000</v>
      </c>
      <c r="E3375" s="331"/>
      <c r="F3375" s="331"/>
    </row>
    <row r="3376" spans="1:6" ht="15" customHeight="1">
      <c r="A3376" s="335">
        <v>43833</v>
      </c>
      <c r="B3376" s="336">
        <v>5850</v>
      </c>
      <c r="C3376" s="336">
        <v>6150</v>
      </c>
      <c r="D3376" s="337">
        <f t="shared" ref="D3376:D3379" si="812">AVERAGE(B3376:C3376)</f>
        <v>6000</v>
      </c>
      <c r="E3376" s="397"/>
      <c r="F3376" s="397"/>
    </row>
    <row r="3377" spans="1:6" ht="15" customHeight="1">
      <c r="A3377" s="335">
        <v>43836</v>
      </c>
      <c r="B3377" s="336">
        <v>5850</v>
      </c>
      <c r="C3377" s="336">
        <v>6150</v>
      </c>
      <c r="D3377" s="337">
        <f t="shared" si="812"/>
        <v>6000</v>
      </c>
      <c r="E3377" s="397"/>
      <c r="F3377" s="397"/>
    </row>
    <row r="3378" spans="1:6" ht="15" customHeight="1">
      <c r="A3378" s="335">
        <v>43837</v>
      </c>
      <c r="B3378" s="336">
        <v>5850</v>
      </c>
      <c r="C3378" s="336">
        <v>6150</v>
      </c>
      <c r="D3378" s="337">
        <f t="shared" si="812"/>
        <v>6000</v>
      </c>
      <c r="E3378" s="397"/>
      <c r="F3378" s="397"/>
    </row>
    <row r="3379" spans="1:6" ht="15" customHeight="1">
      <c r="A3379" s="335">
        <v>43838</v>
      </c>
      <c r="B3379" s="336">
        <v>5800</v>
      </c>
      <c r="C3379" s="336">
        <v>6100</v>
      </c>
      <c r="D3379" s="337">
        <f t="shared" si="812"/>
        <v>5950</v>
      </c>
      <c r="E3379" s="397"/>
      <c r="F3379" s="397"/>
    </row>
    <row r="3380" spans="1:6" ht="15" customHeight="1">
      <c r="A3380" s="335">
        <v>43839</v>
      </c>
      <c r="B3380" s="336">
        <v>5800</v>
      </c>
      <c r="C3380" s="336">
        <v>6100</v>
      </c>
      <c r="D3380" s="337">
        <f t="shared" ref="D3380:D3381" si="813">AVERAGE(B3380:C3380)</f>
        <v>5950</v>
      </c>
      <c r="E3380" s="397"/>
      <c r="F3380" s="397"/>
    </row>
    <row r="3381" spans="1:6" ht="15" customHeight="1">
      <c r="A3381" s="335">
        <v>43840</v>
      </c>
      <c r="B3381" s="336">
        <v>5800</v>
      </c>
      <c r="C3381" s="336">
        <v>6000</v>
      </c>
      <c r="D3381" s="337">
        <f t="shared" si="813"/>
        <v>5900</v>
      </c>
      <c r="E3381" s="397"/>
      <c r="F3381" s="397"/>
    </row>
    <row r="3382" spans="1:6" ht="15" customHeight="1">
      <c r="A3382" s="335">
        <v>43843</v>
      </c>
      <c r="B3382" s="336">
        <v>5800</v>
      </c>
      <c r="C3382" s="336">
        <v>6000</v>
      </c>
      <c r="D3382" s="337">
        <f t="shared" ref="D3382:D3384" si="814">AVERAGE(B3382:C3382)</f>
        <v>5900</v>
      </c>
      <c r="E3382" s="397"/>
      <c r="F3382" s="397"/>
    </row>
    <row r="3383" spans="1:6" ht="15" customHeight="1">
      <c r="A3383" s="335">
        <v>43844</v>
      </c>
      <c r="B3383" s="336">
        <v>5800</v>
      </c>
      <c r="C3383" s="336">
        <v>6000</v>
      </c>
      <c r="D3383" s="337">
        <f t="shared" si="814"/>
        <v>5900</v>
      </c>
      <c r="E3383" s="397"/>
      <c r="F3383" s="397"/>
    </row>
    <row r="3384" spans="1:6" ht="15" customHeight="1">
      <c r="A3384" s="335">
        <v>43845</v>
      </c>
      <c r="B3384" s="336">
        <v>5750</v>
      </c>
      <c r="C3384" s="336">
        <v>5950</v>
      </c>
      <c r="D3384" s="337">
        <f t="shared" si="814"/>
        <v>5850</v>
      </c>
      <c r="E3384" s="397"/>
      <c r="F3384" s="397"/>
    </row>
    <row r="3385" spans="1:6" ht="15" customHeight="1">
      <c r="A3385" s="335">
        <v>43846</v>
      </c>
      <c r="B3385" s="336">
        <v>5750</v>
      </c>
      <c r="C3385" s="336">
        <v>5950</v>
      </c>
      <c r="D3385" s="337">
        <f t="shared" ref="D3385:D3386" si="815">AVERAGE(B3385:C3385)</f>
        <v>5850</v>
      </c>
      <c r="E3385" s="397"/>
      <c r="F3385" s="397"/>
    </row>
    <row r="3386" spans="1:6" ht="15" customHeight="1">
      <c r="A3386" s="335">
        <v>43847</v>
      </c>
      <c r="B3386" s="336">
        <v>5650</v>
      </c>
      <c r="C3386" s="336">
        <v>5950</v>
      </c>
      <c r="D3386" s="337">
        <f t="shared" si="815"/>
        <v>5800</v>
      </c>
      <c r="E3386" s="397"/>
      <c r="F3386" s="397"/>
    </row>
    <row r="3387" spans="1:6" ht="15" customHeight="1">
      <c r="A3387" s="335">
        <v>43850</v>
      </c>
      <c r="B3387" s="336">
        <v>5650</v>
      </c>
      <c r="C3387" s="336">
        <v>5950</v>
      </c>
      <c r="D3387" s="337">
        <f t="shared" ref="D3387:D3388" si="816">AVERAGE(B3387:C3387)</f>
        <v>5800</v>
      </c>
      <c r="E3387" s="397"/>
      <c r="F3387" s="397"/>
    </row>
    <row r="3388" spans="1:6" ht="15" customHeight="1">
      <c r="A3388" s="335">
        <v>43851</v>
      </c>
      <c r="B3388" s="336">
        <v>5650</v>
      </c>
      <c r="C3388" s="336">
        <v>5950</v>
      </c>
      <c r="D3388" s="337">
        <f t="shared" si="816"/>
        <v>5800</v>
      </c>
      <c r="E3388" s="397"/>
      <c r="F3388" s="397"/>
    </row>
    <row r="3389" spans="1:6" ht="15" customHeight="1">
      <c r="A3389" s="335">
        <v>43852</v>
      </c>
      <c r="B3389" s="336">
        <v>5650</v>
      </c>
      <c r="C3389" s="336">
        <v>5950</v>
      </c>
      <c r="D3389" s="337">
        <f t="shared" ref="D3389" si="817">AVERAGE(B3389:C3389)</f>
        <v>5800</v>
      </c>
      <c r="E3389" s="397"/>
      <c r="F3389" s="397"/>
    </row>
    <row r="3390" spans="1:6" ht="15" customHeight="1">
      <c r="A3390" s="335">
        <v>43853</v>
      </c>
      <c r="B3390" s="336">
        <v>5650</v>
      </c>
      <c r="C3390" s="336">
        <v>5950</v>
      </c>
      <c r="D3390" s="337">
        <f t="shared" ref="D3390:D3392" si="818">AVERAGE(B3390:C3390)</f>
        <v>5800</v>
      </c>
      <c r="E3390" s="397"/>
      <c r="F3390" s="397"/>
    </row>
    <row r="3391" spans="1:6" ht="15" customHeight="1">
      <c r="A3391" s="335">
        <v>43854</v>
      </c>
      <c r="B3391" s="336">
        <v>5650</v>
      </c>
      <c r="C3391" s="336">
        <v>5950</v>
      </c>
      <c r="D3391" s="337">
        <f t="shared" si="818"/>
        <v>5800</v>
      </c>
      <c r="E3391" s="397"/>
      <c r="F3391" s="397"/>
    </row>
    <row r="3392" spans="1:6" ht="15" customHeight="1">
      <c r="A3392" s="335">
        <v>43857</v>
      </c>
      <c r="B3392" s="336">
        <v>5650</v>
      </c>
      <c r="C3392" s="336">
        <v>5950</v>
      </c>
      <c r="D3392" s="337">
        <f t="shared" si="818"/>
        <v>5800</v>
      </c>
      <c r="E3392" s="397"/>
      <c r="F3392" s="397"/>
    </row>
    <row r="3393" spans="1:7" ht="15" customHeight="1">
      <c r="A3393" s="335">
        <v>43858</v>
      </c>
      <c r="B3393" s="336">
        <v>5650</v>
      </c>
      <c r="C3393" s="336">
        <v>5950</v>
      </c>
      <c r="D3393" s="337">
        <f t="shared" ref="D3393:D3394" si="819">AVERAGE(B3393:C3393)</f>
        <v>5800</v>
      </c>
      <c r="E3393" s="397"/>
      <c r="F3393" s="397"/>
    </row>
    <row r="3394" spans="1:7" ht="15" customHeight="1">
      <c r="A3394" s="335">
        <v>43859</v>
      </c>
      <c r="B3394" s="336">
        <v>6100</v>
      </c>
      <c r="C3394" s="336">
        <v>6300</v>
      </c>
      <c r="D3394" s="337">
        <f t="shared" si="819"/>
        <v>6200</v>
      </c>
      <c r="E3394" s="397"/>
      <c r="F3394" s="397"/>
    </row>
    <row r="3395" spans="1:7" ht="15" customHeight="1">
      <c r="A3395" s="335">
        <v>43860</v>
      </c>
      <c r="B3395" s="336">
        <v>6100</v>
      </c>
      <c r="C3395" s="336">
        <v>6300</v>
      </c>
      <c r="D3395" s="337">
        <f t="shared" ref="D3395:D3397" si="820">AVERAGE(B3395:C3395)</f>
        <v>6200</v>
      </c>
      <c r="E3395" s="397"/>
      <c r="F3395" s="397"/>
    </row>
    <row r="3396" spans="1:7" ht="15" customHeight="1" thickBot="1">
      <c r="A3396" s="340">
        <v>43861</v>
      </c>
      <c r="B3396" s="341">
        <v>5850</v>
      </c>
      <c r="C3396" s="341">
        <v>6150</v>
      </c>
      <c r="D3396" s="342">
        <f t="shared" si="820"/>
        <v>6000</v>
      </c>
      <c r="E3396" s="360">
        <f>AVERAGE($D$3375:D3396)</f>
        <v>5913.636363636364</v>
      </c>
      <c r="F3396" s="360">
        <f>AVERAGE($D$3375:D3396)</f>
        <v>5913.636363636364</v>
      </c>
    </row>
    <row r="3397" spans="1:7" ht="15" customHeight="1">
      <c r="A3397" s="335">
        <v>43864</v>
      </c>
      <c r="B3397" s="336">
        <v>5850</v>
      </c>
      <c r="C3397" s="336">
        <v>6150</v>
      </c>
      <c r="D3397" s="337">
        <f t="shared" si="820"/>
        <v>6000</v>
      </c>
      <c r="E3397" s="397"/>
      <c r="F3397" s="397"/>
    </row>
    <row r="3398" spans="1:7" ht="15" customHeight="1">
      <c r="A3398" s="335">
        <v>43865</v>
      </c>
      <c r="B3398" s="336">
        <v>5850</v>
      </c>
      <c r="C3398" s="336">
        <v>6150</v>
      </c>
      <c r="D3398" s="337">
        <f t="shared" ref="D3398" si="821">AVERAGE(B3398:C3398)</f>
        <v>6000</v>
      </c>
      <c r="E3398" s="397"/>
      <c r="F3398" s="397"/>
    </row>
    <row r="3399" spans="1:7" ht="15" customHeight="1">
      <c r="A3399" s="335">
        <v>43866</v>
      </c>
      <c r="B3399" s="336">
        <v>6000</v>
      </c>
      <c r="C3399" s="336">
        <v>6200</v>
      </c>
      <c r="D3399" s="337">
        <f t="shared" ref="D3399" si="822">AVERAGE(B3399:C3399)</f>
        <v>6100</v>
      </c>
      <c r="E3399" s="397"/>
      <c r="F3399" s="397"/>
    </row>
    <row r="3400" spans="1:7" ht="15" customHeight="1">
      <c r="A3400" s="335">
        <v>43867</v>
      </c>
      <c r="B3400" s="336">
        <v>6000</v>
      </c>
      <c r="C3400" s="336">
        <v>6200</v>
      </c>
      <c r="D3400" s="337">
        <f t="shared" ref="D3400" si="823">AVERAGE(B3400:C3400)</f>
        <v>6100</v>
      </c>
      <c r="E3400" s="397"/>
      <c r="F3400" s="397"/>
    </row>
    <row r="3401" spans="1:7" ht="15" customHeight="1">
      <c r="A3401" s="335">
        <v>43868</v>
      </c>
      <c r="B3401" s="336">
        <v>6000</v>
      </c>
      <c r="C3401" s="336">
        <v>6200</v>
      </c>
      <c r="D3401" s="337">
        <f t="shared" ref="D3401" si="824">AVERAGE(B3401:C3401)</f>
        <v>6100</v>
      </c>
      <c r="E3401" s="397"/>
      <c r="F3401" s="397"/>
      <c r="G3401" s="397"/>
    </row>
    <row r="3402" spans="1:7" ht="15" customHeight="1">
      <c r="A3402" s="335">
        <v>43869</v>
      </c>
      <c r="B3402" s="336">
        <v>6000</v>
      </c>
      <c r="C3402" s="336">
        <v>6200</v>
      </c>
      <c r="D3402" s="337">
        <f t="shared" ref="D3402:D3404" si="825">AVERAGE(B3402:C3402)</f>
        <v>6100</v>
      </c>
      <c r="E3402" s="397"/>
      <c r="F3402" s="397"/>
    </row>
    <row r="3403" spans="1:7" ht="15" customHeight="1">
      <c r="A3403" s="335">
        <v>43871</v>
      </c>
      <c r="B3403" s="336">
        <v>6000</v>
      </c>
      <c r="C3403" s="336">
        <v>6200</v>
      </c>
      <c r="D3403" s="337">
        <f t="shared" si="825"/>
        <v>6100</v>
      </c>
      <c r="E3403" s="397"/>
      <c r="F3403" s="397"/>
    </row>
    <row r="3404" spans="1:7" ht="15" customHeight="1">
      <c r="A3404" s="335">
        <v>43872</v>
      </c>
      <c r="B3404" s="336">
        <v>6000</v>
      </c>
      <c r="C3404" s="336">
        <v>6200</v>
      </c>
      <c r="D3404" s="337">
        <f t="shared" si="825"/>
        <v>6100</v>
      </c>
      <c r="E3404" s="397"/>
      <c r="F3404" s="397"/>
    </row>
    <row r="3405" spans="1:7" ht="15" customHeight="1">
      <c r="A3405" s="335">
        <v>43873</v>
      </c>
      <c r="B3405" s="336">
        <v>6100</v>
      </c>
      <c r="C3405" s="336">
        <v>6300</v>
      </c>
      <c r="D3405" s="337">
        <f t="shared" ref="D3405" si="826">AVERAGE(B3405:C3405)</f>
        <v>6200</v>
      </c>
      <c r="E3405" s="397"/>
      <c r="F3405" s="397"/>
    </row>
    <row r="3406" spans="1:7" ht="15" customHeight="1">
      <c r="A3406" s="335">
        <v>43874</v>
      </c>
      <c r="B3406" s="336">
        <v>6100</v>
      </c>
      <c r="C3406" s="336">
        <v>6300</v>
      </c>
      <c r="D3406" s="337">
        <f t="shared" ref="D3406" si="827">AVERAGE(B3406:C3406)</f>
        <v>6200</v>
      </c>
      <c r="E3406" s="397"/>
      <c r="F3406" s="397"/>
    </row>
    <row r="3407" spans="1:7" ht="15" customHeight="1">
      <c r="A3407" s="335">
        <v>43875</v>
      </c>
      <c r="B3407" s="336">
        <v>6150</v>
      </c>
      <c r="C3407" s="336">
        <v>6400</v>
      </c>
      <c r="D3407" s="337">
        <f t="shared" ref="D3407" si="828">AVERAGE(B3407:C3407)</f>
        <v>6275</v>
      </c>
      <c r="E3407" s="397"/>
      <c r="F3407" s="397"/>
    </row>
    <row r="3408" spans="1:7" ht="15" customHeight="1">
      <c r="A3408" s="335">
        <v>43878</v>
      </c>
      <c r="B3408" s="336">
        <v>6150</v>
      </c>
      <c r="C3408" s="336">
        <v>6400</v>
      </c>
      <c r="D3408" s="337">
        <f t="shared" ref="D3408:D3409" si="829">AVERAGE(B3408:C3408)</f>
        <v>6275</v>
      </c>
      <c r="E3408" s="397"/>
      <c r="F3408" s="397"/>
    </row>
    <row r="3409" spans="1:6" ht="15" customHeight="1">
      <c r="A3409" s="335">
        <v>43879</v>
      </c>
      <c r="B3409" s="336">
        <v>6150</v>
      </c>
      <c r="C3409" s="336">
        <v>6400</v>
      </c>
      <c r="D3409" s="337">
        <f t="shared" si="829"/>
        <v>6275</v>
      </c>
      <c r="E3409" s="397"/>
      <c r="F3409" s="397"/>
    </row>
    <row r="3410" spans="1:6" ht="15" customHeight="1">
      <c r="A3410" s="335">
        <v>43880</v>
      </c>
      <c r="B3410" s="336">
        <v>6200</v>
      </c>
      <c r="C3410" s="336">
        <v>6400</v>
      </c>
      <c r="D3410" s="337">
        <f t="shared" ref="D3410" si="830">AVERAGE(B3410:C3410)</f>
        <v>6300</v>
      </c>
      <c r="E3410" s="397"/>
      <c r="F3410" s="397"/>
    </row>
    <row r="3411" spans="1:6" ht="15" customHeight="1">
      <c r="A3411" s="335">
        <v>43881</v>
      </c>
      <c r="B3411" s="336">
        <v>6200</v>
      </c>
      <c r="C3411" s="336">
        <v>6400</v>
      </c>
      <c r="D3411" s="337">
        <f t="shared" ref="D3411" si="831">AVERAGE(B3411:C3411)</f>
        <v>6300</v>
      </c>
      <c r="E3411" s="397"/>
      <c r="F3411" s="397"/>
    </row>
    <row r="3412" spans="1:6" ht="15" customHeight="1">
      <c r="A3412" s="335">
        <v>43882</v>
      </c>
      <c r="B3412" s="336">
        <v>6200</v>
      </c>
      <c r="C3412" s="336">
        <v>6480</v>
      </c>
      <c r="D3412" s="337">
        <f t="shared" ref="D3412" si="832">AVERAGE(B3412:C3412)</f>
        <v>6340</v>
      </c>
      <c r="E3412" s="397"/>
      <c r="F3412" s="397"/>
    </row>
    <row r="3413" spans="1:6" ht="15" customHeight="1">
      <c r="A3413" s="335">
        <v>43885</v>
      </c>
      <c r="B3413" s="336">
        <v>6200</v>
      </c>
      <c r="C3413" s="336">
        <v>6480</v>
      </c>
      <c r="D3413" s="337">
        <f t="shared" ref="D3413" si="833">AVERAGE(B3413:C3413)</f>
        <v>6340</v>
      </c>
      <c r="E3413" s="397"/>
      <c r="F3413" s="397"/>
    </row>
    <row r="3414" spans="1:6" ht="15" customHeight="1">
      <c r="A3414" s="335">
        <v>43886</v>
      </c>
      <c r="B3414" s="336">
        <v>6200</v>
      </c>
      <c r="C3414" s="336">
        <v>6480</v>
      </c>
      <c r="D3414" s="337">
        <f t="shared" ref="D3414" si="834">AVERAGE(B3414:C3414)</f>
        <v>6340</v>
      </c>
      <c r="E3414" s="397"/>
      <c r="F3414" s="397"/>
    </row>
    <row r="3415" spans="1:6" ht="15" customHeight="1">
      <c r="A3415" s="335">
        <v>43887</v>
      </c>
      <c r="B3415" s="336">
        <v>6200</v>
      </c>
      <c r="C3415" s="336">
        <v>6480</v>
      </c>
      <c r="D3415" s="337">
        <f t="shared" ref="D3415:D3418" si="835">AVERAGE(B3415:C3415)</f>
        <v>6340</v>
      </c>
      <c r="E3415" s="397"/>
      <c r="F3415" s="397"/>
    </row>
    <row r="3416" spans="1:6" ht="15" customHeight="1">
      <c r="A3416" s="335">
        <v>43888</v>
      </c>
      <c r="B3416" s="336">
        <v>6200</v>
      </c>
      <c r="C3416" s="336">
        <v>6480</v>
      </c>
      <c r="D3416" s="337">
        <f t="shared" si="835"/>
        <v>6340</v>
      </c>
      <c r="E3416" s="397"/>
      <c r="F3416" s="397"/>
    </row>
    <row r="3417" spans="1:6" ht="15" customHeight="1" thickBot="1">
      <c r="A3417" s="340">
        <v>43889</v>
      </c>
      <c r="B3417" s="341">
        <v>6300</v>
      </c>
      <c r="C3417" s="341">
        <v>6550</v>
      </c>
      <c r="D3417" s="342">
        <f t="shared" si="835"/>
        <v>6425</v>
      </c>
      <c r="E3417" s="360">
        <f>AVERAGE($D$3397:D3417)</f>
        <v>6216.666666666667</v>
      </c>
      <c r="F3417" s="360">
        <f>AVERAGE($D$3375:D3417)</f>
        <v>6061.6279069767443</v>
      </c>
    </row>
    <row r="3418" spans="1:6" ht="15" customHeight="1">
      <c r="A3418" s="335">
        <v>43892</v>
      </c>
      <c r="B3418" s="336">
        <v>6300</v>
      </c>
      <c r="C3418" s="336">
        <v>6550</v>
      </c>
      <c r="D3418" s="337">
        <f t="shared" si="835"/>
        <v>6425</v>
      </c>
      <c r="E3418" s="413"/>
      <c r="F3418" s="413"/>
    </row>
    <row r="3419" spans="1:6" ht="15" customHeight="1">
      <c r="A3419" s="335">
        <v>43893</v>
      </c>
      <c r="B3419" s="336">
        <v>6300</v>
      </c>
      <c r="C3419" s="336">
        <v>6550</v>
      </c>
      <c r="D3419" s="337">
        <f t="shared" ref="D3419" si="836">AVERAGE(B3419:C3419)</f>
        <v>6425</v>
      </c>
      <c r="E3419" s="397"/>
      <c r="F3419" s="397"/>
    </row>
    <row r="3420" spans="1:6" ht="15" customHeight="1">
      <c r="A3420" s="335">
        <v>43894</v>
      </c>
      <c r="B3420" s="336">
        <v>6300</v>
      </c>
      <c r="C3420" s="336">
        <v>6550</v>
      </c>
      <c r="D3420" s="337">
        <f t="shared" ref="D3420" si="837">AVERAGE(B3420:C3420)</f>
        <v>6425</v>
      </c>
      <c r="E3420" s="397"/>
      <c r="F3420" s="397"/>
    </row>
    <row r="3421" spans="1:6" ht="15" customHeight="1">
      <c r="A3421" s="335">
        <v>43895</v>
      </c>
      <c r="B3421" s="336">
        <v>6300</v>
      </c>
      <c r="C3421" s="336">
        <v>6550</v>
      </c>
      <c r="D3421" s="337">
        <f t="shared" ref="D3421" si="838">AVERAGE(B3421:C3421)</f>
        <v>6425</v>
      </c>
      <c r="E3421" s="397"/>
      <c r="F3421" s="397"/>
    </row>
    <row r="3422" spans="1:6" ht="15" customHeight="1">
      <c r="A3422" s="335">
        <v>43896</v>
      </c>
      <c r="B3422" s="336">
        <v>6300</v>
      </c>
      <c r="C3422" s="336">
        <v>6550</v>
      </c>
      <c r="D3422" s="337">
        <f t="shared" ref="D3422" si="839">AVERAGE(B3422:C3422)</f>
        <v>6425</v>
      </c>
      <c r="E3422" s="397"/>
      <c r="F3422" s="397"/>
    </row>
    <row r="3423" spans="1:6" ht="15" customHeight="1">
      <c r="A3423" s="335">
        <v>43899</v>
      </c>
      <c r="B3423" s="336">
        <v>6300</v>
      </c>
      <c r="C3423" s="336">
        <v>6550</v>
      </c>
      <c r="D3423" s="337">
        <f t="shared" ref="D3423" si="840">AVERAGE(B3423:C3423)</f>
        <v>6425</v>
      </c>
      <c r="E3423" s="397"/>
      <c r="F3423" s="397"/>
    </row>
    <row r="3424" spans="1:6" ht="15" customHeight="1">
      <c r="A3424" s="335">
        <v>43900</v>
      </c>
      <c r="B3424" s="336">
        <v>6300</v>
      </c>
      <c r="C3424" s="336">
        <v>6550</v>
      </c>
      <c r="D3424" s="337">
        <f t="shared" ref="D3424" si="841">AVERAGE(B3424:C3424)</f>
        <v>6425</v>
      </c>
      <c r="E3424" s="397"/>
      <c r="F3424" s="397"/>
    </row>
    <row r="3425" spans="1:6" ht="15" customHeight="1">
      <c r="A3425" s="335">
        <v>43901</v>
      </c>
      <c r="B3425" s="336">
        <v>6300</v>
      </c>
      <c r="C3425" s="336">
        <v>6550</v>
      </c>
      <c r="D3425" s="337">
        <f t="shared" ref="D3425" si="842">AVERAGE(B3425:C3425)</f>
        <v>6425</v>
      </c>
      <c r="E3425" s="397"/>
      <c r="F3425" s="397"/>
    </row>
    <row r="3426" spans="1:6" ht="15" customHeight="1">
      <c r="A3426" s="335">
        <v>43902</v>
      </c>
      <c r="B3426" s="336">
        <v>6300</v>
      </c>
      <c r="C3426" s="336">
        <v>6550</v>
      </c>
      <c r="D3426" s="337">
        <f t="shared" ref="D3426:D3431" si="843">AVERAGE(B3426:C3426)</f>
        <v>6425</v>
      </c>
      <c r="E3426" s="397"/>
      <c r="F3426" s="397"/>
    </row>
    <row r="3427" spans="1:6" ht="15" customHeight="1">
      <c r="A3427" s="335">
        <v>43903</v>
      </c>
      <c r="B3427" s="336">
        <v>6300</v>
      </c>
      <c r="C3427" s="336">
        <v>6500</v>
      </c>
      <c r="D3427" s="337">
        <f t="shared" si="843"/>
        <v>6400</v>
      </c>
    </row>
    <row r="3428" spans="1:6" ht="15" customHeight="1">
      <c r="A3428" s="335">
        <v>43906</v>
      </c>
      <c r="B3428" s="336">
        <v>6300</v>
      </c>
      <c r="C3428" s="336">
        <v>6500</v>
      </c>
      <c r="D3428" s="337">
        <f t="shared" ref="D3428" si="844">AVERAGE(B3428:C3428)</f>
        <v>6400</v>
      </c>
      <c r="E3428" s="397"/>
      <c r="F3428" s="397"/>
    </row>
    <row r="3429" spans="1:6" ht="15" customHeight="1">
      <c r="A3429" s="335">
        <v>43907</v>
      </c>
      <c r="B3429" s="336">
        <v>6300</v>
      </c>
      <c r="C3429" s="336">
        <v>6500</v>
      </c>
      <c r="D3429" s="337">
        <f t="shared" si="843"/>
        <v>6400</v>
      </c>
      <c r="E3429" s="397"/>
      <c r="F3429" s="397"/>
    </row>
    <row r="3430" spans="1:6" ht="15" customHeight="1">
      <c r="A3430" s="335">
        <v>43908</v>
      </c>
      <c r="B3430" s="336">
        <v>6250</v>
      </c>
      <c r="C3430" s="336">
        <v>6450</v>
      </c>
      <c r="D3430" s="337">
        <f t="shared" si="843"/>
        <v>6350</v>
      </c>
      <c r="E3430" s="397"/>
      <c r="F3430" s="397"/>
    </row>
    <row r="3431" spans="1:6" ht="15" customHeight="1">
      <c r="A3431" s="335">
        <v>43909</v>
      </c>
      <c r="B3431" s="336">
        <v>6250</v>
      </c>
      <c r="C3431" s="336">
        <v>6450</v>
      </c>
      <c r="D3431" s="337">
        <f t="shared" si="843"/>
        <v>6350</v>
      </c>
      <c r="E3431" s="397"/>
      <c r="F3431" s="397"/>
    </row>
    <row r="3432" spans="1:6" ht="15" customHeight="1">
      <c r="A3432" s="335">
        <v>43910</v>
      </c>
      <c r="B3432" s="336">
        <v>6250</v>
      </c>
      <c r="C3432" s="336">
        <v>6450</v>
      </c>
      <c r="D3432" s="337">
        <f t="shared" ref="D3432" si="845">AVERAGE(B3432:C3432)</f>
        <v>6350</v>
      </c>
      <c r="E3432" s="397"/>
      <c r="F3432" s="397"/>
    </row>
    <row r="3433" spans="1:6" ht="15" customHeight="1">
      <c r="A3433" s="335">
        <v>43913</v>
      </c>
      <c r="B3433" s="336">
        <v>6250</v>
      </c>
      <c r="C3433" s="336">
        <v>6450</v>
      </c>
      <c r="D3433" s="337">
        <f t="shared" ref="D3433" si="846">AVERAGE(B3433:C3433)</f>
        <v>6350</v>
      </c>
      <c r="E3433" s="397"/>
      <c r="F3433" s="397"/>
    </row>
    <row r="3434" spans="1:6" ht="15" customHeight="1">
      <c r="A3434" s="335">
        <v>43914</v>
      </c>
      <c r="B3434" s="336">
        <v>6250</v>
      </c>
      <c r="C3434" s="336">
        <v>6450</v>
      </c>
      <c r="D3434" s="337">
        <f t="shared" ref="D3434" si="847">AVERAGE(B3434:C3434)</f>
        <v>6350</v>
      </c>
      <c r="E3434" s="397"/>
      <c r="F3434" s="397"/>
    </row>
    <row r="3435" spans="1:6" ht="15" customHeight="1">
      <c r="A3435" s="335">
        <v>43915</v>
      </c>
      <c r="B3435" s="336">
        <v>6250</v>
      </c>
      <c r="C3435" s="336">
        <v>6450</v>
      </c>
      <c r="D3435" s="337">
        <f t="shared" ref="D3435:D3436" si="848">AVERAGE(B3435:C3435)</f>
        <v>6350</v>
      </c>
      <c r="E3435" s="397"/>
      <c r="F3435" s="397"/>
    </row>
    <row r="3436" spans="1:6" ht="15" customHeight="1">
      <c r="A3436" s="335">
        <v>43916</v>
      </c>
      <c r="B3436" s="336">
        <v>6250</v>
      </c>
      <c r="C3436" s="336">
        <v>6450</v>
      </c>
      <c r="D3436" s="337">
        <f t="shared" si="848"/>
        <v>6350</v>
      </c>
      <c r="E3436" s="397"/>
      <c r="F3436" s="397"/>
    </row>
    <row r="3437" spans="1:6" ht="15" customHeight="1">
      <c r="A3437" s="335">
        <v>43917</v>
      </c>
      <c r="B3437" s="336">
        <v>6100</v>
      </c>
      <c r="C3437" s="336">
        <v>6300</v>
      </c>
      <c r="D3437" s="337">
        <f t="shared" ref="D3437" si="849">AVERAGE(B3437:C3437)</f>
        <v>6200</v>
      </c>
      <c r="E3437" s="397"/>
      <c r="F3437" s="397"/>
    </row>
    <row r="3438" spans="1:6" ht="15" customHeight="1">
      <c r="A3438" s="335">
        <v>43920</v>
      </c>
      <c r="B3438" s="336">
        <v>6100</v>
      </c>
      <c r="C3438" s="336">
        <v>6300</v>
      </c>
      <c r="D3438" s="337">
        <f t="shared" ref="D3438" si="850">AVERAGE(B3438:C3438)</f>
        <v>6200</v>
      </c>
      <c r="E3438" s="397"/>
      <c r="F3438" s="397"/>
    </row>
    <row r="3439" spans="1:6" ht="15" customHeight="1" thickBot="1">
      <c r="A3439" s="340">
        <v>43921</v>
      </c>
      <c r="B3439" s="341">
        <v>6100</v>
      </c>
      <c r="C3439" s="341">
        <v>6300</v>
      </c>
      <c r="D3439" s="342">
        <f t="shared" ref="D3439:D3440" si="851">AVERAGE(B3439:C3439)</f>
        <v>6200</v>
      </c>
      <c r="E3439" s="360">
        <f>AVERAGE($D$3418:D3439)</f>
        <v>6367.045454545455</v>
      </c>
      <c r="F3439" s="360">
        <f>AVERAGE($D$3375:D3439)</f>
        <v>6165</v>
      </c>
    </row>
    <row r="3440" spans="1:6" ht="15" customHeight="1">
      <c r="A3440" s="335">
        <v>43922</v>
      </c>
      <c r="B3440" s="336">
        <v>6000</v>
      </c>
      <c r="C3440" s="336">
        <v>6270</v>
      </c>
      <c r="D3440" s="337">
        <f t="shared" si="851"/>
        <v>6135</v>
      </c>
      <c r="E3440" s="413"/>
      <c r="F3440" s="413"/>
    </row>
    <row r="3441" spans="1:6" ht="15" customHeight="1">
      <c r="A3441" s="335">
        <v>43923</v>
      </c>
      <c r="B3441" s="336">
        <v>6000</v>
      </c>
      <c r="C3441" s="336">
        <v>6270</v>
      </c>
      <c r="D3441" s="337">
        <f t="shared" ref="D3441" si="852">AVERAGE(B3441:C3441)</f>
        <v>6135</v>
      </c>
      <c r="E3441" s="397"/>
      <c r="F3441" s="397"/>
    </row>
    <row r="3442" spans="1:6" ht="15" customHeight="1">
      <c r="A3442" s="335">
        <v>43924</v>
      </c>
      <c r="B3442" s="397">
        <v>6000</v>
      </c>
      <c r="C3442" s="397">
        <v>6250</v>
      </c>
      <c r="D3442" s="337">
        <f t="shared" ref="D3442" si="853">AVERAGE(B3442:C3442)</f>
        <v>6125</v>
      </c>
      <c r="E3442" s="397"/>
      <c r="F3442" s="397"/>
    </row>
    <row r="3443" spans="1:6" ht="15" customHeight="1">
      <c r="A3443" s="335">
        <v>43927</v>
      </c>
      <c r="B3443" s="336">
        <v>6000</v>
      </c>
      <c r="C3443" s="336">
        <v>6250</v>
      </c>
      <c r="D3443" s="337">
        <f t="shared" ref="D3443" si="854">AVERAGE(B3443:C3443)</f>
        <v>6125</v>
      </c>
      <c r="E3443" s="397"/>
      <c r="F3443" s="397"/>
    </row>
    <row r="3444" spans="1:6" ht="15" customHeight="1">
      <c r="A3444" s="335">
        <v>43928</v>
      </c>
      <c r="B3444" s="336">
        <v>6000</v>
      </c>
      <c r="C3444" s="336">
        <v>6250</v>
      </c>
      <c r="D3444" s="337">
        <f t="shared" ref="D3444:D3446" si="855">AVERAGE(B3444:C3444)</f>
        <v>6125</v>
      </c>
      <c r="E3444" s="397"/>
      <c r="F3444" s="397"/>
    </row>
    <row r="3445" spans="1:6" ht="15" customHeight="1">
      <c r="A3445" s="335">
        <v>43929</v>
      </c>
      <c r="B3445" s="336">
        <v>5800</v>
      </c>
      <c r="C3445" s="336">
        <v>6050</v>
      </c>
      <c r="D3445" s="337">
        <f t="shared" si="855"/>
        <v>5925</v>
      </c>
      <c r="E3445" s="397"/>
      <c r="F3445" s="397"/>
    </row>
    <row r="3446" spans="1:6" ht="15" customHeight="1">
      <c r="A3446" s="335">
        <v>43930</v>
      </c>
      <c r="B3446" s="336">
        <v>5800</v>
      </c>
      <c r="C3446" s="336">
        <v>6050</v>
      </c>
      <c r="D3446" s="337">
        <f t="shared" si="855"/>
        <v>5925</v>
      </c>
      <c r="E3446" s="397"/>
      <c r="F3446" s="397"/>
    </row>
    <row r="3447" spans="1:6" ht="15" customHeight="1">
      <c r="A3447" s="335">
        <v>43931</v>
      </c>
      <c r="B3447" s="1416" t="s">
        <v>61</v>
      </c>
      <c r="C3447" s="1416"/>
      <c r="D3447" s="1416"/>
    </row>
    <row r="3448" spans="1:6" ht="15" customHeight="1">
      <c r="A3448" s="335">
        <v>43934</v>
      </c>
      <c r="B3448" s="1416"/>
      <c r="C3448" s="1416"/>
      <c r="D3448" s="1416"/>
    </row>
    <row r="3449" spans="1:6" ht="15" customHeight="1">
      <c r="A3449" s="335">
        <v>43935</v>
      </c>
      <c r="B3449" s="336">
        <v>5800</v>
      </c>
      <c r="C3449" s="336">
        <v>6050</v>
      </c>
      <c r="D3449" s="337">
        <f t="shared" ref="D3449:D3450" si="856">AVERAGE(B3449:C3449)</f>
        <v>5925</v>
      </c>
    </row>
    <row r="3450" spans="1:6" ht="15" customHeight="1">
      <c r="A3450" s="335">
        <v>43936</v>
      </c>
      <c r="B3450" s="336">
        <v>5750</v>
      </c>
      <c r="C3450" s="336">
        <v>5950</v>
      </c>
      <c r="D3450" s="337">
        <f t="shared" si="856"/>
        <v>5850</v>
      </c>
    </row>
    <row r="3451" spans="1:6" ht="15" customHeight="1">
      <c r="A3451" s="335">
        <v>43937</v>
      </c>
      <c r="B3451" s="336">
        <v>5750</v>
      </c>
      <c r="C3451" s="336">
        <v>5950</v>
      </c>
      <c r="D3451" s="337">
        <f t="shared" ref="D3451" si="857">AVERAGE(B3451:C3451)</f>
        <v>5850</v>
      </c>
    </row>
    <row r="3452" spans="1:6" ht="15" customHeight="1">
      <c r="A3452" s="335">
        <v>43938</v>
      </c>
      <c r="B3452" s="336">
        <v>5750</v>
      </c>
      <c r="C3452" s="336">
        <v>5950</v>
      </c>
      <c r="D3452" s="337">
        <f t="shared" ref="D3452" si="858">AVERAGE(B3452:C3452)</f>
        <v>5850</v>
      </c>
    </row>
    <row r="3453" spans="1:6" ht="15" customHeight="1">
      <c r="A3453" s="335">
        <v>43941</v>
      </c>
      <c r="B3453" s="397">
        <v>5750</v>
      </c>
      <c r="C3453" s="397">
        <v>5950</v>
      </c>
      <c r="D3453" s="337">
        <f t="shared" ref="D3453" si="859">AVERAGE(B3453:C3453)</f>
        <v>5850</v>
      </c>
    </row>
    <row r="3454" spans="1:6" ht="15" customHeight="1">
      <c r="A3454" s="335">
        <v>43942</v>
      </c>
      <c r="B3454" s="397">
        <v>5750</v>
      </c>
      <c r="C3454" s="397">
        <v>5950</v>
      </c>
      <c r="D3454" s="337">
        <f t="shared" ref="D3454" si="860">AVERAGE(B3454:C3454)</f>
        <v>5850</v>
      </c>
    </row>
    <row r="3455" spans="1:6" ht="15" customHeight="1">
      <c r="A3455" s="335">
        <v>43943</v>
      </c>
      <c r="B3455" s="336">
        <v>5700</v>
      </c>
      <c r="C3455" s="336">
        <v>5900</v>
      </c>
      <c r="D3455" s="337">
        <f>AVERAGE(B3455:C3455)</f>
        <v>5800</v>
      </c>
    </row>
    <row r="3456" spans="1:6" ht="15" customHeight="1">
      <c r="A3456" s="335">
        <v>43944</v>
      </c>
      <c r="B3456" s="336">
        <v>5700</v>
      </c>
      <c r="C3456" s="336">
        <v>5900</v>
      </c>
      <c r="D3456" s="337">
        <f>AVERAGE(B3456:C3456)</f>
        <v>5800</v>
      </c>
    </row>
    <row r="3457" spans="1:6" ht="15" customHeight="1">
      <c r="A3457" s="335">
        <v>43945</v>
      </c>
      <c r="B3457" s="336">
        <v>5650</v>
      </c>
      <c r="C3457" s="336">
        <v>5900</v>
      </c>
      <c r="D3457" s="337">
        <f>AVERAGE(B3457:C3457)</f>
        <v>5775</v>
      </c>
    </row>
    <row r="3458" spans="1:6" ht="15" customHeight="1">
      <c r="A3458" s="335">
        <v>43948</v>
      </c>
      <c r="B3458" s="336">
        <v>5650</v>
      </c>
      <c r="C3458" s="336">
        <v>5900</v>
      </c>
      <c r="D3458" s="337">
        <f>AVERAGE(B3458:C3458)</f>
        <v>5775</v>
      </c>
    </row>
    <row r="3459" spans="1:6" ht="15" customHeight="1">
      <c r="A3459" s="335">
        <v>43949</v>
      </c>
      <c r="B3459" s="336">
        <v>5650</v>
      </c>
      <c r="C3459" s="336">
        <v>5900</v>
      </c>
      <c r="D3459" s="337">
        <f>AVERAGE(B3459:C3459)</f>
        <v>5775</v>
      </c>
    </row>
    <row r="3460" spans="1:6" ht="15" customHeight="1">
      <c r="A3460" s="335">
        <v>43950</v>
      </c>
      <c r="B3460" s="336">
        <v>5650</v>
      </c>
      <c r="C3460" s="336">
        <v>5900</v>
      </c>
      <c r="D3460" s="337">
        <f t="shared" ref="D3460:D3462" si="861">AVERAGE(B3460:C3460)</f>
        <v>5775</v>
      </c>
    </row>
    <row r="3461" spans="1:6" ht="15" customHeight="1" thickBot="1">
      <c r="A3461" s="340">
        <v>43951</v>
      </c>
      <c r="B3461" s="341">
        <v>5650</v>
      </c>
      <c r="C3461" s="341">
        <v>5900</v>
      </c>
      <c r="D3461" s="342">
        <f t="shared" si="861"/>
        <v>5775</v>
      </c>
      <c r="E3461" s="360">
        <f>AVERAGE($D$3440:D3461)</f>
        <v>5907.25</v>
      </c>
      <c r="F3461" s="360">
        <f>AVERAGE($D$3375:D3461)</f>
        <v>6104.3529411764703</v>
      </c>
    </row>
    <row r="3462" spans="1:6" ht="15" customHeight="1">
      <c r="A3462" s="335">
        <v>43952</v>
      </c>
      <c r="B3462" s="336">
        <v>5600</v>
      </c>
      <c r="C3462" s="336">
        <v>5900</v>
      </c>
      <c r="D3462" s="337">
        <f t="shared" si="861"/>
        <v>5750</v>
      </c>
    </row>
    <row r="3463" spans="1:6" ht="15" customHeight="1">
      <c r="A3463" s="335">
        <v>43955</v>
      </c>
      <c r="B3463" s="336">
        <v>5600</v>
      </c>
      <c r="C3463" s="336">
        <v>5900</v>
      </c>
      <c r="D3463" s="346">
        <f t="shared" ref="D3463:D3468" si="862">AVERAGE(B3463:C3463)</f>
        <v>5750</v>
      </c>
    </row>
    <row r="3464" spans="1:6" ht="15" customHeight="1">
      <c r="A3464" s="335">
        <v>43956</v>
      </c>
      <c r="B3464" s="336">
        <v>5600</v>
      </c>
      <c r="C3464" s="336">
        <v>5900</v>
      </c>
      <c r="D3464" s="346">
        <f t="shared" si="862"/>
        <v>5750</v>
      </c>
    </row>
    <row r="3465" spans="1:6" ht="15" customHeight="1">
      <c r="A3465" s="335">
        <v>43957</v>
      </c>
      <c r="B3465" s="336">
        <v>5600</v>
      </c>
      <c r="C3465" s="336">
        <v>5900</v>
      </c>
      <c r="D3465" s="337">
        <f t="shared" si="862"/>
        <v>5750</v>
      </c>
    </row>
    <row r="3466" spans="1:6" ht="15" customHeight="1">
      <c r="A3466" s="335">
        <v>43958</v>
      </c>
      <c r="B3466" s="336">
        <v>5600</v>
      </c>
      <c r="C3466" s="336">
        <v>5900</v>
      </c>
      <c r="D3466" s="337">
        <f t="shared" si="862"/>
        <v>5750</v>
      </c>
    </row>
    <row r="3467" spans="1:6" ht="15" customHeight="1">
      <c r="A3467" s="335">
        <v>43959</v>
      </c>
      <c r="B3467" s="1416" t="s">
        <v>61</v>
      </c>
      <c r="C3467" s="1416"/>
      <c r="D3467" s="1416"/>
    </row>
    <row r="3468" spans="1:6" ht="15" customHeight="1">
      <c r="A3468" s="335">
        <v>43962</v>
      </c>
      <c r="B3468" s="397">
        <v>5600</v>
      </c>
      <c r="C3468" s="397">
        <v>5900</v>
      </c>
      <c r="D3468" s="337">
        <f t="shared" si="862"/>
        <v>5750</v>
      </c>
    </row>
    <row r="3469" spans="1:6" ht="15" customHeight="1">
      <c r="A3469" s="335">
        <v>43963</v>
      </c>
      <c r="B3469" s="397">
        <v>5600</v>
      </c>
      <c r="C3469" s="397">
        <v>5900</v>
      </c>
      <c r="D3469" s="337">
        <f t="shared" ref="D3469" si="863">AVERAGE(B3469:C3469)</f>
        <v>5750</v>
      </c>
    </row>
    <row r="3470" spans="1:6" ht="15" customHeight="1">
      <c r="A3470" s="335">
        <v>43964</v>
      </c>
      <c r="B3470" s="336">
        <v>5600</v>
      </c>
      <c r="C3470" s="336">
        <v>5850</v>
      </c>
      <c r="D3470" s="337">
        <f t="shared" ref="D3470" si="864">AVERAGE(B3470:C3470)</f>
        <v>5725</v>
      </c>
    </row>
    <row r="3471" spans="1:6" ht="15" customHeight="1">
      <c r="A3471" s="335">
        <v>43965</v>
      </c>
      <c r="B3471" s="336">
        <v>5600</v>
      </c>
      <c r="C3471" s="336">
        <v>5850</v>
      </c>
      <c r="D3471" s="337">
        <f t="shared" ref="D3471" si="865">AVERAGE(B3471:C3471)</f>
        <v>5725</v>
      </c>
    </row>
    <row r="3472" spans="1:6" ht="15" customHeight="1">
      <c r="A3472" s="335">
        <v>43966</v>
      </c>
      <c r="B3472" s="336">
        <v>5550</v>
      </c>
      <c r="C3472" s="336">
        <v>5800</v>
      </c>
      <c r="D3472" s="337">
        <f t="shared" ref="D3472" si="866">AVERAGE(B3472:C3472)</f>
        <v>5675</v>
      </c>
    </row>
    <row r="3473" spans="1:6" ht="15" customHeight="1">
      <c r="A3473" s="335">
        <v>43969</v>
      </c>
      <c r="B3473" s="336">
        <v>5550</v>
      </c>
      <c r="C3473" s="336">
        <v>5800</v>
      </c>
      <c r="D3473" s="337">
        <f t="shared" ref="D3473" si="867">AVERAGE(B3473:C3473)</f>
        <v>5675</v>
      </c>
    </row>
    <row r="3474" spans="1:6" ht="15" customHeight="1">
      <c r="A3474" s="335">
        <v>43970</v>
      </c>
      <c r="B3474" s="336">
        <v>5550</v>
      </c>
      <c r="C3474" s="336">
        <v>5800</v>
      </c>
      <c r="D3474" s="337">
        <f t="shared" ref="D3474" si="868">AVERAGE(B3474:C3474)</f>
        <v>5675</v>
      </c>
    </row>
    <row r="3475" spans="1:6" ht="15" customHeight="1">
      <c r="A3475" s="335">
        <v>43971</v>
      </c>
      <c r="B3475" s="336">
        <v>5500</v>
      </c>
      <c r="C3475" s="336">
        <v>5800</v>
      </c>
      <c r="D3475" s="337">
        <f t="shared" ref="D3475" si="869">AVERAGE(B3475:C3475)</f>
        <v>5650</v>
      </c>
    </row>
    <row r="3476" spans="1:6" ht="15" customHeight="1">
      <c r="A3476" s="335">
        <v>43972</v>
      </c>
      <c r="B3476" s="336">
        <v>5500</v>
      </c>
      <c r="C3476" s="336">
        <v>5800</v>
      </c>
      <c r="D3476" s="337">
        <f t="shared" ref="D3476:D3477" si="870">AVERAGE(B3476:C3476)</f>
        <v>5650</v>
      </c>
    </row>
    <row r="3477" spans="1:6" ht="15" customHeight="1">
      <c r="A3477" s="335">
        <v>43973</v>
      </c>
      <c r="B3477" s="336">
        <v>5500</v>
      </c>
      <c r="C3477" s="336">
        <v>5800</v>
      </c>
      <c r="D3477" s="337">
        <f t="shared" si="870"/>
        <v>5650</v>
      </c>
    </row>
    <row r="3478" spans="1:6" ht="15" customHeight="1">
      <c r="A3478" s="335">
        <v>43976</v>
      </c>
      <c r="B3478" s="1416" t="s">
        <v>61</v>
      </c>
      <c r="C3478" s="1416"/>
      <c r="D3478" s="1416"/>
    </row>
    <row r="3479" spans="1:6" ht="15" customHeight="1">
      <c r="A3479" s="335">
        <v>43977</v>
      </c>
      <c r="B3479" s="336">
        <v>5500</v>
      </c>
      <c r="C3479" s="336">
        <v>5800</v>
      </c>
      <c r="D3479" s="337">
        <f t="shared" ref="D3479" si="871">AVERAGE(B3479:C3479)</f>
        <v>5650</v>
      </c>
    </row>
    <row r="3480" spans="1:6" ht="15" customHeight="1">
      <c r="A3480" s="335">
        <v>43978</v>
      </c>
      <c r="B3480" s="336">
        <v>5500</v>
      </c>
      <c r="C3480" s="336">
        <v>5700</v>
      </c>
      <c r="D3480" s="337">
        <f t="shared" ref="D3480" si="872">AVERAGE(B3480:C3480)</f>
        <v>5600</v>
      </c>
    </row>
    <row r="3481" spans="1:6" ht="15" customHeight="1">
      <c r="A3481" s="335">
        <v>43979</v>
      </c>
      <c r="B3481" s="336">
        <v>5500</v>
      </c>
      <c r="C3481" s="336">
        <v>5700</v>
      </c>
      <c r="D3481" s="337">
        <f t="shared" ref="D3481" si="873">AVERAGE(B3481:C3481)</f>
        <v>5600</v>
      </c>
    </row>
    <row r="3482" spans="1:6" ht="15" customHeight="1" thickBot="1">
      <c r="A3482" s="340">
        <v>43980</v>
      </c>
      <c r="B3482" s="341">
        <v>5450</v>
      </c>
      <c r="C3482" s="341">
        <v>5700</v>
      </c>
      <c r="D3482" s="342">
        <f t="shared" ref="D3482:D3484" si="874">AVERAGE(B3482:C3482)</f>
        <v>5575</v>
      </c>
      <c r="E3482" s="360">
        <f>AVERAGE($D$3462:D3482)</f>
        <v>5689.4736842105267</v>
      </c>
      <c r="F3482" s="360">
        <f>AVERAGE($D$3375:D3482)</f>
        <v>6028.5576923076924</v>
      </c>
    </row>
    <row r="3483" spans="1:6" ht="15" customHeight="1">
      <c r="A3483" s="335">
        <v>43983</v>
      </c>
      <c r="B3483" s="336">
        <v>5450</v>
      </c>
      <c r="C3483" s="336">
        <v>5700</v>
      </c>
      <c r="D3483" s="337">
        <f t="shared" si="874"/>
        <v>5575</v>
      </c>
    </row>
    <row r="3484" spans="1:6" ht="15" customHeight="1">
      <c r="A3484" s="335">
        <v>43984</v>
      </c>
      <c r="B3484" s="336">
        <v>5450</v>
      </c>
      <c r="C3484" s="336">
        <v>5700</v>
      </c>
      <c r="D3484" s="337">
        <f t="shared" si="874"/>
        <v>5575</v>
      </c>
    </row>
    <row r="3485" spans="1:6" ht="15" customHeight="1">
      <c r="A3485" s="335">
        <v>43985</v>
      </c>
      <c r="B3485" s="336">
        <v>5400</v>
      </c>
      <c r="C3485" s="336">
        <v>5700</v>
      </c>
      <c r="D3485" s="337">
        <f t="shared" ref="D3485" si="875">AVERAGE(B3485:C3485)</f>
        <v>5550</v>
      </c>
    </row>
    <row r="3486" spans="1:6" ht="15" customHeight="1">
      <c r="A3486" s="335">
        <v>43986</v>
      </c>
      <c r="B3486" s="336">
        <v>5400</v>
      </c>
      <c r="C3486" s="336">
        <v>5700</v>
      </c>
      <c r="D3486" s="337">
        <f t="shared" ref="D3486" si="876">AVERAGE(B3486:C3486)</f>
        <v>5550</v>
      </c>
    </row>
    <row r="3487" spans="1:6" ht="15" customHeight="1">
      <c r="A3487" s="335">
        <v>43987</v>
      </c>
      <c r="B3487" s="336">
        <v>5350</v>
      </c>
      <c r="C3487" s="336">
        <v>5650</v>
      </c>
      <c r="D3487" s="337">
        <f t="shared" ref="D3487" si="877">AVERAGE(B3487:C3487)</f>
        <v>5500</v>
      </c>
    </row>
    <row r="3488" spans="1:6" ht="15" customHeight="1">
      <c r="A3488" s="335">
        <v>43990</v>
      </c>
      <c r="B3488" s="336">
        <v>5350</v>
      </c>
      <c r="C3488" s="336">
        <v>5650</v>
      </c>
      <c r="D3488" s="337">
        <f t="shared" ref="D3488" si="878">AVERAGE(B3488:C3488)</f>
        <v>5500</v>
      </c>
    </row>
    <row r="3489" spans="1:6" ht="15" customHeight="1">
      <c r="A3489" s="335">
        <v>43991</v>
      </c>
      <c r="B3489" s="336">
        <v>5350</v>
      </c>
      <c r="C3489" s="336">
        <v>5650</v>
      </c>
      <c r="D3489" s="337">
        <f t="shared" ref="D3489" si="879">AVERAGE(B3489:C3489)</f>
        <v>5500</v>
      </c>
    </row>
    <row r="3490" spans="1:6" ht="15" customHeight="1">
      <c r="A3490" s="335">
        <v>43992</v>
      </c>
      <c r="B3490" s="336">
        <v>5350</v>
      </c>
      <c r="C3490" s="336">
        <v>5650</v>
      </c>
      <c r="D3490" s="337">
        <f t="shared" ref="D3490" si="880">AVERAGE(B3490:C3490)</f>
        <v>5500</v>
      </c>
    </row>
    <row r="3491" spans="1:6" ht="15" customHeight="1">
      <c r="A3491" s="335">
        <v>43993</v>
      </c>
      <c r="B3491" s="336">
        <v>5350</v>
      </c>
      <c r="C3491" s="336">
        <v>5650</v>
      </c>
      <c r="D3491" s="337">
        <f t="shared" ref="D3491" si="881">AVERAGE(B3491:C3491)</f>
        <v>5500</v>
      </c>
    </row>
    <row r="3492" spans="1:6" ht="15" customHeight="1">
      <c r="A3492" s="335">
        <v>43994</v>
      </c>
      <c r="B3492" s="336">
        <v>5350</v>
      </c>
      <c r="C3492" s="336">
        <v>5650</v>
      </c>
      <c r="D3492" s="337">
        <f t="shared" ref="D3492" si="882">AVERAGE(B3492:C3492)</f>
        <v>5500</v>
      </c>
    </row>
    <row r="3493" spans="1:6" ht="15" customHeight="1">
      <c r="A3493" s="335">
        <v>43997</v>
      </c>
      <c r="B3493" s="336">
        <v>5350</v>
      </c>
      <c r="C3493" s="336">
        <v>5650</v>
      </c>
      <c r="D3493" s="337">
        <f t="shared" ref="D3493" si="883">AVERAGE(B3493:C3493)</f>
        <v>5500</v>
      </c>
    </row>
    <row r="3494" spans="1:6" ht="15" customHeight="1">
      <c r="A3494" s="335">
        <v>43998</v>
      </c>
      <c r="B3494" s="336">
        <v>5350</v>
      </c>
      <c r="C3494" s="336">
        <v>5650</v>
      </c>
      <c r="D3494" s="337">
        <f t="shared" ref="D3494" si="884">AVERAGE(B3494:C3494)</f>
        <v>5500</v>
      </c>
    </row>
    <row r="3495" spans="1:6" ht="15" customHeight="1">
      <c r="A3495" s="335">
        <v>43999</v>
      </c>
      <c r="B3495" s="336">
        <v>5300</v>
      </c>
      <c r="C3495" s="336">
        <v>5550</v>
      </c>
      <c r="D3495" s="337">
        <f t="shared" ref="D3495" si="885">AVERAGE(B3495:C3495)</f>
        <v>5425</v>
      </c>
    </row>
    <row r="3496" spans="1:6" ht="15" customHeight="1">
      <c r="A3496" s="335">
        <v>44000</v>
      </c>
      <c r="B3496" s="336">
        <v>5300</v>
      </c>
      <c r="C3496" s="336">
        <v>5550</v>
      </c>
      <c r="D3496" s="337">
        <f t="shared" ref="D3496" si="886">AVERAGE(B3496:C3496)</f>
        <v>5425</v>
      </c>
    </row>
    <row r="3497" spans="1:6" ht="15" customHeight="1">
      <c r="A3497" s="335">
        <v>44001</v>
      </c>
      <c r="B3497" s="336">
        <v>5285</v>
      </c>
      <c r="C3497" s="336">
        <v>5550</v>
      </c>
      <c r="D3497" s="337">
        <f t="shared" ref="D3497" si="887">AVERAGE(B3497:C3497)</f>
        <v>5417.5</v>
      </c>
    </row>
    <row r="3498" spans="1:6" ht="15" customHeight="1">
      <c r="A3498" s="335">
        <v>44004</v>
      </c>
      <c r="B3498" s="336">
        <v>5285</v>
      </c>
      <c r="C3498" s="336">
        <v>5550</v>
      </c>
      <c r="D3498" s="337">
        <f t="shared" ref="D3498" si="888">AVERAGE(B3498:C3498)</f>
        <v>5417.5</v>
      </c>
    </row>
    <row r="3499" spans="1:6" ht="15" customHeight="1">
      <c r="A3499" s="335">
        <v>44005</v>
      </c>
      <c r="B3499" s="336">
        <v>5285</v>
      </c>
      <c r="C3499" s="336">
        <v>5550</v>
      </c>
      <c r="D3499" s="337">
        <f t="shared" ref="D3499" si="889">AVERAGE(B3499:C3499)</f>
        <v>5417.5</v>
      </c>
    </row>
    <row r="3500" spans="1:6" ht="15" customHeight="1">
      <c r="A3500" s="335">
        <v>44006</v>
      </c>
      <c r="B3500" s="336">
        <v>5250</v>
      </c>
      <c r="C3500" s="336">
        <v>5550</v>
      </c>
      <c r="D3500" s="337">
        <f t="shared" ref="D3500" si="890">AVERAGE(B3500:C3500)</f>
        <v>5400</v>
      </c>
    </row>
    <row r="3501" spans="1:6" ht="15" customHeight="1">
      <c r="A3501" s="335">
        <v>44007</v>
      </c>
      <c r="B3501" s="336">
        <v>5250</v>
      </c>
      <c r="C3501" s="336">
        <v>5550</v>
      </c>
      <c r="D3501" s="337">
        <f t="shared" ref="D3501" si="891">AVERAGE(B3501:C3501)</f>
        <v>5400</v>
      </c>
    </row>
    <row r="3502" spans="1:6" ht="15" customHeight="1">
      <c r="A3502" s="335">
        <v>44008</v>
      </c>
      <c r="B3502" s="336">
        <v>5250</v>
      </c>
      <c r="C3502" s="336">
        <v>5520</v>
      </c>
      <c r="D3502" s="337">
        <f t="shared" ref="D3502:D3503" si="892">AVERAGE(B3502:C3502)</f>
        <v>5385</v>
      </c>
    </row>
    <row r="3503" spans="1:6" ht="15" customHeight="1">
      <c r="A3503" s="335">
        <v>44011</v>
      </c>
      <c r="B3503" s="336">
        <v>5250</v>
      </c>
      <c r="C3503" s="336">
        <v>5520</v>
      </c>
      <c r="D3503" s="337">
        <f t="shared" si="892"/>
        <v>5385</v>
      </c>
    </row>
    <row r="3504" spans="1:6" ht="15" customHeight="1" thickBot="1">
      <c r="A3504" s="340">
        <v>44012</v>
      </c>
      <c r="B3504" s="341">
        <v>5250</v>
      </c>
      <c r="C3504" s="341">
        <v>5520</v>
      </c>
      <c r="D3504" s="342">
        <f t="shared" ref="D3504:D3505" si="893">AVERAGE(B3504:C3504)</f>
        <v>5385</v>
      </c>
      <c r="E3504" s="360">
        <f>AVERAGE($D$3483:D3504)</f>
        <v>5468.522727272727</v>
      </c>
      <c r="F3504" s="360">
        <f>AVERAGE($D$3375:D3504)</f>
        <v>5930.7738095238092</v>
      </c>
    </row>
    <row r="3505" spans="1:4" ht="15" customHeight="1">
      <c r="A3505" s="335">
        <v>44013</v>
      </c>
      <c r="B3505" s="336">
        <v>5250</v>
      </c>
      <c r="C3505" s="336">
        <v>5450</v>
      </c>
      <c r="D3505" s="337">
        <f t="shared" si="893"/>
        <v>5350</v>
      </c>
    </row>
    <row r="3506" spans="1:4" ht="15" customHeight="1">
      <c r="A3506" s="335">
        <v>44014</v>
      </c>
      <c r="B3506" s="336">
        <v>5250</v>
      </c>
      <c r="C3506" s="336">
        <v>5450</v>
      </c>
      <c r="D3506" s="337">
        <f t="shared" ref="D3506:D3507" si="894">AVERAGE(B3506:C3506)</f>
        <v>5350</v>
      </c>
    </row>
    <row r="3507" spans="1:4" ht="15" customHeight="1">
      <c r="A3507" s="335">
        <v>44015</v>
      </c>
      <c r="B3507" s="336">
        <v>5250</v>
      </c>
      <c r="C3507" s="336">
        <v>5450</v>
      </c>
      <c r="D3507" s="337">
        <f t="shared" si="894"/>
        <v>5350</v>
      </c>
    </row>
    <row r="3508" spans="1:4" ht="15" customHeight="1">
      <c r="A3508" s="335">
        <v>44018</v>
      </c>
      <c r="B3508" s="336">
        <v>5250</v>
      </c>
      <c r="C3508" s="336">
        <v>5450</v>
      </c>
      <c r="D3508" s="337">
        <f t="shared" ref="D3508" si="895">AVERAGE(B3508:C3508)</f>
        <v>5350</v>
      </c>
    </row>
    <row r="3509" spans="1:4" ht="15" customHeight="1">
      <c r="A3509" s="335">
        <v>44019</v>
      </c>
      <c r="B3509" s="336">
        <v>5250</v>
      </c>
      <c r="C3509" s="336">
        <v>5450</v>
      </c>
      <c r="D3509" s="337">
        <f t="shared" ref="D3509:D3510" si="896">AVERAGE(B3509:C3509)</f>
        <v>5350</v>
      </c>
    </row>
    <row r="3510" spans="1:4" ht="15" customHeight="1">
      <c r="A3510" s="335">
        <v>44020</v>
      </c>
      <c r="B3510" s="336">
        <v>5200</v>
      </c>
      <c r="C3510" s="336">
        <v>5400</v>
      </c>
      <c r="D3510" s="337">
        <f t="shared" si="896"/>
        <v>5300</v>
      </c>
    </row>
    <row r="3511" spans="1:4" ht="15" customHeight="1">
      <c r="A3511" s="335">
        <v>44021</v>
      </c>
      <c r="B3511" s="336">
        <v>5200</v>
      </c>
      <c r="C3511" s="336">
        <v>5400</v>
      </c>
      <c r="D3511" s="337">
        <f t="shared" ref="D3511" si="897">AVERAGE(B3511:C3511)</f>
        <v>5300</v>
      </c>
    </row>
    <row r="3512" spans="1:4" ht="15" customHeight="1">
      <c r="A3512" s="335">
        <v>44022</v>
      </c>
      <c r="B3512" s="336">
        <v>5200</v>
      </c>
      <c r="C3512" s="336">
        <v>5400</v>
      </c>
      <c r="D3512" s="337">
        <f t="shared" ref="D3512" si="898">AVERAGE(B3512:C3512)</f>
        <v>5300</v>
      </c>
    </row>
    <row r="3513" spans="1:4" ht="15" customHeight="1">
      <c r="A3513" s="335">
        <v>44025</v>
      </c>
      <c r="B3513" s="336">
        <v>5200</v>
      </c>
      <c r="C3513" s="336">
        <v>5400</v>
      </c>
      <c r="D3513" s="337">
        <f t="shared" ref="D3513" si="899">AVERAGE(B3513:C3513)</f>
        <v>5300</v>
      </c>
    </row>
    <row r="3514" spans="1:4" ht="15" customHeight="1">
      <c r="A3514" s="335">
        <v>44026</v>
      </c>
      <c r="B3514" s="336">
        <v>5200</v>
      </c>
      <c r="C3514" s="336">
        <v>5400</v>
      </c>
      <c r="D3514" s="337">
        <f t="shared" ref="D3514" si="900">AVERAGE(B3514:C3514)</f>
        <v>5300</v>
      </c>
    </row>
    <row r="3515" spans="1:4" ht="15" customHeight="1">
      <c r="A3515" s="335">
        <v>44027</v>
      </c>
      <c r="B3515" s="336">
        <v>5200</v>
      </c>
      <c r="C3515" s="336">
        <v>5400</v>
      </c>
      <c r="D3515" s="337">
        <f t="shared" ref="D3515" si="901">AVERAGE(B3515:C3515)</f>
        <v>5300</v>
      </c>
    </row>
    <row r="3516" spans="1:4" ht="15" customHeight="1">
      <c r="A3516" s="335">
        <v>44028</v>
      </c>
      <c r="B3516" s="336">
        <v>5200</v>
      </c>
      <c r="C3516" s="336">
        <v>5400</v>
      </c>
      <c r="D3516" s="337">
        <f t="shared" ref="D3516" si="902">AVERAGE(B3516:C3516)</f>
        <v>5300</v>
      </c>
    </row>
    <row r="3517" spans="1:4" ht="15" customHeight="1">
      <c r="A3517" s="335">
        <v>44029</v>
      </c>
      <c r="B3517" s="336">
        <v>5200</v>
      </c>
      <c r="C3517" s="336">
        <v>5400</v>
      </c>
      <c r="D3517" s="337">
        <f t="shared" ref="D3517" si="903">AVERAGE(B3517:C3517)</f>
        <v>5300</v>
      </c>
    </row>
    <row r="3518" spans="1:4" ht="15" customHeight="1">
      <c r="A3518" s="335">
        <v>44032</v>
      </c>
      <c r="B3518" s="336">
        <v>5200</v>
      </c>
      <c r="C3518" s="336">
        <v>5400</v>
      </c>
      <c r="D3518" s="337">
        <f t="shared" ref="D3518" si="904">AVERAGE(B3518:C3518)</f>
        <v>5300</v>
      </c>
    </row>
    <row r="3519" spans="1:4" ht="15" customHeight="1">
      <c r="A3519" s="335">
        <v>44033</v>
      </c>
      <c r="B3519" s="336">
        <v>5200</v>
      </c>
      <c r="C3519" s="336">
        <v>5400</v>
      </c>
      <c r="D3519" s="337">
        <f t="shared" ref="D3519" si="905">AVERAGE(B3519:C3519)</f>
        <v>5300</v>
      </c>
    </row>
    <row r="3520" spans="1:4" ht="15" customHeight="1">
      <c r="A3520" s="335">
        <v>44034</v>
      </c>
      <c r="B3520" s="336">
        <v>5200</v>
      </c>
      <c r="C3520" s="336">
        <v>5400</v>
      </c>
      <c r="D3520" s="337">
        <f t="shared" ref="D3520" si="906">AVERAGE(B3520:C3520)</f>
        <v>5300</v>
      </c>
    </row>
    <row r="3521" spans="1:7" ht="15" customHeight="1">
      <c r="A3521" s="335">
        <v>44035</v>
      </c>
      <c r="B3521" s="336">
        <v>5200</v>
      </c>
      <c r="C3521" s="336">
        <v>5400</v>
      </c>
      <c r="D3521" s="337">
        <f t="shared" ref="D3521" si="907">AVERAGE(B3521:C3521)</f>
        <v>5300</v>
      </c>
    </row>
    <row r="3522" spans="1:7" ht="15" customHeight="1">
      <c r="A3522" s="335">
        <v>44036</v>
      </c>
      <c r="B3522" s="336">
        <v>5150</v>
      </c>
      <c r="C3522" s="336">
        <v>5400</v>
      </c>
      <c r="D3522" s="337">
        <f t="shared" ref="D3522" si="908">AVERAGE(B3522:C3522)</f>
        <v>5275</v>
      </c>
    </row>
    <row r="3523" spans="1:7" ht="15" customHeight="1">
      <c r="A3523" s="335">
        <v>44039</v>
      </c>
      <c r="B3523" s="336">
        <v>5150</v>
      </c>
      <c r="C3523" s="336">
        <v>5400</v>
      </c>
      <c r="D3523" s="337">
        <f t="shared" ref="D3523" si="909">AVERAGE(B3523:C3523)</f>
        <v>5275</v>
      </c>
    </row>
    <row r="3524" spans="1:7" ht="15" customHeight="1">
      <c r="A3524" s="335">
        <v>44040</v>
      </c>
      <c r="B3524" s="336">
        <v>5150</v>
      </c>
      <c r="C3524" s="336">
        <v>5400</v>
      </c>
      <c r="D3524" s="337">
        <f t="shared" ref="D3524" si="910">AVERAGE(B3524:C3524)</f>
        <v>5275</v>
      </c>
    </row>
    <row r="3525" spans="1:7" ht="15" customHeight="1">
      <c r="A3525" s="335">
        <v>44041</v>
      </c>
      <c r="B3525" s="336">
        <v>5200</v>
      </c>
      <c r="C3525" s="336">
        <v>5400</v>
      </c>
      <c r="D3525" s="337">
        <f t="shared" ref="D3525" si="911">AVERAGE(B3525:C3525)</f>
        <v>5300</v>
      </c>
      <c r="G3525" s="338"/>
    </row>
    <row r="3526" spans="1:7" ht="15" customHeight="1">
      <c r="A3526" s="335">
        <v>44042</v>
      </c>
      <c r="B3526" s="336">
        <v>5200</v>
      </c>
      <c r="C3526" s="336">
        <v>5400</v>
      </c>
      <c r="D3526" s="337">
        <f t="shared" ref="D3526" si="912">AVERAGE(B3526:C3526)</f>
        <v>5300</v>
      </c>
    </row>
    <row r="3527" spans="1:7" ht="15" customHeight="1" thickBot="1">
      <c r="A3527" s="340">
        <v>44043</v>
      </c>
      <c r="B3527" s="341">
        <v>5250</v>
      </c>
      <c r="C3527" s="341">
        <v>5450</v>
      </c>
      <c r="D3527" s="342">
        <f t="shared" ref="D3527:D3528" si="913">AVERAGE(B3527:C3527)</f>
        <v>5350</v>
      </c>
      <c r="E3527" s="360">
        <f>AVERAGE($D$3505:D3527)</f>
        <v>5309.782608695652</v>
      </c>
      <c r="F3527" s="360">
        <f>AVERAGE($D$3375:D3527)</f>
        <v>5834.9161073825508</v>
      </c>
    </row>
    <row r="3528" spans="1:7" ht="15" customHeight="1">
      <c r="A3528" s="335">
        <v>44046</v>
      </c>
      <c r="B3528" s="336">
        <v>5250</v>
      </c>
      <c r="C3528" s="336">
        <v>5450</v>
      </c>
      <c r="D3528" s="337">
        <f t="shared" si="913"/>
        <v>5350</v>
      </c>
    </row>
    <row r="3529" spans="1:7" ht="15" customHeight="1">
      <c r="A3529" s="335">
        <v>44047</v>
      </c>
      <c r="B3529" s="336">
        <v>5250</v>
      </c>
      <c r="C3529" s="336">
        <v>5450</v>
      </c>
      <c r="D3529" s="337">
        <f t="shared" ref="D3529" si="914">AVERAGE(B3529:C3529)</f>
        <v>5350</v>
      </c>
    </row>
    <row r="3530" spans="1:7" ht="15" customHeight="1">
      <c r="A3530" s="335">
        <v>44048</v>
      </c>
      <c r="B3530" s="336">
        <v>5300</v>
      </c>
      <c r="C3530" s="336">
        <v>5550</v>
      </c>
      <c r="D3530" s="337">
        <f t="shared" ref="D3530" si="915">AVERAGE(B3530:C3530)</f>
        <v>5425</v>
      </c>
    </row>
    <row r="3531" spans="1:7" ht="15" customHeight="1">
      <c r="A3531" s="335">
        <v>44049</v>
      </c>
      <c r="B3531" s="336">
        <v>5300</v>
      </c>
      <c r="C3531" s="336">
        <v>5550</v>
      </c>
      <c r="D3531" s="337">
        <f t="shared" ref="D3531" si="916">AVERAGE(B3531:C3531)</f>
        <v>5425</v>
      </c>
    </row>
    <row r="3532" spans="1:7" ht="15" customHeight="1">
      <c r="A3532" s="335">
        <v>44050</v>
      </c>
      <c r="B3532" s="336">
        <v>5300</v>
      </c>
      <c r="C3532" s="336">
        <v>5550</v>
      </c>
      <c r="D3532" s="337">
        <f t="shared" ref="D3532" si="917">AVERAGE(B3532:C3532)</f>
        <v>5425</v>
      </c>
    </row>
    <row r="3533" spans="1:7" ht="15" customHeight="1">
      <c r="A3533" s="335">
        <v>44053</v>
      </c>
      <c r="B3533" s="336">
        <v>5300</v>
      </c>
      <c r="C3533" s="336">
        <v>5550</v>
      </c>
      <c r="D3533" s="337">
        <f t="shared" ref="D3533" si="918">AVERAGE(B3533:C3533)</f>
        <v>5425</v>
      </c>
    </row>
    <row r="3534" spans="1:7" ht="15" customHeight="1">
      <c r="A3534" s="335">
        <v>44054</v>
      </c>
      <c r="B3534" s="336">
        <v>5300</v>
      </c>
      <c r="C3534" s="336">
        <v>5550</v>
      </c>
      <c r="D3534" s="337">
        <f t="shared" ref="D3534" si="919">AVERAGE(B3534:C3534)</f>
        <v>5425</v>
      </c>
    </row>
    <row r="3535" spans="1:7" ht="15" customHeight="1">
      <c r="A3535" s="335">
        <v>44055</v>
      </c>
      <c r="B3535" s="336">
        <v>5300</v>
      </c>
      <c r="C3535" s="336">
        <v>5550</v>
      </c>
      <c r="D3535" s="337">
        <f t="shared" ref="D3535" si="920">AVERAGE(B3535:C3535)</f>
        <v>5425</v>
      </c>
    </row>
    <row r="3536" spans="1:7" ht="15" customHeight="1">
      <c r="A3536" s="335">
        <v>44056</v>
      </c>
      <c r="B3536" s="336">
        <v>5300</v>
      </c>
      <c r="C3536" s="336">
        <v>5550</v>
      </c>
      <c r="D3536" s="337">
        <f t="shared" ref="D3536" si="921">AVERAGE(B3536:C3536)</f>
        <v>5425</v>
      </c>
    </row>
    <row r="3537" spans="1:6" ht="15" customHeight="1">
      <c r="A3537" s="335">
        <v>44057</v>
      </c>
      <c r="B3537" s="336">
        <v>5350</v>
      </c>
      <c r="C3537" s="336">
        <v>5600</v>
      </c>
      <c r="D3537" s="337">
        <f t="shared" ref="D3537" si="922">AVERAGE(B3537:C3537)</f>
        <v>5475</v>
      </c>
    </row>
    <row r="3538" spans="1:6" ht="15" customHeight="1">
      <c r="A3538" s="335">
        <v>44060</v>
      </c>
      <c r="B3538" s="336">
        <v>5300</v>
      </c>
      <c r="C3538" s="336">
        <v>5600</v>
      </c>
      <c r="D3538" s="337">
        <f t="shared" ref="D3538" si="923">AVERAGE(B3538:C3538)</f>
        <v>5450</v>
      </c>
    </row>
    <row r="3539" spans="1:6" ht="15" customHeight="1">
      <c r="A3539" s="335">
        <v>44061</v>
      </c>
      <c r="B3539" s="336">
        <v>5350</v>
      </c>
      <c r="C3539" s="336">
        <v>5600</v>
      </c>
      <c r="D3539" s="337">
        <f t="shared" ref="D3539" si="924">AVERAGE(B3539:C3539)</f>
        <v>5475</v>
      </c>
    </row>
    <row r="3540" spans="1:6" ht="15" customHeight="1">
      <c r="A3540" s="335">
        <v>44062</v>
      </c>
      <c r="B3540" s="336">
        <v>5400</v>
      </c>
      <c r="C3540" s="336">
        <v>5600</v>
      </c>
      <c r="D3540" s="337">
        <f t="shared" ref="D3540:D3541" si="925">AVERAGE(B3540:C3540)</f>
        <v>5500</v>
      </c>
    </row>
    <row r="3541" spans="1:6" ht="15" customHeight="1">
      <c r="A3541" s="335">
        <v>44063</v>
      </c>
      <c r="B3541" s="336">
        <v>5400</v>
      </c>
      <c r="C3541" s="336">
        <v>5600</v>
      </c>
      <c r="D3541" s="337">
        <f t="shared" si="925"/>
        <v>5500</v>
      </c>
    </row>
    <row r="3542" spans="1:6" ht="15" customHeight="1">
      <c r="A3542" s="335">
        <v>44064</v>
      </c>
      <c r="B3542" s="336">
        <v>5400</v>
      </c>
      <c r="C3542" s="336">
        <v>5600</v>
      </c>
      <c r="D3542" s="337">
        <f t="shared" ref="D3542" si="926">AVERAGE(B3542:C3542)</f>
        <v>5500</v>
      </c>
    </row>
    <row r="3543" spans="1:6" ht="15" customHeight="1">
      <c r="A3543" s="335">
        <v>44067</v>
      </c>
      <c r="B3543" s="336">
        <v>5400</v>
      </c>
      <c r="C3543" s="336">
        <v>5600</v>
      </c>
      <c r="D3543" s="337">
        <f t="shared" ref="D3543" si="927">AVERAGE(B3543:C3543)</f>
        <v>5500</v>
      </c>
    </row>
    <row r="3544" spans="1:6" ht="15" customHeight="1">
      <c r="A3544" s="335">
        <v>44068</v>
      </c>
      <c r="B3544" s="336">
        <v>5400</v>
      </c>
      <c r="C3544" s="336">
        <v>5600</v>
      </c>
      <c r="D3544" s="337">
        <f t="shared" ref="D3544:D3545" si="928">AVERAGE(B3544:C3544)</f>
        <v>5500</v>
      </c>
    </row>
    <row r="3545" spans="1:6" ht="15" customHeight="1">
      <c r="A3545" s="335">
        <v>44069</v>
      </c>
      <c r="B3545" s="336">
        <v>5450</v>
      </c>
      <c r="C3545" s="336">
        <v>5700</v>
      </c>
      <c r="D3545" s="337">
        <f t="shared" si="928"/>
        <v>5575</v>
      </c>
    </row>
    <row r="3546" spans="1:6" ht="15" customHeight="1">
      <c r="A3546" s="335">
        <v>44070</v>
      </c>
      <c r="B3546" s="397">
        <v>5400</v>
      </c>
      <c r="C3546" s="397">
        <v>5600</v>
      </c>
      <c r="D3546" s="337">
        <f t="shared" ref="D3546:D3547" si="929">AVERAGE(B3546:C3546)</f>
        <v>5500</v>
      </c>
    </row>
    <row r="3547" spans="1:6" ht="15" customHeight="1">
      <c r="A3547" s="335">
        <v>44071</v>
      </c>
      <c r="B3547" s="336">
        <v>5400</v>
      </c>
      <c r="C3547" s="336">
        <v>5600</v>
      </c>
      <c r="D3547" s="337">
        <f t="shared" si="929"/>
        <v>5500</v>
      </c>
    </row>
    <row r="3548" spans="1:6" ht="15" customHeight="1" thickBot="1">
      <c r="A3548" s="340">
        <v>44074</v>
      </c>
      <c r="B3548" s="1415" t="s">
        <v>61</v>
      </c>
      <c r="C3548" s="1415"/>
      <c r="D3548" s="1415"/>
      <c r="E3548" s="360">
        <f>AVERAGE($D$3528:D3548)</f>
        <v>5457.5</v>
      </c>
      <c r="F3548" s="360">
        <f>AVERAGE($D$3375:D3548)</f>
        <v>5790.251479289941</v>
      </c>
    </row>
    <row r="3549" spans="1:6" ht="15" customHeight="1">
      <c r="A3549" s="335">
        <v>44075</v>
      </c>
      <c r="B3549" s="336">
        <v>5400</v>
      </c>
      <c r="C3549" s="336">
        <v>5600</v>
      </c>
      <c r="D3549" s="346">
        <f t="shared" ref="D3549" si="930">AVERAGE(B3549:C3549)</f>
        <v>5500</v>
      </c>
    </row>
    <row r="3550" spans="1:6" ht="15" customHeight="1">
      <c r="A3550" s="335">
        <v>44076</v>
      </c>
      <c r="B3550" s="336">
        <v>5700</v>
      </c>
      <c r="C3550" s="336">
        <v>5800</v>
      </c>
      <c r="D3550" s="346">
        <f t="shared" ref="D3550" si="931">AVERAGE(B3550:C3550)</f>
        <v>5750</v>
      </c>
    </row>
    <row r="3551" spans="1:6" ht="15" customHeight="1">
      <c r="A3551" s="335">
        <v>44077</v>
      </c>
      <c r="B3551" s="336">
        <v>5700</v>
      </c>
      <c r="C3551" s="336">
        <v>5800</v>
      </c>
      <c r="D3551" s="346">
        <f t="shared" ref="D3551" si="932">AVERAGE(B3551:C3551)</f>
        <v>5750</v>
      </c>
    </row>
    <row r="3552" spans="1:6" ht="15" customHeight="1">
      <c r="A3552" s="335">
        <v>44078</v>
      </c>
      <c r="B3552" s="336">
        <v>5700</v>
      </c>
      <c r="C3552" s="336">
        <v>5800</v>
      </c>
      <c r="D3552" s="346">
        <f t="shared" ref="D3552" si="933">AVERAGE(B3552:C3552)</f>
        <v>5750</v>
      </c>
    </row>
    <row r="3553" spans="1:4" ht="15" customHeight="1">
      <c r="A3553" s="335">
        <v>44081</v>
      </c>
      <c r="B3553" s="397">
        <v>5700</v>
      </c>
      <c r="C3553" s="397">
        <v>5800</v>
      </c>
      <c r="D3553" s="346">
        <f t="shared" ref="D3553" si="934">AVERAGE(B3553:C3553)</f>
        <v>5750</v>
      </c>
    </row>
    <row r="3554" spans="1:4" ht="15" customHeight="1">
      <c r="A3554" s="335">
        <v>44082</v>
      </c>
      <c r="B3554" s="397">
        <v>5700</v>
      </c>
      <c r="C3554" s="397">
        <v>5800</v>
      </c>
      <c r="D3554" s="346">
        <f t="shared" ref="D3554:D3555" si="935">AVERAGE(B3554:C3554)</f>
        <v>5750</v>
      </c>
    </row>
    <row r="3555" spans="1:4" ht="15" customHeight="1">
      <c r="A3555" s="335">
        <v>44083</v>
      </c>
      <c r="B3555" s="336">
        <v>5700</v>
      </c>
      <c r="C3555" s="336">
        <v>5850</v>
      </c>
      <c r="D3555" s="337">
        <f t="shared" si="935"/>
        <v>5775</v>
      </c>
    </row>
    <row r="3556" spans="1:4" ht="15" customHeight="1">
      <c r="A3556" s="335">
        <v>44084</v>
      </c>
      <c r="B3556" s="336">
        <v>5700</v>
      </c>
      <c r="C3556" s="336">
        <v>5850</v>
      </c>
      <c r="D3556" s="337">
        <f t="shared" ref="D3556" si="936">AVERAGE(B3556:C3556)</f>
        <v>5775</v>
      </c>
    </row>
    <row r="3557" spans="1:4" ht="15" customHeight="1">
      <c r="A3557" s="335">
        <v>44085</v>
      </c>
      <c r="B3557" s="336">
        <v>5700</v>
      </c>
      <c r="C3557" s="336">
        <v>5900</v>
      </c>
      <c r="D3557" s="337">
        <f t="shared" ref="D3557" si="937">AVERAGE(B3557:C3557)</f>
        <v>5800</v>
      </c>
    </row>
    <row r="3558" spans="1:4" ht="15" customHeight="1">
      <c r="A3558" s="335">
        <v>44088</v>
      </c>
      <c r="B3558" s="336">
        <v>5700</v>
      </c>
      <c r="C3558" s="336">
        <v>5900</v>
      </c>
      <c r="D3558" s="337">
        <f t="shared" ref="D3558:D3561" si="938">AVERAGE(B3558:C3558)</f>
        <v>5800</v>
      </c>
    </row>
    <row r="3559" spans="1:4" ht="15" customHeight="1">
      <c r="A3559" s="335">
        <v>44089</v>
      </c>
      <c r="B3559" s="336">
        <v>5700</v>
      </c>
      <c r="C3559" s="336">
        <v>5900</v>
      </c>
      <c r="D3559" s="337">
        <f t="shared" si="938"/>
        <v>5800</v>
      </c>
    </row>
    <row r="3560" spans="1:4" ht="15" customHeight="1">
      <c r="A3560" s="335">
        <v>44090</v>
      </c>
      <c r="B3560" s="336">
        <v>5750</v>
      </c>
      <c r="C3560" s="336">
        <v>5900</v>
      </c>
      <c r="D3560" s="337">
        <f t="shared" si="938"/>
        <v>5825</v>
      </c>
    </row>
    <row r="3561" spans="1:4" ht="15" customHeight="1">
      <c r="A3561" s="335">
        <v>44091</v>
      </c>
      <c r="B3561" s="336">
        <v>5750</v>
      </c>
      <c r="C3561" s="336">
        <v>5900</v>
      </c>
      <c r="D3561" s="337">
        <f t="shared" si="938"/>
        <v>5825</v>
      </c>
    </row>
    <row r="3562" spans="1:4" ht="15" customHeight="1">
      <c r="A3562" s="335">
        <v>44092</v>
      </c>
      <c r="B3562" s="336">
        <v>5750</v>
      </c>
      <c r="C3562" s="336">
        <v>5900</v>
      </c>
      <c r="D3562" s="337">
        <f t="shared" ref="D3562" si="939">AVERAGE(B3562:C3562)</f>
        <v>5825</v>
      </c>
    </row>
    <row r="3563" spans="1:4" ht="15" customHeight="1">
      <c r="A3563" s="335">
        <v>44095</v>
      </c>
      <c r="B3563" s="336">
        <v>5750</v>
      </c>
      <c r="C3563" s="336">
        <v>5900</v>
      </c>
      <c r="D3563" s="337">
        <f t="shared" ref="D3563" si="940">AVERAGE(B3563:C3563)</f>
        <v>5825</v>
      </c>
    </row>
    <row r="3564" spans="1:4" ht="15" customHeight="1">
      <c r="A3564" s="335">
        <v>44096</v>
      </c>
      <c r="B3564" s="336">
        <v>5750</v>
      </c>
      <c r="C3564" s="336">
        <v>5900</v>
      </c>
      <c r="D3564" s="337">
        <f t="shared" ref="D3564" si="941">AVERAGE(B3564:C3564)</f>
        <v>5825</v>
      </c>
    </row>
    <row r="3565" spans="1:4" ht="15" customHeight="1">
      <c r="A3565" s="335">
        <v>44097</v>
      </c>
      <c r="B3565" s="336">
        <v>5750</v>
      </c>
      <c r="C3565" s="336">
        <v>5950</v>
      </c>
      <c r="D3565" s="337">
        <f t="shared" ref="D3565" si="942">AVERAGE(B3565:C3565)</f>
        <v>5850</v>
      </c>
    </row>
    <row r="3566" spans="1:4" ht="15" customHeight="1">
      <c r="A3566" s="335">
        <v>44098</v>
      </c>
      <c r="B3566" s="336">
        <v>5750</v>
      </c>
      <c r="C3566" s="336">
        <v>5950</v>
      </c>
      <c r="D3566" s="337">
        <f t="shared" ref="D3566" si="943">AVERAGE(B3566:C3566)</f>
        <v>5850</v>
      </c>
    </row>
    <row r="3567" spans="1:4" ht="15" customHeight="1">
      <c r="A3567" s="335">
        <v>44099</v>
      </c>
      <c r="B3567" s="336">
        <v>5800</v>
      </c>
      <c r="C3567" s="336">
        <v>5950</v>
      </c>
      <c r="D3567" s="337">
        <f t="shared" ref="D3567" si="944">AVERAGE(B3567:C3567)</f>
        <v>5875</v>
      </c>
    </row>
    <row r="3568" spans="1:4" ht="15" customHeight="1">
      <c r="A3568" s="335">
        <v>44102</v>
      </c>
      <c r="B3568" s="336">
        <v>5800</v>
      </c>
      <c r="C3568" s="336">
        <v>5950</v>
      </c>
      <c r="D3568" s="337">
        <f t="shared" ref="D3568" si="945">AVERAGE(B3568:C3568)</f>
        <v>5875</v>
      </c>
    </row>
    <row r="3569" spans="1:6" ht="15" customHeight="1">
      <c r="A3569" s="335">
        <v>44103</v>
      </c>
      <c r="B3569" s="336">
        <v>5800</v>
      </c>
      <c r="C3569" s="336">
        <v>5950</v>
      </c>
      <c r="D3569" s="337">
        <f t="shared" ref="D3569:D3572" si="946">AVERAGE(B3569:C3569)</f>
        <v>5875</v>
      </c>
    </row>
    <row r="3570" spans="1:6" ht="15" customHeight="1" thickBot="1">
      <c r="A3570" s="340">
        <v>44104</v>
      </c>
      <c r="B3570" s="341">
        <v>5800</v>
      </c>
      <c r="C3570" s="341">
        <v>6000</v>
      </c>
      <c r="D3570" s="342">
        <f t="shared" si="946"/>
        <v>5900</v>
      </c>
      <c r="E3570" s="360">
        <f>AVERAGE($D$3549:D3570)</f>
        <v>5797.727272727273</v>
      </c>
      <c r="F3570" s="360">
        <f>AVERAGE($D$3375:D3570)</f>
        <v>5791.1125654450261</v>
      </c>
    </row>
    <row r="3571" spans="1:6" ht="15" customHeight="1">
      <c r="A3571" s="335">
        <v>44105</v>
      </c>
      <c r="B3571" s="336">
        <v>5800</v>
      </c>
      <c r="C3571" s="336">
        <v>6000</v>
      </c>
      <c r="D3571" s="337">
        <f t="shared" si="946"/>
        <v>5900</v>
      </c>
    </row>
    <row r="3572" spans="1:6" ht="15" customHeight="1">
      <c r="A3572" s="335">
        <v>44106</v>
      </c>
      <c r="B3572" s="336">
        <v>5800</v>
      </c>
      <c r="C3572" s="336">
        <v>6000</v>
      </c>
      <c r="D3572" s="337">
        <f t="shared" si="946"/>
        <v>5900</v>
      </c>
    </row>
    <row r="3573" spans="1:6" ht="15" customHeight="1">
      <c r="A3573" s="335">
        <v>44109</v>
      </c>
      <c r="B3573" s="336">
        <v>5800</v>
      </c>
      <c r="C3573" s="336">
        <v>6000</v>
      </c>
      <c r="D3573" s="337">
        <f t="shared" ref="D3573" si="947">AVERAGE(B3573:C3573)</f>
        <v>5900</v>
      </c>
    </row>
    <row r="3574" spans="1:6" ht="15" customHeight="1">
      <c r="A3574" s="335">
        <v>44110</v>
      </c>
      <c r="B3574" s="336">
        <v>5800</v>
      </c>
      <c r="C3574" s="336">
        <v>6000</v>
      </c>
      <c r="D3574" s="337">
        <f t="shared" ref="D3574" si="948">AVERAGE(B3574:C3574)</f>
        <v>5900</v>
      </c>
    </row>
    <row r="3575" spans="1:6" ht="15" customHeight="1">
      <c r="A3575" s="335">
        <v>44111</v>
      </c>
      <c r="B3575" s="336">
        <v>5800</v>
      </c>
      <c r="C3575" s="336">
        <v>6000</v>
      </c>
      <c r="D3575" s="337">
        <f t="shared" ref="D3575" si="949">AVERAGE(B3575:C3575)</f>
        <v>5900</v>
      </c>
    </row>
    <row r="3576" spans="1:6" ht="15" customHeight="1">
      <c r="A3576" s="335">
        <v>44112</v>
      </c>
      <c r="B3576" s="336">
        <v>5800</v>
      </c>
      <c r="C3576" s="336">
        <v>6000</v>
      </c>
      <c r="D3576" s="337">
        <f t="shared" ref="D3576" si="950">AVERAGE(B3576:C3576)</f>
        <v>5900</v>
      </c>
    </row>
    <row r="3577" spans="1:6" ht="15" customHeight="1">
      <c r="A3577" s="335">
        <v>44113</v>
      </c>
      <c r="B3577" s="397">
        <v>5800</v>
      </c>
      <c r="C3577" s="397">
        <v>6000</v>
      </c>
      <c r="D3577" s="337">
        <f t="shared" ref="D3577" si="951">AVERAGE(B3577:C3577)</f>
        <v>5900</v>
      </c>
    </row>
    <row r="3578" spans="1:6" ht="15" customHeight="1">
      <c r="A3578" s="335">
        <v>44116</v>
      </c>
      <c r="B3578" s="336">
        <v>5800</v>
      </c>
      <c r="C3578" s="336">
        <v>6000</v>
      </c>
      <c r="D3578" s="337">
        <f t="shared" ref="D3578" si="952">AVERAGE(B3578:C3578)</f>
        <v>5900</v>
      </c>
    </row>
    <row r="3579" spans="1:6" ht="15" customHeight="1">
      <c r="A3579" s="335">
        <v>44117</v>
      </c>
      <c r="B3579" s="336">
        <v>5800</v>
      </c>
      <c r="C3579" s="336">
        <v>6000</v>
      </c>
      <c r="D3579" s="337">
        <f t="shared" ref="D3579" si="953">AVERAGE(B3579:C3579)</f>
        <v>5900</v>
      </c>
    </row>
    <row r="3580" spans="1:6" ht="15" customHeight="1">
      <c r="A3580" s="335">
        <v>44118</v>
      </c>
      <c r="B3580" s="336">
        <v>5800</v>
      </c>
      <c r="C3580" s="336">
        <v>6100</v>
      </c>
      <c r="D3580" s="337">
        <f t="shared" ref="D3580" si="954">AVERAGE(B3580:C3580)</f>
        <v>5950</v>
      </c>
    </row>
    <row r="3581" spans="1:6" ht="15" customHeight="1">
      <c r="A3581" s="335">
        <v>44119</v>
      </c>
      <c r="B3581" s="336">
        <v>5800</v>
      </c>
      <c r="C3581" s="336">
        <v>6100</v>
      </c>
      <c r="D3581" s="337">
        <f t="shared" ref="D3581" si="955">AVERAGE(B3581:C3581)</f>
        <v>5950</v>
      </c>
    </row>
    <row r="3582" spans="1:6" ht="15" customHeight="1">
      <c r="A3582" s="335">
        <v>44120</v>
      </c>
      <c r="B3582" s="336">
        <v>5800</v>
      </c>
      <c r="C3582" s="336">
        <v>6100</v>
      </c>
      <c r="D3582" s="337">
        <f t="shared" ref="D3582" si="956">AVERAGE(B3582:C3582)</f>
        <v>5950</v>
      </c>
    </row>
    <row r="3583" spans="1:6" ht="15" customHeight="1">
      <c r="A3583" s="335">
        <v>44123</v>
      </c>
      <c r="B3583" s="336">
        <v>5800</v>
      </c>
      <c r="C3583" s="336">
        <v>6100</v>
      </c>
      <c r="D3583" s="337">
        <f t="shared" ref="D3583" si="957">AVERAGE(B3583:C3583)</f>
        <v>5950</v>
      </c>
    </row>
    <row r="3584" spans="1:6" ht="15" customHeight="1">
      <c r="A3584" s="335">
        <v>44124</v>
      </c>
      <c r="B3584" s="336">
        <v>5800</v>
      </c>
      <c r="C3584" s="336">
        <v>6100</v>
      </c>
      <c r="D3584" s="337">
        <f t="shared" ref="D3584" si="958">AVERAGE(B3584:C3584)</f>
        <v>5950</v>
      </c>
    </row>
    <row r="3585" spans="1:9" ht="15" customHeight="1">
      <c r="A3585" s="335">
        <v>44125</v>
      </c>
      <c r="B3585" s="336">
        <v>5850</v>
      </c>
      <c r="C3585" s="336">
        <v>6150</v>
      </c>
      <c r="D3585" s="337">
        <f t="shared" ref="D3585" si="959">AVERAGE(B3585:C3585)</f>
        <v>6000</v>
      </c>
    </row>
    <row r="3586" spans="1:9" ht="15" customHeight="1">
      <c r="A3586" s="335">
        <v>44126</v>
      </c>
      <c r="B3586" s="336">
        <v>5850</v>
      </c>
      <c r="C3586" s="336">
        <v>6150</v>
      </c>
      <c r="D3586" s="337">
        <f t="shared" ref="D3586:D3587" si="960">AVERAGE(B3586:C3586)</f>
        <v>6000</v>
      </c>
    </row>
    <row r="3587" spans="1:9" ht="15" customHeight="1">
      <c r="A3587" s="335">
        <v>44127</v>
      </c>
      <c r="B3587" s="336">
        <v>5900</v>
      </c>
      <c r="C3587" s="336">
        <v>6200</v>
      </c>
      <c r="D3587" s="337">
        <f t="shared" si="960"/>
        <v>6050</v>
      </c>
    </row>
    <row r="3588" spans="1:9" ht="15" customHeight="1">
      <c r="A3588" s="335">
        <v>44130</v>
      </c>
      <c r="B3588" s="336">
        <v>5900</v>
      </c>
      <c r="C3588" s="336">
        <v>6200</v>
      </c>
      <c r="D3588" s="337">
        <f t="shared" ref="D3588" si="961">AVERAGE(B3588:C3588)</f>
        <v>6050</v>
      </c>
    </row>
    <row r="3589" spans="1:9" ht="15" customHeight="1">
      <c r="A3589" s="335">
        <v>44131</v>
      </c>
      <c r="B3589" s="336">
        <v>5900</v>
      </c>
      <c r="C3589" s="336">
        <v>6200</v>
      </c>
      <c r="D3589" s="337">
        <f t="shared" ref="D3589" si="962">AVERAGE(B3589:C3589)</f>
        <v>6050</v>
      </c>
    </row>
    <row r="3590" spans="1:9" ht="15" customHeight="1">
      <c r="A3590" s="335">
        <v>44132</v>
      </c>
      <c r="B3590" s="336">
        <v>5950</v>
      </c>
      <c r="C3590" s="336">
        <v>6225</v>
      </c>
      <c r="D3590" s="337">
        <f t="shared" ref="D3590" si="963">AVERAGE(B3590:C3590)</f>
        <v>6087.5</v>
      </c>
    </row>
    <row r="3591" spans="1:9" ht="15" customHeight="1">
      <c r="A3591" s="335">
        <v>44133</v>
      </c>
      <c r="B3591" s="336">
        <v>5950</v>
      </c>
      <c r="C3591" s="336">
        <v>6225</v>
      </c>
      <c r="D3591" s="337">
        <f t="shared" ref="D3591" si="964">AVERAGE(B3591:C3591)</f>
        <v>6087.5</v>
      </c>
    </row>
    <row r="3592" spans="1:9" ht="15" customHeight="1" thickBot="1">
      <c r="A3592" s="340">
        <v>44134</v>
      </c>
      <c r="B3592" s="341">
        <v>6000</v>
      </c>
      <c r="C3592" s="341">
        <v>6300</v>
      </c>
      <c r="D3592" s="342">
        <f t="shared" ref="D3592" si="965">AVERAGE(B3592:C3592)</f>
        <v>6150</v>
      </c>
      <c r="E3592" s="360">
        <f>AVERAGE($D$3571:D3592)</f>
        <v>5969.318181818182</v>
      </c>
      <c r="F3592" s="360">
        <f>AVERAGE($D$3375:D3592)</f>
        <v>5809.5187793427231</v>
      </c>
    </row>
    <row r="3593" spans="1:9" ht="15" customHeight="1">
      <c r="A3593" s="335">
        <v>44137</v>
      </c>
      <c r="B3593" s="336">
        <v>6000</v>
      </c>
      <c r="C3593" s="336">
        <v>6300</v>
      </c>
      <c r="D3593" s="346">
        <f t="shared" ref="D3593:D3594" si="966">AVERAGE(B3593:C3593)</f>
        <v>6150</v>
      </c>
    </row>
    <row r="3594" spans="1:9" ht="15" customHeight="1">
      <c r="A3594" s="335">
        <v>44138</v>
      </c>
      <c r="B3594" s="336">
        <v>6000</v>
      </c>
      <c r="C3594" s="336">
        <v>6300</v>
      </c>
      <c r="D3594" s="346">
        <f t="shared" si="966"/>
        <v>6150</v>
      </c>
      <c r="G3594" s="365"/>
      <c r="I3594" s="366"/>
    </row>
    <row r="3595" spans="1:9" ht="15" customHeight="1">
      <c r="A3595" s="335">
        <v>44139</v>
      </c>
      <c r="B3595" s="336">
        <v>6050</v>
      </c>
      <c r="C3595" s="336">
        <v>6300</v>
      </c>
      <c r="D3595" s="346">
        <f t="shared" ref="D3595" si="967">AVERAGE(B3595:C3595)</f>
        <v>6175</v>
      </c>
    </row>
    <row r="3596" spans="1:9" ht="15" customHeight="1">
      <c r="A3596" s="335">
        <v>44140</v>
      </c>
      <c r="B3596" s="336">
        <v>6050</v>
      </c>
      <c r="C3596" s="336">
        <v>6300</v>
      </c>
      <c r="D3596" s="346">
        <f t="shared" ref="D3596" si="968">AVERAGE(B3596:C3596)</f>
        <v>6175</v>
      </c>
    </row>
    <row r="3597" spans="1:9" ht="15" customHeight="1">
      <c r="A3597" s="335">
        <v>44141</v>
      </c>
      <c r="B3597" s="336">
        <v>6100</v>
      </c>
      <c r="C3597" s="336">
        <v>6350</v>
      </c>
      <c r="D3597" s="346">
        <f t="shared" ref="D3597" si="969">AVERAGE(B3597:C3597)</f>
        <v>6225</v>
      </c>
    </row>
    <row r="3598" spans="1:9" ht="15" customHeight="1">
      <c r="A3598" s="335">
        <v>44144</v>
      </c>
      <c r="B3598" s="336">
        <v>6100</v>
      </c>
      <c r="C3598" s="336">
        <v>6350</v>
      </c>
      <c r="D3598" s="346">
        <f t="shared" ref="D3598" si="970">AVERAGE(B3598:C3598)</f>
        <v>6225</v>
      </c>
    </row>
    <row r="3599" spans="1:9" ht="15" customHeight="1">
      <c r="A3599" s="335">
        <v>44145</v>
      </c>
      <c r="B3599" s="336">
        <v>6100</v>
      </c>
      <c r="C3599" s="336">
        <v>6350</v>
      </c>
      <c r="D3599" s="346">
        <f t="shared" ref="D3599" si="971">AVERAGE(B3599:C3599)</f>
        <v>6225</v>
      </c>
    </row>
    <row r="3600" spans="1:9" ht="15" customHeight="1">
      <c r="A3600" s="335">
        <v>44146</v>
      </c>
      <c r="B3600" s="336">
        <v>6100</v>
      </c>
      <c r="C3600" s="336">
        <v>6400</v>
      </c>
      <c r="D3600" s="346">
        <f t="shared" ref="D3600" si="972">AVERAGE(B3600:C3600)</f>
        <v>6250</v>
      </c>
    </row>
    <row r="3601" spans="1:6" ht="15" customHeight="1">
      <c r="A3601" s="335">
        <v>44147</v>
      </c>
      <c r="B3601" s="336">
        <v>6100</v>
      </c>
      <c r="C3601" s="336">
        <v>6400</v>
      </c>
      <c r="D3601" s="346">
        <f t="shared" ref="D3601" si="973">AVERAGE(B3601:C3601)</f>
        <v>6250</v>
      </c>
    </row>
    <row r="3602" spans="1:6" ht="15" customHeight="1">
      <c r="A3602" s="335">
        <v>44148</v>
      </c>
      <c r="B3602" s="336">
        <v>6150</v>
      </c>
      <c r="C3602" s="336">
        <v>6400</v>
      </c>
      <c r="D3602" s="346">
        <f t="shared" ref="D3602" si="974">AVERAGE(B3602:C3602)</f>
        <v>6275</v>
      </c>
    </row>
    <row r="3603" spans="1:6" ht="15" customHeight="1">
      <c r="A3603" s="335">
        <v>44151</v>
      </c>
      <c r="B3603" s="336">
        <v>6150</v>
      </c>
      <c r="C3603" s="336">
        <v>6400</v>
      </c>
      <c r="D3603" s="346">
        <f t="shared" ref="D3603" si="975">AVERAGE(B3603:C3603)</f>
        <v>6275</v>
      </c>
    </row>
    <row r="3604" spans="1:6" ht="15" customHeight="1">
      <c r="A3604" s="335">
        <v>44152</v>
      </c>
      <c r="B3604" s="336">
        <v>6150</v>
      </c>
      <c r="C3604" s="336">
        <v>6400</v>
      </c>
      <c r="D3604" s="346">
        <f t="shared" ref="D3604" si="976">AVERAGE(B3604:C3604)</f>
        <v>6275</v>
      </c>
    </row>
    <row r="3605" spans="1:6" ht="15" customHeight="1">
      <c r="A3605" s="335">
        <v>44153</v>
      </c>
      <c r="B3605" s="336">
        <v>6200</v>
      </c>
      <c r="C3605" s="336">
        <v>6400</v>
      </c>
      <c r="D3605" s="346">
        <f t="shared" ref="D3605:D3606" si="977">AVERAGE(B3605:C3605)</f>
        <v>6300</v>
      </c>
    </row>
    <row r="3606" spans="1:6" ht="15" customHeight="1">
      <c r="A3606" s="335">
        <v>44154</v>
      </c>
      <c r="B3606" s="336">
        <v>6200</v>
      </c>
      <c r="C3606" s="336">
        <v>6400</v>
      </c>
      <c r="D3606" s="337">
        <f t="shared" si="977"/>
        <v>6300</v>
      </c>
    </row>
    <row r="3607" spans="1:6" ht="15" customHeight="1">
      <c r="A3607" s="335">
        <v>44155</v>
      </c>
      <c r="B3607" s="336">
        <v>6200</v>
      </c>
      <c r="C3607" s="336">
        <v>6400</v>
      </c>
      <c r="D3607" s="337">
        <f t="shared" ref="D3607" si="978">AVERAGE(B3607:C3607)</f>
        <v>6300</v>
      </c>
    </row>
    <row r="3608" spans="1:6" ht="15" customHeight="1">
      <c r="A3608" s="335">
        <v>44158</v>
      </c>
      <c r="B3608" s="336">
        <v>6200</v>
      </c>
      <c r="C3608" s="336">
        <v>6400</v>
      </c>
      <c r="D3608" s="337">
        <f t="shared" ref="D3608" si="979">AVERAGE(B3608:C3608)</f>
        <v>6300</v>
      </c>
    </row>
    <row r="3609" spans="1:6" ht="15" customHeight="1">
      <c r="A3609" s="335">
        <v>44159</v>
      </c>
      <c r="B3609" s="397">
        <v>6200</v>
      </c>
      <c r="C3609" s="397">
        <v>6400</v>
      </c>
      <c r="D3609" s="337">
        <f t="shared" ref="D3609" si="980">AVERAGE(B3609:C3609)</f>
        <v>6300</v>
      </c>
    </row>
    <row r="3610" spans="1:6" ht="15" customHeight="1">
      <c r="A3610" s="335">
        <v>44160</v>
      </c>
      <c r="B3610" s="336">
        <v>6200</v>
      </c>
      <c r="C3610" s="336">
        <v>6400</v>
      </c>
      <c r="D3610" s="337">
        <f t="shared" ref="D3610" si="981">AVERAGE(B3610:C3610)</f>
        <v>6300</v>
      </c>
    </row>
    <row r="3611" spans="1:6" ht="15" customHeight="1">
      <c r="A3611" s="335">
        <v>44161</v>
      </c>
      <c r="B3611" s="336">
        <v>6200</v>
      </c>
      <c r="C3611" s="336">
        <v>6400</v>
      </c>
      <c r="D3611" s="337">
        <f t="shared" ref="D3611" si="982">AVERAGE(B3611:C3611)</f>
        <v>6300</v>
      </c>
    </row>
    <row r="3612" spans="1:6" ht="15" customHeight="1">
      <c r="A3612" s="335">
        <v>44162</v>
      </c>
      <c r="B3612" s="336">
        <v>6200</v>
      </c>
      <c r="C3612" s="336">
        <v>6400</v>
      </c>
      <c r="D3612" s="337">
        <f t="shared" ref="D3612" si="983">AVERAGE(B3612:C3612)</f>
        <v>6300</v>
      </c>
    </row>
    <row r="3613" spans="1:6" ht="15" customHeight="1" thickBot="1">
      <c r="A3613" s="340">
        <v>44165</v>
      </c>
      <c r="B3613" s="341">
        <v>6200</v>
      </c>
      <c r="C3613" s="341">
        <v>6400</v>
      </c>
      <c r="D3613" s="342">
        <f t="shared" ref="D3613" si="984">AVERAGE(B3613:C3613)</f>
        <v>6300</v>
      </c>
      <c r="E3613" s="360">
        <f>AVERAGE($D$3593:D3613)</f>
        <v>6254.7619047619046</v>
      </c>
      <c r="F3613" s="360">
        <f>AVERAGE($D$3375:D3613)</f>
        <v>5849.4764957264961</v>
      </c>
    </row>
    <row r="3614" spans="1:6" ht="15" customHeight="1">
      <c r="A3614" s="335">
        <v>44166</v>
      </c>
      <c r="B3614" s="336">
        <v>6200</v>
      </c>
      <c r="C3614" s="336">
        <v>6400</v>
      </c>
      <c r="D3614" s="346">
        <f t="shared" ref="D3614" si="985">AVERAGE(B3614:C3614)</f>
        <v>6300</v>
      </c>
    </row>
    <row r="3615" spans="1:6" ht="15" customHeight="1">
      <c r="A3615" s="335">
        <v>44167</v>
      </c>
      <c r="B3615" s="336">
        <v>6200</v>
      </c>
      <c r="C3615" s="336">
        <v>6400</v>
      </c>
      <c r="D3615" s="346">
        <f t="shared" ref="D3615" si="986">AVERAGE(B3615:C3615)</f>
        <v>6300</v>
      </c>
    </row>
    <row r="3616" spans="1:6" ht="15" customHeight="1">
      <c r="A3616" s="335">
        <v>44168</v>
      </c>
      <c r="B3616" s="336">
        <v>6200</v>
      </c>
      <c r="C3616" s="336">
        <v>6400</v>
      </c>
      <c r="D3616" s="346">
        <f t="shared" ref="D3616:D3618" si="987">AVERAGE(B3616:C3616)</f>
        <v>6300</v>
      </c>
    </row>
    <row r="3617" spans="1:4" ht="15" customHeight="1">
      <c r="A3617" s="335">
        <v>44169</v>
      </c>
      <c r="B3617" s="336">
        <v>6200</v>
      </c>
      <c r="C3617" s="336">
        <v>6400</v>
      </c>
      <c r="D3617" s="337">
        <f t="shared" si="987"/>
        <v>6300</v>
      </c>
    </row>
    <row r="3618" spans="1:4" ht="15" customHeight="1">
      <c r="A3618" s="3">
        <v>44172</v>
      </c>
      <c r="B3618" s="336">
        <v>6200</v>
      </c>
      <c r="C3618" s="336">
        <v>6400</v>
      </c>
      <c r="D3618" s="337">
        <f t="shared" si="987"/>
        <v>6300</v>
      </c>
    </row>
    <row r="3619" spans="1:4" ht="15" customHeight="1">
      <c r="A3619" s="3">
        <v>44173</v>
      </c>
      <c r="B3619" s="336">
        <v>6200</v>
      </c>
      <c r="C3619" s="336">
        <v>6400</v>
      </c>
      <c r="D3619" s="337">
        <f t="shared" ref="D3619:D3620" si="988">AVERAGE(B3619:C3619)</f>
        <v>6300</v>
      </c>
    </row>
    <row r="3620" spans="1:4" ht="15" customHeight="1">
      <c r="A3620" s="3">
        <v>44174</v>
      </c>
      <c r="B3620" s="397">
        <v>6300</v>
      </c>
      <c r="C3620" s="397">
        <v>6500</v>
      </c>
      <c r="D3620" s="337">
        <f t="shared" si="988"/>
        <v>6400</v>
      </c>
    </row>
    <row r="3621" spans="1:4" ht="15" customHeight="1">
      <c r="A3621" s="3">
        <v>44175</v>
      </c>
      <c r="B3621" s="336">
        <v>6300</v>
      </c>
      <c r="C3621" s="336">
        <v>6500</v>
      </c>
      <c r="D3621" s="337">
        <f t="shared" ref="D3621" si="989">AVERAGE(B3621:C3621)</f>
        <v>6400</v>
      </c>
    </row>
    <row r="3622" spans="1:4" ht="15" customHeight="1">
      <c r="A3622" s="3">
        <v>44176</v>
      </c>
      <c r="B3622" s="336">
        <v>6350</v>
      </c>
      <c r="C3622" s="336">
        <v>6550</v>
      </c>
      <c r="D3622" s="337">
        <f t="shared" ref="D3622" si="990">AVERAGE(B3622:C3622)</f>
        <v>6450</v>
      </c>
    </row>
    <row r="3623" spans="1:4" ht="15" customHeight="1">
      <c r="A3623" s="3">
        <v>44179</v>
      </c>
      <c r="B3623" s="336">
        <v>6350</v>
      </c>
      <c r="C3623" s="336">
        <v>6550</v>
      </c>
      <c r="D3623" s="337">
        <f t="shared" ref="D3623" si="991">AVERAGE(B3623:C3623)</f>
        <v>6450</v>
      </c>
    </row>
    <row r="3624" spans="1:4" ht="15" customHeight="1">
      <c r="A3624" s="3">
        <v>44180</v>
      </c>
      <c r="B3624" s="336">
        <v>6350</v>
      </c>
      <c r="C3624" s="336">
        <v>6550</v>
      </c>
      <c r="D3624" s="337">
        <f t="shared" ref="D3624" si="992">AVERAGE(B3624:C3624)</f>
        <v>6450</v>
      </c>
    </row>
    <row r="3625" spans="1:4" ht="15" customHeight="1">
      <c r="A3625" s="3">
        <v>44181</v>
      </c>
      <c r="B3625" s="336">
        <v>6450</v>
      </c>
      <c r="C3625" s="336">
        <v>6750</v>
      </c>
      <c r="D3625" s="337">
        <f t="shared" ref="D3625" si="993">AVERAGE(B3625:C3625)</f>
        <v>6600</v>
      </c>
    </row>
    <row r="3626" spans="1:4" ht="15" customHeight="1">
      <c r="A3626" s="3">
        <v>44182</v>
      </c>
      <c r="B3626" s="336">
        <v>6450</v>
      </c>
      <c r="C3626" s="336">
        <v>6750</v>
      </c>
      <c r="D3626" s="337">
        <f t="shared" ref="D3626" si="994">AVERAGE(B3626:C3626)</f>
        <v>6600</v>
      </c>
    </row>
    <row r="3627" spans="1:4" ht="15" customHeight="1">
      <c r="A3627" s="3">
        <v>44183</v>
      </c>
      <c r="B3627" s="336">
        <v>6600</v>
      </c>
      <c r="C3627" s="336">
        <v>6950</v>
      </c>
      <c r="D3627" s="337">
        <f t="shared" ref="D3627" si="995">AVERAGE(B3627:C3627)</f>
        <v>6775</v>
      </c>
    </row>
    <row r="3628" spans="1:4" ht="15" customHeight="1">
      <c r="A3628" s="3">
        <v>44186</v>
      </c>
      <c r="B3628" s="336">
        <v>6600</v>
      </c>
      <c r="C3628" s="336">
        <v>6950</v>
      </c>
      <c r="D3628" s="337">
        <f t="shared" ref="D3628" si="996">AVERAGE(B3628:C3628)</f>
        <v>6775</v>
      </c>
    </row>
    <row r="3629" spans="1:4" ht="15" customHeight="1">
      <c r="A3629" s="3">
        <v>44187</v>
      </c>
      <c r="B3629" s="336">
        <v>6600</v>
      </c>
      <c r="C3629" s="336">
        <v>6950</v>
      </c>
      <c r="D3629" s="337">
        <f t="shared" ref="D3629" si="997">AVERAGE(B3629:C3629)</f>
        <v>6775</v>
      </c>
    </row>
    <row r="3630" spans="1:4" ht="15" customHeight="1">
      <c r="A3630" s="3">
        <v>44188</v>
      </c>
      <c r="B3630" s="336">
        <v>6800</v>
      </c>
      <c r="C3630" s="336">
        <v>6975</v>
      </c>
      <c r="D3630" s="337">
        <f t="shared" ref="D3630" si="998">AVERAGE(B3630:C3630)</f>
        <v>6887.5</v>
      </c>
    </row>
    <row r="3631" spans="1:4" ht="15" customHeight="1">
      <c r="A3631" s="3">
        <v>44189</v>
      </c>
      <c r="B3631" s="336">
        <v>6800</v>
      </c>
      <c r="C3631" s="336">
        <v>6975</v>
      </c>
      <c r="D3631" s="337">
        <f>AVERAGE(B3631:C3631)</f>
        <v>6887.5</v>
      </c>
    </row>
    <row r="3632" spans="1:4" ht="15" customHeight="1">
      <c r="A3632" s="3">
        <v>44190</v>
      </c>
      <c r="B3632" s="1416" t="s">
        <v>61</v>
      </c>
      <c r="C3632" s="1416"/>
      <c r="D3632" s="1416"/>
    </row>
    <row r="3633" spans="1:6" ht="15" customHeight="1">
      <c r="A3633" s="3">
        <v>44193</v>
      </c>
      <c r="B3633" s="1416"/>
      <c r="C3633" s="1416"/>
      <c r="D3633" s="1416"/>
    </row>
    <row r="3634" spans="1:6" ht="15" customHeight="1">
      <c r="A3634" s="3">
        <v>44194</v>
      </c>
      <c r="B3634" s="336">
        <v>6800</v>
      </c>
      <c r="C3634" s="336">
        <v>6975</v>
      </c>
      <c r="D3634" s="337">
        <f t="shared" ref="D3634:D3640" si="999">AVERAGE(B3634:C3634)</f>
        <v>6887.5</v>
      </c>
    </row>
    <row r="3635" spans="1:6" ht="15" customHeight="1">
      <c r="A3635" s="3">
        <v>44195</v>
      </c>
      <c r="B3635" s="336">
        <v>6800</v>
      </c>
      <c r="C3635" s="336">
        <v>6975</v>
      </c>
      <c r="D3635" s="337">
        <f t="shared" si="999"/>
        <v>6887.5</v>
      </c>
    </row>
    <row r="3636" spans="1:6" ht="15" customHeight="1" thickBot="1">
      <c r="A3636" s="340">
        <v>44196</v>
      </c>
      <c r="B3636" s="341">
        <v>6800</v>
      </c>
      <c r="C3636" s="341">
        <v>6975</v>
      </c>
      <c r="D3636" s="342">
        <f t="shared" si="999"/>
        <v>6887.5</v>
      </c>
      <c r="E3636" s="360">
        <f>AVERAGE($D$3614:D3636)</f>
        <v>6567.2619047619046</v>
      </c>
      <c r="F3636" s="360">
        <f>AVERAGE($D$3375:D3636)</f>
        <v>5908.588235294118</v>
      </c>
    </row>
    <row r="3637" spans="1:6" ht="15" customHeight="1">
      <c r="A3637" s="335">
        <v>44200</v>
      </c>
      <c r="B3637" s="336">
        <v>6800</v>
      </c>
      <c r="C3637" s="336">
        <v>6975</v>
      </c>
      <c r="D3637" s="337">
        <f t="shared" si="999"/>
        <v>6887.5</v>
      </c>
    </row>
    <row r="3638" spans="1:6" ht="15" customHeight="1">
      <c r="A3638" s="335">
        <v>44201</v>
      </c>
      <c r="B3638" s="336">
        <v>6800</v>
      </c>
      <c r="C3638" s="336">
        <v>6975</v>
      </c>
      <c r="D3638" s="337">
        <f t="shared" si="999"/>
        <v>6887.5</v>
      </c>
    </row>
    <row r="3639" spans="1:6" ht="15" customHeight="1">
      <c r="A3639" s="335">
        <v>44202</v>
      </c>
      <c r="B3639" s="336">
        <v>7000</v>
      </c>
      <c r="C3639" s="336">
        <v>7200</v>
      </c>
      <c r="D3639" s="337">
        <f t="shared" si="999"/>
        <v>7100</v>
      </c>
    </row>
    <row r="3640" spans="1:6" ht="15" customHeight="1">
      <c r="A3640" s="335">
        <v>44203</v>
      </c>
      <c r="B3640" s="336">
        <v>7000</v>
      </c>
      <c r="C3640" s="336">
        <v>7200</v>
      </c>
      <c r="D3640" s="337">
        <f t="shared" si="999"/>
        <v>7100</v>
      </c>
    </row>
    <row r="3641" spans="1:6" ht="15" customHeight="1">
      <c r="A3641" s="335">
        <v>44204</v>
      </c>
      <c r="B3641" s="336">
        <v>7100</v>
      </c>
      <c r="C3641" s="336">
        <v>7300</v>
      </c>
      <c r="D3641" s="337">
        <f t="shared" ref="D3641:D3642" si="1000">AVERAGE(B3641:C3641)</f>
        <v>7200</v>
      </c>
    </row>
    <row r="3642" spans="1:6" ht="15" customHeight="1">
      <c r="A3642" s="335">
        <v>44207</v>
      </c>
      <c r="B3642" s="336">
        <v>7100</v>
      </c>
      <c r="C3642" s="336">
        <v>7300</v>
      </c>
      <c r="D3642" s="337">
        <f t="shared" si="1000"/>
        <v>7200</v>
      </c>
    </row>
    <row r="3643" spans="1:6" ht="15" customHeight="1">
      <c r="A3643" s="335">
        <v>44208</v>
      </c>
      <c r="B3643" s="336">
        <v>7100</v>
      </c>
      <c r="C3643" s="336">
        <v>7300</v>
      </c>
      <c r="D3643" s="337">
        <f t="shared" ref="D3643:D3644" si="1001">AVERAGE(B3643:C3643)</f>
        <v>7200</v>
      </c>
    </row>
    <row r="3644" spans="1:6" ht="15" customHeight="1">
      <c r="A3644" s="335">
        <v>44209</v>
      </c>
      <c r="B3644" s="336">
        <v>7500</v>
      </c>
      <c r="C3644" s="336">
        <v>7700</v>
      </c>
      <c r="D3644" s="337">
        <f t="shared" si="1001"/>
        <v>7600</v>
      </c>
    </row>
    <row r="3645" spans="1:6" ht="15" customHeight="1">
      <c r="A3645" s="335">
        <v>44210</v>
      </c>
      <c r="B3645" s="336">
        <v>7500</v>
      </c>
      <c r="C3645" s="336">
        <v>7700</v>
      </c>
      <c r="D3645" s="337">
        <f t="shared" ref="D3645" si="1002">AVERAGE(B3645:C3645)</f>
        <v>7600</v>
      </c>
    </row>
    <row r="3646" spans="1:6" ht="15" customHeight="1">
      <c r="A3646" s="335">
        <v>44211</v>
      </c>
      <c r="B3646" s="336">
        <v>7700</v>
      </c>
      <c r="C3646" s="336">
        <v>7900</v>
      </c>
      <c r="D3646" s="337">
        <f t="shared" ref="D3646" si="1003">AVERAGE(B3646:C3646)</f>
        <v>7800</v>
      </c>
    </row>
    <row r="3647" spans="1:6" ht="15" customHeight="1">
      <c r="A3647" s="335">
        <v>44214</v>
      </c>
      <c r="B3647" s="336">
        <v>7700</v>
      </c>
      <c r="C3647" s="336">
        <v>7900</v>
      </c>
      <c r="D3647" s="337">
        <f t="shared" ref="D3647" si="1004">AVERAGE(B3647:C3647)</f>
        <v>7800</v>
      </c>
    </row>
    <row r="3648" spans="1:6" ht="15" customHeight="1">
      <c r="A3648" s="335">
        <v>44215</v>
      </c>
      <c r="B3648" s="336">
        <v>7700</v>
      </c>
      <c r="C3648" s="336">
        <v>7900</v>
      </c>
      <c r="D3648" s="337">
        <f t="shared" ref="D3648" si="1005">AVERAGE(B3648:C3648)</f>
        <v>7800</v>
      </c>
    </row>
    <row r="3649" spans="1:6" ht="15" customHeight="1">
      <c r="A3649" s="335">
        <v>44216</v>
      </c>
      <c r="B3649" s="336">
        <v>7800</v>
      </c>
      <c r="C3649" s="336">
        <v>8100</v>
      </c>
      <c r="D3649" s="337">
        <f t="shared" ref="D3649" si="1006">AVERAGE(B3649:C3649)</f>
        <v>7950</v>
      </c>
    </row>
    <row r="3650" spans="1:6" ht="15" customHeight="1">
      <c r="A3650" s="335">
        <v>44217</v>
      </c>
      <c r="B3650" s="336">
        <v>7800</v>
      </c>
      <c r="C3650" s="336">
        <v>8100</v>
      </c>
      <c r="D3650" s="337">
        <f t="shared" ref="D3650" si="1007">AVERAGE(B3650:C3650)</f>
        <v>7950</v>
      </c>
    </row>
    <row r="3651" spans="1:6" ht="15" customHeight="1">
      <c r="A3651" s="335">
        <v>44218</v>
      </c>
      <c r="B3651" s="336">
        <v>8000</v>
      </c>
      <c r="C3651" s="336">
        <v>8350</v>
      </c>
      <c r="D3651" s="337">
        <f t="shared" ref="D3651" si="1008">AVERAGE(B3651:C3651)</f>
        <v>8175</v>
      </c>
    </row>
    <row r="3652" spans="1:6" ht="15" customHeight="1">
      <c r="A3652" s="335">
        <v>44221</v>
      </c>
      <c r="B3652" s="336">
        <v>7800</v>
      </c>
      <c r="C3652" s="336">
        <v>8100</v>
      </c>
      <c r="D3652" s="337">
        <f t="shared" ref="D3652" si="1009">AVERAGE(B3652:C3652)</f>
        <v>7950</v>
      </c>
    </row>
    <row r="3653" spans="1:6" ht="15" customHeight="1">
      <c r="A3653" s="335">
        <v>44222</v>
      </c>
      <c r="B3653" s="336">
        <v>7800</v>
      </c>
      <c r="C3653" s="336">
        <v>8100</v>
      </c>
      <c r="D3653" s="337">
        <f t="shared" ref="D3653" si="1010">AVERAGE(B3653:C3653)</f>
        <v>7950</v>
      </c>
    </row>
    <row r="3654" spans="1:6" ht="15" customHeight="1">
      <c r="A3654" s="335">
        <v>44223</v>
      </c>
      <c r="B3654" s="336">
        <v>8250</v>
      </c>
      <c r="C3654" s="336">
        <v>8500</v>
      </c>
      <c r="D3654" s="337">
        <f t="shared" ref="D3654" si="1011">AVERAGE(B3654:C3654)</f>
        <v>8375</v>
      </c>
    </row>
    <row r="3655" spans="1:6" ht="15" customHeight="1">
      <c r="A3655" s="335">
        <v>44224</v>
      </c>
      <c r="B3655" s="336">
        <v>8250</v>
      </c>
      <c r="C3655" s="336">
        <v>8500</v>
      </c>
      <c r="D3655" s="337">
        <f t="shared" ref="D3655:D3657" si="1012">AVERAGE(B3655:C3655)</f>
        <v>8375</v>
      </c>
    </row>
    <row r="3656" spans="1:6" ht="15" customHeight="1" thickBot="1">
      <c r="A3656" s="340">
        <v>44225</v>
      </c>
      <c r="B3656" s="341">
        <v>8500</v>
      </c>
      <c r="C3656" s="341">
        <v>8900</v>
      </c>
      <c r="D3656" s="342">
        <f t="shared" si="1012"/>
        <v>8700</v>
      </c>
      <c r="E3656" s="360">
        <f>AVERAGE($D$3637:D3656)</f>
        <v>7680</v>
      </c>
      <c r="F3656" s="360">
        <f>AVERAGE($D$3637:D3656)</f>
        <v>7680</v>
      </c>
    </row>
    <row r="3657" spans="1:6" ht="15" customHeight="1">
      <c r="A3657" s="335">
        <v>44228</v>
      </c>
      <c r="B3657" s="336">
        <v>8500</v>
      </c>
      <c r="C3657" s="336">
        <v>8900</v>
      </c>
      <c r="D3657" s="337">
        <f t="shared" si="1012"/>
        <v>8700</v>
      </c>
    </row>
    <row r="3658" spans="1:6" ht="15" customHeight="1">
      <c r="A3658" s="335">
        <v>44229</v>
      </c>
      <c r="B3658" s="336">
        <v>8500</v>
      </c>
      <c r="C3658" s="336">
        <v>8900</v>
      </c>
      <c r="D3658" s="337">
        <f t="shared" ref="D3658" si="1013">AVERAGE(B3658:C3658)</f>
        <v>8700</v>
      </c>
      <c r="E3658" s="331"/>
      <c r="F3658" s="331"/>
    </row>
    <row r="3659" spans="1:6" ht="15" customHeight="1">
      <c r="A3659" s="335">
        <v>44230</v>
      </c>
      <c r="B3659" s="336">
        <v>8650</v>
      </c>
      <c r="C3659" s="336">
        <v>8900</v>
      </c>
      <c r="D3659" s="337">
        <f t="shared" ref="D3659" si="1014">AVERAGE(B3659:C3659)</f>
        <v>8775</v>
      </c>
    </row>
    <row r="3660" spans="1:6" ht="15" customHeight="1">
      <c r="A3660" s="335">
        <v>44231</v>
      </c>
      <c r="B3660" s="336">
        <v>8650</v>
      </c>
      <c r="C3660" s="336">
        <v>8900</v>
      </c>
      <c r="D3660" s="337">
        <f t="shared" ref="D3660" si="1015">AVERAGE(B3660:C3660)</f>
        <v>8775</v>
      </c>
    </row>
    <row r="3661" spans="1:6" ht="15" customHeight="1">
      <c r="A3661" s="335">
        <v>44232</v>
      </c>
      <c r="B3661" s="336">
        <v>8750</v>
      </c>
      <c r="C3661" s="336">
        <v>9000</v>
      </c>
      <c r="D3661" s="337">
        <f t="shared" ref="D3661" si="1016">AVERAGE(B3661:C3661)</f>
        <v>8875</v>
      </c>
    </row>
    <row r="3662" spans="1:6" ht="15" customHeight="1">
      <c r="A3662" s="335">
        <v>44235</v>
      </c>
      <c r="B3662" s="336">
        <v>8750</v>
      </c>
      <c r="C3662" s="336">
        <v>9000</v>
      </c>
      <c r="D3662" s="337">
        <f t="shared" ref="D3662" si="1017">AVERAGE(B3662:C3662)</f>
        <v>8875</v>
      </c>
    </row>
    <row r="3663" spans="1:6" ht="15" customHeight="1">
      <c r="A3663" s="335">
        <v>44236</v>
      </c>
      <c r="B3663" s="336">
        <v>8750</v>
      </c>
      <c r="C3663" s="336">
        <v>9000</v>
      </c>
      <c r="D3663" s="337">
        <f t="shared" ref="D3663" si="1018">AVERAGE(B3663:C3663)</f>
        <v>8875</v>
      </c>
    </row>
    <row r="3664" spans="1:6" ht="15" customHeight="1">
      <c r="A3664" s="335">
        <v>44237</v>
      </c>
      <c r="B3664" s="336">
        <v>8900</v>
      </c>
      <c r="C3664" s="336">
        <v>9200</v>
      </c>
      <c r="D3664" s="337">
        <f t="shared" ref="D3664" si="1019">AVERAGE(B3664:C3664)</f>
        <v>9050</v>
      </c>
    </row>
    <row r="3665" spans="1:6" ht="15" customHeight="1">
      <c r="A3665" s="335">
        <v>44238</v>
      </c>
      <c r="B3665" s="336">
        <v>8900</v>
      </c>
      <c r="C3665" s="336">
        <v>9200</v>
      </c>
      <c r="D3665" s="337">
        <f t="shared" ref="D3665" si="1020">AVERAGE(B3665:C3665)</f>
        <v>9050</v>
      </c>
    </row>
    <row r="3666" spans="1:6" ht="15" customHeight="1">
      <c r="A3666" s="335">
        <v>44239</v>
      </c>
      <c r="B3666" s="336">
        <v>8900</v>
      </c>
      <c r="C3666" s="336">
        <v>9200</v>
      </c>
      <c r="D3666" s="337">
        <f t="shared" ref="D3666" si="1021">AVERAGE(B3666:C3666)</f>
        <v>9050</v>
      </c>
    </row>
    <row r="3667" spans="1:6" ht="15" customHeight="1">
      <c r="A3667" s="335">
        <v>44242</v>
      </c>
      <c r="B3667" s="336">
        <v>8900</v>
      </c>
      <c r="C3667" s="336">
        <v>9200</v>
      </c>
      <c r="D3667" s="337">
        <f t="shared" ref="D3667" si="1022">AVERAGE(B3667:C3667)</f>
        <v>9050</v>
      </c>
    </row>
    <row r="3668" spans="1:6" ht="15" customHeight="1">
      <c r="A3668" s="335">
        <v>44243</v>
      </c>
      <c r="B3668" s="336">
        <v>8900</v>
      </c>
      <c r="C3668" s="336">
        <v>9200</v>
      </c>
      <c r="D3668" s="337">
        <f t="shared" ref="D3668" si="1023">AVERAGE(B3668:C3668)</f>
        <v>9050</v>
      </c>
    </row>
    <row r="3669" spans="1:6" ht="15" customHeight="1">
      <c r="A3669" s="335">
        <v>44244</v>
      </c>
      <c r="B3669" s="336">
        <v>8900</v>
      </c>
      <c r="C3669" s="336">
        <v>9200</v>
      </c>
      <c r="D3669" s="337">
        <f t="shared" ref="D3669" si="1024">AVERAGE(B3669:C3669)</f>
        <v>9050</v>
      </c>
    </row>
    <row r="3670" spans="1:6" ht="15" customHeight="1">
      <c r="A3670" s="335">
        <v>44245</v>
      </c>
      <c r="B3670" s="336">
        <v>8900</v>
      </c>
      <c r="C3670" s="336">
        <v>9200</v>
      </c>
      <c r="D3670" s="337">
        <f t="shared" ref="D3670" si="1025">AVERAGE(B3670:C3670)</f>
        <v>9050</v>
      </c>
    </row>
    <row r="3671" spans="1:6" ht="15" customHeight="1">
      <c r="A3671" s="335">
        <v>44246</v>
      </c>
      <c r="B3671" s="336">
        <v>9100</v>
      </c>
      <c r="C3671" s="336">
        <v>9200</v>
      </c>
      <c r="D3671" s="337">
        <f t="shared" ref="D3671" si="1026">AVERAGE(B3671:C3671)</f>
        <v>9150</v>
      </c>
    </row>
    <row r="3672" spans="1:6" ht="15" customHeight="1">
      <c r="A3672" s="335">
        <v>44249</v>
      </c>
      <c r="B3672" s="336">
        <v>9100</v>
      </c>
      <c r="C3672" s="336">
        <v>9200</v>
      </c>
      <c r="D3672" s="337">
        <f t="shared" ref="D3672" si="1027">AVERAGE(B3672:C3672)</f>
        <v>9150</v>
      </c>
    </row>
    <row r="3673" spans="1:6" ht="15" customHeight="1">
      <c r="A3673" s="335">
        <v>44250</v>
      </c>
      <c r="B3673" s="336">
        <v>9100</v>
      </c>
      <c r="C3673" s="336">
        <v>9200</v>
      </c>
      <c r="D3673" s="337">
        <f t="shared" ref="D3673" si="1028">AVERAGE(B3673:C3673)</f>
        <v>9150</v>
      </c>
    </row>
    <row r="3674" spans="1:6" ht="15" customHeight="1">
      <c r="A3674" s="335">
        <v>44251</v>
      </c>
      <c r="B3674" s="336">
        <v>9400</v>
      </c>
      <c r="C3674" s="336">
        <v>9500</v>
      </c>
      <c r="D3674" s="337">
        <f t="shared" ref="D3674:D3677" si="1029">AVERAGE(B3674:C3674)</f>
        <v>9450</v>
      </c>
    </row>
    <row r="3675" spans="1:6" ht="15" customHeight="1">
      <c r="A3675" s="335">
        <v>44252</v>
      </c>
      <c r="B3675" s="336">
        <v>9400</v>
      </c>
      <c r="C3675" s="336">
        <v>9500</v>
      </c>
      <c r="D3675" s="337">
        <f t="shared" si="1029"/>
        <v>9450</v>
      </c>
    </row>
    <row r="3676" spans="1:6" ht="15" customHeight="1" thickBot="1">
      <c r="A3676" s="340">
        <v>44253</v>
      </c>
      <c r="B3676" s="341">
        <v>9800</v>
      </c>
      <c r="C3676" s="341">
        <v>10000</v>
      </c>
      <c r="D3676" s="342">
        <f t="shared" ref="D3676" si="1030">AVERAGE(B3676:C3676)</f>
        <v>9900</v>
      </c>
      <c r="E3676" s="360">
        <f>AVERAGE($D$3657:D3676)</f>
        <v>9058.75</v>
      </c>
      <c r="F3676" s="360">
        <f>AVERAGE($D$3637:D3676)</f>
        <v>8369.375</v>
      </c>
    </row>
    <row r="3677" spans="1:6" ht="15" customHeight="1">
      <c r="A3677" s="3">
        <v>44256</v>
      </c>
      <c r="B3677" s="336">
        <v>9800</v>
      </c>
      <c r="C3677" s="336">
        <v>10000</v>
      </c>
      <c r="D3677" s="337">
        <f t="shared" si="1029"/>
        <v>9900</v>
      </c>
    </row>
    <row r="3678" spans="1:6" ht="15" customHeight="1">
      <c r="A3678" s="3">
        <v>44257</v>
      </c>
      <c r="B3678" s="336">
        <v>9800</v>
      </c>
      <c r="C3678" s="336">
        <v>10000</v>
      </c>
      <c r="D3678" s="337">
        <f t="shared" ref="D3678" si="1031">AVERAGE(B3678:C3678)</f>
        <v>9900</v>
      </c>
    </row>
    <row r="3679" spans="1:6" ht="15" customHeight="1">
      <c r="A3679" s="3">
        <v>44258</v>
      </c>
      <c r="B3679" s="336">
        <v>10800</v>
      </c>
      <c r="C3679" s="336">
        <v>11200</v>
      </c>
      <c r="D3679" s="337">
        <f t="shared" ref="D3679:D3684" si="1032">AVERAGE(B3679:C3679)</f>
        <v>11000</v>
      </c>
    </row>
    <row r="3680" spans="1:6" ht="15" customHeight="1">
      <c r="A3680" s="3">
        <v>44259</v>
      </c>
      <c r="B3680" s="336">
        <v>10800</v>
      </c>
      <c r="C3680" s="336">
        <v>11200</v>
      </c>
      <c r="D3680" s="337">
        <f t="shared" si="1032"/>
        <v>11000</v>
      </c>
    </row>
    <row r="3681" spans="1:7" ht="15" customHeight="1">
      <c r="A3681" s="3">
        <v>44260</v>
      </c>
      <c r="B3681" s="397">
        <v>11000</v>
      </c>
      <c r="C3681" s="397">
        <v>11400</v>
      </c>
      <c r="D3681" s="337">
        <f t="shared" si="1032"/>
        <v>11200</v>
      </c>
    </row>
    <row r="3682" spans="1:7" ht="15" customHeight="1">
      <c r="A3682" s="3">
        <v>44263</v>
      </c>
      <c r="B3682" s="336">
        <v>11000</v>
      </c>
      <c r="C3682" s="336">
        <v>11400</v>
      </c>
      <c r="D3682" s="337">
        <f t="shared" si="1032"/>
        <v>11200</v>
      </c>
    </row>
    <row r="3683" spans="1:7" ht="15" customHeight="1">
      <c r="A3683" s="3">
        <v>44264</v>
      </c>
      <c r="B3683" s="336">
        <v>11000</v>
      </c>
      <c r="C3683" s="336">
        <v>11400</v>
      </c>
      <c r="D3683" s="337">
        <f t="shared" si="1032"/>
        <v>11200</v>
      </c>
    </row>
    <row r="3684" spans="1:7" ht="15" customHeight="1">
      <c r="A3684" s="3">
        <v>44265</v>
      </c>
      <c r="B3684" s="336">
        <v>11800</v>
      </c>
      <c r="C3684" s="336">
        <v>12000</v>
      </c>
      <c r="D3684" s="337">
        <f t="shared" si="1032"/>
        <v>11900</v>
      </c>
    </row>
    <row r="3685" spans="1:7" ht="15" customHeight="1">
      <c r="A3685" s="3">
        <v>44266</v>
      </c>
      <c r="B3685" s="336">
        <v>11800</v>
      </c>
      <c r="C3685" s="336">
        <v>12000</v>
      </c>
      <c r="D3685" s="337">
        <f t="shared" ref="D3685" si="1033">AVERAGE(B3685:C3685)</f>
        <v>11900</v>
      </c>
    </row>
    <row r="3686" spans="1:7" ht="15" customHeight="1">
      <c r="A3686" s="3">
        <v>44267</v>
      </c>
      <c r="B3686" s="336">
        <v>11800</v>
      </c>
      <c r="C3686" s="336">
        <v>12000</v>
      </c>
      <c r="D3686" s="337">
        <f t="shared" ref="D3686" si="1034">AVERAGE(B3686:C3686)</f>
        <v>11900</v>
      </c>
    </row>
    <row r="3687" spans="1:7" ht="15" customHeight="1">
      <c r="A3687" s="3">
        <v>44270</v>
      </c>
      <c r="B3687" s="336">
        <v>11800</v>
      </c>
      <c r="C3687" s="336">
        <v>12000</v>
      </c>
      <c r="D3687" s="337">
        <f t="shared" ref="D3687" si="1035">AVERAGE(B3687:C3687)</f>
        <v>11900</v>
      </c>
    </row>
    <row r="3688" spans="1:7" ht="15" customHeight="1">
      <c r="A3688" s="3">
        <v>44271</v>
      </c>
      <c r="B3688" s="336">
        <v>11800</v>
      </c>
      <c r="C3688" s="336">
        <v>12000</v>
      </c>
      <c r="D3688" s="337">
        <f t="shared" ref="D3688" si="1036">AVERAGE(B3688:C3688)</f>
        <v>11900</v>
      </c>
    </row>
    <row r="3689" spans="1:7" ht="15" customHeight="1">
      <c r="A3689" s="3">
        <v>44272</v>
      </c>
      <c r="B3689" s="336">
        <v>11800</v>
      </c>
      <c r="C3689" s="336">
        <v>12000</v>
      </c>
      <c r="D3689" s="337">
        <f t="shared" ref="D3689" si="1037">AVERAGE(B3689:C3689)</f>
        <v>11900</v>
      </c>
    </row>
    <row r="3690" spans="1:7" ht="15" customHeight="1">
      <c r="A3690" s="3">
        <v>44273</v>
      </c>
      <c r="B3690" s="336">
        <v>11800</v>
      </c>
      <c r="C3690" s="336">
        <v>12000</v>
      </c>
      <c r="D3690" s="337">
        <f t="shared" ref="D3690" si="1038">AVERAGE(B3690:C3690)</f>
        <v>11900</v>
      </c>
    </row>
    <row r="3691" spans="1:7" ht="15" customHeight="1">
      <c r="A3691" s="3">
        <v>44274</v>
      </c>
      <c r="B3691" s="336">
        <v>11800</v>
      </c>
      <c r="C3691" s="336">
        <v>12000</v>
      </c>
      <c r="D3691" s="337">
        <f t="shared" ref="D3691" si="1039">AVERAGE(B3691:C3691)</f>
        <v>11900</v>
      </c>
    </row>
    <row r="3692" spans="1:7" ht="15" customHeight="1">
      <c r="A3692" s="3">
        <v>44277</v>
      </c>
      <c r="B3692" s="336">
        <v>11800</v>
      </c>
      <c r="C3692" s="336">
        <v>12000</v>
      </c>
      <c r="D3692" s="337">
        <f t="shared" ref="D3692" si="1040">AVERAGE(B3692:C3692)</f>
        <v>11900</v>
      </c>
    </row>
    <row r="3693" spans="1:7" ht="15" customHeight="1">
      <c r="A3693" s="3">
        <v>44278</v>
      </c>
      <c r="B3693" s="336">
        <v>11800</v>
      </c>
      <c r="C3693" s="336">
        <v>12000</v>
      </c>
      <c r="D3693" s="337">
        <f t="shared" ref="D3693" si="1041">AVERAGE(B3693:C3693)</f>
        <v>11900</v>
      </c>
    </row>
    <row r="3694" spans="1:7" ht="15" customHeight="1">
      <c r="A3694" s="3">
        <v>44279</v>
      </c>
      <c r="B3694" s="336">
        <v>11400</v>
      </c>
      <c r="C3694" s="336">
        <v>11800</v>
      </c>
      <c r="D3694" s="337">
        <f t="shared" ref="D3694" si="1042">AVERAGE(B3694:C3694)</f>
        <v>11600</v>
      </c>
    </row>
    <row r="3695" spans="1:7" ht="15" customHeight="1">
      <c r="A3695" s="3">
        <v>44280</v>
      </c>
      <c r="B3695" s="336">
        <v>11400</v>
      </c>
      <c r="C3695" s="336">
        <v>11800</v>
      </c>
      <c r="D3695" s="337">
        <f t="shared" ref="D3695:D3696" si="1043">AVERAGE(B3695:C3695)</f>
        <v>11600</v>
      </c>
    </row>
    <row r="3696" spans="1:7" ht="15" customHeight="1">
      <c r="A3696" s="3">
        <v>44281</v>
      </c>
      <c r="B3696" s="336">
        <v>11200</v>
      </c>
      <c r="C3696" s="336">
        <v>11800</v>
      </c>
      <c r="D3696" s="337">
        <f t="shared" si="1043"/>
        <v>11500</v>
      </c>
      <c r="G3696" s="338"/>
    </row>
    <row r="3697" spans="1:7" ht="15" customHeight="1">
      <c r="A3697" s="3">
        <v>44284</v>
      </c>
      <c r="B3697" s="336">
        <v>11200</v>
      </c>
      <c r="C3697" s="336">
        <v>11800</v>
      </c>
      <c r="D3697" s="337">
        <f t="shared" ref="D3697:D3698" si="1044">AVERAGE(B3697:C3697)</f>
        <v>11500</v>
      </c>
      <c r="G3697" s="338"/>
    </row>
    <row r="3698" spans="1:7" ht="15" customHeight="1">
      <c r="A3698" s="3">
        <v>44285</v>
      </c>
      <c r="B3698" s="336">
        <v>11200</v>
      </c>
      <c r="C3698" s="336">
        <v>11800</v>
      </c>
      <c r="D3698" s="337">
        <f t="shared" si="1044"/>
        <v>11500</v>
      </c>
    </row>
    <row r="3699" spans="1:7" ht="15" customHeight="1" thickBot="1">
      <c r="A3699" s="340">
        <v>44286</v>
      </c>
      <c r="B3699" s="341">
        <v>10800</v>
      </c>
      <c r="C3699" s="341">
        <v>11400</v>
      </c>
      <c r="D3699" s="342">
        <f t="shared" ref="D3699" si="1045">AVERAGE(B3699:C3699)</f>
        <v>11100</v>
      </c>
      <c r="E3699" s="360">
        <f>AVERAGE($D$3677:D3699)</f>
        <v>11443.478260869566</v>
      </c>
      <c r="F3699" s="360">
        <f>AVERAGE($D$3637:D3699)</f>
        <v>9491.6666666666661</v>
      </c>
    </row>
    <row r="3700" spans="1:7" ht="15" customHeight="1">
      <c r="A3700" s="3">
        <v>44287</v>
      </c>
      <c r="B3700" s="336">
        <v>10800</v>
      </c>
      <c r="C3700" s="336">
        <v>11400</v>
      </c>
      <c r="D3700" s="337">
        <f>AVERAGE(B3700:C3700)</f>
        <v>11100</v>
      </c>
    </row>
    <row r="3701" spans="1:7" ht="15" customHeight="1">
      <c r="A3701" s="3">
        <v>44288</v>
      </c>
      <c r="B3701" s="1416" t="s">
        <v>61</v>
      </c>
      <c r="C3701" s="1416"/>
      <c r="D3701" s="1416"/>
      <c r="E3701" s="347"/>
      <c r="F3701" s="347"/>
    </row>
    <row r="3702" spans="1:7" ht="15" customHeight="1">
      <c r="A3702" s="3">
        <v>44291</v>
      </c>
      <c r="B3702" s="1416"/>
      <c r="C3702" s="1416"/>
      <c r="D3702" s="1416"/>
    </row>
    <row r="3703" spans="1:7" ht="15" customHeight="1">
      <c r="A3703" s="3">
        <v>44292</v>
      </c>
      <c r="B3703" s="336">
        <v>10800</v>
      </c>
      <c r="C3703" s="336">
        <v>11400</v>
      </c>
      <c r="D3703" s="337">
        <f>AVERAGE(B3703:C3703)</f>
        <v>11100</v>
      </c>
    </row>
    <row r="3704" spans="1:7" ht="15" customHeight="1">
      <c r="A3704" s="3">
        <v>44293</v>
      </c>
      <c r="B3704" s="336">
        <v>10800</v>
      </c>
      <c r="C3704" s="336">
        <v>11450</v>
      </c>
      <c r="D3704" s="337">
        <f>AVERAGE(B3704:C3704)</f>
        <v>11125</v>
      </c>
    </row>
    <row r="3705" spans="1:7" ht="15" customHeight="1">
      <c r="A3705" s="3">
        <v>44294</v>
      </c>
      <c r="B3705" s="336">
        <v>10800</v>
      </c>
      <c r="C3705" s="336">
        <v>11450</v>
      </c>
      <c r="D3705" s="337">
        <f t="shared" ref="D3705:D3710" si="1046">AVERAGE(B3705:C3705)</f>
        <v>11125</v>
      </c>
    </row>
    <row r="3706" spans="1:7" ht="15" customHeight="1">
      <c r="A3706" s="3">
        <v>44295</v>
      </c>
      <c r="B3706" s="336">
        <v>10750</v>
      </c>
      <c r="C3706" s="336">
        <v>11300</v>
      </c>
      <c r="D3706" s="337">
        <f t="shared" si="1046"/>
        <v>11025</v>
      </c>
    </row>
    <row r="3707" spans="1:7" ht="15" customHeight="1">
      <c r="A3707" s="3">
        <v>44298</v>
      </c>
      <c r="B3707" s="336">
        <v>10750</v>
      </c>
      <c r="C3707" s="336">
        <v>11300</v>
      </c>
      <c r="D3707" s="337">
        <f t="shared" si="1046"/>
        <v>11025</v>
      </c>
    </row>
    <row r="3708" spans="1:7" ht="15" customHeight="1">
      <c r="A3708" s="3">
        <v>44299</v>
      </c>
      <c r="B3708" s="336">
        <v>10750</v>
      </c>
      <c r="C3708" s="336">
        <v>11300</v>
      </c>
      <c r="D3708" s="337">
        <f t="shared" si="1046"/>
        <v>11025</v>
      </c>
    </row>
    <row r="3709" spans="1:7" ht="15" customHeight="1">
      <c r="A3709" s="3">
        <v>44300</v>
      </c>
      <c r="B3709" s="336">
        <v>10750</v>
      </c>
      <c r="C3709" s="336">
        <v>11200</v>
      </c>
      <c r="D3709" s="337">
        <f t="shared" si="1046"/>
        <v>10975</v>
      </c>
    </row>
    <row r="3710" spans="1:7" ht="15" customHeight="1">
      <c r="A3710" s="3">
        <v>44301</v>
      </c>
      <c r="B3710" s="336">
        <v>10750</v>
      </c>
      <c r="C3710" s="336">
        <v>11200</v>
      </c>
      <c r="D3710" s="337">
        <f t="shared" si="1046"/>
        <v>10975</v>
      </c>
    </row>
    <row r="3711" spans="1:7" ht="15" customHeight="1">
      <c r="A3711" s="3">
        <v>44302</v>
      </c>
      <c r="B3711" s="336">
        <v>10500</v>
      </c>
      <c r="C3711" s="336">
        <v>11100</v>
      </c>
      <c r="D3711" s="337">
        <f t="shared" ref="D3711" si="1047">AVERAGE(B3711:C3711)</f>
        <v>10800</v>
      </c>
    </row>
    <row r="3712" spans="1:7" ht="15" customHeight="1">
      <c r="A3712" s="3">
        <v>44305</v>
      </c>
      <c r="B3712" s="336">
        <v>10500</v>
      </c>
      <c r="C3712" s="336">
        <v>11100</v>
      </c>
      <c r="D3712" s="337">
        <f t="shared" ref="D3712" si="1048">AVERAGE(B3712:C3712)</f>
        <v>10800</v>
      </c>
    </row>
    <row r="3713" spans="1:6" ht="15" customHeight="1">
      <c r="A3713" s="3">
        <v>44306</v>
      </c>
      <c r="B3713" s="336">
        <v>10500</v>
      </c>
      <c r="C3713" s="336">
        <v>11100</v>
      </c>
      <c r="D3713" s="337">
        <f t="shared" ref="D3713" si="1049">AVERAGE(B3713:C3713)</f>
        <v>10800</v>
      </c>
    </row>
    <row r="3714" spans="1:6" ht="15" customHeight="1">
      <c r="A3714" s="3">
        <v>44307</v>
      </c>
      <c r="B3714" s="336">
        <v>10300</v>
      </c>
      <c r="C3714" s="336">
        <v>10850</v>
      </c>
      <c r="D3714" s="337">
        <f t="shared" ref="D3714" si="1050">AVERAGE(B3714:C3714)</f>
        <v>10575</v>
      </c>
    </row>
    <row r="3715" spans="1:6" ht="15" customHeight="1">
      <c r="A3715" s="3">
        <v>44308</v>
      </c>
      <c r="B3715" s="336">
        <v>10300</v>
      </c>
      <c r="C3715" s="336">
        <v>10850</v>
      </c>
      <c r="D3715" s="337">
        <f t="shared" ref="D3715" si="1051">AVERAGE(B3715:C3715)</f>
        <v>10575</v>
      </c>
    </row>
    <row r="3716" spans="1:6" ht="15" customHeight="1">
      <c r="A3716" s="3">
        <v>44309</v>
      </c>
      <c r="B3716" s="336">
        <v>10300</v>
      </c>
      <c r="C3716" s="336">
        <v>10700</v>
      </c>
      <c r="D3716" s="337">
        <f t="shared" ref="D3716" si="1052">AVERAGE(B3716:C3716)</f>
        <v>10500</v>
      </c>
    </row>
    <row r="3717" spans="1:6" ht="15" customHeight="1">
      <c r="A3717" s="3">
        <v>44312</v>
      </c>
      <c r="B3717" s="336">
        <v>10300</v>
      </c>
      <c r="C3717" s="336">
        <v>10700</v>
      </c>
      <c r="D3717" s="337">
        <f t="shared" ref="D3717" si="1053">AVERAGE(B3717:C3717)</f>
        <v>10500</v>
      </c>
    </row>
    <row r="3718" spans="1:6" ht="15" customHeight="1">
      <c r="A3718" s="3">
        <v>44313</v>
      </c>
      <c r="B3718" s="336">
        <v>10300</v>
      </c>
      <c r="C3718" s="336">
        <v>10700</v>
      </c>
      <c r="D3718" s="337">
        <f t="shared" ref="D3718" si="1054">AVERAGE(B3718:C3718)</f>
        <v>10500</v>
      </c>
    </row>
    <row r="3719" spans="1:6" ht="15" customHeight="1">
      <c r="A3719" s="3">
        <v>44314</v>
      </c>
      <c r="B3719" s="336">
        <v>9950</v>
      </c>
      <c r="C3719" s="336">
        <v>10400</v>
      </c>
      <c r="D3719" s="337">
        <f t="shared" ref="D3719:D3720" si="1055">AVERAGE(B3719:C3719)</f>
        <v>10175</v>
      </c>
    </row>
    <row r="3720" spans="1:6" ht="15" customHeight="1">
      <c r="A3720" s="3">
        <v>44315</v>
      </c>
      <c r="B3720" s="336">
        <v>9950</v>
      </c>
      <c r="C3720" s="336">
        <v>10400</v>
      </c>
      <c r="D3720" s="337">
        <f t="shared" si="1055"/>
        <v>10175</v>
      </c>
    </row>
    <row r="3721" spans="1:6" ht="15" customHeight="1" thickBot="1">
      <c r="A3721" s="340">
        <v>44316</v>
      </c>
      <c r="B3721" s="341">
        <v>9950</v>
      </c>
      <c r="C3721" s="341">
        <v>10400</v>
      </c>
      <c r="D3721" s="342">
        <f t="shared" ref="D3721" si="1056">AVERAGE(B3721:C3721)</f>
        <v>10175</v>
      </c>
      <c r="E3721" s="360">
        <f>AVERAGE($D$3700:D3721)</f>
        <v>10752.5</v>
      </c>
      <c r="F3721" s="360">
        <f>AVERAGE($D$3637:D3721)</f>
        <v>9795.4819277108436</v>
      </c>
    </row>
    <row r="3722" spans="1:6" ht="15" customHeight="1">
      <c r="A3722" s="3">
        <v>44319</v>
      </c>
      <c r="B3722" s="1412" t="s">
        <v>61</v>
      </c>
      <c r="C3722" s="1412"/>
      <c r="D3722" s="1412"/>
    </row>
    <row r="3723" spans="1:6" ht="15" customHeight="1">
      <c r="A3723" s="335">
        <v>44320</v>
      </c>
      <c r="B3723" s="336">
        <v>9950</v>
      </c>
      <c r="C3723" s="336">
        <v>10400</v>
      </c>
      <c r="D3723" s="337">
        <f t="shared" ref="D3723:D3724" si="1057">AVERAGE(B3723:C3723)</f>
        <v>10175</v>
      </c>
    </row>
    <row r="3724" spans="1:6" ht="15" customHeight="1">
      <c r="A3724" s="335">
        <v>44321</v>
      </c>
      <c r="B3724" s="336">
        <v>9950</v>
      </c>
      <c r="C3724" s="336">
        <v>10350</v>
      </c>
      <c r="D3724" s="337">
        <f t="shared" si="1057"/>
        <v>10150</v>
      </c>
    </row>
    <row r="3725" spans="1:6" ht="15" customHeight="1">
      <c r="A3725" s="335">
        <v>44322</v>
      </c>
      <c r="B3725" s="336">
        <v>9950</v>
      </c>
      <c r="C3725" s="336">
        <v>10350</v>
      </c>
      <c r="D3725" s="337">
        <f t="shared" ref="D3725" si="1058">AVERAGE(B3725:C3725)</f>
        <v>10150</v>
      </c>
    </row>
    <row r="3726" spans="1:6" ht="15" customHeight="1">
      <c r="A3726" s="335">
        <v>44323</v>
      </c>
      <c r="B3726" s="336">
        <v>9950</v>
      </c>
      <c r="C3726" s="336">
        <v>10350</v>
      </c>
      <c r="D3726" s="337">
        <f t="shared" ref="D3726" si="1059">AVERAGE(B3726:C3726)</f>
        <v>10150</v>
      </c>
    </row>
    <row r="3727" spans="1:6" ht="15" customHeight="1">
      <c r="A3727" s="335">
        <v>44326</v>
      </c>
      <c r="B3727" s="336">
        <v>9950</v>
      </c>
      <c r="C3727" s="336">
        <v>10350</v>
      </c>
      <c r="D3727" s="337">
        <f t="shared" ref="D3727:D3728" si="1060">AVERAGE(B3727:C3727)</f>
        <v>10150</v>
      </c>
    </row>
    <row r="3728" spans="1:6" ht="15" customHeight="1">
      <c r="A3728" s="335">
        <v>44327</v>
      </c>
      <c r="B3728" s="336">
        <v>9950</v>
      </c>
      <c r="C3728" s="336">
        <v>10350</v>
      </c>
      <c r="D3728" s="337">
        <f t="shared" si="1060"/>
        <v>10150</v>
      </c>
    </row>
    <row r="3729" spans="1:6" ht="15" customHeight="1">
      <c r="A3729" s="335">
        <v>44328</v>
      </c>
      <c r="B3729" s="336">
        <v>9800</v>
      </c>
      <c r="C3729" s="336">
        <v>10300</v>
      </c>
      <c r="D3729" s="337">
        <f t="shared" ref="D3729" si="1061">AVERAGE(B3729:C3729)</f>
        <v>10050</v>
      </c>
    </row>
    <row r="3730" spans="1:6" ht="15" customHeight="1">
      <c r="A3730" s="335">
        <v>44329</v>
      </c>
      <c r="B3730" s="336">
        <v>9800</v>
      </c>
      <c r="C3730" s="336">
        <v>10300</v>
      </c>
      <c r="D3730" s="337">
        <f t="shared" ref="D3730" si="1062">AVERAGE(B3730:C3730)</f>
        <v>10050</v>
      </c>
    </row>
    <row r="3731" spans="1:6" ht="15" customHeight="1">
      <c r="A3731" s="335">
        <v>44330</v>
      </c>
      <c r="B3731" s="336">
        <v>9750</v>
      </c>
      <c r="C3731" s="336">
        <v>10250</v>
      </c>
      <c r="D3731" s="337">
        <f t="shared" ref="D3731" si="1063">AVERAGE(B3731:C3731)</f>
        <v>10000</v>
      </c>
    </row>
    <row r="3732" spans="1:6" ht="15" customHeight="1">
      <c r="A3732" s="335">
        <v>44333</v>
      </c>
      <c r="B3732" s="336">
        <v>9750</v>
      </c>
      <c r="C3732" s="336">
        <v>10250</v>
      </c>
      <c r="D3732" s="337">
        <f t="shared" ref="D3732:D3734" si="1064">AVERAGE(B3732:C3732)</f>
        <v>10000</v>
      </c>
    </row>
    <row r="3733" spans="1:6" ht="15" customHeight="1">
      <c r="A3733" s="335">
        <v>44334</v>
      </c>
      <c r="B3733" s="336">
        <v>9750</v>
      </c>
      <c r="C3733" s="336">
        <v>10250</v>
      </c>
      <c r="D3733" s="337">
        <f t="shared" si="1064"/>
        <v>10000</v>
      </c>
    </row>
    <row r="3734" spans="1:6" ht="15" customHeight="1">
      <c r="A3734" s="335">
        <v>44335</v>
      </c>
      <c r="B3734" s="336">
        <v>9650</v>
      </c>
      <c r="C3734" s="336">
        <v>10200</v>
      </c>
      <c r="D3734" s="337">
        <f t="shared" si="1064"/>
        <v>9925</v>
      </c>
    </row>
    <row r="3735" spans="1:6" ht="15" customHeight="1">
      <c r="A3735" s="335">
        <v>44336</v>
      </c>
      <c r="B3735" s="336">
        <v>9650</v>
      </c>
      <c r="C3735" s="336">
        <v>10200</v>
      </c>
      <c r="D3735" s="337">
        <f t="shared" ref="D3735" si="1065">AVERAGE(B3735:C3735)</f>
        <v>9925</v>
      </c>
    </row>
    <row r="3736" spans="1:6" ht="15" customHeight="1">
      <c r="A3736" s="335">
        <v>44337</v>
      </c>
      <c r="B3736" s="336">
        <v>9550</v>
      </c>
      <c r="C3736" s="336">
        <v>10200</v>
      </c>
      <c r="D3736" s="337">
        <f t="shared" ref="D3736" si="1066">AVERAGE(B3736:C3736)</f>
        <v>9875</v>
      </c>
    </row>
    <row r="3737" spans="1:6" ht="15" customHeight="1">
      <c r="A3737" s="335">
        <v>44340</v>
      </c>
      <c r="B3737" s="336">
        <v>9550</v>
      </c>
      <c r="C3737" s="336">
        <v>10200</v>
      </c>
      <c r="D3737" s="337">
        <f t="shared" ref="D3737" si="1067">AVERAGE(B3737:C3737)</f>
        <v>9875</v>
      </c>
    </row>
    <row r="3738" spans="1:6" ht="15" customHeight="1">
      <c r="A3738" s="335">
        <v>44341</v>
      </c>
      <c r="B3738" s="336">
        <v>9550</v>
      </c>
      <c r="C3738" s="336">
        <v>10200</v>
      </c>
      <c r="D3738" s="337">
        <f t="shared" ref="D3738" si="1068">AVERAGE(B3738:C3738)</f>
        <v>9875</v>
      </c>
    </row>
    <row r="3739" spans="1:6" ht="15" customHeight="1">
      <c r="A3739" s="335">
        <v>44342</v>
      </c>
      <c r="B3739" s="336">
        <v>9550</v>
      </c>
      <c r="C3739" s="336">
        <v>10200</v>
      </c>
      <c r="D3739" s="337">
        <f t="shared" ref="D3739" si="1069">AVERAGE(B3739:C3739)</f>
        <v>9875</v>
      </c>
    </row>
    <row r="3740" spans="1:6" ht="15" customHeight="1">
      <c r="A3740" s="335">
        <v>44343</v>
      </c>
      <c r="B3740" s="336">
        <v>9550</v>
      </c>
      <c r="C3740" s="336">
        <v>10000</v>
      </c>
      <c r="D3740" s="337">
        <f t="shared" ref="D3740" si="1070">AVERAGE(B3740:C3740)</f>
        <v>9775</v>
      </c>
    </row>
    <row r="3741" spans="1:6" ht="15" customHeight="1">
      <c r="A3741" s="335">
        <v>44344</v>
      </c>
      <c r="B3741" s="336">
        <v>9400</v>
      </c>
      <c r="C3741" s="336">
        <v>9900</v>
      </c>
      <c r="D3741" s="337">
        <f t="shared" ref="D3741:D3743" si="1071">AVERAGE(B3741:C3741)</f>
        <v>9650</v>
      </c>
      <c r="F3741" s="347"/>
    </row>
    <row r="3742" spans="1:6" ht="15" customHeight="1" thickBot="1">
      <c r="A3742" s="340">
        <v>44347</v>
      </c>
      <c r="B3742" s="1415" t="s">
        <v>61</v>
      </c>
      <c r="C3742" s="1415"/>
      <c r="D3742" s="1415"/>
      <c r="E3742" s="360">
        <f>AVERAGE($D$3723:D3742)</f>
        <v>9989.4736842105267</v>
      </c>
      <c r="F3742" s="360">
        <f>AVERAGE($D$3637:D3742)</f>
        <v>9831.6176470588234</v>
      </c>
    </row>
    <row r="3743" spans="1:6" ht="15" customHeight="1">
      <c r="A3743" s="3">
        <v>44348</v>
      </c>
      <c r="B3743" s="336">
        <v>9400</v>
      </c>
      <c r="C3743" s="336">
        <v>9900</v>
      </c>
      <c r="D3743" s="337">
        <f t="shared" si="1071"/>
        <v>9650</v>
      </c>
    </row>
    <row r="3744" spans="1:6" ht="15" customHeight="1">
      <c r="A3744" s="3">
        <v>44349</v>
      </c>
      <c r="B3744" s="336">
        <v>9400</v>
      </c>
      <c r="C3744" s="336">
        <v>9900</v>
      </c>
      <c r="D3744" s="337">
        <f t="shared" ref="D3744" si="1072">AVERAGE(B3744:C3744)</f>
        <v>9650</v>
      </c>
      <c r="F3744" s="347"/>
    </row>
    <row r="3745" spans="1:6" ht="15" customHeight="1">
      <c r="A3745" s="3">
        <v>44350</v>
      </c>
      <c r="B3745" s="336">
        <v>9400</v>
      </c>
      <c r="C3745" s="336">
        <v>9900</v>
      </c>
      <c r="D3745" s="337">
        <f t="shared" ref="D3745" si="1073">AVERAGE(B3745:C3745)</f>
        <v>9650</v>
      </c>
      <c r="F3745" s="347"/>
    </row>
    <row r="3746" spans="1:6" ht="15" customHeight="1">
      <c r="A3746" s="3">
        <v>44351</v>
      </c>
      <c r="B3746" s="336">
        <v>9400</v>
      </c>
      <c r="C3746" s="336">
        <v>9900</v>
      </c>
      <c r="D3746" s="337">
        <f t="shared" ref="D3746" si="1074">AVERAGE(B3746:C3746)</f>
        <v>9650</v>
      </c>
      <c r="F3746" s="347"/>
    </row>
    <row r="3747" spans="1:6" ht="15" customHeight="1">
      <c r="A3747" s="3">
        <v>44354</v>
      </c>
      <c r="B3747" s="336">
        <v>9400</v>
      </c>
      <c r="C3747" s="336">
        <v>9900</v>
      </c>
      <c r="D3747" s="337">
        <f t="shared" ref="D3747" si="1075">AVERAGE(B3747:C3747)</f>
        <v>9650</v>
      </c>
      <c r="F3747" s="347"/>
    </row>
    <row r="3748" spans="1:6" ht="15" customHeight="1">
      <c r="A3748" s="3">
        <v>44355</v>
      </c>
      <c r="B3748" s="336">
        <v>9400</v>
      </c>
      <c r="C3748" s="336">
        <v>9900</v>
      </c>
      <c r="D3748" s="337">
        <f t="shared" ref="D3748" si="1076">AVERAGE(B3748:C3748)</f>
        <v>9650</v>
      </c>
      <c r="F3748" s="347"/>
    </row>
    <row r="3749" spans="1:6" ht="15" customHeight="1">
      <c r="A3749" s="3">
        <v>44356</v>
      </c>
      <c r="B3749" s="336">
        <v>9700</v>
      </c>
      <c r="C3749" s="336">
        <v>9900</v>
      </c>
      <c r="D3749" s="337">
        <f t="shared" ref="D3749" si="1077">AVERAGE(B3749:C3749)</f>
        <v>9800</v>
      </c>
      <c r="F3749" s="347"/>
    </row>
    <row r="3750" spans="1:6" ht="15" customHeight="1">
      <c r="A3750" s="3">
        <v>44357</v>
      </c>
      <c r="B3750" s="336">
        <v>9700</v>
      </c>
      <c r="C3750" s="336">
        <v>9900</v>
      </c>
      <c r="D3750" s="337">
        <f t="shared" ref="D3750" si="1078">AVERAGE(B3750:C3750)</f>
        <v>9800</v>
      </c>
      <c r="F3750" s="347"/>
    </row>
    <row r="3751" spans="1:6" ht="15" customHeight="1">
      <c r="A3751" s="3">
        <v>44358</v>
      </c>
      <c r="B3751" s="336">
        <v>9800</v>
      </c>
      <c r="C3751" s="336">
        <v>10000</v>
      </c>
      <c r="D3751" s="337">
        <f t="shared" ref="D3751" si="1079">AVERAGE(B3751:C3751)</f>
        <v>9900</v>
      </c>
      <c r="F3751" s="347"/>
    </row>
    <row r="3752" spans="1:6" ht="15" customHeight="1">
      <c r="A3752" s="3">
        <v>44361</v>
      </c>
      <c r="B3752" s="336">
        <v>9800</v>
      </c>
      <c r="C3752" s="336">
        <v>10000</v>
      </c>
      <c r="D3752" s="337">
        <f t="shared" ref="D3752" si="1080">AVERAGE(B3752:C3752)</f>
        <v>9900</v>
      </c>
      <c r="F3752" s="347"/>
    </row>
    <row r="3753" spans="1:6" ht="15" customHeight="1">
      <c r="A3753" s="3">
        <v>44362</v>
      </c>
      <c r="B3753" s="336">
        <v>9800</v>
      </c>
      <c r="C3753" s="336">
        <v>10000</v>
      </c>
      <c r="D3753" s="337">
        <f t="shared" ref="D3753" si="1081">AVERAGE(B3753:C3753)</f>
        <v>9900</v>
      </c>
      <c r="F3753" s="347"/>
    </row>
    <row r="3754" spans="1:6" ht="15" customHeight="1">
      <c r="A3754" s="3">
        <v>44363</v>
      </c>
      <c r="B3754" s="336">
        <v>9950</v>
      </c>
      <c r="C3754" s="336">
        <v>10200</v>
      </c>
      <c r="D3754" s="337">
        <f t="shared" ref="D3754" si="1082">AVERAGE(B3754:C3754)</f>
        <v>10075</v>
      </c>
      <c r="F3754" s="347"/>
    </row>
    <row r="3755" spans="1:6" ht="15" customHeight="1">
      <c r="A3755" s="3">
        <v>44364</v>
      </c>
      <c r="B3755" s="336">
        <v>9950</v>
      </c>
      <c r="C3755" s="336">
        <v>10200</v>
      </c>
      <c r="D3755" s="337">
        <f t="shared" ref="D3755:D3758" si="1083">AVERAGE(B3755:C3755)</f>
        <v>10075</v>
      </c>
      <c r="E3755" s="331"/>
      <c r="F3755" s="331"/>
    </row>
    <row r="3756" spans="1:6" ht="15" customHeight="1">
      <c r="A3756" s="3">
        <v>44365</v>
      </c>
      <c r="B3756" s="336">
        <v>9950</v>
      </c>
      <c r="C3756" s="336">
        <v>10350</v>
      </c>
      <c r="D3756" s="337">
        <f t="shared" si="1083"/>
        <v>10150</v>
      </c>
      <c r="E3756" s="331"/>
      <c r="F3756" s="331"/>
    </row>
    <row r="3757" spans="1:6" ht="15" customHeight="1">
      <c r="A3757" s="3">
        <v>44368</v>
      </c>
      <c r="B3757" s="336">
        <v>9950</v>
      </c>
      <c r="C3757" s="336">
        <v>10350</v>
      </c>
      <c r="D3757" s="337">
        <f t="shared" si="1083"/>
        <v>10150</v>
      </c>
      <c r="E3757" s="331"/>
      <c r="F3757" s="331"/>
    </row>
    <row r="3758" spans="1:6" ht="15" customHeight="1">
      <c r="A3758" s="3">
        <v>44369</v>
      </c>
      <c r="B3758" s="336">
        <v>9950</v>
      </c>
      <c r="C3758" s="336">
        <v>10350</v>
      </c>
      <c r="D3758" s="337">
        <f t="shared" si="1083"/>
        <v>10150</v>
      </c>
      <c r="E3758" s="331"/>
      <c r="F3758" s="331"/>
    </row>
    <row r="3759" spans="1:6" ht="15" customHeight="1">
      <c r="A3759" s="3">
        <v>44370</v>
      </c>
      <c r="B3759" s="336">
        <v>10175</v>
      </c>
      <c r="C3759" s="336">
        <v>10800</v>
      </c>
      <c r="D3759" s="337">
        <f t="shared" ref="D3759:D3764" si="1084">AVERAGE(B3759:C3759)</f>
        <v>10487.5</v>
      </c>
      <c r="E3759" s="331"/>
      <c r="F3759" s="331"/>
    </row>
    <row r="3760" spans="1:6" ht="15" customHeight="1">
      <c r="A3760" s="3">
        <v>44371</v>
      </c>
      <c r="B3760" s="336">
        <v>10175</v>
      </c>
      <c r="C3760" s="336">
        <v>10800</v>
      </c>
      <c r="D3760" s="337">
        <f t="shared" si="1084"/>
        <v>10487.5</v>
      </c>
      <c r="E3760" s="347"/>
      <c r="F3760" s="347"/>
    </row>
    <row r="3761" spans="1:13" ht="15" customHeight="1">
      <c r="A3761" s="3">
        <v>44372</v>
      </c>
      <c r="B3761" s="336">
        <v>10250</v>
      </c>
      <c r="C3761" s="336">
        <v>10800</v>
      </c>
      <c r="D3761" s="337">
        <f t="shared" si="1084"/>
        <v>10525</v>
      </c>
      <c r="E3761" s="347"/>
      <c r="F3761" s="347"/>
    </row>
    <row r="3762" spans="1:13" ht="15" customHeight="1">
      <c r="A3762" s="3">
        <v>44375</v>
      </c>
      <c r="B3762" s="336">
        <v>10250</v>
      </c>
      <c r="C3762" s="336">
        <v>10800</v>
      </c>
      <c r="D3762" s="337">
        <f t="shared" si="1084"/>
        <v>10525</v>
      </c>
    </row>
    <row r="3763" spans="1:13" ht="15" customHeight="1">
      <c r="A3763" s="3">
        <v>44376</v>
      </c>
      <c r="B3763" s="336">
        <v>10250</v>
      </c>
      <c r="C3763" s="336">
        <v>10800</v>
      </c>
      <c r="D3763" s="337">
        <f t="shared" si="1084"/>
        <v>10525</v>
      </c>
    </row>
    <row r="3764" spans="1:13" ht="15" customHeight="1" thickBot="1">
      <c r="A3764" s="340">
        <v>44377</v>
      </c>
      <c r="B3764" s="341">
        <v>10400</v>
      </c>
      <c r="C3764" s="341">
        <v>10900</v>
      </c>
      <c r="D3764" s="342">
        <f t="shared" si="1084"/>
        <v>10650</v>
      </c>
      <c r="E3764" s="360">
        <f>AVERAGE($D$3743:D3764)</f>
        <v>10045.454545454546</v>
      </c>
      <c r="F3764" s="360">
        <f>AVERAGE($D$3637:D3764)</f>
        <v>9869.5564516129034</v>
      </c>
    </row>
    <row r="3765" spans="1:13" ht="15" customHeight="1">
      <c r="A3765" s="3">
        <v>44378</v>
      </c>
      <c r="B3765" s="336">
        <v>10400</v>
      </c>
      <c r="C3765" s="336">
        <v>10900</v>
      </c>
      <c r="D3765" s="397">
        <f>AVERAGE(B3765:C3765)</f>
        <v>10650</v>
      </c>
      <c r="E3765" s="331"/>
      <c r="F3765" s="331"/>
      <c r="K3765" s="428"/>
      <c r="L3765" s="428"/>
      <c r="M3765" s="429"/>
    </row>
    <row r="3766" spans="1:13" ht="15" customHeight="1">
      <c r="A3766" s="3">
        <v>44379</v>
      </c>
      <c r="B3766" s="336">
        <v>10400</v>
      </c>
      <c r="C3766" s="336">
        <v>10900</v>
      </c>
      <c r="D3766" s="397">
        <f t="shared" ref="D3766:D3786" si="1085">AVERAGE(B3766:C3766)</f>
        <v>10650</v>
      </c>
      <c r="F3766" s="331"/>
      <c r="K3766" s="428"/>
      <c r="L3766" s="428"/>
      <c r="M3766" s="429"/>
    </row>
    <row r="3767" spans="1:13" ht="15" customHeight="1">
      <c r="A3767" s="3">
        <v>44382</v>
      </c>
      <c r="B3767" s="336">
        <v>10400</v>
      </c>
      <c r="C3767" s="336">
        <v>10900</v>
      </c>
      <c r="D3767" s="397">
        <f t="shared" si="1085"/>
        <v>10650</v>
      </c>
      <c r="F3767" s="331"/>
      <c r="K3767" s="428"/>
      <c r="L3767" s="428"/>
      <c r="M3767" s="429"/>
    </row>
    <row r="3768" spans="1:13" ht="15" customHeight="1">
      <c r="A3768" s="3">
        <v>44383</v>
      </c>
      <c r="B3768" s="336">
        <v>10400</v>
      </c>
      <c r="C3768" s="336">
        <v>10900</v>
      </c>
      <c r="D3768" s="397">
        <f t="shared" si="1085"/>
        <v>10650</v>
      </c>
      <c r="F3768" s="331"/>
      <c r="K3768" s="428"/>
      <c r="L3768" s="428"/>
      <c r="M3768" s="429"/>
    </row>
    <row r="3769" spans="1:13" ht="15" customHeight="1">
      <c r="A3769" s="3">
        <v>44384</v>
      </c>
      <c r="B3769" s="336">
        <v>10300</v>
      </c>
      <c r="C3769" s="336">
        <v>10900</v>
      </c>
      <c r="D3769" s="397">
        <f t="shared" si="1085"/>
        <v>10600</v>
      </c>
      <c r="F3769" s="331"/>
      <c r="K3769" s="428"/>
      <c r="L3769" s="428"/>
      <c r="M3769" s="429"/>
    </row>
    <row r="3770" spans="1:13" ht="15" customHeight="1">
      <c r="A3770" s="3">
        <v>44385</v>
      </c>
      <c r="B3770" s="336">
        <v>10300</v>
      </c>
      <c r="C3770" s="336">
        <v>10900</v>
      </c>
      <c r="D3770" s="397">
        <f t="shared" si="1085"/>
        <v>10600</v>
      </c>
      <c r="F3770" s="331"/>
      <c r="K3770" s="428"/>
      <c r="L3770" s="428"/>
      <c r="M3770" s="429"/>
    </row>
    <row r="3771" spans="1:13" ht="15" customHeight="1">
      <c r="A3771" s="3">
        <v>44386</v>
      </c>
      <c r="B3771" s="336">
        <v>10300</v>
      </c>
      <c r="C3771" s="336">
        <v>10900</v>
      </c>
      <c r="D3771" s="397">
        <f t="shared" si="1085"/>
        <v>10600</v>
      </c>
      <c r="F3771" s="331"/>
      <c r="K3771" s="428"/>
      <c r="L3771" s="428"/>
      <c r="M3771" s="429"/>
    </row>
    <row r="3772" spans="1:13" ht="15" customHeight="1">
      <c r="A3772" s="3">
        <v>44389</v>
      </c>
      <c r="B3772" s="336">
        <v>10300</v>
      </c>
      <c r="C3772" s="336">
        <v>10900</v>
      </c>
      <c r="D3772" s="397">
        <f t="shared" si="1085"/>
        <v>10600</v>
      </c>
      <c r="F3772" s="331"/>
      <c r="K3772" s="428"/>
      <c r="L3772" s="428"/>
      <c r="M3772" s="429"/>
    </row>
    <row r="3773" spans="1:13" ht="15" customHeight="1">
      <c r="A3773" s="3">
        <v>44390</v>
      </c>
      <c r="B3773" s="336">
        <v>10300</v>
      </c>
      <c r="C3773" s="336">
        <v>10900</v>
      </c>
      <c r="D3773" s="397">
        <f t="shared" si="1085"/>
        <v>10600</v>
      </c>
      <c r="F3773" s="331"/>
      <c r="K3773" s="428"/>
      <c r="L3773" s="428"/>
      <c r="M3773" s="429"/>
    </row>
    <row r="3774" spans="1:13" ht="15" customHeight="1">
      <c r="A3774" s="430">
        <v>44391</v>
      </c>
      <c r="B3774" s="336">
        <v>10500</v>
      </c>
      <c r="C3774" s="336">
        <v>10900</v>
      </c>
      <c r="D3774" s="397">
        <f t="shared" si="1085"/>
        <v>10700</v>
      </c>
      <c r="F3774" s="331"/>
      <c r="K3774" s="428"/>
      <c r="L3774" s="428"/>
      <c r="M3774" s="429"/>
    </row>
    <row r="3775" spans="1:13" ht="15" customHeight="1">
      <c r="A3775" s="3">
        <v>44392</v>
      </c>
      <c r="B3775" s="336">
        <v>10500</v>
      </c>
      <c r="C3775" s="336">
        <v>10900</v>
      </c>
      <c r="D3775" s="397">
        <f t="shared" si="1085"/>
        <v>10700</v>
      </c>
      <c r="F3775" s="331"/>
      <c r="K3775" s="428"/>
      <c r="L3775" s="428"/>
      <c r="M3775" s="429"/>
    </row>
    <row r="3776" spans="1:13" ht="15" customHeight="1">
      <c r="A3776" s="3">
        <v>44393</v>
      </c>
      <c r="B3776" s="336">
        <v>10600</v>
      </c>
      <c r="C3776" s="336">
        <v>11000</v>
      </c>
      <c r="D3776" s="397">
        <f t="shared" si="1085"/>
        <v>10800</v>
      </c>
      <c r="F3776" s="331"/>
      <c r="K3776" s="428"/>
      <c r="L3776" s="428"/>
      <c r="M3776" s="429"/>
    </row>
    <row r="3777" spans="1:14" ht="15" customHeight="1">
      <c r="A3777" s="3">
        <v>44396</v>
      </c>
      <c r="B3777" s="336">
        <v>10600</v>
      </c>
      <c r="C3777" s="336">
        <v>11000</v>
      </c>
      <c r="D3777" s="397">
        <f t="shared" si="1085"/>
        <v>10800</v>
      </c>
      <c r="F3777" s="331"/>
      <c r="K3777" s="428"/>
      <c r="L3777" s="428"/>
      <c r="M3777" s="429"/>
    </row>
    <row r="3778" spans="1:14" ht="15" customHeight="1">
      <c r="A3778" s="3">
        <v>44397</v>
      </c>
      <c r="B3778" s="336">
        <v>10600</v>
      </c>
      <c r="C3778" s="336">
        <v>11000</v>
      </c>
      <c r="D3778" s="397">
        <f t="shared" si="1085"/>
        <v>10800</v>
      </c>
      <c r="F3778" s="331"/>
      <c r="K3778" s="428"/>
      <c r="L3778" s="428"/>
      <c r="M3778" s="429"/>
    </row>
    <row r="3779" spans="1:14" ht="15" customHeight="1">
      <c r="A3779" s="3">
        <v>44398</v>
      </c>
      <c r="B3779" s="336">
        <v>10600</v>
      </c>
      <c r="C3779" s="336">
        <v>11000</v>
      </c>
      <c r="D3779" s="397">
        <f t="shared" si="1085"/>
        <v>10800</v>
      </c>
      <c r="K3779" s="428"/>
      <c r="L3779" s="428"/>
      <c r="M3779" s="429"/>
    </row>
    <row r="3780" spans="1:14" ht="15" customHeight="1">
      <c r="A3780" s="3">
        <v>44399</v>
      </c>
      <c r="B3780" s="336">
        <v>10600</v>
      </c>
      <c r="C3780" s="336">
        <v>11000</v>
      </c>
      <c r="D3780" s="397">
        <f t="shared" si="1085"/>
        <v>10800</v>
      </c>
      <c r="K3780" s="428"/>
      <c r="L3780" s="428"/>
      <c r="M3780" s="429"/>
    </row>
    <row r="3781" spans="1:14" ht="15" customHeight="1">
      <c r="A3781" s="3">
        <v>44400</v>
      </c>
      <c r="B3781" s="336">
        <v>10700</v>
      </c>
      <c r="C3781" s="336">
        <v>11000</v>
      </c>
      <c r="D3781" s="397">
        <f t="shared" si="1085"/>
        <v>10850</v>
      </c>
      <c r="K3781" s="428"/>
      <c r="L3781" s="428"/>
      <c r="M3781" s="429"/>
    </row>
    <row r="3782" spans="1:14" ht="15" customHeight="1">
      <c r="A3782" s="3">
        <v>44403</v>
      </c>
      <c r="B3782" s="336">
        <v>10700</v>
      </c>
      <c r="C3782" s="336">
        <v>11000</v>
      </c>
      <c r="D3782" s="397">
        <f t="shared" si="1085"/>
        <v>10850</v>
      </c>
      <c r="K3782" s="428"/>
      <c r="L3782" s="428"/>
      <c r="M3782" s="429"/>
    </row>
    <row r="3783" spans="1:14" ht="15" customHeight="1">
      <c r="A3783" s="3">
        <v>44404</v>
      </c>
      <c r="B3783" s="336">
        <v>10700</v>
      </c>
      <c r="C3783" s="336">
        <v>11000</v>
      </c>
      <c r="D3783" s="397">
        <f t="shared" si="1085"/>
        <v>10850</v>
      </c>
      <c r="K3783" s="428"/>
      <c r="L3783" s="428"/>
      <c r="M3783" s="429"/>
    </row>
    <row r="3784" spans="1:14" ht="15" customHeight="1">
      <c r="A3784" s="3">
        <v>44405</v>
      </c>
      <c r="B3784" s="336">
        <v>10750</v>
      </c>
      <c r="C3784" s="336">
        <v>11200</v>
      </c>
      <c r="D3784" s="397">
        <f t="shared" si="1085"/>
        <v>10975</v>
      </c>
      <c r="K3784" s="428"/>
      <c r="L3784" s="428"/>
      <c r="M3784" s="429"/>
    </row>
    <row r="3785" spans="1:14" ht="15" customHeight="1">
      <c r="A3785" s="3">
        <v>44406</v>
      </c>
      <c r="B3785" s="336">
        <v>10750</v>
      </c>
      <c r="C3785" s="336">
        <v>11200</v>
      </c>
      <c r="D3785" s="397">
        <f t="shared" si="1085"/>
        <v>10975</v>
      </c>
      <c r="K3785" s="428"/>
      <c r="L3785" s="428"/>
      <c r="M3785" s="429"/>
    </row>
    <row r="3786" spans="1:14" ht="15" customHeight="1" thickBot="1">
      <c r="A3786" s="340">
        <v>44407</v>
      </c>
      <c r="B3786" s="341">
        <v>10800</v>
      </c>
      <c r="C3786" s="341">
        <v>11300</v>
      </c>
      <c r="D3786" s="434">
        <f t="shared" si="1085"/>
        <v>11050</v>
      </c>
      <c r="E3786" s="360">
        <f>AVERAGE($D$3765:D3786)</f>
        <v>10752.272727272728</v>
      </c>
      <c r="F3786" s="360">
        <f>AVERAGE($D$3637:D3786)</f>
        <v>10002.568493150686</v>
      </c>
      <c r="K3786" s="428"/>
      <c r="L3786" s="428"/>
      <c r="M3786" s="429"/>
      <c r="N3786" s="429"/>
    </row>
    <row r="3787" spans="1:14" ht="15" customHeight="1">
      <c r="A3787" s="335">
        <v>44410</v>
      </c>
      <c r="B3787" s="336">
        <v>10800</v>
      </c>
      <c r="C3787" s="336">
        <v>11300</v>
      </c>
      <c r="D3787" s="397">
        <f>AVERAGE(B3787:C3787)</f>
        <v>11050</v>
      </c>
      <c r="E3787" s="428"/>
      <c r="F3787" s="428"/>
      <c r="J3787" s="352"/>
      <c r="L3787" s="345"/>
      <c r="M3787" s="345"/>
      <c r="N3787" s="352"/>
    </row>
    <row r="3788" spans="1:14" ht="15" customHeight="1">
      <c r="A3788" s="335">
        <v>44411</v>
      </c>
      <c r="B3788" s="336">
        <v>10800</v>
      </c>
      <c r="C3788" s="336">
        <v>11300</v>
      </c>
      <c r="D3788" s="397">
        <f t="shared" ref="D3788:D3806" si="1086">AVERAGE(B3788:C3788)</f>
        <v>11050</v>
      </c>
      <c r="E3788" s="428"/>
      <c r="F3788" s="428"/>
      <c r="J3788" s="352"/>
      <c r="L3788" s="345"/>
      <c r="M3788" s="345"/>
      <c r="N3788" s="352"/>
    </row>
    <row r="3789" spans="1:14" ht="15" customHeight="1">
      <c r="A3789" s="335">
        <v>44412</v>
      </c>
      <c r="B3789" s="336">
        <v>11500</v>
      </c>
      <c r="C3789" s="336">
        <v>11900</v>
      </c>
      <c r="D3789" s="397">
        <f t="shared" si="1086"/>
        <v>11700</v>
      </c>
      <c r="E3789" s="428"/>
      <c r="F3789" s="428"/>
      <c r="J3789" s="352"/>
      <c r="L3789" s="345"/>
      <c r="M3789" s="345"/>
      <c r="N3789" s="352"/>
    </row>
    <row r="3790" spans="1:14" ht="15" customHeight="1">
      <c r="A3790" s="335">
        <v>44413</v>
      </c>
      <c r="B3790" s="336">
        <v>11500</v>
      </c>
      <c r="C3790" s="336">
        <v>11900</v>
      </c>
      <c r="D3790" s="397">
        <f t="shared" si="1086"/>
        <v>11700</v>
      </c>
      <c r="E3790" s="428"/>
      <c r="F3790" s="428"/>
      <c r="J3790" s="352"/>
      <c r="L3790" s="345"/>
      <c r="M3790" s="345"/>
      <c r="N3790" s="352"/>
    </row>
    <row r="3791" spans="1:14" ht="15" customHeight="1">
      <c r="A3791" s="335">
        <v>44414</v>
      </c>
      <c r="B3791" s="336">
        <v>11700</v>
      </c>
      <c r="C3791" s="336">
        <v>12300</v>
      </c>
      <c r="D3791" s="397">
        <f t="shared" si="1086"/>
        <v>12000</v>
      </c>
      <c r="E3791" s="428"/>
      <c r="F3791" s="428"/>
      <c r="J3791" s="352"/>
      <c r="L3791" s="345"/>
      <c r="M3791" s="345"/>
      <c r="N3791" s="352"/>
    </row>
    <row r="3792" spans="1:14" ht="15" customHeight="1">
      <c r="A3792" s="335">
        <v>44417</v>
      </c>
      <c r="B3792" s="336">
        <v>11700</v>
      </c>
      <c r="C3792" s="336">
        <v>12300</v>
      </c>
      <c r="D3792" s="397">
        <f t="shared" si="1086"/>
        <v>12000</v>
      </c>
      <c r="E3792" s="428"/>
      <c r="F3792" s="428"/>
      <c r="J3792" s="352"/>
      <c r="L3792" s="345"/>
      <c r="M3792" s="345"/>
      <c r="N3792" s="352"/>
    </row>
    <row r="3793" spans="1:14" ht="15" customHeight="1">
      <c r="A3793" s="335">
        <v>44418</v>
      </c>
      <c r="B3793" s="336">
        <v>11700</v>
      </c>
      <c r="C3793" s="336">
        <v>12300</v>
      </c>
      <c r="D3793" s="397">
        <f t="shared" si="1086"/>
        <v>12000</v>
      </c>
      <c r="E3793" s="428"/>
      <c r="F3793" s="428"/>
      <c r="J3793" s="352"/>
      <c r="L3793" s="345"/>
      <c r="M3793" s="345"/>
      <c r="N3793" s="352"/>
    </row>
    <row r="3794" spans="1:14" ht="15" customHeight="1">
      <c r="A3794" s="335">
        <v>44419</v>
      </c>
      <c r="B3794" s="336">
        <v>11900</v>
      </c>
      <c r="C3794" s="336">
        <v>12450</v>
      </c>
      <c r="D3794" s="397">
        <f t="shared" si="1086"/>
        <v>12175</v>
      </c>
      <c r="E3794" s="428"/>
      <c r="F3794" s="428"/>
      <c r="J3794" s="352"/>
      <c r="L3794" s="345"/>
      <c r="M3794" s="345"/>
      <c r="N3794" s="352"/>
    </row>
    <row r="3795" spans="1:14" ht="15" customHeight="1">
      <c r="A3795" s="335">
        <v>44420</v>
      </c>
      <c r="B3795" s="336">
        <v>11900</v>
      </c>
      <c r="C3795" s="336">
        <v>12450</v>
      </c>
      <c r="D3795" s="397">
        <f t="shared" si="1086"/>
        <v>12175</v>
      </c>
      <c r="E3795" s="428"/>
      <c r="F3795" s="428"/>
      <c r="J3795" s="352"/>
      <c r="L3795" s="345"/>
      <c r="M3795" s="345"/>
      <c r="N3795" s="352"/>
    </row>
    <row r="3796" spans="1:14" ht="15" customHeight="1">
      <c r="A3796" s="335">
        <v>44421</v>
      </c>
      <c r="B3796" s="336">
        <v>11700</v>
      </c>
      <c r="C3796" s="336">
        <v>12200</v>
      </c>
      <c r="D3796" s="397">
        <f t="shared" si="1086"/>
        <v>11950</v>
      </c>
      <c r="E3796" s="428"/>
      <c r="F3796" s="428"/>
      <c r="J3796" s="352"/>
      <c r="L3796" s="345"/>
      <c r="M3796" s="345"/>
      <c r="N3796" s="352"/>
    </row>
    <row r="3797" spans="1:14" ht="15" customHeight="1">
      <c r="A3797" s="335">
        <v>44424</v>
      </c>
      <c r="B3797" s="336">
        <v>11700</v>
      </c>
      <c r="C3797" s="336">
        <v>12200</v>
      </c>
      <c r="D3797" s="397">
        <f t="shared" si="1086"/>
        <v>11950</v>
      </c>
      <c r="E3797" s="428"/>
      <c r="F3797" s="428"/>
      <c r="J3797" s="352"/>
      <c r="L3797" s="345"/>
      <c r="M3797" s="345"/>
      <c r="N3797" s="352"/>
    </row>
    <row r="3798" spans="1:14" ht="15" customHeight="1">
      <c r="A3798" s="335">
        <v>44425</v>
      </c>
      <c r="B3798" s="336">
        <v>11700</v>
      </c>
      <c r="C3798" s="336">
        <v>12200</v>
      </c>
      <c r="D3798" s="397">
        <f t="shared" si="1086"/>
        <v>11950</v>
      </c>
      <c r="E3798" s="428"/>
      <c r="F3798" s="428"/>
      <c r="J3798" s="352"/>
      <c r="L3798" s="345"/>
      <c r="M3798" s="345"/>
      <c r="N3798" s="352"/>
    </row>
    <row r="3799" spans="1:14" ht="15" customHeight="1">
      <c r="A3799" s="335">
        <v>44426</v>
      </c>
      <c r="B3799" s="336">
        <v>11750</v>
      </c>
      <c r="C3799" s="336">
        <v>12200</v>
      </c>
      <c r="D3799" s="397">
        <f t="shared" si="1086"/>
        <v>11975</v>
      </c>
      <c r="E3799" s="428"/>
      <c r="F3799" s="428"/>
      <c r="J3799" s="352"/>
      <c r="L3799" s="345"/>
      <c r="M3799" s="345"/>
      <c r="N3799" s="352"/>
    </row>
    <row r="3800" spans="1:14" ht="15" customHeight="1">
      <c r="A3800" s="335">
        <v>44427</v>
      </c>
      <c r="B3800" s="336">
        <v>11750</v>
      </c>
      <c r="C3800" s="336">
        <v>12200</v>
      </c>
      <c r="D3800" s="397">
        <f t="shared" si="1086"/>
        <v>11975</v>
      </c>
      <c r="E3800" s="428"/>
      <c r="F3800" s="428"/>
      <c r="J3800" s="352"/>
      <c r="L3800" s="345"/>
      <c r="M3800" s="345"/>
      <c r="N3800" s="352"/>
    </row>
    <row r="3801" spans="1:14" ht="15" customHeight="1">
      <c r="A3801" s="335">
        <v>44428</v>
      </c>
      <c r="B3801" s="336">
        <v>11750</v>
      </c>
      <c r="C3801" s="336">
        <v>12200</v>
      </c>
      <c r="D3801" s="397">
        <f t="shared" si="1086"/>
        <v>11975</v>
      </c>
      <c r="E3801" s="428"/>
      <c r="F3801" s="428"/>
      <c r="J3801" s="352"/>
      <c r="L3801" s="345"/>
      <c r="M3801" s="345"/>
      <c r="N3801" s="352"/>
    </row>
    <row r="3802" spans="1:14" ht="15" customHeight="1">
      <c r="A3802" s="335">
        <v>44431</v>
      </c>
      <c r="B3802" s="336">
        <v>11750</v>
      </c>
      <c r="C3802" s="336">
        <v>12200</v>
      </c>
      <c r="D3802" s="397">
        <f t="shared" si="1086"/>
        <v>11975</v>
      </c>
      <c r="E3802" s="428"/>
      <c r="F3802" s="428"/>
      <c r="J3802" s="352"/>
      <c r="L3802" s="345"/>
      <c r="M3802" s="345"/>
      <c r="N3802" s="352"/>
    </row>
    <row r="3803" spans="1:14" ht="15" customHeight="1">
      <c r="A3803" s="335">
        <v>44432</v>
      </c>
      <c r="B3803" s="336">
        <v>11750</v>
      </c>
      <c r="C3803" s="336">
        <v>12200</v>
      </c>
      <c r="D3803" s="397">
        <f t="shared" si="1086"/>
        <v>11975</v>
      </c>
      <c r="E3803" s="428"/>
      <c r="F3803" s="428"/>
      <c r="J3803" s="336"/>
      <c r="L3803" s="345"/>
      <c r="M3803" s="345"/>
      <c r="N3803" s="352"/>
    </row>
    <row r="3804" spans="1:14" ht="15" customHeight="1">
      <c r="A3804" s="335">
        <v>44433</v>
      </c>
      <c r="B3804" s="336">
        <v>11750</v>
      </c>
      <c r="C3804" s="336">
        <v>12300</v>
      </c>
      <c r="D3804" s="397">
        <f t="shared" si="1086"/>
        <v>12025</v>
      </c>
      <c r="E3804" s="428"/>
      <c r="F3804" s="428"/>
      <c r="J3804" s="352"/>
      <c r="L3804" s="345"/>
      <c r="M3804" s="345"/>
      <c r="N3804" s="352"/>
    </row>
    <row r="3805" spans="1:14" ht="15" customHeight="1">
      <c r="A3805" s="335">
        <v>44434</v>
      </c>
      <c r="B3805" s="336">
        <v>11750</v>
      </c>
      <c r="C3805" s="336">
        <v>12300</v>
      </c>
      <c r="D3805" s="397">
        <f t="shared" si="1086"/>
        <v>12025</v>
      </c>
      <c r="E3805" s="428"/>
      <c r="F3805" s="428"/>
      <c r="J3805" s="352"/>
      <c r="L3805" s="345"/>
      <c r="M3805" s="345"/>
      <c r="N3805" s="352"/>
    </row>
    <row r="3806" spans="1:14" ht="15" customHeight="1">
      <c r="A3806" s="335">
        <v>44435</v>
      </c>
      <c r="B3806" s="336">
        <v>11750</v>
      </c>
      <c r="C3806" s="336">
        <v>12300</v>
      </c>
      <c r="D3806" s="397">
        <f t="shared" si="1086"/>
        <v>12025</v>
      </c>
      <c r="E3806" s="428"/>
      <c r="F3806" s="428"/>
      <c r="J3806" s="352"/>
      <c r="L3806" s="345"/>
      <c r="M3806" s="345"/>
      <c r="N3806" s="352"/>
    </row>
    <row r="3807" spans="1:14" ht="15" customHeight="1">
      <c r="A3807" s="335">
        <v>44438</v>
      </c>
      <c r="B3807" s="1416" t="s">
        <v>61</v>
      </c>
      <c r="C3807" s="1337"/>
      <c r="E3807" s="428"/>
      <c r="F3807" s="428"/>
      <c r="J3807" s="352"/>
      <c r="N3807" s="352"/>
    </row>
    <row r="3808" spans="1:14" ht="15" customHeight="1" thickBot="1">
      <c r="A3808" s="340">
        <v>44439</v>
      </c>
      <c r="B3808" s="341">
        <v>11750</v>
      </c>
      <c r="C3808" s="341">
        <v>12300</v>
      </c>
      <c r="D3808" s="434">
        <f t="shared" ref="D3808:D3853" si="1087">AVERAGE(B3808:C3808)</f>
        <v>12025</v>
      </c>
      <c r="E3808" s="360">
        <f>AVERAGE($D$3787:D3808)</f>
        <v>11889.285714285714</v>
      </c>
      <c r="F3808" s="360">
        <f>AVERAGE($D$3637:D3808)</f>
        <v>10239.820359281437</v>
      </c>
      <c r="J3808" s="352"/>
      <c r="L3808" s="345"/>
      <c r="M3808" s="345"/>
      <c r="N3808" s="352"/>
    </row>
    <row r="3809" spans="1:14" ht="15" customHeight="1">
      <c r="A3809" s="335">
        <v>44440</v>
      </c>
      <c r="B3809" s="336">
        <v>11700</v>
      </c>
      <c r="C3809" s="336">
        <v>12100</v>
      </c>
      <c r="D3809" s="413">
        <f t="shared" si="1087"/>
        <v>11900</v>
      </c>
      <c r="E3809" s="331"/>
      <c r="F3809" s="331"/>
      <c r="J3809" s="352"/>
      <c r="L3809" s="352"/>
      <c r="N3809" s="352"/>
    </row>
    <row r="3810" spans="1:14" ht="15" customHeight="1">
      <c r="A3810" s="335">
        <v>44441</v>
      </c>
      <c r="B3810" s="336">
        <v>11700</v>
      </c>
      <c r="C3810" s="336">
        <v>12100</v>
      </c>
      <c r="D3810" s="435">
        <f t="shared" si="1087"/>
        <v>11900</v>
      </c>
      <c r="E3810" s="331"/>
      <c r="F3810" s="331"/>
    </row>
    <row r="3811" spans="1:14" ht="15" customHeight="1">
      <c r="A3811" s="335">
        <v>44442</v>
      </c>
      <c r="B3811" s="336">
        <v>11700</v>
      </c>
      <c r="C3811" s="336">
        <v>12100</v>
      </c>
      <c r="D3811" s="435">
        <f t="shared" si="1087"/>
        <v>11900</v>
      </c>
      <c r="E3811" s="331"/>
      <c r="F3811" s="331"/>
    </row>
    <row r="3812" spans="1:14" ht="15" customHeight="1">
      <c r="A3812" s="335">
        <v>44445</v>
      </c>
      <c r="B3812" s="336">
        <v>11700</v>
      </c>
      <c r="C3812" s="336">
        <v>12100</v>
      </c>
      <c r="D3812" s="435">
        <f t="shared" si="1087"/>
        <v>11900</v>
      </c>
      <c r="E3812" s="331"/>
      <c r="F3812" s="331"/>
    </row>
    <row r="3813" spans="1:14" ht="15" customHeight="1">
      <c r="A3813" s="335">
        <v>44446</v>
      </c>
      <c r="B3813" s="336">
        <v>11700</v>
      </c>
      <c r="C3813" s="336">
        <v>12100</v>
      </c>
      <c r="D3813" s="435">
        <f t="shared" si="1087"/>
        <v>11900</v>
      </c>
      <c r="E3813" s="331"/>
      <c r="F3813" s="331"/>
    </row>
    <row r="3814" spans="1:14" ht="15" customHeight="1">
      <c r="A3814" s="335">
        <v>44447</v>
      </c>
      <c r="B3814" s="336">
        <v>11800</v>
      </c>
      <c r="C3814" s="336">
        <v>12400</v>
      </c>
      <c r="D3814" s="435">
        <f t="shared" si="1087"/>
        <v>12100</v>
      </c>
      <c r="E3814" s="331"/>
      <c r="F3814" s="331"/>
    </row>
    <row r="3815" spans="1:14" ht="15" customHeight="1">
      <c r="A3815" s="335">
        <v>44448</v>
      </c>
      <c r="B3815" s="336">
        <v>11800</v>
      </c>
      <c r="C3815" s="336">
        <v>12400</v>
      </c>
      <c r="D3815" s="435">
        <f t="shared" si="1087"/>
        <v>12100</v>
      </c>
      <c r="E3815" s="331"/>
      <c r="F3815" s="331"/>
    </row>
    <row r="3816" spans="1:14" ht="15" customHeight="1">
      <c r="A3816" s="335">
        <v>44449</v>
      </c>
      <c r="B3816" s="336">
        <v>12000</v>
      </c>
      <c r="C3816" s="336">
        <v>12900</v>
      </c>
      <c r="D3816" s="435">
        <f t="shared" si="1087"/>
        <v>12450</v>
      </c>
      <c r="E3816" s="331"/>
      <c r="F3816" s="331"/>
    </row>
    <row r="3817" spans="1:14" ht="15" customHeight="1">
      <c r="A3817" s="335">
        <v>44452</v>
      </c>
      <c r="B3817" s="336">
        <v>12000</v>
      </c>
      <c r="C3817" s="336">
        <v>12900</v>
      </c>
      <c r="D3817" s="435">
        <f t="shared" si="1087"/>
        <v>12450</v>
      </c>
      <c r="E3817" s="331"/>
      <c r="F3817" s="331"/>
    </row>
    <row r="3818" spans="1:14" ht="15" customHeight="1">
      <c r="A3818" s="335">
        <v>44453</v>
      </c>
      <c r="B3818" s="336">
        <v>12000</v>
      </c>
      <c r="C3818" s="336">
        <v>12900</v>
      </c>
      <c r="D3818" s="435">
        <f t="shared" si="1087"/>
        <v>12450</v>
      </c>
      <c r="E3818" s="331"/>
      <c r="F3818" s="331"/>
    </row>
    <row r="3819" spans="1:14" ht="15" customHeight="1">
      <c r="A3819" s="335">
        <v>44454</v>
      </c>
      <c r="B3819" s="336">
        <v>12500</v>
      </c>
      <c r="C3819" s="336">
        <v>13000</v>
      </c>
      <c r="D3819" s="435">
        <f t="shared" si="1087"/>
        <v>12750</v>
      </c>
      <c r="E3819" s="331"/>
      <c r="F3819" s="331"/>
    </row>
    <row r="3820" spans="1:14" ht="15" customHeight="1">
      <c r="A3820" s="335">
        <v>44455</v>
      </c>
      <c r="B3820" s="336">
        <v>12500</v>
      </c>
      <c r="C3820" s="336">
        <v>13000</v>
      </c>
      <c r="D3820" s="435">
        <f t="shared" si="1087"/>
        <v>12750</v>
      </c>
      <c r="E3820" s="331"/>
      <c r="F3820" s="331"/>
    </row>
    <row r="3821" spans="1:14" ht="15" customHeight="1">
      <c r="A3821" s="335">
        <v>44456</v>
      </c>
      <c r="B3821" s="336">
        <v>12500</v>
      </c>
      <c r="C3821" s="336">
        <v>13100</v>
      </c>
      <c r="D3821" s="435">
        <f t="shared" si="1087"/>
        <v>12800</v>
      </c>
      <c r="E3821" s="331"/>
      <c r="F3821" s="331"/>
    </row>
    <row r="3822" spans="1:14" ht="15" customHeight="1">
      <c r="A3822" s="335">
        <v>44459</v>
      </c>
      <c r="B3822" s="336">
        <v>12500</v>
      </c>
      <c r="C3822" s="336">
        <v>13100</v>
      </c>
      <c r="D3822" s="435">
        <f t="shared" si="1087"/>
        <v>12800</v>
      </c>
      <c r="E3822" s="331"/>
      <c r="F3822" s="331"/>
    </row>
    <row r="3823" spans="1:14" ht="15" customHeight="1">
      <c r="A3823" s="335">
        <v>44460</v>
      </c>
      <c r="B3823" s="336">
        <v>12500</v>
      </c>
      <c r="C3823" s="336">
        <v>13100</v>
      </c>
      <c r="D3823" s="435">
        <f t="shared" si="1087"/>
        <v>12800</v>
      </c>
      <c r="E3823" s="331"/>
      <c r="F3823" s="331"/>
    </row>
    <row r="3824" spans="1:14" ht="15" customHeight="1">
      <c r="A3824" s="335">
        <v>44461</v>
      </c>
      <c r="B3824" s="336">
        <v>12700</v>
      </c>
      <c r="C3824" s="336">
        <v>13150</v>
      </c>
      <c r="D3824" s="435">
        <f t="shared" si="1087"/>
        <v>12925</v>
      </c>
      <c r="E3824" s="331"/>
      <c r="F3824" s="331"/>
    </row>
    <row r="3825" spans="1:15" ht="15" customHeight="1">
      <c r="A3825" s="335">
        <v>44462</v>
      </c>
      <c r="B3825" s="336">
        <v>12700</v>
      </c>
      <c r="C3825" s="336">
        <v>13150</v>
      </c>
      <c r="D3825" s="435">
        <f t="shared" si="1087"/>
        <v>12925</v>
      </c>
      <c r="E3825" s="331"/>
      <c r="F3825" s="331"/>
    </row>
    <row r="3826" spans="1:15" ht="15" customHeight="1">
      <c r="A3826" s="335">
        <v>44463</v>
      </c>
      <c r="B3826" s="336">
        <v>12700</v>
      </c>
      <c r="C3826" s="336">
        <v>13150</v>
      </c>
      <c r="D3826" s="435">
        <f t="shared" si="1087"/>
        <v>12925</v>
      </c>
      <c r="E3826" s="331"/>
      <c r="F3826" s="331"/>
    </row>
    <row r="3827" spans="1:15" ht="15" customHeight="1">
      <c r="A3827" s="335">
        <v>44466</v>
      </c>
      <c r="B3827" s="336">
        <v>12700</v>
      </c>
      <c r="C3827" s="336">
        <v>13150</v>
      </c>
      <c r="D3827" s="435">
        <f t="shared" si="1087"/>
        <v>12925</v>
      </c>
      <c r="E3827" s="331"/>
      <c r="F3827" s="331"/>
    </row>
    <row r="3828" spans="1:15" ht="15" customHeight="1">
      <c r="A3828" s="335">
        <v>44467</v>
      </c>
      <c r="B3828" s="336">
        <v>12700</v>
      </c>
      <c r="C3828" s="336">
        <v>13150</v>
      </c>
      <c r="D3828" s="435">
        <f t="shared" si="1087"/>
        <v>12925</v>
      </c>
      <c r="E3828" s="331"/>
      <c r="F3828" s="331"/>
    </row>
    <row r="3829" spans="1:15" ht="15" customHeight="1">
      <c r="A3829" s="335">
        <v>44468</v>
      </c>
      <c r="B3829" s="336">
        <v>12700</v>
      </c>
      <c r="C3829" s="336">
        <v>13250</v>
      </c>
      <c r="D3829" s="435">
        <f t="shared" si="1087"/>
        <v>12975</v>
      </c>
      <c r="E3829" s="331"/>
      <c r="F3829" s="331"/>
    </row>
    <row r="3830" spans="1:15" ht="15" customHeight="1" thickBot="1">
      <c r="A3830" s="340">
        <v>44469</v>
      </c>
      <c r="B3830" s="341">
        <v>12700</v>
      </c>
      <c r="C3830" s="341">
        <v>13250</v>
      </c>
      <c r="D3830" s="434">
        <f t="shared" si="1087"/>
        <v>12975</v>
      </c>
      <c r="E3830" s="360">
        <f>AVERAGE($D$3809:D3830)</f>
        <v>12523.863636363636</v>
      </c>
      <c r="F3830" s="360">
        <f>AVERAGE($D$3637:D3830)</f>
        <v>10505.687830687832</v>
      </c>
    </row>
    <row r="3831" spans="1:15" ht="15" customHeight="1">
      <c r="A3831" s="3">
        <v>44470</v>
      </c>
      <c r="B3831" s="336">
        <v>12900</v>
      </c>
      <c r="C3831" s="336">
        <v>13300</v>
      </c>
      <c r="D3831" s="435">
        <f t="shared" si="1087"/>
        <v>13100</v>
      </c>
      <c r="E3831" s="331"/>
      <c r="F3831" s="331"/>
    </row>
    <row r="3832" spans="1:15" ht="15" customHeight="1">
      <c r="A3832" s="3">
        <v>44473</v>
      </c>
      <c r="B3832" s="336">
        <v>12900</v>
      </c>
      <c r="C3832" s="336">
        <v>13300</v>
      </c>
      <c r="D3832" s="435">
        <f t="shared" si="1087"/>
        <v>13100</v>
      </c>
      <c r="E3832" s="331"/>
      <c r="F3832" s="331"/>
    </row>
    <row r="3833" spans="1:15" ht="15" customHeight="1">
      <c r="A3833" s="3">
        <v>44474</v>
      </c>
      <c r="B3833" s="336">
        <v>12900</v>
      </c>
      <c r="C3833" s="336">
        <v>13300</v>
      </c>
      <c r="D3833" s="435">
        <f t="shared" si="1087"/>
        <v>13100</v>
      </c>
      <c r="E3833" s="331"/>
      <c r="F3833" s="331"/>
    </row>
    <row r="3834" spans="1:15" ht="15" customHeight="1">
      <c r="A3834" s="3">
        <v>44475</v>
      </c>
      <c r="B3834" s="336">
        <v>13200</v>
      </c>
      <c r="C3834" s="336">
        <v>13500</v>
      </c>
      <c r="D3834" s="435">
        <f t="shared" si="1087"/>
        <v>13350</v>
      </c>
      <c r="E3834" s="331"/>
      <c r="F3834" s="331"/>
    </row>
    <row r="3835" spans="1:15" ht="15" customHeight="1">
      <c r="A3835" s="3">
        <v>44476</v>
      </c>
      <c r="B3835" s="336">
        <v>13200</v>
      </c>
      <c r="C3835" s="336">
        <v>13500</v>
      </c>
      <c r="D3835" s="435">
        <f t="shared" si="1087"/>
        <v>13350</v>
      </c>
      <c r="E3835" s="331"/>
      <c r="F3835" s="331"/>
    </row>
    <row r="3836" spans="1:15" ht="15" customHeight="1">
      <c r="A3836" s="3">
        <v>44477</v>
      </c>
      <c r="B3836" s="336">
        <v>13200</v>
      </c>
      <c r="C3836" s="336">
        <v>13500</v>
      </c>
      <c r="D3836" s="435">
        <f t="shared" si="1087"/>
        <v>13350</v>
      </c>
      <c r="E3836" s="331"/>
      <c r="F3836" s="331"/>
    </row>
    <row r="3837" spans="1:15" ht="15" customHeight="1">
      <c r="A3837" s="3">
        <v>44480</v>
      </c>
      <c r="B3837" s="336">
        <v>13200</v>
      </c>
      <c r="C3837" s="336">
        <v>13500</v>
      </c>
      <c r="D3837" s="435">
        <f t="shared" si="1087"/>
        <v>13350</v>
      </c>
      <c r="E3837" s="331"/>
      <c r="F3837" s="331"/>
    </row>
    <row r="3838" spans="1:15" ht="15" customHeight="1">
      <c r="A3838" s="3">
        <v>44481</v>
      </c>
      <c r="B3838" s="336">
        <v>13200</v>
      </c>
      <c r="C3838" s="336">
        <v>13500</v>
      </c>
      <c r="D3838" s="435">
        <f t="shared" si="1087"/>
        <v>13350</v>
      </c>
      <c r="E3838" s="331"/>
      <c r="F3838" s="331"/>
      <c r="N3838" s="336"/>
      <c r="O3838" s="336"/>
    </row>
    <row r="3839" spans="1:15" ht="15" customHeight="1">
      <c r="A3839" s="3">
        <v>44482</v>
      </c>
      <c r="B3839" s="336">
        <v>13200</v>
      </c>
      <c r="C3839" s="336">
        <v>13500</v>
      </c>
      <c r="D3839" s="435">
        <f t="shared" si="1087"/>
        <v>13350</v>
      </c>
      <c r="E3839" s="331"/>
      <c r="F3839" s="331"/>
      <c r="N3839" s="336"/>
      <c r="O3839" s="336"/>
    </row>
    <row r="3840" spans="1:15" ht="15" customHeight="1">
      <c r="A3840" s="3">
        <v>44483</v>
      </c>
      <c r="B3840" s="336">
        <v>13200</v>
      </c>
      <c r="C3840" s="336">
        <v>13500</v>
      </c>
      <c r="D3840" s="435">
        <f t="shared" si="1087"/>
        <v>13350</v>
      </c>
      <c r="E3840" s="331"/>
      <c r="F3840" s="331"/>
      <c r="N3840" s="336"/>
      <c r="O3840" s="336"/>
    </row>
    <row r="3841" spans="1:15" ht="15" customHeight="1">
      <c r="A3841" s="3">
        <v>44484</v>
      </c>
      <c r="B3841" s="336">
        <v>13200</v>
      </c>
      <c r="C3841" s="336">
        <v>13500</v>
      </c>
      <c r="D3841" s="435">
        <f t="shared" si="1087"/>
        <v>13350</v>
      </c>
      <c r="E3841" s="331"/>
      <c r="F3841" s="331"/>
      <c r="N3841" s="336"/>
      <c r="O3841" s="336"/>
    </row>
    <row r="3842" spans="1:15" ht="15" customHeight="1">
      <c r="A3842" s="3">
        <v>44487</v>
      </c>
      <c r="B3842" s="336">
        <v>13200</v>
      </c>
      <c r="C3842" s="336">
        <v>13500</v>
      </c>
      <c r="D3842" s="435">
        <f t="shared" si="1087"/>
        <v>13350</v>
      </c>
      <c r="E3842" s="331"/>
      <c r="F3842" s="331"/>
      <c r="N3842" s="336"/>
      <c r="O3842" s="336"/>
    </row>
    <row r="3843" spans="1:15" ht="15" customHeight="1">
      <c r="A3843" s="3">
        <v>44488</v>
      </c>
      <c r="B3843" s="336">
        <v>13200</v>
      </c>
      <c r="C3843" s="336">
        <v>13500</v>
      </c>
      <c r="D3843" s="435">
        <f t="shared" si="1087"/>
        <v>13350</v>
      </c>
      <c r="E3843" s="331"/>
      <c r="F3843" s="331"/>
      <c r="N3843" s="336"/>
      <c r="O3843" s="336"/>
    </row>
    <row r="3844" spans="1:15" ht="15" customHeight="1">
      <c r="A3844" s="3">
        <v>44489</v>
      </c>
      <c r="B3844" s="336">
        <v>13200</v>
      </c>
      <c r="C3844" s="336">
        <v>13500</v>
      </c>
      <c r="D3844" s="435">
        <f t="shared" si="1087"/>
        <v>13350</v>
      </c>
      <c r="E3844" s="331"/>
      <c r="F3844" s="331"/>
      <c r="N3844" s="336"/>
      <c r="O3844" s="336"/>
    </row>
    <row r="3845" spans="1:15" ht="15" customHeight="1">
      <c r="A3845" s="3">
        <v>44490</v>
      </c>
      <c r="B3845" s="336">
        <v>13200</v>
      </c>
      <c r="C3845" s="336">
        <v>13500</v>
      </c>
      <c r="D3845" s="435">
        <f t="shared" si="1087"/>
        <v>13350</v>
      </c>
      <c r="E3845" s="331"/>
      <c r="F3845" s="331"/>
      <c r="N3845" s="336"/>
      <c r="O3845" s="336"/>
    </row>
    <row r="3846" spans="1:15" ht="15" customHeight="1">
      <c r="A3846" s="3">
        <v>44491</v>
      </c>
      <c r="B3846" s="336">
        <v>12900</v>
      </c>
      <c r="C3846" s="336">
        <v>13500</v>
      </c>
      <c r="D3846" s="435">
        <f t="shared" si="1087"/>
        <v>13200</v>
      </c>
      <c r="E3846" s="331"/>
      <c r="F3846" s="331"/>
      <c r="N3846" s="336"/>
      <c r="O3846" s="336"/>
    </row>
    <row r="3847" spans="1:15" ht="15" customHeight="1">
      <c r="A3847" s="3">
        <v>44494</v>
      </c>
      <c r="B3847" s="336">
        <v>12900</v>
      </c>
      <c r="C3847" s="336">
        <v>13500</v>
      </c>
      <c r="D3847" s="435">
        <f t="shared" si="1087"/>
        <v>13200</v>
      </c>
      <c r="E3847" s="331"/>
      <c r="F3847" s="331"/>
      <c r="N3847" s="336"/>
      <c r="O3847" s="336"/>
    </row>
    <row r="3848" spans="1:15" ht="15" customHeight="1">
      <c r="A3848" s="3">
        <v>44495</v>
      </c>
      <c r="B3848" s="336">
        <v>12900</v>
      </c>
      <c r="C3848" s="336">
        <v>13500</v>
      </c>
      <c r="D3848" s="435">
        <f t="shared" si="1087"/>
        <v>13200</v>
      </c>
      <c r="E3848" s="331"/>
      <c r="F3848" s="331"/>
    </row>
    <row r="3849" spans="1:15" ht="15" customHeight="1">
      <c r="A3849" s="3">
        <v>44496</v>
      </c>
      <c r="B3849" s="336">
        <v>12800</v>
      </c>
      <c r="C3849" s="336">
        <v>13600</v>
      </c>
      <c r="D3849" s="435">
        <f t="shared" si="1087"/>
        <v>13200</v>
      </c>
      <c r="E3849" s="331"/>
      <c r="F3849" s="331"/>
    </row>
    <row r="3850" spans="1:15" ht="15" customHeight="1">
      <c r="A3850" s="3">
        <v>44497</v>
      </c>
      <c r="B3850" s="336">
        <v>12800</v>
      </c>
      <c r="C3850" s="336">
        <v>13600</v>
      </c>
      <c r="D3850" s="435">
        <f t="shared" si="1087"/>
        <v>13200</v>
      </c>
      <c r="E3850" s="331"/>
      <c r="F3850" s="331"/>
    </row>
    <row r="3851" spans="1:15" ht="15" customHeight="1" thickBot="1">
      <c r="A3851" s="11">
        <v>44498</v>
      </c>
      <c r="B3851" s="341">
        <v>12800</v>
      </c>
      <c r="C3851" s="341">
        <v>13600</v>
      </c>
      <c r="D3851" s="434">
        <f t="shared" si="1087"/>
        <v>13200</v>
      </c>
      <c r="E3851" s="360">
        <f>AVERAGE($D$3831:D3851)</f>
        <v>13271.428571428571</v>
      </c>
      <c r="F3851" s="360">
        <f>AVERAGE($D$3637:D3851)</f>
        <v>10782.261904761905</v>
      </c>
    </row>
    <row r="3852" spans="1:15" ht="15" customHeight="1">
      <c r="A3852" s="3">
        <v>44501</v>
      </c>
      <c r="B3852" s="363">
        <v>12800</v>
      </c>
      <c r="C3852" s="363">
        <v>13600</v>
      </c>
      <c r="D3852" s="435">
        <f t="shared" si="1087"/>
        <v>13200</v>
      </c>
    </row>
    <row r="3853" spans="1:15" ht="15" customHeight="1">
      <c r="A3853" s="3">
        <v>44502</v>
      </c>
      <c r="B3853" s="345">
        <v>12800</v>
      </c>
      <c r="C3853" s="345">
        <v>13600</v>
      </c>
      <c r="D3853" s="353">
        <f t="shared" si="1087"/>
        <v>13200</v>
      </c>
    </row>
    <row r="3854" spans="1:15" ht="15" customHeight="1">
      <c r="A3854" s="3">
        <v>44503</v>
      </c>
      <c r="B3854" s="353">
        <v>12800</v>
      </c>
      <c r="C3854" s="353">
        <v>13600</v>
      </c>
      <c r="D3854" s="353">
        <f>AVERAGE(B3854:C3854)</f>
        <v>13200</v>
      </c>
    </row>
    <row r="3855" spans="1:15" ht="15" customHeight="1">
      <c r="A3855" s="3">
        <v>44504</v>
      </c>
      <c r="B3855" s="353">
        <v>12800</v>
      </c>
      <c r="C3855" s="353">
        <v>13600</v>
      </c>
      <c r="D3855" s="353">
        <f t="shared" ref="D3855:D3863" si="1088">AVERAGE(B3855:C3855)</f>
        <v>13200</v>
      </c>
    </row>
    <row r="3856" spans="1:15" ht="15" customHeight="1">
      <c r="A3856" s="3">
        <v>44505</v>
      </c>
      <c r="B3856" s="353">
        <v>12800</v>
      </c>
      <c r="C3856" s="353">
        <v>13600</v>
      </c>
      <c r="D3856" s="353">
        <f t="shared" si="1088"/>
        <v>13200</v>
      </c>
    </row>
    <row r="3857" spans="1:4" ht="15" customHeight="1">
      <c r="A3857" s="3">
        <v>44508</v>
      </c>
      <c r="B3857" s="353">
        <v>12800</v>
      </c>
      <c r="C3857" s="353">
        <v>13600</v>
      </c>
      <c r="D3857" s="353">
        <f t="shared" si="1088"/>
        <v>13200</v>
      </c>
    </row>
    <row r="3858" spans="1:4" ht="15" customHeight="1">
      <c r="A3858" s="3">
        <v>44509</v>
      </c>
      <c r="B3858" s="353">
        <v>12800</v>
      </c>
      <c r="C3858" s="353">
        <v>13600</v>
      </c>
      <c r="D3858" s="353">
        <f t="shared" si="1088"/>
        <v>13200</v>
      </c>
    </row>
    <row r="3859" spans="1:4" ht="15" customHeight="1">
      <c r="A3859" s="3">
        <v>44510</v>
      </c>
      <c r="B3859" s="353">
        <v>12800</v>
      </c>
      <c r="C3859" s="353">
        <v>13600</v>
      </c>
      <c r="D3859" s="353">
        <f t="shared" si="1088"/>
        <v>13200</v>
      </c>
    </row>
    <row r="3860" spans="1:4" ht="15" customHeight="1">
      <c r="A3860" s="3">
        <v>44511</v>
      </c>
      <c r="B3860" s="353">
        <v>12800</v>
      </c>
      <c r="C3860" s="353">
        <v>13600</v>
      </c>
      <c r="D3860" s="353">
        <f t="shared" si="1088"/>
        <v>13200</v>
      </c>
    </row>
    <row r="3861" spans="1:4" ht="15" customHeight="1">
      <c r="A3861" s="3">
        <v>44512</v>
      </c>
      <c r="B3861" s="353">
        <v>12800</v>
      </c>
      <c r="C3861" s="353">
        <v>13600</v>
      </c>
      <c r="D3861" s="353">
        <f t="shared" si="1088"/>
        <v>13200</v>
      </c>
    </row>
    <row r="3862" spans="1:4" ht="15" customHeight="1">
      <c r="A3862" s="3">
        <v>44515</v>
      </c>
      <c r="B3862" s="353">
        <v>12800</v>
      </c>
      <c r="C3862" s="353">
        <v>13600</v>
      </c>
      <c r="D3862" s="353">
        <f t="shared" si="1088"/>
        <v>13200</v>
      </c>
    </row>
    <row r="3863" spans="1:4" ht="15" customHeight="1">
      <c r="A3863" s="3">
        <v>44516</v>
      </c>
      <c r="B3863" s="353">
        <v>12800</v>
      </c>
      <c r="C3863" s="353">
        <v>13600</v>
      </c>
      <c r="D3863" s="353">
        <f t="shared" si="1088"/>
        <v>13200</v>
      </c>
    </row>
    <row r="3864" spans="1:4" ht="15" customHeight="1">
      <c r="A3864" s="3">
        <v>44517</v>
      </c>
      <c r="B3864" s="353">
        <v>12700</v>
      </c>
      <c r="C3864" s="353">
        <v>13500</v>
      </c>
      <c r="D3864" s="353">
        <f>AVERAGE(B3864:C3864)</f>
        <v>13100</v>
      </c>
    </row>
    <row r="3865" spans="1:4" ht="15" customHeight="1">
      <c r="A3865" s="3">
        <v>44518</v>
      </c>
      <c r="B3865" s="353">
        <v>12700</v>
      </c>
      <c r="C3865" s="353">
        <v>13500</v>
      </c>
      <c r="D3865" s="353">
        <f t="shared" ref="D3865:D3875" si="1089">AVERAGE(B3865:C3865)</f>
        <v>13100</v>
      </c>
    </row>
    <row r="3866" spans="1:4" ht="15" customHeight="1">
      <c r="A3866" s="3">
        <v>44519</v>
      </c>
      <c r="B3866" s="353">
        <v>12700</v>
      </c>
      <c r="C3866" s="353">
        <v>13500</v>
      </c>
      <c r="D3866" s="353">
        <f t="shared" si="1089"/>
        <v>13100</v>
      </c>
    </row>
    <row r="3867" spans="1:4" ht="15" customHeight="1">
      <c r="A3867" s="3">
        <v>44522</v>
      </c>
      <c r="B3867" s="353">
        <v>12700</v>
      </c>
      <c r="C3867" s="353">
        <v>13500</v>
      </c>
      <c r="D3867" s="353">
        <f t="shared" si="1089"/>
        <v>13100</v>
      </c>
    </row>
    <row r="3868" spans="1:4" ht="15" customHeight="1">
      <c r="A3868" s="3">
        <v>44523</v>
      </c>
      <c r="B3868" s="353">
        <v>12700</v>
      </c>
      <c r="C3868" s="353">
        <v>13500</v>
      </c>
      <c r="D3868" s="353">
        <f t="shared" si="1089"/>
        <v>13100</v>
      </c>
    </row>
    <row r="3869" spans="1:4" ht="15" customHeight="1">
      <c r="A3869" s="3">
        <v>44524</v>
      </c>
      <c r="B3869" s="353">
        <v>12700</v>
      </c>
      <c r="C3869" s="353">
        <v>13500</v>
      </c>
      <c r="D3869" s="353">
        <f t="shared" si="1089"/>
        <v>13100</v>
      </c>
    </row>
    <row r="3870" spans="1:4" ht="15" customHeight="1">
      <c r="A3870" s="3">
        <v>44525</v>
      </c>
      <c r="B3870" s="353">
        <v>12700</v>
      </c>
      <c r="C3870" s="353">
        <v>13500</v>
      </c>
      <c r="D3870" s="353">
        <f t="shared" si="1089"/>
        <v>13100</v>
      </c>
    </row>
    <row r="3871" spans="1:4" ht="15" customHeight="1">
      <c r="A3871" s="3">
        <v>44526</v>
      </c>
      <c r="B3871" s="353">
        <v>12700</v>
      </c>
      <c r="C3871" s="353">
        <v>13500</v>
      </c>
      <c r="D3871" s="353">
        <f t="shared" si="1089"/>
        <v>13100</v>
      </c>
    </row>
    <row r="3872" spans="1:4" ht="15" customHeight="1">
      <c r="A3872" s="3">
        <v>44529</v>
      </c>
      <c r="B3872" s="353">
        <v>12700</v>
      </c>
      <c r="C3872" s="353">
        <v>13500</v>
      </c>
      <c r="D3872" s="353">
        <f t="shared" si="1089"/>
        <v>13100</v>
      </c>
    </row>
    <row r="3873" spans="1:6" ht="15" customHeight="1" thickBot="1">
      <c r="A3873" s="11">
        <v>44530</v>
      </c>
      <c r="B3873" s="341">
        <v>12700</v>
      </c>
      <c r="C3873" s="341">
        <v>13500</v>
      </c>
      <c r="D3873" s="434">
        <f t="shared" si="1089"/>
        <v>13100</v>
      </c>
      <c r="E3873" s="360">
        <f>AVERAGE($D$3852:D3873)</f>
        <v>13154.545454545454</v>
      </c>
      <c r="F3873" s="360">
        <f>AVERAGE($D$3637:D3873)</f>
        <v>11007.219827586207</v>
      </c>
    </row>
    <row r="3874" spans="1:6" ht="15" customHeight="1">
      <c r="A3874" s="3">
        <v>44531</v>
      </c>
      <c r="B3874" s="363">
        <v>12700</v>
      </c>
      <c r="C3874" s="363">
        <v>13500</v>
      </c>
      <c r="D3874" s="435">
        <f t="shared" si="1089"/>
        <v>13100</v>
      </c>
    </row>
    <row r="3875" spans="1:6" ht="15" customHeight="1">
      <c r="A3875" s="3">
        <v>44532</v>
      </c>
      <c r="B3875" s="353">
        <v>12700</v>
      </c>
      <c r="C3875" s="353">
        <v>13500</v>
      </c>
      <c r="D3875" s="353">
        <f t="shared" si="1089"/>
        <v>13100</v>
      </c>
    </row>
    <row r="3876" spans="1:6" ht="15" customHeight="1">
      <c r="A3876" s="3">
        <v>44533</v>
      </c>
      <c r="B3876" s="353">
        <v>12700</v>
      </c>
      <c r="C3876" s="353">
        <v>13500</v>
      </c>
      <c r="D3876" s="353">
        <f>AVERAGE(B3876:C3876)</f>
        <v>13100</v>
      </c>
    </row>
    <row r="3877" spans="1:6" ht="15" customHeight="1">
      <c r="A3877" s="3">
        <v>44536</v>
      </c>
      <c r="B3877" s="353">
        <v>12700</v>
      </c>
      <c r="C3877" s="353">
        <v>13500</v>
      </c>
      <c r="D3877" s="353">
        <f t="shared" ref="D3877:D3891" si="1090">AVERAGE(B3877:C3877)</f>
        <v>13100</v>
      </c>
    </row>
    <row r="3878" spans="1:6" ht="15" customHeight="1">
      <c r="A3878" s="3">
        <v>44537</v>
      </c>
      <c r="B3878" s="353">
        <v>12700</v>
      </c>
      <c r="C3878" s="353">
        <v>13500</v>
      </c>
      <c r="D3878" s="353">
        <f t="shared" si="1090"/>
        <v>13100</v>
      </c>
    </row>
    <row r="3879" spans="1:6" ht="15" customHeight="1">
      <c r="A3879" s="3">
        <v>44538</v>
      </c>
      <c r="B3879" s="353">
        <v>12800</v>
      </c>
      <c r="C3879" s="353">
        <v>13500</v>
      </c>
      <c r="D3879" s="353">
        <f t="shared" si="1090"/>
        <v>13150</v>
      </c>
    </row>
    <row r="3880" spans="1:6" ht="15" customHeight="1">
      <c r="A3880" s="3">
        <v>44539</v>
      </c>
      <c r="B3880" s="353">
        <v>12800</v>
      </c>
      <c r="C3880" s="353">
        <v>13500</v>
      </c>
      <c r="D3880" s="353">
        <f t="shared" si="1090"/>
        <v>13150</v>
      </c>
    </row>
    <row r="3881" spans="1:6" ht="15" customHeight="1">
      <c r="A3881" s="3">
        <v>44540</v>
      </c>
      <c r="B3881" s="353">
        <v>12900</v>
      </c>
      <c r="C3881" s="353">
        <v>13600</v>
      </c>
      <c r="D3881" s="353">
        <f t="shared" si="1090"/>
        <v>13250</v>
      </c>
    </row>
    <row r="3882" spans="1:6" ht="15" customHeight="1">
      <c r="A3882" s="3">
        <v>44543</v>
      </c>
      <c r="B3882" s="353">
        <v>12900</v>
      </c>
      <c r="C3882" s="353">
        <v>13600</v>
      </c>
      <c r="D3882" s="353">
        <f t="shared" si="1090"/>
        <v>13250</v>
      </c>
    </row>
    <row r="3883" spans="1:6" ht="15" customHeight="1">
      <c r="A3883" s="3">
        <v>44544</v>
      </c>
      <c r="B3883" s="353">
        <v>12900</v>
      </c>
      <c r="C3883" s="353">
        <v>13600</v>
      </c>
      <c r="D3883" s="353">
        <f t="shared" si="1090"/>
        <v>13250</v>
      </c>
    </row>
    <row r="3884" spans="1:6" ht="15" customHeight="1">
      <c r="A3884" s="3">
        <v>44545</v>
      </c>
      <c r="B3884" s="353">
        <v>12900</v>
      </c>
      <c r="C3884" s="353">
        <v>13600</v>
      </c>
      <c r="D3884" s="353">
        <f t="shared" si="1090"/>
        <v>13250</v>
      </c>
    </row>
    <row r="3885" spans="1:6" ht="15" customHeight="1">
      <c r="A3885" s="3">
        <v>44546</v>
      </c>
      <c r="B3885" s="353">
        <v>12900</v>
      </c>
      <c r="C3885" s="353">
        <v>13600</v>
      </c>
      <c r="D3885" s="353">
        <f t="shared" si="1090"/>
        <v>13250</v>
      </c>
    </row>
    <row r="3886" spans="1:6" ht="15" customHeight="1">
      <c r="A3886" s="3">
        <v>44547</v>
      </c>
      <c r="B3886" s="353">
        <v>13000</v>
      </c>
      <c r="C3886" s="353">
        <v>13600</v>
      </c>
      <c r="D3886" s="353">
        <f t="shared" si="1090"/>
        <v>13300</v>
      </c>
    </row>
    <row r="3887" spans="1:6" ht="15" customHeight="1">
      <c r="A3887" s="3">
        <v>44550</v>
      </c>
      <c r="B3887" s="353">
        <v>13000</v>
      </c>
      <c r="C3887" s="353">
        <v>13600</v>
      </c>
      <c r="D3887" s="353">
        <f t="shared" si="1090"/>
        <v>13300</v>
      </c>
    </row>
    <row r="3888" spans="1:6" ht="15" customHeight="1">
      <c r="A3888" s="3">
        <v>44551</v>
      </c>
      <c r="B3888" s="353">
        <v>13000</v>
      </c>
      <c r="C3888" s="353">
        <v>13600</v>
      </c>
      <c r="D3888" s="353">
        <f t="shared" si="1090"/>
        <v>13300</v>
      </c>
    </row>
    <row r="3889" spans="1:6" ht="15" customHeight="1">
      <c r="A3889" s="3">
        <v>44552</v>
      </c>
      <c r="B3889" s="353">
        <v>13000</v>
      </c>
      <c r="C3889" s="353">
        <v>13600</v>
      </c>
      <c r="D3889" s="353">
        <f t="shared" si="1090"/>
        <v>13300</v>
      </c>
    </row>
    <row r="3890" spans="1:6" ht="15" customHeight="1">
      <c r="A3890" s="3">
        <v>44553</v>
      </c>
      <c r="B3890" s="353">
        <v>13000</v>
      </c>
      <c r="C3890" s="353">
        <v>13600</v>
      </c>
      <c r="D3890" s="353">
        <f t="shared" si="1090"/>
        <v>13300</v>
      </c>
    </row>
    <row r="3891" spans="1:6" ht="15" customHeight="1">
      <c r="A3891" s="3">
        <v>44554</v>
      </c>
      <c r="B3891" s="353">
        <v>13000</v>
      </c>
      <c r="C3891" s="353">
        <v>13700</v>
      </c>
      <c r="D3891" s="353">
        <f t="shared" si="1090"/>
        <v>13350</v>
      </c>
    </row>
    <row r="3892" spans="1:6" ht="15" customHeight="1">
      <c r="A3892" s="3">
        <v>44557</v>
      </c>
      <c r="B3892" s="1411" t="s">
        <v>61</v>
      </c>
      <c r="C3892" s="1411"/>
      <c r="D3892" s="1411"/>
    </row>
    <row r="3893" spans="1:6" ht="15" customHeight="1">
      <c r="A3893" s="3">
        <v>44558</v>
      </c>
      <c r="B3893" s="1411"/>
      <c r="C3893" s="1411"/>
      <c r="D3893" s="1411"/>
    </row>
    <row r="3894" spans="1:6" ht="15" customHeight="1">
      <c r="A3894" s="3">
        <v>44559</v>
      </c>
      <c r="B3894" s="353">
        <v>13000</v>
      </c>
      <c r="C3894" s="353">
        <v>13700</v>
      </c>
      <c r="D3894" s="353">
        <f t="shared" ref="D3894:D3895" si="1091">AVERAGE(B3894:C3894)</f>
        <v>13350</v>
      </c>
    </row>
    <row r="3895" spans="1:6" ht="15" customHeight="1">
      <c r="A3895" s="3">
        <v>44560</v>
      </c>
      <c r="B3895" s="353">
        <v>13000</v>
      </c>
      <c r="C3895" s="353">
        <v>13700</v>
      </c>
      <c r="D3895" s="353">
        <f t="shared" si="1091"/>
        <v>13350</v>
      </c>
    </row>
    <row r="3896" spans="1:6" ht="15" customHeight="1" thickBot="1">
      <c r="A3896" s="11">
        <v>44561</v>
      </c>
      <c r="B3896" s="341">
        <v>13000</v>
      </c>
      <c r="C3896" s="341">
        <v>13700</v>
      </c>
      <c r="D3896" s="434">
        <f>AVERAGE(B3896:C3896)</f>
        <v>13350</v>
      </c>
      <c r="E3896" s="360">
        <f>AVERAGE(D3874:D3896)</f>
        <v>13235.714285714286</v>
      </c>
      <c r="F3896" s="360">
        <f>AVERAGE($D$3637:D3896)</f>
        <v>11192.193675889328</v>
      </c>
    </row>
    <row r="3897" spans="1:6" ht="15" customHeight="1">
      <c r="A3897" s="3">
        <v>44564</v>
      </c>
      <c r="B3897" s="1412" t="s">
        <v>61</v>
      </c>
      <c r="C3897" s="1413"/>
      <c r="D3897" s="1413"/>
      <c r="F3897" s="331"/>
    </row>
    <row r="3898" spans="1:6" ht="15" customHeight="1">
      <c r="A3898" s="3">
        <v>44565</v>
      </c>
      <c r="B3898" s="353">
        <v>13000</v>
      </c>
      <c r="C3898" s="353">
        <v>13700</v>
      </c>
      <c r="D3898" s="435">
        <f>AVERAGE(B3898:C3898)</f>
        <v>13350</v>
      </c>
      <c r="F3898" s="331"/>
    </row>
    <row r="3899" spans="1:6" ht="15" customHeight="1">
      <c r="A3899" s="3">
        <v>44566</v>
      </c>
      <c r="B3899" s="353">
        <v>13000</v>
      </c>
      <c r="C3899" s="353">
        <v>13600</v>
      </c>
      <c r="D3899" s="435">
        <f t="shared" ref="D3899:D3960" si="1092">AVERAGE(B3899:C3899)</f>
        <v>13300</v>
      </c>
      <c r="F3899" s="331"/>
    </row>
    <row r="3900" spans="1:6" ht="15" customHeight="1">
      <c r="A3900" s="3">
        <v>44567</v>
      </c>
      <c r="B3900" s="353">
        <v>13000</v>
      </c>
      <c r="C3900" s="353">
        <v>13600</v>
      </c>
      <c r="D3900" s="435">
        <f t="shared" si="1092"/>
        <v>13300</v>
      </c>
      <c r="F3900" s="331"/>
    </row>
    <row r="3901" spans="1:6" ht="15" customHeight="1">
      <c r="A3901" s="3">
        <v>44568</v>
      </c>
      <c r="B3901" s="353">
        <v>13300</v>
      </c>
      <c r="C3901" s="353">
        <v>13600</v>
      </c>
      <c r="D3901" s="435">
        <f t="shared" si="1092"/>
        <v>13450</v>
      </c>
      <c r="F3901" s="331"/>
    </row>
    <row r="3902" spans="1:6" ht="15" customHeight="1">
      <c r="A3902" s="3">
        <v>44571</v>
      </c>
      <c r="B3902" s="353">
        <v>13300</v>
      </c>
      <c r="C3902" s="353">
        <v>13600</v>
      </c>
      <c r="D3902" s="435">
        <f t="shared" si="1092"/>
        <v>13450</v>
      </c>
      <c r="F3902" s="331"/>
    </row>
    <row r="3903" spans="1:6" ht="15" customHeight="1">
      <c r="A3903" s="3">
        <v>44572</v>
      </c>
      <c r="B3903" s="353">
        <v>13300</v>
      </c>
      <c r="C3903" s="353">
        <v>13600</v>
      </c>
      <c r="D3903" s="435">
        <f t="shared" si="1092"/>
        <v>13450</v>
      </c>
      <c r="F3903" s="331"/>
    </row>
    <row r="3904" spans="1:6" ht="15" customHeight="1">
      <c r="A3904" s="3">
        <v>44573</v>
      </c>
      <c r="B3904" s="353">
        <v>13100</v>
      </c>
      <c r="C3904" s="353">
        <v>13600</v>
      </c>
      <c r="D3904" s="435">
        <f t="shared" si="1092"/>
        <v>13350</v>
      </c>
      <c r="F3904" s="331"/>
    </row>
    <row r="3905" spans="1:6" ht="15" customHeight="1">
      <c r="A3905" s="3">
        <v>44574</v>
      </c>
      <c r="B3905" s="353">
        <v>13100</v>
      </c>
      <c r="C3905" s="353">
        <v>13600</v>
      </c>
      <c r="D3905" s="435">
        <f t="shared" si="1092"/>
        <v>13350</v>
      </c>
      <c r="F3905" s="331"/>
    </row>
    <row r="3906" spans="1:6" ht="15" customHeight="1">
      <c r="A3906" s="3">
        <v>44575</v>
      </c>
      <c r="B3906" s="353">
        <v>13100</v>
      </c>
      <c r="C3906" s="353">
        <v>13600</v>
      </c>
      <c r="D3906" s="435">
        <f t="shared" si="1092"/>
        <v>13350</v>
      </c>
      <c r="F3906" s="331"/>
    </row>
    <row r="3907" spans="1:6" ht="15" customHeight="1">
      <c r="A3907" s="3">
        <v>44578</v>
      </c>
      <c r="B3907" s="353">
        <v>13100</v>
      </c>
      <c r="C3907" s="353">
        <v>13600</v>
      </c>
      <c r="D3907" s="435">
        <f t="shared" si="1092"/>
        <v>13350</v>
      </c>
      <c r="F3907" s="331"/>
    </row>
    <row r="3908" spans="1:6" ht="15" customHeight="1">
      <c r="A3908" s="3">
        <v>44579</v>
      </c>
      <c r="B3908" s="353">
        <v>13100</v>
      </c>
      <c r="C3908" s="353">
        <v>13600</v>
      </c>
      <c r="D3908" s="435">
        <f t="shared" si="1092"/>
        <v>13350</v>
      </c>
      <c r="F3908" s="331"/>
    </row>
    <row r="3909" spans="1:6" ht="15" customHeight="1">
      <c r="A3909" s="3">
        <v>44580</v>
      </c>
      <c r="B3909" s="353">
        <v>13100</v>
      </c>
      <c r="C3909" s="353">
        <v>13600</v>
      </c>
      <c r="D3909" s="435">
        <f t="shared" si="1092"/>
        <v>13350</v>
      </c>
      <c r="F3909" s="331"/>
    </row>
    <row r="3910" spans="1:6" ht="15" customHeight="1">
      <c r="A3910" s="3">
        <v>44581</v>
      </c>
      <c r="B3910" s="353">
        <v>13100</v>
      </c>
      <c r="C3910" s="353">
        <v>13600</v>
      </c>
      <c r="D3910" s="435">
        <f t="shared" si="1092"/>
        <v>13350</v>
      </c>
      <c r="F3910" s="331"/>
    </row>
    <row r="3911" spans="1:6" ht="15" customHeight="1">
      <c r="A3911" s="3">
        <v>44582</v>
      </c>
      <c r="B3911" s="353">
        <v>13100</v>
      </c>
      <c r="C3911" s="353">
        <v>13600</v>
      </c>
      <c r="D3911" s="435">
        <f t="shared" si="1092"/>
        <v>13350</v>
      </c>
      <c r="F3911" s="331"/>
    </row>
    <row r="3912" spans="1:6" ht="15" customHeight="1">
      <c r="A3912" s="3">
        <v>44585</v>
      </c>
      <c r="B3912" s="353">
        <v>13100</v>
      </c>
      <c r="C3912" s="353">
        <v>13600</v>
      </c>
      <c r="D3912" s="435">
        <f t="shared" si="1092"/>
        <v>13350</v>
      </c>
      <c r="F3912" s="331"/>
    </row>
    <row r="3913" spans="1:6" ht="15" customHeight="1">
      <c r="A3913" s="3">
        <v>44586</v>
      </c>
      <c r="B3913" s="353">
        <v>13100</v>
      </c>
      <c r="C3913" s="353">
        <v>13600</v>
      </c>
      <c r="D3913" s="435">
        <f t="shared" si="1092"/>
        <v>13350</v>
      </c>
      <c r="F3913" s="331"/>
    </row>
    <row r="3914" spans="1:6" ht="15" customHeight="1">
      <c r="A3914" s="3">
        <v>44587</v>
      </c>
      <c r="B3914" s="353">
        <v>13100</v>
      </c>
      <c r="C3914" s="353">
        <v>13600</v>
      </c>
      <c r="D3914" s="435">
        <f t="shared" si="1092"/>
        <v>13350</v>
      </c>
      <c r="F3914" s="331"/>
    </row>
    <row r="3915" spans="1:6" ht="15" customHeight="1">
      <c r="A3915" s="3">
        <v>44588</v>
      </c>
      <c r="B3915" s="353">
        <v>13100</v>
      </c>
      <c r="C3915" s="353">
        <v>13600</v>
      </c>
      <c r="D3915" s="435">
        <f t="shared" si="1092"/>
        <v>13350</v>
      </c>
      <c r="F3915" s="331"/>
    </row>
    <row r="3916" spans="1:6" ht="15" customHeight="1">
      <c r="A3916" s="3">
        <v>44589</v>
      </c>
      <c r="B3916" s="353">
        <v>13100</v>
      </c>
      <c r="C3916" s="353">
        <v>13600</v>
      </c>
      <c r="D3916" s="435">
        <f t="shared" si="1092"/>
        <v>13350</v>
      </c>
      <c r="F3916" s="331"/>
    </row>
    <row r="3917" spans="1:6" ht="15" customHeight="1" thickBot="1">
      <c r="A3917" s="11">
        <v>44592</v>
      </c>
      <c r="B3917" s="436">
        <v>13100</v>
      </c>
      <c r="C3917" s="436">
        <v>13600</v>
      </c>
      <c r="D3917" s="434">
        <f t="shared" si="1092"/>
        <v>13350</v>
      </c>
      <c r="E3917" s="360">
        <f>AVERAGE(D3898:D3917)</f>
        <v>13360</v>
      </c>
      <c r="F3917" s="360">
        <f>AVERAGE($D$3897:D3917)</f>
        <v>13360</v>
      </c>
    </row>
    <row r="3918" spans="1:6" ht="15" customHeight="1">
      <c r="A3918" s="3">
        <v>44593</v>
      </c>
      <c r="B3918" s="336">
        <v>13100</v>
      </c>
      <c r="C3918" s="336">
        <v>13600</v>
      </c>
      <c r="D3918" s="438">
        <f t="shared" si="1092"/>
        <v>13350</v>
      </c>
      <c r="F3918" s="331"/>
    </row>
    <row r="3919" spans="1:6" ht="15" customHeight="1">
      <c r="A3919" s="3">
        <v>44594</v>
      </c>
      <c r="B3919" s="336">
        <v>12950</v>
      </c>
      <c r="C3919" s="336">
        <v>13600</v>
      </c>
      <c r="D3919" s="438">
        <f t="shared" si="1092"/>
        <v>13275</v>
      </c>
      <c r="F3919" s="331"/>
    </row>
    <row r="3920" spans="1:6" ht="15" customHeight="1">
      <c r="A3920" s="3">
        <v>44595</v>
      </c>
      <c r="B3920" s="336">
        <v>12950</v>
      </c>
      <c r="C3920" s="336">
        <v>13600</v>
      </c>
      <c r="D3920" s="438">
        <f t="shared" si="1092"/>
        <v>13275</v>
      </c>
      <c r="F3920" s="331"/>
    </row>
    <row r="3921" spans="1:6" ht="15" customHeight="1">
      <c r="A3921" s="3">
        <v>44596</v>
      </c>
      <c r="B3921" s="336">
        <v>13000</v>
      </c>
      <c r="C3921" s="336">
        <v>13600</v>
      </c>
      <c r="D3921" s="438">
        <f t="shared" si="1092"/>
        <v>13300</v>
      </c>
      <c r="F3921" s="331"/>
    </row>
    <row r="3922" spans="1:6" ht="15" customHeight="1">
      <c r="A3922" s="3">
        <v>44599</v>
      </c>
      <c r="B3922" s="336">
        <v>13000</v>
      </c>
      <c r="C3922" s="336">
        <v>13600</v>
      </c>
      <c r="D3922" s="438">
        <f t="shared" si="1092"/>
        <v>13300</v>
      </c>
      <c r="F3922" s="331"/>
    </row>
    <row r="3923" spans="1:6" ht="15" customHeight="1">
      <c r="A3923" s="3">
        <v>44600</v>
      </c>
      <c r="B3923" s="336">
        <v>13000</v>
      </c>
      <c r="C3923" s="336">
        <v>13600</v>
      </c>
      <c r="D3923" s="438">
        <f t="shared" si="1092"/>
        <v>13300</v>
      </c>
      <c r="F3923" s="331"/>
    </row>
    <row r="3924" spans="1:6" ht="15" customHeight="1">
      <c r="A3924" s="3">
        <v>44601</v>
      </c>
      <c r="B3924" s="336">
        <v>13100</v>
      </c>
      <c r="C3924" s="336">
        <v>13600</v>
      </c>
      <c r="D3924" s="438">
        <f t="shared" si="1092"/>
        <v>13350</v>
      </c>
      <c r="F3924" s="331"/>
    </row>
    <row r="3925" spans="1:6" ht="15" customHeight="1">
      <c r="A3925" s="3">
        <v>44602</v>
      </c>
      <c r="B3925" s="336">
        <v>13100</v>
      </c>
      <c r="C3925" s="336">
        <v>13600</v>
      </c>
      <c r="D3925" s="438">
        <f t="shared" si="1092"/>
        <v>13350</v>
      </c>
      <c r="F3925" s="331"/>
    </row>
    <row r="3926" spans="1:6" ht="15" customHeight="1">
      <c r="A3926" s="3">
        <v>44603</v>
      </c>
      <c r="B3926" s="336">
        <v>13200</v>
      </c>
      <c r="C3926" s="336">
        <v>13600</v>
      </c>
      <c r="D3926" s="438">
        <f t="shared" si="1092"/>
        <v>13400</v>
      </c>
      <c r="F3926" s="331"/>
    </row>
    <row r="3927" spans="1:6" ht="15" customHeight="1">
      <c r="A3927" s="3">
        <v>44606</v>
      </c>
      <c r="B3927" s="336">
        <v>13200</v>
      </c>
      <c r="C3927" s="336">
        <v>13600</v>
      </c>
      <c r="D3927" s="438">
        <f t="shared" si="1092"/>
        <v>13400</v>
      </c>
      <c r="F3927" s="331"/>
    </row>
    <row r="3928" spans="1:6" ht="15" customHeight="1">
      <c r="A3928" s="3">
        <v>44607</v>
      </c>
      <c r="B3928" s="336">
        <v>13200</v>
      </c>
      <c r="C3928" s="336">
        <v>13600</v>
      </c>
      <c r="D3928" s="438">
        <f t="shared" si="1092"/>
        <v>13400</v>
      </c>
      <c r="F3928" s="331"/>
    </row>
    <row r="3929" spans="1:6" ht="15" customHeight="1">
      <c r="A3929" s="3">
        <v>44608</v>
      </c>
      <c r="B3929" s="336">
        <v>13300</v>
      </c>
      <c r="C3929" s="336">
        <v>13700</v>
      </c>
      <c r="D3929" s="438">
        <f t="shared" si="1092"/>
        <v>13500</v>
      </c>
      <c r="F3929" s="331"/>
    </row>
    <row r="3930" spans="1:6" ht="15" customHeight="1">
      <c r="A3930" s="3">
        <v>44609</v>
      </c>
      <c r="B3930" s="336">
        <v>13300</v>
      </c>
      <c r="C3930" s="336">
        <v>13700</v>
      </c>
      <c r="D3930" s="438">
        <f t="shared" si="1092"/>
        <v>13500</v>
      </c>
      <c r="F3930" s="331"/>
    </row>
    <row r="3931" spans="1:6" ht="15" customHeight="1">
      <c r="A3931" s="3">
        <v>44610</v>
      </c>
      <c r="B3931" s="336">
        <v>13400</v>
      </c>
      <c r="C3931" s="336">
        <v>13700</v>
      </c>
      <c r="D3931" s="438">
        <f t="shared" si="1092"/>
        <v>13550</v>
      </c>
      <c r="F3931" s="331"/>
    </row>
    <row r="3932" spans="1:6" ht="15" customHeight="1">
      <c r="A3932" s="3">
        <v>44613</v>
      </c>
      <c r="B3932" s="336">
        <v>13400</v>
      </c>
      <c r="C3932" s="336">
        <v>13700</v>
      </c>
      <c r="D3932" s="438">
        <f t="shared" si="1092"/>
        <v>13550</v>
      </c>
      <c r="F3932" s="331"/>
    </row>
    <row r="3933" spans="1:6" ht="15" customHeight="1">
      <c r="A3933" s="3">
        <v>44614</v>
      </c>
      <c r="B3933" s="336">
        <v>13400</v>
      </c>
      <c r="C3933" s="336">
        <v>13700</v>
      </c>
      <c r="D3933" s="438">
        <f t="shared" si="1092"/>
        <v>13550</v>
      </c>
      <c r="F3933" s="331"/>
    </row>
    <row r="3934" spans="1:6" ht="15" customHeight="1">
      <c r="A3934" s="3">
        <v>44615</v>
      </c>
      <c r="B3934" s="336">
        <v>13400</v>
      </c>
      <c r="C3934" s="336">
        <v>14000</v>
      </c>
      <c r="D3934" s="438">
        <f t="shared" si="1092"/>
        <v>13700</v>
      </c>
      <c r="F3934" s="331"/>
    </row>
    <row r="3935" spans="1:6" ht="15" customHeight="1">
      <c r="A3935" s="3">
        <v>44616</v>
      </c>
      <c r="B3935" s="336">
        <v>13400</v>
      </c>
      <c r="C3935" s="336">
        <v>14000</v>
      </c>
      <c r="D3935" s="438">
        <f t="shared" si="1092"/>
        <v>13700</v>
      </c>
      <c r="F3935" s="331"/>
    </row>
    <row r="3936" spans="1:6" ht="15" customHeight="1">
      <c r="A3936" s="3">
        <v>44617</v>
      </c>
      <c r="B3936" s="336">
        <v>13700</v>
      </c>
      <c r="C3936" s="336">
        <v>14200</v>
      </c>
      <c r="D3936" s="438">
        <f t="shared" si="1092"/>
        <v>13950</v>
      </c>
      <c r="F3936" s="331"/>
    </row>
    <row r="3937" spans="1:6" ht="15" customHeight="1" thickBot="1">
      <c r="A3937" s="11">
        <v>44620</v>
      </c>
      <c r="B3937" s="341">
        <v>13700</v>
      </c>
      <c r="C3937" s="341">
        <v>14200</v>
      </c>
      <c r="D3937" s="439">
        <f t="shared" si="1092"/>
        <v>13950</v>
      </c>
      <c r="E3937" s="360">
        <f>AVERAGE(D3918:D3937)</f>
        <v>13482.5</v>
      </c>
      <c r="F3937" s="360">
        <f>AVERAGE($D$3897:D3937)</f>
        <v>13421.25</v>
      </c>
    </row>
    <row r="3938" spans="1:6" ht="15" customHeight="1">
      <c r="A3938" s="3">
        <v>44621</v>
      </c>
      <c r="B3938" s="440">
        <v>13700</v>
      </c>
      <c r="C3938" s="440">
        <v>14200</v>
      </c>
      <c r="D3938" s="353">
        <f t="shared" si="1092"/>
        <v>13950</v>
      </c>
      <c r="E3938" s="331"/>
      <c r="F3938" s="331"/>
    </row>
    <row r="3939" spans="1:6" ht="15" customHeight="1">
      <c r="A3939" s="3">
        <v>44622</v>
      </c>
      <c r="B3939" s="353">
        <v>13700</v>
      </c>
      <c r="C3939" s="353">
        <v>14200</v>
      </c>
      <c r="D3939" s="353">
        <f t="shared" si="1092"/>
        <v>13950</v>
      </c>
      <c r="E3939" s="331"/>
      <c r="F3939" s="331"/>
    </row>
    <row r="3940" spans="1:6" ht="15" customHeight="1">
      <c r="A3940" s="3">
        <v>44623</v>
      </c>
      <c r="B3940" s="353">
        <v>13700</v>
      </c>
      <c r="C3940" s="353">
        <v>14200</v>
      </c>
      <c r="D3940" s="438">
        <f t="shared" si="1092"/>
        <v>13950</v>
      </c>
      <c r="E3940" s="331"/>
      <c r="F3940" s="331"/>
    </row>
    <row r="3941" spans="1:6" ht="15" customHeight="1">
      <c r="A3941" s="3">
        <v>44624</v>
      </c>
      <c r="B3941" s="353">
        <v>13800</v>
      </c>
      <c r="C3941" s="353">
        <v>14200</v>
      </c>
      <c r="D3941" s="438">
        <f t="shared" si="1092"/>
        <v>14000</v>
      </c>
      <c r="E3941" s="331"/>
      <c r="F3941" s="331"/>
    </row>
    <row r="3942" spans="1:6" ht="15" customHeight="1">
      <c r="A3942" s="3">
        <v>44627</v>
      </c>
      <c r="B3942" s="353">
        <v>13800</v>
      </c>
      <c r="C3942" s="353">
        <v>14200</v>
      </c>
      <c r="D3942" s="438">
        <f t="shared" si="1092"/>
        <v>14000</v>
      </c>
      <c r="E3942" s="331"/>
      <c r="F3942" s="331"/>
    </row>
    <row r="3943" spans="1:6" ht="15" customHeight="1">
      <c r="A3943" s="3">
        <v>44628</v>
      </c>
      <c r="B3943" s="353">
        <v>13800</v>
      </c>
      <c r="C3943" s="353">
        <v>14200</v>
      </c>
      <c r="D3943" s="438">
        <f t="shared" si="1092"/>
        <v>14000</v>
      </c>
      <c r="E3943" s="331"/>
      <c r="F3943" s="331"/>
    </row>
    <row r="3944" spans="1:6" ht="15" customHeight="1">
      <c r="A3944" s="3">
        <v>44629</v>
      </c>
      <c r="B3944" s="353">
        <v>14200</v>
      </c>
      <c r="C3944" s="353">
        <v>14850</v>
      </c>
      <c r="D3944" s="438">
        <f t="shared" si="1092"/>
        <v>14525</v>
      </c>
      <c r="E3944" s="331"/>
      <c r="F3944" s="331"/>
    </row>
    <row r="3945" spans="1:6" ht="15" customHeight="1">
      <c r="A3945" s="3">
        <v>44630</v>
      </c>
      <c r="B3945" s="353">
        <v>14200</v>
      </c>
      <c r="C3945" s="353">
        <v>14850</v>
      </c>
      <c r="D3945" s="438">
        <f t="shared" si="1092"/>
        <v>14525</v>
      </c>
      <c r="E3945" s="331"/>
      <c r="F3945" s="331"/>
    </row>
    <row r="3946" spans="1:6" ht="15" customHeight="1">
      <c r="A3946" s="3">
        <v>44631</v>
      </c>
      <c r="B3946" s="353">
        <v>14350</v>
      </c>
      <c r="C3946" s="353">
        <v>14850</v>
      </c>
      <c r="D3946" s="438">
        <f t="shared" si="1092"/>
        <v>14600</v>
      </c>
      <c r="E3946" s="331"/>
      <c r="F3946" s="331"/>
    </row>
    <row r="3947" spans="1:6" ht="15" customHeight="1">
      <c r="A3947" s="3">
        <v>44634</v>
      </c>
      <c r="B3947" s="353">
        <v>14350</v>
      </c>
      <c r="C3947" s="353">
        <v>14850</v>
      </c>
      <c r="D3947" s="438">
        <f t="shared" si="1092"/>
        <v>14600</v>
      </c>
      <c r="E3947" s="331"/>
      <c r="F3947" s="331"/>
    </row>
    <row r="3948" spans="1:6" ht="15" customHeight="1">
      <c r="A3948" s="3">
        <v>44635</v>
      </c>
      <c r="B3948" s="353">
        <v>14350</v>
      </c>
      <c r="C3948" s="353">
        <v>14850</v>
      </c>
      <c r="D3948" s="438">
        <f t="shared" si="1092"/>
        <v>14600</v>
      </c>
      <c r="E3948" s="331"/>
      <c r="F3948" s="331"/>
    </row>
    <row r="3949" spans="1:6" ht="15" customHeight="1">
      <c r="A3949" s="3">
        <v>44636</v>
      </c>
      <c r="B3949" s="353">
        <v>14500</v>
      </c>
      <c r="C3949" s="353">
        <v>15100</v>
      </c>
      <c r="D3949" s="438">
        <f t="shared" si="1092"/>
        <v>14800</v>
      </c>
      <c r="E3949" s="331"/>
      <c r="F3949" s="331"/>
    </row>
    <row r="3950" spans="1:6" ht="15" customHeight="1">
      <c r="A3950" s="3">
        <v>44637</v>
      </c>
      <c r="B3950" s="353">
        <v>14500</v>
      </c>
      <c r="C3950" s="353">
        <v>15100</v>
      </c>
      <c r="D3950" s="438">
        <f t="shared" si="1092"/>
        <v>14800</v>
      </c>
      <c r="E3950" s="331"/>
      <c r="F3950" s="331"/>
    </row>
    <row r="3951" spans="1:6" ht="15" customHeight="1">
      <c r="A3951" s="3">
        <v>44638</v>
      </c>
      <c r="B3951" s="353">
        <v>14750</v>
      </c>
      <c r="C3951" s="353">
        <v>15350</v>
      </c>
      <c r="D3951" s="438">
        <f t="shared" si="1092"/>
        <v>15050</v>
      </c>
      <c r="E3951" s="331"/>
      <c r="F3951" s="331"/>
    </row>
    <row r="3952" spans="1:6" ht="15" customHeight="1">
      <c r="A3952" s="3">
        <v>44641</v>
      </c>
      <c r="B3952" s="353">
        <v>14750</v>
      </c>
      <c r="C3952" s="353">
        <v>15350</v>
      </c>
      <c r="D3952" s="438">
        <f t="shared" si="1092"/>
        <v>15050</v>
      </c>
      <c r="E3952" s="331"/>
      <c r="F3952" s="331"/>
    </row>
    <row r="3953" spans="1:6" ht="15" customHeight="1">
      <c r="A3953" s="3">
        <v>44642</v>
      </c>
      <c r="B3953" s="353">
        <v>14750</v>
      </c>
      <c r="C3953" s="353">
        <v>15350</v>
      </c>
      <c r="D3953" s="438">
        <f t="shared" si="1092"/>
        <v>15050</v>
      </c>
      <c r="E3953" s="331"/>
      <c r="F3953" s="331"/>
    </row>
    <row r="3954" spans="1:6" ht="15" customHeight="1">
      <c r="A3954" s="3">
        <v>44643</v>
      </c>
      <c r="B3954" s="353">
        <v>14750</v>
      </c>
      <c r="C3954" s="353">
        <v>15350</v>
      </c>
      <c r="D3954" s="438">
        <f t="shared" si="1092"/>
        <v>15050</v>
      </c>
      <c r="E3954" s="331"/>
      <c r="F3954" s="331"/>
    </row>
    <row r="3955" spans="1:6" ht="15" customHeight="1">
      <c r="A3955" s="3">
        <v>44644</v>
      </c>
      <c r="B3955" s="353">
        <v>14750</v>
      </c>
      <c r="C3955" s="353">
        <v>15350</v>
      </c>
      <c r="D3955" s="438">
        <f t="shared" si="1092"/>
        <v>15050</v>
      </c>
      <c r="E3955" s="331"/>
      <c r="F3955" s="331"/>
    </row>
    <row r="3956" spans="1:6" ht="15" customHeight="1">
      <c r="A3956" s="3">
        <v>44645</v>
      </c>
      <c r="B3956" s="353">
        <v>14850</v>
      </c>
      <c r="C3956" s="353">
        <v>15400</v>
      </c>
      <c r="D3956" s="438">
        <f t="shared" si="1092"/>
        <v>15125</v>
      </c>
      <c r="E3956" s="331"/>
      <c r="F3956" s="331"/>
    </row>
    <row r="3957" spans="1:6" ht="15" customHeight="1">
      <c r="A3957" s="3">
        <v>44648</v>
      </c>
      <c r="B3957" s="353">
        <v>14850</v>
      </c>
      <c r="C3957" s="353">
        <v>15400</v>
      </c>
      <c r="D3957" s="438">
        <f t="shared" si="1092"/>
        <v>15125</v>
      </c>
      <c r="E3957" s="331"/>
      <c r="F3957" s="331"/>
    </row>
    <row r="3958" spans="1:6" ht="15" customHeight="1">
      <c r="A3958" s="3">
        <v>44649</v>
      </c>
      <c r="B3958" s="353">
        <v>14850</v>
      </c>
      <c r="C3958" s="353">
        <v>15400</v>
      </c>
      <c r="D3958" s="438">
        <f t="shared" si="1092"/>
        <v>15125</v>
      </c>
      <c r="E3958" s="331"/>
      <c r="F3958" s="331"/>
    </row>
    <row r="3959" spans="1:6" ht="15" customHeight="1">
      <c r="A3959" s="3">
        <v>44650</v>
      </c>
      <c r="B3959" s="353">
        <v>14850</v>
      </c>
      <c r="C3959" s="353">
        <v>15400</v>
      </c>
      <c r="D3959" s="438">
        <f t="shared" si="1092"/>
        <v>15125</v>
      </c>
      <c r="E3959" s="331"/>
      <c r="F3959" s="331"/>
    </row>
    <row r="3960" spans="1:6" ht="15" customHeight="1" thickBot="1">
      <c r="A3960" s="11">
        <v>44651</v>
      </c>
      <c r="B3960" s="436">
        <v>14850</v>
      </c>
      <c r="C3960" s="436">
        <v>15400</v>
      </c>
      <c r="D3960" s="439">
        <f t="shared" si="1092"/>
        <v>15125</v>
      </c>
      <c r="E3960" s="360">
        <f>AVERAGE(D3938:D3960)</f>
        <v>14659.782608695652</v>
      </c>
      <c r="F3960" s="360">
        <f>AVERAGE($D$3897:D3960)</f>
        <v>13873.412698412698</v>
      </c>
    </row>
    <row r="3961" spans="1:6" ht="15" customHeight="1">
      <c r="A3961" s="29">
        <v>44652</v>
      </c>
      <c r="B3961" s="331">
        <v>14850</v>
      </c>
      <c r="C3961" s="331">
        <v>15400</v>
      </c>
      <c r="D3961" s="353">
        <f>AVERAGE(B3961:C3961)</f>
        <v>15125</v>
      </c>
      <c r="E3961" s="364"/>
      <c r="F3961" s="364"/>
    </row>
    <row r="3962" spans="1:6" ht="15" customHeight="1">
      <c r="A3962" s="3">
        <v>44655</v>
      </c>
      <c r="B3962" s="331">
        <v>14850</v>
      </c>
      <c r="C3962" s="331">
        <v>15400</v>
      </c>
      <c r="D3962" s="438">
        <f t="shared" ref="D3962:D3981" si="1093">AVERAGE(B3962:C3962)</f>
        <v>15125</v>
      </c>
      <c r="E3962" s="347"/>
      <c r="F3962" s="347"/>
    </row>
    <row r="3963" spans="1:6" ht="15" customHeight="1">
      <c r="A3963" s="3">
        <v>44656</v>
      </c>
      <c r="B3963" s="331">
        <v>14850</v>
      </c>
      <c r="C3963" s="331">
        <v>15400</v>
      </c>
      <c r="D3963" s="438">
        <f t="shared" si="1093"/>
        <v>15125</v>
      </c>
      <c r="E3963" s="347"/>
      <c r="F3963" s="347"/>
    </row>
    <row r="3964" spans="1:6" ht="15" customHeight="1">
      <c r="A3964" s="3">
        <v>44657</v>
      </c>
      <c r="B3964" s="331">
        <v>14750</v>
      </c>
      <c r="C3964" s="331">
        <v>15200</v>
      </c>
      <c r="D3964" s="438">
        <f t="shared" si="1093"/>
        <v>14975</v>
      </c>
      <c r="E3964" s="347"/>
      <c r="F3964" s="347"/>
    </row>
    <row r="3965" spans="1:6" ht="15" customHeight="1">
      <c r="A3965" s="3">
        <v>44658</v>
      </c>
      <c r="B3965" s="331">
        <v>14750</v>
      </c>
      <c r="C3965" s="331">
        <v>15200</v>
      </c>
      <c r="D3965" s="438">
        <f t="shared" si="1093"/>
        <v>14975</v>
      </c>
      <c r="E3965" s="347"/>
      <c r="F3965" s="347"/>
    </row>
    <row r="3966" spans="1:6" ht="15" customHeight="1">
      <c r="A3966" s="3">
        <v>44659</v>
      </c>
      <c r="B3966" s="331">
        <v>14800</v>
      </c>
      <c r="C3966" s="331">
        <v>15400</v>
      </c>
      <c r="D3966" s="438">
        <f t="shared" si="1093"/>
        <v>15100</v>
      </c>
      <c r="E3966" s="347"/>
      <c r="F3966" s="347"/>
    </row>
    <row r="3967" spans="1:6" ht="15" customHeight="1">
      <c r="A3967" s="3">
        <v>44662</v>
      </c>
      <c r="B3967" s="331">
        <v>14800</v>
      </c>
      <c r="C3967" s="331">
        <v>15400</v>
      </c>
      <c r="D3967" s="438">
        <f t="shared" si="1093"/>
        <v>15100</v>
      </c>
      <c r="E3967" s="347"/>
      <c r="F3967" s="347"/>
    </row>
    <row r="3968" spans="1:6" ht="15" customHeight="1">
      <c r="A3968" s="3">
        <v>44663</v>
      </c>
      <c r="B3968" s="331">
        <v>14800</v>
      </c>
      <c r="C3968" s="331">
        <v>15400</v>
      </c>
      <c r="D3968" s="438">
        <f t="shared" si="1093"/>
        <v>15100</v>
      </c>
      <c r="E3968" s="347"/>
      <c r="F3968" s="347"/>
    </row>
    <row r="3969" spans="1:6" ht="15" customHeight="1">
      <c r="A3969" s="3">
        <v>44664</v>
      </c>
      <c r="B3969" s="331">
        <v>14800</v>
      </c>
      <c r="C3969" s="331">
        <v>15400</v>
      </c>
      <c r="D3969" s="438">
        <f t="shared" si="1093"/>
        <v>15100</v>
      </c>
      <c r="E3969" s="347"/>
      <c r="F3969" s="347"/>
    </row>
    <row r="3970" spans="1:6" ht="15" customHeight="1">
      <c r="A3970" s="3">
        <v>44665</v>
      </c>
      <c r="B3970" s="331">
        <v>14800</v>
      </c>
      <c r="C3970" s="331">
        <v>15400</v>
      </c>
      <c r="D3970" s="438">
        <f t="shared" si="1093"/>
        <v>15100</v>
      </c>
      <c r="E3970" s="347"/>
      <c r="F3970" s="347"/>
    </row>
    <row r="3971" spans="1:6" ht="15" customHeight="1">
      <c r="A3971" s="3">
        <v>44666</v>
      </c>
      <c r="B3971" s="331">
        <v>14800</v>
      </c>
      <c r="C3971" s="331">
        <v>15400</v>
      </c>
      <c r="D3971" s="438">
        <f t="shared" si="1093"/>
        <v>15100</v>
      </c>
      <c r="E3971" s="347"/>
      <c r="F3971" s="347"/>
    </row>
    <row r="3972" spans="1:6" ht="15" customHeight="1">
      <c r="A3972" s="3">
        <v>44669</v>
      </c>
      <c r="B3972" s="331">
        <v>14800</v>
      </c>
      <c r="C3972" s="331">
        <v>15400</v>
      </c>
      <c r="D3972" s="438">
        <f t="shared" si="1093"/>
        <v>15100</v>
      </c>
      <c r="E3972" s="347"/>
      <c r="F3972" s="347"/>
    </row>
    <row r="3973" spans="1:6" ht="15" customHeight="1">
      <c r="A3973" s="3">
        <v>44670</v>
      </c>
      <c r="B3973" s="331">
        <v>14800</v>
      </c>
      <c r="C3973" s="331">
        <v>15400</v>
      </c>
      <c r="D3973" s="438">
        <f t="shared" si="1093"/>
        <v>15100</v>
      </c>
      <c r="E3973" s="347"/>
      <c r="F3973" s="347"/>
    </row>
    <row r="3974" spans="1:6" ht="15" customHeight="1">
      <c r="A3974" s="3">
        <v>44671</v>
      </c>
      <c r="B3974" s="331">
        <v>14200</v>
      </c>
      <c r="C3974" s="331">
        <v>15000</v>
      </c>
      <c r="D3974" s="438">
        <f t="shared" si="1093"/>
        <v>14600</v>
      </c>
      <c r="E3974" s="347"/>
      <c r="F3974" s="347"/>
    </row>
    <row r="3975" spans="1:6" ht="15" customHeight="1">
      <c r="A3975" s="3">
        <v>44672</v>
      </c>
      <c r="B3975" s="331">
        <v>14200</v>
      </c>
      <c r="C3975" s="331">
        <v>15000</v>
      </c>
      <c r="D3975" s="438">
        <f t="shared" si="1093"/>
        <v>14600</v>
      </c>
      <c r="E3975" s="347"/>
      <c r="F3975" s="347"/>
    </row>
    <row r="3976" spans="1:6" ht="15" customHeight="1">
      <c r="A3976" s="3">
        <v>44673</v>
      </c>
      <c r="B3976" s="331">
        <v>14600</v>
      </c>
      <c r="C3976" s="331">
        <v>15130</v>
      </c>
      <c r="D3976" s="438">
        <f t="shared" si="1093"/>
        <v>14865</v>
      </c>
      <c r="E3976" s="347"/>
      <c r="F3976" s="347"/>
    </row>
    <row r="3977" spans="1:6" ht="15" customHeight="1">
      <c r="A3977" s="3">
        <v>44676</v>
      </c>
      <c r="B3977" s="331">
        <v>14600</v>
      </c>
      <c r="C3977" s="331">
        <v>15130</v>
      </c>
      <c r="D3977" s="438">
        <f t="shared" si="1093"/>
        <v>14865</v>
      </c>
      <c r="E3977" s="347"/>
      <c r="F3977" s="347"/>
    </row>
    <row r="3978" spans="1:6" ht="15" customHeight="1">
      <c r="A3978" s="3">
        <v>44677</v>
      </c>
      <c r="B3978" s="331">
        <v>14600</v>
      </c>
      <c r="C3978" s="331">
        <v>15130</v>
      </c>
      <c r="D3978" s="438">
        <f t="shared" si="1093"/>
        <v>14865</v>
      </c>
      <c r="E3978" s="347"/>
      <c r="F3978" s="347"/>
    </row>
    <row r="3979" spans="1:6" ht="15" customHeight="1">
      <c r="A3979" s="3">
        <v>44678</v>
      </c>
      <c r="B3979" s="331">
        <v>14400</v>
      </c>
      <c r="C3979" s="331">
        <v>14900</v>
      </c>
      <c r="D3979" s="438">
        <f t="shared" si="1093"/>
        <v>14650</v>
      </c>
      <c r="E3979" s="347"/>
      <c r="F3979" s="347"/>
    </row>
    <row r="3980" spans="1:6" ht="15" customHeight="1">
      <c r="A3980" s="3">
        <v>44679</v>
      </c>
      <c r="B3980" s="331">
        <v>14400</v>
      </c>
      <c r="C3980" s="331">
        <v>14900</v>
      </c>
      <c r="D3980" s="438">
        <f t="shared" si="1093"/>
        <v>14650</v>
      </c>
      <c r="E3980" s="347"/>
      <c r="F3980" s="347"/>
    </row>
    <row r="3981" spans="1:6" ht="15" customHeight="1" thickBot="1">
      <c r="A3981" s="11">
        <v>44680</v>
      </c>
      <c r="B3981" s="441">
        <v>14300</v>
      </c>
      <c r="C3981" s="441">
        <v>14800</v>
      </c>
      <c r="D3981" s="439">
        <f t="shared" si="1093"/>
        <v>14550</v>
      </c>
      <c r="E3981" s="360">
        <f>AVERAGE(D3961:D3981)</f>
        <v>14941.428571428571</v>
      </c>
      <c r="F3981" s="360">
        <f>AVERAGE($D$3897:D3981)</f>
        <v>14140.416666666666</v>
      </c>
    </row>
    <row r="3982" spans="1:6" ht="15" customHeight="1">
      <c r="A3982" s="3">
        <v>44683</v>
      </c>
      <c r="B3982" s="1412" t="s">
        <v>61</v>
      </c>
      <c r="C3982" s="1412"/>
      <c r="D3982" s="1412"/>
    </row>
    <row r="3983" spans="1:6" ht="15" customHeight="1">
      <c r="A3983" s="3">
        <v>44684</v>
      </c>
      <c r="B3983" s="336">
        <v>14300</v>
      </c>
      <c r="C3983" s="336">
        <v>14800</v>
      </c>
      <c r="D3983" s="438">
        <f t="shared" ref="D3983:D4060" si="1094">AVERAGE(B3983:C3983)</f>
        <v>14550</v>
      </c>
    </row>
    <row r="3984" spans="1:6" ht="15" customHeight="1">
      <c r="A3984" s="3">
        <v>44685</v>
      </c>
      <c r="B3984" s="336">
        <v>14200</v>
      </c>
      <c r="C3984" s="336">
        <v>14700</v>
      </c>
      <c r="D3984" s="438">
        <f t="shared" si="1094"/>
        <v>14450</v>
      </c>
    </row>
    <row r="3985" spans="1:4" ht="15" customHeight="1">
      <c r="A3985" s="3">
        <v>44686</v>
      </c>
      <c r="B3985" s="336">
        <v>14200</v>
      </c>
      <c r="C3985" s="336">
        <v>14700</v>
      </c>
      <c r="D3985" s="438">
        <f t="shared" si="1094"/>
        <v>14450</v>
      </c>
    </row>
    <row r="3986" spans="1:4" ht="15" customHeight="1">
      <c r="A3986" s="3">
        <v>44687</v>
      </c>
      <c r="B3986" s="336">
        <v>13800</v>
      </c>
      <c r="C3986" s="336">
        <v>14600</v>
      </c>
      <c r="D3986" s="438">
        <f t="shared" si="1094"/>
        <v>14200</v>
      </c>
    </row>
    <row r="3987" spans="1:4" ht="15" customHeight="1">
      <c r="A3987" s="3">
        <v>44690</v>
      </c>
      <c r="B3987" s="336">
        <v>13800</v>
      </c>
      <c r="C3987" s="336">
        <v>14600</v>
      </c>
      <c r="D3987" s="438">
        <f t="shared" si="1094"/>
        <v>14200</v>
      </c>
    </row>
    <row r="3988" spans="1:4" ht="15" customHeight="1">
      <c r="A3988" s="3">
        <v>44691</v>
      </c>
      <c r="B3988" s="336">
        <v>13800</v>
      </c>
      <c r="C3988" s="336">
        <v>14600</v>
      </c>
      <c r="D3988" s="438">
        <f t="shared" si="1094"/>
        <v>14200</v>
      </c>
    </row>
    <row r="3989" spans="1:4" ht="15" customHeight="1">
      <c r="A3989" s="3">
        <v>44692</v>
      </c>
      <c r="B3989" s="336">
        <v>13350</v>
      </c>
      <c r="C3989" s="336">
        <v>14400</v>
      </c>
      <c r="D3989" s="438">
        <f t="shared" si="1094"/>
        <v>13875</v>
      </c>
    </row>
    <row r="3990" spans="1:4" ht="15" customHeight="1">
      <c r="A3990" s="3">
        <v>44693</v>
      </c>
      <c r="B3990" s="336">
        <v>13350</v>
      </c>
      <c r="C3990" s="336">
        <v>14400</v>
      </c>
      <c r="D3990" s="438">
        <f t="shared" si="1094"/>
        <v>13875</v>
      </c>
    </row>
    <row r="3991" spans="1:4" ht="15" customHeight="1">
      <c r="A3991" s="3">
        <v>44694</v>
      </c>
      <c r="B3991" s="336">
        <v>13300</v>
      </c>
      <c r="C3991" s="336">
        <v>14300</v>
      </c>
      <c r="D3991" s="438">
        <f t="shared" si="1094"/>
        <v>13800</v>
      </c>
    </row>
    <row r="3992" spans="1:4" ht="15" customHeight="1">
      <c r="A3992" s="3">
        <v>44697</v>
      </c>
      <c r="B3992" s="336">
        <v>13300</v>
      </c>
      <c r="C3992" s="336">
        <v>14300</v>
      </c>
      <c r="D3992" s="438">
        <f t="shared" si="1094"/>
        <v>13800</v>
      </c>
    </row>
    <row r="3993" spans="1:4" ht="15" customHeight="1">
      <c r="A3993" s="3">
        <v>44698</v>
      </c>
      <c r="B3993" s="336">
        <v>13300</v>
      </c>
      <c r="C3993" s="336">
        <v>14300</v>
      </c>
      <c r="D3993" s="438">
        <f t="shared" si="1094"/>
        <v>13800</v>
      </c>
    </row>
    <row r="3994" spans="1:4" ht="15" customHeight="1">
      <c r="A3994" s="3">
        <v>44699</v>
      </c>
      <c r="B3994" s="336">
        <v>13000</v>
      </c>
      <c r="C3994" s="336">
        <v>13900</v>
      </c>
      <c r="D3994" s="438">
        <f t="shared" si="1094"/>
        <v>13450</v>
      </c>
    </row>
    <row r="3995" spans="1:4" ht="15" customHeight="1">
      <c r="A3995" s="3">
        <v>44700</v>
      </c>
      <c r="B3995" s="336">
        <v>13000</v>
      </c>
      <c r="C3995" s="336">
        <v>13900</v>
      </c>
      <c r="D3995" s="438">
        <f t="shared" si="1094"/>
        <v>13450</v>
      </c>
    </row>
    <row r="3996" spans="1:4" ht="15" customHeight="1">
      <c r="A3996" s="3">
        <v>44701</v>
      </c>
      <c r="B3996" s="336">
        <v>12900</v>
      </c>
      <c r="C3996" s="336">
        <v>13900</v>
      </c>
      <c r="D3996" s="438">
        <f t="shared" si="1094"/>
        <v>13400</v>
      </c>
    </row>
    <row r="3997" spans="1:4" ht="15" customHeight="1">
      <c r="A3997" s="3">
        <v>44704</v>
      </c>
      <c r="B3997" s="336">
        <v>12900</v>
      </c>
      <c r="C3997" s="336">
        <v>13900</v>
      </c>
      <c r="D3997" s="438">
        <f t="shared" si="1094"/>
        <v>13400</v>
      </c>
    </row>
    <row r="3998" spans="1:4" ht="15" customHeight="1">
      <c r="A3998" s="3">
        <v>44705</v>
      </c>
      <c r="B3998" s="336">
        <v>12900</v>
      </c>
      <c r="C3998" s="336">
        <v>13900</v>
      </c>
      <c r="D3998" s="438">
        <f t="shared" si="1094"/>
        <v>13400</v>
      </c>
    </row>
    <row r="3999" spans="1:4" ht="15" customHeight="1">
      <c r="A3999" s="3">
        <v>44706</v>
      </c>
      <c r="B3999" s="336">
        <v>12900</v>
      </c>
      <c r="C3999" s="336">
        <v>13600</v>
      </c>
      <c r="D3999" s="438">
        <f t="shared" si="1094"/>
        <v>13250</v>
      </c>
    </row>
    <row r="4000" spans="1:4" ht="15" customHeight="1">
      <c r="A4000" s="3">
        <v>44707</v>
      </c>
      <c r="B4000" s="336">
        <v>12900</v>
      </c>
      <c r="C4000" s="336">
        <v>13600</v>
      </c>
      <c r="D4000" s="438">
        <f t="shared" si="1094"/>
        <v>13250</v>
      </c>
    </row>
    <row r="4001" spans="1:6" ht="15" customHeight="1">
      <c r="A4001" s="3">
        <v>44708</v>
      </c>
      <c r="B4001" s="336">
        <v>12650</v>
      </c>
      <c r="C4001" s="336">
        <v>13520</v>
      </c>
      <c r="D4001" s="438">
        <f t="shared" si="1094"/>
        <v>13085</v>
      </c>
    </row>
    <row r="4002" spans="1:6" ht="15" customHeight="1">
      <c r="A4002" s="3">
        <v>44711</v>
      </c>
      <c r="B4002" s="336">
        <v>12650</v>
      </c>
      <c r="C4002" s="336">
        <v>13520</v>
      </c>
      <c r="D4002" s="438">
        <f t="shared" si="1094"/>
        <v>13085</v>
      </c>
    </row>
    <row r="4003" spans="1:6" ht="15" customHeight="1" thickBot="1">
      <c r="A4003" s="11">
        <v>44712</v>
      </c>
      <c r="B4003" s="341">
        <v>12650</v>
      </c>
      <c r="C4003" s="341">
        <v>13520</v>
      </c>
      <c r="D4003" s="439">
        <f t="shared" si="1094"/>
        <v>13085</v>
      </c>
      <c r="E4003" s="360">
        <f>AVERAGE(D3982:D4003)</f>
        <v>13716.904761904761</v>
      </c>
      <c r="F4003" s="360">
        <f>AVERAGE($D$3897:D4003)</f>
        <v>14055.714285714286</v>
      </c>
    </row>
    <row r="4004" spans="1:6" ht="15" customHeight="1">
      <c r="A4004" s="3">
        <v>44713</v>
      </c>
      <c r="B4004" s="336">
        <v>12500</v>
      </c>
      <c r="C4004" s="336">
        <v>13500</v>
      </c>
      <c r="D4004" s="438">
        <f t="shared" si="1094"/>
        <v>13000</v>
      </c>
    </row>
    <row r="4005" spans="1:6" ht="15" customHeight="1">
      <c r="A4005" s="3">
        <v>44714</v>
      </c>
      <c r="B4005" s="1410" t="s">
        <v>23</v>
      </c>
      <c r="C4005" s="1410"/>
      <c r="D4005" s="1410"/>
      <c r="E4005" s="380"/>
      <c r="F4005" s="380"/>
    </row>
    <row r="4006" spans="1:6" ht="15" customHeight="1">
      <c r="A4006" s="3">
        <v>44715</v>
      </c>
      <c r="B4006" s="380">
        <v>12500</v>
      </c>
      <c r="C4006" s="380">
        <v>13500</v>
      </c>
      <c r="D4006" s="438">
        <f t="shared" si="1094"/>
        <v>13000</v>
      </c>
      <c r="E4006" s="380"/>
      <c r="F4006" s="380"/>
    </row>
    <row r="4007" spans="1:6" ht="15" customHeight="1">
      <c r="A4007" s="3">
        <v>44718</v>
      </c>
      <c r="B4007" s="380">
        <v>12500</v>
      </c>
      <c r="C4007" s="380">
        <v>13500</v>
      </c>
      <c r="D4007" s="438">
        <f t="shared" si="1094"/>
        <v>13000</v>
      </c>
    </row>
    <row r="4008" spans="1:6" ht="15" customHeight="1">
      <c r="A4008" s="3">
        <v>44719</v>
      </c>
      <c r="B4008" s="380">
        <v>12500</v>
      </c>
      <c r="C4008" s="380">
        <v>13500</v>
      </c>
      <c r="D4008" s="438">
        <f t="shared" si="1094"/>
        <v>13000</v>
      </c>
    </row>
    <row r="4009" spans="1:6" ht="15" customHeight="1">
      <c r="A4009" s="3">
        <v>44720</v>
      </c>
      <c r="B4009" s="336">
        <v>13000</v>
      </c>
      <c r="C4009" s="336">
        <v>13500</v>
      </c>
      <c r="D4009" s="438">
        <f t="shared" si="1094"/>
        <v>13250</v>
      </c>
    </row>
    <row r="4010" spans="1:6" ht="15" customHeight="1">
      <c r="A4010" s="3">
        <v>44721</v>
      </c>
      <c r="B4010" s="336">
        <v>13000</v>
      </c>
      <c r="C4010" s="336">
        <v>13500</v>
      </c>
      <c r="D4010" s="438">
        <f t="shared" si="1094"/>
        <v>13250</v>
      </c>
    </row>
    <row r="4011" spans="1:6" ht="15" customHeight="1">
      <c r="A4011" s="335">
        <v>44722</v>
      </c>
      <c r="B4011" s="336">
        <v>12800</v>
      </c>
      <c r="C4011" s="336">
        <v>13500</v>
      </c>
      <c r="D4011" s="438">
        <f t="shared" si="1094"/>
        <v>13150</v>
      </c>
    </row>
    <row r="4012" spans="1:6" ht="15" customHeight="1">
      <c r="A4012" s="335">
        <v>44725</v>
      </c>
      <c r="B4012" s="336">
        <v>12800</v>
      </c>
      <c r="C4012" s="336">
        <v>13500</v>
      </c>
      <c r="D4012" s="438">
        <f t="shared" si="1094"/>
        <v>13150</v>
      </c>
    </row>
    <row r="4013" spans="1:6" ht="15" customHeight="1">
      <c r="A4013" s="335">
        <v>44726</v>
      </c>
      <c r="B4013" s="336">
        <v>12800</v>
      </c>
      <c r="C4013" s="336">
        <v>13500</v>
      </c>
      <c r="D4013" s="438">
        <f t="shared" si="1094"/>
        <v>13150</v>
      </c>
    </row>
    <row r="4014" spans="1:6" ht="15" customHeight="1">
      <c r="A4014" s="335">
        <v>44727</v>
      </c>
      <c r="B4014" s="336">
        <v>13200</v>
      </c>
      <c r="C4014" s="336">
        <v>13525</v>
      </c>
      <c r="D4014" s="438">
        <f t="shared" si="1094"/>
        <v>13362.5</v>
      </c>
    </row>
    <row r="4015" spans="1:6" ht="15" customHeight="1">
      <c r="A4015" s="335">
        <v>44728</v>
      </c>
      <c r="B4015" s="336">
        <v>13200</v>
      </c>
      <c r="C4015" s="336">
        <v>13525</v>
      </c>
      <c r="D4015" s="438">
        <f t="shared" si="1094"/>
        <v>13362.5</v>
      </c>
    </row>
    <row r="4016" spans="1:6" ht="15" customHeight="1">
      <c r="A4016" s="335">
        <v>44729</v>
      </c>
      <c r="B4016" s="336">
        <v>13400</v>
      </c>
      <c r="C4016" s="336">
        <v>13600</v>
      </c>
      <c r="D4016" s="438">
        <f t="shared" si="1094"/>
        <v>13500</v>
      </c>
    </row>
    <row r="4017" spans="1:6" ht="15" customHeight="1">
      <c r="A4017" s="335">
        <v>44732</v>
      </c>
      <c r="B4017" s="336">
        <v>13400</v>
      </c>
      <c r="C4017" s="336">
        <v>13600</v>
      </c>
      <c r="D4017" s="438">
        <f t="shared" si="1094"/>
        <v>13500</v>
      </c>
    </row>
    <row r="4018" spans="1:6" ht="15" customHeight="1">
      <c r="A4018" s="335">
        <v>44733</v>
      </c>
      <c r="B4018" s="336">
        <v>13400</v>
      </c>
      <c r="C4018" s="336">
        <v>13600</v>
      </c>
      <c r="D4018" s="438">
        <f t="shared" si="1094"/>
        <v>13500</v>
      </c>
    </row>
    <row r="4019" spans="1:6" ht="15" customHeight="1">
      <c r="A4019" s="335">
        <v>44734</v>
      </c>
      <c r="B4019" s="336">
        <v>13300</v>
      </c>
      <c r="C4019" s="336">
        <v>13750</v>
      </c>
      <c r="D4019" s="438">
        <f t="shared" si="1094"/>
        <v>13525</v>
      </c>
    </row>
    <row r="4020" spans="1:6" ht="15" customHeight="1">
      <c r="A4020" s="335">
        <v>44735</v>
      </c>
      <c r="B4020" s="336">
        <v>13300</v>
      </c>
      <c r="C4020" s="336">
        <v>13750</v>
      </c>
      <c r="D4020" s="438">
        <f t="shared" si="1094"/>
        <v>13525</v>
      </c>
    </row>
    <row r="4021" spans="1:6" ht="15" customHeight="1">
      <c r="A4021" s="335">
        <v>44736</v>
      </c>
      <c r="B4021" s="336">
        <v>13650</v>
      </c>
      <c r="C4021" s="336">
        <v>13750</v>
      </c>
      <c r="D4021" s="438">
        <f t="shared" si="1094"/>
        <v>13700</v>
      </c>
    </row>
    <row r="4022" spans="1:6" ht="15" customHeight="1">
      <c r="A4022" s="335">
        <v>44739</v>
      </c>
      <c r="B4022" s="336">
        <v>13650</v>
      </c>
      <c r="C4022" s="336">
        <v>13750</v>
      </c>
      <c r="D4022" s="438">
        <f t="shared" si="1094"/>
        <v>13700</v>
      </c>
    </row>
    <row r="4023" spans="1:6" ht="15" customHeight="1">
      <c r="A4023" s="335">
        <v>44740</v>
      </c>
      <c r="B4023" s="336">
        <v>13650</v>
      </c>
      <c r="C4023" s="336">
        <v>13750</v>
      </c>
      <c r="D4023" s="438">
        <f t="shared" si="1094"/>
        <v>13700</v>
      </c>
    </row>
    <row r="4024" spans="1:6" ht="15" customHeight="1">
      <c r="A4024" s="335">
        <v>44741</v>
      </c>
      <c r="B4024" s="336">
        <v>13700</v>
      </c>
      <c r="C4024" s="336">
        <v>14065</v>
      </c>
      <c r="D4024" s="438">
        <f t="shared" si="1094"/>
        <v>13882.5</v>
      </c>
    </row>
    <row r="4025" spans="1:6" ht="15" customHeight="1" thickBot="1">
      <c r="A4025" s="340">
        <v>44742</v>
      </c>
      <c r="B4025" s="341">
        <v>13700</v>
      </c>
      <c r="C4025" s="341">
        <v>13700</v>
      </c>
      <c r="D4025" s="439">
        <f t="shared" si="1094"/>
        <v>13700</v>
      </c>
      <c r="E4025" s="360">
        <f>AVERAGE(D4004:D4025)</f>
        <v>13376.547619047618</v>
      </c>
      <c r="F4025" s="360">
        <f>AVERAGE($D$3897:D4025)</f>
        <v>13942.519841269841</v>
      </c>
    </row>
    <row r="4026" spans="1:6" ht="15" customHeight="1">
      <c r="A4026" s="335">
        <v>44743</v>
      </c>
      <c r="B4026" s="336">
        <v>13750</v>
      </c>
      <c r="C4026" s="336">
        <v>13850</v>
      </c>
      <c r="D4026" s="337">
        <f t="shared" si="1094"/>
        <v>13800</v>
      </c>
    </row>
    <row r="4027" spans="1:6" ht="15" customHeight="1">
      <c r="A4027" s="335">
        <v>44748</v>
      </c>
      <c r="B4027" s="336">
        <v>13600</v>
      </c>
      <c r="C4027" s="336">
        <v>14200</v>
      </c>
      <c r="D4027" s="337">
        <f t="shared" si="1094"/>
        <v>13900</v>
      </c>
    </row>
    <row r="4028" spans="1:6" ht="15" customHeight="1">
      <c r="A4028" s="335">
        <v>44750</v>
      </c>
      <c r="B4028" s="336">
        <v>13600</v>
      </c>
      <c r="C4028" s="336">
        <v>14200</v>
      </c>
      <c r="D4028" s="337">
        <f t="shared" si="1094"/>
        <v>13900</v>
      </c>
    </row>
    <row r="4029" spans="1:6" ht="15" customHeight="1">
      <c r="A4029" s="335">
        <v>44755</v>
      </c>
      <c r="B4029" s="336">
        <v>13600</v>
      </c>
      <c r="C4029" s="336">
        <v>14200</v>
      </c>
      <c r="D4029" s="337">
        <f t="shared" si="1094"/>
        <v>13900</v>
      </c>
    </row>
    <row r="4030" spans="1:6" ht="15" customHeight="1">
      <c r="A4030" s="335">
        <v>44757</v>
      </c>
      <c r="B4030" s="336">
        <v>13400</v>
      </c>
      <c r="C4030" s="336">
        <v>14000</v>
      </c>
      <c r="D4030" s="337">
        <f t="shared" si="1094"/>
        <v>13700</v>
      </c>
    </row>
    <row r="4031" spans="1:6" ht="15" customHeight="1">
      <c r="A4031" s="335">
        <v>44762</v>
      </c>
      <c r="B4031" s="336">
        <v>13600</v>
      </c>
      <c r="C4031" s="336">
        <v>14100</v>
      </c>
      <c r="D4031" s="337">
        <f t="shared" si="1094"/>
        <v>13850</v>
      </c>
    </row>
    <row r="4032" spans="1:6" ht="15" customHeight="1">
      <c r="A4032" s="335">
        <v>44764</v>
      </c>
      <c r="B4032" s="336">
        <v>13600</v>
      </c>
      <c r="C4032" s="336">
        <v>14100</v>
      </c>
      <c r="D4032" s="337">
        <f t="shared" si="1094"/>
        <v>13850</v>
      </c>
    </row>
    <row r="4033" spans="1:6" ht="15" customHeight="1">
      <c r="A4033" s="335">
        <v>44769</v>
      </c>
      <c r="B4033" s="336">
        <v>13500</v>
      </c>
      <c r="C4033" s="336">
        <v>14000</v>
      </c>
      <c r="D4033" s="337">
        <f t="shared" si="1094"/>
        <v>13750</v>
      </c>
    </row>
    <row r="4034" spans="1:6" ht="15" customHeight="1" thickBot="1">
      <c r="A4034" s="340">
        <v>44771</v>
      </c>
      <c r="B4034" s="341">
        <v>13300</v>
      </c>
      <c r="C4034" s="341">
        <v>13900</v>
      </c>
      <c r="D4034" s="342">
        <f t="shared" si="1094"/>
        <v>13600</v>
      </c>
      <c r="E4034" s="360">
        <f>AVERAGE(D4026:D4034)</f>
        <v>13805.555555555555</v>
      </c>
      <c r="F4034" s="360">
        <f>AVERAGE($D$3897:D4034)</f>
        <v>13933.388888888889</v>
      </c>
    </row>
    <row r="4035" spans="1:6" ht="15" customHeight="1">
      <c r="A4035" s="335">
        <v>44776</v>
      </c>
      <c r="B4035" s="336">
        <v>13150</v>
      </c>
      <c r="C4035" s="336">
        <v>13510</v>
      </c>
      <c r="D4035" s="337">
        <f t="shared" si="1094"/>
        <v>13330</v>
      </c>
    </row>
    <row r="4036" spans="1:6" ht="15" customHeight="1">
      <c r="A4036" s="335">
        <v>44778</v>
      </c>
      <c r="B4036" s="336">
        <v>13100</v>
      </c>
      <c r="C4036" s="336">
        <v>13500</v>
      </c>
      <c r="D4036" s="337">
        <f t="shared" si="1094"/>
        <v>13300</v>
      </c>
    </row>
    <row r="4037" spans="1:6" ht="15" customHeight="1">
      <c r="A4037" s="335">
        <v>44783</v>
      </c>
      <c r="B4037" s="336">
        <v>12900</v>
      </c>
      <c r="C4037" s="336">
        <v>13500</v>
      </c>
      <c r="D4037" s="337">
        <f t="shared" si="1094"/>
        <v>13200</v>
      </c>
    </row>
    <row r="4038" spans="1:6" ht="15" customHeight="1">
      <c r="A4038" s="335">
        <v>44785</v>
      </c>
      <c r="B4038" s="336">
        <v>13100</v>
      </c>
      <c r="C4038" s="336">
        <v>13700</v>
      </c>
      <c r="D4038" s="337">
        <f t="shared" si="1094"/>
        <v>13400</v>
      </c>
    </row>
    <row r="4039" spans="1:6" ht="15" customHeight="1">
      <c r="A4039" s="335">
        <v>44790</v>
      </c>
      <c r="B4039" s="336">
        <v>12900</v>
      </c>
      <c r="C4039" s="336">
        <v>13700</v>
      </c>
      <c r="D4039" s="337">
        <f t="shared" si="1094"/>
        <v>13300</v>
      </c>
    </row>
    <row r="4040" spans="1:6" ht="15" customHeight="1">
      <c r="A4040" s="335">
        <v>44792</v>
      </c>
      <c r="B4040" s="336">
        <v>12800</v>
      </c>
      <c r="C4040" s="336">
        <v>13500</v>
      </c>
      <c r="D4040" s="337">
        <f t="shared" si="1094"/>
        <v>13150</v>
      </c>
    </row>
    <row r="4041" spans="1:6" ht="15" customHeight="1">
      <c r="A4041" s="335">
        <v>44797</v>
      </c>
      <c r="B4041" s="336">
        <v>12700</v>
      </c>
      <c r="C4041" s="336">
        <v>13500</v>
      </c>
      <c r="D4041" s="337">
        <f t="shared" si="1094"/>
        <v>13100</v>
      </c>
    </row>
    <row r="4042" spans="1:6" ht="15" customHeight="1">
      <c r="A4042" s="335">
        <v>44799</v>
      </c>
      <c r="B4042" s="336">
        <v>12700</v>
      </c>
      <c r="C4042" s="336">
        <v>13300</v>
      </c>
      <c r="D4042" s="337">
        <f t="shared" si="1094"/>
        <v>13000</v>
      </c>
    </row>
    <row r="4043" spans="1:6" ht="15" customHeight="1" thickBot="1">
      <c r="A4043" s="340">
        <v>44804</v>
      </c>
      <c r="B4043" s="341">
        <v>12600</v>
      </c>
      <c r="C4043" s="341">
        <v>13200</v>
      </c>
      <c r="D4043" s="342">
        <f t="shared" si="1094"/>
        <v>12900</v>
      </c>
      <c r="E4043" s="360">
        <f>AVERAGE(D4035:D4043)</f>
        <v>13186.666666666666</v>
      </c>
      <c r="F4043" s="360">
        <f>AVERAGE($D$3897:D4043)</f>
        <v>13886.71875</v>
      </c>
    </row>
    <row r="4044" spans="1:6" ht="15" customHeight="1">
      <c r="A4044" s="335">
        <v>44806</v>
      </c>
      <c r="B4044" s="336">
        <v>12500</v>
      </c>
      <c r="C4044" s="336">
        <v>13200</v>
      </c>
      <c r="D4044" s="337">
        <f t="shared" si="1094"/>
        <v>12850</v>
      </c>
    </row>
    <row r="4045" spans="1:6" ht="15" customHeight="1">
      <c r="A4045" s="335">
        <v>44811</v>
      </c>
      <c r="B4045" s="336">
        <v>12500</v>
      </c>
      <c r="C4045" s="336">
        <v>13200</v>
      </c>
      <c r="D4045" s="337">
        <f t="shared" si="1094"/>
        <v>12850</v>
      </c>
    </row>
    <row r="4046" spans="1:6" ht="15" customHeight="1">
      <c r="A4046" s="335">
        <v>44813</v>
      </c>
      <c r="B4046" s="336">
        <v>12400</v>
      </c>
      <c r="C4046" s="336">
        <v>13200</v>
      </c>
      <c r="D4046" s="337">
        <f t="shared" si="1094"/>
        <v>12800</v>
      </c>
    </row>
    <row r="4047" spans="1:6" ht="15" customHeight="1">
      <c r="A4047" s="335">
        <v>44818</v>
      </c>
      <c r="B4047" s="336">
        <v>12700</v>
      </c>
      <c r="C4047" s="336">
        <v>13200</v>
      </c>
      <c r="D4047" s="337">
        <f t="shared" si="1094"/>
        <v>12950</v>
      </c>
    </row>
    <row r="4048" spans="1:6" ht="15" customHeight="1">
      <c r="A4048" s="335">
        <v>44820</v>
      </c>
      <c r="B4048" s="336">
        <v>12700</v>
      </c>
      <c r="C4048" s="336">
        <v>13310</v>
      </c>
      <c r="D4048" s="337">
        <f t="shared" si="1094"/>
        <v>13005</v>
      </c>
    </row>
    <row r="4049" spans="1:6" ht="15" customHeight="1">
      <c r="A4049" s="335">
        <v>44825</v>
      </c>
      <c r="B4049" s="336">
        <v>12600</v>
      </c>
      <c r="C4049" s="336">
        <v>13310</v>
      </c>
      <c r="D4049" s="337">
        <f t="shared" si="1094"/>
        <v>12955</v>
      </c>
    </row>
    <row r="4050" spans="1:6" ht="15" customHeight="1">
      <c r="A4050" s="335">
        <v>44827</v>
      </c>
      <c r="B4050" s="336">
        <v>12250</v>
      </c>
      <c r="C4050" s="336">
        <v>12950</v>
      </c>
      <c r="D4050" s="337">
        <f t="shared" si="1094"/>
        <v>12600</v>
      </c>
    </row>
    <row r="4051" spans="1:6" ht="15" customHeight="1">
      <c r="A4051" s="335">
        <v>44832</v>
      </c>
      <c r="B4051" s="336">
        <v>12150</v>
      </c>
      <c r="C4051" s="336">
        <v>12950</v>
      </c>
      <c r="D4051" s="337">
        <f t="shared" si="1094"/>
        <v>12550</v>
      </c>
    </row>
    <row r="4052" spans="1:6" ht="15" customHeight="1" thickBot="1">
      <c r="A4052" s="340">
        <v>44834</v>
      </c>
      <c r="B4052" s="341">
        <v>12100</v>
      </c>
      <c r="C4052" s="341">
        <v>12900</v>
      </c>
      <c r="D4052" s="342">
        <f t="shared" si="1094"/>
        <v>12500</v>
      </c>
      <c r="E4052" s="360">
        <f>AVERAGE(D4044:D4052)</f>
        <v>12784.444444444445</v>
      </c>
      <c r="F4052" s="360">
        <f>AVERAGE($D$3897:D4052)</f>
        <v>13821.879084967321</v>
      </c>
    </row>
    <row r="4053" spans="1:6" ht="15" customHeight="1">
      <c r="A4053" s="335">
        <v>44839</v>
      </c>
      <c r="B4053" s="336">
        <v>12000</v>
      </c>
      <c r="C4053" s="336">
        <v>12700</v>
      </c>
      <c r="D4053" s="337">
        <f t="shared" si="1094"/>
        <v>12350</v>
      </c>
    </row>
    <row r="4054" spans="1:6" ht="15" customHeight="1">
      <c r="A4054" s="335">
        <v>44841</v>
      </c>
      <c r="B4054" s="336">
        <v>11950</v>
      </c>
      <c r="C4054" s="336">
        <v>12800</v>
      </c>
      <c r="D4054" s="337">
        <f t="shared" si="1094"/>
        <v>12375</v>
      </c>
    </row>
    <row r="4055" spans="1:6" ht="15" customHeight="1">
      <c r="A4055" s="335">
        <v>44846</v>
      </c>
      <c r="B4055" s="336">
        <v>11900</v>
      </c>
      <c r="C4055" s="336">
        <v>12800</v>
      </c>
      <c r="D4055" s="337">
        <f t="shared" si="1094"/>
        <v>12350</v>
      </c>
    </row>
    <row r="4056" spans="1:6" ht="15" customHeight="1">
      <c r="A4056" s="335">
        <v>44848</v>
      </c>
      <c r="B4056" s="336">
        <v>11850</v>
      </c>
      <c r="C4056" s="336">
        <v>12500</v>
      </c>
      <c r="D4056" s="337">
        <f t="shared" si="1094"/>
        <v>12175</v>
      </c>
    </row>
    <row r="4057" spans="1:6" ht="15" customHeight="1">
      <c r="A4057" s="335">
        <v>44853</v>
      </c>
      <c r="B4057" s="336">
        <v>11800</v>
      </c>
      <c r="C4057" s="336">
        <v>12400</v>
      </c>
      <c r="D4057" s="337">
        <f t="shared" si="1094"/>
        <v>12100</v>
      </c>
    </row>
    <row r="4058" spans="1:6" ht="15" customHeight="1">
      <c r="A4058" s="335">
        <v>44855</v>
      </c>
      <c r="B4058" s="336">
        <v>11800</v>
      </c>
      <c r="C4058" s="336">
        <v>12400</v>
      </c>
      <c r="D4058" s="337">
        <f t="shared" si="1094"/>
        <v>12100</v>
      </c>
    </row>
    <row r="4059" spans="1:6" ht="15" customHeight="1">
      <c r="A4059" s="335">
        <v>44860</v>
      </c>
      <c r="B4059" s="336">
        <v>11700</v>
      </c>
      <c r="C4059" s="336">
        <v>12400</v>
      </c>
      <c r="D4059" s="337">
        <f t="shared" si="1094"/>
        <v>12050</v>
      </c>
    </row>
    <row r="4060" spans="1:6" ht="15" customHeight="1" thickBot="1">
      <c r="A4060" s="340">
        <v>44862</v>
      </c>
      <c r="B4060" s="341">
        <v>11500</v>
      </c>
      <c r="C4060" s="341">
        <v>12300</v>
      </c>
      <c r="D4060" s="342">
        <f t="shared" si="1094"/>
        <v>11900</v>
      </c>
      <c r="E4060" s="360">
        <f>AVERAGE(D4053:D4060)</f>
        <v>12175</v>
      </c>
      <c r="F4060" s="360">
        <f>AVERAGE($D$3897:D4060)</f>
        <v>13740.046583850932</v>
      </c>
    </row>
    <row r="4061" spans="1:6" ht="15" customHeight="1">
      <c r="A4061" s="335">
        <v>44867</v>
      </c>
      <c r="B4061" s="336">
        <v>11500</v>
      </c>
      <c r="C4061" s="336">
        <v>12300</v>
      </c>
      <c r="D4061" s="337">
        <f t="shared" ref="D4061:D4068" si="1095">AVERAGE(B4061:C4061)</f>
        <v>11900</v>
      </c>
    </row>
    <row r="4062" spans="1:6" ht="15" customHeight="1">
      <c r="A4062" s="335">
        <v>44869</v>
      </c>
      <c r="B4062" s="336">
        <v>11400</v>
      </c>
      <c r="C4062" s="336">
        <v>12300</v>
      </c>
      <c r="D4062" s="337">
        <f t="shared" si="1095"/>
        <v>11850</v>
      </c>
    </row>
    <row r="4063" spans="1:6" ht="15" customHeight="1">
      <c r="A4063" s="335">
        <v>44874</v>
      </c>
      <c r="B4063" s="336">
        <v>11100</v>
      </c>
      <c r="C4063" s="336">
        <v>12100</v>
      </c>
      <c r="D4063" s="337">
        <f t="shared" si="1095"/>
        <v>11600</v>
      </c>
    </row>
    <row r="4064" spans="1:6" ht="15" customHeight="1">
      <c r="A4064" s="335">
        <v>44876</v>
      </c>
      <c r="B4064" s="336">
        <v>11100</v>
      </c>
      <c r="C4064" s="336">
        <v>12100</v>
      </c>
      <c r="D4064" s="337">
        <f t="shared" si="1095"/>
        <v>11600</v>
      </c>
    </row>
    <row r="4065" spans="1:10" ht="15" customHeight="1">
      <c r="A4065" s="335">
        <v>44881</v>
      </c>
      <c r="B4065" s="336">
        <v>11000</v>
      </c>
      <c r="C4065" s="336">
        <v>12000</v>
      </c>
      <c r="D4065" s="337">
        <f t="shared" si="1095"/>
        <v>11500</v>
      </c>
    </row>
    <row r="4066" spans="1:10" ht="15" customHeight="1">
      <c r="A4066" s="335">
        <v>44883</v>
      </c>
      <c r="B4066" s="336">
        <v>10800</v>
      </c>
      <c r="C4066" s="336">
        <v>11700</v>
      </c>
      <c r="D4066" s="337">
        <f t="shared" si="1095"/>
        <v>11250</v>
      </c>
    </row>
    <row r="4067" spans="1:10" ht="15" customHeight="1">
      <c r="A4067" s="335">
        <v>44888</v>
      </c>
      <c r="B4067" s="336">
        <v>10500</v>
      </c>
      <c r="C4067" s="336">
        <v>11450</v>
      </c>
      <c r="D4067" s="337">
        <f t="shared" si="1095"/>
        <v>10975</v>
      </c>
    </row>
    <row r="4068" spans="1:10" ht="15" customHeight="1">
      <c r="A4068" s="335">
        <v>44890</v>
      </c>
      <c r="B4068" s="336">
        <v>10475</v>
      </c>
      <c r="C4068" s="336">
        <v>11100</v>
      </c>
      <c r="D4068" s="337">
        <f t="shared" si="1095"/>
        <v>10787.5</v>
      </c>
      <c r="J4068" s="331" t="s">
        <v>63</v>
      </c>
    </row>
    <row r="4069" spans="1:10" ht="15" customHeight="1" thickBot="1">
      <c r="A4069" s="340">
        <v>44895</v>
      </c>
      <c r="B4069" s="341">
        <v>10400</v>
      </c>
      <c r="C4069" s="341">
        <v>11100</v>
      </c>
      <c r="D4069" s="342">
        <f t="shared" ref="D4069:D4112" si="1096">AVERAGE(B4069:C4069)</f>
        <v>10750</v>
      </c>
      <c r="E4069" s="360">
        <f>AVERAGE(D4061:D4069)</f>
        <v>11356.944444444445</v>
      </c>
      <c r="F4069" s="360">
        <f>AVERAGE($D$3897:D4069)</f>
        <v>13613.882352941177</v>
      </c>
    </row>
    <row r="4070" spans="1:10" ht="15" customHeight="1">
      <c r="A4070" s="335">
        <v>44897</v>
      </c>
      <c r="B4070" s="336">
        <v>10250</v>
      </c>
      <c r="C4070" s="336">
        <v>11000</v>
      </c>
      <c r="D4070" s="337">
        <f t="shared" si="1096"/>
        <v>10625</v>
      </c>
    </row>
    <row r="4071" spans="1:10" ht="15" customHeight="1">
      <c r="A4071" s="335">
        <v>44902</v>
      </c>
      <c r="B4071" s="336">
        <v>10100</v>
      </c>
      <c r="C4071" s="336">
        <v>11000</v>
      </c>
      <c r="D4071" s="337">
        <f t="shared" si="1096"/>
        <v>10550</v>
      </c>
    </row>
    <row r="4072" spans="1:10" ht="15" customHeight="1">
      <c r="A4072" s="335">
        <v>44904</v>
      </c>
      <c r="B4072" s="336">
        <v>10200</v>
      </c>
      <c r="C4072" s="336">
        <v>11100</v>
      </c>
      <c r="D4072" s="337">
        <f t="shared" si="1096"/>
        <v>10650</v>
      </c>
    </row>
    <row r="4073" spans="1:10" ht="15" customHeight="1">
      <c r="A4073" s="335">
        <v>44909</v>
      </c>
      <c r="B4073" s="336">
        <v>10050</v>
      </c>
      <c r="C4073" s="336">
        <v>11200</v>
      </c>
      <c r="D4073" s="337">
        <f t="shared" si="1096"/>
        <v>10625</v>
      </c>
    </row>
    <row r="4074" spans="1:10" ht="15" customHeight="1">
      <c r="A4074" s="335">
        <v>44911</v>
      </c>
      <c r="B4074" s="336">
        <v>10450</v>
      </c>
      <c r="C4074" s="336">
        <v>11200</v>
      </c>
      <c r="D4074" s="337">
        <f t="shared" si="1096"/>
        <v>10825</v>
      </c>
    </row>
    <row r="4075" spans="1:10" ht="15" customHeight="1">
      <c r="A4075" s="335">
        <v>44916</v>
      </c>
      <c r="B4075" s="336">
        <v>10700</v>
      </c>
      <c r="C4075" s="336">
        <v>11200</v>
      </c>
      <c r="D4075" s="337">
        <f t="shared" si="1096"/>
        <v>10950</v>
      </c>
    </row>
    <row r="4076" spans="1:10" ht="15" customHeight="1">
      <c r="A4076" s="335">
        <v>44918</v>
      </c>
      <c r="B4076" s="336">
        <v>10700</v>
      </c>
      <c r="C4076" s="336">
        <v>11400</v>
      </c>
      <c r="D4076" s="337">
        <f t="shared" si="1096"/>
        <v>11050</v>
      </c>
    </row>
    <row r="4077" spans="1:10" ht="15" customHeight="1">
      <c r="A4077" s="335">
        <v>44923</v>
      </c>
      <c r="B4077" s="336">
        <v>10700</v>
      </c>
      <c r="C4077" s="336">
        <v>11400</v>
      </c>
      <c r="D4077" s="337">
        <f t="shared" si="1096"/>
        <v>11050</v>
      </c>
    </row>
    <row r="4078" spans="1:10" ht="15" customHeight="1" thickBot="1">
      <c r="A4078" s="335">
        <v>44925</v>
      </c>
      <c r="B4078" s="341">
        <v>10700</v>
      </c>
      <c r="C4078" s="341">
        <v>11400</v>
      </c>
      <c r="D4078" s="342">
        <f t="shared" si="1096"/>
        <v>11050</v>
      </c>
      <c r="E4078" s="360">
        <f>AVERAGE(D4070:D4078)</f>
        <v>10819.444444444445</v>
      </c>
      <c r="F4078" s="360">
        <f>AVERAGE($D$3897:D4078)</f>
        <v>13473.379888268157</v>
      </c>
    </row>
    <row r="4079" spans="1:10" ht="15" customHeight="1">
      <c r="A4079" s="362">
        <v>44930</v>
      </c>
      <c r="B4079" s="336">
        <v>11100</v>
      </c>
      <c r="C4079" s="336">
        <v>11900</v>
      </c>
      <c r="D4079" s="337">
        <f t="shared" si="1096"/>
        <v>11500</v>
      </c>
    </row>
    <row r="4080" spans="1:10" ht="15" customHeight="1">
      <c r="A4080" s="335">
        <v>44932</v>
      </c>
      <c r="B4080" s="336">
        <v>11700</v>
      </c>
      <c r="C4080" s="336">
        <v>12200</v>
      </c>
      <c r="D4080" s="337">
        <f t="shared" si="1096"/>
        <v>11950</v>
      </c>
    </row>
    <row r="4081" spans="1:6" ht="15" customHeight="1">
      <c r="A4081" s="335">
        <v>44937</v>
      </c>
      <c r="B4081" s="336">
        <v>11900</v>
      </c>
      <c r="C4081" s="336">
        <v>12600</v>
      </c>
      <c r="D4081" s="337">
        <f t="shared" si="1096"/>
        <v>12250</v>
      </c>
    </row>
    <row r="4082" spans="1:6" ht="15" customHeight="1">
      <c r="A4082" s="335">
        <v>44939</v>
      </c>
      <c r="B4082" s="336">
        <v>12200</v>
      </c>
      <c r="C4082" s="336">
        <v>12850</v>
      </c>
      <c r="D4082" s="337">
        <f t="shared" si="1096"/>
        <v>12525</v>
      </c>
    </row>
    <row r="4083" spans="1:6" ht="15" customHeight="1">
      <c r="A4083" s="335">
        <v>44944</v>
      </c>
      <c r="B4083" s="336">
        <v>12400</v>
      </c>
      <c r="C4083" s="336">
        <v>13000</v>
      </c>
      <c r="D4083" s="337">
        <f t="shared" si="1096"/>
        <v>12700</v>
      </c>
    </row>
    <row r="4084" spans="1:6" ht="15" customHeight="1">
      <c r="A4084" s="335">
        <v>44946</v>
      </c>
      <c r="B4084" s="336">
        <v>12600</v>
      </c>
      <c r="C4084" s="336">
        <v>13000</v>
      </c>
      <c r="D4084" s="337">
        <f t="shared" si="1096"/>
        <v>12800</v>
      </c>
    </row>
    <row r="4085" spans="1:6" ht="15" customHeight="1">
      <c r="A4085" s="335">
        <v>44951</v>
      </c>
      <c r="B4085" s="336">
        <v>12600</v>
      </c>
      <c r="C4085" s="336">
        <v>13085</v>
      </c>
      <c r="D4085" s="337">
        <f t="shared" si="1096"/>
        <v>12842.5</v>
      </c>
    </row>
    <row r="4086" spans="1:6" ht="15" customHeight="1" thickBot="1">
      <c r="A4086" s="340">
        <v>44953</v>
      </c>
      <c r="B4086" s="341">
        <v>12600</v>
      </c>
      <c r="C4086" s="341">
        <v>13250</v>
      </c>
      <c r="D4086" s="342">
        <f t="shared" si="1096"/>
        <v>12925</v>
      </c>
      <c r="E4086" s="360">
        <f>AVERAGE(D4079:D4086)</f>
        <v>12436.5625</v>
      </c>
      <c r="F4086" s="360">
        <f>AVERAGE($D$4079:D4086)</f>
        <v>12436.5625</v>
      </c>
    </row>
    <row r="4087" spans="1:6" ht="15" customHeight="1">
      <c r="A4087" s="335">
        <v>44958</v>
      </c>
      <c r="B4087" s="336">
        <v>12600</v>
      </c>
      <c r="C4087" s="336">
        <v>13250</v>
      </c>
      <c r="D4087" s="337">
        <f t="shared" si="1096"/>
        <v>12925</v>
      </c>
    </row>
    <row r="4088" spans="1:6" ht="15" customHeight="1">
      <c r="A4088" s="335">
        <v>44960</v>
      </c>
      <c r="B4088" s="336">
        <v>12600</v>
      </c>
      <c r="C4088" s="336">
        <v>13250</v>
      </c>
      <c r="D4088" s="337">
        <f t="shared" si="1096"/>
        <v>12925</v>
      </c>
    </row>
    <row r="4089" spans="1:6" ht="15" customHeight="1">
      <c r="A4089" s="335">
        <v>44965</v>
      </c>
      <c r="B4089" s="336">
        <v>12700</v>
      </c>
      <c r="C4089" s="336">
        <v>13450</v>
      </c>
      <c r="D4089" s="337">
        <f t="shared" si="1096"/>
        <v>13075</v>
      </c>
    </row>
    <row r="4090" spans="1:6" ht="15" customHeight="1">
      <c r="A4090" s="335">
        <v>44967</v>
      </c>
      <c r="B4090" s="336">
        <v>12700</v>
      </c>
      <c r="C4090" s="336">
        <v>13450</v>
      </c>
      <c r="D4090" s="337">
        <f t="shared" si="1096"/>
        <v>13075</v>
      </c>
    </row>
    <row r="4091" spans="1:6" ht="15" customHeight="1">
      <c r="A4091" s="335">
        <v>44972</v>
      </c>
      <c r="B4091" s="336">
        <v>12900</v>
      </c>
      <c r="C4091" s="336">
        <v>13500</v>
      </c>
      <c r="D4091" s="337">
        <f t="shared" si="1096"/>
        <v>13200</v>
      </c>
    </row>
    <row r="4092" spans="1:6" ht="15" customHeight="1">
      <c r="A4092" s="335">
        <v>44974</v>
      </c>
      <c r="B4092" s="336">
        <v>12900</v>
      </c>
      <c r="C4092" s="336">
        <v>13500</v>
      </c>
      <c r="D4092" s="337">
        <f t="shared" si="1096"/>
        <v>13200</v>
      </c>
    </row>
    <row r="4093" spans="1:6" ht="15" customHeight="1">
      <c r="A4093" s="335">
        <v>44979</v>
      </c>
      <c r="B4093" s="336">
        <v>12800</v>
      </c>
      <c r="C4093" s="336">
        <v>13500</v>
      </c>
      <c r="D4093" s="337">
        <f t="shared" si="1096"/>
        <v>13150</v>
      </c>
    </row>
    <row r="4094" spans="1:6" ht="15" customHeight="1" thickBot="1">
      <c r="A4094" s="340">
        <v>44981</v>
      </c>
      <c r="B4094" s="341">
        <v>12600</v>
      </c>
      <c r="C4094" s="341">
        <v>13600</v>
      </c>
      <c r="D4094" s="342">
        <f t="shared" si="1096"/>
        <v>13100</v>
      </c>
      <c r="E4094" s="360">
        <f>AVERAGE(D4087:D4094)</f>
        <v>13081.25</v>
      </c>
      <c r="F4094" s="360">
        <f>AVERAGE($D$4079:D4094)</f>
        <v>12758.90625</v>
      </c>
    </row>
    <row r="4095" spans="1:6" ht="15" customHeight="1">
      <c r="A4095" s="362">
        <v>44986</v>
      </c>
      <c r="B4095" s="363">
        <v>12600</v>
      </c>
      <c r="C4095" s="363">
        <v>13600</v>
      </c>
      <c r="D4095" s="408">
        <f t="shared" si="1096"/>
        <v>13100</v>
      </c>
    </row>
    <row r="4096" spans="1:6" ht="15" customHeight="1">
      <c r="A4096" s="335">
        <v>44988</v>
      </c>
      <c r="B4096" s="345">
        <v>12400</v>
      </c>
      <c r="C4096" s="345">
        <v>13500</v>
      </c>
      <c r="D4096" s="346">
        <f t="shared" si="1096"/>
        <v>12950</v>
      </c>
    </row>
    <row r="4097" spans="1:6" ht="15" customHeight="1">
      <c r="A4097" s="335">
        <v>44993</v>
      </c>
      <c r="B4097" s="345">
        <v>12500</v>
      </c>
      <c r="C4097" s="345">
        <v>13450</v>
      </c>
      <c r="D4097" s="346">
        <f t="shared" si="1096"/>
        <v>12975</v>
      </c>
    </row>
    <row r="4098" spans="1:6" ht="15" customHeight="1">
      <c r="A4098" s="335">
        <v>44995</v>
      </c>
      <c r="B4098" s="345">
        <v>12250</v>
      </c>
      <c r="C4098" s="345">
        <v>13100</v>
      </c>
      <c r="D4098" s="346">
        <f t="shared" si="1096"/>
        <v>12675</v>
      </c>
    </row>
    <row r="4099" spans="1:6" ht="15" customHeight="1">
      <c r="A4099" s="335">
        <v>45001</v>
      </c>
      <c r="B4099" s="345">
        <v>12100</v>
      </c>
      <c r="C4099" s="345">
        <v>13000</v>
      </c>
      <c r="D4099" s="346">
        <f t="shared" si="1096"/>
        <v>12550</v>
      </c>
    </row>
    <row r="4100" spans="1:6" ht="15" customHeight="1">
      <c r="A4100" s="335">
        <v>45002</v>
      </c>
      <c r="B4100" s="345">
        <v>12100</v>
      </c>
      <c r="C4100" s="345">
        <v>13000</v>
      </c>
      <c r="D4100" s="346">
        <f t="shared" si="1096"/>
        <v>12550</v>
      </c>
    </row>
    <row r="4101" spans="1:6" ht="15" customHeight="1">
      <c r="A4101" s="335">
        <v>45007</v>
      </c>
      <c r="B4101" s="345">
        <v>11900</v>
      </c>
      <c r="C4101" s="345">
        <v>12700</v>
      </c>
      <c r="D4101" s="346">
        <f t="shared" si="1096"/>
        <v>12300</v>
      </c>
    </row>
    <row r="4102" spans="1:6" ht="15" customHeight="1">
      <c r="A4102" s="335">
        <v>45009</v>
      </c>
      <c r="B4102" s="345">
        <v>11900</v>
      </c>
      <c r="C4102" s="345">
        <v>12600</v>
      </c>
      <c r="D4102" s="346">
        <f t="shared" si="1096"/>
        <v>12250</v>
      </c>
    </row>
    <row r="4103" spans="1:6" ht="15" customHeight="1">
      <c r="A4103" s="335">
        <v>45014</v>
      </c>
      <c r="B4103" s="345">
        <v>11800</v>
      </c>
      <c r="C4103" s="345">
        <v>12400</v>
      </c>
      <c r="D4103" s="346">
        <f t="shared" si="1096"/>
        <v>12100</v>
      </c>
    </row>
    <row r="4104" spans="1:6" ht="15" customHeight="1" thickBot="1">
      <c r="A4104" s="340">
        <v>45016</v>
      </c>
      <c r="B4104" s="341">
        <v>11400</v>
      </c>
      <c r="C4104" s="341">
        <v>12400</v>
      </c>
      <c r="D4104" s="342">
        <f t="shared" si="1096"/>
        <v>11900</v>
      </c>
      <c r="E4104" s="360">
        <f>AVERAGE(D4095:D4104)</f>
        <v>12535</v>
      </c>
      <c r="F4104" s="360">
        <f>AVERAGE($D$4079:D4104)</f>
        <v>12672.788461538461</v>
      </c>
    </row>
    <row r="4105" spans="1:6" ht="15" customHeight="1">
      <c r="A4105" s="335">
        <v>45021</v>
      </c>
      <c r="B4105" s="336">
        <v>11300</v>
      </c>
      <c r="C4105" s="336">
        <v>12400</v>
      </c>
      <c r="D4105" s="337">
        <f t="shared" si="1096"/>
        <v>11850</v>
      </c>
    </row>
    <row r="4106" spans="1:6" ht="15" customHeight="1">
      <c r="A4106" s="335">
        <v>45023</v>
      </c>
      <c r="B4106" s="336">
        <v>0</v>
      </c>
      <c r="C4106" s="336">
        <v>0</v>
      </c>
      <c r="D4106" s="337">
        <f t="shared" si="1096"/>
        <v>0</v>
      </c>
    </row>
    <row r="4107" spans="1:6" ht="15" customHeight="1">
      <c r="A4107" s="335">
        <v>45028</v>
      </c>
      <c r="B4107" s="336">
        <v>11300</v>
      </c>
      <c r="C4107" s="336">
        <v>11800</v>
      </c>
      <c r="D4107" s="337">
        <f t="shared" si="1096"/>
        <v>11550</v>
      </c>
    </row>
    <row r="4108" spans="1:6" ht="15" customHeight="1">
      <c r="A4108" s="335">
        <v>45030</v>
      </c>
      <c r="B4108" s="336">
        <v>11600</v>
      </c>
      <c r="C4108" s="336">
        <v>12200</v>
      </c>
      <c r="D4108" s="337">
        <f t="shared" si="1096"/>
        <v>11900</v>
      </c>
    </row>
    <row r="4109" spans="1:6" ht="15" customHeight="1">
      <c r="A4109" s="335">
        <v>45035</v>
      </c>
      <c r="B4109" s="336">
        <v>11500</v>
      </c>
      <c r="C4109" s="336">
        <v>12300</v>
      </c>
      <c r="D4109" s="337">
        <f t="shared" si="1096"/>
        <v>11900</v>
      </c>
    </row>
    <row r="4110" spans="1:6" ht="15" customHeight="1">
      <c r="A4110" s="335">
        <v>45037</v>
      </c>
      <c r="B4110" s="336">
        <v>11500</v>
      </c>
      <c r="C4110" s="336">
        <v>12200</v>
      </c>
      <c r="D4110" s="337">
        <f t="shared" si="1096"/>
        <v>11850</v>
      </c>
    </row>
    <row r="4111" spans="1:6" ht="15" customHeight="1">
      <c r="A4111" s="335">
        <v>45042</v>
      </c>
      <c r="B4111" s="336">
        <v>11450</v>
      </c>
      <c r="C4111" s="336">
        <v>12450</v>
      </c>
      <c r="D4111" s="337">
        <f t="shared" si="1096"/>
        <v>11950</v>
      </c>
    </row>
    <row r="4112" spans="1:6" ht="15" customHeight="1" thickBot="1">
      <c r="A4112" s="340">
        <v>45044</v>
      </c>
      <c r="B4112" s="341">
        <v>11500</v>
      </c>
      <c r="C4112" s="341">
        <v>12100</v>
      </c>
      <c r="D4112" s="342">
        <f t="shared" si="1096"/>
        <v>11800</v>
      </c>
      <c r="E4112" s="360">
        <f>AVERAGE(D4105,D4107:D4112)</f>
        <v>11828.571428571429</v>
      </c>
      <c r="F4112" s="360">
        <f>AVERAGE($D$4079:D4112)</f>
        <v>12126.25</v>
      </c>
    </row>
    <row r="4113" spans="1:6" ht="15" customHeight="1">
      <c r="A4113" s="335">
        <v>45049</v>
      </c>
      <c r="B4113" s="336">
        <v>11500</v>
      </c>
      <c r="C4113" s="336">
        <v>12100</v>
      </c>
      <c r="D4113" s="337">
        <v>11800</v>
      </c>
    </row>
    <row r="4114" spans="1:6" ht="15" customHeight="1">
      <c r="A4114" s="335">
        <v>45051</v>
      </c>
      <c r="B4114" s="336">
        <v>11500</v>
      </c>
      <c r="C4114" s="336">
        <v>12300</v>
      </c>
      <c r="D4114" s="337">
        <v>11900</v>
      </c>
    </row>
    <row r="4115" spans="1:6" ht="15" customHeight="1">
      <c r="A4115" s="335">
        <v>45056</v>
      </c>
      <c r="B4115" s="336">
        <v>11750</v>
      </c>
      <c r="C4115" s="336">
        <v>12300</v>
      </c>
      <c r="D4115" s="337">
        <v>12025</v>
      </c>
    </row>
    <row r="4116" spans="1:6" ht="15" customHeight="1">
      <c r="A4116" s="335">
        <v>45058</v>
      </c>
      <c r="B4116" s="336">
        <v>11750</v>
      </c>
      <c r="C4116" s="336">
        <v>12400</v>
      </c>
      <c r="D4116" s="337">
        <v>12075</v>
      </c>
    </row>
    <row r="4117" spans="1:6" ht="15" customHeight="1">
      <c r="A4117" s="335">
        <v>45063</v>
      </c>
      <c r="B4117" s="336">
        <v>11850</v>
      </c>
      <c r="C4117" s="336">
        <v>12400</v>
      </c>
      <c r="D4117" s="337">
        <v>12125</v>
      </c>
    </row>
    <row r="4118" spans="1:6" ht="15" customHeight="1">
      <c r="A4118" s="335">
        <v>45065</v>
      </c>
      <c r="B4118" s="336">
        <v>12000</v>
      </c>
      <c r="C4118" s="336">
        <v>12700</v>
      </c>
      <c r="D4118" s="337">
        <v>12350</v>
      </c>
    </row>
    <row r="4119" spans="1:6" ht="15" customHeight="1">
      <c r="A4119" s="335">
        <v>45070</v>
      </c>
      <c r="B4119" s="336">
        <v>12050</v>
      </c>
      <c r="C4119" s="336">
        <v>12700</v>
      </c>
      <c r="D4119" s="337">
        <v>12375</v>
      </c>
    </row>
    <row r="4120" spans="1:6" ht="15" customHeight="1">
      <c r="A4120" s="335">
        <v>45072</v>
      </c>
      <c r="B4120" s="336">
        <v>12000</v>
      </c>
      <c r="C4120" s="336">
        <v>12700</v>
      </c>
      <c r="D4120" s="337">
        <v>12350</v>
      </c>
    </row>
    <row r="4121" spans="1:6" ht="15" customHeight="1" thickBot="1">
      <c r="A4121" s="335">
        <v>45077</v>
      </c>
      <c r="B4121" s="336">
        <v>12000</v>
      </c>
      <c r="C4121" s="336">
        <v>12700</v>
      </c>
      <c r="D4121" s="337">
        <v>12350</v>
      </c>
      <c r="E4121" s="360">
        <f>AVERAGE(D4113:D4121)</f>
        <v>12150</v>
      </c>
      <c r="F4121" s="360">
        <f>AVERAGE($D$4079:D4121)</f>
        <v>12131.220930232557</v>
      </c>
    </row>
    <row r="4122" spans="1:6" ht="15" customHeight="1">
      <c r="A4122" s="362">
        <v>45079</v>
      </c>
      <c r="B4122" s="363">
        <v>12000</v>
      </c>
      <c r="C4122" s="363">
        <v>12700</v>
      </c>
      <c r="D4122" s="408">
        <v>12350</v>
      </c>
      <c r="E4122" s="364"/>
      <c r="F4122" s="364"/>
    </row>
    <row r="4123" spans="1:6" ht="15" customHeight="1">
      <c r="A4123" s="335">
        <v>45084</v>
      </c>
      <c r="B4123" s="336">
        <v>12050</v>
      </c>
      <c r="C4123" s="336">
        <v>12600</v>
      </c>
      <c r="D4123" s="337">
        <v>12325</v>
      </c>
    </row>
    <row r="4124" spans="1:6" ht="15" customHeight="1">
      <c r="A4124" s="335">
        <v>45086</v>
      </c>
      <c r="B4124" s="336">
        <v>12100</v>
      </c>
      <c r="C4124" s="336">
        <v>12650</v>
      </c>
      <c r="D4124" s="337">
        <v>12375</v>
      </c>
    </row>
    <row r="4125" spans="1:6" ht="15" customHeight="1">
      <c r="A4125" s="335">
        <v>45091</v>
      </c>
      <c r="B4125" s="336">
        <v>12000</v>
      </c>
      <c r="C4125" s="336">
        <v>12500</v>
      </c>
      <c r="D4125" s="337">
        <v>12250</v>
      </c>
    </row>
    <row r="4126" spans="1:6" ht="15" customHeight="1">
      <c r="A4126" s="335">
        <v>45093</v>
      </c>
      <c r="B4126" s="336">
        <v>11900</v>
      </c>
      <c r="C4126" s="336">
        <v>12400</v>
      </c>
      <c r="D4126" s="337">
        <v>12150</v>
      </c>
    </row>
    <row r="4127" spans="1:6" ht="15" customHeight="1">
      <c r="A4127" s="335">
        <v>45098</v>
      </c>
      <c r="B4127" s="336">
        <v>11900</v>
      </c>
      <c r="C4127" s="336">
        <v>12400</v>
      </c>
      <c r="D4127" s="337">
        <v>12150</v>
      </c>
    </row>
    <row r="4128" spans="1:6" ht="15" customHeight="1">
      <c r="A4128" s="335">
        <v>45100</v>
      </c>
      <c r="B4128" s="336">
        <v>11900</v>
      </c>
      <c r="C4128" s="336">
        <v>12400</v>
      </c>
      <c r="D4128" s="337">
        <v>12150</v>
      </c>
    </row>
    <row r="4129" spans="1:6" ht="15" customHeight="1">
      <c r="A4129" s="335">
        <v>45105</v>
      </c>
      <c r="B4129" s="336">
        <v>11800</v>
      </c>
      <c r="C4129" s="336">
        <v>12320</v>
      </c>
      <c r="D4129" s="337">
        <v>12060</v>
      </c>
    </row>
    <row r="4130" spans="1:6" ht="15" customHeight="1" thickBot="1">
      <c r="A4130" s="340">
        <v>45107</v>
      </c>
      <c r="B4130" s="341">
        <v>11750</v>
      </c>
      <c r="C4130" s="341">
        <v>12300</v>
      </c>
      <c r="D4130" s="342">
        <v>12025</v>
      </c>
      <c r="E4130" s="360">
        <v>12203.88</v>
      </c>
      <c r="F4130" s="360">
        <f>AVERAGE($D$4079:D4130)</f>
        <v>12143.798076923076</v>
      </c>
    </row>
    <row r="4131" spans="1:6" ht="15" customHeight="1">
      <c r="A4131" s="335">
        <v>45112</v>
      </c>
      <c r="B4131" s="336">
        <v>11700</v>
      </c>
      <c r="C4131" s="336">
        <v>12200</v>
      </c>
      <c r="D4131" s="337">
        <v>11950</v>
      </c>
    </row>
    <row r="4132" spans="1:6" ht="15" customHeight="1">
      <c r="A4132" s="335">
        <v>45114</v>
      </c>
      <c r="B4132" s="336">
        <v>11550</v>
      </c>
      <c r="C4132" s="336">
        <v>12150</v>
      </c>
      <c r="D4132" s="337">
        <v>11850</v>
      </c>
    </row>
    <row r="4133" spans="1:6" ht="15" customHeight="1">
      <c r="A4133" s="335">
        <v>45119</v>
      </c>
      <c r="B4133" s="336">
        <v>11250</v>
      </c>
      <c r="C4133" s="336">
        <v>11850</v>
      </c>
      <c r="D4133" s="337">
        <v>11550</v>
      </c>
    </row>
    <row r="4134" spans="1:6" ht="15" customHeight="1">
      <c r="A4134" s="335">
        <v>45121</v>
      </c>
      <c r="B4134" s="336">
        <v>11250</v>
      </c>
      <c r="C4134" s="336">
        <v>11850</v>
      </c>
      <c r="D4134" s="337">
        <v>11550</v>
      </c>
    </row>
    <row r="4135" spans="1:6" ht="15" customHeight="1">
      <c r="A4135" s="335">
        <v>45126</v>
      </c>
      <c r="B4135" s="336">
        <v>11250</v>
      </c>
      <c r="C4135" s="336">
        <v>11850</v>
      </c>
      <c r="D4135" s="337">
        <v>11550</v>
      </c>
    </row>
    <row r="4136" spans="1:6" ht="15" customHeight="1">
      <c r="A4136" s="335">
        <v>45128</v>
      </c>
      <c r="B4136" s="336">
        <v>11250</v>
      </c>
      <c r="C4136" s="336">
        <v>11850</v>
      </c>
      <c r="D4136" s="337">
        <v>11550</v>
      </c>
    </row>
    <row r="4137" spans="1:6" ht="15" customHeight="1">
      <c r="A4137" s="335">
        <v>45133</v>
      </c>
      <c r="B4137" s="336">
        <v>11250</v>
      </c>
      <c r="C4137" s="336">
        <v>11850</v>
      </c>
      <c r="D4137" s="337">
        <v>11550</v>
      </c>
    </row>
    <row r="4138" spans="1:6" ht="15" customHeight="1" thickBot="1">
      <c r="A4138" s="340">
        <v>45135</v>
      </c>
      <c r="B4138" s="341">
        <v>11250</v>
      </c>
      <c r="C4138" s="341">
        <v>11850</v>
      </c>
      <c r="D4138" s="342">
        <v>11550</v>
      </c>
      <c r="E4138" s="360">
        <f>AVERAGE(D4131:D4138)</f>
        <v>11637.5</v>
      </c>
      <c r="F4138" s="360">
        <f>AVERAGE($D$4079:D4138)</f>
        <v>12076.291666666666</v>
      </c>
    </row>
    <row r="4139" spans="1:6" ht="15" customHeight="1">
      <c r="A4139" s="335">
        <v>45140</v>
      </c>
      <c r="B4139" s="336">
        <v>11250</v>
      </c>
      <c r="C4139" s="336">
        <v>11850</v>
      </c>
      <c r="D4139" s="337">
        <v>11550</v>
      </c>
    </row>
    <row r="4140" spans="1:6" ht="15" customHeight="1">
      <c r="A4140" s="335">
        <v>45142</v>
      </c>
      <c r="B4140" s="336">
        <v>11250</v>
      </c>
      <c r="C4140" s="336">
        <v>11850</v>
      </c>
      <c r="D4140" s="337">
        <v>11550</v>
      </c>
    </row>
    <row r="4141" spans="1:6" ht="15" customHeight="1">
      <c r="A4141" s="335">
        <v>45147</v>
      </c>
      <c r="B4141" s="336">
        <v>11250</v>
      </c>
      <c r="C4141" s="336">
        <v>11850</v>
      </c>
      <c r="D4141" s="337">
        <v>11550</v>
      </c>
    </row>
    <row r="4142" spans="1:6" ht="15" customHeight="1">
      <c r="A4142" s="335">
        <v>45149</v>
      </c>
      <c r="B4142" s="336">
        <v>11350</v>
      </c>
      <c r="C4142" s="336">
        <v>11900</v>
      </c>
      <c r="D4142" s="337">
        <v>11625</v>
      </c>
    </row>
    <row r="4143" spans="1:6" ht="15" customHeight="1">
      <c r="A4143" s="335">
        <v>45154</v>
      </c>
      <c r="B4143" s="336">
        <v>11600</v>
      </c>
      <c r="C4143" s="336">
        <v>12000</v>
      </c>
      <c r="D4143" s="337">
        <v>11800</v>
      </c>
    </row>
    <row r="4144" spans="1:6" ht="15" customHeight="1">
      <c r="A4144" s="335">
        <v>45156</v>
      </c>
      <c r="B4144" s="336">
        <v>11650</v>
      </c>
      <c r="C4144" s="336">
        <v>12200</v>
      </c>
      <c r="D4144" s="337">
        <v>11925</v>
      </c>
    </row>
    <row r="4145" spans="1:6" ht="15" customHeight="1">
      <c r="A4145" s="335">
        <v>45161</v>
      </c>
      <c r="B4145" s="336">
        <v>11800</v>
      </c>
      <c r="C4145" s="336">
        <v>12300</v>
      </c>
      <c r="D4145" s="337">
        <v>12050</v>
      </c>
    </row>
    <row r="4146" spans="1:6" ht="15" customHeight="1">
      <c r="A4146" s="335">
        <v>45163</v>
      </c>
      <c r="B4146" s="336">
        <v>11850</v>
      </c>
      <c r="C4146" s="336">
        <v>12300</v>
      </c>
      <c r="D4146" s="337">
        <v>12075</v>
      </c>
    </row>
    <row r="4147" spans="1:6" ht="15" customHeight="1" thickBot="1">
      <c r="A4147" s="340">
        <v>45168</v>
      </c>
      <c r="B4147" s="341">
        <v>11850</v>
      </c>
      <c r="C4147" s="341">
        <v>12300</v>
      </c>
      <c r="D4147" s="342">
        <v>12075</v>
      </c>
      <c r="E4147" s="360">
        <f>AVERAGE(D4139:D4147)</f>
        <v>11800</v>
      </c>
      <c r="F4147" s="360">
        <f>AVERAGE($D$4079:D4147)</f>
        <v>12040.253623188406</v>
      </c>
    </row>
    <row r="4148" spans="1:6" ht="15" customHeight="1">
      <c r="A4148" s="335">
        <v>45170</v>
      </c>
      <c r="B4148" s="336">
        <v>12000</v>
      </c>
      <c r="C4148" s="336">
        <v>12300</v>
      </c>
      <c r="D4148" s="337">
        <v>12150</v>
      </c>
    </row>
    <row r="4149" spans="1:6" ht="15" customHeight="1">
      <c r="A4149" s="335">
        <v>45175</v>
      </c>
      <c r="B4149" s="336">
        <v>12000</v>
      </c>
      <c r="C4149" s="336">
        <v>12300</v>
      </c>
      <c r="D4149" s="337">
        <v>12150</v>
      </c>
    </row>
    <row r="4150" spans="1:6" ht="15" customHeight="1">
      <c r="A4150" s="335">
        <v>45177</v>
      </c>
      <c r="B4150" s="336">
        <v>12000</v>
      </c>
      <c r="C4150" s="336">
        <v>12300</v>
      </c>
      <c r="D4150" s="337">
        <v>12150</v>
      </c>
    </row>
    <row r="4151" spans="1:6" ht="15" customHeight="1">
      <c r="A4151" s="335">
        <v>45182</v>
      </c>
      <c r="B4151" s="336">
        <v>12000</v>
      </c>
      <c r="C4151" s="336">
        <v>12300</v>
      </c>
      <c r="D4151" s="337">
        <v>12150</v>
      </c>
    </row>
    <row r="4152" spans="1:6" ht="15" customHeight="1">
      <c r="A4152" s="335">
        <v>45184</v>
      </c>
      <c r="B4152" s="336">
        <v>12000</v>
      </c>
      <c r="C4152" s="336">
        <v>12300</v>
      </c>
      <c r="D4152" s="337">
        <v>12150</v>
      </c>
    </row>
    <row r="4153" spans="1:6" ht="15" customHeight="1">
      <c r="A4153" s="335">
        <v>45189</v>
      </c>
      <c r="B4153" s="336">
        <v>12000</v>
      </c>
      <c r="C4153" s="336">
        <v>12300</v>
      </c>
      <c r="D4153" s="337">
        <v>12150</v>
      </c>
    </row>
    <row r="4154" spans="1:6" ht="15" customHeight="1">
      <c r="A4154" s="335">
        <v>45191</v>
      </c>
      <c r="B4154" s="336">
        <v>11850</v>
      </c>
      <c r="C4154" s="336">
        <v>12300</v>
      </c>
      <c r="D4154" s="337">
        <v>12075</v>
      </c>
    </row>
    <row r="4155" spans="1:6" ht="15" customHeight="1">
      <c r="A4155" s="335">
        <v>45196</v>
      </c>
      <c r="B4155" s="336">
        <v>11850</v>
      </c>
      <c r="C4155" s="336">
        <v>12300</v>
      </c>
      <c r="D4155" s="337">
        <v>12075</v>
      </c>
      <c r="E4155" s="347"/>
      <c r="F4155" s="347"/>
    </row>
    <row r="4156" spans="1:6" ht="15" customHeight="1" thickBot="1">
      <c r="A4156" s="335">
        <v>45198</v>
      </c>
      <c r="B4156" s="336">
        <v>11850</v>
      </c>
      <c r="C4156" s="336">
        <v>12300</v>
      </c>
      <c r="D4156" s="337">
        <v>12075</v>
      </c>
      <c r="E4156" s="360">
        <f>AVERAGE(D4148:D4156)</f>
        <v>12125</v>
      </c>
      <c r="F4156" s="360">
        <f>AVERAGE($D$4079:D4156)</f>
        <v>12050.032051282051</v>
      </c>
    </row>
    <row r="4157" spans="1:6" ht="15" customHeight="1">
      <c r="A4157" s="362">
        <v>45203</v>
      </c>
      <c r="B4157" s="363">
        <v>11800</v>
      </c>
      <c r="C4157" s="363">
        <v>12200</v>
      </c>
      <c r="D4157" s="408">
        <v>12000</v>
      </c>
      <c r="E4157" s="364"/>
      <c r="F4157" s="364"/>
    </row>
    <row r="4158" spans="1:6" ht="15" customHeight="1">
      <c r="A4158" s="335">
        <v>45205</v>
      </c>
      <c r="B4158" s="336">
        <v>11645</v>
      </c>
      <c r="C4158" s="336">
        <v>12000</v>
      </c>
      <c r="D4158" s="337">
        <v>11822.5</v>
      </c>
    </row>
    <row r="4159" spans="1:6" ht="15" customHeight="1">
      <c r="A4159" s="335">
        <v>45210</v>
      </c>
      <c r="B4159" s="336">
        <v>11645</v>
      </c>
      <c r="C4159" s="336">
        <v>12000</v>
      </c>
      <c r="D4159" s="337">
        <v>11822.5</v>
      </c>
    </row>
    <row r="4160" spans="1:6" ht="15" customHeight="1">
      <c r="A4160" s="335">
        <v>45212</v>
      </c>
      <c r="B4160" s="336">
        <v>11645</v>
      </c>
      <c r="C4160" s="336">
        <v>11900</v>
      </c>
      <c r="D4160" s="337">
        <v>11772.5</v>
      </c>
    </row>
    <row r="4161" spans="1:6" ht="15" customHeight="1">
      <c r="A4161" s="335">
        <v>45217</v>
      </c>
      <c r="B4161" s="336">
        <v>11600</v>
      </c>
      <c r="C4161" s="336">
        <v>11900</v>
      </c>
      <c r="D4161" s="337">
        <v>11750</v>
      </c>
    </row>
    <row r="4162" spans="1:6" ht="15" customHeight="1">
      <c r="A4162" s="335">
        <v>45219</v>
      </c>
      <c r="B4162" s="336">
        <v>11600</v>
      </c>
      <c r="C4162" s="336">
        <v>11900</v>
      </c>
      <c r="D4162" s="337">
        <v>11750</v>
      </c>
    </row>
    <row r="4163" spans="1:6" ht="15" customHeight="1">
      <c r="A4163" s="335">
        <v>45224</v>
      </c>
      <c r="B4163" s="336">
        <v>11450</v>
      </c>
      <c r="C4163" s="336">
        <v>11800</v>
      </c>
      <c r="D4163" s="337">
        <v>11625</v>
      </c>
    </row>
    <row r="4164" spans="1:6" ht="15" customHeight="1" thickBot="1">
      <c r="A4164" s="340">
        <v>45226</v>
      </c>
      <c r="B4164" s="341">
        <v>11450</v>
      </c>
      <c r="C4164" s="341">
        <v>11800</v>
      </c>
      <c r="D4164" s="342">
        <v>11625</v>
      </c>
      <c r="E4164" s="360">
        <f>AVERAGE(D4157:D4164)</f>
        <v>11770.9375</v>
      </c>
      <c r="F4164" s="360">
        <f>AVERAGE($D$4079:D4164)</f>
        <v>12024.069767441861</v>
      </c>
    </row>
    <row r="4165" spans="1:6" ht="15" customHeight="1">
      <c r="A4165" s="335">
        <v>45231</v>
      </c>
      <c r="B4165" s="336">
        <v>11450</v>
      </c>
      <c r="C4165" s="336">
        <v>11700</v>
      </c>
      <c r="D4165" s="337">
        <v>11575</v>
      </c>
    </row>
    <row r="4166" spans="1:6" ht="15" customHeight="1">
      <c r="A4166" s="335">
        <v>45233</v>
      </c>
      <c r="B4166" s="336">
        <v>11400</v>
      </c>
      <c r="C4166" s="336">
        <v>11700</v>
      </c>
      <c r="D4166" s="337">
        <v>11550</v>
      </c>
    </row>
    <row r="4167" spans="1:6" ht="15" customHeight="1">
      <c r="A4167" s="335">
        <v>45238</v>
      </c>
      <c r="B4167" s="336">
        <v>11300</v>
      </c>
      <c r="C4167" s="336">
        <v>11700</v>
      </c>
      <c r="D4167" s="337">
        <v>11500</v>
      </c>
    </row>
    <row r="4168" spans="1:6" ht="15" customHeight="1">
      <c r="A4168" s="335">
        <v>45240</v>
      </c>
      <c r="B4168" s="336">
        <v>11300</v>
      </c>
      <c r="C4168" s="336">
        <v>11600</v>
      </c>
      <c r="D4168" s="337">
        <v>11450</v>
      </c>
    </row>
    <row r="4169" spans="1:6" ht="15" customHeight="1">
      <c r="A4169" s="335">
        <v>45245</v>
      </c>
      <c r="B4169" s="336">
        <v>11300</v>
      </c>
      <c r="C4169" s="336">
        <v>11600</v>
      </c>
      <c r="D4169" s="337">
        <v>11450</v>
      </c>
    </row>
    <row r="4170" spans="1:6" ht="15" customHeight="1">
      <c r="A4170" s="335">
        <v>45247</v>
      </c>
      <c r="B4170" s="336">
        <v>11200</v>
      </c>
      <c r="C4170" s="336">
        <v>11600</v>
      </c>
      <c r="D4170" s="337">
        <v>11400</v>
      </c>
    </row>
    <row r="4171" spans="1:6" ht="15" customHeight="1">
      <c r="A4171" s="335">
        <v>45252</v>
      </c>
      <c r="B4171" s="336">
        <v>11200</v>
      </c>
      <c r="C4171" s="336">
        <v>11600</v>
      </c>
      <c r="D4171" s="337">
        <v>11400</v>
      </c>
    </row>
    <row r="4172" spans="1:6" ht="15" customHeight="1">
      <c r="A4172" s="335">
        <v>45254</v>
      </c>
      <c r="B4172" s="336">
        <v>11200</v>
      </c>
      <c r="C4172" s="336">
        <v>11600</v>
      </c>
      <c r="D4172" s="337">
        <v>11400</v>
      </c>
    </row>
    <row r="4173" spans="1:6" ht="15" customHeight="1" thickBot="1">
      <c r="A4173" s="335">
        <v>45259</v>
      </c>
      <c r="B4173" s="336">
        <v>10900</v>
      </c>
      <c r="C4173" s="336">
        <v>11500</v>
      </c>
      <c r="D4173" s="337">
        <v>11200</v>
      </c>
      <c r="E4173" s="360">
        <f>AVERAGE(D4165:D4173)</f>
        <v>11436.111111111111</v>
      </c>
      <c r="F4173" s="360">
        <f>AVERAGE($D$4079:D4173)</f>
        <v>11968.368421052632</v>
      </c>
    </row>
    <row r="4174" spans="1:6" ht="15" customHeight="1">
      <c r="A4174" s="362">
        <v>45261</v>
      </c>
      <c r="B4174" s="363">
        <v>11200</v>
      </c>
      <c r="C4174" s="363">
        <v>11500</v>
      </c>
      <c r="D4174" s="408">
        <v>11350</v>
      </c>
      <c r="E4174" s="364"/>
      <c r="F4174" s="364"/>
    </row>
    <row r="4175" spans="1:6" ht="15" customHeight="1">
      <c r="A4175" s="335">
        <v>45266</v>
      </c>
      <c r="B4175" s="336">
        <v>11200</v>
      </c>
      <c r="C4175" s="336">
        <v>11500</v>
      </c>
      <c r="D4175" s="337">
        <v>11350</v>
      </c>
    </row>
    <row r="4176" spans="1:6" ht="15" customHeight="1">
      <c r="A4176" s="335">
        <v>45268</v>
      </c>
      <c r="B4176" s="336">
        <v>11200</v>
      </c>
      <c r="C4176" s="336">
        <v>11750</v>
      </c>
      <c r="D4176" s="337">
        <v>11475</v>
      </c>
    </row>
    <row r="4177" spans="1:6" ht="15" customHeight="1">
      <c r="A4177" s="335">
        <v>45273</v>
      </c>
      <c r="B4177" s="336">
        <v>11200</v>
      </c>
      <c r="C4177" s="336">
        <v>11750</v>
      </c>
      <c r="D4177" s="337">
        <v>11475</v>
      </c>
    </row>
    <row r="4178" spans="1:6" ht="15" customHeight="1">
      <c r="A4178" s="335">
        <v>45275</v>
      </c>
      <c r="B4178" s="336">
        <v>11300</v>
      </c>
      <c r="C4178" s="336">
        <v>11750</v>
      </c>
      <c r="D4178" s="337">
        <v>11525</v>
      </c>
    </row>
    <row r="4179" spans="1:6" ht="15" customHeight="1">
      <c r="A4179" s="335">
        <v>45280</v>
      </c>
      <c r="B4179" s="336">
        <v>11500</v>
      </c>
      <c r="C4179" s="336">
        <v>11900</v>
      </c>
      <c r="D4179" s="337">
        <v>11700</v>
      </c>
    </row>
    <row r="4180" spans="1:6" ht="15" customHeight="1">
      <c r="A4180" s="335">
        <v>45282</v>
      </c>
      <c r="B4180" s="336">
        <v>11600</v>
      </c>
      <c r="C4180" s="336">
        <v>12000</v>
      </c>
      <c r="D4180" s="337">
        <v>11800</v>
      </c>
    </row>
    <row r="4181" spans="1:6" ht="15" customHeight="1">
      <c r="A4181" s="335">
        <v>45287</v>
      </c>
      <c r="B4181" s="336">
        <v>11600</v>
      </c>
      <c r="C4181" s="336">
        <v>12000</v>
      </c>
      <c r="D4181" s="337">
        <v>11800</v>
      </c>
    </row>
    <row r="4182" spans="1:6" ht="15" customHeight="1" thickBot="1">
      <c r="A4182" s="340">
        <v>45289</v>
      </c>
      <c r="B4182" s="341">
        <v>11600</v>
      </c>
      <c r="C4182" s="341">
        <v>12000</v>
      </c>
      <c r="D4182" s="342">
        <v>11800</v>
      </c>
      <c r="E4182" s="360">
        <f>AVERAGE(D4174:D4182)</f>
        <v>11586.111111111111</v>
      </c>
      <c r="F4182" s="360">
        <f>AVERAGE($D$4079:D4182)</f>
        <v>11935.288461538461</v>
      </c>
    </row>
    <row r="4183" spans="1:6" ht="15" customHeight="1">
      <c r="A4183" s="335">
        <v>45294</v>
      </c>
      <c r="B4183" s="336">
        <v>11850</v>
      </c>
      <c r="C4183" s="336">
        <v>12200</v>
      </c>
      <c r="D4183" s="337">
        <v>12025</v>
      </c>
    </row>
    <row r="4184" spans="1:6" ht="15" customHeight="1">
      <c r="A4184" s="335">
        <v>45296</v>
      </c>
      <c r="B4184" s="336">
        <v>12000</v>
      </c>
      <c r="C4184" s="336">
        <v>12500</v>
      </c>
      <c r="D4184" s="337">
        <v>12250</v>
      </c>
    </row>
    <row r="4185" spans="1:6" ht="15" customHeight="1">
      <c r="A4185" s="335">
        <v>45301</v>
      </c>
      <c r="B4185" s="336">
        <v>12500</v>
      </c>
      <c r="C4185" s="336">
        <v>12850</v>
      </c>
      <c r="D4185" s="337">
        <v>12675</v>
      </c>
    </row>
    <row r="4186" spans="1:6" ht="15" customHeight="1">
      <c r="A4186" s="335">
        <v>45303</v>
      </c>
      <c r="B4186" s="336">
        <v>12700</v>
      </c>
      <c r="C4186" s="336">
        <v>13000</v>
      </c>
      <c r="D4186" s="337">
        <v>12850</v>
      </c>
    </row>
    <row r="4187" spans="1:6" ht="15" customHeight="1">
      <c r="A4187" s="335">
        <v>45308</v>
      </c>
      <c r="B4187" s="336">
        <v>13000</v>
      </c>
      <c r="C4187" s="336">
        <v>13300</v>
      </c>
      <c r="D4187" s="337">
        <v>13150</v>
      </c>
    </row>
    <row r="4188" spans="1:6" ht="15" customHeight="1">
      <c r="A4188" s="335">
        <v>45310</v>
      </c>
      <c r="B4188" s="336">
        <v>13000</v>
      </c>
      <c r="C4188" s="336">
        <v>13400</v>
      </c>
      <c r="D4188" s="337">
        <v>13200</v>
      </c>
    </row>
    <row r="4189" spans="1:6" ht="15" customHeight="1">
      <c r="A4189" s="335">
        <v>45315</v>
      </c>
      <c r="B4189" s="336">
        <v>13000</v>
      </c>
      <c r="C4189" s="336">
        <v>13500</v>
      </c>
      <c r="D4189" s="337">
        <v>13250</v>
      </c>
    </row>
    <row r="4190" spans="1:6" ht="15" customHeight="1">
      <c r="A4190" s="335">
        <v>45317</v>
      </c>
      <c r="B4190" s="336">
        <v>13100</v>
      </c>
      <c r="C4190" s="336">
        <v>13600</v>
      </c>
      <c r="D4190" s="337">
        <v>13350</v>
      </c>
    </row>
    <row r="4191" spans="1:6" ht="15" customHeight="1" thickBot="1">
      <c r="A4191" s="340">
        <v>45322</v>
      </c>
      <c r="B4191" s="341">
        <v>13300</v>
      </c>
      <c r="C4191" s="341">
        <v>13600</v>
      </c>
      <c r="D4191" s="342">
        <v>13450</v>
      </c>
      <c r="E4191" s="360">
        <v>12911.12</v>
      </c>
      <c r="F4191" s="360">
        <f>AVERAGE($D$4079:D4191)</f>
        <v>12013.008849557522</v>
      </c>
    </row>
    <row r="4192" spans="1:6" ht="15" customHeight="1">
      <c r="A4192" s="335">
        <v>45324</v>
      </c>
      <c r="B4192" s="336">
        <v>13400</v>
      </c>
      <c r="C4192" s="336">
        <v>13700</v>
      </c>
      <c r="D4192" s="337">
        <v>13550</v>
      </c>
    </row>
    <row r="4193" spans="1:6 16384:16384" ht="15" customHeight="1">
      <c r="A4193" s="335">
        <v>45329</v>
      </c>
      <c r="B4193" s="336">
        <v>13400</v>
      </c>
      <c r="C4193" s="336">
        <v>13800</v>
      </c>
      <c r="D4193" s="337">
        <v>13600</v>
      </c>
    </row>
    <row r="4194" spans="1:6 16384:16384" ht="15" customHeight="1">
      <c r="A4194" s="335">
        <v>45331</v>
      </c>
      <c r="B4194" s="336">
        <v>13400</v>
      </c>
      <c r="C4194" s="336">
        <v>13800</v>
      </c>
      <c r="D4194" s="337">
        <v>13600</v>
      </c>
    </row>
    <row r="4195" spans="1:6 16384:16384" ht="15" customHeight="1">
      <c r="A4195" s="335">
        <v>45336</v>
      </c>
      <c r="B4195" s="336">
        <v>13400</v>
      </c>
      <c r="C4195" s="336">
        <v>13800</v>
      </c>
      <c r="D4195" s="337">
        <v>13600</v>
      </c>
    </row>
    <row r="4196" spans="1:6 16384:16384" ht="15" customHeight="1">
      <c r="A4196" s="335">
        <v>45338</v>
      </c>
      <c r="B4196" s="336">
        <v>13400</v>
      </c>
      <c r="C4196" s="336">
        <v>13800</v>
      </c>
      <c r="D4196" s="337">
        <v>13600</v>
      </c>
    </row>
    <row r="4197" spans="1:6 16384:16384" ht="15" customHeight="1">
      <c r="A4197" s="335">
        <v>45343</v>
      </c>
      <c r="B4197" s="336">
        <v>13400</v>
      </c>
      <c r="C4197" s="336">
        <v>13800</v>
      </c>
      <c r="D4197" s="337">
        <v>13600</v>
      </c>
    </row>
    <row r="4198" spans="1:6 16384:16384" ht="15" customHeight="1">
      <c r="A4198" s="335">
        <v>45345</v>
      </c>
      <c r="B4198" s="336">
        <v>13250</v>
      </c>
      <c r="C4198" s="336">
        <v>13800</v>
      </c>
      <c r="D4198" s="337">
        <v>13525</v>
      </c>
    </row>
    <row r="4199" spans="1:6 16384:16384" ht="15" customHeight="1" thickBot="1">
      <c r="A4199" s="340">
        <v>45351</v>
      </c>
      <c r="B4199" s="341">
        <v>13400</v>
      </c>
      <c r="C4199" s="341">
        <v>13800</v>
      </c>
      <c r="D4199" s="342">
        <v>13600</v>
      </c>
      <c r="E4199" s="360">
        <f>AVERAGE(D4192:D4199)</f>
        <v>13584.375</v>
      </c>
      <c r="F4199" s="360">
        <f>AVERAGE($D$4079:D4199)</f>
        <v>12116.900826446281</v>
      </c>
    </row>
    <row r="4200" spans="1:6 16384:16384" ht="15" customHeight="1">
      <c r="A4200" s="335">
        <v>45352</v>
      </c>
      <c r="B4200" s="336">
        <v>13400</v>
      </c>
      <c r="C4200" s="336">
        <v>13700</v>
      </c>
      <c r="D4200" s="337">
        <v>13550</v>
      </c>
    </row>
    <row r="4201" spans="1:6 16384:16384" ht="15" customHeight="1">
      <c r="A4201" s="335">
        <v>45357</v>
      </c>
      <c r="B4201" s="336">
        <v>13400</v>
      </c>
      <c r="C4201" s="336">
        <v>13700</v>
      </c>
      <c r="D4201" s="337">
        <v>13550</v>
      </c>
    </row>
    <row r="4202" spans="1:6 16384:16384" ht="15" customHeight="1">
      <c r="A4202" s="335">
        <v>45359</v>
      </c>
      <c r="B4202" s="336">
        <v>13400</v>
      </c>
      <c r="C4202" s="336">
        <v>13700</v>
      </c>
      <c r="D4202" s="337">
        <v>13550</v>
      </c>
    </row>
    <row r="4203" spans="1:6 16384:16384" ht="15" customHeight="1">
      <c r="A4203" s="335">
        <v>45364</v>
      </c>
      <c r="B4203" s="336">
        <v>13400</v>
      </c>
      <c r="C4203" s="336">
        <v>13700</v>
      </c>
      <c r="D4203" s="337">
        <v>13550</v>
      </c>
    </row>
    <row r="4204" spans="1:6 16384:16384" ht="15" customHeight="1">
      <c r="A4204" s="335">
        <v>45366</v>
      </c>
      <c r="B4204" s="336">
        <v>13400</v>
      </c>
      <c r="C4204" s="336">
        <v>13700</v>
      </c>
      <c r="D4204" s="337">
        <v>13550</v>
      </c>
    </row>
    <row r="4205" spans="1:6 16384:16384" ht="15" customHeight="1">
      <c r="A4205" s="335">
        <v>45371</v>
      </c>
      <c r="B4205" s="336">
        <v>13300</v>
      </c>
      <c r="C4205" s="336">
        <v>13700</v>
      </c>
      <c r="D4205" s="337">
        <v>13500</v>
      </c>
    </row>
    <row r="4206" spans="1:6 16384:16384" ht="15" customHeight="1">
      <c r="A4206" s="335">
        <v>45373</v>
      </c>
      <c r="B4206" s="336">
        <v>13300</v>
      </c>
      <c r="C4206" s="336">
        <v>13700</v>
      </c>
      <c r="D4206" s="337">
        <v>13500</v>
      </c>
    </row>
    <row r="4207" spans="1:6 16384:16384" ht="15" customHeight="1">
      <c r="A4207" s="335">
        <v>45378</v>
      </c>
      <c r="B4207" s="336">
        <v>13200</v>
      </c>
      <c r="C4207" s="336">
        <v>13600</v>
      </c>
      <c r="D4207" s="337">
        <v>13400</v>
      </c>
    </row>
    <row r="4208" spans="1:6 16384:16384" ht="15" customHeight="1" thickBot="1">
      <c r="A4208" s="340">
        <v>45380</v>
      </c>
      <c r="B4208" s="341" t="s">
        <v>211</v>
      </c>
      <c r="C4208" s="341">
        <v>0</v>
      </c>
      <c r="D4208" s="342">
        <v>0</v>
      </c>
      <c r="E4208" s="360">
        <f>AVERAGE(D4200:D4207)</f>
        <v>13518.75</v>
      </c>
      <c r="F4208" s="360">
        <f>AVERAGE($D$4079:D4207)</f>
        <v>12203.837209302326</v>
      </c>
      <c r="XFD4208" s="336">
        <v>0</v>
      </c>
    </row>
    <row r="4209" spans="1:6" ht="15" customHeight="1">
      <c r="A4209" s="974">
        <v>45385</v>
      </c>
      <c r="B4209" s="336">
        <v>13200</v>
      </c>
      <c r="C4209" s="336">
        <v>13600</v>
      </c>
      <c r="D4209" s="337">
        <v>13400</v>
      </c>
    </row>
    <row r="4210" spans="1:6" ht="15" customHeight="1">
      <c r="A4210" s="974">
        <v>45387</v>
      </c>
      <c r="B4210" s="336">
        <v>13200</v>
      </c>
      <c r="C4210" s="336">
        <v>13600</v>
      </c>
      <c r="D4210" s="337">
        <v>13400</v>
      </c>
    </row>
    <row r="4211" spans="1:6" ht="15" customHeight="1">
      <c r="A4211" s="974">
        <v>45392</v>
      </c>
      <c r="B4211" s="336">
        <v>13200</v>
      </c>
      <c r="C4211" s="336">
        <v>13600</v>
      </c>
      <c r="D4211" s="337">
        <v>13400</v>
      </c>
    </row>
    <row r="4212" spans="1:6" ht="15" customHeight="1">
      <c r="A4212" s="335">
        <v>45394</v>
      </c>
      <c r="B4212" s="336">
        <v>13200</v>
      </c>
      <c r="C4212" s="336">
        <v>13800</v>
      </c>
      <c r="D4212" s="337">
        <v>13500</v>
      </c>
    </row>
    <row r="4213" spans="1:6" ht="15" customHeight="1">
      <c r="A4213" s="335">
        <v>45399</v>
      </c>
      <c r="B4213" s="336">
        <v>13500</v>
      </c>
      <c r="C4213" s="336">
        <v>13800</v>
      </c>
      <c r="D4213" s="337">
        <v>13650</v>
      </c>
    </row>
    <row r="4214" spans="1:6" ht="15" customHeight="1">
      <c r="A4214" s="335">
        <v>45401</v>
      </c>
      <c r="B4214" s="336">
        <v>13800</v>
      </c>
      <c r="C4214" s="336">
        <v>14500</v>
      </c>
      <c r="D4214" s="337">
        <v>14150</v>
      </c>
    </row>
    <row r="4215" spans="1:6" ht="15" customHeight="1">
      <c r="A4215" s="335">
        <v>45406</v>
      </c>
      <c r="B4215" s="336">
        <v>14400</v>
      </c>
      <c r="C4215" s="336">
        <v>14850</v>
      </c>
      <c r="D4215" s="337">
        <v>14625</v>
      </c>
    </row>
    <row r="4216" spans="1:6" ht="15" customHeight="1" thickBot="1">
      <c r="A4216" s="340">
        <v>45408</v>
      </c>
      <c r="B4216" s="341">
        <v>14800</v>
      </c>
      <c r="C4216" s="341">
        <v>15400</v>
      </c>
      <c r="D4216" s="342">
        <v>15100</v>
      </c>
      <c r="E4216" s="360">
        <v>13903.12</v>
      </c>
      <c r="F4216" s="360">
        <f>AVERAGE($D$4079:D4216)</f>
        <v>12213.91304347826</v>
      </c>
    </row>
    <row r="4217" spans="1:6" ht="15" customHeight="1">
      <c r="A4217" s="974">
        <v>45413</v>
      </c>
      <c r="B4217" s="336">
        <v>14800</v>
      </c>
      <c r="C4217" s="336">
        <v>15400</v>
      </c>
      <c r="D4217" s="337">
        <v>15100</v>
      </c>
    </row>
    <row r="4218" spans="1:6" ht="15" customHeight="1">
      <c r="A4218" s="974">
        <v>45415</v>
      </c>
      <c r="B4218" s="336">
        <v>14800</v>
      </c>
      <c r="C4218" s="336">
        <v>15400</v>
      </c>
      <c r="D4218" s="337">
        <v>15100</v>
      </c>
    </row>
    <row r="4219" spans="1:6" ht="15" customHeight="1">
      <c r="A4219" s="974">
        <v>45420</v>
      </c>
      <c r="B4219" s="336">
        <v>15500</v>
      </c>
      <c r="C4219" s="336">
        <v>16000</v>
      </c>
      <c r="D4219" s="337">
        <v>15750</v>
      </c>
    </row>
    <row r="4220" spans="1:6" ht="15" customHeight="1">
      <c r="A4220" s="335">
        <v>45422</v>
      </c>
      <c r="B4220" s="336">
        <v>15500</v>
      </c>
      <c r="C4220" s="336">
        <v>16000</v>
      </c>
      <c r="D4220" s="337">
        <v>15750</v>
      </c>
    </row>
    <row r="4221" spans="1:6" ht="15" customHeight="1">
      <c r="A4221" s="335">
        <v>45427</v>
      </c>
      <c r="B4221" s="336">
        <v>16000</v>
      </c>
      <c r="C4221" s="336">
        <v>16725</v>
      </c>
      <c r="D4221" s="337">
        <v>16362.5</v>
      </c>
    </row>
    <row r="4222" spans="1:6" ht="15" customHeight="1">
      <c r="A4222" s="335">
        <v>45429</v>
      </c>
      <c r="B4222" s="336">
        <v>17000</v>
      </c>
      <c r="C4222" s="336">
        <v>18000</v>
      </c>
      <c r="D4222" s="337">
        <v>17500</v>
      </c>
    </row>
    <row r="4223" spans="1:6" ht="15" customHeight="1">
      <c r="A4223" s="335">
        <v>45434</v>
      </c>
      <c r="B4223" s="336">
        <v>18000</v>
      </c>
      <c r="C4223" s="336">
        <v>19000</v>
      </c>
      <c r="D4223" s="337">
        <v>18500</v>
      </c>
    </row>
    <row r="4224" spans="1:6" ht="15" customHeight="1">
      <c r="A4224" s="974">
        <v>45436</v>
      </c>
      <c r="B4224" s="336">
        <v>19200</v>
      </c>
      <c r="C4224" s="336">
        <v>20300</v>
      </c>
      <c r="D4224" s="337">
        <v>19750</v>
      </c>
    </row>
    <row r="4225" spans="1:6" ht="15" customHeight="1">
      <c r="A4225" s="974">
        <v>45441</v>
      </c>
      <c r="B4225" s="336">
        <v>20500</v>
      </c>
      <c r="C4225" s="336">
        <v>21500</v>
      </c>
      <c r="D4225" s="337">
        <v>21000</v>
      </c>
    </row>
    <row r="4226" spans="1:6" ht="15" customHeight="1" thickBot="1">
      <c r="A4226" s="340">
        <v>45443</v>
      </c>
      <c r="B4226" s="341">
        <v>21300</v>
      </c>
      <c r="C4226" s="341">
        <v>22300</v>
      </c>
      <c r="D4226" s="342">
        <v>21800</v>
      </c>
      <c r="E4226" s="360">
        <f>AVERAGE(D4217:D4226)</f>
        <v>17661.25</v>
      </c>
      <c r="F4226" s="360">
        <f>AVERAGE($D$4079:D4226)</f>
        <v>12581.976351351352</v>
      </c>
    </row>
    <row r="4227" spans="1:6" ht="15" customHeight="1">
      <c r="A4227" s="335">
        <v>45448</v>
      </c>
      <c r="B4227" s="336">
        <v>21700</v>
      </c>
      <c r="C4227" s="336">
        <v>23000</v>
      </c>
      <c r="D4227" s="337">
        <v>22350</v>
      </c>
    </row>
    <row r="4228" spans="1:6" ht="15" customHeight="1">
      <c r="A4228" s="335">
        <v>45450</v>
      </c>
      <c r="B4228" s="336">
        <v>22000</v>
      </c>
      <c r="C4228" s="336">
        <v>23000</v>
      </c>
      <c r="D4228" s="337">
        <v>22500</v>
      </c>
    </row>
    <row r="4229" spans="1:6" ht="15" customHeight="1">
      <c r="A4229" s="335">
        <v>45455</v>
      </c>
      <c r="B4229" s="336">
        <v>22200</v>
      </c>
      <c r="C4229" s="336">
        <v>23200</v>
      </c>
      <c r="D4229" s="337">
        <v>22700</v>
      </c>
    </row>
    <row r="4230" spans="1:6" ht="15" customHeight="1">
      <c r="A4230" s="335">
        <v>45457</v>
      </c>
      <c r="B4230" s="336">
        <v>22200</v>
      </c>
      <c r="C4230" s="336">
        <v>23200</v>
      </c>
      <c r="D4230" s="337">
        <v>22700</v>
      </c>
    </row>
    <row r="4231" spans="1:6" ht="15" customHeight="1">
      <c r="A4231" s="335">
        <v>45462</v>
      </c>
      <c r="B4231" s="336">
        <v>22200</v>
      </c>
      <c r="C4231" s="336">
        <v>23200</v>
      </c>
      <c r="D4231" s="337">
        <v>22700</v>
      </c>
    </row>
    <row r="4232" spans="1:6" ht="15" customHeight="1">
      <c r="A4232" s="335">
        <v>45464</v>
      </c>
      <c r="B4232" s="336">
        <v>22200</v>
      </c>
      <c r="C4232" s="336">
        <v>23200</v>
      </c>
      <c r="D4232" s="337">
        <v>22700</v>
      </c>
    </row>
    <row r="4233" spans="1:6" ht="15" customHeight="1">
      <c r="A4233" s="335">
        <v>45469</v>
      </c>
      <c r="B4233" s="336">
        <v>22200</v>
      </c>
      <c r="C4233" s="336">
        <v>23200</v>
      </c>
      <c r="D4233" s="337">
        <v>22700</v>
      </c>
    </row>
    <row r="4234" spans="1:6" ht="15" customHeight="1" thickBot="1">
      <c r="A4234" s="340">
        <v>45471</v>
      </c>
      <c r="B4234" s="341">
        <v>22000</v>
      </c>
      <c r="C4234" s="341">
        <v>23000</v>
      </c>
      <c r="D4234" s="342">
        <v>22500</v>
      </c>
      <c r="E4234" s="360">
        <f>AVERAGE(D4227:D4234)</f>
        <v>22606.25</v>
      </c>
      <c r="F4234" s="360">
        <f>AVERAGE($D$4183:D4234)</f>
        <v>15417.548076923076</v>
      </c>
    </row>
    <row r="4235" spans="1:6" ht="15" customHeight="1">
      <c r="A4235" s="335">
        <v>45476</v>
      </c>
      <c r="B4235" s="336">
        <v>22000</v>
      </c>
      <c r="C4235" s="336">
        <v>23000</v>
      </c>
      <c r="D4235" s="337">
        <v>22500</v>
      </c>
    </row>
    <row r="4236" spans="1:6" ht="15" customHeight="1">
      <c r="A4236" s="335">
        <v>45478</v>
      </c>
      <c r="B4236" s="336">
        <v>22000</v>
      </c>
      <c r="C4236" s="336">
        <v>23000</v>
      </c>
      <c r="D4236" s="337">
        <v>22500</v>
      </c>
    </row>
    <row r="4237" spans="1:6" ht="15" customHeight="1">
      <c r="A4237" s="335">
        <v>45483</v>
      </c>
      <c r="B4237" s="336">
        <v>22000</v>
      </c>
      <c r="C4237" s="336">
        <v>23000</v>
      </c>
      <c r="D4237" s="337">
        <v>22500</v>
      </c>
    </row>
    <row r="4238" spans="1:6" ht="15" customHeight="1">
      <c r="A4238" s="335">
        <v>45485</v>
      </c>
      <c r="B4238" s="336">
        <v>22000</v>
      </c>
      <c r="C4238" s="336">
        <v>23000</v>
      </c>
      <c r="D4238" s="337">
        <v>22500</v>
      </c>
    </row>
    <row r="4239" spans="1:6" ht="15" customHeight="1">
      <c r="A4239" s="335">
        <v>45490</v>
      </c>
      <c r="B4239" s="336">
        <v>22000</v>
      </c>
      <c r="C4239" s="336">
        <v>23000</v>
      </c>
      <c r="D4239" s="337">
        <v>22500</v>
      </c>
    </row>
    <row r="4240" spans="1:6" ht="15" customHeight="1">
      <c r="A4240" s="335">
        <v>45492</v>
      </c>
      <c r="B4240" s="336">
        <v>22300</v>
      </c>
      <c r="C4240" s="336">
        <v>23500</v>
      </c>
      <c r="D4240" s="337">
        <v>22900</v>
      </c>
    </row>
    <row r="4241" spans="1:6" ht="15" customHeight="1">
      <c r="A4241" s="335">
        <v>45497</v>
      </c>
      <c r="B4241" s="336">
        <v>22300</v>
      </c>
      <c r="C4241" s="336">
        <v>23500</v>
      </c>
      <c r="D4241" s="337">
        <v>22900</v>
      </c>
    </row>
    <row r="4242" spans="1:6" ht="15" customHeight="1">
      <c r="A4242" s="335">
        <v>45499</v>
      </c>
      <c r="B4242" s="336">
        <v>22300</v>
      </c>
      <c r="C4242" s="336">
        <v>23500</v>
      </c>
      <c r="D4242" s="337">
        <v>22900</v>
      </c>
    </row>
    <row r="4243" spans="1:6" ht="15" customHeight="1" thickBot="1">
      <c r="A4243" s="974">
        <v>45504</v>
      </c>
      <c r="B4243" s="345">
        <v>22300</v>
      </c>
      <c r="C4243" s="345">
        <v>23500</v>
      </c>
      <c r="D4243" s="1185">
        <v>22900</v>
      </c>
      <c r="E4243" s="376">
        <f>AVERAGE(D4235:D4243)</f>
        <v>22677.777777777777</v>
      </c>
      <c r="F4243" s="376">
        <f>AVERAGE($D$4183:D4243)</f>
        <v>16488.72950819672</v>
      </c>
    </row>
    <row r="4244" spans="1:6" ht="15" customHeight="1">
      <c r="A4244" s="1203">
        <v>45506</v>
      </c>
      <c r="B4244" s="1204">
        <v>22800</v>
      </c>
      <c r="C4244" s="1204">
        <v>23700</v>
      </c>
      <c r="D4244" s="1205">
        <v>23250</v>
      </c>
      <c r="E4244" s="1206"/>
      <c r="F4244" s="1206"/>
    </row>
    <row r="4245" spans="1:6" ht="15" customHeight="1">
      <c r="A4245" s="1197">
        <v>45511</v>
      </c>
      <c r="B4245" s="1190">
        <v>22800</v>
      </c>
      <c r="C4245" s="1190">
        <v>23700</v>
      </c>
      <c r="D4245" s="1191">
        <v>23250</v>
      </c>
      <c r="E4245" s="1192"/>
      <c r="F4245" s="1192"/>
    </row>
    <row r="4246" spans="1:6" ht="15" customHeight="1">
      <c r="A4246" s="1197">
        <v>45513</v>
      </c>
      <c r="B4246" s="1190">
        <v>22800</v>
      </c>
      <c r="C4246" s="1190">
        <v>23700</v>
      </c>
      <c r="D4246" s="1191">
        <v>23250</v>
      </c>
      <c r="E4246" s="1192"/>
      <c r="F4246" s="1192"/>
    </row>
    <row r="4247" spans="1:6" ht="15" customHeight="1">
      <c r="A4247" s="1197">
        <v>45518</v>
      </c>
      <c r="B4247" s="1190">
        <v>23000</v>
      </c>
      <c r="C4247" s="1190">
        <v>23700</v>
      </c>
      <c r="D4247" s="1191">
        <v>23350</v>
      </c>
      <c r="E4247" s="1192"/>
      <c r="F4247" s="1192"/>
    </row>
    <row r="4248" spans="1:6" ht="15" customHeight="1">
      <c r="A4248" s="1198">
        <v>45520</v>
      </c>
      <c r="B4248" s="1190">
        <v>23200</v>
      </c>
      <c r="C4248" s="1190">
        <v>24000</v>
      </c>
      <c r="D4248" s="1191">
        <v>23600</v>
      </c>
      <c r="E4248" s="1192"/>
      <c r="F4248" s="1192"/>
    </row>
    <row r="4249" spans="1:6" ht="15" customHeight="1">
      <c r="A4249" s="1197">
        <v>45525</v>
      </c>
      <c r="B4249" s="1190">
        <v>24000</v>
      </c>
      <c r="C4249" s="1190">
        <v>25500</v>
      </c>
      <c r="D4249" s="1191">
        <v>24750</v>
      </c>
      <c r="E4249" s="1192"/>
      <c r="F4249" s="1192"/>
    </row>
    <row r="4250" spans="1:6" ht="15" customHeight="1">
      <c r="A4250" s="1197">
        <v>45527</v>
      </c>
      <c r="B4250" s="1190">
        <v>25000</v>
      </c>
      <c r="C4250" s="1190">
        <v>25500</v>
      </c>
      <c r="D4250" s="1191">
        <v>25250</v>
      </c>
      <c r="E4250" s="1192"/>
      <c r="F4250" s="1192"/>
    </row>
    <row r="4251" spans="1:6" ht="15" customHeight="1">
      <c r="A4251" s="1197">
        <v>45532</v>
      </c>
      <c r="B4251" s="1190">
        <v>25000</v>
      </c>
      <c r="C4251" s="1190">
        <v>25500</v>
      </c>
      <c r="D4251" s="1191">
        <v>25250</v>
      </c>
      <c r="E4251" s="1192"/>
      <c r="F4251" s="1192"/>
    </row>
    <row r="4252" spans="1:6" ht="15" customHeight="1" thickBot="1">
      <c r="A4252" s="1199">
        <v>45534</v>
      </c>
      <c r="B4252" s="1200">
        <v>25000</v>
      </c>
      <c r="C4252" s="1200">
        <v>26000</v>
      </c>
      <c r="D4252" s="1201">
        <v>25500</v>
      </c>
      <c r="E4252" s="1202">
        <f>AVERAGE($D$4244:D4252)</f>
        <v>24161.111111111109</v>
      </c>
      <c r="F4252" s="1202">
        <f>AVERAGE($D$4183:D4252)</f>
        <v>17475.178571428572</v>
      </c>
    </row>
    <row r="4253" spans="1:6" ht="15" customHeight="1">
      <c r="A4253" s="1203">
        <v>45539</v>
      </c>
      <c r="B4253" s="1204">
        <v>25000</v>
      </c>
      <c r="C4253" s="1204">
        <v>26000</v>
      </c>
      <c r="D4253" s="1205">
        <v>25500</v>
      </c>
      <c r="E4253" s="1206"/>
      <c r="F4253" s="1206"/>
    </row>
    <row r="4254" spans="1:6" ht="15" customHeight="1">
      <c r="A4254" s="1197">
        <v>45541</v>
      </c>
      <c r="B4254" s="1190">
        <v>25400</v>
      </c>
      <c r="C4254" s="1190">
        <v>26500</v>
      </c>
      <c r="D4254" s="1191">
        <v>25950</v>
      </c>
      <c r="E4254" s="1192"/>
      <c r="F4254" s="1192"/>
    </row>
    <row r="4255" spans="1:6" ht="15" customHeight="1">
      <c r="A4255" s="1197">
        <v>45546</v>
      </c>
      <c r="B4255" s="1190">
        <v>26000</v>
      </c>
      <c r="C4255" s="1190">
        <v>27000</v>
      </c>
      <c r="D4255" s="1191">
        <v>26500</v>
      </c>
      <c r="E4255" s="1192"/>
      <c r="F4255" s="1192"/>
    </row>
    <row r="4256" spans="1:6" ht="15" customHeight="1">
      <c r="A4256" s="1197">
        <v>45548</v>
      </c>
      <c r="B4256" s="1190">
        <v>26000</v>
      </c>
      <c r="C4256" s="1190">
        <v>27000</v>
      </c>
      <c r="D4256" s="1191">
        <v>26500</v>
      </c>
      <c r="E4256" s="1192"/>
      <c r="F4256" s="1192"/>
    </row>
    <row r="4257" spans="1:10" ht="15" customHeight="1">
      <c r="A4257" s="1197">
        <v>45553</v>
      </c>
      <c r="B4257" s="1190">
        <v>26500</v>
      </c>
      <c r="C4257" s="1190">
        <v>28000</v>
      </c>
      <c r="D4257" s="1191">
        <v>27250</v>
      </c>
      <c r="E4257" s="1192"/>
      <c r="F4257" s="1192"/>
    </row>
    <row r="4258" spans="1:10" ht="15" customHeight="1">
      <c r="A4258" s="1197">
        <v>45555</v>
      </c>
      <c r="B4258" s="1190">
        <v>26800</v>
      </c>
      <c r="C4258" s="1190">
        <v>28000</v>
      </c>
      <c r="D4258" s="1191">
        <v>27400</v>
      </c>
      <c r="E4258" s="1192"/>
      <c r="F4258" s="1192"/>
    </row>
    <row r="4259" spans="1:10" ht="15" customHeight="1">
      <c r="A4259" s="1197">
        <v>45560</v>
      </c>
      <c r="B4259" s="1190">
        <v>27000</v>
      </c>
      <c r="C4259" s="1190">
        <v>28500</v>
      </c>
      <c r="D4259" s="1191">
        <v>27750</v>
      </c>
      <c r="E4259" s="1192"/>
      <c r="F4259" s="1192"/>
    </row>
    <row r="4260" spans="1:10" ht="15" customHeight="1" thickBot="1">
      <c r="A4260" s="1199">
        <v>45562</v>
      </c>
      <c r="B4260" s="1200">
        <v>27500</v>
      </c>
      <c r="C4260" s="1200">
        <v>28500</v>
      </c>
      <c r="D4260" s="1201">
        <v>28000</v>
      </c>
      <c r="E4260" s="1202">
        <f>AVERAGE($D$4253:D4260)</f>
        <v>26856.25</v>
      </c>
      <c r="F4260" s="1202">
        <f>AVERAGE($D$4183:D4260)</f>
        <v>18437.339743589742</v>
      </c>
    </row>
    <row r="4261" spans="1:10" ht="15" customHeight="1">
      <c r="A4261" s="1203">
        <v>45567</v>
      </c>
      <c r="B4261" s="1204">
        <v>28500</v>
      </c>
      <c r="C4261" s="1204">
        <v>29400</v>
      </c>
      <c r="D4261" s="1205">
        <v>28950</v>
      </c>
      <c r="E4261" s="1206"/>
      <c r="F4261" s="1206"/>
    </row>
    <row r="4262" spans="1:10" ht="15" customHeight="1">
      <c r="A4262" s="1197">
        <v>45569</v>
      </c>
      <c r="B4262" s="1190">
        <v>28500</v>
      </c>
      <c r="C4262" s="1190">
        <v>31000</v>
      </c>
      <c r="D4262" s="1191">
        <v>29750</v>
      </c>
      <c r="E4262" s="1192"/>
      <c r="F4262" s="1192"/>
    </row>
    <row r="4263" spans="1:10" ht="15" customHeight="1">
      <c r="A4263" s="1197">
        <v>45574</v>
      </c>
      <c r="B4263" s="1190">
        <v>29500</v>
      </c>
      <c r="C4263" s="1190">
        <v>31500</v>
      </c>
      <c r="D4263" s="1191">
        <v>30500</v>
      </c>
      <c r="E4263" s="1192"/>
      <c r="F4263" s="1192"/>
    </row>
    <row r="4264" spans="1:10" ht="15" customHeight="1">
      <c r="A4264" s="1197">
        <v>45576</v>
      </c>
      <c r="B4264" s="1190">
        <v>30500</v>
      </c>
      <c r="C4264" s="1190">
        <v>32500</v>
      </c>
      <c r="D4264" s="1191">
        <v>31500</v>
      </c>
      <c r="E4264" s="1192"/>
      <c r="F4264" s="1192"/>
    </row>
    <row r="4265" spans="1:10" ht="15" customHeight="1">
      <c r="A4265" s="1197">
        <v>45581</v>
      </c>
      <c r="B4265" s="1190">
        <v>31500</v>
      </c>
      <c r="C4265" s="1190">
        <v>33750</v>
      </c>
      <c r="D4265" s="1191">
        <v>32625</v>
      </c>
      <c r="E4265" s="1192"/>
      <c r="F4265" s="1192"/>
      <c r="H4265" s="1186"/>
      <c r="J4265" s="1187"/>
    </row>
    <row r="4266" spans="1:10" ht="15" customHeight="1">
      <c r="A4266" s="1197">
        <v>45583</v>
      </c>
      <c r="B4266" s="1190">
        <v>32000</v>
      </c>
      <c r="C4266" s="1190">
        <v>34750</v>
      </c>
      <c r="D4266" s="1191">
        <v>33375</v>
      </c>
      <c r="E4266" s="1192"/>
      <c r="F4266" s="1192"/>
      <c r="H4266" s="1186"/>
      <c r="J4266" s="1187"/>
    </row>
    <row r="4267" spans="1:10" ht="15" customHeight="1">
      <c r="A4267" s="1197">
        <v>45588</v>
      </c>
      <c r="B4267" s="1190">
        <v>33000</v>
      </c>
      <c r="C4267" s="1190">
        <v>34900</v>
      </c>
      <c r="D4267" s="1191">
        <v>33950</v>
      </c>
      <c r="E4267" s="1192"/>
      <c r="F4267" s="1192"/>
    </row>
    <row r="4268" spans="1:10" ht="15" customHeight="1">
      <c r="A4268" s="1197">
        <v>45590</v>
      </c>
      <c r="B4268" s="1190">
        <v>33500</v>
      </c>
      <c r="C4268" s="1190">
        <v>36000</v>
      </c>
      <c r="D4268" s="1191">
        <v>34750</v>
      </c>
      <c r="E4268" s="1193">
        <f>AVERAGE($D$4261:D4268)</f>
        <v>31925</v>
      </c>
      <c r="F4268" s="1193">
        <f>AVERAGE($D$4183:D4268)</f>
        <v>19692.005813953489</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22" customWidth="1"/>
    <col min="2" max="2" width="10.796875" style="100" customWidth="1"/>
    <col min="3" max="3" width="11.69921875" style="218" customWidth="1"/>
    <col min="4" max="4" width="12.69921875" style="221" customWidth="1"/>
    <col min="5" max="5" width="11" customWidth="1"/>
  </cols>
  <sheetData>
    <row r="1" spans="1:5">
      <c r="A1" s="225" t="s">
        <v>94</v>
      </c>
      <c r="B1" s="225" t="s">
        <v>95</v>
      </c>
      <c r="C1" s="226" t="s">
        <v>96</v>
      </c>
      <c r="D1" s="227" t="s">
        <v>97</v>
      </c>
      <c r="E1" s="225" t="s">
        <v>98</v>
      </c>
    </row>
    <row r="2" spans="1:5">
      <c r="A2" s="223">
        <v>39084</v>
      </c>
      <c r="B2" s="217">
        <v>41050</v>
      </c>
      <c r="C2" s="218">
        <v>1725</v>
      </c>
      <c r="D2" s="221">
        <v>14550</v>
      </c>
      <c r="E2" s="224">
        <f>D2/10</f>
        <v>1455</v>
      </c>
    </row>
    <row r="3" spans="1:5">
      <c r="A3" s="223">
        <v>39085</v>
      </c>
      <c r="B3" s="217">
        <v>41050</v>
      </c>
      <c r="C3" s="218">
        <v>1660</v>
      </c>
      <c r="D3" s="221">
        <v>14550</v>
      </c>
      <c r="E3" s="224">
        <f t="shared" ref="E3:E66" si="0">D3/10</f>
        <v>1455</v>
      </c>
    </row>
    <row r="4" spans="1:5">
      <c r="A4" s="223">
        <v>39086</v>
      </c>
      <c r="B4" s="217">
        <v>43125</v>
      </c>
      <c r="C4" s="218">
        <v>1722</v>
      </c>
      <c r="D4" s="221">
        <v>14650</v>
      </c>
      <c r="E4" s="224">
        <f t="shared" si="0"/>
        <v>1465</v>
      </c>
    </row>
    <row r="5" spans="1:5">
      <c r="A5" s="223">
        <v>39087</v>
      </c>
      <c r="B5" s="217">
        <v>42850</v>
      </c>
      <c r="C5" s="218">
        <v>1695</v>
      </c>
      <c r="D5" s="221">
        <v>14575</v>
      </c>
      <c r="E5" s="224">
        <f t="shared" si="0"/>
        <v>1457.5</v>
      </c>
    </row>
    <row r="6" spans="1:5">
      <c r="A6" s="223">
        <v>39090</v>
      </c>
      <c r="B6" s="217">
        <v>43550</v>
      </c>
      <c r="C6" s="218">
        <v>1600</v>
      </c>
      <c r="D6" s="221">
        <v>14525</v>
      </c>
      <c r="E6" s="224">
        <f t="shared" si="0"/>
        <v>1452.5</v>
      </c>
    </row>
    <row r="7" spans="1:5">
      <c r="A7" s="223">
        <v>39091</v>
      </c>
      <c r="B7" s="217">
        <v>43300</v>
      </c>
      <c r="C7" s="218">
        <v>1596</v>
      </c>
      <c r="D7" s="221">
        <v>14525</v>
      </c>
      <c r="E7" s="224">
        <f t="shared" si="0"/>
        <v>1452.5</v>
      </c>
    </row>
    <row r="8" spans="1:5">
      <c r="A8" s="223">
        <v>39092</v>
      </c>
      <c r="B8" s="217">
        <v>42400</v>
      </c>
      <c r="C8" s="218">
        <v>1625</v>
      </c>
      <c r="D8" s="221">
        <v>14500</v>
      </c>
      <c r="E8" s="224">
        <f t="shared" si="0"/>
        <v>1450</v>
      </c>
    </row>
    <row r="9" spans="1:5">
      <c r="A9" s="223">
        <v>39093</v>
      </c>
      <c r="B9" s="217">
        <v>41500</v>
      </c>
      <c r="C9" s="218">
        <v>1634.5</v>
      </c>
      <c r="D9" s="221">
        <v>14550</v>
      </c>
      <c r="E9" s="224">
        <f t="shared" si="0"/>
        <v>1455</v>
      </c>
    </row>
    <row r="10" spans="1:5">
      <c r="A10" s="223">
        <v>39094</v>
      </c>
      <c r="B10" s="217">
        <v>41050</v>
      </c>
      <c r="C10" s="218">
        <v>1665</v>
      </c>
      <c r="D10" s="221">
        <v>14550</v>
      </c>
      <c r="E10" s="224">
        <f t="shared" si="0"/>
        <v>1455</v>
      </c>
    </row>
    <row r="11" spans="1:5">
      <c r="A11" s="223">
        <v>39097</v>
      </c>
      <c r="B11" s="217">
        <v>40475</v>
      </c>
      <c r="C11" s="218">
        <v>1650</v>
      </c>
      <c r="D11" s="221">
        <v>14500</v>
      </c>
      <c r="E11" s="224">
        <f t="shared" si="0"/>
        <v>1450</v>
      </c>
    </row>
    <row r="12" spans="1:5">
      <c r="A12" s="223">
        <v>39098</v>
      </c>
      <c r="B12" s="217">
        <v>39950</v>
      </c>
      <c r="C12" s="218">
        <v>1632</v>
      </c>
      <c r="D12" s="221">
        <v>14500</v>
      </c>
      <c r="E12" s="224">
        <f t="shared" si="0"/>
        <v>1450</v>
      </c>
    </row>
    <row r="13" spans="1:5">
      <c r="A13" s="223">
        <v>39099</v>
      </c>
      <c r="B13" s="217">
        <v>40300</v>
      </c>
      <c r="C13" s="218">
        <v>1575</v>
      </c>
      <c r="D13" s="221">
        <v>14425</v>
      </c>
      <c r="E13" s="224">
        <f t="shared" si="0"/>
        <v>1442.5</v>
      </c>
    </row>
    <row r="14" spans="1:5">
      <c r="A14" s="223">
        <v>39100</v>
      </c>
      <c r="B14" s="217">
        <v>40125</v>
      </c>
      <c r="C14" s="218">
        <v>1600.5</v>
      </c>
      <c r="D14" s="221">
        <v>14325</v>
      </c>
      <c r="E14" s="224">
        <f t="shared" si="0"/>
        <v>1432.5</v>
      </c>
    </row>
    <row r="15" spans="1:5">
      <c r="A15" s="223">
        <v>39101</v>
      </c>
      <c r="B15" s="217">
        <v>40900</v>
      </c>
      <c r="C15" s="218">
        <v>1601</v>
      </c>
      <c r="D15" s="221">
        <v>14325</v>
      </c>
      <c r="E15" s="224">
        <f t="shared" si="0"/>
        <v>1432.5</v>
      </c>
    </row>
    <row r="16" spans="1:5">
      <c r="A16" s="223">
        <v>39104</v>
      </c>
      <c r="B16" s="217">
        <v>40200</v>
      </c>
      <c r="C16" s="218">
        <v>1659</v>
      </c>
      <c r="D16" s="221">
        <v>14325</v>
      </c>
      <c r="E16" s="224">
        <f t="shared" si="0"/>
        <v>1432.5</v>
      </c>
    </row>
    <row r="17" spans="1:5">
      <c r="A17" s="223">
        <v>39105</v>
      </c>
      <c r="B17" s="217">
        <v>40150</v>
      </c>
      <c r="C17" s="218">
        <v>1695</v>
      </c>
      <c r="D17" s="221">
        <v>14325</v>
      </c>
      <c r="E17" s="224">
        <f t="shared" si="0"/>
        <v>1432.5</v>
      </c>
    </row>
    <row r="18" spans="1:5">
      <c r="A18" s="223">
        <v>39106</v>
      </c>
      <c r="B18" s="217">
        <v>40200</v>
      </c>
      <c r="C18" s="218">
        <v>1736.5</v>
      </c>
      <c r="D18" s="221">
        <v>14325</v>
      </c>
      <c r="E18" s="224">
        <f t="shared" si="0"/>
        <v>1432.5</v>
      </c>
    </row>
    <row r="19" spans="1:5">
      <c r="A19" s="223">
        <v>39107</v>
      </c>
      <c r="B19" s="217">
        <v>39850</v>
      </c>
      <c r="C19" s="218">
        <v>1749</v>
      </c>
      <c r="D19" s="221">
        <v>14325</v>
      </c>
      <c r="E19" s="224">
        <f t="shared" si="0"/>
        <v>1432.5</v>
      </c>
    </row>
    <row r="20" spans="1:5">
      <c r="A20" s="223">
        <v>39108</v>
      </c>
      <c r="B20" s="217">
        <v>39725</v>
      </c>
      <c r="C20" s="218">
        <v>1718</v>
      </c>
      <c r="D20" s="221">
        <v>14350</v>
      </c>
      <c r="E20" s="224">
        <f t="shared" si="0"/>
        <v>1435</v>
      </c>
    </row>
    <row r="21" spans="1:5">
      <c r="A21" s="223">
        <v>39111</v>
      </c>
      <c r="B21" s="217">
        <v>39100</v>
      </c>
      <c r="C21" s="218">
        <v>1675</v>
      </c>
      <c r="D21" s="221">
        <v>14350</v>
      </c>
      <c r="E21" s="224">
        <f t="shared" si="0"/>
        <v>1435</v>
      </c>
    </row>
    <row r="22" spans="1:5">
      <c r="A22" s="223">
        <v>39112</v>
      </c>
      <c r="B22" s="217">
        <v>38600</v>
      </c>
      <c r="C22" s="218">
        <v>1711</v>
      </c>
      <c r="D22" s="221">
        <v>14325</v>
      </c>
      <c r="E22" s="224">
        <f t="shared" si="0"/>
        <v>1432.5</v>
      </c>
    </row>
    <row r="23" spans="1:5">
      <c r="A23" s="223">
        <v>39113</v>
      </c>
      <c r="B23" s="217">
        <v>39050</v>
      </c>
      <c r="C23" s="218">
        <v>1729.5</v>
      </c>
      <c r="D23" s="221">
        <v>14325</v>
      </c>
      <c r="E23" s="224">
        <f t="shared" si="0"/>
        <v>1432.5</v>
      </c>
    </row>
    <row r="24" spans="1:5">
      <c r="A24" s="223">
        <v>39114</v>
      </c>
      <c r="B24" s="217">
        <v>39250</v>
      </c>
      <c r="C24" s="218">
        <v>1736</v>
      </c>
      <c r="D24" s="221">
        <v>14350</v>
      </c>
      <c r="E24" s="224">
        <f t="shared" si="0"/>
        <v>1435</v>
      </c>
    </row>
    <row r="25" spans="1:5">
      <c r="A25" s="223">
        <v>39115</v>
      </c>
      <c r="B25" s="217">
        <v>39075</v>
      </c>
      <c r="C25" s="218">
        <v>1697</v>
      </c>
      <c r="D25" s="221">
        <v>14325</v>
      </c>
      <c r="E25" s="224">
        <f t="shared" si="0"/>
        <v>1432.5</v>
      </c>
    </row>
    <row r="26" spans="1:5">
      <c r="A26" s="223">
        <v>39118</v>
      </c>
      <c r="B26" s="217">
        <v>38975</v>
      </c>
      <c r="C26" s="218">
        <v>1674</v>
      </c>
      <c r="D26" s="221">
        <v>14300</v>
      </c>
      <c r="E26" s="224">
        <f t="shared" si="0"/>
        <v>1430</v>
      </c>
    </row>
    <row r="27" spans="1:5">
      <c r="A27" s="223">
        <v>39119</v>
      </c>
      <c r="B27" s="217">
        <v>37950</v>
      </c>
      <c r="C27" s="218">
        <v>1615</v>
      </c>
      <c r="D27" s="221">
        <v>14300</v>
      </c>
      <c r="E27" s="224">
        <f t="shared" si="0"/>
        <v>1430</v>
      </c>
    </row>
    <row r="28" spans="1:5">
      <c r="A28" s="223">
        <v>39120</v>
      </c>
      <c r="B28" s="217">
        <v>37950</v>
      </c>
      <c r="C28" s="218">
        <v>1585</v>
      </c>
      <c r="D28" s="221">
        <v>14300</v>
      </c>
      <c r="E28" s="224">
        <f t="shared" si="0"/>
        <v>1430</v>
      </c>
    </row>
    <row r="29" spans="1:5">
      <c r="A29" s="223">
        <v>39121</v>
      </c>
      <c r="B29" s="217">
        <v>37625</v>
      </c>
      <c r="C29" s="218">
        <v>1580</v>
      </c>
      <c r="D29" s="221">
        <v>14325</v>
      </c>
      <c r="E29" s="224">
        <f t="shared" si="0"/>
        <v>1432.5</v>
      </c>
    </row>
    <row r="30" spans="1:5">
      <c r="A30" s="223">
        <v>39122</v>
      </c>
      <c r="B30" s="217">
        <v>36625</v>
      </c>
      <c r="C30" s="218">
        <v>1645</v>
      </c>
      <c r="D30" s="221">
        <v>14325</v>
      </c>
      <c r="E30" s="224">
        <f t="shared" si="0"/>
        <v>1432.5</v>
      </c>
    </row>
    <row r="31" spans="1:5">
      <c r="A31" s="223">
        <v>39125</v>
      </c>
      <c r="B31" s="217">
        <v>36725</v>
      </c>
      <c r="C31" s="218">
        <v>1710</v>
      </c>
      <c r="D31" s="221">
        <v>14350</v>
      </c>
      <c r="E31" s="224">
        <f t="shared" si="0"/>
        <v>1435</v>
      </c>
    </row>
    <row r="32" spans="1:5">
      <c r="A32" s="223">
        <v>39126</v>
      </c>
      <c r="B32" s="217">
        <v>35875</v>
      </c>
      <c r="C32" s="218">
        <v>1745</v>
      </c>
      <c r="D32" s="221">
        <v>14350</v>
      </c>
      <c r="E32" s="224">
        <f t="shared" si="0"/>
        <v>1435</v>
      </c>
    </row>
    <row r="33" spans="1:5">
      <c r="A33" s="223">
        <v>39127</v>
      </c>
      <c r="B33" s="217">
        <v>35000</v>
      </c>
      <c r="C33" s="218">
        <v>1730</v>
      </c>
      <c r="D33" s="221">
        <v>14350</v>
      </c>
      <c r="E33" s="224">
        <f t="shared" si="0"/>
        <v>1435</v>
      </c>
    </row>
    <row r="34" spans="1:5">
      <c r="A34" s="223">
        <v>39128</v>
      </c>
      <c r="B34" s="217">
        <v>34200</v>
      </c>
      <c r="C34" s="218">
        <v>1780</v>
      </c>
      <c r="D34" s="221">
        <v>14350</v>
      </c>
      <c r="E34" s="224">
        <f t="shared" si="0"/>
        <v>1435</v>
      </c>
    </row>
    <row r="35" spans="1:5">
      <c r="A35" s="223">
        <v>39129</v>
      </c>
      <c r="B35" s="217">
        <v>33300</v>
      </c>
      <c r="C35" s="218">
        <v>1807.5</v>
      </c>
      <c r="D35" s="221">
        <v>14350</v>
      </c>
      <c r="E35" s="224">
        <f t="shared" ref="E35:E40" si="1">D35/10</f>
        <v>1435</v>
      </c>
    </row>
    <row r="36" spans="1:5">
      <c r="A36" s="223">
        <v>39132</v>
      </c>
      <c r="B36" s="217">
        <v>32475</v>
      </c>
      <c r="C36" s="218">
        <v>1861</v>
      </c>
      <c r="D36" s="221">
        <v>14350</v>
      </c>
      <c r="E36" s="224">
        <f t="shared" si="1"/>
        <v>1435</v>
      </c>
    </row>
    <row r="37" spans="1:5">
      <c r="A37" s="223">
        <v>39133</v>
      </c>
      <c r="B37" s="217">
        <v>32525</v>
      </c>
      <c r="C37" s="218">
        <v>1844.5</v>
      </c>
      <c r="D37" s="221">
        <v>14350</v>
      </c>
      <c r="E37" s="224">
        <f t="shared" si="1"/>
        <v>1435</v>
      </c>
    </row>
    <row r="38" spans="1:5">
      <c r="A38" s="223">
        <v>39134</v>
      </c>
      <c r="B38" s="217">
        <v>32525</v>
      </c>
      <c r="C38" s="218">
        <v>1870</v>
      </c>
      <c r="D38" s="221">
        <v>14350</v>
      </c>
      <c r="E38" s="224">
        <f t="shared" si="1"/>
        <v>1435</v>
      </c>
    </row>
    <row r="39" spans="1:5">
      <c r="A39" s="223">
        <v>39135</v>
      </c>
      <c r="B39" s="217">
        <v>32375</v>
      </c>
      <c r="C39" s="218">
        <v>1899</v>
      </c>
      <c r="D39" s="221">
        <v>14350</v>
      </c>
      <c r="E39" s="224">
        <f t="shared" si="1"/>
        <v>1435</v>
      </c>
    </row>
    <row r="40" spans="1:5">
      <c r="A40" s="223">
        <v>39136</v>
      </c>
      <c r="B40" s="217">
        <v>32000</v>
      </c>
      <c r="C40" s="218">
        <v>1960</v>
      </c>
      <c r="D40" s="221">
        <v>14350</v>
      </c>
      <c r="E40" s="224">
        <f t="shared" si="1"/>
        <v>1435</v>
      </c>
    </row>
    <row r="41" spans="1:5">
      <c r="A41" s="223">
        <v>39139</v>
      </c>
      <c r="B41" s="217">
        <v>31900</v>
      </c>
      <c r="C41" s="218">
        <v>2000</v>
      </c>
      <c r="D41" s="221">
        <v>14900</v>
      </c>
      <c r="E41" s="224">
        <f t="shared" si="0"/>
        <v>1490</v>
      </c>
    </row>
    <row r="42" spans="1:5">
      <c r="A42" s="223">
        <v>39140</v>
      </c>
      <c r="B42" s="217">
        <v>32075</v>
      </c>
      <c r="C42" s="218">
        <v>1943</v>
      </c>
      <c r="D42" s="221">
        <v>14950</v>
      </c>
      <c r="E42" s="224">
        <f t="shared" si="0"/>
        <v>1495</v>
      </c>
    </row>
    <row r="43" spans="1:5">
      <c r="A43" s="223">
        <v>39141</v>
      </c>
      <c r="B43" s="217">
        <v>32100</v>
      </c>
      <c r="C43" s="218">
        <v>1910</v>
      </c>
      <c r="D43" s="221">
        <v>14950</v>
      </c>
      <c r="E43" s="224">
        <f t="shared" si="0"/>
        <v>1495</v>
      </c>
    </row>
    <row r="44" spans="1:5">
      <c r="A44" s="223">
        <v>39142</v>
      </c>
      <c r="B44" s="217">
        <v>31625</v>
      </c>
      <c r="C44" s="218">
        <v>1980</v>
      </c>
      <c r="D44" s="221">
        <v>14950</v>
      </c>
      <c r="E44" s="224">
        <f t="shared" si="0"/>
        <v>1495</v>
      </c>
    </row>
    <row r="45" spans="1:5">
      <c r="A45" s="223">
        <v>39143</v>
      </c>
      <c r="B45" s="217">
        <v>32300</v>
      </c>
      <c r="C45" s="218">
        <v>1909</v>
      </c>
      <c r="D45" s="221">
        <v>15050</v>
      </c>
      <c r="E45" s="224">
        <f t="shared" si="0"/>
        <v>1505</v>
      </c>
    </row>
    <row r="46" spans="1:5">
      <c r="A46" s="223">
        <v>39146</v>
      </c>
      <c r="B46" s="217">
        <v>32300</v>
      </c>
      <c r="C46" s="218">
        <v>1840</v>
      </c>
      <c r="D46" s="221">
        <v>15025</v>
      </c>
      <c r="E46" s="224">
        <f t="shared" si="0"/>
        <v>1502.5</v>
      </c>
    </row>
    <row r="47" spans="1:5">
      <c r="A47" s="223">
        <v>39147</v>
      </c>
      <c r="B47" s="217">
        <v>31975</v>
      </c>
      <c r="C47" s="218">
        <v>1900</v>
      </c>
      <c r="D47" s="221">
        <v>14975</v>
      </c>
      <c r="E47" s="224">
        <f t="shared" si="0"/>
        <v>1497.5</v>
      </c>
    </row>
    <row r="48" spans="1:5">
      <c r="A48" s="223">
        <v>39148</v>
      </c>
      <c r="B48" s="217">
        <v>31725</v>
      </c>
      <c r="C48" s="218">
        <v>1884</v>
      </c>
      <c r="D48" s="221">
        <v>14975</v>
      </c>
      <c r="E48" s="224">
        <f t="shared" si="0"/>
        <v>1497.5</v>
      </c>
    </row>
    <row r="49" spans="1:5">
      <c r="A49" s="223">
        <v>39149</v>
      </c>
      <c r="B49" s="217">
        <v>31825</v>
      </c>
      <c r="C49" s="218">
        <v>1871</v>
      </c>
      <c r="D49" s="221">
        <v>14975</v>
      </c>
      <c r="E49" s="224">
        <f t="shared" si="0"/>
        <v>1497.5</v>
      </c>
    </row>
    <row r="50" spans="1:5">
      <c r="A50" s="223">
        <v>39150</v>
      </c>
      <c r="B50" s="217">
        <v>31600</v>
      </c>
      <c r="C50" s="218">
        <v>1833</v>
      </c>
      <c r="D50" s="221">
        <v>14800</v>
      </c>
      <c r="E50" s="224">
        <f t="shared" si="0"/>
        <v>1480</v>
      </c>
    </row>
    <row r="51" spans="1:5">
      <c r="A51" s="223">
        <v>39153</v>
      </c>
      <c r="B51" s="217">
        <v>31550</v>
      </c>
      <c r="C51" s="218">
        <v>1880.5</v>
      </c>
      <c r="D51" s="221">
        <v>14700</v>
      </c>
      <c r="E51" s="224">
        <f t="shared" si="0"/>
        <v>1470</v>
      </c>
    </row>
    <row r="52" spans="1:5">
      <c r="A52" s="223">
        <v>39154</v>
      </c>
      <c r="B52" s="217">
        <v>30900</v>
      </c>
      <c r="C52" s="218">
        <v>1916</v>
      </c>
      <c r="D52" s="221">
        <v>14800</v>
      </c>
      <c r="E52" s="224">
        <f t="shared" si="0"/>
        <v>1480</v>
      </c>
    </row>
    <row r="53" spans="1:5">
      <c r="A53" s="223">
        <v>39155</v>
      </c>
      <c r="B53" s="217">
        <v>31250</v>
      </c>
      <c r="C53" s="218">
        <v>1900</v>
      </c>
      <c r="D53" s="221">
        <v>14775</v>
      </c>
      <c r="E53" s="224">
        <f t="shared" si="0"/>
        <v>1477.5</v>
      </c>
    </row>
    <row r="54" spans="1:5">
      <c r="A54" s="223">
        <v>39156</v>
      </c>
      <c r="B54" s="217">
        <v>31075</v>
      </c>
      <c r="C54" s="218">
        <v>1945</v>
      </c>
      <c r="D54" s="221">
        <v>14775</v>
      </c>
      <c r="E54" s="224">
        <f t="shared" si="0"/>
        <v>1477.5</v>
      </c>
    </row>
    <row r="55" spans="1:5">
      <c r="A55" s="223">
        <v>39157</v>
      </c>
      <c r="B55" s="217">
        <v>30950</v>
      </c>
      <c r="C55" s="218">
        <v>1912</v>
      </c>
      <c r="D55" s="221">
        <v>14900</v>
      </c>
      <c r="E55" s="224">
        <f t="shared" si="0"/>
        <v>1490</v>
      </c>
    </row>
    <row r="56" spans="1:5">
      <c r="A56" s="223">
        <v>39160</v>
      </c>
      <c r="B56" s="217">
        <v>31225</v>
      </c>
      <c r="C56" s="218">
        <v>1963</v>
      </c>
      <c r="D56" s="221">
        <v>14900</v>
      </c>
      <c r="E56" s="224">
        <f t="shared" si="0"/>
        <v>1490</v>
      </c>
    </row>
    <row r="57" spans="1:5">
      <c r="A57" s="223">
        <v>39161</v>
      </c>
      <c r="B57" s="217">
        <v>31075</v>
      </c>
      <c r="C57" s="218">
        <v>1950</v>
      </c>
      <c r="D57" s="221">
        <v>14900</v>
      </c>
      <c r="E57" s="224">
        <f t="shared" si="0"/>
        <v>1490</v>
      </c>
    </row>
    <row r="58" spans="1:5">
      <c r="A58" s="223">
        <v>39162</v>
      </c>
      <c r="B58" s="217">
        <v>31125</v>
      </c>
      <c r="C58" s="218">
        <v>1941</v>
      </c>
      <c r="D58" s="221">
        <v>14900</v>
      </c>
      <c r="E58" s="224">
        <f t="shared" si="0"/>
        <v>1490</v>
      </c>
    </row>
    <row r="59" spans="1:5">
      <c r="A59" s="223">
        <v>39163</v>
      </c>
      <c r="B59" s="217">
        <v>31200</v>
      </c>
      <c r="C59" s="218">
        <v>1939.5</v>
      </c>
      <c r="D59" s="221">
        <v>14900</v>
      </c>
      <c r="E59" s="224">
        <f t="shared" si="0"/>
        <v>1490</v>
      </c>
    </row>
    <row r="60" spans="1:5">
      <c r="A60" s="223">
        <v>39164</v>
      </c>
      <c r="B60" s="217">
        <v>31275</v>
      </c>
      <c r="C60" s="218">
        <v>1945</v>
      </c>
      <c r="D60" s="221">
        <v>14900</v>
      </c>
      <c r="E60" s="224">
        <f t="shared" si="0"/>
        <v>1490</v>
      </c>
    </row>
    <row r="61" spans="1:5">
      <c r="A61" s="223">
        <v>39167</v>
      </c>
      <c r="B61" s="217">
        <v>31925</v>
      </c>
      <c r="C61" s="218">
        <v>1910</v>
      </c>
      <c r="D61" s="221">
        <v>14900</v>
      </c>
      <c r="E61" s="224">
        <f t="shared" si="0"/>
        <v>1490</v>
      </c>
    </row>
    <row r="62" spans="1:5">
      <c r="A62" s="223">
        <v>39168</v>
      </c>
      <c r="B62" s="217">
        <v>33050</v>
      </c>
      <c r="C62" s="218">
        <v>1904</v>
      </c>
      <c r="D62" s="221">
        <v>14900</v>
      </c>
      <c r="E62" s="224">
        <f t="shared" si="0"/>
        <v>1490</v>
      </c>
    </row>
    <row r="63" spans="1:5">
      <c r="A63" s="223">
        <v>39169</v>
      </c>
      <c r="B63" s="217">
        <v>33225</v>
      </c>
      <c r="C63" s="218">
        <v>1938</v>
      </c>
      <c r="D63" s="221">
        <v>14900</v>
      </c>
      <c r="E63" s="224">
        <f t="shared" si="0"/>
        <v>1490</v>
      </c>
    </row>
    <row r="64" spans="1:5">
      <c r="A64" s="223">
        <v>39170</v>
      </c>
      <c r="B64" s="217">
        <v>33125</v>
      </c>
      <c r="C64" s="218">
        <v>1912</v>
      </c>
      <c r="D64" s="221">
        <v>14950</v>
      </c>
      <c r="E64" s="224">
        <f t="shared" si="0"/>
        <v>1495</v>
      </c>
    </row>
    <row r="65" spans="1:5">
      <c r="A65" s="223">
        <v>39171</v>
      </c>
      <c r="B65" s="217">
        <v>33250</v>
      </c>
      <c r="C65" s="218">
        <v>1936</v>
      </c>
      <c r="D65" s="221">
        <v>14950</v>
      </c>
      <c r="E65" s="224">
        <f t="shared" si="0"/>
        <v>1495</v>
      </c>
    </row>
    <row r="66" spans="1:5">
      <c r="A66" s="223">
        <v>39174</v>
      </c>
      <c r="B66" s="217">
        <v>33675</v>
      </c>
      <c r="C66" s="218">
        <v>1945</v>
      </c>
      <c r="D66" s="221">
        <v>14950</v>
      </c>
      <c r="E66" s="224">
        <f t="shared" si="0"/>
        <v>1495</v>
      </c>
    </row>
    <row r="67" spans="1:5">
      <c r="A67" s="223">
        <v>39175</v>
      </c>
      <c r="B67" s="217">
        <v>34625</v>
      </c>
      <c r="C67" s="218">
        <v>1979</v>
      </c>
      <c r="D67" s="221">
        <v>14950</v>
      </c>
      <c r="E67" s="224">
        <f t="shared" ref="E67:E130" si="2">D67/10</f>
        <v>1495</v>
      </c>
    </row>
    <row r="68" spans="1:5">
      <c r="A68" s="223">
        <v>39176</v>
      </c>
      <c r="B68" s="217">
        <v>34950</v>
      </c>
      <c r="C68" s="218">
        <v>2018</v>
      </c>
      <c r="D68" s="221">
        <v>15000</v>
      </c>
      <c r="E68" s="224">
        <f t="shared" si="2"/>
        <v>1500</v>
      </c>
    </row>
    <row r="69" spans="1:5">
      <c r="A69" s="223">
        <v>39177</v>
      </c>
      <c r="B69" s="217">
        <v>34975</v>
      </c>
      <c r="C69" s="218">
        <v>2021</v>
      </c>
      <c r="D69" s="221">
        <v>15075</v>
      </c>
      <c r="E69" s="224">
        <f t="shared" si="2"/>
        <v>1507.5</v>
      </c>
    </row>
    <row r="70" spans="1:5">
      <c r="A70" s="223">
        <v>39178</v>
      </c>
      <c r="B70" s="217">
        <v>34975</v>
      </c>
      <c r="C70" s="218">
        <v>2021</v>
      </c>
      <c r="D70" s="221">
        <v>15075</v>
      </c>
      <c r="E70" s="224">
        <f t="shared" si="2"/>
        <v>1507.5</v>
      </c>
    </row>
    <row r="71" spans="1:5">
      <c r="A71" s="223">
        <v>39181</v>
      </c>
      <c r="B71" s="217">
        <v>34975</v>
      </c>
      <c r="C71" s="218">
        <v>2021</v>
      </c>
      <c r="D71" s="221">
        <v>15225</v>
      </c>
      <c r="E71" s="224">
        <f t="shared" si="2"/>
        <v>1522.5</v>
      </c>
    </row>
    <row r="72" spans="1:5">
      <c r="A72" s="223">
        <v>39182</v>
      </c>
      <c r="B72" s="217">
        <v>34025</v>
      </c>
      <c r="C72" s="218">
        <v>2041</v>
      </c>
      <c r="D72" s="221">
        <v>15300</v>
      </c>
      <c r="E72" s="224">
        <f t="shared" si="2"/>
        <v>1530</v>
      </c>
    </row>
    <row r="73" spans="1:5">
      <c r="A73" s="223">
        <v>39183</v>
      </c>
      <c r="B73" s="217">
        <v>35350</v>
      </c>
      <c r="C73" s="218">
        <v>2047</v>
      </c>
      <c r="D73" s="221">
        <v>15425</v>
      </c>
      <c r="E73" s="224">
        <f t="shared" si="2"/>
        <v>1542.5</v>
      </c>
    </row>
    <row r="74" spans="1:5">
      <c r="A74" s="223">
        <v>39184</v>
      </c>
      <c r="B74" s="217">
        <v>35600</v>
      </c>
      <c r="C74" s="218">
        <v>2030</v>
      </c>
      <c r="D74" s="221">
        <v>15425</v>
      </c>
      <c r="E74" s="224">
        <f t="shared" si="2"/>
        <v>1542.5</v>
      </c>
    </row>
    <row r="75" spans="1:5">
      <c r="A75" s="223">
        <v>39185</v>
      </c>
      <c r="B75" s="217">
        <v>35450</v>
      </c>
      <c r="C75" s="218">
        <v>2025</v>
      </c>
      <c r="D75" s="221">
        <v>15425</v>
      </c>
      <c r="E75" s="224">
        <f t="shared" si="2"/>
        <v>1542.5</v>
      </c>
    </row>
    <row r="76" spans="1:5">
      <c r="A76" s="223">
        <v>39188</v>
      </c>
      <c r="B76" s="217">
        <v>36200</v>
      </c>
      <c r="C76" s="218">
        <v>2050</v>
      </c>
      <c r="D76" s="221">
        <v>15425</v>
      </c>
      <c r="E76" s="224">
        <f t="shared" si="2"/>
        <v>1542.5</v>
      </c>
    </row>
    <row r="77" spans="1:5">
      <c r="A77" s="223">
        <v>39189</v>
      </c>
      <c r="B77" s="217">
        <v>37800</v>
      </c>
      <c r="C77" s="218">
        <v>2001</v>
      </c>
      <c r="D77" s="221">
        <v>15550</v>
      </c>
      <c r="E77" s="224">
        <f t="shared" si="2"/>
        <v>1555</v>
      </c>
    </row>
    <row r="78" spans="1:5">
      <c r="A78" s="223">
        <v>39190</v>
      </c>
      <c r="B78" s="217">
        <v>37950</v>
      </c>
      <c r="C78" s="218">
        <v>2000</v>
      </c>
      <c r="D78" s="221">
        <v>15700</v>
      </c>
      <c r="E78" s="224">
        <f t="shared" si="2"/>
        <v>1570</v>
      </c>
    </row>
    <row r="79" spans="1:5">
      <c r="A79" s="223">
        <v>39191</v>
      </c>
      <c r="B79" s="217">
        <v>38525</v>
      </c>
      <c r="C79" s="218">
        <v>1975</v>
      </c>
      <c r="D79" s="221">
        <v>15800</v>
      </c>
      <c r="E79" s="224">
        <f t="shared" si="2"/>
        <v>1580</v>
      </c>
    </row>
    <row r="80" spans="1:5">
      <c r="A80" s="223">
        <v>39192</v>
      </c>
      <c r="B80" s="217">
        <v>40025</v>
      </c>
      <c r="C80" s="218">
        <v>1980</v>
      </c>
      <c r="D80" s="221">
        <v>15800</v>
      </c>
      <c r="E80" s="224">
        <f t="shared" si="2"/>
        <v>1580</v>
      </c>
    </row>
    <row r="81" spans="1:5">
      <c r="A81" s="223">
        <v>39195</v>
      </c>
      <c r="B81" s="217">
        <v>40350</v>
      </c>
      <c r="C81" s="218">
        <v>1960</v>
      </c>
      <c r="D81" s="221">
        <v>15825</v>
      </c>
      <c r="E81" s="224">
        <f t="shared" si="2"/>
        <v>1582.5</v>
      </c>
    </row>
    <row r="82" spans="1:5">
      <c r="A82" s="223">
        <v>39196</v>
      </c>
      <c r="B82" s="217">
        <v>40925</v>
      </c>
      <c r="C82" s="218">
        <v>2015</v>
      </c>
      <c r="D82" s="221">
        <v>15900</v>
      </c>
      <c r="E82" s="224">
        <f t="shared" si="2"/>
        <v>1590</v>
      </c>
    </row>
    <row r="83" spans="1:5">
      <c r="A83" s="223">
        <v>39197</v>
      </c>
      <c r="B83" s="217">
        <v>41350</v>
      </c>
      <c r="C83" s="218">
        <v>1980</v>
      </c>
      <c r="D83" s="221">
        <v>15950</v>
      </c>
      <c r="E83" s="224">
        <f t="shared" si="2"/>
        <v>1595</v>
      </c>
    </row>
    <row r="84" spans="1:5">
      <c r="A84" s="223">
        <v>39198</v>
      </c>
      <c r="B84" s="217">
        <v>41450</v>
      </c>
      <c r="C84" s="218">
        <v>1951</v>
      </c>
      <c r="D84" s="221">
        <v>16050</v>
      </c>
      <c r="E84" s="224">
        <f t="shared" si="2"/>
        <v>1605</v>
      </c>
    </row>
    <row r="85" spans="1:5">
      <c r="A85" s="223">
        <v>39199</v>
      </c>
      <c r="B85" s="217">
        <v>41350</v>
      </c>
      <c r="C85" s="218">
        <v>2000</v>
      </c>
      <c r="D85" s="221">
        <v>16150</v>
      </c>
      <c r="E85" s="224">
        <f t="shared" si="2"/>
        <v>1615</v>
      </c>
    </row>
    <row r="86" spans="1:5">
      <c r="A86" s="223">
        <v>39202</v>
      </c>
      <c r="B86" s="217">
        <v>41575</v>
      </c>
      <c r="C86" s="218">
        <v>2000</v>
      </c>
      <c r="D86" s="221">
        <v>16250</v>
      </c>
      <c r="E86" s="224">
        <f t="shared" si="2"/>
        <v>1625</v>
      </c>
    </row>
    <row r="87" spans="1:5">
      <c r="A87" s="223">
        <v>39203</v>
      </c>
      <c r="B87" s="217">
        <v>42475</v>
      </c>
      <c r="C87" s="218">
        <v>1995</v>
      </c>
      <c r="D87" s="221">
        <v>16250</v>
      </c>
      <c r="E87" s="224">
        <f>D87/10</f>
        <v>1625</v>
      </c>
    </row>
    <row r="88" spans="1:5">
      <c r="A88" s="223">
        <v>39204</v>
      </c>
      <c r="B88" s="217">
        <v>42750</v>
      </c>
      <c r="C88" s="218">
        <v>2025</v>
      </c>
      <c r="D88" s="221">
        <v>16250</v>
      </c>
      <c r="E88" s="224">
        <f>D88/10</f>
        <v>1625</v>
      </c>
    </row>
    <row r="89" spans="1:5">
      <c r="A89" s="223">
        <v>39205</v>
      </c>
      <c r="B89" s="217">
        <v>43025</v>
      </c>
      <c r="C89" s="218">
        <v>2063</v>
      </c>
      <c r="D89" s="221">
        <v>16250</v>
      </c>
      <c r="E89" s="224">
        <f>D89/10</f>
        <v>1625</v>
      </c>
    </row>
    <row r="90" spans="1:5">
      <c r="A90" s="223">
        <v>39206</v>
      </c>
      <c r="B90" s="217">
        <v>43825</v>
      </c>
      <c r="C90" s="218">
        <v>2080</v>
      </c>
      <c r="D90" s="221">
        <v>16250</v>
      </c>
      <c r="E90" s="224">
        <f>D90/10</f>
        <v>1625</v>
      </c>
    </row>
    <row r="91" spans="1:5">
      <c r="A91" s="223">
        <v>39210</v>
      </c>
      <c r="B91" s="217">
        <v>43800</v>
      </c>
      <c r="C91" s="218">
        <v>2065.5</v>
      </c>
      <c r="D91" s="221">
        <v>16900</v>
      </c>
      <c r="E91" s="224">
        <f t="shared" si="2"/>
        <v>1690</v>
      </c>
    </row>
    <row r="92" spans="1:5">
      <c r="A92" s="223">
        <v>39211</v>
      </c>
      <c r="B92" s="217">
        <v>44650</v>
      </c>
      <c r="C92" s="218">
        <v>2070</v>
      </c>
      <c r="D92" s="221">
        <v>17000</v>
      </c>
      <c r="E92" s="224">
        <f t="shared" si="2"/>
        <v>1700</v>
      </c>
    </row>
    <row r="93" spans="1:5">
      <c r="A93" s="223">
        <v>39212</v>
      </c>
      <c r="B93" s="217">
        <v>44450</v>
      </c>
      <c r="C93" s="218">
        <v>2060.5</v>
      </c>
      <c r="D93" s="221">
        <v>17100</v>
      </c>
      <c r="E93" s="224">
        <f t="shared" si="2"/>
        <v>1710</v>
      </c>
    </row>
    <row r="94" spans="1:5">
      <c r="A94" s="223">
        <v>39213</v>
      </c>
      <c r="B94" s="217">
        <v>44700</v>
      </c>
      <c r="C94" s="218">
        <v>2068</v>
      </c>
      <c r="D94" s="221">
        <v>17100</v>
      </c>
      <c r="E94" s="224">
        <f t="shared" si="2"/>
        <v>1710</v>
      </c>
    </row>
    <row r="95" spans="1:5">
      <c r="A95" s="223">
        <v>39216</v>
      </c>
      <c r="B95" s="217">
        <v>44525</v>
      </c>
      <c r="C95" s="218">
        <v>2060</v>
      </c>
      <c r="D95" s="221">
        <v>17100</v>
      </c>
      <c r="E95" s="224">
        <f t="shared" si="2"/>
        <v>1710</v>
      </c>
    </row>
    <row r="96" spans="1:5">
      <c r="A96" s="223">
        <v>39217</v>
      </c>
      <c r="B96" s="217">
        <v>44950</v>
      </c>
      <c r="C96" s="218">
        <v>2085.5</v>
      </c>
      <c r="D96" s="221">
        <v>16950</v>
      </c>
      <c r="E96" s="224">
        <f t="shared" si="2"/>
        <v>1695</v>
      </c>
    </row>
    <row r="97" spans="1:5">
      <c r="A97" s="223">
        <v>39218</v>
      </c>
      <c r="B97" s="217">
        <v>45000</v>
      </c>
      <c r="C97" s="218">
        <v>2075</v>
      </c>
      <c r="D97" s="221">
        <v>16900</v>
      </c>
      <c r="E97" s="224">
        <f t="shared" si="2"/>
        <v>1690</v>
      </c>
    </row>
    <row r="98" spans="1:5">
      <c r="A98" s="223">
        <v>39219</v>
      </c>
      <c r="B98" s="217">
        <v>47875</v>
      </c>
      <c r="C98" s="218">
        <v>2005</v>
      </c>
      <c r="D98" s="221">
        <v>16900</v>
      </c>
      <c r="E98" s="224">
        <f t="shared" si="2"/>
        <v>1690</v>
      </c>
    </row>
    <row r="99" spans="1:5">
      <c r="A99" s="223">
        <v>39220</v>
      </c>
      <c r="B99" s="217">
        <v>48725</v>
      </c>
      <c r="C99" s="218">
        <v>1995</v>
      </c>
      <c r="D99" s="221">
        <v>16750</v>
      </c>
      <c r="E99" s="224">
        <f t="shared" si="2"/>
        <v>1675</v>
      </c>
    </row>
    <row r="100" spans="1:5">
      <c r="A100" s="223">
        <v>39223</v>
      </c>
      <c r="B100" s="217">
        <v>48625</v>
      </c>
      <c r="C100" s="218">
        <v>2060.5</v>
      </c>
      <c r="D100" s="221">
        <v>16750</v>
      </c>
      <c r="E100" s="224">
        <f t="shared" si="2"/>
        <v>1675</v>
      </c>
    </row>
    <row r="101" spans="1:5">
      <c r="A101" s="223">
        <v>39224</v>
      </c>
      <c r="B101" s="217">
        <v>48200</v>
      </c>
      <c r="C101" s="218">
        <v>2155.5</v>
      </c>
      <c r="D101" s="221">
        <v>16700</v>
      </c>
      <c r="E101" s="224">
        <f t="shared" si="2"/>
        <v>1670</v>
      </c>
    </row>
    <row r="102" spans="1:5">
      <c r="A102" s="223">
        <v>39225</v>
      </c>
      <c r="B102" s="217">
        <v>48400</v>
      </c>
      <c r="C102" s="218">
        <v>2095</v>
      </c>
      <c r="D102" s="221">
        <v>16650</v>
      </c>
      <c r="E102" s="224">
        <f t="shared" si="2"/>
        <v>1665</v>
      </c>
    </row>
    <row r="103" spans="1:5">
      <c r="A103" s="223">
        <v>39226</v>
      </c>
      <c r="B103" s="217">
        <v>47925</v>
      </c>
      <c r="C103" s="218">
        <v>2165</v>
      </c>
      <c r="D103" s="221">
        <v>16600</v>
      </c>
      <c r="E103" s="224">
        <f t="shared" si="2"/>
        <v>1660</v>
      </c>
    </row>
    <row r="104" spans="1:5">
      <c r="A104" s="223">
        <v>39227</v>
      </c>
      <c r="B104" s="217">
        <v>46900</v>
      </c>
      <c r="C104" s="218">
        <v>2156</v>
      </c>
      <c r="D104" s="221">
        <v>16525</v>
      </c>
      <c r="E104" s="224">
        <f t="shared" si="2"/>
        <v>1652.5</v>
      </c>
    </row>
    <row r="105" spans="1:5">
      <c r="A105" s="223"/>
      <c r="B105" s="217">
        <v>46900</v>
      </c>
      <c r="C105" s="218">
        <v>2156</v>
      </c>
      <c r="D105" s="221">
        <v>16575</v>
      </c>
      <c r="E105" s="224">
        <f t="shared" si="2"/>
        <v>1657.5</v>
      </c>
    </row>
    <row r="106" spans="1:5">
      <c r="A106" s="223">
        <v>39231</v>
      </c>
      <c r="B106" s="217">
        <v>46700</v>
      </c>
      <c r="C106" s="218">
        <v>2205</v>
      </c>
      <c r="D106" s="221">
        <v>16650</v>
      </c>
      <c r="E106" s="224">
        <f t="shared" si="2"/>
        <v>1665</v>
      </c>
    </row>
    <row r="107" spans="1:5">
      <c r="A107" s="223">
        <v>39232</v>
      </c>
      <c r="B107" s="217">
        <v>46800</v>
      </c>
      <c r="C107" s="218">
        <v>2280</v>
      </c>
      <c r="D107" s="221">
        <v>16700</v>
      </c>
      <c r="E107" s="224">
        <f t="shared" si="2"/>
        <v>1670</v>
      </c>
    </row>
    <row r="108" spans="1:5">
      <c r="A108" s="223">
        <v>39233</v>
      </c>
      <c r="B108" s="217">
        <v>47625</v>
      </c>
      <c r="C108" s="218">
        <v>2349</v>
      </c>
      <c r="D108" s="221">
        <v>16750</v>
      </c>
      <c r="E108" s="224">
        <f t="shared" si="2"/>
        <v>1675</v>
      </c>
    </row>
    <row r="109" spans="1:5">
      <c r="A109" s="223">
        <v>39234</v>
      </c>
      <c r="B109" s="217">
        <v>47600</v>
      </c>
      <c r="C109" s="218">
        <v>2351</v>
      </c>
      <c r="D109" s="221">
        <v>16850</v>
      </c>
      <c r="E109" s="224">
        <f t="shared" si="2"/>
        <v>1685</v>
      </c>
    </row>
    <row r="110" spans="1:5">
      <c r="A110" s="223">
        <v>39237</v>
      </c>
      <c r="B110" s="217">
        <v>47650</v>
      </c>
      <c r="C110" s="218">
        <v>2336</v>
      </c>
      <c r="D110" s="221">
        <v>16825</v>
      </c>
      <c r="E110" s="224">
        <f t="shared" si="2"/>
        <v>1682.5</v>
      </c>
    </row>
    <row r="111" spans="1:5">
      <c r="A111" s="223">
        <v>39238</v>
      </c>
      <c r="B111" s="217">
        <v>48250</v>
      </c>
      <c r="C111" s="218">
        <v>2325.5</v>
      </c>
      <c r="D111" s="221">
        <v>16825</v>
      </c>
      <c r="E111" s="224">
        <f t="shared" si="2"/>
        <v>1682.5</v>
      </c>
    </row>
    <row r="112" spans="1:5">
      <c r="A112" s="223">
        <v>39239</v>
      </c>
      <c r="B112" s="217">
        <v>47775</v>
      </c>
      <c r="C112" s="218">
        <v>2315.5</v>
      </c>
      <c r="D112" s="221">
        <v>16800</v>
      </c>
      <c r="E112" s="224">
        <f t="shared" si="2"/>
        <v>1680</v>
      </c>
    </row>
    <row r="113" spans="1:5">
      <c r="A113" s="223">
        <v>39240</v>
      </c>
      <c r="B113" s="217">
        <v>47075</v>
      </c>
      <c r="C113" s="218">
        <v>2305</v>
      </c>
      <c r="D113" s="221">
        <v>16775</v>
      </c>
      <c r="E113" s="224">
        <f t="shared" si="2"/>
        <v>1677.5</v>
      </c>
    </row>
    <row r="114" spans="1:5">
      <c r="A114" s="223">
        <v>39241</v>
      </c>
      <c r="B114" s="217">
        <v>46275</v>
      </c>
      <c r="C114" s="218">
        <v>2255</v>
      </c>
      <c r="D114" s="221">
        <v>16725</v>
      </c>
      <c r="E114" s="224">
        <f t="shared" si="2"/>
        <v>1672.5</v>
      </c>
    </row>
    <row r="115" spans="1:5">
      <c r="A115" s="223">
        <v>39244</v>
      </c>
      <c r="B115" s="217">
        <v>45275</v>
      </c>
      <c r="C115" s="218">
        <v>2315</v>
      </c>
      <c r="D115" s="221">
        <v>16725</v>
      </c>
      <c r="E115" s="224">
        <f t="shared" si="2"/>
        <v>1672.5</v>
      </c>
    </row>
    <row r="116" spans="1:5">
      <c r="A116" s="223">
        <v>39245</v>
      </c>
      <c r="B116" s="217">
        <v>44175</v>
      </c>
      <c r="C116" s="218">
        <v>2315</v>
      </c>
      <c r="D116" s="221">
        <v>16825</v>
      </c>
      <c r="E116" s="224">
        <f t="shared" si="2"/>
        <v>1682.5</v>
      </c>
    </row>
    <row r="117" spans="1:5">
      <c r="A117" s="223">
        <v>39246</v>
      </c>
      <c r="B117" s="217">
        <v>43300</v>
      </c>
      <c r="C117" s="218">
        <v>2288.5</v>
      </c>
      <c r="D117" s="221">
        <v>16875</v>
      </c>
      <c r="E117" s="224">
        <f t="shared" si="2"/>
        <v>1687.5</v>
      </c>
    </row>
    <row r="118" spans="1:5">
      <c r="A118" s="223">
        <v>39247</v>
      </c>
      <c r="B118" s="217">
        <v>42975</v>
      </c>
      <c r="C118" s="218">
        <v>2335.5</v>
      </c>
      <c r="D118" s="221">
        <v>17000</v>
      </c>
      <c r="E118" s="224">
        <f t="shared" si="2"/>
        <v>1700</v>
      </c>
    </row>
    <row r="119" spans="1:5">
      <c r="A119" s="223">
        <v>39248</v>
      </c>
      <c r="B119" s="217">
        <v>42725</v>
      </c>
      <c r="C119" s="218">
        <v>2360</v>
      </c>
      <c r="D119" s="221">
        <v>17150</v>
      </c>
      <c r="E119" s="224">
        <f t="shared" si="2"/>
        <v>1715</v>
      </c>
    </row>
    <row r="120" spans="1:5">
      <c r="A120" s="223">
        <v>39251</v>
      </c>
      <c r="B120" s="217">
        <v>42725</v>
      </c>
      <c r="C120" s="218">
        <v>2410.5</v>
      </c>
      <c r="D120" s="221">
        <v>17150</v>
      </c>
      <c r="E120" s="224">
        <f t="shared" si="2"/>
        <v>1715</v>
      </c>
    </row>
    <row r="121" spans="1:5">
      <c r="A121" s="223">
        <v>39252</v>
      </c>
      <c r="B121" s="217">
        <v>41725</v>
      </c>
      <c r="C121" s="218">
        <v>2400</v>
      </c>
      <c r="D121" s="221">
        <v>17275</v>
      </c>
      <c r="E121" s="224">
        <f t="shared" si="2"/>
        <v>1727.5</v>
      </c>
    </row>
    <row r="122" spans="1:5">
      <c r="A122" s="223">
        <v>39253</v>
      </c>
      <c r="B122" s="217">
        <v>43175</v>
      </c>
      <c r="C122" s="218">
        <v>2477</v>
      </c>
      <c r="D122" s="221">
        <v>17425</v>
      </c>
      <c r="E122" s="224">
        <f t="shared" si="2"/>
        <v>1742.5</v>
      </c>
    </row>
    <row r="123" spans="1:5">
      <c r="A123" s="223">
        <v>39254</v>
      </c>
      <c r="B123" s="217">
        <v>42900</v>
      </c>
      <c r="C123" s="218">
        <v>2523</v>
      </c>
      <c r="D123" s="221">
        <v>17600</v>
      </c>
      <c r="E123" s="224">
        <f t="shared" si="2"/>
        <v>1760</v>
      </c>
    </row>
    <row r="124" spans="1:5">
      <c r="A124" s="223">
        <v>39255</v>
      </c>
      <c r="B124" s="217">
        <v>44825</v>
      </c>
      <c r="C124" s="218">
        <v>2530</v>
      </c>
      <c r="D124" s="221">
        <v>17800</v>
      </c>
      <c r="E124" s="224">
        <f t="shared" si="2"/>
        <v>1780</v>
      </c>
    </row>
    <row r="125" spans="1:5">
      <c r="A125" s="223">
        <v>39258</v>
      </c>
      <c r="B125" s="217">
        <v>46025</v>
      </c>
      <c r="C125" s="218">
        <v>2600</v>
      </c>
      <c r="D125" s="221">
        <v>18100</v>
      </c>
      <c r="E125" s="224">
        <f t="shared" si="2"/>
        <v>1810</v>
      </c>
    </row>
    <row r="126" spans="1:5">
      <c r="A126" s="223">
        <v>39259</v>
      </c>
      <c r="B126" s="217">
        <v>46400</v>
      </c>
      <c r="C126" s="218">
        <v>2677</v>
      </c>
      <c r="D126" s="221">
        <v>18650</v>
      </c>
      <c r="E126" s="224">
        <f t="shared" si="2"/>
        <v>1865</v>
      </c>
    </row>
    <row r="127" spans="1:5">
      <c r="A127" s="223">
        <v>39260</v>
      </c>
      <c r="B127" s="217">
        <v>45750</v>
      </c>
      <c r="C127" s="218">
        <v>2519</v>
      </c>
      <c r="D127" s="221">
        <v>19000</v>
      </c>
      <c r="E127" s="224">
        <f t="shared" si="2"/>
        <v>1900</v>
      </c>
    </row>
    <row r="128" spans="1:5">
      <c r="A128" s="223">
        <v>39261</v>
      </c>
      <c r="B128" s="217">
        <v>45100</v>
      </c>
      <c r="C128" s="218">
        <v>2660</v>
      </c>
      <c r="D128" s="221">
        <v>19100</v>
      </c>
      <c r="E128" s="224">
        <f t="shared" si="2"/>
        <v>1910</v>
      </c>
    </row>
    <row r="129" spans="1:5">
      <c r="A129" s="223">
        <v>39262</v>
      </c>
      <c r="B129" s="217">
        <v>45075</v>
      </c>
      <c r="C129" s="218">
        <v>2647</v>
      </c>
      <c r="D129" s="221">
        <v>19200</v>
      </c>
      <c r="E129" s="224">
        <f t="shared" si="2"/>
        <v>1920</v>
      </c>
    </row>
    <row r="130" spans="1:5">
      <c r="A130" s="223">
        <v>39265</v>
      </c>
      <c r="B130" s="217">
        <v>45125</v>
      </c>
      <c r="C130" s="218">
        <v>2730</v>
      </c>
      <c r="D130" s="221">
        <v>19200</v>
      </c>
      <c r="E130" s="224">
        <f t="shared" si="2"/>
        <v>1920</v>
      </c>
    </row>
    <row r="131" spans="1:5">
      <c r="A131" s="223">
        <v>39266</v>
      </c>
      <c r="B131" s="217">
        <v>44850</v>
      </c>
      <c r="C131" s="218">
        <v>2780</v>
      </c>
      <c r="D131" s="221">
        <v>19900</v>
      </c>
      <c r="E131" s="224">
        <f t="shared" ref="E131:E193" si="3">D131/10</f>
        <v>1990</v>
      </c>
    </row>
    <row r="132" spans="1:5">
      <c r="A132" s="223">
        <v>39267</v>
      </c>
      <c r="B132" s="217">
        <v>45050</v>
      </c>
      <c r="C132" s="218">
        <v>2857</v>
      </c>
      <c r="D132" s="221">
        <v>20400</v>
      </c>
      <c r="E132" s="224">
        <f t="shared" si="3"/>
        <v>2040</v>
      </c>
    </row>
    <row r="133" spans="1:5">
      <c r="A133" s="223">
        <v>39268</v>
      </c>
      <c r="B133" s="217">
        <v>44800</v>
      </c>
      <c r="C133" s="218">
        <v>2858</v>
      </c>
      <c r="D133" s="221">
        <v>21250</v>
      </c>
      <c r="E133" s="224">
        <f t="shared" si="3"/>
        <v>2125</v>
      </c>
    </row>
    <row r="134" spans="1:5">
      <c r="A134" s="223">
        <v>39269</v>
      </c>
      <c r="B134" s="217">
        <v>44150</v>
      </c>
      <c r="C134" s="218">
        <v>2846</v>
      </c>
      <c r="D134" s="221">
        <v>22550</v>
      </c>
      <c r="E134" s="224">
        <f t="shared" si="3"/>
        <v>2255</v>
      </c>
    </row>
    <row r="135" spans="1:5">
      <c r="A135" s="223">
        <v>39272</v>
      </c>
      <c r="B135" s="217">
        <v>43400</v>
      </c>
      <c r="C135" s="218">
        <v>2945</v>
      </c>
      <c r="D135" s="221">
        <v>23250</v>
      </c>
      <c r="E135" s="224">
        <f t="shared" si="3"/>
        <v>2325</v>
      </c>
    </row>
    <row r="136" spans="1:5">
      <c r="A136" s="223">
        <v>39273</v>
      </c>
      <c r="B136" s="217">
        <v>43050</v>
      </c>
      <c r="C136" s="218">
        <v>2934</v>
      </c>
      <c r="D136" s="221">
        <v>23750</v>
      </c>
      <c r="E136" s="224">
        <f t="shared" si="3"/>
        <v>2375</v>
      </c>
    </row>
    <row r="137" spans="1:5">
      <c r="A137" s="223">
        <v>39274</v>
      </c>
      <c r="B137" s="217">
        <v>42925</v>
      </c>
      <c r="C137" s="218">
        <v>3016</v>
      </c>
      <c r="D137" s="221">
        <v>23600</v>
      </c>
      <c r="E137" s="224">
        <f t="shared" si="3"/>
        <v>2360</v>
      </c>
    </row>
    <row r="138" spans="1:5">
      <c r="A138" s="223">
        <v>39275</v>
      </c>
      <c r="B138" s="217">
        <v>41950</v>
      </c>
      <c r="C138" s="218">
        <v>3036</v>
      </c>
      <c r="D138" s="221">
        <v>23300</v>
      </c>
      <c r="E138" s="224">
        <f t="shared" si="3"/>
        <v>2330</v>
      </c>
    </row>
    <row r="139" spans="1:5">
      <c r="A139" s="223">
        <v>39276</v>
      </c>
      <c r="B139" s="217">
        <v>42025</v>
      </c>
      <c r="C139" s="218">
        <v>3018.5</v>
      </c>
      <c r="D139" s="221">
        <v>23000</v>
      </c>
      <c r="E139" s="224">
        <f t="shared" si="3"/>
        <v>2300</v>
      </c>
    </row>
    <row r="140" spans="1:5">
      <c r="A140" s="223">
        <v>39279</v>
      </c>
      <c r="B140" s="217">
        <v>41575</v>
      </c>
      <c r="C140" s="218">
        <v>3125</v>
      </c>
      <c r="D140" s="221">
        <v>23050</v>
      </c>
      <c r="E140" s="224">
        <f t="shared" si="3"/>
        <v>2305</v>
      </c>
    </row>
    <row r="141" spans="1:5">
      <c r="A141" s="223">
        <v>39280</v>
      </c>
      <c r="B141" s="217">
        <v>41950</v>
      </c>
      <c r="C141" s="218">
        <v>3170</v>
      </c>
      <c r="D141" s="221">
        <v>23300</v>
      </c>
      <c r="E141" s="224">
        <f t="shared" si="3"/>
        <v>2330</v>
      </c>
    </row>
    <row r="142" spans="1:5">
      <c r="A142" s="223">
        <v>39281</v>
      </c>
      <c r="B142" s="217">
        <v>41225</v>
      </c>
      <c r="C142" s="218">
        <v>3224</v>
      </c>
      <c r="D142" s="221">
        <v>23700</v>
      </c>
      <c r="E142" s="224">
        <f t="shared" si="3"/>
        <v>2370</v>
      </c>
    </row>
    <row r="143" spans="1:5">
      <c r="A143" s="223">
        <v>39282</v>
      </c>
      <c r="B143" s="217">
        <v>40775</v>
      </c>
      <c r="C143" s="218">
        <v>3314.5</v>
      </c>
      <c r="D143" s="221">
        <v>24050</v>
      </c>
      <c r="E143" s="224">
        <f t="shared" si="3"/>
        <v>2405</v>
      </c>
    </row>
    <row r="144" spans="1:5">
      <c r="A144" s="223">
        <v>39283</v>
      </c>
      <c r="B144" s="217">
        <v>40575</v>
      </c>
      <c r="C144" s="218">
        <v>3465</v>
      </c>
      <c r="D144" s="221">
        <v>24700</v>
      </c>
      <c r="E144" s="224">
        <f t="shared" si="3"/>
        <v>2470</v>
      </c>
    </row>
    <row r="145" spans="1:5">
      <c r="A145" s="223">
        <v>39286</v>
      </c>
      <c r="B145" s="217">
        <v>40325</v>
      </c>
      <c r="C145" s="218">
        <v>3480</v>
      </c>
      <c r="D145" s="221">
        <v>25650</v>
      </c>
      <c r="E145" s="224">
        <f t="shared" si="3"/>
        <v>2565</v>
      </c>
    </row>
    <row r="146" spans="1:5">
      <c r="A146" s="223">
        <v>39287</v>
      </c>
      <c r="B146" s="217">
        <v>40100</v>
      </c>
      <c r="C146" s="218">
        <v>3455</v>
      </c>
      <c r="D146" s="221">
        <v>25650</v>
      </c>
      <c r="E146" s="224">
        <f t="shared" si="3"/>
        <v>2565</v>
      </c>
    </row>
    <row r="147" spans="1:5">
      <c r="A147" s="223">
        <v>39288</v>
      </c>
      <c r="B147" s="217">
        <v>39450</v>
      </c>
      <c r="C147" s="218">
        <v>3300</v>
      </c>
      <c r="D147" s="221">
        <v>25550</v>
      </c>
      <c r="E147" s="224">
        <f t="shared" si="3"/>
        <v>2555</v>
      </c>
    </row>
    <row r="148" spans="1:5">
      <c r="A148" s="223">
        <v>39289</v>
      </c>
      <c r="B148" s="217">
        <v>39450</v>
      </c>
      <c r="C148" s="218">
        <v>3169</v>
      </c>
      <c r="D148" s="221">
        <v>25100</v>
      </c>
      <c r="E148" s="224">
        <f t="shared" si="3"/>
        <v>2510</v>
      </c>
    </row>
    <row r="149" spans="1:5">
      <c r="A149" s="223">
        <v>39290</v>
      </c>
      <c r="B149" s="217">
        <v>39000</v>
      </c>
      <c r="C149" s="218">
        <v>3045</v>
      </c>
      <c r="D149" s="221">
        <v>24650</v>
      </c>
      <c r="E149" s="224">
        <f t="shared" si="3"/>
        <v>2465</v>
      </c>
    </row>
    <row r="150" spans="1:5">
      <c r="A150" s="223">
        <v>39293</v>
      </c>
      <c r="B150" s="217">
        <v>39000</v>
      </c>
      <c r="C150" s="218">
        <v>2951</v>
      </c>
      <c r="D150" s="221">
        <v>24300</v>
      </c>
      <c r="E150" s="224">
        <f t="shared" si="3"/>
        <v>2430</v>
      </c>
    </row>
    <row r="151" spans="1:5">
      <c r="A151" s="223">
        <v>39294</v>
      </c>
      <c r="B151" s="217">
        <v>37575</v>
      </c>
      <c r="C151" s="218">
        <v>3119</v>
      </c>
      <c r="D151" s="221">
        <v>23650</v>
      </c>
      <c r="E151" s="224">
        <f t="shared" si="3"/>
        <v>2365</v>
      </c>
    </row>
    <row r="152" spans="1:5">
      <c r="A152" s="223">
        <v>39295</v>
      </c>
      <c r="B152" s="217">
        <v>37050</v>
      </c>
      <c r="C152" s="218">
        <v>3075</v>
      </c>
      <c r="D152" s="221">
        <v>24600</v>
      </c>
      <c r="E152" s="224">
        <f t="shared" si="3"/>
        <v>2460</v>
      </c>
    </row>
    <row r="153" spans="1:5">
      <c r="A153" s="223">
        <v>39296</v>
      </c>
      <c r="B153" s="217">
        <v>36750</v>
      </c>
      <c r="C153" s="218">
        <v>3266</v>
      </c>
      <c r="D153" s="221">
        <v>25050</v>
      </c>
      <c r="E153" s="224">
        <f t="shared" si="3"/>
        <v>2505</v>
      </c>
    </row>
    <row r="154" spans="1:5">
      <c r="A154" s="223">
        <v>39297</v>
      </c>
      <c r="B154" s="217">
        <v>35550</v>
      </c>
      <c r="C154" s="218">
        <v>3390</v>
      </c>
      <c r="D154" s="221">
        <v>25500</v>
      </c>
      <c r="E154" s="224">
        <f t="shared" si="3"/>
        <v>2550</v>
      </c>
    </row>
    <row r="155" spans="1:5">
      <c r="A155" s="223">
        <v>39300</v>
      </c>
      <c r="B155" s="217">
        <v>35325</v>
      </c>
      <c r="C155" s="218">
        <v>3251</v>
      </c>
      <c r="D155" s="221">
        <v>25700</v>
      </c>
      <c r="E155" s="224">
        <f t="shared" si="3"/>
        <v>2570</v>
      </c>
    </row>
    <row r="156" spans="1:5">
      <c r="A156" s="223">
        <v>39301</v>
      </c>
      <c r="B156" s="217">
        <v>35300</v>
      </c>
      <c r="C156" s="218">
        <v>3174</v>
      </c>
      <c r="D156" s="221">
        <v>25050</v>
      </c>
      <c r="E156" s="224">
        <f t="shared" si="3"/>
        <v>2505</v>
      </c>
    </row>
    <row r="157" spans="1:5">
      <c r="A157" s="223">
        <v>39302</v>
      </c>
      <c r="B157" s="217">
        <v>33975</v>
      </c>
      <c r="C157" s="218">
        <v>3179</v>
      </c>
      <c r="D157" s="221">
        <v>25050</v>
      </c>
      <c r="E157" s="224">
        <f t="shared" si="3"/>
        <v>2505</v>
      </c>
    </row>
    <row r="158" spans="1:5">
      <c r="A158" s="223">
        <v>39303</v>
      </c>
      <c r="B158" s="217">
        <v>32750</v>
      </c>
      <c r="C158" s="218">
        <v>3045</v>
      </c>
      <c r="D158" s="221">
        <v>24800</v>
      </c>
      <c r="E158" s="224">
        <f t="shared" si="3"/>
        <v>2480</v>
      </c>
    </row>
    <row r="159" spans="1:5">
      <c r="A159" s="223">
        <v>39304</v>
      </c>
      <c r="B159" s="217">
        <v>32575</v>
      </c>
      <c r="C159" s="218">
        <v>2873</v>
      </c>
      <c r="D159" s="221">
        <v>24200</v>
      </c>
      <c r="E159" s="224">
        <f t="shared" si="3"/>
        <v>2420</v>
      </c>
    </row>
    <row r="160" spans="1:5">
      <c r="A160" s="223">
        <v>39307</v>
      </c>
      <c r="B160" s="217">
        <v>31550</v>
      </c>
      <c r="C160" s="218">
        <v>3048</v>
      </c>
      <c r="D160" s="221">
        <v>24200</v>
      </c>
      <c r="E160" s="224">
        <f t="shared" si="3"/>
        <v>2420</v>
      </c>
    </row>
    <row r="161" spans="1:5">
      <c r="A161" s="223">
        <v>39308</v>
      </c>
      <c r="B161" s="217">
        <v>30850</v>
      </c>
      <c r="C161" s="218">
        <v>3121</v>
      </c>
      <c r="D161" s="221">
        <v>24600</v>
      </c>
      <c r="E161" s="224">
        <f t="shared" si="3"/>
        <v>2460</v>
      </c>
    </row>
    <row r="162" spans="1:5">
      <c r="A162" s="223">
        <v>39309</v>
      </c>
      <c r="B162" s="217">
        <v>29350</v>
      </c>
      <c r="C162" s="218">
        <v>2940</v>
      </c>
      <c r="D162" s="221">
        <v>24800</v>
      </c>
      <c r="E162" s="224">
        <f t="shared" si="3"/>
        <v>2480</v>
      </c>
    </row>
    <row r="163" spans="1:5">
      <c r="A163" s="223">
        <v>39310</v>
      </c>
      <c r="B163" s="217">
        <v>28950</v>
      </c>
      <c r="C163" s="218">
        <v>2925</v>
      </c>
      <c r="D163" s="221">
        <v>24600</v>
      </c>
      <c r="E163" s="224">
        <f t="shared" si="3"/>
        <v>2460</v>
      </c>
    </row>
    <row r="164" spans="1:5">
      <c r="A164" s="223">
        <v>39311</v>
      </c>
      <c r="B164" s="217">
        <v>28250</v>
      </c>
      <c r="C164" s="218">
        <v>2895</v>
      </c>
      <c r="D164" s="221">
        <v>23900</v>
      </c>
      <c r="E164" s="224">
        <f t="shared" si="3"/>
        <v>2390</v>
      </c>
    </row>
    <row r="165" spans="1:5">
      <c r="A165" s="223">
        <v>39314</v>
      </c>
      <c r="B165" s="217">
        <v>27750</v>
      </c>
      <c r="C165" s="218">
        <v>3015</v>
      </c>
      <c r="D165" s="221">
        <v>24200</v>
      </c>
      <c r="E165" s="224">
        <f t="shared" si="3"/>
        <v>2420</v>
      </c>
    </row>
    <row r="166" spans="1:5">
      <c r="A166" s="223">
        <v>39315</v>
      </c>
      <c r="B166" s="217">
        <v>27200</v>
      </c>
      <c r="C166" s="218">
        <v>2940</v>
      </c>
      <c r="D166" s="221">
        <v>24600</v>
      </c>
      <c r="E166" s="224">
        <f t="shared" si="3"/>
        <v>2460</v>
      </c>
    </row>
    <row r="167" spans="1:5">
      <c r="A167" s="223">
        <v>39316</v>
      </c>
      <c r="B167" s="217">
        <v>26675</v>
      </c>
      <c r="C167" s="218">
        <v>3055</v>
      </c>
      <c r="D167" s="221">
        <v>24450</v>
      </c>
      <c r="E167" s="224">
        <f t="shared" si="3"/>
        <v>2445</v>
      </c>
    </row>
    <row r="168" spans="1:5">
      <c r="A168" s="223">
        <v>39317</v>
      </c>
      <c r="B168" s="217">
        <v>26400</v>
      </c>
      <c r="C168" s="218">
        <v>3200</v>
      </c>
      <c r="D168" s="221">
        <v>24600</v>
      </c>
      <c r="E168" s="224">
        <f t="shared" si="3"/>
        <v>2460</v>
      </c>
    </row>
    <row r="169" spans="1:5">
      <c r="A169" s="223">
        <v>39318</v>
      </c>
      <c r="B169" s="217">
        <v>26025</v>
      </c>
      <c r="C169" s="218">
        <v>3265</v>
      </c>
      <c r="D169" s="221">
        <v>24850</v>
      </c>
      <c r="E169" s="224">
        <f t="shared" si="3"/>
        <v>2485</v>
      </c>
    </row>
    <row r="170" spans="1:5">
      <c r="A170" s="223">
        <v>39322</v>
      </c>
      <c r="B170" s="217">
        <v>25750</v>
      </c>
      <c r="C170" s="218">
        <v>3308</v>
      </c>
      <c r="D170" s="221">
        <v>24800</v>
      </c>
      <c r="E170" s="224">
        <f t="shared" si="3"/>
        <v>2480</v>
      </c>
    </row>
    <row r="171" spans="1:5">
      <c r="A171" s="223">
        <v>39323</v>
      </c>
      <c r="B171" s="217">
        <v>25525</v>
      </c>
      <c r="C171" s="218">
        <v>3188</v>
      </c>
      <c r="D171" s="221">
        <v>24500</v>
      </c>
      <c r="E171" s="224">
        <f t="shared" si="3"/>
        <v>2450</v>
      </c>
    </row>
    <row r="172" spans="1:5">
      <c r="A172" s="223">
        <v>39324</v>
      </c>
      <c r="B172" s="217">
        <v>25525</v>
      </c>
      <c r="C172" s="218">
        <v>3190</v>
      </c>
      <c r="D172" s="221">
        <v>24200</v>
      </c>
      <c r="E172" s="224">
        <f t="shared" si="3"/>
        <v>2420</v>
      </c>
    </row>
    <row r="173" spans="1:5">
      <c r="A173" s="223">
        <v>39325</v>
      </c>
      <c r="B173" s="217">
        <v>25375</v>
      </c>
      <c r="C173" s="218">
        <v>3285</v>
      </c>
      <c r="D173" s="221">
        <v>24050</v>
      </c>
      <c r="E173" s="224">
        <f t="shared" si="3"/>
        <v>2405</v>
      </c>
    </row>
    <row r="174" spans="1:5">
      <c r="A174" s="223">
        <v>39328</v>
      </c>
      <c r="B174" s="217">
        <v>25200</v>
      </c>
      <c r="C174" s="218">
        <v>3091</v>
      </c>
      <c r="D174" s="221">
        <v>23600</v>
      </c>
      <c r="E174" s="224">
        <f t="shared" si="3"/>
        <v>2360</v>
      </c>
    </row>
    <row r="175" spans="1:5">
      <c r="A175" s="223">
        <v>39329</v>
      </c>
      <c r="B175" s="217">
        <v>25200</v>
      </c>
      <c r="C175" s="218">
        <v>2991</v>
      </c>
      <c r="D175" s="221">
        <v>23550</v>
      </c>
      <c r="E175" s="224">
        <f t="shared" si="3"/>
        <v>2355</v>
      </c>
    </row>
    <row r="176" spans="1:5">
      <c r="A176" s="223">
        <v>39330</v>
      </c>
      <c r="B176" s="217">
        <v>24750</v>
      </c>
      <c r="C176" s="218">
        <v>3090</v>
      </c>
      <c r="D176" s="221">
        <v>23400</v>
      </c>
      <c r="E176" s="224">
        <f t="shared" si="3"/>
        <v>2340</v>
      </c>
    </row>
    <row r="177" spans="1:5">
      <c r="A177" s="223">
        <v>39331</v>
      </c>
      <c r="B177" s="217">
        <v>24675</v>
      </c>
      <c r="C177" s="218">
        <v>2940</v>
      </c>
      <c r="D177" s="221">
        <v>23050</v>
      </c>
      <c r="E177" s="224">
        <f t="shared" si="3"/>
        <v>2305</v>
      </c>
    </row>
    <row r="178" spans="1:5">
      <c r="A178" s="223">
        <v>39332</v>
      </c>
      <c r="B178" s="217">
        <v>24475</v>
      </c>
      <c r="C178" s="218">
        <v>3010.5</v>
      </c>
      <c r="D178" s="221">
        <v>22850</v>
      </c>
      <c r="E178" s="224">
        <f t="shared" si="3"/>
        <v>2285</v>
      </c>
    </row>
    <row r="179" spans="1:5">
      <c r="A179" s="223">
        <v>39335</v>
      </c>
      <c r="B179" s="217">
        <v>24175</v>
      </c>
      <c r="C179" s="218">
        <v>2915</v>
      </c>
      <c r="D179" s="221">
        <v>22750</v>
      </c>
      <c r="E179" s="224">
        <f t="shared" si="3"/>
        <v>2275</v>
      </c>
    </row>
    <row r="180" spans="1:5">
      <c r="A180" s="223">
        <v>39336</v>
      </c>
      <c r="B180" s="217">
        <v>23900</v>
      </c>
      <c r="C180" s="218">
        <v>3020</v>
      </c>
      <c r="D180" s="221">
        <v>22650</v>
      </c>
      <c r="E180" s="224">
        <f t="shared" si="3"/>
        <v>2265</v>
      </c>
    </row>
    <row r="181" spans="1:5">
      <c r="A181" s="223">
        <v>39337</v>
      </c>
      <c r="B181" s="217">
        <v>23775</v>
      </c>
      <c r="C181" s="218">
        <v>3065.5</v>
      </c>
      <c r="D181" s="221">
        <v>22750</v>
      </c>
      <c r="E181" s="224">
        <f t="shared" si="3"/>
        <v>2275</v>
      </c>
    </row>
    <row r="182" spans="1:5">
      <c r="A182" s="223">
        <v>39338</v>
      </c>
      <c r="B182" s="217">
        <v>23875</v>
      </c>
      <c r="C182" s="218">
        <v>3101</v>
      </c>
      <c r="D182" s="221">
        <v>22750</v>
      </c>
      <c r="E182" s="224">
        <f t="shared" si="3"/>
        <v>2275</v>
      </c>
    </row>
    <row r="183" spans="1:5">
      <c r="A183" s="223">
        <v>39339</v>
      </c>
      <c r="B183" s="217">
        <v>23425</v>
      </c>
      <c r="C183" s="218">
        <v>3200.5</v>
      </c>
      <c r="D183" s="221">
        <v>22850</v>
      </c>
      <c r="E183" s="224">
        <f t="shared" si="3"/>
        <v>2285</v>
      </c>
    </row>
    <row r="184" spans="1:5">
      <c r="A184" s="223">
        <v>39342</v>
      </c>
      <c r="B184" s="217">
        <v>22750</v>
      </c>
      <c r="C184" s="218">
        <v>3253</v>
      </c>
      <c r="D184" s="221">
        <v>22900</v>
      </c>
      <c r="E184" s="224">
        <f t="shared" si="3"/>
        <v>2290</v>
      </c>
    </row>
    <row r="185" spans="1:5">
      <c r="A185" s="223">
        <v>39343</v>
      </c>
      <c r="B185" s="217">
        <v>22175</v>
      </c>
      <c r="C185" s="218">
        <v>3181</v>
      </c>
      <c r="D185" s="221">
        <v>22750</v>
      </c>
      <c r="E185" s="224">
        <f t="shared" si="3"/>
        <v>2275</v>
      </c>
    </row>
    <row r="186" spans="1:5">
      <c r="A186" s="223">
        <v>39344</v>
      </c>
      <c r="B186" s="217">
        <v>21675</v>
      </c>
      <c r="C186" s="218">
        <v>3290</v>
      </c>
      <c r="D186" s="221">
        <v>22800</v>
      </c>
      <c r="E186" s="224">
        <f t="shared" si="3"/>
        <v>2280</v>
      </c>
    </row>
    <row r="187" spans="1:5">
      <c r="A187" s="223">
        <v>39345</v>
      </c>
      <c r="B187" s="217">
        <v>21425</v>
      </c>
      <c r="C187" s="218">
        <v>3314.5</v>
      </c>
      <c r="D187" s="221">
        <v>23100</v>
      </c>
      <c r="E187" s="224">
        <f t="shared" si="3"/>
        <v>2310</v>
      </c>
    </row>
    <row r="188" spans="1:5">
      <c r="A188" s="223">
        <v>39346</v>
      </c>
      <c r="B188" s="217">
        <v>21200</v>
      </c>
      <c r="C188" s="218">
        <v>3450</v>
      </c>
      <c r="D188" s="221">
        <v>23250</v>
      </c>
      <c r="E188" s="224">
        <f t="shared" si="3"/>
        <v>2325</v>
      </c>
    </row>
    <row r="189" spans="1:5">
      <c r="A189" s="223">
        <v>39349</v>
      </c>
      <c r="B189" s="217">
        <v>21050</v>
      </c>
      <c r="C189" s="218">
        <v>3542</v>
      </c>
      <c r="D189" s="221">
        <v>23450</v>
      </c>
      <c r="E189" s="224">
        <f t="shared" si="3"/>
        <v>2345</v>
      </c>
    </row>
    <row r="190" spans="1:5">
      <c r="A190" s="223">
        <v>39350</v>
      </c>
      <c r="B190" s="217">
        <v>20850</v>
      </c>
      <c r="C190" s="218">
        <v>3460</v>
      </c>
      <c r="D190" s="221">
        <v>23900</v>
      </c>
      <c r="E190" s="224">
        <f t="shared" si="3"/>
        <v>2390</v>
      </c>
    </row>
    <row r="191" spans="1:5">
      <c r="A191" s="223">
        <v>39351</v>
      </c>
      <c r="B191" s="217">
        <v>20850</v>
      </c>
      <c r="C191" s="218">
        <v>3565</v>
      </c>
      <c r="D191" s="221">
        <v>24400</v>
      </c>
      <c r="E191" s="224">
        <f t="shared" si="3"/>
        <v>2440</v>
      </c>
    </row>
    <row r="192" spans="1:5">
      <c r="A192" s="223">
        <v>39352</v>
      </c>
      <c r="B192" s="217">
        <v>22000</v>
      </c>
      <c r="C192" s="218">
        <v>3600</v>
      </c>
      <c r="D192" s="221">
        <v>24625</v>
      </c>
      <c r="E192" s="224">
        <f t="shared" si="3"/>
        <v>2462.5</v>
      </c>
    </row>
    <row r="193" spans="1:5">
      <c r="A193" s="223">
        <v>39353</v>
      </c>
      <c r="B193" s="217">
        <v>22150</v>
      </c>
      <c r="C193" s="218">
        <v>3451</v>
      </c>
      <c r="D193" s="221">
        <v>24525</v>
      </c>
      <c r="E193" s="224">
        <f t="shared" si="3"/>
        <v>2452.5</v>
      </c>
    </row>
    <row r="194" spans="1:5">
      <c r="A194" s="223">
        <v>39356</v>
      </c>
      <c r="B194" s="217">
        <v>22550</v>
      </c>
      <c r="C194" s="218">
        <v>3445</v>
      </c>
      <c r="D194" s="221">
        <v>24525</v>
      </c>
      <c r="E194" s="224">
        <f>D194/10</f>
        <v>2452.5</v>
      </c>
    </row>
    <row r="195" spans="1:5">
      <c r="A195" s="223">
        <v>39357</v>
      </c>
      <c r="B195" s="217">
        <v>22325</v>
      </c>
      <c r="C195" s="218">
        <v>3529</v>
      </c>
      <c r="D195" s="221">
        <v>24525</v>
      </c>
      <c r="E195" s="224">
        <f>D195/10</f>
        <v>2452.5</v>
      </c>
    </row>
    <row r="196" spans="1:5">
      <c r="A196" s="223">
        <v>39358</v>
      </c>
      <c r="B196" s="217">
        <v>22350</v>
      </c>
      <c r="C196" s="218">
        <v>3677</v>
      </c>
      <c r="D196" s="221">
        <v>24525</v>
      </c>
      <c r="E196" s="224">
        <f>D196/10</f>
        <v>2452.5</v>
      </c>
    </row>
    <row r="197" spans="1:5">
      <c r="A197" s="223">
        <v>39359</v>
      </c>
      <c r="B197" s="217">
        <v>22300</v>
      </c>
      <c r="C197" s="218">
        <v>3661</v>
      </c>
      <c r="D197" s="221">
        <v>24525</v>
      </c>
      <c r="E197" s="224">
        <f>D197/10</f>
        <v>2452.5</v>
      </c>
    </row>
    <row r="198" spans="1:5">
      <c r="A198" s="223">
        <v>39360</v>
      </c>
      <c r="B198" s="217">
        <v>22275</v>
      </c>
      <c r="C198" s="218">
        <v>3804</v>
      </c>
      <c r="D198" s="221">
        <v>24525</v>
      </c>
      <c r="E198" s="224">
        <f>D198/10</f>
        <v>2452.5</v>
      </c>
    </row>
    <row r="199" spans="1:5">
      <c r="A199" s="223">
        <v>39363</v>
      </c>
      <c r="B199" s="217">
        <v>22200</v>
      </c>
      <c r="C199" s="218">
        <v>3740</v>
      </c>
      <c r="D199" s="221">
        <v>25800</v>
      </c>
      <c r="E199" s="224">
        <f t="shared" ref="E199:E258" si="4">D199/10</f>
        <v>2580</v>
      </c>
    </row>
    <row r="200" spans="1:5">
      <c r="A200" s="223">
        <v>39364</v>
      </c>
      <c r="B200" s="217">
        <v>22125</v>
      </c>
      <c r="C200" s="218">
        <v>3855</v>
      </c>
      <c r="D200" s="221">
        <v>25700</v>
      </c>
      <c r="E200" s="224">
        <f t="shared" si="4"/>
        <v>2570</v>
      </c>
    </row>
    <row r="201" spans="1:5">
      <c r="A201" s="223">
        <v>39365</v>
      </c>
      <c r="B201" s="217">
        <v>22425</v>
      </c>
      <c r="C201" s="218">
        <v>3975</v>
      </c>
      <c r="D201" s="221">
        <v>26400</v>
      </c>
      <c r="E201" s="224">
        <f t="shared" si="4"/>
        <v>2640</v>
      </c>
    </row>
    <row r="202" spans="1:5">
      <c r="A202" s="223">
        <v>39366</v>
      </c>
      <c r="B202" s="217">
        <v>22475</v>
      </c>
      <c r="C202" s="218">
        <v>3959</v>
      </c>
      <c r="D202" s="221">
        <v>26400</v>
      </c>
      <c r="E202" s="224">
        <f t="shared" si="4"/>
        <v>2640</v>
      </c>
    </row>
    <row r="203" spans="1:5">
      <c r="A203" s="223">
        <v>39367</v>
      </c>
      <c r="B203" s="217">
        <v>22525</v>
      </c>
      <c r="C203" s="218">
        <v>3894.5</v>
      </c>
      <c r="D203" s="221">
        <v>26200</v>
      </c>
      <c r="E203" s="224">
        <f t="shared" si="4"/>
        <v>2620</v>
      </c>
    </row>
    <row r="204" spans="1:5">
      <c r="A204" s="223">
        <v>39370</v>
      </c>
      <c r="B204" s="217">
        <v>22550</v>
      </c>
      <c r="C204" s="218">
        <v>3980</v>
      </c>
      <c r="D204" s="221">
        <v>26000</v>
      </c>
      <c r="E204" s="224">
        <f t="shared" si="4"/>
        <v>2600</v>
      </c>
    </row>
    <row r="205" spans="1:5">
      <c r="A205" s="223">
        <v>39371</v>
      </c>
      <c r="B205" s="217">
        <v>25925</v>
      </c>
      <c r="C205" s="218">
        <v>3799</v>
      </c>
      <c r="D205" s="221">
        <v>25800</v>
      </c>
      <c r="E205" s="224">
        <f t="shared" si="4"/>
        <v>2580</v>
      </c>
    </row>
    <row r="206" spans="1:5">
      <c r="A206" s="223">
        <v>39372</v>
      </c>
      <c r="B206" s="217">
        <v>29700</v>
      </c>
      <c r="C206" s="218">
        <v>3620</v>
      </c>
      <c r="D206" s="221">
        <v>25500</v>
      </c>
      <c r="E206" s="224">
        <f t="shared" si="4"/>
        <v>2550</v>
      </c>
    </row>
    <row r="207" spans="1:5">
      <c r="A207" s="223">
        <v>39373</v>
      </c>
      <c r="B207" s="217">
        <v>31450</v>
      </c>
      <c r="C207" s="218">
        <v>3655</v>
      </c>
      <c r="D207" s="221">
        <v>25100</v>
      </c>
      <c r="E207" s="224">
        <f t="shared" si="4"/>
        <v>2510</v>
      </c>
    </row>
    <row r="208" spans="1:5">
      <c r="A208" s="223">
        <v>39374</v>
      </c>
      <c r="B208" s="217">
        <v>33450</v>
      </c>
      <c r="C208" s="218">
        <v>3830</v>
      </c>
      <c r="D208" s="221">
        <v>25100</v>
      </c>
      <c r="E208" s="224">
        <f t="shared" si="4"/>
        <v>2510</v>
      </c>
    </row>
    <row r="209" spans="1:5">
      <c r="A209" s="223">
        <v>39377</v>
      </c>
      <c r="B209" s="217">
        <v>36450</v>
      </c>
      <c r="C209" s="218">
        <v>3585</v>
      </c>
      <c r="D209" s="221">
        <v>25100</v>
      </c>
      <c r="E209" s="224">
        <f t="shared" si="4"/>
        <v>2510</v>
      </c>
    </row>
    <row r="210" spans="1:5">
      <c r="A210" s="223">
        <v>39378</v>
      </c>
      <c r="B210" s="217">
        <v>37375</v>
      </c>
      <c r="C210" s="218">
        <v>3704.5</v>
      </c>
      <c r="D210" s="221">
        <v>24550</v>
      </c>
      <c r="E210" s="224">
        <f t="shared" si="4"/>
        <v>2455</v>
      </c>
    </row>
    <row r="211" spans="1:5">
      <c r="A211" s="223">
        <v>39379</v>
      </c>
      <c r="B211" s="217">
        <v>38300</v>
      </c>
      <c r="C211" s="218">
        <v>3580</v>
      </c>
      <c r="D211" s="221">
        <v>24550</v>
      </c>
      <c r="E211" s="224">
        <f t="shared" si="4"/>
        <v>2455</v>
      </c>
    </row>
    <row r="212" spans="1:5">
      <c r="A212" s="223">
        <v>39380</v>
      </c>
      <c r="B212" s="217">
        <v>38550</v>
      </c>
      <c r="C212" s="218">
        <v>3615</v>
      </c>
      <c r="D212" s="221">
        <v>24350</v>
      </c>
      <c r="E212" s="224">
        <f t="shared" si="4"/>
        <v>2435</v>
      </c>
    </row>
    <row r="213" spans="1:5">
      <c r="A213" s="223">
        <v>39381</v>
      </c>
      <c r="B213" s="217">
        <v>38800</v>
      </c>
      <c r="C213" s="218">
        <v>3704.5</v>
      </c>
      <c r="D213" s="221">
        <v>24500</v>
      </c>
      <c r="E213" s="224">
        <f t="shared" si="4"/>
        <v>2450</v>
      </c>
    </row>
    <row r="214" spans="1:5">
      <c r="A214" s="223">
        <v>39384</v>
      </c>
      <c r="B214" s="217">
        <v>39225</v>
      </c>
      <c r="C214" s="218">
        <v>3710</v>
      </c>
      <c r="D214" s="221">
        <v>24550</v>
      </c>
      <c r="E214" s="224">
        <f t="shared" si="4"/>
        <v>2455</v>
      </c>
    </row>
    <row r="215" spans="1:5">
      <c r="A215" s="223">
        <v>39385</v>
      </c>
      <c r="B215" s="217">
        <v>39475</v>
      </c>
      <c r="C215" s="218">
        <v>3540</v>
      </c>
      <c r="D215" s="221">
        <v>24550</v>
      </c>
      <c r="E215" s="224">
        <f t="shared" si="4"/>
        <v>2455</v>
      </c>
    </row>
    <row r="216" spans="1:5">
      <c r="A216" s="223">
        <v>39386</v>
      </c>
      <c r="B216" s="217">
        <v>39400</v>
      </c>
      <c r="C216" s="218">
        <v>3691</v>
      </c>
      <c r="D216" s="221">
        <v>24400</v>
      </c>
      <c r="E216" s="224">
        <f t="shared" si="4"/>
        <v>2440</v>
      </c>
    </row>
    <row r="217" spans="1:5">
      <c r="A217" s="223">
        <v>39387</v>
      </c>
      <c r="B217" s="217">
        <v>40100</v>
      </c>
      <c r="C217" s="218">
        <v>3626</v>
      </c>
      <c r="D217" s="221">
        <v>24500</v>
      </c>
      <c r="E217" s="224">
        <f t="shared" si="4"/>
        <v>2450</v>
      </c>
    </row>
    <row r="218" spans="1:5">
      <c r="A218" s="223">
        <v>39388</v>
      </c>
      <c r="B218" s="217">
        <v>40300</v>
      </c>
      <c r="C218" s="218">
        <v>3765</v>
      </c>
      <c r="D218" s="221">
        <v>24400</v>
      </c>
      <c r="E218" s="224">
        <f t="shared" si="4"/>
        <v>2440</v>
      </c>
    </row>
    <row r="219" spans="1:5">
      <c r="A219" s="223">
        <v>39389</v>
      </c>
      <c r="B219" s="217">
        <v>40525</v>
      </c>
      <c r="C219" s="218">
        <v>3762</v>
      </c>
      <c r="D219" s="221">
        <v>24600</v>
      </c>
      <c r="E219" s="224">
        <f t="shared" si="4"/>
        <v>2460</v>
      </c>
    </row>
    <row r="220" spans="1:5">
      <c r="A220" s="223">
        <v>39392</v>
      </c>
      <c r="B220" s="217">
        <v>40500</v>
      </c>
      <c r="C220" s="218">
        <v>3790</v>
      </c>
      <c r="D220" s="221">
        <v>24400</v>
      </c>
      <c r="E220" s="224">
        <f t="shared" si="4"/>
        <v>2440</v>
      </c>
    </row>
    <row r="221" spans="1:5">
      <c r="A221" s="223">
        <v>39393</v>
      </c>
      <c r="B221" s="217">
        <v>40500</v>
      </c>
      <c r="C221" s="218">
        <v>3680</v>
      </c>
      <c r="D221" s="221">
        <v>24500</v>
      </c>
      <c r="E221" s="224">
        <f t="shared" si="4"/>
        <v>2450</v>
      </c>
    </row>
    <row r="222" spans="1:5">
      <c r="A222" s="223">
        <v>39394</v>
      </c>
      <c r="B222" s="217">
        <v>41400</v>
      </c>
      <c r="C222" s="218">
        <v>3492</v>
      </c>
      <c r="D222" s="221">
        <v>24300</v>
      </c>
      <c r="E222" s="224">
        <f t="shared" si="4"/>
        <v>2430</v>
      </c>
    </row>
    <row r="223" spans="1:5">
      <c r="A223" s="223">
        <v>39395</v>
      </c>
      <c r="B223" s="217">
        <v>41400</v>
      </c>
      <c r="C223" s="218">
        <v>3504.5</v>
      </c>
      <c r="D223" s="221">
        <v>24100</v>
      </c>
      <c r="E223" s="224">
        <f t="shared" si="4"/>
        <v>2410</v>
      </c>
    </row>
    <row r="224" spans="1:5">
      <c r="A224" s="223">
        <v>39398</v>
      </c>
      <c r="B224" s="217">
        <v>41350</v>
      </c>
      <c r="C224" s="218">
        <v>3487</v>
      </c>
      <c r="D224" s="221">
        <v>24300</v>
      </c>
      <c r="E224" s="224">
        <f t="shared" si="4"/>
        <v>2430</v>
      </c>
    </row>
    <row r="225" spans="1:5">
      <c r="A225" s="223">
        <v>39399</v>
      </c>
      <c r="B225" s="217">
        <v>41875</v>
      </c>
      <c r="C225" s="218">
        <v>3540</v>
      </c>
      <c r="D225" s="221">
        <v>24200</v>
      </c>
      <c r="E225" s="224">
        <f t="shared" si="4"/>
        <v>2420</v>
      </c>
    </row>
    <row r="226" spans="1:5">
      <c r="A226" s="223">
        <v>39400</v>
      </c>
      <c r="B226" s="217">
        <v>42800</v>
      </c>
      <c r="C226" s="218">
        <v>3580</v>
      </c>
      <c r="D226" s="221">
        <v>24200</v>
      </c>
      <c r="E226" s="224">
        <f t="shared" si="4"/>
        <v>2420</v>
      </c>
    </row>
    <row r="227" spans="1:5">
      <c r="A227" s="223">
        <v>39401</v>
      </c>
      <c r="B227" s="217">
        <v>42800</v>
      </c>
      <c r="C227" s="218">
        <v>3530</v>
      </c>
      <c r="D227" s="221">
        <v>24300</v>
      </c>
      <c r="E227" s="224">
        <f t="shared" si="4"/>
        <v>2430</v>
      </c>
    </row>
    <row r="228" spans="1:5">
      <c r="A228" s="223">
        <v>39402</v>
      </c>
      <c r="B228" s="217">
        <v>42750</v>
      </c>
      <c r="C228" s="218">
        <v>3380</v>
      </c>
      <c r="D228" s="221">
        <v>24200</v>
      </c>
      <c r="E228" s="224">
        <f t="shared" si="4"/>
        <v>2420</v>
      </c>
    </row>
    <row r="229" spans="1:5">
      <c r="A229" s="223">
        <v>39405</v>
      </c>
      <c r="B229" s="217">
        <v>42975</v>
      </c>
      <c r="C229" s="218">
        <v>3155</v>
      </c>
      <c r="D229" s="221">
        <v>23900</v>
      </c>
      <c r="E229" s="224">
        <f t="shared" si="4"/>
        <v>2390</v>
      </c>
    </row>
    <row r="230" spans="1:5">
      <c r="A230" s="223">
        <v>39406</v>
      </c>
      <c r="B230" s="217">
        <v>42500</v>
      </c>
      <c r="C230" s="218">
        <v>3056</v>
      </c>
      <c r="D230" s="221">
        <v>22750</v>
      </c>
      <c r="E230" s="224">
        <f t="shared" si="4"/>
        <v>2275</v>
      </c>
    </row>
    <row r="231" spans="1:5">
      <c r="A231" s="223">
        <v>39407</v>
      </c>
      <c r="B231" s="217">
        <v>42700</v>
      </c>
      <c r="C231" s="218">
        <v>2980</v>
      </c>
      <c r="D231" s="221">
        <v>22500</v>
      </c>
      <c r="E231" s="224">
        <f t="shared" si="4"/>
        <v>2250</v>
      </c>
    </row>
    <row r="232" spans="1:5">
      <c r="A232" s="223">
        <v>39408</v>
      </c>
      <c r="B232" s="217">
        <v>43275</v>
      </c>
      <c r="C232" s="218">
        <v>2876</v>
      </c>
      <c r="D232" s="221">
        <v>21600</v>
      </c>
      <c r="E232" s="224">
        <f t="shared" si="4"/>
        <v>2160</v>
      </c>
    </row>
    <row r="233" spans="1:5">
      <c r="A233" s="223">
        <v>39409</v>
      </c>
      <c r="B233" s="217">
        <v>43025</v>
      </c>
      <c r="C233" s="218">
        <v>2911</v>
      </c>
      <c r="D233" s="221">
        <v>21300</v>
      </c>
      <c r="E233" s="224">
        <f t="shared" si="4"/>
        <v>2130</v>
      </c>
    </row>
    <row r="234" spans="1:5">
      <c r="A234" s="223">
        <v>39412</v>
      </c>
      <c r="B234" s="217">
        <v>42625</v>
      </c>
      <c r="C234" s="218">
        <v>3046</v>
      </c>
      <c r="D234" s="221">
        <v>21500</v>
      </c>
      <c r="E234" s="224">
        <f t="shared" si="4"/>
        <v>2150</v>
      </c>
    </row>
    <row r="235" spans="1:5">
      <c r="A235" s="223">
        <v>39413</v>
      </c>
      <c r="B235" s="217">
        <v>43725</v>
      </c>
      <c r="C235" s="218">
        <v>2990</v>
      </c>
      <c r="D235" s="221">
        <v>21600</v>
      </c>
      <c r="E235" s="224">
        <f t="shared" si="4"/>
        <v>2160</v>
      </c>
    </row>
    <row r="236" spans="1:5">
      <c r="A236" s="223">
        <v>39414</v>
      </c>
      <c r="B236" s="217">
        <v>44025</v>
      </c>
      <c r="C236" s="218">
        <v>2960</v>
      </c>
      <c r="D236" s="221">
        <v>21700</v>
      </c>
      <c r="E236" s="224">
        <f t="shared" si="4"/>
        <v>2170</v>
      </c>
    </row>
    <row r="237" spans="1:5">
      <c r="A237" s="223">
        <v>39415</v>
      </c>
      <c r="B237" s="217">
        <v>43900</v>
      </c>
      <c r="C237" s="218">
        <v>3059.5</v>
      </c>
      <c r="D237" s="221">
        <v>21950</v>
      </c>
      <c r="E237" s="224">
        <f t="shared" si="4"/>
        <v>2195</v>
      </c>
    </row>
    <row r="238" spans="1:5">
      <c r="A238" s="223">
        <v>39416</v>
      </c>
      <c r="B238" s="217">
        <v>44025</v>
      </c>
      <c r="C238" s="218">
        <v>3050</v>
      </c>
      <c r="D238" s="221">
        <v>22025</v>
      </c>
      <c r="E238" s="224">
        <f t="shared" si="4"/>
        <v>2202.5</v>
      </c>
    </row>
    <row r="239" spans="1:5">
      <c r="A239" s="223">
        <v>39419</v>
      </c>
      <c r="B239" s="217">
        <v>44350</v>
      </c>
      <c r="C239" s="218">
        <v>2991</v>
      </c>
      <c r="D239" s="221">
        <v>22025</v>
      </c>
      <c r="E239" s="224">
        <f t="shared" si="4"/>
        <v>2202.5</v>
      </c>
    </row>
    <row r="240" spans="1:5">
      <c r="A240" s="223">
        <v>39420</v>
      </c>
      <c r="B240" s="217">
        <v>43775</v>
      </c>
      <c r="C240" s="218">
        <v>2825</v>
      </c>
      <c r="D240" s="221">
        <v>21700</v>
      </c>
      <c r="E240" s="224">
        <f t="shared" si="4"/>
        <v>2170</v>
      </c>
    </row>
    <row r="241" spans="1:5">
      <c r="A241" s="223">
        <v>39421</v>
      </c>
      <c r="B241" s="217">
        <v>44000</v>
      </c>
      <c r="C241" s="218">
        <v>2804</v>
      </c>
      <c r="D241" s="221">
        <v>21500</v>
      </c>
      <c r="E241" s="224">
        <f t="shared" si="4"/>
        <v>2150</v>
      </c>
    </row>
    <row r="242" spans="1:5">
      <c r="A242" s="223">
        <v>39422</v>
      </c>
      <c r="B242" s="217">
        <v>44600</v>
      </c>
      <c r="C242" s="218">
        <v>2605.5</v>
      </c>
      <c r="D242" s="221">
        <v>21300</v>
      </c>
      <c r="E242" s="224">
        <f t="shared" si="4"/>
        <v>2130</v>
      </c>
    </row>
    <row r="243" spans="1:5">
      <c r="A243" s="223">
        <v>39423</v>
      </c>
      <c r="B243" s="217">
        <v>44150</v>
      </c>
      <c r="C243" s="218">
        <v>2675</v>
      </c>
      <c r="D243" s="221">
        <v>20900</v>
      </c>
      <c r="E243" s="224">
        <f t="shared" si="4"/>
        <v>2090</v>
      </c>
    </row>
    <row r="244" spans="1:5">
      <c r="A244" s="223">
        <v>39426</v>
      </c>
      <c r="B244" s="217">
        <v>43200</v>
      </c>
      <c r="C244" s="218">
        <v>2520.5</v>
      </c>
      <c r="D244" s="221">
        <v>20500</v>
      </c>
      <c r="E244" s="224">
        <f t="shared" si="4"/>
        <v>2050</v>
      </c>
    </row>
    <row r="245" spans="1:5">
      <c r="A245" s="223">
        <v>39427</v>
      </c>
      <c r="B245" s="217">
        <v>43625</v>
      </c>
      <c r="C245" s="218">
        <v>2420</v>
      </c>
      <c r="D245" s="221">
        <v>19700</v>
      </c>
      <c r="E245" s="224">
        <f t="shared" si="4"/>
        <v>1970</v>
      </c>
    </row>
    <row r="246" spans="1:5">
      <c r="A246" s="223">
        <v>39428</v>
      </c>
      <c r="B246" s="217">
        <v>42975</v>
      </c>
      <c r="C246" s="218">
        <v>2530.5</v>
      </c>
      <c r="D246" s="221">
        <v>19500</v>
      </c>
      <c r="E246" s="224">
        <f t="shared" si="4"/>
        <v>1950</v>
      </c>
    </row>
    <row r="247" spans="1:5">
      <c r="A247" s="223">
        <v>39429</v>
      </c>
      <c r="B247" s="217">
        <v>42275</v>
      </c>
      <c r="C247" s="218">
        <v>2535</v>
      </c>
      <c r="D247" s="221">
        <v>19400</v>
      </c>
      <c r="E247" s="224">
        <f t="shared" si="4"/>
        <v>1940</v>
      </c>
    </row>
    <row r="248" spans="1:5">
      <c r="A248" s="223">
        <v>39430</v>
      </c>
      <c r="B248" s="217">
        <v>41650</v>
      </c>
      <c r="C248" s="218">
        <v>2461</v>
      </c>
      <c r="D248" s="221">
        <v>18900</v>
      </c>
      <c r="E248" s="224">
        <f t="shared" si="4"/>
        <v>1890</v>
      </c>
    </row>
    <row r="249" spans="1:5">
      <c r="A249" s="223">
        <v>39433</v>
      </c>
      <c r="B249" s="217">
        <v>41775</v>
      </c>
      <c r="C249" s="218">
        <v>2412</v>
      </c>
      <c r="D249" s="221">
        <v>18700</v>
      </c>
      <c r="E249" s="224">
        <f t="shared" si="4"/>
        <v>1870</v>
      </c>
    </row>
    <row r="250" spans="1:5">
      <c r="A250" s="223">
        <v>39434</v>
      </c>
      <c r="B250" s="217">
        <v>43425</v>
      </c>
      <c r="C250" s="218">
        <v>2432</v>
      </c>
      <c r="D250" s="221">
        <v>18550</v>
      </c>
      <c r="E250" s="224">
        <f t="shared" si="4"/>
        <v>1855</v>
      </c>
    </row>
    <row r="251" spans="1:5">
      <c r="A251" s="223">
        <v>39435</v>
      </c>
      <c r="B251" s="217">
        <v>43600</v>
      </c>
      <c r="C251" s="218">
        <v>2471</v>
      </c>
      <c r="D251" s="221">
        <v>18400</v>
      </c>
      <c r="E251" s="224">
        <f t="shared" si="4"/>
        <v>1840</v>
      </c>
    </row>
    <row r="252" spans="1:5">
      <c r="A252" s="223">
        <v>39436</v>
      </c>
      <c r="B252" s="217">
        <v>43425</v>
      </c>
      <c r="C252" s="218">
        <v>2648</v>
      </c>
      <c r="D252" s="221">
        <v>18500</v>
      </c>
      <c r="E252" s="224">
        <f t="shared" si="4"/>
        <v>1850</v>
      </c>
    </row>
    <row r="253" spans="1:5">
      <c r="A253" s="223">
        <v>39437</v>
      </c>
      <c r="B253" s="217">
        <v>43325</v>
      </c>
      <c r="C253" s="218">
        <v>2655</v>
      </c>
      <c r="D253" s="221">
        <v>18900</v>
      </c>
      <c r="E253" s="224">
        <f t="shared" si="4"/>
        <v>1890</v>
      </c>
    </row>
    <row r="254" spans="1:5">
      <c r="A254" s="223"/>
      <c r="B254" s="217">
        <v>43325</v>
      </c>
      <c r="C254" s="218">
        <v>2655</v>
      </c>
      <c r="D254" s="221">
        <v>19150</v>
      </c>
      <c r="E254" s="224">
        <f t="shared" si="4"/>
        <v>1915</v>
      </c>
    </row>
    <row r="255" spans="1:5">
      <c r="A255" s="223"/>
      <c r="B255" s="217">
        <v>43325</v>
      </c>
      <c r="C255" s="218">
        <v>2655</v>
      </c>
      <c r="D255" s="221">
        <v>19500</v>
      </c>
      <c r="E255" s="224">
        <f t="shared" si="4"/>
        <v>1950</v>
      </c>
    </row>
    <row r="256" spans="1:5">
      <c r="A256" s="223"/>
      <c r="B256" s="217">
        <v>43325</v>
      </c>
      <c r="C256" s="218">
        <v>2655</v>
      </c>
      <c r="D256" s="221">
        <v>19500</v>
      </c>
      <c r="E256" s="224">
        <f t="shared" si="4"/>
        <v>1950</v>
      </c>
    </row>
    <row r="257" spans="1:5">
      <c r="A257" s="223">
        <v>39443</v>
      </c>
      <c r="B257" s="217">
        <v>43250</v>
      </c>
      <c r="C257" s="218">
        <v>2650</v>
      </c>
      <c r="D257" s="221">
        <v>19500</v>
      </c>
      <c r="E257" s="224">
        <f t="shared" si="4"/>
        <v>1950</v>
      </c>
    </row>
    <row r="258" spans="1:5">
      <c r="A258" s="223">
        <v>39444</v>
      </c>
      <c r="B258" s="217">
        <v>45500</v>
      </c>
      <c r="C258" s="218">
        <v>2561</v>
      </c>
      <c r="D258" s="221">
        <v>19500</v>
      </c>
      <c r="E258" s="224">
        <f t="shared" si="4"/>
        <v>1950</v>
      </c>
    </row>
    <row r="259" spans="1:5">
      <c r="A259" s="223">
        <v>39447</v>
      </c>
      <c r="B259" s="217">
        <v>45475</v>
      </c>
      <c r="C259" s="218">
        <v>2532</v>
      </c>
      <c r="D259" s="221">
        <v>19500</v>
      </c>
      <c r="E259" s="224">
        <f>D259/10</f>
        <v>1950</v>
      </c>
    </row>
    <row r="260" spans="1:5">
      <c r="A260" s="223">
        <v>39449</v>
      </c>
      <c r="B260" s="217">
        <v>45350</v>
      </c>
      <c r="C260" s="218">
        <v>2580</v>
      </c>
      <c r="D260" s="221">
        <v>19300</v>
      </c>
      <c r="E260" s="224">
        <f t="shared" ref="E260:E322" si="5">D260/10</f>
        <v>1930</v>
      </c>
    </row>
    <row r="261" spans="1:5">
      <c r="A261" s="223">
        <v>39450</v>
      </c>
      <c r="B261" s="217">
        <v>46750</v>
      </c>
      <c r="C261" s="218">
        <v>2593</v>
      </c>
      <c r="D261" s="221">
        <v>19200</v>
      </c>
      <c r="E261" s="224">
        <f t="shared" si="5"/>
        <v>1920</v>
      </c>
    </row>
    <row r="262" spans="1:5">
      <c r="A262" s="223">
        <v>39451</v>
      </c>
      <c r="B262" s="217">
        <v>46850</v>
      </c>
      <c r="C262" s="218">
        <v>2665</v>
      </c>
      <c r="D262" s="221">
        <v>19400</v>
      </c>
      <c r="E262" s="224">
        <f t="shared" si="5"/>
        <v>1940</v>
      </c>
    </row>
    <row r="263" spans="1:5">
      <c r="A263" s="223">
        <v>39454</v>
      </c>
      <c r="B263" s="217">
        <v>48900</v>
      </c>
      <c r="C263" s="218">
        <v>2601</v>
      </c>
      <c r="D263" s="221">
        <v>19300</v>
      </c>
      <c r="E263" s="224">
        <f t="shared" si="5"/>
        <v>1930</v>
      </c>
    </row>
    <row r="264" spans="1:5">
      <c r="A264" s="223">
        <v>39455</v>
      </c>
      <c r="B264" s="217">
        <v>49200</v>
      </c>
      <c r="C264" s="218">
        <v>2580.5</v>
      </c>
      <c r="D264" s="221">
        <v>19450</v>
      </c>
      <c r="E264" s="224">
        <f t="shared" si="5"/>
        <v>1945</v>
      </c>
    </row>
    <row r="265" spans="1:5">
      <c r="A265" s="223">
        <v>39456</v>
      </c>
      <c r="B265" s="217">
        <v>49300</v>
      </c>
      <c r="C265" s="218">
        <v>2630</v>
      </c>
      <c r="D265" s="221">
        <v>19500</v>
      </c>
      <c r="E265" s="224">
        <f t="shared" si="5"/>
        <v>1950</v>
      </c>
    </row>
    <row r="266" spans="1:5">
      <c r="A266" s="223">
        <v>39457</v>
      </c>
      <c r="B266" s="217">
        <v>49325</v>
      </c>
      <c r="C266" s="218">
        <v>2525.5</v>
      </c>
      <c r="D266" s="221">
        <v>19450</v>
      </c>
      <c r="E266" s="224">
        <f t="shared" si="5"/>
        <v>1945</v>
      </c>
    </row>
    <row r="267" spans="1:5">
      <c r="A267" s="223">
        <v>39458</v>
      </c>
      <c r="B267" s="217">
        <v>49250</v>
      </c>
      <c r="C267" s="218">
        <v>2551</v>
      </c>
      <c r="D267" s="221">
        <v>19400</v>
      </c>
      <c r="E267" s="224">
        <f t="shared" si="5"/>
        <v>1940</v>
      </c>
    </row>
    <row r="268" spans="1:5">
      <c r="A268" s="223">
        <v>39461</v>
      </c>
      <c r="B268" s="217">
        <v>48950</v>
      </c>
      <c r="C268" s="218">
        <v>2640</v>
      </c>
      <c r="D268" s="221">
        <v>19500</v>
      </c>
      <c r="E268" s="224">
        <f t="shared" si="5"/>
        <v>1950</v>
      </c>
    </row>
    <row r="269" spans="1:5">
      <c r="A269" s="223">
        <v>39462</v>
      </c>
      <c r="B269" s="217">
        <v>49325</v>
      </c>
      <c r="C269" s="218">
        <v>2680</v>
      </c>
      <c r="D269" s="221">
        <v>19700</v>
      </c>
      <c r="E269" s="224">
        <f t="shared" si="5"/>
        <v>1970</v>
      </c>
    </row>
    <row r="270" spans="1:5">
      <c r="A270" s="223">
        <v>39463</v>
      </c>
      <c r="B270" s="217">
        <v>49300</v>
      </c>
      <c r="C270" s="218">
        <v>2610</v>
      </c>
      <c r="D270" s="221">
        <v>19800</v>
      </c>
      <c r="E270" s="224">
        <f t="shared" si="5"/>
        <v>1980</v>
      </c>
    </row>
    <row r="271" spans="1:5">
      <c r="A271" s="223">
        <v>39464</v>
      </c>
      <c r="B271" s="217">
        <v>48650</v>
      </c>
      <c r="C271" s="218">
        <v>2610</v>
      </c>
      <c r="D271" s="221">
        <v>19700</v>
      </c>
      <c r="E271" s="224">
        <f t="shared" si="5"/>
        <v>1970</v>
      </c>
    </row>
    <row r="272" spans="1:5">
      <c r="A272" s="223">
        <v>39465</v>
      </c>
      <c r="B272" s="217">
        <v>48050</v>
      </c>
      <c r="C272" s="218">
        <v>2550</v>
      </c>
      <c r="D272" s="221">
        <v>19700</v>
      </c>
      <c r="E272" s="224">
        <f t="shared" si="5"/>
        <v>1970</v>
      </c>
    </row>
    <row r="273" spans="1:5">
      <c r="A273" s="223">
        <v>39468</v>
      </c>
      <c r="B273" s="217">
        <v>47925</v>
      </c>
      <c r="C273" s="218">
        <v>2513.5</v>
      </c>
      <c r="D273" s="221">
        <v>19900</v>
      </c>
      <c r="E273" s="224">
        <f t="shared" si="5"/>
        <v>1990</v>
      </c>
    </row>
    <row r="274" spans="1:5">
      <c r="A274" s="223">
        <v>39469</v>
      </c>
      <c r="B274" s="217">
        <v>48100</v>
      </c>
      <c r="C274" s="218">
        <v>2480</v>
      </c>
      <c r="D274" s="221">
        <v>20300</v>
      </c>
      <c r="E274" s="224">
        <f t="shared" si="5"/>
        <v>2030</v>
      </c>
    </row>
    <row r="275" spans="1:5">
      <c r="A275" s="223">
        <v>39470</v>
      </c>
      <c r="B275" s="217">
        <v>48075</v>
      </c>
      <c r="C275" s="218">
        <v>2540.5</v>
      </c>
      <c r="D275" s="221">
        <v>20600</v>
      </c>
      <c r="E275" s="224">
        <f t="shared" si="5"/>
        <v>2060</v>
      </c>
    </row>
    <row r="276" spans="1:5">
      <c r="A276" s="223">
        <v>39471</v>
      </c>
      <c r="B276" s="217">
        <v>47900</v>
      </c>
      <c r="C276" s="218">
        <v>2579.5</v>
      </c>
      <c r="D276" s="221">
        <v>20600</v>
      </c>
      <c r="E276" s="224">
        <f t="shared" si="5"/>
        <v>2060</v>
      </c>
    </row>
    <row r="277" spans="1:5">
      <c r="A277" s="223">
        <v>39472</v>
      </c>
      <c r="B277" s="217">
        <v>47800</v>
      </c>
      <c r="C277" s="218">
        <v>2650.5</v>
      </c>
      <c r="D277" s="221">
        <v>20750</v>
      </c>
      <c r="E277" s="224">
        <f t="shared" si="5"/>
        <v>2075</v>
      </c>
    </row>
    <row r="278" spans="1:5">
      <c r="A278" s="223">
        <v>39475</v>
      </c>
      <c r="B278" s="217">
        <v>47075</v>
      </c>
      <c r="C278" s="218">
        <v>2586.5</v>
      </c>
      <c r="D278" s="221">
        <v>20750</v>
      </c>
      <c r="E278" s="224">
        <f t="shared" si="5"/>
        <v>2075</v>
      </c>
    </row>
    <row r="279" spans="1:5">
      <c r="A279" s="223">
        <v>39476</v>
      </c>
      <c r="B279" s="217">
        <v>48900</v>
      </c>
      <c r="C279" s="218">
        <v>2730</v>
      </c>
      <c r="D279" s="221">
        <v>20950</v>
      </c>
      <c r="E279" s="224">
        <f t="shared" si="5"/>
        <v>2095</v>
      </c>
    </row>
    <row r="280" spans="1:5">
      <c r="A280" s="223">
        <v>39477</v>
      </c>
      <c r="B280" s="217">
        <v>49100</v>
      </c>
      <c r="C280" s="218">
        <v>2741</v>
      </c>
      <c r="D280" s="221">
        <v>21200</v>
      </c>
      <c r="E280" s="224">
        <f t="shared" si="5"/>
        <v>2120</v>
      </c>
    </row>
    <row r="281" spans="1:5">
      <c r="A281" s="223">
        <v>39478</v>
      </c>
      <c r="B281" s="217">
        <v>48700</v>
      </c>
      <c r="C281" s="218">
        <v>2741.5</v>
      </c>
      <c r="D281" s="221">
        <v>21600</v>
      </c>
      <c r="E281" s="224">
        <f t="shared" si="5"/>
        <v>2160</v>
      </c>
    </row>
    <row r="282" spans="1:5">
      <c r="A282" s="223">
        <v>39479</v>
      </c>
      <c r="B282" s="217">
        <v>48525</v>
      </c>
      <c r="C282" s="218">
        <v>2845</v>
      </c>
      <c r="D282" s="221">
        <v>21900</v>
      </c>
      <c r="E282" s="224">
        <f t="shared" si="5"/>
        <v>2190</v>
      </c>
    </row>
    <row r="283" spans="1:5">
      <c r="A283" s="223">
        <v>39482</v>
      </c>
      <c r="B283" s="217">
        <v>48700</v>
      </c>
      <c r="C283" s="218">
        <v>2865</v>
      </c>
      <c r="D283" s="221">
        <v>22200</v>
      </c>
      <c r="E283" s="224">
        <f t="shared" si="5"/>
        <v>2220</v>
      </c>
    </row>
    <row r="284" spans="1:5">
      <c r="A284" s="223">
        <v>39483</v>
      </c>
      <c r="B284" s="217">
        <v>49075</v>
      </c>
      <c r="C284" s="218">
        <v>2770</v>
      </c>
      <c r="D284" s="221">
        <v>22200</v>
      </c>
      <c r="E284" s="224">
        <f t="shared" ref="E284:E289" si="6">D284/10</f>
        <v>2220</v>
      </c>
    </row>
    <row r="285" spans="1:5">
      <c r="A285" s="223">
        <v>39484</v>
      </c>
      <c r="B285" s="217">
        <v>49000</v>
      </c>
      <c r="C285" s="218">
        <v>2800</v>
      </c>
      <c r="D285" s="221">
        <v>22200</v>
      </c>
      <c r="E285" s="224">
        <f t="shared" si="6"/>
        <v>2220</v>
      </c>
    </row>
    <row r="286" spans="1:5">
      <c r="A286" s="223">
        <v>39485</v>
      </c>
      <c r="B286" s="217">
        <v>49000</v>
      </c>
      <c r="C286" s="218">
        <v>2786</v>
      </c>
      <c r="D286" s="221">
        <v>22200</v>
      </c>
      <c r="E286" s="224">
        <f t="shared" si="6"/>
        <v>2220</v>
      </c>
    </row>
    <row r="287" spans="1:5">
      <c r="A287" s="223">
        <v>39486</v>
      </c>
      <c r="B287" s="217">
        <v>49000</v>
      </c>
      <c r="C287" s="218">
        <v>2880</v>
      </c>
      <c r="D287" s="221">
        <v>22200</v>
      </c>
      <c r="E287" s="224">
        <f t="shared" si="6"/>
        <v>2220</v>
      </c>
    </row>
    <row r="288" spans="1:5">
      <c r="A288" s="223">
        <v>39489</v>
      </c>
      <c r="B288" s="217">
        <v>49050</v>
      </c>
      <c r="C288" s="218">
        <v>3012</v>
      </c>
      <c r="D288" s="221">
        <v>22200</v>
      </c>
      <c r="E288" s="224">
        <f t="shared" si="6"/>
        <v>2220</v>
      </c>
    </row>
    <row r="289" spans="1:5">
      <c r="A289" s="223">
        <v>39490</v>
      </c>
      <c r="B289" s="217">
        <v>48650</v>
      </c>
      <c r="C289" s="218">
        <v>3032</v>
      </c>
      <c r="D289" s="221">
        <v>22200</v>
      </c>
      <c r="E289" s="224">
        <f t="shared" si="6"/>
        <v>2220</v>
      </c>
    </row>
    <row r="290" spans="1:5">
      <c r="A290" s="223">
        <v>39491</v>
      </c>
      <c r="B290" s="217">
        <v>47800</v>
      </c>
      <c r="C290" s="218">
        <v>3020</v>
      </c>
      <c r="D290" s="221">
        <v>22900</v>
      </c>
      <c r="E290" s="224">
        <f t="shared" si="5"/>
        <v>2290</v>
      </c>
    </row>
    <row r="291" spans="1:5">
      <c r="A291" s="223">
        <v>39492</v>
      </c>
      <c r="B291" s="217">
        <v>47675</v>
      </c>
      <c r="C291" s="218">
        <v>3071</v>
      </c>
      <c r="D291" s="221">
        <v>23100</v>
      </c>
      <c r="E291" s="224">
        <f t="shared" si="5"/>
        <v>2310</v>
      </c>
    </row>
    <row r="292" spans="1:5">
      <c r="A292" s="223">
        <v>39493</v>
      </c>
      <c r="B292" s="217">
        <v>47125</v>
      </c>
      <c r="C292" s="218">
        <v>3045</v>
      </c>
      <c r="D292" s="221">
        <v>23000</v>
      </c>
      <c r="E292" s="224">
        <f t="shared" si="5"/>
        <v>2300</v>
      </c>
    </row>
    <row r="293" spans="1:5">
      <c r="A293" s="223">
        <v>39496</v>
      </c>
      <c r="B293" s="217">
        <v>46850</v>
      </c>
      <c r="C293" s="218">
        <v>3020</v>
      </c>
      <c r="D293" s="221">
        <v>22900</v>
      </c>
      <c r="E293" s="224">
        <f t="shared" si="5"/>
        <v>2290</v>
      </c>
    </row>
    <row r="294" spans="1:5">
      <c r="A294" s="223">
        <v>39497</v>
      </c>
      <c r="B294" s="217">
        <v>46325</v>
      </c>
      <c r="C294" s="218">
        <v>3110</v>
      </c>
      <c r="D294" s="221">
        <v>22900</v>
      </c>
      <c r="E294" s="224">
        <f t="shared" si="5"/>
        <v>2290</v>
      </c>
    </row>
    <row r="295" spans="1:5">
      <c r="A295" s="223">
        <v>39498</v>
      </c>
      <c r="B295" s="217">
        <v>46375</v>
      </c>
      <c r="C295" s="218">
        <v>3170</v>
      </c>
      <c r="D295" s="221">
        <v>22700</v>
      </c>
      <c r="E295" s="224">
        <f t="shared" si="5"/>
        <v>2270</v>
      </c>
    </row>
    <row r="296" spans="1:5">
      <c r="A296" s="223">
        <v>39499</v>
      </c>
      <c r="B296" s="217">
        <v>45825</v>
      </c>
      <c r="C296" s="218">
        <v>3315</v>
      </c>
      <c r="D296" s="221">
        <v>22800</v>
      </c>
      <c r="E296" s="224">
        <f t="shared" si="5"/>
        <v>2280</v>
      </c>
    </row>
    <row r="297" spans="1:5">
      <c r="A297" s="223">
        <v>39500</v>
      </c>
      <c r="B297" s="217">
        <v>44875</v>
      </c>
      <c r="C297" s="218">
        <v>3284</v>
      </c>
      <c r="D297" s="221">
        <v>23000</v>
      </c>
      <c r="E297" s="224">
        <f t="shared" si="5"/>
        <v>2300</v>
      </c>
    </row>
    <row r="298" spans="1:5">
      <c r="A298" s="223">
        <v>39503</v>
      </c>
      <c r="B298" s="217">
        <v>44950</v>
      </c>
      <c r="C298" s="218">
        <v>3266</v>
      </c>
      <c r="D298" s="221">
        <v>23000</v>
      </c>
      <c r="E298" s="224">
        <f t="shared" si="5"/>
        <v>2300</v>
      </c>
    </row>
    <row r="299" spans="1:5">
      <c r="A299" s="223">
        <v>39504</v>
      </c>
      <c r="B299" s="217">
        <v>45200</v>
      </c>
      <c r="C299" s="218">
        <v>3253.5</v>
      </c>
      <c r="D299" s="221">
        <v>22950</v>
      </c>
      <c r="E299" s="224">
        <f t="shared" si="5"/>
        <v>2295</v>
      </c>
    </row>
    <row r="300" spans="1:5">
      <c r="A300" s="223">
        <v>39505</v>
      </c>
      <c r="B300" s="217">
        <v>45375</v>
      </c>
      <c r="C300" s="218">
        <v>3400</v>
      </c>
      <c r="D300" s="221">
        <v>22850</v>
      </c>
      <c r="E300" s="224">
        <f t="shared" si="5"/>
        <v>2285</v>
      </c>
    </row>
    <row r="301" spans="1:5">
      <c r="A301" s="223">
        <v>39506</v>
      </c>
      <c r="B301" s="217">
        <v>45600</v>
      </c>
      <c r="C301" s="218">
        <v>3339</v>
      </c>
      <c r="D301" s="221">
        <v>22950</v>
      </c>
      <c r="E301" s="224">
        <f t="shared" si="5"/>
        <v>2295</v>
      </c>
    </row>
    <row r="302" spans="1:5">
      <c r="A302" s="223">
        <v>39507</v>
      </c>
      <c r="B302" s="217">
        <v>45750</v>
      </c>
      <c r="C302" s="218">
        <v>3394</v>
      </c>
      <c r="D302" s="221">
        <v>22950</v>
      </c>
      <c r="E302" s="224">
        <f t="shared" si="5"/>
        <v>2295</v>
      </c>
    </row>
    <row r="303" spans="1:5">
      <c r="A303" s="223">
        <v>39510</v>
      </c>
      <c r="B303" s="217">
        <v>45825</v>
      </c>
      <c r="C303" s="218">
        <v>3390</v>
      </c>
      <c r="D303" s="221">
        <v>22800</v>
      </c>
      <c r="E303" s="224">
        <f t="shared" si="5"/>
        <v>2280</v>
      </c>
    </row>
    <row r="304" spans="1:5">
      <c r="A304" s="223">
        <v>39511</v>
      </c>
      <c r="B304" s="217">
        <v>46075</v>
      </c>
      <c r="C304" s="218">
        <v>3460</v>
      </c>
      <c r="D304" s="221">
        <v>22800</v>
      </c>
      <c r="E304" s="224">
        <f t="shared" si="5"/>
        <v>2280</v>
      </c>
    </row>
    <row r="305" spans="1:5">
      <c r="A305" s="223">
        <v>39512</v>
      </c>
      <c r="B305" s="217">
        <v>46175</v>
      </c>
      <c r="C305" s="218">
        <v>3200</v>
      </c>
      <c r="D305" s="221">
        <v>22600</v>
      </c>
      <c r="E305" s="224">
        <f t="shared" si="5"/>
        <v>2260</v>
      </c>
    </row>
    <row r="306" spans="1:5">
      <c r="A306" s="223">
        <v>39513</v>
      </c>
      <c r="B306" s="217">
        <v>45900</v>
      </c>
      <c r="C306" s="218">
        <v>3380</v>
      </c>
      <c r="D306" s="221">
        <v>22600</v>
      </c>
      <c r="E306" s="224">
        <f t="shared" si="5"/>
        <v>2260</v>
      </c>
    </row>
    <row r="307" spans="1:5">
      <c r="A307" s="223">
        <v>39514</v>
      </c>
      <c r="B307" s="217">
        <v>46050</v>
      </c>
      <c r="C307" s="218">
        <v>3160</v>
      </c>
      <c r="D307" s="221">
        <v>22300</v>
      </c>
      <c r="E307" s="224">
        <f t="shared" si="5"/>
        <v>2230</v>
      </c>
    </row>
    <row r="308" spans="1:5">
      <c r="A308" s="223">
        <v>39517</v>
      </c>
      <c r="B308" s="217">
        <v>46050</v>
      </c>
      <c r="C308" s="218">
        <v>3035</v>
      </c>
      <c r="D308" s="221">
        <v>22000</v>
      </c>
      <c r="E308" s="224">
        <f t="shared" si="5"/>
        <v>2200</v>
      </c>
    </row>
    <row r="309" spans="1:5">
      <c r="A309" s="223">
        <v>39518</v>
      </c>
      <c r="B309" s="217">
        <v>46150</v>
      </c>
      <c r="C309" s="218">
        <v>3050</v>
      </c>
      <c r="D309" s="221">
        <v>21700</v>
      </c>
      <c r="E309" s="224">
        <f t="shared" si="5"/>
        <v>2170</v>
      </c>
    </row>
    <row r="310" spans="1:5">
      <c r="A310" s="223">
        <v>39519</v>
      </c>
      <c r="B310" s="217">
        <v>46150</v>
      </c>
      <c r="C310" s="218">
        <v>3015</v>
      </c>
      <c r="D310" s="221">
        <v>21700</v>
      </c>
      <c r="E310" s="224">
        <f t="shared" si="5"/>
        <v>2170</v>
      </c>
    </row>
    <row r="311" spans="1:5">
      <c r="A311" s="223">
        <v>39520</v>
      </c>
      <c r="B311" s="217">
        <v>46125</v>
      </c>
      <c r="C311" s="218">
        <v>3142</v>
      </c>
      <c r="D311" s="221">
        <v>21700</v>
      </c>
      <c r="E311" s="224">
        <f t="shared" si="5"/>
        <v>2170</v>
      </c>
    </row>
    <row r="312" spans="1:5">
      <c r="A312" s="223">
        <v>39521</v>
      </c>
      <c r="B312" s="217">
        <v>46375</v>
      </c>
      <c r="C312" s="218">
        <v>3111</v>
      </c>
      <c r="D312" s="221">
        <v>21700</v>
      </c>
      <c r="E312" s="224">
        <f t="shared" si="5"/>
        <v>2170</v>
      </c>
    </row>
    <row r="313" spans="1:5">
      <c r="A313" s="223">
        <v>39524</v>
      </c>
      <c r="B313" s="217">
        <v>46575</v>
      </c>
      <c r="C313" s="218">
        <v>2921</v>
      </c>
      <c r="D313" s="221">
        <v>21600</v>
      </c>
      <c r="E313" s="224">
        <f t="shared" si="5"/>
        <v>2160</v>
      </c>
    </row>
    <row r="314" spans="1:5">
      <c r="A314" s="223">
        <v>39525</v>
      </c>
      <c r="B314" s="217">
        <v>46650</v>
      </c>
      <c r="C314" s="218">
        <v>2871</v>
      </c>
      <c r="D314" s="221">
        <v>21300</v>
      </c>
      <c r="E314" s="224">
        <f t="shared" si="5"/>
        <v>2130</v>
      </c>
    </row>
    <row r="315" spans="1:5">
      <c r="A315" s="223">
        <v>39526</v>
      </c>
      <c r="B315" s="217">
        <v>46700</v>
      </c>
      <c r="C315" s="218">
        <v>2820</v>
      </c>
      <c r="D315" s="221">
        <v>21200</v>
      </c>
      <c r="E315" s="224">
        <f t="shared" si="5"/>
        <v>2120</v>
      </c>
    </row>
    <row r="316" spans="1:5">
      <c r="A316" s="223">
        <v>39527</v>
      </c>
      <c r="B316" s="217">
        <v>46725</v>
      </c>
      <c r="C316" s="218">
        <v>2650</v>
      </c>
      <c r="D316" s="221">
        <v>21100</v>
      </c>
      <c r="E316" s="224">
        <f t="shared" si="5"/>
        <v>2110</v>
      </c>
    </row>
    <row r="317" spans="1:5">
      <c r="A317" s="223">
        <v>39528</v>
      </c>
      <c r="B317" s="217">
        <v>46725</v>
      </c>
      <c r="C317" s="218">
        <v>2650</v>
      </c>
      <c r="D317" s="221">
        <v>21000</v>
      </c>
      <c r="E317" s="224">
        <f t="shared" si="5"/>
        <v>2100</v>
      </c>
    </row>
    <row r="318" spans="1:5">
      <c r="A318" s="223">
        <v>39531</v>
      </c>
      <c r="B318" s="217">
        <v>46725</v>
      </c>
      <c r="C318" s="218">
        <v>2650</v>
      </c>
      <c r="D318" s="221">
        <v>21000</v>
      </c>
      <c r="E318" s="224">
        <f t="shared" si="5"/>
        <v>2100</v>
      </c>
    </row>
    <row r="319" spans="1:5">
      <c r="A319" s="223">
        <v>39532</v>
      </c>
      <c r="B319" s="217">
        <v>46950</v>
      </c>
      <c r="C319" s="218">
        <v>2815</v>
      </c>
      <c r="D319" s="221">
        <v>21000</v>
      </c>
      <c r="E319" s="224">
        <f t="shared" si="5"/>
        <v>2100</v>
      </c>
    </row>
    <row r="320" spans="1:5">
      <c r="A320" s="223">
        <v>39533</v>
      </c>
      <c r="B320" s="217">
        <v>47200</v>
      </c>
      <c r="C320" s="218">
        <v>2725</v>
      </c>
      <c r="D320" s="221">
        <v>21100</v>
      </c>
      <c r="E320" s="224">
        <f t="shared" si="5"/>
        <v>2110</v>
      </c>
    </row>
    <row r="321" spans="1:5">
      <c r="A321" s="223">
        <v>39534</v>
      </c>
      <c r="B321" s="217">
        <v>47775</v>
      </c>
      <c r="C321" s="218">
        <v>2752.5</v>
      </c>
      <c r="D321" s="221">
        <v>21100</v>
      </c>
      <c r="E321" s="224">
        <f t="shared" si="5"/>
        <v>2110</v>
      </c>
    </row>
    <row r="322" spans="1:5">
      <c r="A322" s="223">
        <v>39535</v>
      </c>
      <c r="B322" s="217">
        <v>48275</v>
      </c>
      <c r="C322" s="218">
        <v>2872.5</v>
      </c>
      <c r="D322" s="221">
        <v>21200</v>
      </c>
      <c r="E322" s="224">
        <f t="shared" si="5"/>
        <v>2120</v>
      </c>
    </row>
    <row r="323" spans="1:5">
      <c r="A323" s="223">
        <v>39538</v>
      </c>
      <c r="B323" s="217">
        <v>49050</v>
      </c>
      <c r="C323" s="218">
        <v>2793</v>
      </c>
      <c r="D323" s="221">
        <v>21100</v>
      </c>
      <c r="E323" s="224">
        <f t="shared" ref="E323:E386" si="7">D323/10</f>
        <v>2110</v>
      </c>
    </row>
    <row r="324" spans="1:5">
      <c r="A324" s="223">
        <v>39539</v>
      </c>
      <c r="B324" s="217">
        <v>49325</v>
      </c>
      <c r="C324" s="218">
        <v>2747</v>
      </c>
      <c r="D324" s="221">
        <v>21000</v>
      </c>
      <c r="E324" s="224">
        <f t="shared" si="7"/>
        <v>2100</v>
      </c>
    </row>
    <row r="325" spans="1:5">
      <c r="A325" s="223">
        <v>39540</v>
      </c>
      <c r="B325" s="217">
        <v>49400</v>
      </c>
      <c r="C325" s="218">
        <v>2783</v>
      </c>
      <c r="D325" s="221">
        <v>21000</v>
      </c>
      <c r="E325" s="224">
        <f t="shared" si="7"/>
        <v>2100</v>
      </c>
    </row>
    <row r="326" spans="1:5">
      <c r="A326" s="223">
        <v>39541</v>
      </c>
      <c r="B326" s="217">
        <v>50025</v>
      </c>
      <c r="C326" s="218">
        <v>2811</v>
      </c>
      <c r="D326" s="221">
        <v>21000</v>
      </c>
      <c r="E326" s="224">
        <f t="shared" si="7"/>
        <v>2100</v>
      </c>
    </row>
    <row r="327" spans="1:5">
      <c r="A327" s="223">
        <v>39542</v>
      </c>
      <c r="B327" s="217">
        <v>50150</v>
      </c>
      <c r="C327" s="218">
        <v>2906</v>
      </c>
      <c r="D327" s="221">
        <v>21000</v>
      </c>
      <c r="E327" s="224">
        <f>D327/10</f>
        <v>2100</v>
      </c>
    </row>
    <row r="328" spans="1:5">
      <c r="A328" s="223">
        <v>39545</v>
      </c>
      <c r="B328" s="217">
        <v>50475</v>
      </c>
      <c r="C328" s="218">
        <v>2955</v>
      </c>
      <c r="D328" s="221">
        <v>21100</v>
      </c>
      <c r="E328" s="224">
        <f t="shared" si="7"/>
        <v>2110</v>
      </c>
    </row>
    <row r="329" spans="1:5">
      <c r="A329" s="223">
        <v>39546</v>
      </c>
      <c r="B329" s="217">
        <v>50425</v>
      </c>
      <c r="C329" s="218">
        <v>2866</v>
      </c>
      <c r="D329" s="221">
        <v>21100</v>
      </c>
      <c r="E329" s="224">
        <f t="shared" si="7"/>
        <v>2110</v>
      </c>
    </row>
    <row r="330" spans="1:5">
      <c r="A330" s="223">
        <v>39547</v>
      </c>
      <c r="B330" s="217">
        <v>50725</v>
      </c>
      <c r="C330" s="218">
        <v>2895</v>
      </c>
      <c r="D330" s="221">
        <v>20900</v>
      </c>
      <c r="E330" s="224">
        <f t="shared" si="7"/>
        <v>2090</v>
      </c>
    </row>
    <row r="331" spans="1:5">
      <c r="A331" s="223">
        <v>39548</v>
      </c>
      <c r="B331" s="217">
        <v>50725</v>
      </c>
      <c r="C331" s="218">
        <v>2931</v>
      </c>
      <c r="D331" s="221">
        <v>20900</v>
      </c>
      <c r="E331" s="224">
        <f t="shared" si="7"/>
        <v>2090</v>
      </c>
    </row>
    <row r="332" spans="1:5">
      <c r="A332" s="223">
        <v>39549</v>
      </c>
      <c r="B332" s="217">
        <v>50725</v>
      </c>
      <c r="C332" s="218">
        <v>2948</v>
      </c>
      <c r="D332" s="221">
        <v>20800</v>
      </c>
      <c r="E332" s="224">
        <f t="shared" si="7"/>
        <v>2080</v>
      </c>
    </row>
    <row r="333" spans="1:5">
      <c r="A333" s="223">
        <v>39552</v>
      </c>
      <c r="B333" s="217">
        <v>50875</v>
      </c>
      <c r="C333" s="218">
        <v>2900</v>
      </c>
      <c r="D333" s="221">
        <v>20800</v>
      </c>
      <c r="E333" s="224">
        <f t="shared" si="7"/>
        <v>2080</v>
      </c>
    </row>
    <row r="334" spans="1:5">
      <c r="A334" s="223">
        <v>39553</v>
      </c>
      <c r="B334" s="217">
        <v>51150</v>
      </c>
      <c r="C334" s="218">
        <v>2891</v>
      </c>
      <c r="D334" s="221">
        <v>20600</v>
      </c>
      <c r="E334" s="224">
        <f t="shared" si="7"/>
        <v>2060</v>
      </c>
    </row>
    <row r="335" spans="1:5">
      <c r="A335" s="223">
        <v>39554</v>
      </c>
      <c r="B335" s="217">
        <v>52525</v>
      </c>
      <c r="C335" s="218">
        <v>2825</v>
      </c>
      <c r="D335" s="221">
        <v>20500</v>
      </c>
      <c r="E335" s="224">
        <f t="shared" si="7"/>
        <v>2050</v>
      </c>
    </row>
    <row r="336" spans="1:5">
      <c r="A336" s="223">
        <v>39555</v>
      </c>
      <c r="B336" s="217">
        <v>53200</v>
      </c>
      <c r="C336" s="218">
        <v>2841</v>
      </c>
      <c r="D336" s="221">
        <v>20500</v>
      </c>
      <c r="E336" s="224">
        <f t="shared" si="7"/>
        <v>2050</v>
      </c>
    </row>
    <row r="337" spans="1:5">
      <c r="A337" s="223">
        <v>39556</v>
      </c>
      <c r="B337" s="217">
        <v>53000</v>
      </c>
      <c r="C337" s="218">
        <v>2814.5</v>
      </c>
      <c r="D337" s="221">
        <v>20400</v>
      </c>
      <c r="E337" s="224">
        <f t="shared" si="7"/>
        <v>2040</v>
      </c>
    </row>
    <row r="338" spans="1:5">
      <c r="A338" s="223">
        <v>39559</v>
      </c>
      <c r="B338" s="217">
        <v>53125</v>
      </c>
      <c r="C338" s="218">
        <v>2805</v>
      </c>
      <c r="D338" s="221">
        <v>20400</v>
      </c>
      <c r="E338" s="224">
        <f t="shared" si="7"/>
        <v>2040</v>
      </c>
    </row>
    <row r="339" spans="1:5">
      <c r="A339" s="223">
        <v>39560</v>
      </c>
      <c r="B339" s="217">
        <v>52925</v>
      </c>
      <c r="C339" s="218">
        <v>2801</v>
      </c>
      <c r="D339" s="221">
        <v>20300</v>
      </c>
      <c r="E339" s="224">
        <f t="shared" si="7"/>
        <v>2030</v>
      </c>
    </row>
    <row r="340" spans="1:5">
      <c r="A340" s="223">
        <v>39561</v>
      </c>
      <c r="B340" s="217">
        <v>53650</v>
      </c>
      <c r="C340" s="218">
        <v>2760</v>
      </c>
      <c r="D340" s="221">
        <v>20300</v>
      </c>
      <c r="E340" s="224">
        <f t="shared" si="7"/>
        <v>2030</v>
      </c>
    </row>
    <row r="341" spans="1:5">
      <c r="A341" s="223">
        <v>39562</v>
      </c>
      <c r="B341" s="217">
        <v>54750</v>
      </c>
      <c r="C341" s="218">
        <v>2740.5</v>
      </c>
      <c r="D341" s="221">
        <v>20100</v>
      </c>
      <c r="E341" s="224">
        <f t="shared" si="7"/>
        <v>2010</v>
      </c>
    </row>
    <row r="342" spans="1:5">
      <c r="A342" s="223">
        <v>39563</v>
      </c>
      <c r="B342" s="217">
        <v>54850</v>
      </c>
      <c r="C342" s="218">
        <v>2725</v>
      </c>
      <c r="D342" s="221">
        <v>19900</v>
      </c>
      <c r="E342" s="224">
        <f t="shared" si="7"/>
        <v>1990</v>
      </c>
    </row>
    <row r="343" spans="1:5">
      <c r="A343" s="223">
        <v>39566</v>
      </c>
      <c r="B343" s="217">
        <v>55850</v>
      </c>
      <c r="C343" s="218">
        <v>2755</v>
      </c>
      <c r="D343" s="221">
        <v>19900</v>
      </c>
      <c r="E343" s="224">
        <f t="shared" si="7"/>
        <v>1990</v>
      </c>
    </row>
    <row r="344" spans="1:5">
      <c r="A344" s="223">
        <v>39567</v>
      </c>
      <c r="B344" s="217">
        <v>56150</v>
      </c>
      <c r="C344" s="218">
        <v>2720</v>
      </c>
      <c r="D344" s="221">
        <v>19600</v>
      </c>
      <c r="E344" s="224">
        <f t="shared" si="7"/>
        <v>1960</v>
      </c>
    </row>
    <row r="345" spans="1:5">
      <c r="A345" s="223">
        <v>39568</v>
      </c>
      <c r="B345" s="217">
        <v>56150</v>
      </c>
      <c r="C345" s="218">
        <v>2680.5</v>
      </c>
      <c r="D345" s="221">
        <v>19250</v>
      </c>
      <c r="E345" s="224">
        <f t="shared" si="7"/>
        <v>1925</v>
      </c>
    </row>
    <row r="346" spans="1:5">
      <c r="A346" s="223">
        <v>39569</v>
      </c>
      <c r="B346" s="217">
        <v>56850</v>
      </c>
      <c r="C346" s="218">
        <v>2650.5</v>
      </c>
      <c r="D346" s="221">
        <v>19250</v>
      </c>
      <c r="E346" s="224">
        <f>D346/10</f>
        <v>1925</v>
      </c>
    </row>
    <row r="347" spans="1:5">
      <c r="A347" s="223">
        <v>39570</v>
      </c>
      <c r="B347" s="217">
        <v>57575</v>
      </c>
      <c r="C347" s="218">
        <v>2530</v>
      </c>
      <c r="D347" s="221">
        <v>19250</v>
      </c>
      <c r="E347" s="224">
        <f>D347/10</f>
        <v>1925</v>
      </c>
    </row>
    <row r="348" spans="1:5">
      <c r="A348" s="223">
        <v>39573</v>
      </c>
      <c r="B348" s="217">
        <v>57575</v>
      </c>
      <c r="C348" s="218">
        <v>2530</v>
      </c>
      <c r="D348" s="221">
        <v>19100</v>
      </c>
      <c r="E348" s="224">
        <f t="shared" si="7"/>
        <v>1910</v>
      </c>
    </row>
    <row r="349" spans="1:5">
      <c r="A349" s="223">
        <v>39574</v>
      </c>
      <c r="B349" s="217">
        <v>58200</v>
      </c>
      <c r="C349" s="218">
        <v>2581</v>
      </c>
      <c r="D349" s="221">
        <v>18700</v>
      </c>
      <c r="E349" s="224">
        <f t="shared" si="7"/>
        <v>1870</v>
      </c>
    </row>
    <row r="350" spans="1:5">
      <c r="A350" s="223">
        <v>39575</v>
      </c>
      <c r="B350" s="217">
        <v>58825</v>
      </c>
      <c r="C350" s="218">
        <v>2481</v>
      </c>
      <c r="D350" s="221">
        <v>18600</v>
      </c>
      <c r="E350" s="224">
        <f t="shared" si="7"/>
        <v>1860</v>
      </c>
    </row>
    <row r="351" spans="1:5">
      <c r="A351" s="223">
        <v>39576</v>
      </c>
      <c r="B351" s="217">
        <v>58425</v>
      </c>
      <c r="C351" s="218">
        <v>2410.5</v>
      </c>
      <c r="D351" s="221">
        <v>17800</v>
      </c>
      <c r="E351" s="224">
        <f t="shared" si="7"/>
        <v>1780</v>
      </c>
    </row>
    <row r="352" spans="1:5">
      <c r="A352" s="223">
        <v>39577</v>
      </c>
      <c r="B352" s="217">
        <v>58600</v>
      </c>
      <c r="C352" s="218">
        <v>2285.5</v>
      </c>
      <c r="D352" s="221">
        <v>17300</v>
      </c>
      <c r="E352" s="224">
        <f t="shared" si="7"/>
        <v>1730</v>
      </c>
    </row>
    <row r="353" spans="1:5">
      <c r="A353" s="223">
        <v>39580</v>
      </c>
      <c r="B353" s="217">
        <v>58600</v>
      </c>
      <c r="C353" s="218">
        <v>2232</v>
      </c>
      <c r="D353" s="221">
        <v>17100</v>
      </c>
      <c r="E353" s="224">
        <f t="shared" si="7"/>
        <v>1710</v>
      </c>
    </row>
    <row r="354" spans="1:5">
      <c r="A354" s="223">
        <v>39581</v>
      </c>
      <c r="B354" s="217">
        <v>61075</v>
      </c>
      <c r="C354" s="218">
        <v>2283</v>
      </c>
      <c r="D354" s="221">
        <v>17200</v>
      </c>
      <c r="E354" s="224">
        <f t="shared" si="7"/>
        <v>1720</v>
      </c>
    </row>
    <row r="355" spans="1:5">
      <c r="A355" s="223">
        <v>39582</v>
      </c>
      <c r="B355" s="217">
        <v>61900</v>
      </c>
      <c r="C355" s="218">
        <v>2203</v>
      </c>
      <c r="D355" s="221">
        <v>17200</v>
      </c>
      <c r="E355" s="224">
        <f t="shared" si="7"/>
        <v>1720</v>
      </c>
    </row>
    <row r="356" spans="1:5">
      <c r="A356" s="223">
        <v>39583</v>
      </c>
      <c r="B356" s="217">
        <v>62150</v>
      </c>
      <c r="C356" s="218">
        <v>2246</v>
      </c>
      <c r="D356" s="221">
        <v>17200</v>
      </c>
      <c r="E356" s="224">
        <f t="shared" si="7"/>
        <v>1720</v>
      </c>
    </row>
    <row r="357" spans="1:5">
      <c r="A357" s="223">
        <v>39584</v>
      </c>
      <c r="B357" s="217">
        <v>63200</v>
      </c>
      <c r="C357" s="218">
        <v>2300.5</v>
      </c>
      <c r="D357" s="221">
        <v>17300</v>
      </c>
      <c r="E357" s="224">
        <f t="shared" si="7"/>
        <v>1730</v>
      </c>
    </row>
    <row r="358" spans="1:5">
      <c r="A358" s="223">
        <v>39587</v>
      </c>
      <c r="B358" s="217">
        <v>64350</v>
      </c>
      <c r="C358" s="218">
        <v>2262</v>
      </c>
      <c r="D358" s="221">
        <v>17400</v>
      </c>
      <c r="E358" s="224">
        <f t="shared" si="7"/>
        <v>1740</v>
      </c>
    </row>
    <row r="359" spans="1:5">
      <c r="A359" s="223">
        <v>39588</v>
      </c>
      <c r="B359" s="217">
        <v>64450</v>
      </c>
      <c r="C359" s="218">
        <v>2137</v>
      </c>
      <c r="D359" s="221">
        <v>17400</v>
      </c>
      <c r="E359" s="224">
        <f t="shared" si="7"/>
        <v>1740</v>
      </c>
    </row>
    <row r="360" spans="1:5">
      <c r="A360" s="223">
        <v>39589</v>
      </c>
      <c r="B360" s="217">
        <v>63850</v>
      </c>
      <c r="C360" s="218">
        <v>2133</v>
      </c>
      <c r="D360" s="221">
        <v>17400</v>
      </c>
      <c r="E360" s="224">
        <f t="shared" si="7"/>
        <v>1740</v>
      </c>
    </row>
    <row r="361" spans="1:5">
      <c r="A361" s="223">
        <v>39590</v>
      </c>
      <c r="B361" s="217">
        <v>63900</v>
      </c>
      <c r="C361" s="218">
        <v>2097.5</v>
      </c>
      <c r="D361" s="221">
        <v>17400</v>
      </c>
      <c r="E361" s="224">
        <f t="shared" si="7"/>
        <v>1740</v>
      </c>
    </row>
    <row r="362" spans="1:5">
      <c r="A362" s="223">
        <v>39591</v>
      </c>
      <c r="B362" s="217">
        <v>64000</v>
      </c>
      <c r="C362" s="218">
        <v>1998</v>
      </c>
      <c r="D362" s="221">
        <v>17300</v>
      </c>
      <c r="E362" s="224">
        <f t="shared" si="7"/>
        <v>1730</v>
      </c>
    </row>
    <row r="363" spans="1:5">
      <c r="A363" s="223">
        <v>39594</v>
      </c>
      <c r="B363" s="217">
        <v>64000</v>
      </c>
      <c r="C363" s="218">
        <v>1998</v>
      </c>
      <c r="D363" s="221">
        <v>17300</v>
      </c>
      <c r="E363" s="224">
        <f t="shared" si="7"/>
        <v>1730</v>
      </c>
    </row>
    <row r="364" spans="1:5">
      <c r="A364" s="223">
        <v>39595</v>
      </c>
      <c r="B364" s="217">
        <v>63600</v>
      </c>
      <c r="C364" s="218">
        <v>2011</v>
      </c>
      <c r="D364" s="221">
        <v>17300</v>
      </c>
      <c r="E364" s="224">
        <f t="shared" si="7"/>
        <v>1730</v>
      </c>
    </row>
    <row r="365" spans="1:5">
      <c r="A365" s="223">
        <v>39596</v>
      </c>
      <c r="B365" s="217">
        <v>63575</v>
      </c>
      <c r="C365" s="218">
        <v>1990</v>
      </c>
      <c r="D365" s="221">
        <v>17300</v>
      </c>
      <c r="E365" s="224">
        <f t="shared" si="7"/>
        <v>1730</v>
      </c>
    </row>
    <row r="366" spans="1:5">
      <c r="A366" s="223">
        <v>39597</v>
      </c>
      <c r="B366" s="217">
        <v>65125</v>
      </c>
      <c r="C366" s="218">
        <v>1921</v>
      </c>
      <c r="D366" s="221">
        <v>17300</v>
      </c>
      <c r="E366" s="224">
        <f t="shared" si="7"/>
        <v>1730</v>
      </c>
    </row>
    <row r="367" spans="1:5">
      <c r="A367" s="223">
        <v>39598</v>
      </c>
      <c r="B367" s="217">
        <v>65125</v>
      </c>
      <c r="C367" s="218">
        <v>1940</v>
      </c>
      <c r="D367" s="221">
        <v>17300</v>
      </c>
      <c r="E367" s="224">
        <f t="shared" si="7"/>
        <v>1730</v>
      </c>
    </row>
    <row r="368" spans="1:5">
      <c r="A368" s="223">
        <v>39601</v>
      </c>
      <c r="B368" s="217">
        <v>67300</v>
      </c>
      <c r="C368" s="218">
        <v>1960</v>
      </c>
      <c r="D368" s="221">
        <v>17300</v>
      </c>
      <c r="E368" s="224">
        <f t="shared" si="7"/>
        <v>1730</v>
      </c>
    </row>
    <row r="369" spans="1:5">
      <c r="A369" s="223">
        <v>39602</v>
      </c>
      <c r="B369" s="217">
        <v>68600</v>
      </c>
      <c r="C369" s="218">
        <v>2030.5</v>
      </c>
      <c r="D369" s="221">
        <v>17300</v>
      </c>
      <c r="E369" s="224">
        <f t="shared" si="7"/>
        <v>1730</v>
      </c>
    </row>
    <row r="370" spans="1:5">
      <c r="A370" s="223">
        <v>39603</v>
      </c>
      <c r="B370" s="217">
        <v>71525</v>
      </c>
      <c r="C370" s="218">
        <v>2003</v>
      </c>
      <c r="D370" s="221">
        <v>17400</v>
      </c>
      <c r="E370" s="224">
        <f t="shared" si="7"/>
        <v>1740</v>
      </c>
    </row>
    <row r="371" spans="1:5">
      <c r="A371" s="223">
        <v>39604</v>
      </c>
      <c r="B371" s="217">
        <v>72550</v>
      </c>
      <c r="C371" s="218">
        <v>1942</v>
      </c>
      <c r="D371" s="221">
        <v>17400</v>
      </c>
      <c r="E371" s="224">
        <f t="shared" si="7"/>
        <v>1740</v>
      </c>
    </row>
    <row r="372" spans="1:5">
      <c r="A372" s="223">
        <v>39605</v>
      </c>
      <c r="B372" s="217">
        <v>73525</v>
      </c>
      <c r="C372" s="218">
        <v>1935.5</v>
      </c>
      <c r="D372" s="221">
        <v>17350</v>
      </c>
      <c r="E372" s="224">
        <f t="shared" si="7"/>
        <v>1735</v>
      </c>
    </row>
    <row r="373" spans="1:5">
      <c r="A373" s="223">
        <v>39608</v>
      </c>
      <c r="B373" s="217">
        <v>72600</v>
      </c>
      <c r="C373" s="218">
        <v>1935</v>
      </c>
      <c r="D373" s="221">
        <v>17350</v>
      </c>
      <c r="E373" s="224">
        <f>D373/10</f>
        <v>1735</v>
      </c>
    </row>
    <row r="374" spans="1:5">
      <c r="A374" s="223">
        <v>39609</v>
      </c>
      <c r="B374" s="217">
        <v>72375</v>
      </c>
      <c r="C374" s="218">
        <v>1950</v>
      </c>
      <c r="D374" s="221">
        <v>17250</v>
      </c>
      <c r="E374" s="224">
        <f t="shared" si="7"/>
        <v>1725</v>
      </c>
    </row>
    <row r="375" spans="1:5">
      <c r="A375" s="223">
        <v>39610</v>
      </c>
      <c r="B375" s="217">
        <v>74475</v>
      </c>
      <c r="C375" s="218">
        <v>1901</v>
      </c>
      <c r="D375" s="221">
        <v>17250</v>
      </c>
      <c r="E375" s="224">
        <f t="shared" si="7"/>
        <v>1725</v>
      </c>
    </row>
    <row r="376" spans="1:5">
      <c r="A376" s="223">
        <v>39611</v>
      </c>
      <c r="B376" s="217">
        <v>74175</v>
      </c>
      <c r="C376" s="218">
        <v>1837</v>
      </c>
      <c r="D376" s="221">
        <v>17225</v>
      </c>
      <c r="E376" s="224">
        <f t="shared" si="7"/>
        <v>1722.5</v>
      </c>
    </row>
    <row r="377" spans="1:5">
      <c r="A377" s="223">
        <v>39612</v>
      </c>
      <c r="B377" s="217">
        <v>79300</v>
      </c>
      <c r="C377" s="218">
        <v>1800.5</v>
      </c>
      <c r="D377" s="221">
        <v>17100</v>
      </c>
      <c r="E377" s="224">
        <f t="shared" si="7"/>
        <v>1710</v>
      </c>
    </row>
    <row r="378" spans="1:5">
      <c r="A378" s="223">
        <v>39615</v>
      </c>
      <c r="B378" s="217">
        <v>79300</v>
      </c>
      <c r="C378" s="218">
        <v>1738</v>
      </c>
      <c r="D378" s="221">
        <v>17000</v>
      </c>
      <c r="E378" s="224">
        <f t="shared" si="7"/>
        <v>1700</v>
      </c>
    </row>
    <row r="379" spans="1:5">
      <c r="A379" s="223">
        <v>39616</v>
      </c>
      <c r="B379" s="217">
        <v>94875</v>
      </c>
      <c r="C379" s="218">
        <v>1802</v>
      </c>
      <c r="D379" s="221">
        <v>17000</v>
      </c>
      <c r="E379" s="224">
        <f t="shared" si="7"/>
        <v>1700</v>
      </c>
    </row>
    <row r="380" spans="1:5">
      <c r="A380" s="223">
        <v>39617</v>
      </c>
      <c r="B380" s="217">
        <v>96775</v>
      </c>
      <c r="C380" s="218">
        <v>1886</v>
      </c>
      <c r="D380" s="221">
        <v>17000</v>
      </c>
      <c r="E380" s="224">
        <f t="shared" si="7"/>
        <v>1700</v>
      </c>
    </row>
    <row r="381" spans="1:5">
      <c r="A381" s="223">
        <v>39618</v>
      </c>
      <c r="B381" s="217">
        <v>97225</v>
      </c>
      <c r="C381" s="218">
        <v>1806.5</v>
      </c>
      <c r="D381" s="221">
        <v>17050</v>
      </c>
      <c r="E381" s="224">
        <f t="shared" si="7"/>
        <v>1705</v>
      </c>
    </row>
    <row r="382" spans="1:5">
      <c r="A382" s="223">
        <v>39619</v>
      </c>
      <c r="B382" s="217">
        <v>96375</v>
      </c>
      <c r="C382" s="218">
        <v>1870</v>
      </c>
      <c r="D382" s="221">
        <v>16950</v>
      </c>
      <c r="E382" s="224">
        <f t="shared" si="7"/>
        <v>1695</v>
      </c>
    </row>
    <row r="383" spans="1:5">
      <c r="A383" s="223">
        <v>39622</v>
      </c>
      <c r="B383" s="217">
        <v>95650</v>
      </c>
      <c r="C383" s="218">
        <v>1821</v>
      </c>
      <c r="D383" s="221">
        <v>17000</v>
      </c>
      <c r="E383" s="224">
        <f t="shared" si="7"/>
        <v>1700</v>
      </c>
    </row>
    <row r="384" spans="1:5">
      <c r="A384" s="223">
        <v>39623</v>
      </c>
      <c r="B384" s="217">
        <v>96750</v>
      </c>
      <c r="C384" s="218">
        <v>1801</v>
      </c>
      <c r="D384" s="221">
        <v>17000</v>
      </c>
      <c r="E384" s="224">
        <f t="shared" si="7"/>
        <v>1700</v>
      </c>
    </row>
    <row r="385" spans="1:5">
      <c r="A385" s="223">
        <v>39624</v>
      </c>
      <c r="B385" s="217">
        <v>98675</v>
      </c>
      <c r="C385" s="218">
        <v>1773.5</v>
      </c>
      <c r="D385" s="221">
        <v>16950</v>
      </c>
      <c r="E385" s="224">
        <f t="shared" si="7"/>
        <v>1695</v>
      </c>
    </row>
    <row r="386" spans="1:5">
      <c r="A386" s="223">
        <v>39625</v>
      </c>
      <c r="B386" s="217">
        <v>99600</v>
      </c>
      <c r="C386" s="218">
        <v>1800</v>
      </c>
      <c r="D386" s="221">
        <v>16900</v>
      </c>
      <c r="E386" s="224">
        <f t="shared" si="7"/>
        <v>1690</v>
      </c>
    </row>
    <row r="387" spans="1:5">
      <c r="A387" s="223">
        <v>39626</v>
      </c>
      <c r="B387" s="217">
        <v>100825</v>
      </c>
      <c r="C387" s="218">
        <v>1796</v>
      </c>
      <c r="D387" s="221">
        <v>16900</v>
      </c>
      <c r="E387" s="224">
        <f t="shared" ref="E387:E450" si="8">D387/10</f>
        <v>1690</v>
      </c>
    </row>
    <row r="388" spans="1:5">
      <c r="A388" s="223">
        <v>39629</v>
      </c>
      <c r="B388" s="217">
        <v>101900</v>
      </c>
      <c r="C388" s="218">
        <v>1735.5</v>
      </c>
      <c r="D388" s="221">
        <v>16900</v>
      </c>
      <c r="E388" s="224">
        <f t="shared" si="8"/>
        <v>1690</v>
      </c>
    </row>
    <row r="389" spans="1:5">
      <c r="A389" s="223">
        <v>39630</v>
      </c>
      <c r="B389" s="217">
        <v>101350</v>
      </c>
      <c r="C389" s="218">
        <v>1761</v>
      </c>
      <c r="D389" s="221">
        <v>16800</v>
      </c>
      <c r="E389" s="224">
        <f t="shared" si="8"/>
        <v>1680</v>
      </c>
    </row>
    <row r="390" spans="1:5">
      <c r="A390" s="223">
        <v>39631</v>
      </c>
      <c r="B390" s="217">
        <v>100475</v>
      </c>
      <c r="C390" s="218">
        <v>1720</v>
      </c>
      <c r="D390" s="221">
        <v>16750</v>
      </c>
      <c r="E390" s="224">
        <f t="shared" si="8"/>
        <v>1675</v>
      </c>
    </row>
    <row r="391" spans="1:5">
      <c r="A391" s="223">
        <v>39632</v>
      </c>
      <c r="B391" s="217">
        <v>100500</v>
      </c>
      <c r="C391" s="218">
        <v>1621</v>
      </c>
      <c r="D391" s="221">
        <v>16600</v>
      </c>
      <c r="E391" s="224">
        <f t="shared" si="8"/>
        <v>1660</v>
      </c>
    </row>
    <row r="392" spans="1:5">
      <c r="A392" s="223">
        <v>39633</v>
      </c>
      <c r="B392" s="217">
        <v>100675</v>
      </c>
      <c r="C392" s="218">
        <v>1546.5</v>
      </c>
      <c r="D392" s="221">
        <v>16300</v>
      </c>
      <c r="E392" s="224">
        <f t="shared" si="8"/>
        <v>1630</v>
      </c>
    </row>
    <row r="393" spans="1:5">
      <c r="A393" s="223">
        <v>39636</v>
      </c>
      <c r="B393" s="217">
        <v>100975</v>
      </c>
      <c r="C393" s="218">
        <v>1564.5</v>
      </c>
      <c r="D393" s="221">
        <v>16000</v>
      </c>
      <c r="E393" s="224">
        <f t="shared" si="8"/>
        <v>1600</v>
      </c>
    </row>
    <row r="394" spans="1:5">
      <c r="A394" s="223">
        <v>39637</v>
      </c>
      <c r="B394" s="217">
        <v>100475</v>
      </c>
      <c r="C394" s="218">
        <v>1652</v>
      </c>
      <c r="D394" s="221">
        <v>16000</v>
      </c>
      <c r="E394" s="224">
        <f t="shared" si="8"/>
        <v>1600</v>
      </c>
    </row>
    <row r="395" spans="1:5">
      <c r="A395" s="223">
        <v>39638</v>
      </c>
      <c r="B395" s="217">
        <v>101850</v>
      </c>
      <c r="C395" s="218">
        <v>1707</v>
      </c>
      <c r="D395" s="221">
        <v>16000</v>
      </c>
      <c r="E395" s="224">
        <f t="shared" si="8"/>
        <v>1600</v>
      </c>
    </row>
    <row r="396" spans="1:5">
      <c r="A396" s="223">
        <v>39639</v>
      </c>
      <c r="B396" s="217">
        <v>101175</v>
      </c>
      <c r="C396" s="218">
        <v>1902</v>
      </c>
      <c r="D396" s="221">
        <v>16000</v>
      </c>
      <c r="E396" s="224">
        <f t="shared" si="8"/>
        <v>1600</v>
      </c>
    </row>
    <row r="397" spans="1:5">
      <c r="A397" s="223">
        <v>39640</v>
      </c>
      <c r="B397" s="217">
        <v>98950</v>
      </c>
      <c r="C397" s="218">
        <v>2005.5</v>
      </c>
      <c r="D397" s="221">
        <v>16300</v>
      </c>
      <c r="E397" s="224">
        <f t="shared" si="8"/>
        <v>1630</v>
      </c>
    </row>
    <row r="398" spans="1:5">
      <c r="A398" s="223">
        <v>39643</v>
      </c>
      <c r="B398" s="217">
        <v>95775</v>
      </c>
      <c r="C398" s="218">
        <v>1946</v>
      </c>
      <c r="D398" s="221">
        <v>16500</v>
      </c>
      <c r="E398" s="224">
        <f t="shared" si="8"/>
        <v>1650</v>
      </c>
    </row>
    <row r="399" spans="1:5">
      <c r="A399" s="223">
        <v>39644</v>
      </c>
      <c r="B399" s="217">
        <v>94900</v>
      </c>
      <c r="C399" s="218">
        <v>1968.5</v>
      </c>
      <c r="D399" s="221">
        <v>16700</v>
      </c>
      <c r="E399" s="224">
        <f t="shared" si="8"/>
        <v>1670</v>
      </c>
    </row>
    <row r="400" spans="1:5">
      <c r="A400" s="223">
        <v>39645</v>
      </c>
      <c r="B400" s="217">
        <v>93450</v>
      </c>
      <c r="C400" s="218">
        <v>1896</v>
      </c>
      <c r="D400" s="221">
        <v>16900</v>
      </c>
      <c r="E400" s="224">
        <f t="shared" si="8"/>
        <v>1690</v>
      </c>
    </row>
    <row r="401" spans="1:5">
      <c r="A401" s="223">
        <v>39646</v>
      </c>
      <c r="B401" s="217">
        <v>93875</v>
      </c>
      <c r="C401" s="218">
        <v>1941</v>
      </c>
      <c r="D401" s="221">
        <v>16900</v>
      </c>
      <c r="E401" s="224">
        <f t="shared" si="8"/>
        <v>1690</v>
      </c>
    </row>
    <row r="402" spans="1:5">
      <c r="A402" s="223">
        <v>39647</v>
      </c>
      <c r="B402" s="217">
        <v>92725</v>
      </c>
      <c r="C402" s="218">
        <v>1946</v>
      </c>
      <c r="D402" s="221">
        <v>17050</v>
      </c>
      <c r="E402" s="224">
        <f t="shared" si="8"/>
        <v>1705</v>
      </c>
    </row>
    <row r="403" spans="1:5">
      <c r="A403" s="223">
        <v>39650</v>
      </c>
      <c r="B403" s="217">
        <v>92025</v>
      </c>
      <c r="C403" s="218">
        <v>2035.5</v>
      </c>
      <c r="D403" s="221">
        <v>17200</v>
      </c>
      <c r="E403" s="224">
        <f t="shared" si="8"/>
        <v>1720</v>
      </c>
    </row>
    <row r="404" spans="1:5">
      <c r="A404" s="223">
        <v>39651</v>
      </c>
      <c r="B404" s="217">
        <v>91375</v>
      </c>
      <c r="C404" s="218">
        <v>2159.5</v>
      </c>
      <c r="D404" s="221">
        <v>17250</v>
      </c>
      <c r="E404" s="224">
        <f t="shared" si="8"/>
        <v>1725</v>
      </c>
    </row>
    <row r="405" spans="1:5">
      <c r="A405" s="223">
        <v>39652</v>
      </c>
      <c r="B405" s="217">
        <v>91225</v>
      </c>
      <c r="C405" s="218">
        <v>2134</v>
      </c>
      <c r="D405" s="221">
        <v>17600</v>
      </c>
      <c r="E405" s="224">
        <f t="shared" si="8"/>
        <v>1760</v>
      </c>
    </row>
    <row r="406" spans="1:5">
      <c r="A406" s="223">
        <v>39653</v>
      </c>
      <c r="B406" s="217">
        <v>91100</v>
      </c>
      <c r="C406" s="218">
        <v>2185</v>
      </c>
      <c r="D406" s="221">
        <v>18200</v>
      </c>
      <c r="E406" s="224">
        <f t="shared" si="8"/>
        <v>1820</v>
      </c>
    </row>
    <row r="407" spans="1:5">
      <c r="A407" s="223">
        <v>39654</v>
      </c>
      <c r="B407" s="217">
        <v>91250</v>
      </c>
      <c r="C407" s="218">
        <v>2145</v>
      </c>
      <c r="D407" s="221">
        <v>19300</v>
      </c>
      <c r="E407" s="224">
        <f t="shared" si="8"/>
        <v>1930</v>
      </c>
    </row>
    <row r="408" spans="1:5">
      <c r="A408" s="223">
        <v>39657</v>
      </c>
      <c r="B408" s="217">
        <v>90725</v>
      </c>
      <c r="C408" s="218">
        <v>2181</v>
      </c>
      <c r="D408" s="221">
        <v>19300</v>
      </c>
      <c r="E408" s="224">
        <f t="shared" si="8"/>
        <v>1930</v>
      </c>
    </row>
    <row r="409" spans="1:5">
      <c r="A409" s="223">
        <v>39658</v>
      </c>
      <c r="B409" s="217">
        <v>89275</v>
      </c>
      <c r="C409" s="218">
        <v>2245</v>
      </c>
      <c r="D409" s="221">
        <v>19500</v>
      </c>
      <c r="E409" s="224">
        <f t="shared" si="8"/>
        <v>1950</v>
      </c>
    </row>
    <row r="410" spans="1:5">
      <c r="A410" s="223">
        <v>39659</v>
      </c>
      <c r="B410" s="217">
        <v>90725</v>
      </c>
      <c r="C410" s="218">
        <v>2241</v>
      </c>
      <c r="D410" s="221">
        <v>19600</v>
      </c>
      <c r="E410" s="224">
        <f t="shared" si="8"/>
        <v>1960</v>
      </c>
    </row>
    <row r="411" spans="1:5">
      <c r="A411" s="223">
        <v>39660</v>
      </c>
      <c r="B411" s="217">
        <v>91000</v>
      </c>
      <c r="C411" s="218">
        <v>2230</v>
      </c>
      <c r="D411" s="221">
        <v>19400</v>
      </c>
      <c r="E411" s="224">
        <f t="shared" si="8"/>
        <v>1940</v>
      </c>
    </row>
    <row r="412" spans="1:5">
      <c r="A412" s="223">
        <v>39661</v>
      </c>
      <c r="B412" s="217">
        <v>92250</v>
      </c>
      <c r="C412" s="218">
        <v>2160</v>
      </c>
      <c r="D412" s="221">
        <v>19400</v>
      </c>
      <c r="E412" s="224">
        <f t="shared" si="8"/>
        <v>1940</v>
      </c>
    </row>
    <row r="413" spans="1:5">
      <c r="A413" s="223">
        <v>39664</v>
      </c>
      <c r="B413" s="217">
        <v>93400</v>
      </c>
      <c r="C413" s="218">
        <v>2090</v>
      </c>
      <c r="D413" s="221">
        <v>19200</v>
      </c>
      <c r="E413" s="224">
        <f t="shared" si="8"/>
        <v>1920</v>
      </c>
    </row>
    <row r="414" spans="1:5">
      <c r="A414" s="223">
        <v>39665</v>
      </c>
      <c r="B414" s="217">
        <v>93325</v>
      </c>
      <c r="C414" s="218">
        <v>2016</v>
      </c>
      <c r="D414" s="221">
        <v>18800</v>
      </c>
      <c r="E414" s="224">
        <f t="shared" si="8"/>
        <v>1880</v>
      </c>
    </row>
    <row r="415" spans="1:5">
      <c r="A415" s="223">
        <v>39666</v>
      </c>
      <c r="B415" s="217">
        <v>93075</v>
      </c>
      <c r="C415" s="218">
        <v>2111</v>
      </c>
      <c r="D415" s="221">
        <v>18100</v>
      </c>
      <c r="E415" s="224">
        <f t="shared" si="8"/>
        <v>1810</v>
      </c>
    </row>
    <row r="416" spans="1:5">
      <c r="A416" s="223">
        <v>39667</v>
      </c>
      <c r="B416" s="217">
        <v>91575</v>
      </c>
      <c r="C416" s="218">
        <v>2119</v>
      </c>
      <c r="D416" s="221">
        <v>18100</v>
      </c>
      <c r="E416" s="224">
        <f t="shared" si="8"/>
        <v>1810</v>
      </c>
    </row>
    <row r="417" spans="1:5">
      <c r="A417" s="223">
        <v>39668</v>
      </c>
      <c r="B417" s="217">
        <v>91650</v>
      </c>
      <c r="C417" s="218">
        <v>2005</v>
      </c>
      <c r="D417" s="221">
        <v>18300</v>
      </c>
      <c r="E417" s="224">
        <f t="shared" si="8"/>
        <v>1830</v>
      </c>
    </row>
    <row r="418" spans="1:5">
      <c r="A418" s="223">
        <v>39671</v>
      </c>
      <c r="B418" s="217">
        <v>91000</v>
      </c>
      <c r="C418" s="218">
        <v>1961</v>
      </c>
      <c r="D418" s="221">
        <v>17900</v>
      </c>
      <c r="E418" s="224">
        <f t="shared" si="8"/>
        <v>1790</v>
      </c>
    </row>
    <row r="419" spans="1:5">
      <c r="A419" s="223">
        <v>39672</v>
      </c>
      <c r="B419" s="217">
        <v>90500</v>
      </c>
      <c r="C419" s="218">
        <v>1893</v>
      </c>
      <c r="D419" s="221">
        <v>17400</v>
      </c>
      <c r="E419" s="224">
        <f t="shared" si="8"/>
        <v>1740</v>
      </c>
    </row>
    <row r="420" spans="1:5">
      <c r="A420" s="223">
        <v>39673</v>
      </c>
      <c r="B420" s="217">
        <v>89875</v>
      </c>
      <c r="C420" s="218">
        <v>1707.5</v>
      </c>
      <c r="D420" s="221">
        <v>16900</v>
      </c>
      <c r="E420" s="224">
        <f t="shared" si="8"/>
        <v>1690</v>
      </c>
    </row>
    <row r="421" spans="1:5">
      <c r="A421" s="223">
        <v>39674</v>
      </c>
      <c r="B421" s="217">
        <v>89525</v>
      </c>
      <c r="C421" s="218">
        <v>1775</v>
      </c>
      <c r="D421" s="221">
        <v>16600</v>
      </c>
      <c r="E421" s="224">
        <f t="shared" si="8"/>
        <v>1660</v>
      </c>
    </row>
    <row r="422" spans="1:5">
      <c r="A422" s="223">
        <v>39675</v>
      </c>
      <c r="B422" s="217">
        <v>89650</v>
      </c>
      <c r="C422" s="218">
        <v>1695</v>
      </c>
      <c r="D422" s="221">
        <v>16500</v>
      </c>
      <c r="E422" s="224">
        <f t="shared" si="8"/>
        <v>1650</v>
      </c>
    </row>
    <row r="423" spans="1:5">
      <c r="A423" s="223">
        <v>39678</v>
      </c>
      <c r="B423" s="217">
        <v>89650</v>
      </c>
      <c r="C423" s="218">
        <v>1724</v>
      </c>
      <c r="D423" s="221">
        <v>16600</v>
      </c>
      <c r="E423" s="224">
        <f t="shared" si="8"/>
        <v>1660</v>
      </c>
    </row>
    <row r="424" spans="1:5">
      <c r="A424" s="223">
        <v>39679</v>
      </c>
      <c r="B424" s="217">
        <v>89750</v>
      </c>
      <c r="C424" s="218">
        <v>1780</v>
      </c>
      <c r="D424" s="221">
        <v>17700</v>
      </c>
      <c r="E424" s="224">
        <f t="shared" si="8"/>
        <v>1770</v>
      </c>
    </row>
    <row r="425" spans="1:5">
      <c r="A425" s="223">
        <v>39680</v>
      </c>
      <c r="B425" s="217">
        <v>90050</v>
      </c>
      <c r="C425" s="218">
        <v>1819</v>
      </c>
      <c r="D425" s="221">
        <v>18100</v>
      </c>
      <c r="E425" s="224">
        <f t="shared" si="8"/>
        <v>1810</v>
      </c>
    </row>
    <row r="426" spans="1:5">
      <c r="A426" s="223">
        <v>39681</v>
      </c>
      <c r="B426" s="217">
        <v>91375</v>
      </c>
      <c r="C426" s="218">
        <v>1895</v>
      </c>
      <c r="D426" s="221">
        <v>19000</v>
      </c>
      <c r="E426" s="224">
        <f t="shared" si="8"/>
        <v>1900</v>
      </c>
    </row>
    <row r="427" spans="1:5">
      <c r="A427" s="223">
        <v>39682</v>
      </c>
      <c r="B427" s="217">
        <v>88050</v>
      </c>
      <c r="C427" s="218">
        <v>1880</v>
      </c>
      <c r="D427" s="221">
        <v>19300</v>
      </c>
      <c r="E427" s="224">
        <f t="shared" si="8"/>
        <v>1930</v>
      </c>
    </row>
    <row r="428" spans="1:5">
      <c r="A428" s="223">
        <v>39685</v>
      </c>
      <c r="B428" s="217">
        <v>88050</v>
      </c>
      <c r="C428" s="218">
        <v>1880</v>
      </c>
      <c r="D428" s="221">
        <v>19100</v>
      </c>
      <c r="E428" s="224">
        <f t="shared" si="8"/>
        <v>1910</v>
      </c>
    </row>
    <row r="429" spans="1:5">
      <c r="A429" s="223">
        <v>39686</v>
      </c>
      <c r="B429" s="217">
        <v>86425</v>
      </c>
      <c r="C429" s="218">
        <v>1855</v>
      </c>
      <c r="D429" s="221">
        <v>18600</v>
      </c>
      <c r="E429" s="224">
        <f t="shared" si="8"/>
        <v>1860</v>
      </c>
    </row>
    <row r="430" spans="1:5">
      <c r="A430" s="223">
        <v>39687</v>
      </c>
      <c r="B430" s="217">
        <v>83375</v>
      </c>
      <c r="C430" s="218">
        <v>1916</v>
      </c>
      <c r="D430" s="221">
        <v>18200</v>
      </c>
      <c r="E430" s="224">
        <f t="shared" si="8"/>
        <v>1820</v>
      </c>
    </row>
    <row r="431" spans="1:5">
      <c r="A431" s="223">
        <v>39688</v>
      </c>
      <c r="B431" s="217">
        <v>83500</v>
      </c>
      <c r="C431" s="218">
        <v>2111</v>
      </c>
      <c r="D431" s="221">
        <v>18500</v>
      </c>
      <c r="E431" s="224">
        <f t="shared" si="8"/>
        <v>1850</v>
      </c>
    </row>
    <row r="432" spans="1:5">
      <c r="A432" s="223">
        <v>39689</v>
      </c>
      <c r="B432" s="217">
        <v>81875</v>
      </c>
      <c r="C432" s="218">
        <v>1959</v>
      </c>
      <c r="D432" s="221">
        <v>18600</v>
      </c>
      <c r="E432" s="224">
        <f t="shared" si="8"/>
        <v>1860</v>
      </c>
    </row>
    <row r="433" spans="1:5">
      <c r="A433" s="223">
        <v>39692</v>
      </c>
      <c r="B433" s="217">
        <v>80575</v>
      </c>
      <c r="C433" s="218">
        <v>1951</v>
      </c>
      <c r="D433" s="221">
        <v>18200</v>
      </c>
      <c r="E433" s="224">
        <f t="shared" si="8"/>
        <v>1820</v>
      </c>
    </row>
    <row r="434" spans="1:5">
      <c r="A434" s="223">
        <v>39693</v>
      </c>
      <c r="B434" s="217">
        <v>79850</v>
      </c>
      <c r="C434" s="218">
        <v>1875</v>
      </c>
      <c r="D434" s="221">
        <v>18100</v>
      </c>
      <c r="E434" s="224">
        <f t="shared" si="8"/>
        <v>1810</v>
      </c>
    </row>
    <row r="435" spans="1:5">
      <c r="A435" s="223">
        <v>39694</v>
      </c>
      <c r="B435" s="217">
        <v>79150</v>
      </c>
      <c r="C435" s="218">
        <v>1920</v>
      </c>
      <c r="D435" s="221">
        <v>18800</v>
      </c>
      <c r="E435" s="224">
        <f t="shared" si="8"/>
        <v>1880</v>
      </c>
    </row>
    <row r="436" spans="1:5">
      <c r="A436" s="223">
        <v>39695</v>
      </c>
      <c r="B436" s="217">
        <v>78700</v>
      </c>
      <c r="C436" s="218">
        <v>1975</v>
      </c>
      <c r="D436" s="221">
        <v>18050</v>
      </c>
      <c r="E436" s="224">
        <f t="shared" si="8"/>
        <v>1805</v>
      </c>
    </row>
    <row r="437" spans="1:5">
      <c r="A437" s="223">
        <v>39696</v>
      </c>
      <c r="B437" s="217">
        <v>78175</v>
      </c>
      <c r="C437" s="218">
        <v>1806</v>
      </c>
      <c r="D437" s="221">
        <v>18000</v>
      </c>
      <c r="E437" s="224">
        <f t="shared" si="8"/>
        <v>1800</v>
      </c>
    </row>
    <row r="438" spans="1:5">
      <c r="A438" s="223">
        <v>39699</v>
      </c>
      <c r="B438" s="217">
        <v>78450</v>
      </c>
      <c r="C438" s="218">
        <v>1850</v>
      </c>
      <c r="D438" s="221">
        <v>17750</v>
      </c>
      <c r="E438" s="224">
        <f t="shared" si="8"/>
        <v>1775</v>
      </c>
    </row>
    <row r="439" spans="1:5">
      <c r="A439" s="223">
        <v>39700</v>
      </c>
      <c r="B439" s="217">
        <v>76775</v>
      </c>
      <c r="C439" s="218">
        <v>1805</v>
      </c>
      <c r="D439" s="221">
        <v>17800</v>
      </c>
      <c r="E439" s="224">
        <f t="shared" si="8"/>
        <v>1780</v>
      </c>
    </row>
    <row r="440" spans="1:5">
      <c r="A440" s="223">
        <v>39701</v>
      </c>
      <c r="B440" s="217">
        <v>75925</v>
      </c>
      <c r="C440" s="218">
        <v>1788</v>
      </c>
      <c r="D440" s="221">
        <v>17700</v>
      </c>
      <c r="E440" s="224">
        <f t="shared" si="8"/>
        <v>1770</v>
      </c>
    </row>
    <row r="441" spans="1:5">
      <c r="A441" s="223">
        <v>39702</v>
      </c>
      <c r="B441" s="217">
        <v>75550</v>
      </c>
      <c r="C441" s="218">
        <v>1806</v>
      </c>
      <c r="D441" s="221">
        <v>17700</v>
      </c>
      <c r="E441" s="224">
        <f t="shared" si="8"/>
        <v>1770</v>
      </c>
    </row>
    <row r="442" spans="1:5">
      <c r="A442" s="223">
        <v>39703</v>
      </c>
      <c r="B442" s="217">
        <v>75075</v>
      </c>
      <c r="C442" s="218">
        <v>1885</v>
      </c>
      <c r="D442" s="221">
        <v>17800</v>
      </c>
      <c r="E442" s="224">
        <f t="shared" si="8"/>
        <v>1780</v>
      </c>
    </row>
    <row r="443" spans="1:5">
      <c r="A443" s="223">
        <v>39706</v>
      </c>
      <c r="B443" s="217">
        <v>73575</v>
      </c>
      <c r="C443" s="218">
        <v>1803.5</v>
      </c>
      <c r="D443" s="221">
        <v>17800</v>
      </c>
      <c r="E443" s="224">
        <f>D443/10</f>
        <v>1780</v>
      </c>
    </row>
    <row r="444" spans="1:5">
      <c r="A444" s="223">
        <v>39707</v>
      </c>
      <c r="B444" s="217">
        <v>73100</v>
      </c>
      <c r="C444" s="218">
        <v>1784</v>
      </c>
      <c r="D444" s="221">
        <v>17800</v>
      </c>
      <c r="E444" s="224">
        <f t="shared" si="8"/>
        <v>1780</v>
      </c>
    </row>
    <row r="445" spans="1:5">
      <c r="A445" s="223">
        <v>39708</v>
      </c>
      <c r="B445" s="217">
        <v>71925</v>
      </c>
      <c r="C445" s="218">
        <v>1813</v>
      </c>
      <c r="D445" s="221">
        <v>17550</v>
      </c>
      <c r="E445" s="224">
        <f t="shared" si="8"/>
        <v>1755</v>
      </c>
    </row>
    <row r="446" spans="1:5">
      <c r="A446" s="223">
        <v>39709</v>
      </c>
      <c r="B446" s="217">
        <v>70525</v>
      </c>
      <c r="C446" s="218">
        <v>1805</v>
      </c>
      <c r="D446" s="221">
        <v>17550</v>
      </c>
      <c r="E446" s="224">
        <f t="shared" si="8"/>
        <v>1755</v>
      </c>
    </row>
    <row r="447" spans="1:5">
      <c r="A447" s="223">
        <v>39710</v>
      </c>
      <c r="B447" s="217">
        <v>69175</v>
      </c>
      <c r="C447" s="218">
        <v>1832.5</v>
      </c>
      <c r="D447" s="221">
        <v>17550</v>
      </c>
      <c r="E447" s="224">
        <f t="shared" si="8"/>
        <v>1755</v>
      </c>
    </row>
    <row r="448" spans="1:5">
      <c r="A448" s="223">
        <v>39713</v>
      </c>
      <c r="B448" s="217">
        <v>69700</v>
      </c>
      <c r="C448" s="218">
        <v>1921</v>
      </c>
      <c r="D448" s="221">
        <v>17700</v>
      </c>
      <c r="E448" s="224">
        <f t="shared" si="8"/>
        <v>1770</v>
      </c>
    </row>
    <row r="449" spans="1:5">
      <c r="A449" s="223">
        <v>39714</v>
      </c>
      <c r="B449" s="217">
        <v>68400</v>
      </c>
      <c r="C449" s="218">
        <v>1920.5</v>
      </c>
      <c r="D449" s="221">
        <v>18000</v>
      </c>
      <c r="E449" s="224">
        <f t="shared" si="8"/>
        <v>1800</v>
      </c>
    </row>
    <row r="450" spans="1:5">
      <c r="A450" s="223">
        <v>39715</v>
      </c>
      <c r="B450" s="217">
        <v>67575</v>
      </c>
      <c r="C450" s="218">
        <v>2001</v>
      </c>
      <c r="D450" s="221">
        <v>17800</v>
      </c>
      <c r="E450" s="224">
        <f t="shared" si="8"/>
        <v>1780</v>
      </c>
    </row>
    <row r="451" spans="1:5">
      <c r="A451" s="223">
        <v>39716</v>
      </c>
      <c r="B451" s="217">
        <v>66575</v>
      </c>
      <c r="C451" s="218">
        <v>1946</v>
      </c>
      <c r="D451" s="221">
        <v>17750</v>
      </c>
      <c r="E451" s="224">
        <f t="shared" ref="E451:E514" si="9">D451/10</f>
        <v>1775</v>
      </c>
    </row>
    <row r="452" spans="1:5">
      <c r="A452" s="223">
        <v>39717</v>
      </c>
      <c r="B452" s="217">
        <v>65700</v>
      </c>
      <c r="C452" s="218">
        <v>1980</v>
      </c>
      <c r="D452" s="221">
        <v>17750</v>
      </c>
      <c r="E452" s="224">
        <f t="shared" si="9"/>
        <v>1775</v>
      </c>
    </row>
    <row r="453" spans="1:5">
      <c r="A453" s="223">
        <v>39720</v>
      </c>
      <c r="B453" s="217">
        <v>64525</v>
      </c>
      <c r="C453" s="218">
        <v>1835.5</v>
      </c>
      <c r="D453" s="221">
        <v>17750</v>
      </c>
      <c r="E453" s="224">
        <f>D453/10</f>
        <v>1775</v>
      </c>
    </row>
    <row r="454" spans="1:5">
      <c r="A454" s="223">
        <v>39721</v>
      </c>
      <c r="B454" s="217">
        <v>64250</v>
      </c>
      <c r="C454" s="218">
        <v>1801</v>
      </c>
      <c r="D454" s="221">
        <v>17750</v>
      </c>
      <c r="E454" s="224">
        <f>D454/10</f>
        <v>1775</v>
      </c>
    </row>
    <row r="455" spans="1:5">
      <c r="A455" s="223">
        <v>39722</v>
      </c>
      <c r="B455" s="217">
        <v>64100</v>
      </c>
      <c r="C455" s="218">
        <v>1806</v>
      </c>
      <c r="D455" s="221">
        <v>17750</v>
      </c>
      <c r="E455" s="224">
        <f>D455/10</f>
        <v>1775</v>
      </c>
    </row>
    <row r="456" spans="1:5">
      <c r="A456" s="223">
        <v>39723</v>
      </c>
      <c r="B456" s="217">
        <v>64700</v>
      </c>
      <c r="C456" s="218">
        <v>1740</v>
      </c>
      <c r="D456" s="221">
        <v>17750</v>
      </c>
      <c r="E456" s="224">
        <f>D456/10</f>
        <v>1775</v>
      </c>
    </row>
    <row r="457" spans="1:5">
      <c r="A457" s="223">
        <v>39724</v>
      </c>
      <c r="B457" s="217">
        <v>64800</v>
      </c>
      <c r="C457" s="218">
        <v>1681</v>
      </c>
      <c r="D457" s="221">
        <v>17750</v>
      </c>
      <c r="E457" s="224">
        <f>D457/10</f>
        <v>1775</v>
      </c>
    </row>
    <row r="458" spans="1:5">
      <c r="A458" s="223">
        <v>39725</v>
      </c>
      <c r="B458" s="217">
        <v>65050</v>
      </c>
      <c r="C458" s="218">
        <v>1615</v>
      </c>
      <c r="D458" s="221">
        <v>17000</v>
      </c>
      <c r="E458" s="224">
        <f t="shared" si="9"/>
        <v>1700</v>
      </c>
    </row>
    <row r="459" spans="1:5">
      <c r="A459" s="223">
        <v>39728</v>
      </c>
      <c r="B459" s="217">
        <v>65050</v>
      </c>
      <c r="C459" s="218">
        <v>1650.5</v>
      </c>
      <c r="D459" s="221">
        <v>16600</v>
      </c>
      <c r="E459" s="224">
        <f t="shared" si="9"/>
        <v>1660</v>
      </c>
    </row>
    <row r="460" spans="1:5">
      <c r="A460" s="223">
        <v>39729</v>
      </c>
      <c r="B460" s="217">
        <v>64025</v>
      </c>
      <c r="C460" s="218">
        <v>1605</v>
      </c>
      <c r="D460" s="221">
        <v>16600</v>
      </c>
      <c r="E460" s="224">
        <f t="shared" si="9"/>
        <v>1660</v>
      </c>
    </row>
    <row r="461" spans="1:5">
      <c r="A461" s="223">
        <v>39730</v>
      </c>
      <c r="B461" s="217">
        <v>63175</v>
      </c>
      <c r="C461" s="218">
        <v>1605</v>
      </c>
      <c r="D461" s="221">
        <v>16300</v>
      </c>
      <c r="E461" s="224">
        <f t="shared" si="9"/>
        <v>1630</v>
      </c>
    </row>
    <row r="462" spans="1:5">
      <c r="A462" s="223">
        <v>39731</v>
      </c>
      <c r="B462" s="217">
        <v>63000</v>
      </c>
      <c r="C462" s="218">
        <v>1484</v>
      </c>
      <c r="D462" s="221">
        <v>16000</v>
      </c>
      <c r="E462" s="224">
        <f t="shared" si="9"/>
        <v>1600</v>
      </c>
    </row>
    <row r="463" spans="1:5">
      <c r="A463" s="223">
        <v>39734</v>
      </c>
      <c r="B463" s="217">
        <v>62450</v>
      </c>
      <c r="C463" s="218">
        <v>1518</v>
      </c>
      <c r="D463" s="221">
        <v>15400</v>
      </c>
      <c r="E463" s="224">
        <f t="shared" si="9"/>
        <v>1540</v>
      </c>
    </row>
    <row r="464" spans="1:5">
      <c r="A464" s="223">
        <v>39735</v>
      </c>
      <c r="B464" s="217">
        <v>62300</v>
      </c>
      <c r="C464" s="218">
        <v>1615</v>
      </c>
      <c r="D464" s="221">
        <v>15500</v>
      </c>
      <c r="E464" s="224">
        <f t="shared" si="9"/>
        <v>1550</v>
      </c>
    </row>
    <row r="465" spans="1:5">
      <c r="A465" s="223">
        <v>39736</v>
      </c>
      <c r="B465" s="217">
        <v>61725</v>
      </c>
      <c r="C465" s="218">
        <v>1512</v>
      </c>
      <c r="D465" s="221">
        <v>15500</v>
      </c>
      <c r="E465" s="224">
        <f t="shared" si="9"/>
        <v>1550</v>
      </c>
    </row>
    <row r="466" spans="1:5">
      <c r="A466" s="223">
        <v>39737</v>
      </c>
      <c r="B466" s="217">
        <v>61075</v>
      </c>
      <c r="C466" s="218">
        <v>1440</v>
      </c>
      <c r="D466" s="221">
        <v>15100</v>
      </c>
      <c r="E466" s="224">
        <f t="shared" si="9"/>
        <v>1510</v>
      </c>
    </row>
    <row r="467" spans="1:5">
      <c r="A467" s="223">
        <v>39738</v>
      </c>
      <c r="B467" s="217">
        <v>59425</v>
      </c>
      <c r="C467" s="218">
        <v>1326</v>
      </c>
      <c r="D467" s="221">
        <v>14500</v>
      </c>
      <c r="E467" s="224">
        <f t="shared" si="9"/>
        <v>1450</v>
      </c>
    </row>
    <row r="468" spans="1:5">
      <c r="A468" s="223">
        <v>39741</v>
      </c>
      <c r="B468" s="217">
        <v>58475</v>
      </c>
      <c r="C468" s="218">
        <v>1407</v>
      </c>
      <c r="D468" s="221">
        <v>14000</v>
      </c>
      <c r="E468" s="224">
        <f t="shared" si="9"/>
        <v>1400</v>
      </c>
    </row>
    <row r="469" spans="1:5">
      <c r="A469" s="223">
        <v>39742</v>
      </c>
      <c r="B469" s="217">
        <v>57400</v>
      </c>
      <c r="C469" s="218">
        <v>1336</v>
      </c>
      <c r="D469" s="221">
        <v>13300</v>
      </c>
      <c r="E469" s="224">
        <f t="shared" si="9"/>
        <v>1330</v>
      </c>
    </row>
    <row r="470" spans="1:5">
      <c r="A470" s="223">
        <v>39743</v>
      </c>
      <c r="B470" s="217">
        <v>55950</v>
      </c>
      <c r="C470" s="218">
        <v>1240</v>
      </c>
      <c r="D470" s="221">
        <v>12650</v>
      </c>
      <c r="E470" s="224">
        <f t="shared" si="9"/>
        <v>1265</v>
      </c>
    </row>
    <row r="471" spans="1:5">
      <c r="A471" s="223">
        <v>39744</v>
      </c>
      <c r="B471" s="217">
        <v>55200</v>
      </c>
      <c r="C471" s="218">
        <v>1150.5</v>
      </c>
      <c r="D471" s="221">
        <v>10650</v>
      </c>
      <c r="E471" s="224">
        <f t="shared" si="9"/>
        <v>1065</v>
      </c>
    </row>
    <row r="472" spans="1:5">
      <c r="A472" s="223">
        <v>39745</v>
      </c>
      <c r="B472" s="217">
        <v>54450</v>
      </c>
      <c r="C472" s="218">
        <v>1140</v>
      </c>
      <c r="D472" s="221">
        <v>10650</v>
      </c>
      <c r="E472" s="224">
        <f t="shared" si="9"/>
        <v>1065</v>
      </c>
    </row>
    <row r="473" spans="1:5">
      <c r="A473" s="223">
        <v>39748</v>
      </c>
      <c r="B473" s="217">
        <v>53375</v>
      </c>
      <c r="C473" s="218">
        <v>1206</v>
      </c>
      <c r="D473" s="221">
        <v>10600</v>
      </c>
      <c r="E473" s="224">
        <f t="shared" si="9"/>
        <v>1060</v>
      </c>
    </row>
    <row r="474" spans="1:5">
      <c r="A474" s="223">
        <v>39749</v>
      </c>
      <c r="B474" s="217">
        <v>52250</v>
      </c>
      <c r="C474" s="218">
        <v>1445</v>
      </c>
      <c r="D474" s="221">
        <v>11000</v>
      </c>
      <c r="E474" s="224">
        <f t="shared" si="9"/>
        <v>1100</v>
      </c>
    </row>
    <row r="475" spans="1:5">
      <c r="A475" s="223">
        <v>39750</v>
      </c>
      <c r="B475" s="217">
        <v>51275</v>
      </c>
      <c r="C475" s="218">
        <v>1531</v>
      </c>
      <c r="D475" s="221">
        <v>11000</v>
      </c>
      <c r="E475" s="224">
        <f t="shared" si="9"/>
        <v>1100</v>
      </c>
    </row>
    <row r="476" spans="1:5">
      <c r="A476" s="223">
        <v>39751</v>
      </c>
      <c r="B476" s="217">
        <v>50000</v>
      </c>
      <c r="C476" s="218">
        <v>1520.5</v>
      </c>
      <c r="D476" s="221">
        <v>11400</v>
      </c>
      <c r="E476" s="224">
        <f t="shared" si="9"/>
        <v>1140</v>
      </c>
    </row>
    <row r="477" spans="1:5">
      <c r="A477" s="223">
        <v>39752</v>
      </c>
      <c r="B477" s="217">
        <v>48575</v>
      </c>
      <c r="C477" s="218">
        <v>1469</v>
      </c>
      <c r="D477" s="221">
        <v>11000</v>
      </c>
      <c r="E477" s="224">
        <f t="shared" si="9"/>
        <v>1100</v>
      </c>
    </row>
    <row r="478" spans="1:5">
      <c r="A478" s="223">
        <v>39755</v>
      </c>
      <c r="B478" s="217">
        <v>48150</v>
      </c>
      <c r="C478" s="218">
        <v>1455</v>
      </c>
      <c r="D478" s="221">
        <v>11000</v>
      </c>
      <c r="E478" s="224">
        <f t="shared" si="9"/>
        <v>1100</v>
      </c>
    </row>
    <row r="479" spans="1:5">
      <c r="A479" s="223">
        <v>39756</v>
      </c>
      <c r="B479" s="217">
        <v>47800</v>
      </c>
      <c r="C479" s="218">
        <v>1521</v>
      </c>
      <c r="D479" s="221">
        <v>11000</v>
      </c>
      <c r="E479" s="224">
        <f t="shared" si="9"/>
        <v>1100</v>
      </c>
    </row>
    <row r="480" spans="1:5">
      <c r="A480" s="223">
        <v>39757</v>
      </c>
      <c r="B480" s="217">
        <v>46325</v>
      </c>
      <c r="C480" s="218">
        <v>1478</v>
      </c>
      <c r="D480" s="221">
        <v>10700</v>
      </c>
      <c r="E480" s="224">
        <f t="shared" si="9"/>
        <v>1070</v>
      </c>
    </row>
    <row r="481" spans="1:5">
      <c r="A481" s="223">
        <v>39758</v>
      </c>
      <c r="B481" s="217">
        <v>45700</v>
      </c>
      <c r="C481" s="218">
        <v>1470</v>
      </c>
      <c r="D481" s="221">
        <v>10600</v>
      </c>
      <c r="E481" s="224">
        <f t="shared" si="9"/>
        <v>1060</v>
      </c>
    </row>
    <row r="482" spans="1:5">
      <c r="A482" s="223">
        <v>39759</v>
      </c>
      <c r="B482" s="217">
        <v>44625</v>
      </c>
      <c r="C482" s="218">
        <v>1446</v>
      </c>
      <c r="D482" s="221">
        <v>10300</v>
      </c>
      <c r="E482" s="224">
        <f t="shared" si="9"/>
        <v>1030</v>
      </c>
    </row>
    <row r="483" spans="1:5">
      <c r="A483" s="223">
        <v>39762</v>
      </c>
      <c r="B483" s="217">
        <v>44275</v>
      </c>
      <c r="C483" s="218">
        <v>1411</v>
      </c>
      <c r="D483" s="221">
        <v>10100</v>
      </c>
      <c r="E483" s="224">
        <f t="shared" si="9"/>
        <v>1010</v>
      </c>
    </row>
    <row r="484" spans="1:5">
      <c r="A484" s="223">
        <v>39763</v>
      </c>
      <c r="B484" s="217">
        <v>44850</v>
      </c>
      <c r="C484" s="218">
        <v>1285</v>
      </c>
      <c r="D484" s="221">
        <v>10100</v>
      </c>
      <c r="E484" s="224">
        <f t="shared" si="9"/>
        <v>1010</v>
      </c>
    </row>
    <row r="485" spans="1:5">
      <c r="A485" s="223">
        <v>39764</v>
      </c>
      <c r="B485" s="217">
        <v>44800</v>
      </c>
      <c r="C485" s="218">
        <v>1257</v>
      </c>
      <c r="D485" s="221">
        <v>9900</v>
      </c>
      <c r="E485" s="224">
        <f t="shared" si="9"/>
        <v>990</v>
      </c>
    </row>
    <row r="486" spans="1:5">
      <c r="A486" s="223">
        <v>39765</v>
      </c>
      <c r="B486" s="217">
        <v>44725</v>
      </c>
      <c r="C486" s="218">
        <v>1302</v>
      </c>
      <c r="D486" s="221">
        <v>9400</v>
      </c>
      <c r="E486" s="224">
        <f t="shared" si="9"/>
        <v>940</v>
      </c>
    </row>
    <row r="487" spans="1:5">
      <c r="A487" s="223">
        <v>39766</v>
      </c>
      <c r="B487" s="217">
        <v>44225</v>
      </c>
      <c r="C487" s="218">
        <v>1349</v>
      </c>
      <c r="D487" s="221">
        <v>9400</v>
      </c>
      <c r="E487" s="224">
        <f t="shared" si="9"/>
        <v>940</v>
      </c>
    </row>
    <row r="488" spans="1:5">
      <c r="A488" s="223">
        <v>39769</v>
      </c>
      <c r="B488" s="217">
        <v>43950</v>
      </c>
      <c r="C488" s="218">
        <v>1258</v>
      </c>
      <c r="D488" s="221">
        <v>9300</v>
      </c>
      <c r="E488" s="224">
        <f t="shared" si="9"/>
        <v>930</v>
      </c>
    </row>
    <row r="489" spans="1:5">
      <c r="A489" s="223">
        <v>39770</v>
      </c>
      <c r="B489" s="217">
        <v>42475</v>
      </c>
      <c r="C489" s="218">
        <v>1245</v>
      </c>
      <c r="D489" s="221">
        <v>9200</v>
      </c>
      <c r="E489" s="224">
        <f t="shared" si="9"/>
        <v>920</v>
      </c>
    </row>
    <row r="490" spans="1:5">
      <c r="A490" s="223">
        <v>39771</v>
      </c>
      <c r="B490" s="217">
        <v>42075</v>
      </c>
      <c r="C490" s="218">
        <v>1240</v>
      </c>
      <c r="D490" s="221">
        <v>9100</v>
      </c>
      <c r="E490" s="224">
        <f t="shared" si="9"/>
        <v>910</v>
      </c>
    </row>
    <row r="491" spans="1:5">
      <c r="A491" s="223">
        <v>39772</v>
      </c>
      <c r="B491" s="217">
        <v>41475</v>
      </c>
      <c r="C491" s="218">
        <v>1171</v>
      </c>
      <c r="D491" s="221">
        <v>9050</v>
      </c>
      <c r="E491" s="224">
        <f t="shared" si="9"/>
        <v>905</v>
      </c>
    </row>
    <row r="492" spans="1:5">
      <c r="A492" s="223">
        <v>39773</v>
      </c>
      <c r="B492" s="217">
        <v>41450</v>
      </c>
      <c r="C492" s="218">
        <v>1217</v>
      </c>
      <c r="D492" s="221">
        <v>8700</v>
      </c>
      <c r="E492" s="224">
        <f t="shared" si="9"/>
        <v>870</v>
      </c>
    </row>
    <row r="493" spans="1:5">
      <c r="A493" s="223">
        <v>39776</v>
      </c>
      <c r="B493" s="217">
        <v>41300</v>
      </c>
      <c r="C493" s="218">
        <v>1189</v>
      </c>
      <c r="D493" s="221">
        <v>8400</v>
      </c>
      <c r="E493" s="224">
        <f t="shared" si="9"/>
        <v>840</v>
      </c>
    </row>
    <row r="494" spans="1:5">
      <c r="A494" s="223">
        <v>39777</v>
      </c>
      <c r="B494" s="217">
        <v>41075</v>
      </c>
      <c r="C494" s="218">
        <v>1186</v>
      </c>
      <c r="D494" s="221">
        <v>8400</v>
      </c>
      <c r="E494" s="224">
        <f t="shared" si="9"/>
        <v>840</v>
      </c>
    </row>
    <row r="495" spans="1:5">
      <c r="A495" s="223">
        <v>39778</v>
      </c>
      <c r="B495" s="217">
        <v>40950</v>
      </c>
      <c r="C495" s="218">
        <v>1176</v>
      </c>
      <c r="D495" s="221">
        <v>8300</v>
      </c>
      <c r="E495" s="224">
        <f t="shared" si="9"/>
        <v>830</v>
      </c>
    </row>
    <row r="496" spans="1:5">
      <c r="A496" s="223">
        <v>39779</v>
      </c>
      <c r="B496" s="217">
        <v>41200</v>
      </c>
      <c r="C496" s="218">
        <v>1086</v>
      </c>
      <c r="D496" s="221">
        <v>8200</v>
      </c>
      <c r="E496" s="224">
        <f t="shared" si="9"/>
        <v>820</v>
      </c>
    </row>
    <row r="497" spans="1:5">
      <c r="A497" s="223">
        <v>39780</v>
      </c>
      <c r="B497" s="217">
        <v>41600</v>
      </c>
      <c r="C497" s="218">
        <v>1080</v>
      </c>
      <c r="D497" s="221">
        <v>8200</v>
      </c>
      <c r="E497" s="224">
        <f t="shared" si="9"/>
        <v>820</v>
      </c>
    </row>
    <row r="498" spans="1:5">
      <c r="A498" s="223">
        <v>39783</v>
      </c>
      <c r="B498" s="217">
        <v>41600</v>
      </c>
      <c r="C498" s="218">
        <v>1083</v>
      </c>
      <c r="D498" s="221">
        <v>8200</v>
      </c>
      <c r="E498" s="224">
        <f t="shared" si="9"/>
        <v>820</v>
      </c>
    </row>
    <row r="499" spans="1:5">
      <c r="A499" s="223">
        <v>39784</v>
      </c>
      <c r="B499" s="217">
        <v>41850</v>
      </c>
      <c r="C499" s="218">
        <v>1060</v>
      </c>
      <c r="D499" s="221">
        <v>8400</v>
      </c>
      <c r="E499" s="224">
        <f t="shared" si="9"/>
        <v>840</v>
      </c>
    </row>
    <row r="500" spans="1:5">
      <c r="A500" s="223">
        <v>39785</v>
      </c>
      <c r="B500" s="217">
        <v>42975</v>
      </c>
      <c r="C500" s="218">
        <v>1003</v>
      </c>
      <c r="D500" s="221">
        <v>8700</v>
      </c>
      <c r="E500" s="224">
        <f t="shared" si="9"/>
        <v>870</v>
      </c>
    </row>
    <row r="501" spans="1:5">
      <c r="A501" s="223">
        <v>39786</v>
      </c>
      <c r="B501" s="217">
        <v>42800</v>
      </c>
      <c r="C501" s="218">
        <v>1000</v>
      </c>
      <c r="D501" s="221">
        <v>8700</v>
      </c>
      <c r="E501" s="224">
        <f t="shared" si="9"/>
        <v>870</v>
      </c>
    </row>
    <row r="502" spans="1:5">
      <c r="A502" s="223">
        <v>39787</v>
      </c>
      <c r="B502" s="217">
        <v>43125</v>
      </c>
      <c r="C502" s="218">
        <v>915</v>
      </c>
      <c r="D502" s="221">
        <v>8600</v>
      </c>
      <c r="E502" s="224">
        <f t="shared" si="9"/>
        <v>860</v>
      </c>
    </row>
    <row r="503" spans="1:5">
      <c r="A503" s="223">
        <v>39790</v>
      </c>
      <c r="B503" s="217">
        <v>43475</v>
      </c>
      <c r="C503" s="218">
        <v>936</v>
      </c>
      <c r="D503" s="221">
        <v>8900</v>
      </c>
      <c r="E503" s="224">
        <f t="shared" si="9"/>
        <v>890</v>
      </c>
    </row>
    <row r="504" spans="1:5">
      <c r="A504" s="223">
        <v>39791</v>
      </c>
      <c r="B504" s="217">
        <v>43350</v>
      </c>
      <c r="C504" s="218">
        <v>968</v>
      </c>
      <c r="D504" s="221">
        <v>9400</v>
      </c>
      <c r="E504" s="224">
        <f t="shared" si="9"/>
        <v>940</v>
      </c>
    </row>
    <row r="505" spans="1:5">
      <c r="A505" s="223">
        <v>39792</v>
      </c>
      <c r="B505" s="217">
        <v>43825</v>
      </c>
      <c r="C505" s="218">
        <v>970.5</v>
      </c>
      <c r="D505" s="221">
        <v>9800</v>
      </c>
      <c r="E505" s="224">
        <f t="shared" si="9"/>
        <v>980</v>
      </c>
    </row>
    <row r="506" spans="1:5">
      <c r="A506" s="223">
        <v>39793</v>
      </c>
      <c r="B506" s="217">
        <v>44050</v>
      </c>
      <c r="C506" s="218">
        <v>1031</v>
      </c>
      <c r="D506" s="221">
        <v>10900</v>
      </c>
      <c r="E506" s="224">
        <f t="shared" si="9"/>
        <v>1090</v>
      </c>
    </row>
    <row r="507" spans="1:5">
      <c r="A507" s="223">
        <v>39794</v>
      </c>
      <c r="B507" s="217">
        <v>43850</v>
      </c>
      <c r="C507" s="218">
        <v>982</v>
      </c>
      <c r="D507" s="221">
        <v>10900</v>
      </c>
      <c r="E507" s="224">
        <f t="shared" si="9"/>
        <v>1090</v>
      </c>
    </row>
    <row r="508" spans="1:5">
      <c r="A508" s="223">
        <v>39797</v>
      </c>
      <c r="B508" s="217">
        <v>43975</v>
      </c>
      <c r="C508" s="218">
        <v>1016</v>
      </c>
      <c r="D508" s="221">
        <v>10900</v>
      </c>
      <c r="E508" s="224">
        <f t="shared" si="9"/>
        <v>1090</v>
      </c>
    </row>
    <row r="509" spans="1:5">
      <c r="A509" s="223">
        <v>39798</v>
      </c>
      <c r="B509" s="217">
        <v>44100</v>
      </c>
      <c r="C509" s="218">
        <v>980</v>
      </c>
      <c r="D509" s="221">
        <v>10600</v>
      </c>
      <c r="E509" s="224">
        <f t="shared" si="9"/>
        <v>1060</v>
      </c>
    </row>
    <row r="510" spans="1:5">
      <c r="A510" s="223">
        <v>39799</v>
      </c>
      <c r="B510" s="217">
        <v>43975</v>
      </c>
      <c r="C510" s="218">
        <v>967</v>
      </c>
      <c r="D510" s="221">
        <v>10100</v>
      </c>
      <c r="E510" s="224">
        <f t="shared" si="9"/>
        <v>1010</v>
      </c>
    </row>
    <row r="511" spans="1:5">
      <c r="A511" s="223">
        <v>39800</v>
      </c>
      <c r="B511" s="217">
        <v>43850</v>
      </c>
      <c r="C511" s="218">
        <v>945.5</v>
      </c>
      <c r="D511" s="221">
        <v>9600</v>
      </c>
      <c r="E511" s="224">
        <f t="shared" si="9"/>
        <v>960</v>
      </c>
    </row>
    <row r="512" spans="1:5">
      <c r="A512" s="223">
        <v>39801</v>
      </c>
      <c r="B512" s="217">
        <v>44025</v>
      </c>
      <c r="C512" s="218">
        <v>882</v>
      </c>
      <c r="D512" s="221">
        <v>9400</v>
      </c>
      <c r="E512" s="224">
        <f t="shared" si="9"/>
        <v>940</v>
      </c>
    </row>
    <row r="513" spans="1:5">
      <c r="A513" s="223">
        <v>39804</v>
      </c>
      <c r="B513" s="217">
        <v>44150</v>
      </c>
      <c r="C513" s="218">
        <v>880</v>
      </c>
      <c r="D513" s="221">
        <v>9400</v>
      </c>
      <c r="E513" s="224">
        <f t="shared" si="9"/>
        <v>940</v>
      </c>
    </row>
    <row r="514" spans="1:5">
      <c r="A514" s="223">
        <v>39805</v>
      </c>
      <c r="B514" s="217">
        <v>44525</v>
      </c>
      <c r="C514" s="218">
        <v>907</v>
      </c>
      <c r="D514" s="221">
        <v>10100</v>
      </c>
      <c r="E514" s="224">
        <f t="shared" si="9"/>
        <v>1010</v>
      </c>
    </row>
    <row r="515" spans="1:5">
      <c r="A515" s="223">
        <v>39806</v>
      </c>
      <c r="B515" s="217">
        <v>44575</v>
      </c>
      <c r="C515" s="218">
        <v>900</v>
      </c>
      <c r="D515" s="221">
        <v>10400</v>
      </c>
      <c r="E515" s="224">
        <f t="shared" ref="E515:E578" si="10">D515/10</f>
        <v>1040</v>
      </c>
    </row>
    <row r="516" spans="1:5">
      <c r="A516" s="223">
        <v>39807</v>
      </c>
      <c r="B516" s="217">
        <v>44575</v>
      </c>
      <c r="C516" s="218">
        <v>900</v>
      </c>
      <c r="D516" s="221">
        <v>10500</v>
      </c>
      <c r="E516" s="224">
        <f t="shared" si="10"/>
        <v>1050</v>
      </c>
    </row>
    <row r="517" spans="1:5">
      <c r="A517" s="223">
        <v>39808</v>
      </c>
      <c r="B517" s="217">
        <v>44575</v>
      </c>
      <c r="C517" s="218">
        <v>900</v>
      </c>
      <c r="D517" s="221">
        <v>10300</v>
      </c>
      <c r="E517" s="224">
        <f t="shared" si="10"/>
        <v>1030</v>
      </c>
    </row>
    <row r="518" spans="1:5">
      <c r="A518" s="223">
        <v>39811</v>
      </c>
      <c r="B518" s="217">
        <v>44975</v>
      </c>
      <c r="C518" s="218">
        <v>900.5</v>
      </c>
      <c r="D518" s="221">
        <v>10100</v>
      </c>
      <c r="E518" s="224">
        <f t="shared" si="10"/>
        <v>1010</v>
      </c>
    </row>
    <row r="519" spans="1:5">
      <c r="A519" s="223">
        <v>39812</v>
      </c>
      <c r="B519" s="217">
        <v>45350</v>
      </c>
      <c r="C519" s="218">
        <v>945</v>
      </c>
      <c r="D519" s="221">
        <v>10100</v>
      </c>
      <c r="E519" s="224">
        <f t="shared" si="10"/>
        <v>1010</v>
      </c>
    </row>
    <row r="520" spans="1:5">
      <c r="A520" s="223">
        <v>39813</v>
      </c>
      <c r="B520" s="217">
        <v>45150</v>
      </c>
      <c r="C520" s="218">
        <v>949</v>
      </c>
      <c r="D520" s="221">
        <v>10400</v>
      </c>
      <c r="E520" s="224">
        <f t="shared" si="10"/>
        <v>1040</v>
      </c>
    </row>
    <row r="521" spans="1:5">
      <c r="A521" s="223">
        <v>39815</v>
      </c>
      <c r="B521" s="217">
        <v>45150</v>
      </c>
      <c r="C521" s="218">
        <v>1040.5</v>
      </c>
      <c r="D521" s="221">
        <v>10400</v>
      </c>
      <c r="E521" s="224">
        <f>D521/10</f>
        <v>1040</v>
      </c>
    </row>
    <row r="522" spans="1:5">
      <c r="A522" s="223">
        <v>39818</v>
      </c>
      <c r="B522" s="217">
        <v>45150</v>
      </c>
      <c r="C522" s="218">
        <v>1079.5</v>
      </c>
      <c r="D522" s="221">
        <v>11400</v>
      </c>
      <c r="E522" s="224">
        <f t="shared" si="10"/>
        <v>1140</v>
      </c>
    </row>
    <row r="523" spans="1:5">
      <c r="A523" s="223">
        <v>39819</v>
      </c>
      <c r="B523" s="217">
        <v>44775</v>
      </c>
      <c r="C523" s="218">
        <v>1165</v>
      </c>
      <c r="D523" s="221">
        <v>12000</v>
      </c>
      <c r="E523" s="224">
        <f t="shared" si="10"/>
        <v>1200</v>
      </c>
    </row>
    <row r="524" spans="1:5">
      <c r="A524" s="223">
        <v>39820</v>
      </c>
      <c r="B524" s="217">
        <v>44450</v>
      </c>
      <c r="C524" s="218">
        <v>1177</v>
      </c>
      <c r="D524" s="221">
        <v>12400</v>
      </c>
      <c r="E524" s="224">
        <f t="shared" si="10"/>
        <v>1240</v>
      </c>
    </row>
    <row r="525" spans="1:5">
      <c r="A525" s="223">
        <v>39821</v>
      </c>
      <c r="B525" s="217">
        <v>44600</v>
      </c>
      <c r="C525" s="218">
        <v>1145.5</v>
      </c>
      <c r="D525" s="221">
        <v>12100</v>
      </c>
      <c r="E525" s="224">
        <f t="shared" si="10"/>
        <v>1210</v>
      </c>
    </row>
    <row r="526" spans="1:5">
      <c r="A526" s="223">
        <v>39822</v>
      </c>
      <c r="B526" s="217">
        <v>45025</v>
      </c>
      <c r="C526" s="218">
        <v>1185</v>
      </c>
      <c r="D526" s="221">
        <v>12000</v>
      </c>
      <c r="E526" s="224">
        <f t="shared" si="10"/>
        <v>1200</v>
      </c>
    </row>
    <row r="527" spans="1:5">
      <c r="A527" s="223">
        <v>39825</v>
      </c>
      <c r="B527" s="217">
        <v>45275</v>
      </c>
      <c r="C527" s="218">
        <v>1150</v>
      </c>
      <c r="D527" s="221">
        <v>12000</v>
      </c>
      <c r="E527" s="224">
        <f t="shared" si="10"/>
        <v>1200</v>
      </c>
    </row>
    <row r="528" spans="1:5">
      <c r="A528" s="223">
        <v>39826</v>
      </c>
      <c r="B528" s="217">
        <v>45850</v>
      </c>
      <c r="C528" s="218">
        <v>1080</v>
      </c>
      <c r="D528" s="221">
        <v>12100</v>
      </c>
      <c r="E528" s="224">
        <f t="shared" si="10"/>
        <v>1210</v>
      </c>
    </row>
    <row r="529" spans="1:5">
      <c r="A529" s="223">
        <v>39827</v>
      </c>
      <c r="B529" s="217">
        <v>46150</v>
      </c>
      <c r="C529" s="218">
        <v>1136</v>
      </c>
      <c r="D529" s="221">
        <v>12400</v>
      </c>
      <c r="E529" s="224">
        <f t="shared" si="10"/>
        <v>1240</v>
      </c>
    </row>
    <row r="530" spans="1:5">
      <c r="A530" s="223">
        <v>39828</v>
      </c>
      <c r="B530" s="217">
        <v>45950</v>
      </c>
      <c r="C530" s="218">
        <v>1130</v>
      </c>
      <c r="D530" s="221">
        <v>12500</v>
      </c>
      <c r="E530" s="224">
        <f t="shared" si="10"/>
        <v>1250</v>
      </c>
    </row>
    <row r="531" spans="1:5">
      <c r="A531" s="223">
        <v>39829</v>
      </c>
      <c r="B531" s="217">
        <v>45800</v>
      </c>
      <c r="C531" s="218">
        <v>1162</v>
      </c>
      <c r="D531" s="221">
        <v>12500</v>
      </c>
      <c r="E531" s="224">
        <f t="shared" si="10"/>
        <v>1250</v>
      </c>
    </row>
    <row r="532" spans="1:5">
      <c r="A532" s="223">
        <v>39832</v>
      </c>
      <c r="B532" s="217">
        <v>45525</v>
      </c>
      <c r="C532" s="218">
        <v>1131</v>
      </c>
      <c r="D532" s="221">
        <v>12700</v>
      </c>
      <c r="E532" s="224">
        <f t="shared" si="10"/>
        <v>1270</v>
      </c>
    </row>
    <row r="533" spans="1:5">
      <c r="A533" s="223">
        <v>39833</v>
      </c>
      <c r="B533" s="217">
        <v>49700</v>
      </c>
      <c r="C533" s="218">
        <v>1145</v>
      </c>
      <c r="D533" s="221">
        <v>12700</v>
      </c>
      <c r="E533" s="224">
        <f t="shared" si="10"/>
        <v>1270</v>
      </c>
    </row>
    <row r="534" spans="1:5">
      <c r="A534" s="223">
        <v>39834</v>
      </c>
      <c r="B534" s="217">
        <v>49625</v>
      </c>
      <c r="C534" s="218">
        <v>1120.5</v>
      </c>
      <c r="D534" s="221">
        <v>12800</v>
      </c>
      <c r="E534" s="224">
        <f t="shared" si="10"/>
        <v>1280</v>
      </c>
    </row>
    <row r="535" spans="1:5">
      <c r="A535" s="223">
        <v>39835</v>
      </c>
      <c r="B535" s="217">
        <v>49950</v>
      </c>
      <c r="C535" s="218">
        <v>1105.5</v>
      </c>
      <c r="D535" s="221">
        <v>12800</v>
      </c>
      <c r="E535" s="224">
        <f t="shared" si="10"/>
        <v>1280</v>
      </c>
    </row>
    <row r="536" spans="1:5">
      <c r="A536" s="223">
        <v>39836</v>
      </c>
      <c r="B536" s="217">
        <v>50475</v>
      </c>
      <c r="C536" s="218">
        <v>1075</v>
      </c>
      <c r="D536" s="221">
        <v>12800</v>
      </c>
      <c r="E536" s="224">
        <f t="shared" si="10"/>
        <v>1280</v>
      </c>
    </row>
    <row r="537" spans="1:5">
      <c r="A537" s="223">
        <v>39839</v>
      </c>
      <c r="B537" s="217">
        <v>50425</v>
      </c>
      <c r="C537" s="218">
        <v>1153</v>
      </c>
      <c r="D537" s="221">
        <v>12800</v>
      </c>
      <c r="E537" s="224">
        <f>D537/10</f>
        <v>1280</v>
      </c>
    </row>
    <row r="538" spans="1:5">
      <c r="A538" s="223">
        <v>39840</v>
      </c>
      <c r="B538" s="217">
        <v>52125</v>
      </c>
      <c r="C538" s="218">
        <v>1150</v>
      </c>
      <c r="D538" s="221">
        <v>12800</v>
      </c>
      <c r="E538" s="224">
        <f>D538/10</f>
        <v>1280</v>
      </c>
    </row>
    <row r="539" spans="1:5">
      <c r="A539" s="223">
        <v>39841</v>
      </c>
      <c r="B539" s="217">
        <v>52175</v>
      </c>
      <c r="C539" s="218">
        <v>1160</v>
      </c>
      <c r="D539" s="221">
        <v>12800</v>
      </c>
      <c r="E539" s="224">
        <f>D539/10</f>
        <v>1280</v>
      </c>
    </row>
    <row r="540" spans="1:5">
      <c r="A540" s="223">
        <v>39842</v>
      </c>
      <c r="B540" s="217">
        <v>52525</v>
      </c>
      <c r="C540" s="218">
        <v>1145</v>
      </c>
      <c r="D540" s="221">
        <v>12800</v>
      </c>
      <c r="E540" s="224">
        <f>D540/10</f>
        <v>1280</v>
      </c>
    </row>
    <row r="541" spans="1:5">
      <c r="A541" s="223">
        <v>39843</v>
      </c>
      <c r="B541" s="217">
        <v>52750</v>
      </c>
      <c r="C541" s="218">
        <v>1152</v>
      </c>
      <c r="D541" s="221">
        <v>12800</v>
      </c>
      <c r="E541" s="224">
        <f>D541/10</f>
        <v>1280</v>
      </c>
    </row>
    <row r="542" spans="1:5">
      <c r="A542" s="223">
        <v>39846</v>
      </c>
      <c r="B542" s="217">
        <v>53700</v>
      </c>
      <c r="C542" s="218">
        <v>1115.5</v>
      </c>
      <c r="D542" s="221">
        <v>12900</v>
      </c>
      <c r="E542" s="224">
        <f t="shared" si="10"/>
        <v>1290</v>
      </c>
    </row>
    <row r="543" spans="1:5">
      <c r="A543" s="223">
        <v>39847</v>
      </c>
      <c r="B543" s="217">
        <v>54050</v>
      </c>
      <c r="C543" s="218">
        <v>1114</v>
      </c>
      <c r="D543" s="221">
        <v>12800</v>
      </c>
      <c r="E543" s="224">
        <f t="shared" si="10"/>
        <v>1280</v>
      </c>
    </row>
    <row r="544" spans="1:5">
      <c r="A544" s="223">
        <v>39848</v>
      </c>
      <c r="B544" s="217">
        <v>54100</v>
      </c>
      <c r="C544" s="218">
        <v>1195</v>
      </c>
      <c r="D544" s="221">
        <v>12900</v>
      </c>
      <c r="E544" s="224">
        <f t="shared" si="10"/>
        <v>1290</v>
      </c>
    </row>
    <row r="545" spans="1:5">
      <c r="A545" s="223">
        <v>39849</v>
      </c>
      <c r="B545" s="217">
        <v>55000</v>
      </c>
      <c r="C545" s="218">
        <v>1165</v>
      </c>
      <c r="D545" s="221">
        <v>12800</v>
      </c>
      <c r="E545" s="224">
        <f t="shared" si="10"/>
        <v>1280</v>
      </c>
    </row>
    <row r="546" spans="1:5">
      <c r="A546" s="223">
        <v>39850</v>
      </c>
      <c r="B546" s="217">
        <v>55225</v>
      </c>
      <c r="C546" s="218">
        <v>1165</v>
      </c>
      <c r="D546" s="221">
        <v>12800</v>
      </c>
      <c r="E546" s="224">
        <f t="shared" si="10"/>
        <v>1280</v>
      </c>
    </row>
    <row r="547" spans="1:5">
      <c r="A547" s="223">
        <v>39853</v>
      </c>
      <c r="B547" s="217">
        <v>55000</v>
      </c>
      <c r="C547" s="218">
        <v>1180</v>
      </c>
      <c r="D547" s="221">
        <v>12800</v>
      </c>
      <c r="E547" s="224">
        <f t="shared" si="10"/>
        <v>1280</v>
      </c>
    </row>
    <row r="548" spans="1:5">
      <c r="A548" s="223">
        <v>39854</v>
      </c>
      <c r="B548" s="217">
        <v>54900</v>
      </c>
      <c r="C548" s="218">
        <v>1152</v>
      </c>
      <c r="D548" s="221">
        <v>12800</v>
      </c>
      <c r="E548" s="224">
        <f t="shared" si="10"/>
        <v>1280</v>
      </c>
    </row>
    <row r="549" spans="1:5">
      <c r="A549" s="223">
        <v>39855</v>
      </c>
      <c r="B549" s="217">
        <v>54850</v>
      </c>
      <c r="C549" s="218">
        <v>1145</v>
      </c>
      <c r="D549" s="221">
        <v>12700</v>
      </c>
      <c r="E549" s="224">
        <f t="shared" si="10"/>
        <v>1270</v>
      </c>
    </row>
    <row r="550" spans="1:5">
      <c r="A550" s="223">
        <v>39856</v>
      </c>
      <c r="B550" s="217">
        <v>55575</v>
      </c>
      <c r="C550" s="218">
        <v>1135</v>
      </c>
      <c r="D550" s="221">
        <v>12500</v>
      </c>
      <c r="E550" s="224">
        <f t="shared" si="10"/>
        <v>1250</v>
      </c>
    </row>
    <row r="551" spans="1:5">
      <c r="A551" s="223">
        <v>39857</v>
      </c>
      <c r="B551" s="217">
        <v>56175</v>
      </c>
      <c r="C551" s="218">
        <v>1145</v>
      </c>
      <c r="D551" s="221">
        <v>12200</v>
      </c>
      <c r="E551" s="224">
        <f t="shared" si="10"/>
        <v>1220</v>
      </c>
    </row>
    <row r="552" spans="1:5">
      <c r="A552" s="223">
        <v>39860</v>
      </c>
      <c r="B552" s="217">
        <v>56125</v>
      </c>
      <c r="C552" s="218">
        <v>1135.5</v>
      </c>
      <c r="D552" s="221">
        <v>12000</v>
      </c>
      <c r="E552" s="224">
        <f t="shared" si="10"/>
        <v>1200</v>
      </c>
    </row>
    <row r="553" spans="1:5">
      <c r="A553" s="223">
        <v>39861</v>
      </c>
      <c r="B553" s="217">
        <v>55925</v>
      </c>
      <c r="C553" s="218">
        <v>1102.5</v>
      </c>
      <c r="D553" s="221">
        <v>11550</v>
      </c>
      <c r="E553" s="224">
        <f t="shared" si="10"/>
        <v>1155</v>
      </c>
    </row>
    <row r="554" spans="1:5">
      <c r="A554" s="223">
        <v>39862</v>
      </c>
      <c r="B554" s="217">
        <v>55800</v>
      </c>
      <c r="C554" s="218">
        <v>1060</v>
      </c>
      <c r="D554" s="221">
        <v>11300</v>
      </c>
      <c r="E554" s="224">
        <f t="shared" si="10"/>
        <v>1130</v>
      </c>
    </row>
    <row r="555" spans="1:5">
      <c r="A555" s="223">
        <v>39863</v>
      </c>
      <c r="B555" s="217">
        <v>55650</v>
      </c>
      <c r="C555" s="218">
        <v>1085</v>
      </c>
      <c r="D555" s="221">
        <v>10600</v>
      </c>
      <c r="E555" s="224">
        <f t="shared" si="10"/>
        <v>1060</v>
      </c>
    </row>
    <row r="556" spans="1:5">
      <c r="A556" s="223">
        <v>39864</v>
      </c>
      <c r="B556" s="217">
        <v>56425</v>
      </c>
      <c r="C556" s="218">
        <v>1015.5</v>
      </c>
      <c r="D556" s="221">
        <v>10600</v>
      </c>
      <c r="E556" s="224">
        <f t="shared" si="10"/>
        <v>1060</v>
      </c>
    </row>
    <row r="557" spans="1:5">
      <c r="A557" s="223">
        <v>39867</v>
      </c>
      <c r="B557" s="217">
        <v>56750</v>
      </c>
      <c r="C557" s="218">
        <v>1026</v>
      </c>
      <c r="D557" s="221">
        <v>11000</v>
      </c>
      <c r="E557" s="224">
        <f t="shared" si="10"/>
        <v>1100</v>
      </c>
    </row>
    <row r="558" spans="1:5">
      <c r="A558" s="223">
        <v>39868</v>
      </c>
      <c r="B558" s="217">
        <v>57950</v>
      </c>
      <c r="C558" s="218">
        <v>991.5</v>
      </c>
      <c r="D558" s="221">
        <v>11250</v>
      </c>
      <c r="E558" s="224">
        <f t="shared" si="10"/>
        <v>1125</v>
      </c>
    </row>
    <row r="559" spans="1:5">
      <c r="A559" s="223">
        <v>39869</v>
      </c>
      <c r="B559" s="217">
        <v>58575</v>
      </c>
      <c r="C559" s="218">
        <v>1008</v>
      </c>
      <c r="D559" s="221">
        <v>11250</v>
      </c>
      <c r="E559" s="224">
        <f t="shared" si="10"/>
        <v>1125</v>
      </c>
    </row>
    <row r="560" spans="1:5">
      <c r="A560" s="223">
        <v>39870</v>
      </c>
      <c r="B560" s="217">
        <v>59400</v>
      </c>
      <c r="C560" s="218">
        <v>1050</v>
      </c>
      <c r="D560" s="221">
        <v>11300</v>
      </c>
      <c r="E560" s="224">
        <f t="shared" si="10"/>
        <v>1130</v>
      </c>
    </row>
    <row r="561" spans="1:5">
      <c r="A561" s="223">
        <v>39871</v>
      </c>
      <c r="B561" s="217">
        <v>60500</v>
      </c>
      <c r="C561" s="218">
        <v>1025</v>
      </c>
      <c r="D561" s="221">
        <v>11300</v>
      </c>
      <c r="E561" s="224">
        <f t="shared" si="10"/>
        <v>1130</v>
      </c>
    </row>
    <row r="562" spans="1:5">
      <c r="A562" s="223">
        <v>39874</v>
      </c>
      <c r="B562" s="217">
        <v>60475</v>
      </c>
      <c r="C562" s="218">
        <v>1024</v>
      </c>
      <c r="D562" s="221">
        <v>11300</v>
      </c>
      <c r="E562" s="224">
        <f t="shared" si="10"/>
        <v>1130</v>
      </c>
    </row>
    <row r="563" spans="1:5">
      <c r="A563" s="223">
        <v>39875</v>
      </c>
      <c r="B563" s="217">
        <v>60750</v>
      </c>
      <c r="C563" s="218">
        <v>1042</v>
      </c>
      <c r="D563" s="221">
        <v>11300</v>
      </c>
      <c r="E563" s="224">
        <f t="shared" si="10"/>
        <v>1130</v>
      </c>
    </row>
    <row r="564" spans="1:5">
      <c r="A564" s="223">
        <v>39876</v>
      </c>
      <c r="B564" s="217">
        <v>59725</v>
      </c>
      <c r="C564" s="218">
        <v>1104</v>
      </c>
      <c r="D564" s="221">
        <v>11300</v>
      </c>
      <c r="E564" s="224">
        <f t="shared" si="10"/>
        <v>1130</v>
      </c>
    </row>
    <row r="565" spans="1:5">
      <c r="A565" s="223">
        <v>39877</v>
      </c>
      <c r="B565" s="217">
        <v>59525</v>
      </c>
      <c r="C565" s="218">
        <v>1160.5</v>
      </c>
      <c r="D565" s="221">
        <v>11400</v>
      </c>
      <c r="E565" s="224">
        <f t="shared" si="10"/>
        <v>1140</v>
      </c>
    </row>
    <row r="566" spans="1:5">
      <c r="A566" s="223">
        <v>39878</v>
      </c>
      <c r="B566" s="217">
        <v>60050</v>
      </c>
      <c r="C566" s="218">
        <v>1190</v>
      </c>
      <c r="D566" s="221">
        <v>11600</v>
      </c>
      <c r="E566" s="224">
        <f t="shared" si="10"/>
        <v>1160</v>
      </c>
    </row>
    <row r="567" spans="1:5">
      <c r="A567" s="223">
        <v>39881</v>
      </c>
      <c r="B567" s="217">
        <v>60225</v>
      </c>
      <c r="C567" s="218">
        <v>1216</v>
      </c>
      <c r="D567" s="221">
        <v>11800</v>
      </c>
      <c r="E567" s="224">
        <f t="shared" si="10"/>
        <v>1180</v>
      </c>
    </row>
    <row r="568" spans="1:5">
      <c r="A568" s="223">
        <v>39882</v>
      </c>
      <c r="B568" s="217">
        <v>59975</v>
      </c>
      <c r="C568" s="218">
        <v>1250</v>
      </c>
      <c r="D568" s="221">
        <v>11900</v>
      </c>
      <c r="E568" s="224">
        <f t="shared" si="10"/>
        <v>1190</v>
      </c>
    </row>
    <row r="569" spans="1:5">
      <c r="A569" s="223">
        <v>39883</v>
      </c>
      <c r="B569" s="217">
        <v>59500</v>
      </c>
      <c r="C569" s="218">
        <v>1280</v>
      </c>
      <c r="D569" s="221">
        <v>12200</v>
      </c>
      <c r="E569" s="224">
        <f t="shared" si="10"/>
        <v>1220</v>
      </c>
    </row>
    <row r="570" spans="1:5">
      <c r="A570" s="223">
        <v>39884</v>
      </c>
      <c r="B570" s="217">
        <v>59000</v>
      </c>
      <c r="C570" s="218">
        <v>1230.5</v>
      </c>
      <c r="D570" s="221">
        <v>12200</v>
      </c>
      <c r="E570" s="224">
        <f t="shared" si="10"/>
        <v>1220</v>
      </c>
    </row>
    <row r="571" spans="1:5">
      <c r="A571" s="223">
        <v>39885</v>
      </c>
      <c r="B571" s="217">
        <v>58925</v>
      </c>
      <c r="C571" s="218">
        <v>1266.5</v>
      </c>
      <c r="D571" s="221">
        <v>12200</v>
      </c>
      <c r="E571" s="224">
        <f t="shared" si="10"/>
        <v>1220</v>
      </c>
    </row>
    <row r="572" spans="1:5">
      <c r="A572" s="223">
        <v>39888</v>
      </c>
      <c r="B572" s="217">
        <v>59150</v>
      </c>
      <c r="C572" s="218">
        <v>1285</v>
      </c>
      <c r="D572" s="221">
        <v>12200</v>
      </c>
      <c r="E572" s="224">
        <f t="shared" si="10"/>
        <v>1220</v>
      </c>
    </row>
    <row r="573" spans="1:5">
      <c r="A573" s="223">
        <v>39889</v>
      </c>
      <c r="B573" s="217">
        <v>59025</v>
      </c>
      <c r="C573" s="218">
        <v>1333.5</v>
      </c>
      <c r="D573" s="221">
        <v>12300</v>
      </c>
      <c r="E573" s="224">
        <f t="shared" si="10"/>
        <v>1230</v>
      </c>
    </row>
    <row r="574" spans="1:5">
      <c r="A574" s="223">
        <v>39890</v>
      </c>
      <c r="B574" s="217">
        <v>60350</v>
      </c>
      <c r="C574" s="218">
        <v>1320.5</v>
      </c>
      <c r="D574" s="221">
        <v>12600</v>
      </c>
      <c r="E574" s="224">
        <f t="shared" si="10"/>
        <v>1260</v>
      </c>
    </row>
    <row r="575" spans="1:5">
      <c r="A575" s="223">
        <v>39891</v>
      </c>
      <c r="B575" s="217">
        <v>60100</v>
      </c>
      <c r="C575" s="218">
        <v>1335</v>
      </c>
      <c r="D575" s="221">
        <v>12700</v>
      </c>
      <c r="E575" s="224">
        <f t="shared" si="10"/>
        <v>1270</v>
      </c>
    </row>
    <row r="576" spans="1:5">
      <c r="A576" s="223">
        <v>39892</v>
      </c>
      <c r="B576" s="217">
        <v>60075</v>
      </c>
      <c r="C576" s="218">
        <v>1302</v>
      </c>
      <c r="D576" s="221">
        <v>12800</v>
      </c>
      <c r="E576" s="224">
        <f t="shared" si="10"/>
        <v>1280</v>
      </c>
    </row>
    <row r="577" spans="1:5">
      <c r="A577" s="223">
        <v>39895</v>
      </c>
      <c r="B577" s="217">
        <v>58850</v>
      </c>
      <c r="C577" s="218">
        <v>1341</v>
      </c>
      <c r="D577" s="221">
        <v>13000</v>
      </c>
      <c r="E577" s="224">
        <f t="shared" si="10"/>
        <v>1300</v>
      </c>
    </row>
    <row r="578" spans="1:5">
      <c r="A578" s="223">
        <v>39896</v>
      </c>
      <c r="B578" s="217">
        <v>58950</v>
      </c>
      <c r="C578" s="218">
        <v>1251</v>
      </c>
      <c r="D578" s="221">
        <v>13100</v>
      </c>
      <c r="E578" s="224">
        <f t="shared" si="10"/>
        <v>1310</v>
      </c>
    </row>
    <row r="579" spans="1:5">
      <c r="A579" s="223">
        <v>39897</v>
      </c>
      <c r="B579" s="217">
        <v>60000</v>
      </c>
      <c r="C579" s="218">
        <v>1252</v>
      </c>
      <c r="D579" s="221">
        <v>12900</v>
      </c>
      <c r="E579" s="224">
        <f t="shared" ref="E579:E642" si="11">D579/10</f>
        <v>1290</v>
      </c>
    </row>
    <row r="580" spans="1:5">
      <c r="A580" s="223">
        <v>39898</v>
      </c>
      <c r="B580" s="217">
        <v>60650</v>
      </c>
      <c r="C580" s="218">
        <v>1310.5</v>
      </c>
      <c r="D580" s="221">
        <v>12900</v>
      </c>
      <c r="E580" s="224">
        <f t="shared" si="11"/>
        <v>1290</v>
      </c>
    </row>
    <row r="581" spans="1:5">
      <c r="A581" s="223">
        <v>39899</v>
      </c>
      <c r="B581" s="217">
        <v>60650</v>
      </c>
      <c r="C581" s="218">
        <v>1255</v>
      </c>
      <c r="D581" s="221">
        <v>13000</v>
      </c>
      <c r="E581" s="224">
        <f t="shared" si="11"/>
        <v>1300</v>
      </c>
    </row>
    <row r="582" spans="1:5">
      <c r="A582" s="223">
        <v>39902</v>
      </c>
      <c r="B582" s="217">
        <v>61650</v>
      </c>
      <c r="C582" s="218">
        <v>1235</v>
      </c>
      <c r="D582" s="221">
        <v>12850</v>
      </c>
      <c r="E582" s="224">
        <f t="shared" si="11"/>
        <v>1285</v>
      </c>
    </row>
    <row r="583" spans="1:5">
      <c r="A583" s="223">
        <v>39903</v>
      </c>
      <c r="B583" s="217">
        <v>62025</v>
      </c>
      <c r="C583" s="218">
        <v>1272</v>
      </c>
      <c r="D583" s="221">
        <v>12650</v>
      </c>
      <c r="E583" s="224">
        <f t="shared" si="11"/>
        <v>1265</v>
      </c>
    </row>
    <row r="584" spans="1:5">
      <c r="A584" s="223">
        <v>39904</v>
      </c>
      <c r="B584" s="217">
        <v>61625</v>
      </c>
      <c r="C584" s="218">
        <v>1242</v>
      </c>
      <c r="D584" s="221">
        <v>12650</v>
      </c>
      <c r="E584" s="224">
        <f t="shared" si="11"/>
        <v>1265</v>
      </c>
    </row>
    <row r="585" spans="1:5">
      <c r="A585" s="223">
        <v>39905</v>
      </c>
      <c r="B585" s="217">
        <v>61475</v>
      </c>
      <c r="C585" s="218">
        <v>1259</v>
      </c>
      <c r="D585" s="221">
        <v>12400</v>
      </c>
      <c r="E585" s="224">
        <f t="shared" si="11"/>
        <v>1240</v>
      </c>
    </row>
    <row r="586" spans="1:5">
      <c r="A586" s="223">
        <v>39906</v>
      </c>
      <c r="B586" s="217">
        <v>61100</v>
      </c>
      <c r="C586" s="218">
        <v>1283</v>
      </c>
      <c r="D586" s="221">
        <v>12400</v>
      </c>
      <c r="E586" s="224">
        <f t="shared" si="11"/>
        <v>1240</v>
      </c>
    </row>
    <row r="587" spans="1:5">
      <c r="A587" s="223">
        <v>39909</v>
      </c>
      <c r="B587" s="217">
        <v>61025</v>
      </c>
      <c r="C587" s="218">
        <v>1312</v>
      </c>
      <c r="D587" s="221">
        <v>12400</v>
      </c>
      <c r="E587" s="224">
        <f>D587/10</f>
        <v>1240</v>
      </c>
    </row>
    <row r="588" spans="1:5">
      <c r="A588" s="223">
        <v>39910</v>
      </c>
      <c r="B588" s="217">
        <v>60350</v>
      </c>
      <c r="C588" s="218">
        <v>1315</v>
      </c>
      <c r="D588" s="221">
        <v>12600</v>
      </c>
      <c r="E588" s="224">
        <f t="shared" si="11"/>
        <v>1260</v>
      </c>
    </row>
    <row r="589" spans="1:5">
      <c r="A589" s="223">
        <v>39911</v>
      </c>
      <c r="B589" s="217">
        <v>60400</v>
      </c>
      <c r="C589" s="218">
        <v>1302.5</v>
      </c>
      <c r="D589" s="221">
        <v>12750</v>
      </c>
      <c r="E589" s="224">
        <f t="shared" si="11"/>
        <v>1275</v>
      </c>
    </row>
    <row r="590" spans="1:5">
      <c r="A590" s="223">
        <v>39912</v>
      </c>
      <c r="B590" s="217">
        <v>60275</v>
      </c>
      <c r="C590" s="218">
        <v>1352.5</v>
      </c>
      <c r="D590" s="221">
        <v>12750</v>
      </c>
      <c r="E590" s="224">
        <f t="shared" si="11"/>
        <v>1275</v>
      </c>
    </row>
    <row r="591" spans="1:5">
      <c r="A591" s="223">
        <v>39913</v>
      </c>
      <c r="B591" s="217">
        <v>60275</v>
      </c>
      <c r="C591" s="218">
        <v>1352.5</v>
      </c>
      <c r="D591" s="221">
        <v>12900</v>
      </c>
      <c r="E591" s="224">
        <f t="shared" si="11"/>
        <v>1290</v>
      </c>
    </row>
    <row r="592" spans="1:5">
      <c r="A592" s="223">
        <v>39916</v>
      </c>
      <c r="B592" s="217">
        <v>60275</v>
      </c>
      <c r="C592" s="218">
        <v>1352.5</v>
      </c>
      <c r="D592" s="221">
        <v>12900</v>
      </c>
      <c r="E592" s="224">
        <f t="shared" si="11"/>
        <v>1290</v>
      </c>
    </row>
    <row r="593" spans="1:5">
      <c r="A593" s="223">
        <v>39917</v>
      </c>
      <c r="B593" s="217">
        <v>60800</v>
      </c>
      <c r="C593" s="218">
        <v>1425</v>
      </c>
      <c r="D593" s="221">
        <v>12900</v>
      </c>
      <c r="E593" s="224">
        <f t="shared" si="11"/>
        <v>1290</v>
      </c>
    </row>
    <row r="594" spans="1:5">
      <c r="A594" s="223">
        <v>39918</v>
      </c>
      <c r="B594" s="217">
        <v>60375</v>
      </c>
      <c r="C594" s="218">
        <v>1502</v>
      </c>
      <c r="D594" s="221">
        <v>13000</v>
      </c>
      <c r="E594" s="224">
        <f t="shared" si="11"/>
        <v>1300</v>
      </c>
    </row>
    <row r="595" spans="1:5">
      <c r="A595" s="223">
        <v>39919</v>
      </c>
      <c r="B595" s="217">
        <v>60325</v>
      </c>
      <c r="C595" s="218">
        <v>1525</v>
      </c>
      <c r="D595" s="221">
        <v>13000</v>
      </c>
      <c r="E595" s="224">
        <f t="shared" si="11"/>
        <v>1300</v>
      </c>
    </row>
    <row r="596" spans="1:5">
      <c r="A596" s="223">
        <v>39920</v>
      </c>
      <c r="B596" s="217">
        <v>60675</v>
      </c>
      <c r="C596" s="218">
        <v>1525</v>
      </c>
      <c r="D596" s="221">
        <v>12800</v>
      </c>
      <c r="E596" s="224">
        <f t="shared" si="11"/>
        <v>1280</v>
      </c>
    </row>
    <row r="597" spans="1:5">
      <c r="A597" s="223">
        <v>39923</v>
      </c>
      <c r="B597" s="217">
        <v>61275</v>
      </c>
      <c r="C597" s="218">
        <v>1509</v>
      </c>
      <c r="D597" s="221">
        <v>12800</v>
      </c>
      <c r="E597" s="224">
        <f t="shared" si="11"/>
        <v>1280</v>
      </c>
    </row>
    <row r="598" spans="1:5">
      <c r="A598" s="223">
        <v>39924</v>
      </c>
      <c r="B598" s="217">
        <v>63425</v>
      </c>
      <c r="C598" s="218">
        <v>1438</v>
      </c>
      <c r="D598" s="221">
        <v>12300</v>
      </c>
      <c r="E598" s="224">
        <f t="shared" si="11"/>
        <v>1230</v>
      </c>
    </row>
    <row r="599" spans="1:5">
      <c r="A599" s="223">
        <v>39925</v>
      </c>
      <c r="B599" s="217">
        <v>63500</v>
      </c>
      <c r="C599" s="218">
        <v>1443</v>
      </c>
      <c r="D599" s="221">
        <v>12100</v>
      </c>
      <c r="E599" s="224">
        <f t="shared" si="11"/>
        <v>1210</v>
      </c>
    </row>
    <row r="600" spans="1:5">
      <c r="A600" s="223">
        <v>39926</v>
      </c>
      <c r="B600" s="217">
        <v>63650</v>
      </c>
      <c r="C600" s="218">
        <v>1461.5</v>
      </c>
      <c r="D600" s="221">
        <v>12000</v>
      </c>
      <c r="E600" s="224">
        <f t="shared" si="11"/>
        <v>1200</v>
      </c>
    </row>
    <row r="601" spans="1:5">
      <c r="A601" s="223">
        <v>39927</v>
      </c>
      <c r="B601" s="217">
        <v>71725</v>
      </c>
      <c r="C601" s="218">
        <v>1410.5</v>
      </c>
      <c r="D601" s="221">
        <v>12000</v>
      </c>
      <c r="E601" s="224">
        <f t="shared" si="11"/>
        <v>1200</v>
      </c>
    </row>
    <row r="602" spans="1:5">
      <c r="A602" s="223">
        <v>39930</v>
      </c>
      <c r="B602" s="217">
        <v>71575</v>
      </c>
      <c r="C602" s="218">
        <v>1375</v>
      </c>
      <c r="D602" s="221">
        <v>12000</v>
      </c>
      <c r="E602" s="224">
        <f t="shared" si="11"/>
        <v>1200</v>
      </c>
    </row>
    <row r="603" spans="1:5">
      <c r="A603" s="223">
        <v>39931</v>
      </c>
      <c r="B603" s="217">
        <v>71300</v>
      </c>
      <c r="C603" s="218">
        <v>1309</v>
      </c>
      <c r="D603" s="221">
        <v>11800</v>
      </c>
      <c r="E603" s="224">
        <f t="shared" si="11"/>
        <v>1180</v>
      </c>
    </row>
    <row r="604" spans="1:5">
      <c r="A604" s="223">
        <v>39932</v>
      </c>
      <c r="B604" s="217">
        <v>71250</v>
      </c>
      <c r="C604" s="218">
        <v>1318</v>
      </c>
      <c r="D604" s="221">
        <v>11700</v>
      </c>
      <c r="E604" s="224">
        <f t="shared" si="11"/>
        <v>1170</v>
      </c>
    </row>
    <row r="605" spans="1:5">
      <c r="A605" s="223">
        <v>39933</v>
      </c>
      <c r="B605" s="217">
        <v>71650</v>
      </c>
      <c r="C605" s="218">
        <v>1355</v>
      </c>
      <c r="D605" s="221">
        <v>11900</v>
      </c>
      <c r="E605" s="224">
        <f t="shared" si="11"/>
        <v>1190</v>
      </c>
    </row>
    <row r="606" spans="1:5">
      <c r="A606" s="223">
        <v>39934</v>
      </c>
      <c r="B606" s="217">
        <v>72325</v>
      </c>
      <c r="C606" s="218">
        <v>1334.5</v>
      </c>
      <c r="D606" s="221">
        <v>11900</v>
      </c>
      <c r="E606" s="224">
        <f>D606/10</f>
        <v>1190</v>
      </c>
    </row>
    <row r="607" spans="1:5">
      <c r="A607" s="223">
        <v>39937</v>
      </c>
      <c r="B607" s="217">
        <v>72325</v>
      </c>
      <c r="C607" s="218">
        <v>1334.5</v>
      </c>
      <c r="D607" s="221">
        <v>12200</v>
      </c>
      <c r="E607" s="224">
        <f t="shared" si="11"/>
        <v>1220</v>
      </c>
    </row>
    <row r="608" spans="1:5">
      <c r="A608" s="223">
        <v>39938</v>
      </c>
      <c r="B608" s="217">
        <v>72250</v>
      </c>
      <c r="C608" s="218">
        <v>1426.5</v>
      </c>
      <c r="D608" s="221">
        <v>12300</v>
      </c>
      <c r="E608" s="224">
        <f t="shared" si="11"/>
        <v>1230</v>
      </c>
    </row>
    <row r="609" spans="1:5">
      <c r="A609" s="223">
        <v>39939</v>
      </c>
      <c r="B609" s="217">
        <v>73050</v>
      </c>
      <c r="C609" s="218">
        <v>1408</v>
      </c>
      <c r="D609" s="221">
        <v>12200</v>
      </c>
      <c r="E609" s="224">
        <f t="shared" si="11"/>
        <v>1220</v>
      </c>
    </row>
    <row r="610" spans="1:5">
      <c r="A610" s="223">
        <v>39940</v>
      </c>
      <c r="B610" s="217">
        <v>73200</v>
      </c>
      <c r="C610" s="218">
        <v>1481</v>
      </c>
      <c r="D610" s="221">
        <v>12200</v>
      </c>
      <c r="E610" s="224">
        <f t="shared" si="11"/>
        <v>1220</v>
      </c>
    </row>
    <row r="611" spans="1:5">
      <c r="A611" s="223">
        <v>39941</v>
      </c>
      <c r="B611" s="217">
        <v>73325</v>
      </c>
      <c r="C611" s="218">
        <v>1473.5</v>
      </c>
      <c r="D611" s="221">
        <v>12100</v>
      </c>
      <c r="E611" s="224">
        <f t="shared" si="11"/>
        <v>1210</v>
      </c>
    </row>
    <row r="612" spans="1:5">
      <c r="A612" s="223">
        <v>39942</v>
      </c>
      <c r="B612" s="217">
        <v>73100</v>
      </c>
      <c r="C612" s="218">
        <v>1440.5</v>
      </c>
      <c r="D612" s="221">
        <v>12000</v>
      </c>
      <c r="E612" s="224">
        <f t="shared" si="11"/>
        <v>1200</v>
      </c>
    </row>
    <row r="613" spans="1:5">
      <c r="A613" s="223">
        <v>39945</v>
      </c>
      <c r="B613" s="217">
        <v>73400</v>
      </c>
      <c r="C613" s="218">
        <v>1461</v>
      </c>
      <c r="D613" s="221">
        <v>11900</v>
      </c>
      <c r="E613" s="224">
        <f t="shared" si="11"/>
        <v>1190</v>
      </c>
    </row>
    <row r="614" spans="1:5">
      <c r="A614" s="223">
        <v>39946</v>
      </c>
      <c r="B614" s="217">
        <v>73500</v>
      </c>
      <c r="C614" s="218">
        <v>1451</v>
      </c>
      <c r="D614" s="221">
        <v>11900</v>
      </c>
      <c r="E614" s="224">
        <f t="shared" si="11"/>
        <v>1190</v>
      </c>
    </row>
    <row r="615" spans="1:5">
      <c r="A615" s="223">
        <v>39947</v>
      </c>
      <c r="B615" s="217">
        <v>73500</v>
      </c>
      <c r="C615" s="218">
        <v>1395</v>
      </c>
      <c r="D615" s="221">
        <v>11900</v>
      </c>
      <c r="E615" s="224">
        <f t="shared" si="11"/>
        <v>1190</v>
      </c>
    </row>
    <row r="616" spans="1:5">
      <c r="A616" s="223">
        <v>39948</v>
      </c>
      <c r="B616" s="217">
        <v>73250</v>
      </c>
      <c r="C616" s="218">
        <v>1422.5</v>
      </c>
      <c r="D616" s="221">
        <v>11900</v>
      </c>
      <c r="E616" s="224">
        <f t="shared" si="11"/>
        <v>1190</v>
      </c>
    </row>
    <row r="617" spans="1:5">
      <c r="A617" s="223">
        <v>39951</v>
      </c>
      <c r="B617" s="217">
        <v>73925</v>
      </c>
      <c r="C617" s="218">
        <v>1460</v>
      </c>
      <c r="D617" s="221">
        <v>11900</v>
      </c>
      <c r="E617" s="224">
        <f t="shared" si="11"/>
        <v>1190</v>
      </c>
    </row>
    <row r="618" spans="1:5">
      <c r="A618" s="223">
        <v>39952</v>
      </c>
      <c r="B618" s="217">
        <v>74375</v>
      </c>
      <c r="C618" s="218">
        <v>1527.5</v>
      </c>
      <c r="D618" s="221">
        <v>11900</v>
      </c>
      <c r="E618" s="224">
        <f t="shared" si="11"/>
        <v>1190</v>
      </c>
    </row>
    <row r="619" spans="1:5">
      <c r="A619" s="223">
        <v>39953</v>
      </c>
      <c r="B619" s="217">
        <v>74350</v>
      </c>
      <c r="C619" s="218">
        <v>1436</v>
      </c>
      <c r="D619" s="221">
        <v>11900</v>
      </c>
      <c r="E619" s="224">
        <f t="shared" si="11"/>
        <v>1190</v>
      </c>
    </row>
    <row r="620" spans="1:5">
      <c r="A620" s="223">
        <v>39954</v>
      </c>
      <c r="B620" s="217">
        <v>74275</v>
      </c>
      <c r="C620" s="218">
        <v>1420</v>
      </c>
      <c r="D620" s="221">
        <v>11900</v>
      </c>
      <c r="E620" s="224">
        <f t="shared" si="11"/>
        <v>1190</v>
      </c>
    </row>
    <row r="621" spans="1:5">
      <c r="A621" s="223">
        <v>39955</v>
      </c>
      <c r="B621" s="217">
        <v>74525</v>
      </c>
      <c r="C621" s="218">
        <v>1422.5</v>
      </c>
      <c r="D621" s="221">
        <v>11900</v>
      </c>
      <c r="E621" s="224">
        <f t="shared" si="11"/>
        <v>1190</v>
      </c>
    </row>
    <row r="622" spans="1:5">
      <c r="A622" s="223">
        <v>39956</v>
      </c>
      <c r="B622" s="217">
        <v>74525</v>
      </c>
      <c r="C622" s="218">
        <v>1422.5</v>
      </c>
      <c r="D622" s="221">
        <v>11900</v>
      </c>
      <c r="E622" s="224">
        <f t="shared" si="11"/>
        <v>1190</v>
      </c>
    </row>
    <row r="623" spans="1:5">
      <c r="A623" s="223">
        <v>39959</v>
      </c>
      <c r="B623" s="217">
        <v>75100</v>
      </c>
      <c r="C623" s="218">
        <v>1409</v>
      </c>
      <c r="D623" s="221">
        <v>11900</v>
      </c>
      <c r="E623" s="224">
        <f t="shared" si="11"/>
        <v>1190</v>
      </c>
    </row>
    <row r="624" spans="1:5">
      <c r="A624" s="223">
        <v>39960</v>
      </c>
      <c r="B624" s="217">
        <v>75750</v>
      </c>
      <c r="C624" s="218">
        <v>1427.5</v>
      </c>
      <c r="D624" s="221">
        <v>11900</v>
      </c>
      <c r="E624" s="224">
        <f t="shared" si="11"/>
        <v>1190</v>
      </c>
    </row>
    <row r="625" spans="1:5">
      <c r="A625" s="223">
        <v>39961</v>
      </c>
      <c r="B625" s="217">
        <v>76075</v>
      </c>
      <c r="C625" s="218">
        <v>1437</v>
      </c>
      <c r="D625" s="221">
        <v>11900</v>
      </c>
      <c r="E625" s="224">
        <f>D625/10</f>
        <v>1190</v>
      </c>
    </row>
    <row r="626" spans="1:5">
      <c r="A626" s="223">
        <v>39962</v>
      </c>
      <c r="B626" s="217">
        <v>76075</v>
      </c>
      <c r="C626" s="218">
        <v>1530</v>
      </c>
      <c r="D626" s="221">
        <v>11900</v>
      </c>
      <c r="E626" s="224">
        <f>D626/10</f>
        <v>1190</v>
      </c>
    </row>
    <row r="627" spans="1:5">
      <c r="A627" s="223">
        <v>39965</v>
      </c>
      <c r="B627" s="217">
        <v>77450</v>
      </c>
      <c r="C627" s="218">
        <v>1640</v>
      </c>
      <c r="D627" s="221">
        <v>12100</v>
      </c>
      <c r="E627" s="224">
        <f t="shared" si="11"/>
        <v>1210</v>
      </c>
    </row>
    <row r="628" spans="1:5">
      <c r="A628" s="223">
        <v>39966</v>
      </c>
      <c r="B628" s="217">
        <v>80000</v>
      </c>
      <c r="C628" s="218">
        <v>1627.5</v>
      </c>
      <c r="D628" s="221">
        <v>12400</v>
      </c>
      <c r="E628" s="224">
        <f t="shared" si="11"/>
        <v>1240</v>
      </c>
    </row>
    <row r="629" spans="1:5">
      <c r="A629" s="223">
        <v>39967</v>
      </c>
      <c r="B629" s="217">
        <v>80825</v>
      </c>
      <c r="C629" s="218">
        <v>1612.5</v>
      </c>
      <c r="D629" s="221">
        <v>12450</v>
      </c>
      <c r="E629" s="224">
        <f t="shared" si="11"/>
        <v>1245</v>
      </c>
    </row>
    <row r="630" spans="1:5">
      <c r="A630" s="223">
        <v>39968</v>
      </c>
      <c r="B630" s="217">
        <v>81175</v>
      </c>
      <c r="C630" s="218">
        <v>1565.5</v>
      </c>
      <c r="D630" s="221">
        <v>12400</v>
      </c>
      <c r="E630" s="224">
        <f t="shared" si="11"/>
        <v>1240</v>
      </c>
    </row>
    <row r="631" spans="1:5">
      <c r="A631" s="223">
        <v>39969</v>
      </c>
      <c r="B631" s="217">
        <v>81175</v>
      </c>
      <c r="C631" s="218">
        <v>1654.5</v>
      </c>
      <c r="D631" s="221">
        <v>12500</v>
      </c>
      <c r="E631" s="224">
        <f t="shared" si="11"/>
        <v>1250</v>
      </c>
    </row>
    <row r="632" spans="1:5">
      <c r="A632" s="223">
        <v>39972</v>
      </c>
      <c r="B632" s="217">
        <v>81125</v>
      </c>
      <c r="C632" s="218">
        <v>1616</v>
      </c>
      <c r="D632" s="221">
        <v>12750</v>
      </c>
      <c r="E632" s="224">
        <f t="shared" si="11"/>
        <v>1275</v>
      </c>
    </row>
    <row r="633" spans="1:5">
      <c r="A633" s="223">
        <v>39973</v>
      </c>
      <c r="B633" s="217">
        <v>81325</v>
      </c>
      <c r="C633" s="218">
        <v>1690</v>
      </c>
      <c r="D633" s="221">
        <v>12750</v>
      </c>
      <c r="E633" s="224">
        <f t="shared" si="11"/>
        <v>1275</v>
      </c>
    </row>
    <row r="634" spans="1:5">
      <c r="A634" s="223">
        <v>39974</v>
      </c>
      <c r="B634" s="217">
        <v>81650</v>
      </c>
      <c r="C634" s="218">
        <v>1744.5</v>
      </c>
      <c r="D634" s="221">
        <v>13050</v>
      </c>
      <c r="E634" s="224">
        <f t="shared" si="11"/>
        <v>1305</v>
      </c>
    </row>
    <row r="635" spans="1:5">
      <c r="A635" s="223">
        <v>39975</v>
      </c>
      <c r="B635" s="217">
        <v>81750</v>
      </c>
      <c r="C635" s="218">
        <v>1787</v>
      </c>
      <c r="D635" s="221">
        <v>13200</v>
      </c>
      <c r="E635" s="224">
        <f t="shared" si="11"/>
        <v>1320</v>
      </c>
    </row>
    <row r="636" spans="1:5">
      <c r="A636" s="223">
        <v>39976</v>
      </c>
      <c r="B636" s="217">
        <v>82125</v>
      </c>
      <c r="C636" s="218">
        <v>1796.5</v>
      </c>
      <c r="D636" s="221">
        <v>13450</v>
      </c>
      <c r="E636" s="224">
        <f t="shared" si="11"/>
        <v>1345</v>
      </c>
    </row>
    <row r="637" spans="1:5">
      <c r="A637" s="223">
        <v>39979</v>
      </c>
      <c r="B637" s="217">
        <v>82325</v>
      </c>
      <c r="C637" s="218">
        <v>1720</v>
      </c>
      <c r="D637" s="221">
        <v>13650</v>
      </c>
      <c r="E637" s="224">
        <f t="shared" si="11"/>
        <v>1365</v>
      </c>
    </row>
    <row r="638" spans="1:5">
      <c r="A638" s="223">
        <v>39980</v>
      </c>
      <c r="B638" s="217">
        <v>83825</v>
      </c>
      <c r="C638" s="218">
        <v>1690</v>
      </c>
      <c r="D638" s="221">
        <v>13600</v>
      </c>
      <c r="E638" s="224">
        <f t="shared" si="11"/>
        <v>1360</v>
      </c>
    </row>
    <row r="639" spans="1:5">
      <c r="A639" s="223">
        <v>39981</v>
      </c>
      <c r="B639" s="217">
        <v>84200</v>
      </c>
      <c r="C639" s="218">
        <v>1610</v>
      </c>
      <c r="D639" s="221">
        <v>13500</v>
      </c>
      <c r="E639" s="224">
        <f t="shared" si="11"/>
        <v>1350</v>
      </c>
    </row>
    <row r="640" spans="1:5">
      <c r="A640" s="223">
        <v>39982</v>
      </c>
      <c r="B640" s="217">
        <v>84375</v>
      </c>
      <c r="C640" s="218">
        <v>1639</v>
      </c>
      <c r="D640" s="221">
        <v>13500</v>
      </c>
      <c r="E640" s="224">
        <f t="shared" si="11"/>
        <v>1350</v>
      </c>
    </row>
    <row r="641" spans="1:5">
      <c r="A641" s="223">
        <v>39983</v>
      </c>
      <c r="B641" s="217">
        <v>85800</v>
      </c>
      <c r="C641" s="218">
        <v>1700</v>
      </c>
      <c r="D641" s="221">
        <v>13600</v>
      </c>
      <c r="E641" s="224">
        <f t="shared" si="11"/>
        <v>1360</v>
      </c>
    </row>
    <row r="642" spans="1:5">
      <c r="A642" s="223">
        <v>39986</v>
      </c>
      <c r="B642" s="217">
        <v>86175</v>
      </c>
      <c r="C642" s="218">
        <v>1600</v>
      </c>
      <c r="D642" s="221">
        <v>13550</v>
      </c>
      <c r="E642" s="224">
        <f t="shared" si="11"/>
        <v>1355</v>
      </c>
    </row>
    <row r="643" spans="1:5">
      <c r="A643" s="223">
        <v>39987</v>
      </c>
      <c r="B643" s="217">
        <v>86900</v>
      </c>
      <c r="C643" s="218">
        <v>1633</v>
      </c>
      <c r="D643" s="221">
        <v>13500</v>
      </c>
      <c r="E643" s="224">
        <f t="shared" ref="E643:E706" si="12">D643/10</f>
        <v>1350</v>
      </c>
    </row>
    <row r="644" spans="1:5">
      <c r="A644" s="223">
        <v>39988</v>
      </c>
      <c r="B644" s="217">
        <v>87600</v>
      </c>
      <c r="C644" s="218">
        <v>1645</v>
      </c>
      <c r="D644" s="221">
        <v>13450</v>
      </c>
      <c r="E644" s="224">
        <f t="shared" si="12"/>
        <v>1345</v>
      </c>
    </row>
    <row r="645" spans="1:5">
      <c r="A645" s="223">
        <v>39989</v>
      </c>
      <c r="B645" s="217">
        <v>88300</v>
      </c>
      <c r="C645" s="218">
        <v>1710</v>
      </c>
      <c r="D645" s="221">
        <v>13525</v>
      </c>
      <c r="E645" s="224">
        <f t="shared" si="12"/>
        <v>1352.5</v>
      </c>
    </row>
    <row r="646" spans="1:5">
      <c r="A646" s="223">
        <v>39990</v>
      </c>
      <c r="B646" s="217">
        <v>88575</v>
      </c>
      <c r="C646" s="218">
        <v>1718</v>
      </c>
      <c r="D646" s="221">
        <v>13650</v>
      </c>
      <c r="E646" s="224">
        <f t="shared" si="12"/>
        <v>1365</v>
      </c>
    </row>
    <row r="647" spans="1:5">
      <c r="A647" s="223">
        <v>39993</v>
      </c>
      <c r="B647" s="217">
        <v>89200</v>
      </c>
      <c r="C647" s="218">
        <v>1709</v>
      </c>
      <c r="D647" s="221">
        <v>13650</v>
      </c>
      <c r="E647" s="224">
        <f t="shared" si="12"/>
        <v>1365</v>
      </c>
    </row>
    <row r="648" spans="1:5">
      <c r="A648" s="223">
        <v>39994</v>
      </c>
      <c r="B648" s="217">
        <v>89725</v>
      </c>
      <c r="C648" s="218">
        <v>1730</v>
      </c>
      <c r="D648" s="221">
        <v>13600</v>
      </c>
      <c r="E648" s="224">
        <f t="shared" si="12"/>
        <v>1360</v>
      </c>
    </row>
    <row r="649" spans="1:5">
      <c r="A649" s="223">
        <v>39995</v>
      </c>
      <c r="B649" s="217">
        <v>91650</v>
      </c>
      <c r="C649" s="218">
        <v>1695</v>
      </c>
      <c r="D649" s="221">
        <v>13450</v>
      </c>
      <c r="E649" s="224">
        <f t="shared" si="12"/>
        <v>1345</v>
      </c>
    </row>
    <row r="650" spans="1:5">
      <c r="A650" s="223">
        <v>39996</v>
      </c>
      <c r="B650" s="217">
        <v>91650</v>
      </c>
      <c r="C650" s="218">
        <v>1708</v>
      </c>
      <c r="D650" s="221">
        <v>13675</v>
      </c>
      <c r="E650" s="224">
        <f t="shared" si="12"/>
        <v>1367.5</v>
      </c>
    </row>
    <row r="651" spans="1:5">
      <c r="A651" s="223">
        <v>39997</v>
      </c>
      <c r="B651" s="217">
        <v>92500</v>
      </c>
      <c r="C651" s="218">
        <v>1690.5</v>
      </c>
      <c r="D651" s="221">
        <v>13550</v>
      </c>
      <c r="E651" s="224">
        <f t="shared" si="12"/>
        <v>1355</v>
      </c>
    </row>
    <row r="652" spans="1:5">
      <c r="A652" s="223">
        <v>40000</v>
      </c>
      <c r="B652" s="217">
        <v>92700</v>
      </c>
      <c r="C652" s="218">
        <v>1653</v>
      </c>
      <c r="D652" s="221">
        <v>13550</v>
      </c>
      <c r="E652" s="224">
        <f t="shared" si="12"/>
        <v>1355</v>
      </c>
    </row>
    <row r="653" spans="1:5">
      <c r="A653" s="223">
        <v>40001</v>
      </c>
      <c r="B653" s="217">
        <v>92750</v>
      </c>
      <c r="C653" s="218">
        <v>1714.5</v>
      </c>
      <c r="D653" s="221">
        <v>13400</v>
      </c>
      <c r="E653" s="224">
        <f t="shared" si="12"/>
        <v>1340</v>
      </c>
    </row>
    <row r="654" spans="1:5">
      <c r="A654" s="223">
        <v>40002</v>
      </c>
      <c r="B654" s="217">
        <v>92950</v>
      </c>
      <c r="C654" s="218">
        <v>1625</v>
      </c>
      <c r="D654" s="221">
        <v>13400</v>
      </c>
      <c r="E654" s="224">
        <f t="shared" si="12"/>
        <v>1340</v>
      </c>
    </row>
    <row r="655" spans="1:5">
      <c r="A655" s="223">
        <v>40003</v>
      </c>
      <c r="B655" s="217">
        <v>93200</v>
      </c>
      <c r="C655" s="218">
        <v>1594.5</v>
      </c>
      <c r="D655" s="221">
        <v>13350</v>
      </c>
      <c r="E655" s="224">
        <f t="shared" si="12"/>
        <v>1335</v>
      </c>
    </row>
    <row r="656" spans="1:5">
      <c r="A656" s="223">
        <v>40004</v>
      </c>
      <c r="B656" s="217">
        <v>93625</v>
      </c>
      <c r="C656" s="218">
        <v>1594</v>
      </c>
      <c r="D656" s="221">
        <v>13350</v>
      </c>
      <c r="E656" s="224">
        <f t="shared" si="12"/>
        <v>1335</v>
      </c>
    </row>
    <row r="657" spans="1:5">
      <c r="A657" s="223">
        <v>40007</v>
      </c>
      <c r="B657" s="217">
        <v>93450</v>
      </c>
      <c r="C657" s="218">
        <v>1567</v>
      </c>
      <c r="D657" s="221">
        <v>13350</v>
      </c>
      <c r="E657" s="224">
        <f t="shared" si="12"/>
        <v>1335</v>
      </c>
    </row>
    <row r="658" spans="1:5">
      <c r="A658" s="223">
        <v>40008</v>
      </c>
      <c r="B658" s="217">
        <v>93825</v>
      </c>
      <c r="C658" s="218">
        <v>1569</v>
      </c>
      <c r="D658" s="221">
        <v>13125</v>
      </c>
      <c r="E658" s="224">
        <f t="shared" si="12"/>
        <v>1312.5</v>
      </c>
    </row>
    <row r="659" spans="1:5">
      <c r="A659" s="223">
        <v>40009</v>
      </c>
      <c r="B659" s="217">
        <v>93625</v>
      </c>
      <c r="C659" s="218">
        <v>1611</v>
      </c>
      <c r="D659" s="221">
        <v>13125</v>
      </c>
      <c r="E659" s="224">
        <f t="shared" si="12"/>
        <v>1312.5</v>
      </c>
    </row>
    <row r="660" spans="1:5">
      <c r="A660" s="223">
        <v>40010</v>
      </c>
      <c r="B660" s="217">
        <v>94300</v>
      </c>
      <c r="C660" s="218">
        <v>1600.5</v>
      </c>
      <c r="D660" s="221">
        <v>13250</v>
      </c>
      <c r="E660" s="224">
        <f t="shared" si="12"/>
        <v>1325</v>
      </c>
    </row>
    <row r="661" spans="1:5">
      <c r="A661" s="223">
        <v>40011</v>
      </c>
      <c r="B661" s="217">
        <v>94650</v>
      </c>
      <c r="C661" s="218">
        <v>1604</v>
      </c>
      <c r="D661" s="221">
        <v>13200</v>
      </c>
      <c r="E661" s="224">
        <f t="shared" si="12"/>
        <v>1320</v>
      </c>
    </row>
    <row r="662" spans="1:5">
      <c r="A662" s="223">
        <v>40014</v>
      </c>
      <c r="B662" s="217">
        <v>94900</v>
      </c>
      <c r="C662" s="218">
        <v>1699</v>
      </c>
      <c r="D662" s="221">
        <v>13400</v>
      </c>
      <c r="E662" s="224">
        <f t="shared" si="12"/>
        <v>1340</v>
      </c>
    </row>
    <row r="663" spans="1:5">
      <c r="A663" s="223">
        <v>40015</v>
      </c>
      <c r="B663" s="217">
        <v>95050</v>
      </c>
      <c r="C663" s="218">
        <v>1674.5</v>
      </c>
      <c r="D663" s="221">
        <v>13450</v>
      </c>
      <c r="E663" s="224">
        <f t="shared" si="12"/>
        <v>1345</v>
      </c>
    </row>
    <row r="664" spans="1:5">
      <c r="A664" s="223">
        <v>40016</v>
      </c>
      <c r="B664" s="217">
        <v>94950</v>
      </c>
      <c r="C664" s="218">
        <v>1658</v>
      </c>
      <c r="D664" s="221">
        <v>13400</v>
      </c>
      <c r="E664" s="224">
        <f t="shared" si="12"/>
        <v>1340</v>
      </c>
    </row>
    <row r="665" spans="1:5">
      <c r="A665" s="223">
        <v>40017</v>
      </c>
      <c r="B665" s="217">
        <v>95425</v>
      </c>
      <c r="C665" s="218">
        <v>1699</v>
      </c>
      <c r="D665" s="221">
        <v>13400</v>
      </c>
      <c r="E665" s="224">
        <f t="shared" si="12"/>
        <v>1340</v>
      </c>
    </row>
    <row r="666" spans="1:5">
      <c r="A666" s="223">
        <v>40018</v>
      </c>
      <c r="B666" s="217">
        <v>95500</v>
      </c>
      <c r="C666" s="218">
        <v>1739</v>
      </c>
      <c r="D666" s="221">
        <v>13400</v>
      </c>
      <c r="E666" s="224">
        <f t="shared" si="12"/>
        <v>1340</v>
      </c>
    </row>
    <row r="667" spans="1:5">
      <c r="A667" s="223">
        <v>40021</v>
      </c>
      <c r="B667" s="217">
        <v>95650</v>
      </c>
      <c r="C667" s="218">
        <v>1789</v>
      </c>
      <c r="D667" s="221">
        <v>13450</v>
      </c>
      <c r="E667" s="224">
        <f t="shared" si="12"/>
        <v>1345</v>
      </c>
    </row>
    <row r="668" spans="1:5">
      <c r="A668" s="223">
        <v>40022</v>
      </c>
      <c r="B668" s="217">
        <v>98550</v>
      </c>
      <c r="C668" s="218">
        <v>1774</v>
      </c>
      <c r="D668" s="221">
        <v>13600</v>
      </c>
      <c r="E668" s="224">
        <f t="shared" si="12"/>
        <v>1360</v>
      </c>
    </row>
    <row r="669" spans="1:5">
      <c r="A669" s="223">
        <v>40023</v>
      </c>
      <c r="B669" s="217">
        <v>101050</v>
      </c>
      <c r="C669" s="218">
        <v>1732.5</v>
      </c>
      <c r="D669" s="221">
        <v>13500</v>
      </c>
      <c r="E669" s="224">
        <f t="shared" si="12"/>
        <v>1350</v>
      </c>
    </row>
    <row r="670" spans="1:5">
      <c r="A670" s="223">
        <v>40024</v>
      </c>
      <c r="B670" s="217">
        <v>104950</v>
      </c>
      <c r="C670" s="218">
        <v>1774.5</v>
      </c>
      <c r="D670" s="221">
        <v>13400</v>
      </c>
      <c r="E670" s="224">
        <f t="shared" si="12"/>
        <v>1340</v>
      </c>
    </row>
    <row r="671" spans="1:5">
      <c r="A671" s="223">
        <v>40025</v>
      </c>
      <c r="B671" s="217">
        <v>107575</v>
      </c>
      <c r="C671" s="218">
        <v>1842.5</v>
      </c>
      <c r="D671" s="221">
        <v>13500</v>
      </c>
      <c r="E671" s="224">
        <f t="shared" si="12"/>
        <v>1350</v>
      </c>
    </row>
    <row r="672" spans="1:5">
      <c r="A672" s="223">
        <v>40028</v>
      </c>
      <c r="B672" s="217">
        <v>107300</v>
      </c>
      <c r="C672" s="218">
        <v>1949</v>
      </c>
      <c r="D672" s="221">
        <v>13800</v>
      </c>
      <c r="E672" s="224">
        <f t="shared" si="12"/>
        <v>1380</v>
      </c>
    </row>
    <row r="673" spans="1:5">
      <c r="A673" s="223">
        <v>40029</v>
      </c>
      <c r="B673" s="217">
        <v>110550</v>
      </c>
      <c r="C673" s="218">
        <v>1894</v>
      </c>
      <c r="D673" s="221">
        <v>13950</v>
      </c>
      <c r="E673" s="224">
        <f t="shared" si="12"/>
        <v>1395</v>
      </c>
    </row>
    <row r="674" spans="1:5">
      <c r="A674" s="223">
        <v>40030</v>
      </c>
      <c r="B674" s="217">
        <v>112800</v>
      </c>
      <c r="C674" s="218">
        <v>1930.5</v>
      </c>
      <c r="D674" s="221">
        <v>13950</v>
      </c>
      <c r="E674" s="224">
        <f t="shared" si="12"/>
        <v>1395</v>
      </c>
    </row>
    <row r="675" spans="1:5">
      <c r="A675" s="223">
        <v>40031</v>
      </c>
      <c r="B675" s="217">
        <v>114125</v>
      </c>
      <c r="C675" s="218">
        <v>1897</v>
      </c>
      <c r="D675" s="221">
        <v>13950</v>
      </c>
      <c r="E675" s="224">
        <f t="shared" si="12"/>
        <v>1395</v>
      </c>
    </row>
    <row r="676" spans="1:5">
      <c r="A676" s="223">
        <v>40032</v>
      </c>
      <c r="B676" s="217">
        <v>114050</v>
      </c>
      <c r="C676" s="218">
        <v>1815.5</v>
      </c>
      <c r="D676" s="221">
        <v>13900</v>
      </c>
      <c r="E676" s="224">
        <f t="shared" si="12"/>
        <v>1390</v>
      </c>
    </row>
    <row r="677" spans="1:5">
      <c r="A677" s="223">
        <v>40035</v>
      </c>
      <c r="B677" s="217">
        <v>114275</v>
      </c>
      <c r="C677" s="218">
        <v>1891</v>
      </c>
      <c r="D677" s="221">
        <v>13900</v>
      </c>
      <c r="E677" s="224">
        <f t="shared" si="12"/>
        <v>1390</v>
      </c>
    </row>
    <row r="678" spans="1:5">
      <c r="A678" s="223">
        <v>40036</v>
      </c>
      <c r="B678" s="217">
        <v>114175</v>
      </c>
      <c r="C678" s="218">
        <v>1825</v>
      </c>
      <c r="D678" s="221">
        <v>13750</v>
      </c>
      <c r="E678" s="224">
        <f t="shared" si="12"/>
        <v>1375</v>
      </c>
    </row>
    <row r="679" spans="1:5">
      <c r="A679" s="223">
        <v>40037</v>
      </c>
      <c r="B679" s="217">
        <v>114300</v>
      </c>
      <c r="C679" s="218">
        <v>1775</v>
      </c>
      <c r="D679" s="221">
        <v>13600</v>
      </c>
      <c r="E679" s="224">
        <f t="shared" si="12"/>
        <v>1360</v>
      </c>
    </row>
    <row r="680" spans="1:5">
      <c r="A680" s="223">
        <v>40038</v>
      </c>
      <c r="B680" s="217">
        <v>114700</v>
      </c>
      <c r="C680" s="218">
        <v>1886.5</v>
      </c>
      <c r="D680" s="221">
        <v>13600</v>
      </c>
      <c r="E680" s="224">
        <f t="shared" si="12"/>
        <v>1360</v>
      </c>
    </row>
    <row r="681" spans="1:5">
      <c r="A681" s="223">
        <v>40039</v>
      </c>
      <c r="B681" s="217">
        <v>115800</v>
      </c>
      <c r="C681" s="218">
        <v>1905</v>
      </c>
      <c r="D681" s="221">
        <v>13750</v>
      </c>
      <c r="E681" s="224">
        <f t="shared" si="12"/>
        <v>1375</v>
      </c>
    </row>
    <row r="682" spans="1:5">
      <c r="A682" s="223">
        <v>40042</v>
      </c>
      <c r="B682" s="217">
        <v>116600</v>
      </c>
      <c r="C682" s="218">
        <v>1785.5</v>
      </c>
      <c r="D682" s="221">
        <v>13550</v>
      </c>
      <c r="E682" s="224">
        <f t="shared" si="12"/>
        <v>1355</v>
      </c>
    </row>
    <row r="683" spans="1:5">
      <c r="A683" s="223">
        <v>40043</v>
      </c>
      <c r="B683" s="217">
        <v>116700</v>
      </c>
      <c r="C683" s="218">
        <v>1825</v>
      </c>
      <c r="D683" s="221">
        <v>13500</v>
      </c>
      <c r="E683" s="224">
        <f t="shared" si="12"/>
        <v>1350</v>
      </c>
    </row>
    <row r="684" spans="1:5">
      <c r="A684" s="223">
        <v>40044</v>
      </c>
      <c r="B684" s="217">
        <v>117150</v>
      </c>
      <c r="C684" s="218">
        <v>1790</v>
      </c>
      <c r="D684" s="221">
        <v>13500</v>
      </c>
      <c r="E684" s="224">
        <f t="shared" si="12"/>
        <v>1350</v>
      </c>
    </row>
    <row r="685" spans="1:5">
      <c r="A685" s="223">
        <v>40045</v>
      </c>
      <c r="B685" s="217">
        <v>117925</v>
      </c>
      <c r="C685" s="218">
        <v>1821</v>
      </c>
      <c r="D685" s="221">
        <v>13500</v>
      </c>
      <c r="E685" s="224">
        <f t="shared" si="12"/>
        <v>1350</v>
      </c>
    </row>
    <row r="686" spans="1:5">
      <c r="A686" s="223">
        <v>40046</v>
      </c>
      <c r="B686" s="217">
        <v>118200</v>
      </c>
      <c r="C686" s="218">
        <v>1845</v>
      </c>
      <c r="D686" s="221">
        <v>13500</v>
      </c>
      <c r="E686" s="224">
        <f t="shared" si="12"/>
        <v>1350</v>
      </c>
    </row>
    <row r="687" spans="1:5">
      <c r="A687" s="223">
        <v>40049</v>
      </c>
      <c r="B687" s="217">
        <v>118925</v>
      </c>
      <c r="C687" s="218">
        <v>1945.5</v>
      </c>
      <c r="D687" s="221">
        <v>13700</v>
      </c>
      <c r="E687" s="224">
        <f t="shared" si="12"/>
        <v>1370</v>
      </c>
    </row>
    <row r="688" spans="1:5">
      <c r="A688" s="223">
        <v>40050</v>
      </c>
      <c r="B688" s="217">
        <v>119000</v>
      </c>
      <c r="C688" s="218">
        <v>2006</v>
      </c>
      <c r="D688" s="221">
        <v>14100</v>
      </c>
      <c r="E688" s="224">
        <f t="shared" si="12"/>
        <v>1410</v>
      </c>
    </row>
    <row r="689" spans="1:5">
      <c r="A689" s="223">
        <v>40051</v>
      </c>
      <c r="B689" s="217">
        <v>119150</v>
      </c>
      <c r="C689" s="218">
        <v>2077</v>
      </c>
      <c r="D689" s="221">
        <v>14400</v>
      </c>
      <c r="E689" s="224">
        <f t="shared" si="12"/>
        <v>1440</v>
      </c>
    </row>
    <row r="690" spans="1:5">
      <c r="A690" s="223">
        <v>40052</v>
      </c>
      <c r="B690" s="217">
        <v>120775</v>
      </c>
      <c r="C690" s="218">
        <v>2020.5</v>
      </c>
      <c r="D690" s="221">
        <v>14900</v>
      </c>
      <c r="E690" s="224">
        <f t="shared" si="12"/>
        <v>1490</v>
      </c>
    </row>
    <row r="691" spans="1:5">
      <c r="A691" s="223">
        <v>40053</v>
      </c>
      <c r="B691" s="217">
        <v>120950</v>
      </c>
      <c r="C691" s="218">
        <v>2118</v>
      </c>
      <c r="D691" s="221">
        <v>14900</v>
      </c>
      <c r="E691" s="224">
        <f t="shared" si="12"/>
        <v>1490</v>
      </c>
    </row>
    <row r="692" spans="1:5">
      <c r="A692" s="223">
        <v>40057</v>
      </c>
      <c r="B692" s="217">
        <v>121225</v>
      </c>
      <c r="C692" s="218">
        <v>2072</v>
      </c>
      <c r="D692" s="221">
        <v>15100</v>
      </c>
      <c r="E692" s="224">
        <f t="shared" si="12"/>
        <v>1510</v>
      </c>
    </row>
    <row r="693" spans="1:5">
      <c r="A693" s="223">
        <v>40058</v>
      </c>
      <c r="B693" s="217">
        <v>121200</v>
      </c>
      <c r="C693" s="218">
        <v>2060</v>
      </c>
      <c r="D693" s="221">
        <v>15100</v>
      </c>
      <c r="E693" s="224">
        <f t="shared" si="12"/>
        <v>1510</v>
      </c>
    </row>
    <row r="694" spans="1:5">
      <c r="A694" s="223">
        <v>40059</v>
      </c>
      <c r="B694" s="217">
        <v>121575</v>
      </c>
      <c r="C694" s="218">
        <v>2224</v>
      </c>
      <c r="D694" s="221">
        <v>15000</v>
      </c>
      <c r="E694" s="224">
        <f t="shared" si="12"/>
        <v>1500</v>
      </c>
    </row>
    <row r="695" spans="1:5">
      <c r="A695" s="223">
        <v>40060</v>
      </c>
      <c r="B695" s="217">
        <v>121475</v>
      </c>
      <c r="C695" s="218">
        <v>2255</v>
      </c>
      <c r="D695" s="221">
        <v>15800</v>
      </c>
      <c r="E695" s="224">
        <f t="shared" si="12"/>
        <v>1580</v>
      </c>
    </row>
    <row r="696" spans="1:5">
      <c r="A696" s="223">
        <v>40063</v>
      </c>
      <c r="B696" s="217">
        <v>121725</v>
      </c>
      <c r="C696" s="218">
        <v>2352.5</v>
      </c>
      <c r="D696" s="221">
        <v>16000</v>
      </c>
      <c r="E696" s="224">
        <f t="shared" si="12"/>
        <v>1600</v>
      </c>
    </row>
    <row r="697" spans="1:5">
      <c r="A697" s="223">
        <v>40064</v>
      </c>
      <c r="B697" s="217">
        <v>121775</v>
      </c>
      <c r="C697" s="218">
        <v>2447.5</v>
      </c>
      <c r="D697" s="221">
        <v>16100</v>
      </c>
      <c r="E697" s="224">
        <f t="shared" si="12"/>
        <v>1610</v>
      </c>
    </row>
    <row r="698" spans="1:5">
      <c r="A698" s="223">
        <v>40065</v>
      </c>
      <c r="B698" s="217">
        <v>122625</v>
      </c>
      <c r="C698" s="218">
        <v>2440</v>
      </c>
      <c r="D698" s="221">
        <v>16400</v>
      </c>
      <c r="E698" s="224">
        <f t="shared" si="12"/>
        <v>1640</v>
      </c>
    </row>
    <row r="699" spans="1:5">
      <c r="A699" s="223">
        <v>40066</v>
      </c>
      <c r="B699" s="217">
        <v>122925</v>
      </c>
      <c r="C699" s="218">
        <v>2181</v>
      </c>
      <c r="D699" s="221">
        <v>16400</v>
      </c>
      <c r="E699" s="224">
        <f t="shared" si="12"/>
        <v>1640</v>
      </c>
    </row>
    <row r="700" spans="1:5">
      <c r="A700" s="223">
        <v>40067</v>
      </c>
      <c r="B700" s="217">
        <v>123075</v>
      </c>
      <c r="C700" s="218">
        <v>2109.5</v>
      </c>
      <c r="D700" s="221">
        <v>15400</v>
      </c>
      <c r="E700" s="224">
        <f t="shared" si="12"/>
        <v>1540</v>
      </c>
    </row>
    <row r="701" spans="1:5">
      <c r="A701" s="223">
        <v>40070</v>
      </c>
      <c r="B701" s="217">
        <v>122975</v>
      </c>
      <c r="C701" s="218">
        <v>2045.5</v>
      </c>
      <c r="D701" s="221">
        <v>15200</v>
      </c>
      <c r="E701" s="224">
        <f t="shared" si="12"/>
        <v>1520</v>
      </c>
    </row>
    <row r="702" spans="1:5">
      <c r="A702" s="223">
        <v>40071</v>
      </c>
      <c r="B702" s="217">
        <v>122725</v>
      </c>
      <c r="C702" s="218">
        <v>2113</v>
      </c>
      <c r="D702" s="221">
        <v>15250</v>
      </c>
      <c r="E702" s="224">
        <f t="shared" si="12"/>
        <v>1525</v>
      </c>
    </row>
    <row r="703" spans="1:5">
      <c r="A703" s="223">
        <v>40072</v>
      </c>
      <c r="B703" s="217">
        <v>123300</v>
      </c>
      <c r="C703" s="218">
        <v>2220.5</v>
      </c>
      <c r="D703" s="221">
        <v>15400</v>
      </c>
      <c r="E703" s="224">
        <f t="shared" si="12"/>
        <v>1540</v>
      </c>
    </row>
    <row r="704" spans="1:5">
      <c r="A704" s="223">
        <v>40073</v>
      </c>
      <c r="B704" s="217">
        <v>124150</v>
      </c>
      <c r="C704" s="218">
        <v>2241</v>
      </c>
      <c r="D704" s="221">
        <v>15900</v>
      </c>
      <c r="E704" s="224">
        <f t="shared" si="12"/>
        <v>1590</v>
      </c>
    </row>
    <row r="705" spans="1:5">
      <c r="A705" s="223">
        <v>40074</v>
      </c>
      <c r="B705" s="217">
        <v>124900</v>
      </c>
      <c r="C705" s="218">
        <v>2171</v>
      </c>
      <c r="D705" s="221">
        <v>15900</v>
      </c>
      <c r="E705" s="224">
        <f t="shared" si="12"/>
        <v>1590</v>
      </c>
    </row>
    <row r="706" spans="1:5">
      <c r="A706" s="223">
        <v>40077</v>
      </c>
      <c r="B706" s="217">
        <v>124750</v>
      </c>
      <c r="C706" s="218">
        <v>2135.5</v>
      </c>
      <c r="D706" s="221">
        <v>15600</v>
      </c>
      <c r="E706" s="224">
        <f t="shared" si="12"/>
        <v>1560</v>
      </c>
    </row>
    <row r="707" spans="1:5">
      <c r="A707" s="223">
        <v>40078</v>
      </c>
      <c r="B707" s="217">
        <v>125550</v>
      </c>
      <c r="C707" s="218">
        <v>2234</v>
      </c>
      <c r="D707" s="221">
        <v>15500</v>
      </c>
      <c r="E707" s="224">
        <f t="shared" ref="E707:E770" si="13">D707/10</f>
        <v>1550</v>
      </c>
    </row>
    <row r="708" spans="1:5">
      <c r="A708" s="223">
        <v>40079</v>
      </c>
      <c r="B708" s="217">
        <v>125350</v>
      </c>
      <c r="C708" s="218">
        <v>2213</v>
      </c>
      <c r="D708" s="221">
        <v>15800</v>
      </c>
      <c r="E708" s="224">
        <f t="shared" si="13"/>
        <v>1580</v>
      </c>
    </row>
    <row r="709" spans="1:5">
      <c r="A709" s="223">
        <v>40080</v>
      </c>
      <c r="B709" s="217">
        <v>125175</v>
      </c>
      <c r="C709" s="218">
        <v>2200</v>
      </c>
      <c r="D709" s="221">
        <v>15600</v>
      </c>
      <c r="E709" s="224">
        <f t="shared" si="13"/>
        <v>1560</v>
      </c>
    </row>
    <row r="710" spans="1:5">
      <c r="A710" s="223">
        <v>40081</v>
      </c>
      <c r="B710" s="217">
        <v>125850</v>
      </c>
      <c r="C710" s="218">
        <v>2175</v>
      </c>
      <c r="D710" s="221">
        <v>15400</v>
      </c>
      <c r="E710" s="224">
        <f t="shared" si="13"/>
        <v>1540</v>
      </c>
    </row>
    <row r="711" spans="1:5">
      <c r="A711" s="223">
        <v>40084</v>
      </c>
      <c r="B711" s="217">
        <v>125850</v>
      </c>
      <c r="C711" s="218">
        <v>2150</v>
      </c>
      <c r="D711" s="221">
        <v>15500</v>
      </c>
      <c r="E711" s="224">
        <f t="shared" si="13"/>
        <v>1550</v>
      </c>
    </row>
    <row r="712" spans="1:5">
      <c r="A712" s="223">
        <v>40085</v>
      </c>
      <c r="B712" s="217">
        <v>126125</v>
      </c>
      <c r="C712" s="218">
        <v>2184</v>
      </c>
      <c r="D712" s="221">
        <v>15500</v>
      </c>
      <c r="E712" s="224">
        <f t="shared" si="13"/>
        <v>1550</v>
      </c>
    </row>
    <row r="713" spans="1:5">
      <c r="A713" s="223">
        <v>40086</v>
      </c>
      <c r="B713" s="217">
        <v>126925</v>
      </c>
      <c r="C713" s="218">
        <v>2276</v>
      </c>
      <c r="D713" s="221">
        <v>15600</v>
      </c>
      <c r="E713" s="224">
        <f t="shared" si="13"/>
        <v>1560</v>
      </c>
    </row>
    <row r="714" spans="1:5">
      <c r="A714" s="223">
        <v>40087</v>
      </c>
      <c r="B714" s="217">
        <v>127775</v>
      </c>
      <c r="C714" s="218">
        <v>2192</v>
      </c>
      <c r="D714" s="221">
        <v>15600</v>
      </c>
      <c r="E714" s="224">
        <f t="shared" ref="E714:E719" si="14">D714/10</f>
        <v>1560</v>
      </c>
    </row>
    <row r="715" spans="1:5">
      <c r="A715" s="223">
        <v>40088</v>
      </c>
      <c r="B715" s="217">
        <v>127600</v>
      </c>
      <c r="C715" s="218">
        <v>2085</v>
      </c>
      <c r="D715" s="221">
        <v>15600</v>
      </c>
      <c r="E715" s="224">
        <f t="shared" si="14"/>
        <v>1560</v>
      </c>
    </row>
    <row r="716" spans="1:5">
      <c r="A716" s="223">
        <v>40091</v>
      </c>
      <c r="B716" s="217">
        <v>127600</v>
      </c>
      <c r="C716" s="218">
        <v>2115</v>
      </c>
      <c r="D716" s="221">
        <v>15600</v>
      </c>
      <c r="E716" s="224">
        <f t="shared" si="14"/>
        <v>1560</v>
      </c>
    </row>
    <row r="717" spans="1:5">
      <c r="A717" s="223">
        <v>40092</v>
      </c>
      <c r="B717" s="217">
        <v>127475</v>
      </c>
      <c r="C717" s="218">
        <v>2128</v>
      </c>
      <c r="D717" s="221">
        <v>15600</v>
      </c>
      <c r="E717" s="224">
        <f t="shared" si="14"/>
        <v>1560</v>
      </c>
    </row>
    <row r="718" spans="1:5">
      <c r="A718" s="223">
        <v>40093</v>
      </c>
      <c r="B718" s="217">
        <v>127875</v>
      </c>
      <c r="C718" s="218">
        <v>2142</v>
      </c>
      <c r="D718" s="221">
        <v>15600</v>
      </c>
      <c r="E718" s="224">
        <f t="shared" si="14"/>
        <v>1560</v>
      </c>
    </row>
    <row r="719" spans="1:5">
      <c r="A719" s="223">
        <v>40094</v>
      </c>
      <c r="B719" s="217">
        <v>127875</v>
      </c>
      <c r="C719" s="218">
        <v>2221</v>
      </c>
      <c r="D719" s="221">
        <v>15600</v>
      </c>
      <c r="E719" s="224">
        <f t="shared" si="14"/>
        <v>1560</v>
      </c>
    </row>
    <row r="720" spans="1:5">
      <c r="A720" s="223">
        <v>40095</v>
      </c>
      <c r="B720" s="217">
        <v>128200</v>
      </c>
      <c r="C720" s="218">
        <v>2250</v>
      </c>
      <c r="D720" s="221">
        <v>15600</v>
      </c>
      <c r="E720" s="224">
        <f t="shared" si="13"/>
        <v>1560</v>
      </c>
    </row>
    <row r="721" spans="1:5">
      <c r="A721" s="223">
        <v>40098</v>
      </c>
      <c r="B721" s="217">
        <v>128175</v>
      </c>
      <c r="C721" s="218">
        <v>2263</v>
      </c>
      <c r="D721" s="221">
        <v>15500</v>
      </c>
      <c r="E721" s="224">
        <f t="shared" si="13"/>
        <v>1550</v>
      </c>
    </row>
    <row r="722" spans="1:5">
      <c r="A722" s="223">
        <v>40099</v>
      </c>
      <c r="B722" s="217">
        <v>128175</v>
      </c>
      <c r="C722" s="218">
        <v>2301</v>
      </c>
      <c r="D722" s="221">
        <v>15700</v>
      </c>
      <c r="E722" s="224">
        <f t="shared" si="13"/>
        <v>1570</v>
      </c>
    </row>
    <row r="723" spans="1:5">
      <c r="A723" s="223">
        <v>40100</v>
      </c>
      <c r="B723" s="217">
        <v>128975</v>
      </c>
      <c r="C723" s="218">
        <v>2169</v>
      </c>
      <c r="D723" s="221">
        <v>15500</v>
      </c>
      <c r="E723" s="224">
        <f t="shared" si="13"/>
        <v>1550</v>
      </c>
    </row>
    <row r="724" spans="1:5">
      <c r="A724" s="223">
        <v>40101</v>
      </c>
      <c r="B724" s="217">
        <v>128975</v>
      </c>
      <c r="C724" s="218">
        <v>2140</v>
      </c>
      <c r="D724" s="221">
        <v>15600</v>
      </c>
      <c r="E724" s="224">
        <f t="shared" si="13"/>
        <v>1560</v>
      </c>
    </row>
    <row r="725" spans="1:5">
      <c r="A725" s="223">
        <v>40102</v>
      </c>
      <c r="B725" s="217">
        <v>129175</v>
      </c>
      <c r="C725" s="218">
        <v>2180</v>
      </c>
      <c r="D725" s="221">
        <v>15600</v>
      </c>
      <c r="E725" s="224">
        <f t="shared" si="13"/>
        <v>1560</v>
      </c>
    </row>
    <row r="726" spans="1:5">
      <c r="A726" s="223">
        <v>40105</v>
      </c>
      <c r="B726" s="217">
        <v>129025</v>
      </c>
      <c r="C726" s="218">
        <v>2191</v>
      </c>
      <c r="D726" s="221">
        <v>15600</v>
      </c>
      <c r="E726" s="224">
        <f t="shared" si="13"/>
        <v>1560</v>
      </c>
    </row>
    <row r="727" spans="1:5">
      <c r="A727" s="223">
        <v>40106</v>
      </c>
      <c r="B727" s="217">
        <v>129050</v>
      </c>
      <c r="C727" s="218">
        <v>2315</v>
      </c>
      <c r="D727" s="221">
        <v>15700</v>
      </c>
      <c r="E727" s="224">
        <f t="shared" si="13"/>
        <v>1570</v>
      </c>
    </row>
    <row r="728" spans="1:5">
      <c r="A728" s="223">
        <v>40107</v>
      </c>
      <c r="B728" s="217">
        <v>129525</v>
      </c>
      <c r="C728" s="218">
        <v>2246</v>
      </c>
      <c r="D728" s="221">
        <v>15700</v>
      </c>
      <c r="E728" s="224">
        <f t="shared" si="13"/>
        <v>1570</v>
      </c>
    </row>
    <row r="729" spans="1:5">
      <c r="A729" s="223">
        <v>40108</v>
      </c>
      <c r="B729" s="217">
        <v>129100</v>
      </c>
      <c r="C729" s="218">
        <v>2410.5</v>
      </c>
      <c r="D729" s="221">
        <v>15900</v>
      </c>
      <c r="E729" s="224">
        <f t="shared" si="13"/>
        <v>1590</v>
      </c>
    </row>
    <row r="730" spans="1:5">
      <c r="A730" s="223">
        <v>40109</v>
      </c>
      <c r="B730" s="217">
        <v>130400</v>
      </c>
      <c r="C730" s="218">
        <v>2405.5</v>
      </c>
      <c r="D730" s="221">
        <v>15900</v>
      </c>
      <c r="E730" s="224">
        <f t="shared" si="13"/>
        <v>1590</v>
      </c>
    </row>
    <row r="731" spans="1:5">
      <c r="A731" s="223">
        <v>40112</v>
      </c>
      <c r="B731" s="217">
        <v>130250</v>
      </c>
      <c r="C731" s="218">
        <v>2376</v>
      </c>
      <c r="D731" s="221">
        <v>15900</v>
      </c>
      <c r="E731" s="224">
        <f t="shared" si="13"/>
        <v>1590</v>
      </c>
    </row>
    <row r="732" spans="1:5">
      <c r="A732" s="223">
        <v>40113</v>
      </c>
      <c r="B732" s="217">
        <v>130000</v>
      </c>
      <c r="C732" s="218">
        <v>2305</v>
      </c>
      <c r="D732" s="221">
        <v>15900</v>
      </c>
      <c r="E732" s="224">
        <f t="shared" si="13"/>
        <v>1590</v>
      </c>
    </row>
    <row r="733" spans="1:5">
      <c r="A733" s="223">
        <v>40114</v>
      </c>
      <c r="B733" s="217">
        <v>129825</v>
      </c>
      <c r="C733" s="218">
        <v>2243</v>
      </c>
      <c r="D733" s="221">
        <v>15850</v>
      </c>
      <c r="E733" s="224">
        <f t="shared" si="13"/>
        <v>1585</v>
      </c>
    </row>
    <row r="734" spans="1:5">
      <c r="A734" s="223">
        <v>40115</v>
      </c>
      <c r="B734" s="217">
        <v>129675</v>
      </c>
      <c r="C734" s="218">
        <v>2297</v>
      </c>
      <c r="D734" s="221">
        <v>15700</v>
      </c>
      <c r="E734" s="224">
        <f t="shared" si="13"/>
        <v>1570</v>
      </c>
    </row>
    <row r="735" spans="1:5">
      <c r="A735" s="223">
        <v>40116</v>
      </c>
      <c r="B735" s="217">
        <v>129850</v>
      </c>
      <c r="C735" s="218">
        <v>2322</v>
      </c>
      <c r="D735" s="221">
        <v>15750</v>
      </c>
      <c r="E735" s="224">
        <f t="shared" si="13"/>
        <v>1575</v>
      </c>
    </row>
    <row r="736" spans="1:5">
      <c r="A736" s="223">
        <v>40119</v>
      </c>
      <c r="B736" s="217">
        <v>129600</v>
      </c>
      <c r="C736" s="218">
        <v>2260</v>
      </c>
      <c r="D736" s="221">
        <v>15750</v>
      </c>
      <c r="E736" s="224">
        <f t="shared" si="13"/>
        <v>1575</v>
      </c>
    </row>
    <row r="737" spans="1:5">
      <c r="A737" s="223">
        <v>40120</v>
      </c>
      <c r="B737" s="217">
        <v>129650</v>
      </c>
      <c r="C737" s="218">
        <v>2250.5</v>
      </c>
      <c r="D737" s="221">
        <v>15700</v>
      </c>
      <c r="E737" s="224">
        <f t="shared" si="13"/>
        <v>1570</v>
      </c>
    </row>
    <row r="738" spans="1:5">
      <c r="A738" s="223">
        <v>40121</v>
      </c>
      <c r="B738" s="217">
        <v>130125</v>
      </c>
      <c r="C738" s="218">
        <v>2312</v>
      </c>
      <c r="D738" s="221">
        <v>15700</v>
      </c>
      <c r="E738" s="224">
        <f t="shared" si="13"/>
        <v>1570</v>
      </c>
    </row>
    <row r="739" spans="1:5">
      <c r="A739" s="223">
        <v>40122</v>
      </c>
      <c r="B739" s="217">
        <v>130925</v>
      </c>
      <c r="C739" s="218">
        <v>2320</v>
      </c>
      <c r="D739" s="221">
        <v>15700</v>
      </c>
      <c r="E739" s="224">
        <f t="shared" si="13"/>
        <v>1570</v>
      </c>
    </row>
    <row r="740" spans="1:5">
      <c r="A740" s="223">
        <v>40123</v>
      </c>
      <c r="B740" s="217">
        <v>130800</v>
      </c>
      <c r="C740" s="218">
        <v>2320</v>
      </c>
      <c r="D740" s="221">
        <v>15700</v>
      </c>
      <c r="E740" s="224">
        <f t="shared" si="13"/>
        <v>1570</v>
      </c>
    </row>
    <row r="741" spans="1:5">
      <c r="A741" s="223">
        <v>40126</v>
      </c>
      <c r="B741" s="217">
        <v>131025</v>
      </c>
      <c r="C741" s="218">
        <v>2278</v>
      </c>
      <c r="D741" s="221">
        <v>15600</v>
      </c>
      <c r="E741" s="224">
        <f t="shared" si="13"/>
        <v>1560</v>
      </c>
    </row>
    <row r="742" spans="1:5">
      <c r="A742" s="223">
        <v>40127</v>
      </c>
      <c r="B742" s="217">
        <v>131350</v>
      </c>
      <c r="C742" s="218">
        <v>2258</v>
      </c>
      <c r="D742" s="221">
        <v>15500</v>
      </c>
      <c r="E742" s="224">
        <f t="shared" si="13"/>
        <v>1550</v>
      </c>
    </row>
    <row r="743" spans="1:5">
      <c r="A743" s="223">
        <v>40128</v>
      </c>
      <c r="B743" s="217">
        <v>131800</v>
      </c>
      <c r="C743" s="218">
        <v>2312.5</v>
      </c>
      <c r="D743" s="221">
        <v>15500</v>
      </c>
      <c r="E743" s="224">
        <f t="shared" si="13"/>
        <v>1550</v>
      </c>
    </row>
    <row r="744" spans="1:5">
      <c r="A744" s="223">
        <v>40129</v>
      </c>
      <c r="B744" s="217">
        <v>132075</v>
      </c>
      <c r="C744" s="218">
        <v>2251</v>
      </c>
      <c r="D744" s="221">
        <v>15500</v>
      </c>
      <c r="E744" s="224">
        <f t="shared" si="13"/>
        <v>1550</v>
      </c>
    </row>
    <row r="745" spans="1:5">
      <c r="A745" s="223">
        <v>40130</v>
      </c>
      <c r="B745" s="217">
        <v>132250</v>
      </c>
      <c r="C745" s="218">
        <v>2241</v>
      </c>
      <c r="D745" s="221">
        <v>15450</v>
      </c>
      <c r="E745" s="224">
        <f t="shared" si="13"/>
        <v>1545</v>
      </c>
    </row>
    <row r="746" spans="1:5">
      <c r="A746" s="223">
        <v>40133</v>
      </c>
      <c r="B746" s="217">
        <v>132225</v>
      </c>
      <c r="C746" s="218">
        <v>2290.5</v>
      </c>
      <c r="D746" s="221">
        <v>15500</v>
      </c>
      <c r="E746" s="224">
        <f t="shared" si="13"/>
        <v>1550</v>
      </c>
    </row>
    <row r="747" spans="1:5">
      <c r="A747" s="223">
        <v>40134</v>
      </c>
      <c r="B747" s="217">
        <v>132400</v>
      </c>
      <c r="C747" s="218">
        <v>2331</v>
      </c>
      <c r="D747" s="221">
        <v>15700</v>
      </c>
      <c r="E747" s="224">
        <f t="shared" si="13"/>
        <v>1570</v>
      </c>
    </row>
    <row r="748" spans="1:5">
      <c r="A748" s="223">
        <v>40135</v>
      </c>
      <c r="B748" s="217">
        <v>133025</v>
      </c>
      <c r="C748" s="218">
        <v>2405</v>
      </c>
      <c r="D748" s="221">
        <v>15700</v>
      </c>
      <c r="E748" s="224">
        <f t="shared" si="13"/>
        <v>1570</v>
      </c>
    </row>
    <row r="749" spans="1:5">
      <c r="A749" s="223">
        <v>40136</v>
      </c>
      <c r="B749" s="217">
        <v>134800</v>
      </c>
      <c r="C749" s="218">
        <v>2335</v>
      </c>
      <c r="D749" s="221">
        <v>15700</v>
      </c>
      <c r="E749" s="224">
        <f t="shared" si="13"/>
        <v>1570</v>
      </c>
    </row>
    <row r="750" spans="1:5">
      <c r="A750" s="223">
        <v>40137</v>
      </c>
      <c r="B750" s="217">
        <v>135125</v>
      </c>
      <c r="C750" s="218">
        <v>2309</v>
      </c>
      <c r="D750" s="221">
        <v>15600</v>
      </c>
      <c r="E750" s="224">
        <f t="shared" si="13"/>
        <v>1560</v>
      </c>
    </row>
    <row r="751" spans="1:5">
      <c r="A751" s="223">
        <v>40140</v>
      </c>
      <c r="B751" s="217">
        <v>135125</v>
      </c>
      <c r="C751" s="218">
        <v>2375.5</v>
      </c>
      <c r="D751" s="221">
        <v>15750</v>
      </c>
      <c r="E751" s="224">
        <f t="shared" si="13"/>
        <v>1575</v>
      </c>
    </row>
    <row r="752" spans="1:5">
      <c r="A752" s="223">
        <v>40141</v>
      </c>
      <c r="B752" s="217">
        <v>135825</v>
      </c>
      <c r="C752" s="218">
        <v>2358</v>
      </c>
      <c r="D752" s="221">
        <v>15900</v>
      </c>
      <c r="E752" s="224">
        <f t="shared" si="13"/>
        <v>1590</v>
      </c>
    </row>
    <row r="753" spans="1:5">
      <c r="A753" s="223">
        <v>40142</v>
      </c>
      <c r="B753" s="217">
        <v>136925</v>
      </c>
      <c r="C753" s="218">
        <v>2354</v>
      </c>
      <c r="D753" s="221">
        <v>15900</v>
      </c>
      <c r="E753" s="224">
        <f t="shared" si="13"/>
        <v>1590</v>
      </c>
    </row>
    <row r="754" spans="1:5">
      <c r="A754" s="223">
        <v>40143</v>
      </c>
      <c r="B754" s="217">
        <v>137025</v>
      </c>
      <c r="C754" s="218">
        <v>2344</v>
      </c>
      <c r="D754" s="221">
        <v>16000</v>
      </c>
      <c r="E754" s="224">
        <f t="shared" si="13"/>
        <v>1600</v>
      </c>
    </row>
    <row r="755" spans="1:5">
      <c r="A755" s="223">
        <v>40144</v>
      </c>
      <c r="B755" s="217">
        <v>137275</v>
      </c>
      <c r="C755" s="218">
        <v>2289</v>
      </c>
      <c r="D755" s="221">
        <v>16000</v>
      </c>
      <c r="E755" s="224">
        <f t="shared" si="13"/>
        <v>1600</v>
      </c>
    </row>
    <row r="756" spans="1:5">
      <c r="A756" s="223">
        <v>40147</v>
      </c>
      <c r="B756" s="217">
        <v>137850</v>
      </c>
      <c r="C756" s="218">
        <v>2290</v>
      </c>
      <c r="D756" s="221">
        <v>15900</v>
      </c>
      <c r="E756" s="224">
        <f t="shared" si="13"/>
        <v>1590</v>
      </c>
    </row>
    <row r="757" spans="1:5">
      <c r="A757" s="223">
        <v>40148</v>
      </c>
      <c r="B757" s="217">
        <v>138450</v>
      </c>
      <c r="C757" s="218">
        <v>2343</v>
      </c>
      <c r="D757" s="221">
        <v>15950</v>
      </c>
      <c r="E757" s="224">
        <f t="shared" si="13"/>
        <v>1595</v>
      </c>
    </row>
    <row r="758" spans="1:5">
      <c r="A758" s="223">
        <v>40149</v>
      </c>
      <c r="B758" s="217">
        <v>138600</v>
      </c>
      <c r="C758" s="218">
        <v>2445</v>
      </c>
      <c r="D758" s="221">
        <v>16100</v>
      </c>
      <c r="E758" s="224">
        <f t="shared" si="13"/>
        <v>1610</v>
      </c>
    </row>
    <row r="759" spans="1:5">
      <c r="A759" s="223">
        <v>40150</v>
      </c>
      <c r="B759" s="217">
        <v>139225</v>
      </c>
      <c r="C759" s="218">
        <v>2413</v>
      </c>
      <c r="D759" s="221">
        <v>16200</v>
      </c>
      <c r="E759" s="224">
        <f t="shared" si="13"/>
        <v>1620</v>
      </c>
    </row>
    <row r="760" spans="1:5">
      <c r="A760" s="223">
        <v>40151</v>
      </c>
      <c r="B760" s="217">
        <v>139575</v>
      </c>
      <c r="C760" s="218">
        <v>2345</v>
      </c>
      <c r="D760" s="221">
        <v>16100</v>
      </c>
      <c r="E760" s="224">
        <f t="shared" si="13"/>
        <v>1610</v>
      </c>
    </row>
    <row r="761" spans="1:5">
      <c r="A761" s="223">
        <v>40154</v>
      </c>
      <c r="B761" s="217">
        <v>140350</v>
      </c>
      <c r="C761" s="218">
        <v>2297</v>
      </c>
      <c r="D761" s="221">
        <v>16000</v>
      </c>
      <c r="E761" s="224">
        <f t="shared" si="13"/>
        <v>1600</v>
      </c>
    </row>
    <row r="762" spans="1:5">
      <c r="A762" s="223">
        <v>40155</v>
      </c>
      <c r="B762" s="217">
        <v>140725</v>
      </c>
      <c r="C762" s="218">
        <v>2256</v>
      </c>
      <c r="D762" s="221">
        <v>15850</v>
      </c>
      <c r="E762" s="224">
        <f t="shared" si="13"/>
        <v>1585</v>
      </c>
    </row>
    <row r="763" spans="1:5">
      <c r="A763" s="223">
        <v>40156</v>
      </c>
      <c r="B763" s="217">
        <v>140800</v>
      </c>
      <c r="C763" s="218">
        <v>2275</v>
      </c>
      <c r="D763" s="221">
        <v>15650</v>
      </c>
      <c r="E763" s="224">
        <f t="shared" si="13"/>
        <v>1565</v>
      </c>
    </row>
    <row r="764" spans="1:5">
      <c r="A764" s="223">
        <v>40157</v>
      </c>
      <c r="B764" s="217">
        <v>140750</v>
      </c>
      <c r="C764" s="218">
        <v>2260</v>
      </c>
      <c r="D764" s="221">
        <v>15650</v>
      </c>
      <c r="E764" s="224">
        <f t="shared" si="13"/>
        <v>1565</v>
      </c>
    </row>
    <row r="765" spans="1:5">
      <c r="A765" s="223">
        <v>40158</v>
      </c>
      <c r="B765" s="217">
        <v>140975</v>
      </c>
      <c r="C765" s="218">
        <v>2290</v>
      </c>
      <c r="D765" s="221">
        <v>15650</v>
      </c>
      <c r="E765" s="224">
        <f t="shared" si="13"/>
        <v>1565</v>
      </c>
    </row>
    <row r="766" spans="1:5">
      <c r="A766" s="223">
        <v>40161</v>
      </c>
      <c r="B766" s="217">
        <v>140925</v>
      </c>
      <c r="C766" s="218">
        <v>2291</v>
      </c>
      <c r="D766" s="221">
        <v>15700</v>
      </c>
      <c r="E766" s="224">
        <f t="shared" si="13"/>
        <v>1570</v>
      </c>
    </row>
    <row r="767" spans="1:5">
      <c r="A767" s="223">
        <v>40162</v>
      </c>
      <c r="B767" s="217">
        <v>140925</v>
      </c>
      <c r="C767" s="218">
        <v>2294</v>
      </c>
      <c r="D767" s="221">
        <v>15700</v>
      </c>
      <c r="E767" s="224">
        <f t="shared" si="13"/>
        <v>1570</v>
      </c>
    </row>
    <row r="768" spans="1:5">
      <c r="A768" s="223">
        <v>40163</v>
      </c>
      <c r="B768" s="217">
        <v>141575</v>
      </c>
      <c r="C768" s="218">
        <v>2368</v>
      </c>
      <c r="D768" s="221">
        <v>15700</v>
      </c>
      <c r="E768" s="224">
        <f t="shared" si="13"/>
        <v>1570</v>
      </c>
    </row>
    <row r="769" spans="1:5">
      <c r="A769" s="223">
        <v>40164</v>
      </c>
      <c r="B769" s="217">
        <v>141925</v>
      </c>
      <c r="C769" s="218">
        <v>2332</v>
      </c>
      <c r="D769" s="221">
        <v>15750</v>
      </c>
      <c r="E769" s="224">
        <f t="shared" si="13"/>
        <v>1575</v>
      </c>
    </row>
    <row r="770" spans="1:5">
      <c r="A770" s="223">
        <v>40165</v>
      </c>
      <c r="B770" s="217">
        <v>142175</v>
      </c>
      <c r="C770" s="218">
        <v>2314.5</v>
      </c>
      <c r="D770" s="221">
        <v>15650</v>
      </c>
      <c r="E770" s="224">
        <f t="shared" si="13"/>
        <v>1565</v>
      </c>
    </row>
    <row r="771" spans="1:5">
      <c r="A771" s="223">
        <v>40168</v>
      </c>
      <c r="B771" s="217">
        <v>142975</v>
      </c>
      <c r="C771" s="218">
        <v>2320</v>
      </c>
      <c r="D771" s="221">
        <v>15625</v>
      </c>
      <c r="E771" s="224">
        <f t="shared" ref="E771:E834" si="15">D771/10</f>
        <v>1562.5</v>
      </c>
    </row>
    <row r="772" spans="1:5">
      <c r="A772" s="223">
        <v>40169</v>
      </c>
      <c r="B772" s="217">
        <v>143175</v>
      </c>
      <c r="C772" s="218">
        <v>2271</v>
      </c>
      <c r="D772" s="221">
        <v>15600</v>
      </c>
      <c r="E772" s="224">
        <f t="shared" si="15"/>
        <v>1560</v>
      </c>
    </row>
    <row r="773" spans="1:5">
      <c r="A773" s="223">
        <v>40170</v>
      </c>
      <c r="B773" s="217">
        <v>144175</v>
      </c>
      <c r="C773" s="218">
        <v>2300</v>
      </c>
      <c r="D773" s="221">
        <v>15550</v>
      </c>
      <c r="E773" s="224">
        <f t="shared" si="15"/>
        <v>1555</v>
      </c>
    </row>
    <row r="774" spans="1:5">
      <c r="A774" s="223">
        <v>40171</v>
      </c>
      <c r="B774" s="217">
        <v>144275</v>
      </c>
      <c r="C774" s="218">
        <v>2327</v>
      </c>
      <c r="D774" s="221">
        <v>15600</v>
      </c>
      <c r="E774" s="224">
        <f t="shared" si="15"/>
        <v>1560</v>
      </c>
    </row>
    <row r="775" spans="1:5">
      <c r="A775" s="223">
        <v>40172</v>
      </c>
      <c r="B775" s="217">
        <v>144275</v>
      </c>
      <c r="C775" s="218">
        <v>2327</v>
      </c>
      <c r="D775" s="221">
        <v>15600</v>
      </c>
      <c r="E775" s="224">
        <f t="shared" si="15"/>
        <v>1560</v>
      </c>
    </row>
    <row r="776" spans="1:5">
      <c r="A776" s="223">
        <v>40175</v>
      </c>
      <c r="B776" s="217">
        <v>144275</v>
      </c>
      <c r="C776" s="218">
        <v>2327</v>
      </c>
      <c r="D776" s="221">
        <v>15600</v>
      </c>
      <c r="E776" s="224">
        <f t="shared" si="15"/>
        <v>1560</v>
      </c>
    </row>
    <row r="777" spans="1:5">
      <c r="A777" s="223">
        <v>40176</v>
      </c>
      <c r="B777" s="217">
        <v>145225</v>
      </c>
      <c r="C777" s="218">
        <v>2365.5</v>
      </c>
      <c r="D777" s="221">
        <v>15650</v>
      </c>
      <c r="E777" s="224">
        <f t="shared" si="15"/>
        <v>1565</v>
      </c>
    </row>
    <row r="778" spans="1:5">
      <c r="A778" s="223">
        <v>40177</v>
      </c>
      <c r="B778" s="217">
        <v>146075</v>
      </c>
      <c r="C778" s="218">
        <v>2397</v>
      </c>
      <c r="D778" s="221">
        <v>15750</v>
      </c>
      <c r="E778" s="224">
        <f t="shared" si="15"/>
        <v>1575</v>
      </c>
    </row>
    <row r="779" spans="1:5">
      <c r="A779" s="223">
        <v>40178</v>
      </c>
      <c r="B779" s="217">
        <v>146500</v>
      </c>
      <c r="C779" s="218">
        <v>2395</v>
      </c>
      <c r="D779" s="221">
        <v>16000</v>
      </c>
      <c r="E779" s="224">
        <f t="shared" si="15"/>
        <v>1600</v>
      </c>
    </row>
    <row r="780" spans="1:5">
      <c r="A780" s="223">
        <v>40182</v>
      </c>
      <c r="B780" s="217">
        <v>146775</v>
      </c>
      <c r="C780" s="218">
        <v>2451.5</v>
      </c>
      <c r="D780" s="221">
        <v>16000</v>
      </c>
      <c r="E780" s="224">
        <f t="shared" si="15"/>
        <v>1600</v>
      </c>
    </row>
    <row r="781" spans="1:5">
      <c r="A781" s="223">
        <v>40183</v>
      </c>
      <c r="B781" s="217">
        <v>147175</v>
      </c>
      <c r="C781" s="218">
        <v>2440</v>
      </c>
      <c r="D781" s="221">
        <v>16050</v>
      </c>
      <c r="E781" s="224">
        <f t="shared" si="15"/>
        <v>1605</v>
      </c>
    </row>
    <row r="782" spans="1:5">
      <c r="A782" s="223">
        <v>40184</v>
      </c>
      <c r="B782" s="217">
        <v>147850</v>
      </c>
      <c r="C782" s="218">
        <v>2582</v>
      </c>
      <c r="D782" s="221">
        <v>16200</v>
      </c>
      <c r="E782" s="224">
        <f t="shared" si="15"/>
        <v>1620</v>
      </c>
    </row>
    <row r="783" spans="1:5">
      <c r="A783" s="223">
        <v>40185</v>
      </c>
      <c r="B783" s="217">
        <v>149150</v>
      </c>
      <c r="C783" s="218">
        <v>2591</v>
      </c>
      <c r="D783" s="221">
        <v>16500</v>
      </c>
      <c r="E783" s="224">
        <f t="shared" si="15"/>
        <v>1650</v>
      </c>
    </row>
    <row r="784" spans="1:5">
      <c r="A784" s="223">
        <v>40186</v>
      </c>
      <c r="B784" s="217">
        <v>149375</v>
      </c>
      <c r="C784" s="218">
        <v>2524</v>
      </c>
      <c r="D784" s="221">
        <v>16500</v>
      </c>
      <c r="E784" s="224">
        <f t="shared" si="15"/>
        <v>1650</v>
      </c>
    </row>
    <row r="785" spans="1:5">
      <c r="A785" s="223">
        <v>40189</v>
      </c>
      <c r="B785" s="217">
        <v>150100</v>
      </c>
      <c r="C785" s="218">
        <v>2576</v>
      </c>
      <c r="D785" s="221">
        <v>16500</v>
      </c>
      <c r="E785" s="224">
        <f t="shared" si="15"/>
        <v>1650</v>
      </c>
    </row>
    <row r="786" spans="1:5">
      <c r="A786" s="223">
        <v>40190</v>
      </c>
      <c r="B786" s="217">
        <v>150150</v>
      </c>
      <c r="C786" s="218">
        <v>2414.5</v>
      </c>
      <c r="D786" s="221">
        <v>16800</v>
      </c>
      <c r="E786" s="224">
        <f t="shared" si="15"/>
        <v>1680</v>
      </c>
    </row>
    <row r="787" spans="1:5">
      <c r="A787" s="223">
        <v>40191</v>
      </c>
      <c r="B787" s="217">
        <v>150150</v>
      </c>
      <c r="C787" s="218">
        <v>2435</v>
      </c>
      <c r="D787" s="221">
        <v>16500</v>
      </c>
      <c r="E787" s="224">
        <f t="shared" si="15"/>
        <v>1650</v>
      </c>
    </row>
    <row r="788" spans="1:5">
      <c r="A788" s="223">
        <v>40192</v>
      </c>
      <c r="B788" s="217">
        <v>150300</v>
      </c>
      <c r="C788" s="218">
        <v>2451</v>
      </c>
      <c r="D788" s="221">
        <v>16600</v>
      </c>
      <c r="E788" s="224">
        <f t="shared" si="15"/>
        <v>1660</v>
      </c>
    </row>
    <row r="789" spans="1:5">
      <c r="A789" s="223">
        <v>40193</v>
      </c>
      <c r="B789" s="217">
        <v>150750</v>
      </c>
      <c r="C789" s="218">
        <v>2440</v>
      </c>
      <c r="D789" s="221">
        <v>16600</v>
      </c>
      <c r="E789" s="224">
        <f t="shared" si="15"/>
        <v>1660</v>
      </c>
    </row>
    <row r="790" spans="1:5">
      <c r="A790" s="223">
        <v>40196</v>
      </c>
      <c r="B790" s="217">
        <v>151350</v>
      </c>
      <c r="C790" s="218">
        <v>2451.5</v>
      </c>
      <c r="D790" s="221">
        <v>16600</v>
      </c>
      <c r="E790" s="224">
        <f t="shared" si="15"/>
        <v>1660</v>
      </c>
    </row>
    <row r="791" spans="1:5">
      <c r="A791" s="223">
        <v>40197</v>
      </c>
      <c r="B791" s="217">
        <v>151425</v>
      </c>
      <c r="C791" s="218">
        <v>2420.5</v>
      </c>
      <c r="D791" s="221">
        <v>16800</v>
      </c>
      <c r="E791" s="224">
        <f t="shared" si="15"/>
        <v>1680</v>
      </c>
    </row>
    <row r="792" spans="1:5">
      <c r="A792" s="223">
        <v>40198</v>
      </c>
      <c r="B792" s="217">
        <v>152175</v>
      </c>
      <c r="C792" s="218">
        <v>2405.5</v>
      </c>
      <c r="D792" s="221">
        <v>16800</v>
      </c>
      <c r="E792" s="224">
        <f t="shared" si="15"/>
        <v>1680</v>
      </c>
    </row>
    <row r="793" spans="1:5">
      <c r="A793" s="223">
        <v>40199</v>
      </c>
      <c r="B793" s="217">
        <v>153175</v>
      </c>
      <c r="C793" s="218">
        <v>2273</v>
      </c>
      <c r="D793" s="221">
        <v>16600</v>
      </c>
      <c r="E793" s="224">
        <f t="shared" si="15"/>
        <v>1660</v>
      </c>
    </row>
    <row r="794" spans="1:5">
      <c r="A794" s="223">
        <v>40200</v>
      </c>
      <c r="B794" s="217">
        <v>153475</v>
      </c>
      <c r="C794" s="218">
        <v>2227</v>
      </c>
      <c r="D794" s="221">
        <v>16400</v>
      </c>
      <c r="E794" s="224">
        <f t="shared" si="15"/>
        <v>1640</v>
      </c>
    </row>
    <row r="795" spans="1:5">
      <c r="A795" s="223">
        <v>40203</v>
      </c>
      <c r="B795" s="217">
        <v>153700</v>
      </c>
      <c r="C795" s="218">
        <v>2235</v>
      </c>
      <c r="D795" s="221">
        <v>16150</v>
      </c>
      <c r="E795" s="224">
        <f t="shared" si="15"/>
        <v>1615</v>
      </c>
    </row>
    <row r="796" spans="1:5">
      <c r="A796" s="223">
        <v>40204</v>
      </c>
      <c r="B796" s="217">
        <v>154050</v>
      </c>
      <c r="C796" s="218">
        <v>2165.5</v>
      </c>
      <c r="D796" s="221">
        <v>16150</v>
      </c>
      <c r="E796" s="224">
        <f t="shared" si="15"/>
        <v>1615</v>
      </c>
    </row>
    <row r="797" spans="1:5">
      <c r="A797" s="223">
        <v>40205</v>
      </c>
      <c r="B797" s="217">
        <v>155775</v>
      </c>
      <c r="C797" s="218">
        <v>2140</v>
      </c>
      <c r="D797" s="221">
        <v>16050</v>
      </c>
      <c r="E797" s="224">
        <f t="shared" si="15"/>
        <v>1605</v>
      </c>
    </row>
    <row r="798" spans="1:5">
      <c r="A798" s="223">
        <v>40206</v>
      </c>
      <c r="B798" s="217">
        <v>156125</v>
      </c>
      <c r="C798" s="218">
        <v>2089.5</v>
      </c>
      <c r="D798" s="221">
        <v>15600</v>
      </c>
      <c r="E798" s="224">
        <f t="shared" si="15"/>
        <v>1560</v>
      </c>
    </row>
    <row r="799" spans="1:5">
      <c r="A799" s="223">
        <v>40207</v>
      </c>
      <c r="B799" s="217">
        <v>157300</v>
      </c>
      <c r="C799" s="218">
        <v>2055</v>
      </c>
      <c r="D799" s="221">
        <v>15200</v>
      </c>
      <c r="E799" s="224">
        <f t="shared" si="15"/>
        <v>1520</v>
      </c>
    </row>
    <row r="800" spans="1:5">
      <c r="A800" s="223">
        <v>40210</v>
      </c>
      <c r="B800" s="217">
        <v>157500</v>
      </c>
      <c r="C800" s="218">
        <v>2001</v>
      </c>
      <c r="D800" s="221">
        <v>15150</v>
      </c>
      <c r="E800" s="224">
        <f t="shared" si="15"/>
        <v>1515</v>
      </c>
    </row>
    <row r="801" spans="1:5">
      <c r="A801" s="223">
        <v>40211</v>
      </c>
      <c r="B801" s="217">
        <v>157725</v>
      </c>
      <c r="C801" s="218">
        <v>2095</v>
      </c>
      <c r="D801" s="221">
        <v>15150</v>
      </c>
      <c r="E801" s="224">
        <f t="shared" si="15"/>
        <v>1515</v>
      </c>
    </row>
    <row r="802" spans="1:5">
      <c r="A802" s="223">
        <v>40212</v>
      </c>
      <c r="B802" s="217">
        <v>157975</v>
      </c>
      <c r="C802" s="218">
        <v>2110</v>
      </c>
      <c r="D802" s="221">
        <v>15350</v>
      </c>
      <c r="E802" s="224">
        <f t="shared" si="15"/>
        <v>1535</v>
      </c>
    </row>
    <row r="803" spans="1:5">
      <c r="A803" s="223">
        <v>40213</v>
      </c>
      <c r="B803" s="217">
        <v>158025</v>
      </c>
      <c r="C803" s="218">
        <v>2005</v>
      </c>
      <c r="D803" s="221">
        <v>15550</v>
      </c>
      <c r="E803" s="224">
        <f t="shared" si="15"/>
        <v>1555</v>
      </c>
    </row>
    <row r="804" spans="1:5">
      <c r="A804" s="223">
        <v>40214</v>
      </c>
      <c r="B804" s="217">
        <v>158375</v>
      </c>
      <c r="C804" s="218">
        <v>1925</v>
      </c>
      <c r="D804" s="221">
        <v>15200</v>
      </c>
      <c r="E804" s="224">
        <f t="shared" si="15"/>
        <v>1520</v>
      </c>
    </row>
    <row r="805" spans="1:5">
      <c r="A805" s="223">
        <v>40217</v>
      </c>
      <c r="B805" s="217">
        <v>157875</v>
      </c>
      <c r="C805" s="218">
        <v>1935</v>
      </c>
      <c r="D805" s="221">
        <v>15300</v>
      </c>
      <c r="E805" s="224">
        <f t="shared" si="15"/>
        <v>1530</v>
      </c>
    </row>
    <row r="806" spans="1:5">
      <c r="A806" s="223">
        <v>40218</v>
      </c>
      <c r="B806" s="217">
        <v>157875</v>
      </c>
      <c r="C806" s="218">
        <v>1972</v>
      </c>
      <c r="D806" s="221">
        <v>15350</v>
      </c>
      <c r="E806" s="224">
        <f t="shared" si="15"/>
        <v>1535</v>
      </c>
    </row>
    <row r="807" spans="1:5">
      <c r="A807" s="223">
        <v>40219</v>
      </c>
      <c r="B807" s="217">
        <v>157525</v>
      </c>
      <c r="C807" s="218">
        <v>2079.5</v>
      </c>
      <c r="D807" s="221">
        <v>15600</v>
      </c>
      <c r="E807" s="224">
        <f t="shared" si="15"/>
        <v>1560</v>
      </c>
    </row>
    <row r="808" spans="1:5">
      <c r="A808" s="223">
        <v>40220</v>
      </c>
      <c r="B808" s="217">
        <v>158075</v>
      </c>
      <c r="C808" s="218">
        <v>2065</v>
      </c>
      <c r="D808" s="221">
        <v>15700</v>
      </c>
      <c r="E808" s="224">
        <f t="shared" si="15"/>
        <v>1570</v>
      </c>
    </row>
    <row r="809" spans="1:5">
      <c r="A809" s="223">
        <v>40221</v>
      </c>
      <c r="B809" s="217">
        <v>159225</v>
      </c>
      <c r="C809" s="218">
        <v>2080</v>
      </c>
      <c r="D809" s="221">
        <v>15800</v>
      </c>
      <c r="E809" s="224">
        <f t="shared" si="15"/>
        <v>1580</v>
      </c>
    </row>
    <row r="810" spans="1:5">
      <c r="A810" s="223">
        <v>40224</v>
      </c>
      <c r="B810" s="217">
        <v>159200</v>
      </c>
      <c r="C810" s="218">
        <v>2135</v>
      </c>
      <c r="D810" s="221">
        <v>15800</v>
      </c>
      <c r="E810" s="224">
        <f>D810/10</f>
        <v>1580</v>
      </c>
    </row>
    <row r="811" spans="1:5">
      <c r="A811" s="223">
        <v>40225</v>
      </c>
      <c r="B811" s="217">
        <v>159525</v>
      </c>
      <c r="C811" s="218">
        <v>2196</v>
      </c>
      <c r="D811" s="221">
        <v>15800</v>
      </c>
      <c r="E811" s="224">
        <f>D811/10</f>
        <v>1580</v>
      </c>
    </row>
    <row r="812" spans="1:5">
      <c r="A812" s="223">
        <v>40226</v>
      </c>
      <c r="B812" s="217">
        <v>160200</v>
      </c>
      <c r="C812" s="218">
        <v>2275</v>
      </c>
      <c r="D812" s="221">
        <v>15800</v>
      </c>
      <c r="E812" s="224">
        <f>D812/10</f>
        <v>1580</v>
      </c>
    </row>
    <row r="813" spans="1:5">
      <c r="A813" s="223">
        <v>40227</v>
      </c>
      <c r="B813" s="217">
        <v>160250</v>
      </c>
      <c r="C813" s="218">
        <v>2240</v>
      </c>
      <c r="D813" s="221">
        <v>15800</v>
      </c>
      <c r="E813" s="224">
        <f>D813/10</f>
        <v>1580</v>
      </c>
    </row>
    <row r="814" spans="1:5">
      <c r="A814" s="223">
        <v>40228</v>
      </c>
      <c r="B814" s="217">
        <v>160250</v>
      </c>
      <c r="C814" s="218">
        <v>2289.5</v>
      </c>
      <c r="D814" s="221">
        <v>15800</v>
      </c>
      <c r="E814" s="224">
        <f>D814/10</f>
        <v>1580</v>
      </c>
    </row>
    <row r="815" spans="1:5">
      <c r="A815" s="223">
        <v>40231</v>
      </c>
      <c r="B815" s="217">
        <v>160600</v>
      </c>
      <c r="C815" s="218">
        <v>2319.5</v>
      </c>
      <c r="D815" s="221">
        <v>16150</v>
      </c>
      <c r="E815" s="224">
        <f t="shared" si="15"/>
        <v>1615</v>
      </c>
    </row>
    <row r="816" spans="1:5">
      <c r="A816" s="223">
        <v>40232</v>
      </c>
      <c r="B816" s="217">
        <v>160700</v>
      </c>
      <c r="C816" s="218">
        <v>2295</v>
      </c>
      <c r="D816" s="221">
        <v>16300</v>
      </c>
      <c r="E816" s="224">
        <f t="shared" si="15"/>
        <v>1630</v>
      </c>
    </row>
    <row r="817" spans="1:5">
      <c r="A817" s="223">
        <v>40233</v>
      </c>
      <c r="B817" s="217">
        <v>161975</v>
      </c>
      <c r="C817" s="218">
        <v>2167.5</v>
      </c>
      <c r="D817" s="221">
        <v>16100</v>
      </c>
      <c r="E817" s="224">
        <f t="shared" si="15"/>
        <v>1610</v>
      </c>
    </row>
    <row r="818" spans="1:5">
      <c r="A818" s="223">
        <v>40234</v>
      </c>
      <c r="B818" s="217">
        <v>163025</v>
      </c>
      <c r="C818" s="218">
        <v>2150</v>
      </c>
      <c r="D818" s="221">
        <v>16000</v>
      </c>
      <c r="E818" s="224">
        <f t="shared" si="15"/>
        <v>1600</v>
      </c>
    </row>
    <row r="819" spans="1:5">
      <c r="A819" s="223">
        <v>40235</v>
      </c>
      <c r="B819" s="217">
        <v>165075</v>
      </c>
      <c r="C819" s="218">
        <v>2138.5</v>
      </c>
      <c r="D819" s="221">
        <v>15800</v>
      </c>
      <c r="E819" s="224">
        <f t="shared" si="15"/>
        <v>1580</v>
      </c>
    </row>
    <row r="820" spans="1:5">
      <c r="A820" s="223">
        <v>40238</v>
      </c>
      <c r="B820" s="217">
        <v>167200</v>
      </c>
      <c r="C820" s="218">
        <v>2151.5</v>
      </c>
      <c r="D820" s="221">
        <v>15800</v>
      </c>
      <c r="E820" s="224">
        <f t="shared" si="15"/>
        <v>1580</v>
      </c>
    </row>
    <row r="821" spans="1:5">
      <c r="A821" s="223">
        <v>40239</v>
      </c>
      <c r="B821" s="217">
        <v>167725</v>
      </c>
      <c r="C821" s="218">
        <v>2150</v>
      </c>
      <c r="D821" s="221">
        <v>15700</v>
      </c>
      <c r="E821" s="224">
        <f t="shared" si="15"/>
        <v>1570</v>
      </c>
    </row>
    <row r="822" spans="1:5">
      <c r="A822" s="223">
        <v>40240</v>
      </c>
      <c r="B822" s="217">
        <v>167975</v>
      </c>
      <c r="C822" s="218">
        <v>2201</v>
      </c>
      <c r="D822" s="221">
        <v>15700</v>
      </c>
      <c r="E822" s="224">
        <f t="shared" si="15"/>
        <v>1570</v>
      </c>
    </row>
    <row r="823" spans="1:5">
      <c r="A823" s="223">
        <v>40241</v>
      </c>
      <c r="B823" s="217">
        <v>168675</v>
      </c>
      <c r="C823" s="218">
        <v>2196.5</v>
      </c>
      <c r="D823" s="221">
        <v>15700</v>
      </c>
      <c r="E823" s="224">
        <f t="shared" si="15"/>
        <v>1570</v>
      </c>
    </row>
    <row r="824" spans="1:5">
      <c r="A824" s="223">
        <v>40242</v>
      </c>
      <c r="B824" s="217">
        <v>169975</v>
      </c>
      <c r="C824" s="218">
        <v>2178</v>
      </c>
      <c r="D824" s="221">
        <v>15700</v>
      </c>
      <c r="E824" s="224">
        <f t="shared" si="15"/>
        <v>1570</v>
      </c>
    </row>
    <row r="825" spans="1:5">
      <c r="A825" s="223">
        <v>40245</v>
      </c>
      <c r="B825" s="217">
        <v>170525</v>
      </c>
      <c r="C825" s="218">
        <v>2240.5</v>
      </c>
      <c r="D825" s="221">
        <v>15800</v>
      </c>
      <c r="E825" s="224">
        <f t="shared" si="15"/>
        <v>1580</v>
      </c>
    </row>
    <row r="826" spans="1:5">
      <c r="A826" s="223">
        <v>40246</v>
      </c>
      <c r="B826" s="217">
        <v>170350</v>
      </c>
      <c r="C826" s="218">
        <v>2206</v>
      </c>
      <c r="D826" s="221">
        <v>15800</v>
      </c>
      <c r="E826" s="224">
        <f t="shared" si="15"/>
        <v>1580</v>
      </c>
    </row>
    <row r="827" spans="1:5">
      <c r="A827" s="223">
        <v>40247</v>
      </c>
      <c r="B827" s="217">
        <v>170475</v>
      </c>
      <c r="C827" s="218">
        <v>2282.5</v>
      </c>
      <c r="D827" s="221">
        <v>15800</v>
      </c>
      <c r="E827" s="224">
        <f t="shared" si="15"/>
        <v>1580</v>
      </c>
    </row>
    <row r="828" spans="1:5">
      <c r="A828" s="223">
        <v>40248</v>
      </c>
      <c r="B828" s="217">
        <v>170225</v>
      </c>
      <c r="C828" s="218">
        <v>2241</v>
      </c>
      <c r="D828" s="221">
        <v>15700</v>
      </c>
      <c r="E828" s="224">
        <f t="shared" si="15"/>
        <v>1570</v>
      </c>
    </row>
    <row r="829" spans="1:5">
      <c r="A829" s="223">
        <v>40249</v>
      </c>
      <c r="B829" s="217">
        <v>170150</v>
      </c>
      <c r="C829" s="218">
        <v>2251</v>
      </c>
      <c r="D829" s="221">
        <v>15800</v>
      </c>
      <c r="E829" s="224">
        <f t="shared" si="15"/>
        <v>1580</v>
      </c>
    </row>
    <row r="830" spans="1:5">
      <c r="A830" s="223">
        <v>40252</v>
      </c>
      <c r="B830" s="217">
        <v>170425</v>
      </c>
      <c r="C830" s="218">
        <v>2185</v>
      </c>
      <c r="D830" s="221">
        <v>15700</v>
      </c>
      <c r="E830" s="224">
        <f t="shared" si="15"/>
        <v>1570</v>
      </c>
    </row>
    <row r="831" spans="1:5">
      <c r="A831" s="223">
        <v>40253</v>
      </c>
      <c r="B831" s="217">
        <v>170300</v>
      </c>
      <c r="C831" s="218">
        <v>2194.5</v>
      </c>
      <c r="D831" s="221">
        <v>15600</v>
      </c>
      <c r="E831" s="224">
        <f t="shared" si="15"/>
        <v>1560</v>
      </c>
    </row>
    <row r="832" spans="1:5">
      <c r="A832" s="223">
        <v>40254</v>
      </c>
      <c r="B832" s="217">
        <v>170375</v>
      </c>
      <c r="C832" s="218">
        <v>2245</v>
      </c>
      <c r="D832" s="221">
        <v>15700</v>
      </c>
      <c r="E832" s="224">
        <f t="shared" si="15"/>
        <v>1570</v>
      </c>
    </row>
    <row r="833" spans="1:5">
      <c r="A833" s="223">
        <v>40255</v>
      </c>
      <c r="B833" s="217">
        <v>170350</v>
      </c>
      <c r="C833" s="218">
        <v>2222.5</v>
      </c>
      <c r="D833" s="221">
        <v>15750</v>
      </c>
      <c r="E833" s="224">
        <f t="shared" si="15"/>
        <v>1575</v>
      </c>
    </row>
    <row r="834" spans="1:5">
      <c r="A834" s="223">
        <v>40256</v>
      </c>
      <c r="B834" s="217">
        <v>171000</v>
      </c>
      <c r="C834" s="218">
        <v>2210.5</v>
      </c>
      <c r="D834" s="221">
        <v>15750</v>
      </c>
      <c r="E834" s="224">
        <f t="shared" si="15"/>
        <v>1575</v>
      </c>
    </row>
    <row r="835" spans="1:5">
      <c r="A835" s="223">
        <v>40259</v>
      </c>
      <c r="B835" s="217">
        <v>171375</v>
      </c>
      <c r="C835" s="218">
        <v>2140</v>
      </c>
      <c r="D835" s="221">
        <v>15700</v>
      </c>
      <c r="E835" s="224">
        <f t="shared" ref="E835:E898" si="16">D835/10</f>
        <v>1570</v>
      </c>
    </row>
    <row r="836" spans="1:5">
      <c r="A836" s="223">
        <v>40260</v>
      </c>
      <c r="B836" s="217">
        <v>171850</v>
      </c>
      <c r="C836" s="218">
        <v>2136</v>
      </c>
      <c r="D836" s="221">
        <v>15600</v>
      </c>
      <c r="E836" s="224">
        <f t="shared" si="16"/>
        <v>1560</v>
      </c>
    </row>
    <row r="837" spans="1:5">
      <c r="A837" s="223">
        <v>40261</v>
      </c>
      <c r="B837" s="217">
        <v>171600</v>
      </c>
      <c r="C837" s="218">
        <v>2001</v>
      </c>
      <c r="D837" s="221">
        <v>15550</v>
      </c>
      <c r="E837" s="224">
        <f t="shared" si="16"/>
        <v>1555</v>
      </c>
    </row>
    <row r="838" spans="1:5">
      <c r="A838" s="223">
        <v>40262</v>
      </c>
      <c r="B838" s="217">
        <v>172000</v>
      </c>
      <c r="C838" s="218">
        <v>2025.5</v>
      </c>
      <c r="D838" s="221">
        <v>15400</v>
      </c>
      <c r="E838" s="224">
        <f t="shared" si="16"/>
        <v>1540</v>
      </c>
    </row>
    <row r="839" spans="1:5">
      <c r="A839" s="223">
        <v>40263</v>
      </c>
      <c r="B839" s="217">
        <v>172250</v>
      </c>
      <c r="C839" s="218">
        <v>2090</v>
      </c>
      <c r="D839" s="221">
        <v>15450</v>
      </c>
      <c r="E839" s="224">
        <f t="shared" si="16"/>
        <v>1545</v>
      </c>
    </row>
    <row r="840" spans="1:5">
      <c r="A840" s="223">
        <v>40265</v>
      </c>
      <c r="B840" s="217">
        <v>174525</v>
      </c>
      <c r="C840" s="218">
        <v>2153</v>
      </c>
      <c r="D840" s="221">
        <v>15550</v>
      </c>
      <c r="E840" s="224">
        <f t="shared" si="16"/>
        <v>1555</v>
      </c>
    </row>
    <row r="841" spans="1:5">
      <c r="A841" s="223">
        <v>40267</v>
      </c>
      <c r="B841" s="217">
        <v>175725</v>
      </c>
      <c r="C841" s="218">
        <v>2137</v>
      </c>
      <c r="D841" s="221">
        <v>15600</v>
      </c>
      <c r="E841" s="224">
        <f t="shared" si="16"/>
        <v>1560</v>
      </c>
    </row>
    <row r="842" spans="1:5">
      <c r="A842" s="223">
        <v>40268</v>
      </c>
      <c r="B842" s="217">
        <v>175850</v>
      </c>
      <c r="C842" s="218">
        <v>2120</v>
      </c>
      <c r="D842" s="221">
        <v>15600</v>
      </c>
      <c r="E842" s="224">
        <f t="shared" si="16"/>
        <v>1560</v>
      </c>
    </row>
    <row r="843" spans="1:5">
      <c r="A843" s="223">
        <v>40269</v>
      </c>
      <c r="B843" s="217">
        <v>176325</v>
      </c>
      <c r="C843" s="218">
        <v>2182.5</v>
      </c>
      <c r="D843" s="221">
        <v>15600</v>
      </c>
      <c r="E843" s="224">
        <f t="shared" si="16"/>
        <v>1560</v>
      </c>
    </row>
    <row r="844" spans="1:5">
      <c r="A844" s="223">
        <v>40270</v>
      </c>
      <c r="B844" s="217">
        <v>176325</v>
      </c>
      <c r="C844" s="218">
        <v>2182.5</v>
      </c>
      <c r="D844" s="221">
        <v>15700</v>
      </c>
      <c r="E844" s="224">
        <f t="shared" si="16"/>
        <v>1570</v>
      </c>
    </row>
    <row r="845" spans="1:5">
      <c r="A845" s="223">
        <v>40273</v>
      </c>
      <c r="B845" s="217">
        <v>176325</v>
      </c>
      <c r="C845" s="218">
        <v>2182.5</v>
      </c>
      <c r="D845" s="221">
        <v>15700</v>
      </c>
      <c r="E845" s="224">
        <f>D845/10</f>
        <v>1570</v>
      </c>
    </row>
    <row r="846" spans="1:5">
      <c r="A846" s="223">
        <v>40274</v>
      </c>
      <c r="B846" s="217">
        <v>175725</v>
      </c>
      <c r="C846" s="218">
        <v>2228</v>
      </c>
      <c r="D846" s="221">
        <v>15700</v>
      </c>
      <c r="E846" s="224">
        <f t="shared" si="16"/>
        <v>1570</v>
      </c>
    </row>
    <row r="847" spans="1:5">
      <c r="A847" s="223">
        <v>40275</v>
      </c>
      <c r="B847" s="217">
        <v>175600</v>
      </c>
      <c r="C847" s="218">
        <v>2262.5</v>
      </c>
      <c r="D847" s="221">
        <v>15800</v>
      </c>
      <c r="E847" s="224">
        <f t="shared" si="16"/>
        <v>1580</v>
      </c>
    </row>
    <row r="848" spans="1:5">
      <c r="A848" s="223">
        <v>40276</v>
      </c>
      <c r="B848" s="217">
        <v>175025</v>
      </c>
      <c r="C848" s="218">
        <v>2225</v>
      </c>
      <c r="D848" s="221">
        <v>15800</v>
      </c>
      <c r="E848" s="224">
        <f t="shared" si="16"/>
        <v>1580</v>
      </c>
    </row>
    <row r="849" spans="1:5">
      <c r="A849" s="223">
        <v>40277</v>
      </c>
      <c r="B849" s="217">
        <v>174400</v>
      </c>
      <c r="C849" s="218">
        <v>2280</v>
      </c>
      <c r="D849" s="221">
        <v>15700</v>
      </c>
      <c r="E849" s="224">
        <f t="shared" si="16"/>
        <v>1570</v>
      </c>
    </row>
    <row r="850" spans="1:5">
      <c r="A850" s="223">
        <v>40280</v>
      </c>
      <c r="B850" s="217">
        <v>173750</v>
      </c>
      <c r="C850" s="218">
        <v>2315</v>
      </c>
      <c r="D850" s="221">
        <v>15900</v>
      </c>
      <c r="E850" s="224">
        <f t="shared" si="16"/>
        <v>1590</v>
      </c>
    </row>
    <row r="851" spans="1:5">
      <c r="A851" s="223">
        <v>40281</v>
      </c>
      <c r="B851" s="217">
        <v>173575</v>
      </c>
      <c r="C851" s="218">
        <v>2305.5</v>
      </c>
      <c r="D851" s="221">
        <v>15950</v>
      </c>
      <c r="E851" s="224">
        <f t="shared" si="16"/>
        <v>1595</v>
      </c>
    </row>
    <row r="852" spans="1:5">
      <c r="A852" s="223">
        <v>40282</v>
      </c>
      <c r="B852" s="217">
        <v>180425</v>
      </c>
      <c r="C852" s="218">
        <v>2333.5</v>
      </c>
      <c r="D852" s="221">
        <v>15950</v>
      </c>
      <c r="E852" s="224">
        <f t="shared" si="16"/>
        <v>1595</v>
      </c>
    </row>
    <row r="853" spans="1:5">
      <c r="A853" s="223">
        <v>40283</v>
      </c>
      <c r="B853" s="217">
        <v>180075</v>
      </c>
      <c r="C853" s="218">
        <v>2290</v>
      </c>
      <c r="D853" s="221">
        <v>15950</v>
      </c>
      <c r="E853" s="224">
        <f t="shared" si="16"/>
        <v>1595</v>
      </c>
    </row>
    <row r="854" spans="1:5">
      <c r="A854" s="223">
        <v>40284</v>
      </c>
      <c r="B854" s="217">
        <v>180125</v>
      </c>
      <c r="C854" s="218">
        <v>2368</v>
      </c>
      <c r="D854" s="221">
        <v>15800</v>
      </c>
      <c r="E854" s="224">
        <f t="shared" si="16"/>
        <v>1580</v>
      </c>
    </row>
    <row r="855" spans="1:5">
      <c r="A855" s="223">
        <v>40287</v>
      </c>
      <c r="B855" s="217">
        <v>179950</v>
      </c>
      <c r="C855" s="218">
        <v>2187.5</v>
      </c>
      <c r="D855" s="221">
        <v>15650</v>
      </c>
      <c r="E855" s="224">
        <f t="shared" si="16"/>
        <v>1565</v>
      </c>
    </row>
    <row r="856" spans="1:5">
      <c r="A856" s="223">
        <v>40288</v>
      </c>
      <c r="B856" s="217">
        <v>179600</v>
      </c>
      <c r="C856" s="218">
        <v>2264</v>
      </c>
      <c r="D856" s="221">
        <v>15600</v>
      </c>
      <c r="E856" s="224">
        <f t="shared" si="16"/>
        <v>1560</v>
      </c>
    </row>
    <row r="857" spans="1:5">
      <c r="A857" s="223">
        <v>40289</v>
      </c>
      <c r="B857" s="217">
        <v>179150</v>
      </c>
      <c r="C857" s="218">
        <v>2295</v>
      </c>
      <c r="D857" s="221">
        <v>15700</v>
      </c>
      <c r="E857" s="224">
        <f t="shared" si="16"/>
        <v>1570</v>
      </c>
    </row>
    <row r="858" spans="1:5">
      <c r="A858" s="223">
        <v>40290</v>
      </c>
      <c r="B858" s="217">
        <v>179000</v>
      </c>
      <c r="C858" s="218">
        <v>2275.5</v>
      </c>
      <c r="D858" s="221">
        <v>15700</v>
      </c>
      <c r="E858" s="224">
        <f t="shared" si="16"/>
        <v>1570</v>
      </c>
    </row>
    <row r="859" spans="1:5">
      <c r="A859" s="223">
        <v>40291</v>
      </c>
      <c r="B859" s="217">
        <v>179625</v>
      </c>
      <c r="C859" s="218">
        <v>2253.5</v>
      </c>
      <c r="D859" s="221">
        <v>15700</v>
      </c>
      <c r="E859" s="224">
        <f t="shared" si="16"/>
        <v>1570</v>
      </c>
    </row>
    <row r="860" spans="1:5">
      <c r="A860" s="223">
        <v>40294</v>
      </c>
      <c r="B860" s="217">
        <v>179575</v>
      </c>
      <c r="C860" s="218">
        <v>2310.5</v>
      </c>
      <c r="D860" s="221">
        <v>15700</v>
      </c>
      <c r="E860" s="224">
        <f t="shared" si="16"/>
        <v>1570</v>
      </c>
    </row>
    <row r="861" spans="1:5">
      <c r="A861" s="223">
        <v>40295</v>
      </c>
      <c r="B861" s="217">
        <v>179775</v>
      </c>
      <c r="C861" s="218">
        <v>2291</v>
      </c>
      <c r="D861" s="221">
        <v>15850</v>
      </c>
      <c r="E861" s="224">
        <f t="shared" si="16"/>
        <v>1585</v>
      </c>
    </row>
    <row r="862" spans="1:5">
      <c r="A862" s="223">
        <v>40296</v>
      </c>
      <c r="B862" s="217">
        <v>180075</v>
      </c>
      <c r="C862" s="218">
        <v>2225</v>
      </c>
      <c r="D862" s="221">
        <v>15700</v>
      </c>
      <c r="E862" s="224">
        <f t="shared" si="16"/>
        <v>1570</v>
      </c>
    </row>
    <row r="863" spans="1:5">
      <c r="A863" s="223">
        <v>40297</v>
      </c>
      <c r="B863" s="217">
        <v>180075</v>
      </c>
      <c r="C863" s="218">
        <v>2229</v>
      </c>
      <c r="D863" s="221">
        <v>15700</v>
      </c>
      <c r="E863" s="224">
        <f t="shared" si="16"/>
        <v>1570</v>
      </c>
    </row>
    <row r="864" spans="1:5">
      <c r="A864" s="223">
        <v>40298</v>
      </c>
      <c r="B864" s="217">
        <v>180850</v>
      </c>
      <c r="C864" s="218">
        <v>2176</v>
      </c>
      <c r="D864" s="221">
        <v>15650</v>
      </c>
      <c r="E864" s="224">
        <f t="shared" si="16"/>
        <v>1565</v>
      </c>
    </row>
    <row r="865" spans="1:5">
      <c r="A865" s="223">
        <v>40301</v>
      </c>
      <c r="B865" s="217">
        <v>180850</v>
      </c>
      <c r="C865" s="218">
        <v>2176</v>
      </c>
      <c r="D865" s="221">
        <v>15650</v>
      </c>
      <c r="E865" s="224">
        <f>D865/10</f>
        <v>1565</v>
      </c>
    </row>
    <row r="866" spans="1:5">
      <c r="A866" s="223">
        <v>40302</v>
      </c>
      <c r="B866" s="217">
        <v>182125</v>
      </c>
      <c r="C866" s="218">
        <v>2129.5</v>
      </c>
      <c r="D866" s="221">
        <v>15650</v>
      </c>
      <c r="E866" s="224">
        <f t="shared" si="16"/>
        <v>1565</v>
      </c>
    </row>
    <row r="867" spans="1:5">
      <c r="A867" s="223">
        <v>40303</v>
      </c>
      <c r="B867" s="217">
        <v>182525</v>
      </c>
      <c r="C867" s="218">
        <v>1962</v>
      </c>
      <c r="D867" s="221">
        <v>15500</v>
      </c>
      <c r="E867" s="224">
        <f t="shared" si="16"/>
        <v>1550</v>
      </c>
    </row>
    <row r="868" spans="1:5">
      <c r="A868" s="223">
        <v>40304</v>
      </c>
      <c r="B868" s="217">
        <v>182725</v>
      </c>
      <c r="C868" s="218">
        <v>1965</v>
      </c>
      <c r="D868" s="221">
        <v>15350</v>
      </c>
      <c r="E868" s="224">
        <f t="shared" si="16"/>
        <v>1535</v>
      </c>
    </row>
    <row r="869" spans="1:5">
      <c r="A869" s="223">
        <v>40305</v>
      </c>
      <c r="B869" s="217">
        <v>182975</v>
      </c>
      <c r="C869" s="218">
        <v>1979</v>
      </c>
      <c r="D869" s="221">
        <v>15350</v>
      </c>
      <c r="E869" s="224">
        <f t="shared" si="16"/>
        <v>1535</v>
      </c>
    </row>
    <row r="870" spans="1:5">
      <c r="A870" s="223">
        <v>40308</v>
      </c>
      <c r="B870" s="217">
        <v>182950</v>
      </c>
      <c r="C870" s="218">
        <v>2081</v>
      </c>
      <c r="D870" s="221">
        <v>15350</v>
      </c>
      <c r="E870" s="224">
        <f t="shared" si="16"/>
        <v>1535</v>
      </c>
    </row>
    <row r="871" spans="1:5">
      <c r="A871" s="223">
        <v>40309</v>
      </c>
      <c r="B871" s="217">
        <v>184575</v>
      </c>
      <c r="C871" s="218">
        <v>1976</v>
      </c>
      <c r="D871" s="221">
        <v>15450</v>
      </c>
      <c r="E871" s="224">
        <f t="shared" si="16"/>
        <v>1545</v>
      </c>
    </row>
    <row r="872" spans="1:5">
      <c r="A872" s="223">
        <v>40310</v>
      </c>
      <c r="B872" s="217">
        <v>184825</v>
      </c>
      <c r="C872" s="218">
        <v>2026</v>
      </c>
      <c r="D872" s="221">
        <v>15400</v>
      </c>
      <c r="E872" s="224">
        <f t="shared" si="16"/>
        <v>1540</v>
      </c>
    </row>
    <row r="873" spans="1:5">
      <c r="A873" s="223">
        <v>40311</v>
      </c>
      <c r="B873" s="217">
        <v>185100</v>
      </c>
      <c r="C873" s="218">
        <v>2016.5</v>
      </c>
      <c r="D873" s="221">
        <v>15350</v>
      </c>
      <c r="E873" s="224">
        <f t="shared" si="16"/>
        <v>1535</v>
      </c>
    </row>
    <row r="874" spans="1:5">
      <c r="A874" s="223">
        <v>40312</v>
      </c>
      <c r="B874" s="217">
        <v>185050</v>
      </c>
      <c r="C874" s="218">
        <v>1952</v>
      </c>
      <c r="D874" s="221">
        <v>15350</v>
      </c>
      <c r="E874" s="224">
        <f t="shared" si="16"/>
        <v>1535</v>
      </c>
    </row>
    <row r="875" spans="1:5">
      <c r="A875" s="223">
        <v>40315</v>
      </c>
      <c r="B875" s="217">
        <v>185375</v>
      </c>
      <c r="C875" s="218">
        <v>1864</v>
      </c>
      <c r="D875" s="221">
        <v>15200</v>
      </c>
      <c r="E875" s="224">
        <f t="shared" si="16"/>
        <v>1520</v>
      </c>
    </row>
    <row r="876" spans="1:5">
      <c r="A876" s="223">
        <v>40316</v>
      </c>
      <c r="B876" s="217">
        <v>186800</v>
      </c>
      <c r="C876" s="218">
        <v>1795.5</v>
      </c>
      <c r="D876" s="221">
        <v>14700</v>
      </c>
      <c r="E876" s="224">
        <f t="shared" si="16"/>
        <v>1470</v>
      </c>
    </row>
    <row r="877" spans="1:5">
      <c r="A877" s="223">
        <v>40317</v>
      </c>
      <c r="B877" s="217">
        <v>186700</v>
      </c>
      <c r="C877" s="218">
        <v>1721</v>
      </c>
      <c r="D877" s="221">
        <v>14700</v>
      </c>
      <c r="E877" s="224">
        <f t="shared" si="16"/>
        <v>1470</v>
      </c>
    </row>
    <row r="878" spans="1:5">
      <c r="A878" s="223">
        <v>40318</v>
      </c>
      <c r="B878" s="217">
        <v>186700</v>
      </c>
      <c r="C878" s="218">
        <v>1720</v>
      </c>
      <c r="D878" s="221">
        <v>14700</v>
      </c>
      <c r="E878" s="224">
        <f t="shared" si="16"/>
        <v>1470</v>
      </c>
    </row>
    <row r="879" spans="1:5">
      <c r="A879" s="223">
        <v>40319</v>
      </c>
      <c r="B879" s="217">
        <v>186650</v>
      </c>
      <c r="C879" s="218">
        <v>1722.5</v>
      </c>
      <c r="D879" s="221">
        <v>14700</v>
      </c>
      <c r="E879" s="224">
        <f t="shared" si="16"/>
        <v>1470</v>
      </c>
    </row>
    <row r="880" spans="1:5">
      <c r="A880" s="223">
        <v>40322</v>
      </c>
      <c r="B880" s="217">
        <v>186800</v>
      </c>
      <c r="C880" s="218">
        <v>1779</v>
      </c>
      <c r="D880" s="221">
        <v>14800</v>
      </c>
      <c r="E880" s="224">
        <f t="shared" si="16"/>
        <v>1480</v>
      </c>
    </row>
    <row r="881" spans="1:5">
      <c r="A881" s="223">
        <v>40323</v>
      </c>
      <c r="B881" s="217">
        <v>190125</v>
      </c>
      <c r="C881" s="218">
        <v>1724</v>
      </c>
      <c r="D881" s="221">
        <v>14900</v>
      </c>
      <c r="E881" s="224">
        <f t="shared" si="16"/>
        <v>1490</v>
      </c>
    </row>
    <row r="882" spans="1:5">
      <c r="A882" s="223">
        <v>40324</v>
      </c>
      <c r="B882" s="217">
        <v>189825</v>
      </c>
      <c r="C882" s="218">
        <v>1760</v>
      </c>
      <c r="D882" s="221">
        <v>14750</v>
      </c>
      <c r="E882" s="224">
        <f t="shared" si="16"/>
        <v>1475</v>
      </c>
    </row>
    <row r="883" spans="1:5">
      <c r="A883" s="223">
        <v>40325</v>
      </c>
      <c r="B883" s="217">
        <v>190400</v>
      </c>
      <c r="C883" s="218">
        <v>1777</v>
      </c>
      <c r="D883" s="221">
        <v>14650</v>
      </c>
      <c r="E883" s="224">
        <f t="shared" si="16"/>
        <v>1465</v>
      </c>
    </row>
    <row r="884" spans="1:5">
      <c r="A884" s="223">
        <v>40326</v>
      </c>
      <c r="B884" s="217">
        <v>190600</v>
      </c>
      <c r="C884" s="218">
        <v>1821</v>
      </c>
      <c r="D884" s="221">
        <v>14800</v>
      </c>
      <c r="E884" s="224">
        <f t="shared" si="16"/>
        <v>1480</v>
      </c>
    </row>
    <row r="885" spans="1:5">
      <c r="A885" s="223">
        <v>40329</v>
      </c>
      <c r="B885" s="217">
        <v>190600</v>
      </c>
      <c r="C885" s="218">
        <v>1821</v>
      </c>
      <c r="D885" s="221">
        <v>14800</v>
      </c>
      <c r="E885" s="224">
        <f t="shared" si="16"/>
        <v>1480</v>
      </c>
    </row>
    <row r="886" spans="1:5">
      <c r="A886" s="223">
        <v>40330</v>
      </c>
      <c r="B886" s="217">
        <v>192675</v>
      </c>
      <c r="C886" s="218">
        <v>1751</v>
      </c>
      <c r="D886" s="221">
        <v>14700</v>
      </c>
      <c r="E886" s="224">
        <f t="shared" si="16"/>
        <v>1470</v>
      </c>
    </row>
    <row r="887" spans="1:5">
      <c r="A887" s="223">
        <v>40331</v>
      </c>
      <c r="B887" s="217">
        <v>192225</v>
      </c>
      <c r="C887" s="218">
        <v>1709.5</v>
      </c>
      <c r="D887" s="221">
        <v>14600</v>
      </c>
      <c r="E887" s="224">
        <f t="shared" si="16"/>
        <v>1460</v>
      </c>
    </row>
    <row r="888" spans="1:5">
      <c r="A888" s="223">
        <v>40332</v>
      </c>
      <c r="B888" s="217">
        <v>192200</v>
      </c>
      <c r="C888" s="218">
        <v>1640.5</v>
      </c>
      <c r="D888" s="221">
        <v>14550</v>
      </c>
      <c r="E888" s="224">
        <f t="shared" si="16"/>
        <v>1455</v>
      </c>
    </row>
    <row r="889" spans="1:5">
      <c r="A889" s="223">
        <v>40333</v>
      </c>
      <c r="B889" s="217">
        <v>191925</v>
      </c>
      <c r="C889" s="218">
        <v>1621</v>
      </c>
      <c r="D889" s="221">
        <v>14450</v>
      </c>
      <c r="E889" s="224">
        <f t="shared" si="16"/>
        <v>1445</v>
      </c>
    </row>
    <row r="890" spans="1:5">
      <c r="A890" s="223">
        <v>40336</v>
      </c>
      <c r="B890" s="217">
        <v>192650</v>
      </c>
      <c r="C890" s="218">
        <v>1558.5</v>
      </c>
      <c r="D890" s="221">
        <v>14100</v>
      </c>
      <c r="E890" s="224">
        <f t="shared" si="16"/>
        <v>1410</v>
      </c>
    </row>
    <row r="891" spans="1:5">
      <c r="A891" s="223">
        <v>40337</v>
      </c>
      <c r="B891" s="217">
        <v>192225</v>
      </c>
      <c r="C891" s="218">
        <v>1562.5</v>
      </c>
      <c r="D891" s="221">
        <v>13800</v>
      </c>
      <c r="E891" s="224">
        <f t="shared" si="16"/>
        <v>1380</v>
      </c>
    </row>
    <row r="892" spans="1:5">
      <c r="A892" s="223">
        <v>40338</v>
      </c>
      <c r="B892" s="217">
        <v>192950</v>
      </c>
      <c r="C892" s="218">
        <v>1655</v>
      </c>
      <c r="D892" s="221">
        <v>13800</v>
      </c>
      <c r="E892" s="224">
        <f t="shared" si="16"/>
        <v>1380</v>
      </c>
    </row>
    <row r="893" spans="1:5">
      <c r="A893" s="223">
        <v>40339</v>
      </c>
      <c r="B893" s="217">
        <v>192375</v>
      </c>
      <c r="C893" s="218">
        <v>1655.5</v>
      </c>
      <c r="D893" s="221">
        <v>13850</v>
      </c>
      <c r="E893" s="224">
        <f t="shared" si="16"/>
        <v>1385</v>
      </c>
    </row>
    <row r="894" spans="1:5">
      <c r="A894" s="223">
        <v>40340</v>
      </c>
      <c r="B894" s="217">
        <v>192825</v>
      </c>
      <c r="C894" s="218">
        <v>1676</v>
      </c>
      <c r="D894" s="221">
        <v>14100</v>
      </c>
      <c r="E894" s="224">
        <f t="shared" si="16"/>
        <v>1410</v>
      </c>
    </row>
    <row r="895" spans="1:5">
      <c r="A895" s="223">
        <v>40343</v>
      </c>
      <c r="B895" s="217">
        <v>193000</v>
      </c>
      <c r="C895" s="218">
        <v>1674</v>
      </c>
      <c r="D895" s="221">
        <v>14100</v>
      </c>
      <c r="E895" s="224">
        <f>D895/10</f>
        <v>1410</v>
      </c>
    </row>
    <row r="896" spans="1:5">
      <c r="A896" s="223">
        <v>40344</v>
      </c>
      <c r="B896" s="217">
        <v>192600</v>
      </c>
      <c r="C896" s="218">
        <v>1685</v>
      </c>
      <c r="D896" s="221">
        <v>14100</v>
      </c>
      <c r="E896" s="224">
        <f>D896/10</f>
        <v>1410</v>
      </c>
    </row>
    <row r="897" spans="1:5">
      <c r="A897" s="223">
        <v>40345</v>
      </c>
      <c r="B897" s="217">
        <v>191700</v>
      </c>
      <c r="C897" s="218">
        <v>1701</v>
      </c>
      <c r="D897" s="221">
        <v>14100</v>
      </c>
      <c r="E897" s="224">
        <f>D897/10</f>
        <v>1410</v>
      </c>
    </row>
    <row r="898" spans="1:5">
      <c r="A898" s="223">
        <v>40346</v>
      </c>
      <c r="B898" s="217">
        <v>190850</v>
      </c>
      <c r="C898" s="218">
        <v>1715</v>
      </c>
      <c r="D898" s="221">
        <v>14400</v>
      </c>
      <c r="E898" s="224">
        <f t="shared" si="16"/>
        <v>1440</v>
      </c>
    </row>
    <row r="899" spans="1:5">
      <c r="A899" s="223">
        <v>40347</v>
      </c>
      <c r="B899" s="217">
        <v>189800</v>
      </c>
      <c r="C899" s="218">
        <v>1706.5</v>
      </c>
      <c r="D899" s="221">
        <v>14300</v>
      </c>
      <c r="E899" s="224">
        <f t="shared" ref="E899:E962" si="17">D899/10</f>
        <v>1430</v>
      </c>
    </row>
    <row r="900" spans="1:5">
      <c r="A900" s="223">
        <v>40350</v>
      </c>
      <c r="B900" s="217">
        <v>189425</v>
      </c>
      <c r="C900" s="218">
        <v>1786</v>
      </c>
      <c r="D900" s="221">
        <v>14400</v>
      </c>
      <c r="E900" s="224">
        <f t="shared" si="17"/>
        <v>1440</v>
      </c>
    </row>
    <row r="901" spans="1:5">
      <c r="A901" s="223">
        <v>40351</v>
      </c>
      <c r="B901" s="217">
        <v>188900</v>
      </c>
      <c r="C901" s="218">
        <v>1766</v>
      </c>
      <c r="D901" s="221">
        <v>14700</v>
      </c>
      <c r="E901" s="224">
        <f t="shared" si="17"/>
        <v>1470</v>
      </c>
    </row>
    <row r="902" spans="1:5">
      <c r="A902" s="223">
        <v>40352</v>
      </c>
      <c r="B902" s="217">
        <v>188800</v>
      </c>
      <c r="C902" s="218">
        <v>1782</v>
      </c>
      <c r="D902" s="221">
        <v>14900</v>
      </c>
      <c r="E902" s="224">
        <f t="shared" si="17"/>
        <v>1490</v>
      </c>
    </row>
    <row r="903" spans="1:5">
      <c r="A903" s="223">
        <v>40353</v>
      </c>
      <c r="B903" s="217">
        <v>189225</v>
      </c>
      <c r="C903" s="218">
        <v>1780.5</v>
      </c>
      <c r="D903" s="221">
        <v>14900</v>
      </c>
      <c r="E903" s="224">
        <f t="shared" si="17"/>
        <v>1490</v>
      </c>
    </row>
    <row r="904" spans="1:5">
      <c r="A904" s="223">
        <v>40354</v>
      </c>
      <c r="B904" s="217">
        <v>188800</v>
      </c>
      <c r="C904" s="218">
        <v>1802</v>
      </c>
      <c r="D904" s="221">
        <v>14950</v>
      </c>
      <c r="E904" s="224">
        <f t="shared" si="17"/>
        <v>1495</v>
      </c>
    </row>
    <row r="905" spans="1:5">
      <c r="A905" s="223">
        <v>40357</v>
      </c>
      <c r="B905" s="217">
        <v>189425</v>
      </c>
      <c r="C905" s="218">
        <v>1828</v>
      </c>
      <c r="D905" s="221">
        <v>14950</v>
      </c>
      <c r="E905" s="224">
        <f t="shared" si="17"/>
        <v>1495</v>
      </c>
    </row>
    <row r="906" spans="1:5">
      <c r="A906" s="223">
        <v>40358</v>
      </c>
      <c r="B906" s="217">
        <v>189550</v>
      </c>
      <c r="C906" s="218">
        <v>1741.5</v>
      </c>
      <c r="D906" s="221">
        <v>14950</v>
      </c>
      <c r="E906" s="224">
        <f t="shared" si="17"/>
        <v>1495</v>
      </c>
    </row>
    <row r="907" spans="1:5">
      <c r="A907" s="223">
        <v>40359</v>
      </c>
      <c r="B907" s="217">
        <v>189950</v>
      </c>
      <c r="C907" s="218">
        <v>1690</v>
      </c>
      <c r="D907" s="221">
        <v>14700</v>
      </c>
      <c r="E907" s="224">
        <f t="shared" si="17"/>
        <v>1470</v>
      </c>
    </row>
    <row r="908" spans="1:5">
      <c r="A908" s="223">
        <v>40360</v>
      </c>
      <c r="B908" s="217">
        <v>190475</v>
      </c>
      <c r="C908" s="218">
        <v>1692.5</v>
      </c>
      <c r="D908" s="221">
        <v>14700</v>
      </c>
      <c r="E908" s="224">
        <f t="shared" si="17"/>
        <v>1470</v>
      </c>
    </row>
    <row r="909" spans="1:5">
      <c r="A909" s="223">
        <v>40361</v>
      </c>
      <c r="B909" s="217">
        <v>189700</v>
      </c>
      <c r="C909" s="218">
        <v>1736</v>
      </c>
      <c r="D909" s="221">
        <v>14600</v>
      </c>
      <c r="E909" s="224">
        <f t="shared" si="17"/>
        <v>1460</v>
      </c>
    </row>
    <row r="910" spans="1:5">
      <c r="A910" s="223">
        <v>40364</v>
      </c>
      <c r="B910" s="217">
        <v>189625</v>
      </c>
      <c r="C910" s="218">
        <v>1731.5</v>
      </c>
      <c r="D910" s="221">
        <v>14700</v>
      </c>
      <c r="E910" s="224">
        <f t="shared" si="17"/>
        <v>1470</v>
      </c>
    </row>
    <row r="911" spans="1:5">
      <c r="A911" s="223">
        <v>40365</v>
      </c>
      <c r="B911" s="217">
        <v>189350</v>
      </c>
      <c r="C911" s="218">
        <v>1755</v>
      </c>
      <c r="D911" s="221">
        <v>14700</v>
      </c>
      <c r="E911" s="224">
        <f t="shared" si="17"/>
        <v>1470</v>
      </c>
    </row>
    <row r="912" spans="1:5">
      <c r="A912" s="223">
        <v>40366</v>
      </c>
      <c r="B912" s="217">
        <v>189850</v>
      </c>
      <c r="C912" s="218">
        <v>1756</v>
      </c>
      <c r="D912" s="221">
        <v>14750</v>
      </c>
      <c r="E912" s="224">
        <f t="shared" si="17"/>
        <v>1475</v>
      </c>
    </row>
    <row r="913" spans="1:5">
      <c r="A913" s="223">
        <v>40367</v>
      </c>
      <c r="B913" s="217">
        <v>189350</v>
      </c>
      <c r="C913" s="218">
        <v>1804</v>
      </c>
      <c r="D913" s="221">
        <v>14750</v>
      </c>
      <c r="E913" s="224">
        <f t="shared" si="17"/>
        <v>1475</v>
      </c>
    </row>
    <row r="914" spans="1:5">
      <c r="A914" s="223">
        <v>40368</v>
      </c>
      <c r="B914" s="217">
        <v>189025</v>
      </c>
      <c r="C914" s="218">
        <v>1808</v>
      </c>
      <c r="D914" s="221">
        <v>14800</v>
      </c>
      <c r="E914" s="224">
        <f t="shared" si="17"/>
        <v>1480</v>
      </c>
    </row>
    <row r="915" spans="1:5">
      <c r="A915" s="223">
        <v>40371</v>
      </c>
      <c r="B915" s="217">
        <v>189075</v>
      </c>
      <c r="C915" s="218">
        <v>1807</v>
      </c>
      <c r="D915" s="221">
        <v>14900</v>
      </c>
      <c r="E915" s="224">
        <f t="shared" si="17"/>
        <v>1490</v>
      </c>
    </row>
    <row r="916" spans="1:5">
      <c r="A916" s="223">
        <v>40372</v>
      </c>
      <c r="B916" s="217">
        <v>188700</v>
      </c>
      <c r="C916" s="218">
        <v>1766.5</v>
      </c>
      <c r="D916" s="221">
        <v>14800</v>
      </c>
      <c r="E916" s="224">
        <f t="shared" si="17"/>
        <v>1480</v>
      </c>
    </row>
    <row r="917" spans="1:5">
      <c r="A917" s="223">
        <v>40373</v>
      </c>
      <c r="B917" s="217">
        <v>188150</v>
      </c>
      <c r="C917" s="218">
        <v>1814</v>
      </c>
      <c r="D917" s="221">
        <v>14850</v>
      </c>
      <c r="E917" s="224">
        <f t="shared" si="17"/>
        <v>1485</v>
      </c>
    </row>
    <row r="918" spans="1:5">
      <c r="A918" s="223">
        <v>40374</v>
      </c>
      <c r="B918" s="217">
        <v>187700</v>
      </c>
      <c r="C918" s="218">
        <v>1801</v>
      </c>
      <c r="D918" s="221">
        <v>14850</v>
      </c>
      <c r="E918" s="224">
        <f t="shared" si="17"/>
        <v>1485</v>
      </c>
    </row>
    <row r="919" spans="1:5">
      <c r="A919" s="223">
        <v>40375</v>
      </c>
      <c r="B919" s="217">
        <v>186975</v>
      </c>
      <c r="C919" s="218">
        <v>1789</v>
      </c>
      <c r="D919" s="221">
        <v>14850</v>
      </c>
      <c r="E919" s="224">
        <f t="shared" si="17"/>
        <v>1485</v>
      </c>
    </row>
    <row r="920" spans="1:5">
      <c r="A920" s="223">
        <v>40378</v>
      </c>
      <c r="B920" s="217">
        <v>186775</v>
      </c>
      <c r="C920" s="218">
        <v>1751.5</v>
      </c>
      <c r="D920" s="221">
        <v>14850</v>
      </c>
      <c r="E920" s="224">
        <f t="shared" si="17"/>
        <v>1485</v>
      </c>
    </row>
    <row r="921" spans="1:5">
      <c r="A921" s="223">
        <v>40379</v>
      </c>
      <c r="B921" s="217">
        <v>185775</v>
      </c>
      <c r="C921" s="218">
        <v>1762</v>
      </c>
      <c r="D921" s="221">
        <v>14900</v>
      </c>
      <c r="E921" s="224">
        <f t="shared" si="17"/>
        <v>1490</v>
      </c>
    </row>
    <row r="922" spans="1:5">
      <c r="A922" s="223">
        <v>40380</v>
      </c>
      <c r="B922" s="217">
        <v>184625</v>
      </c>
      <c r="C922" s="218">
        <v>1844</v>
      </c>
      <c r="D922" s="221">
        <v>15000</v>
      </c>
      <c r="E922" s="224">
        <f t="shared" si="17"/>
        <v>1500</v>
      </c>
    </row>
    <row r="923" spans="1:5">
      <c r="A923" s="223">
        <v>40381</v>
      </c>
      <c r="B923" s="217">
        <v>184200</v>
      </c>
      <c r="C923" s="218">
        <v>1894</v>
      </c>
      <c r="D923" s="221">
        <v>15100</v>
      </c>
      <c r="E923" s="224">
        <f t="shared" si="17"/>
        <v>1510</v>
      </c>
    </row>
    <row r="924" spans="1:5">
      <c r="A924" s="223">
        <v>40382</v>
      </c>
      <c r="B924" s="217">
        <v>183225</v>
      </c>
      <c r="C924" s="218">
        <v>1930.5</v>
      </c>
      <c r="D924" s="221">
        <v>15250</v>
      </c>
      <c r="E924" s="224">
        <f t="shared" si="17"/>
        <v>1525</v>
      </c>
    </row>
    <row r="925" spans="1:5">
      <c r="A925" s="223">
        <v>40385</v>
      </c>
      <c r="B925" s="217">
        <v>182800</v>
      </c>
      <c r="C925" s="218">
        <v>1960</v>
      </c>
      <c r="D925" s="221">
        <v>15400</v>
      </c>
      <c r="E925" s="224">
        <f t="shared" si="17"/>
        <v>1540</v>
      </c>
    </row>
    <row r="926" spans="1:5">
      <c r="A926" s="223">
        <v>40386</v>
      </c>
      <c r="B926" s="217">
        <v>183175</v>
      </c>
      <c r="C926" s="218">
        <v>1975</v>
      </c>
      <c r="D926" s="221">
        <v>15600</v>
      </c>
      <c r="E926" s="224">
        <f t="shared" si="17"/>
        <v>1560</v>
      </c>
    </row>
    <row r="927" spans="1:5">
      <c r="A927" s="223">
        <v>40387</v>
      </c>
      <c r="B927" s="217">
        <v>183350</v>
      </c>
      <c r="C927" s="218">
        <v>1968</v>
      </c>
      <c r="D927" s="221">
        <v>15800</v>
      </c>
      <c r="E927" s="224">
        <f t="shared" si="17"/>
        <v>1580</v>
      </c>
    </row>
    <row r="928" spans="1:5">
      <c r="A928" s="223">
        <v>40388</v>
      </c>
      <c r="B928" s="217">
        <v>183825</v>
      </c>
      <c r="C928" s="218">
        <v>2003</v>
      </c>
      <c r="D928" s="221">
        <v>15900</v>
      </c>
      <c r="E928" s="224">
        <f t="shared" si="17"/>
        <v>1590</v>
      </c>
    </row>
    <row r="929" spans="1:5">
      <c r="A929" s="223">
        <v>40389</v>
      </c>
      <c r="B929" s="217">
        <v>184150</v>
      </c>
      <c r="C929" s="218">
        <v>2065</v>
      </c>
      <c r="D929" s="221">
        <v>15900</v>
      </c>
      <c r="E929" s="224">
        <f t="shared" si="17"/>
        <v>1590</v>
      </c>
    </row>
    <row r="930" spans="1:5">
      <c r="A930" s="223">
        <v>40392</v>
      </c>
      <c r="B930" s="217">
        <v>183950</v>
      </c>
      <c r="C930" s="218">
        <v>2085</v>
      </c>
      <c r="D930" s="221">
        <v>16000</v>
      </c>
      <c r="E930" s="224">
        <f t="shared" si="17"/>
        <v>1600</v>
      </c>
    </row>
    <row r="931" spans="1:5">
      <c r="A931" s="223">
        <v>40393</v>
      </c>
      <c r="B931" s="217">
        <v>184850</v>
      </c>
      <c r="C931" s="218">
        <v>2175.5</v>
      </c>
      <c r="D931" s="221">
        <v>16400</v>
      </c>
      <c r="E931" s="224">
        <f t="shared" si="17"/>
        <v>1640</v>
      </c>
    </row>
    <row r="932" spans="1:5">
      <c r="A932" s="223">
        <v>40394</v>
      </c>
      <c r="B932" s="217">
        <v>184975</v>
      </c>
      <c r="C932" s="218">
        <v>2183</v>
      </c>
      <c r="D932" s="221">
        <v>16400</v>
      </c>
      <c r="E932" s="224">
        <f t="shared" si="17"/>
        <v>1640</v>
      </c>
    </row>
    <row r="933" spans="1:5">
      <c r="A933" s="223">
        <v>40395</v>
      </c>
      <c r="B933" s="217">
        <v>187225</v>
      </c>
      <c r="C933" s="218">
        <v>2190.5</v>
      </c>
      <c r="D933" s="221">
        <v>16400</v>
      </c>
      <c r="E933" s="224">
        <f t="shared" si="17"/>
        <v>1640</v>
      </c>
    </row>
    <row r="934" spans="1:5">
      <c r="A934" s="223">
        <v>40396</v>
      </c>
      <c r="B934" s="217">
        <v>187975</v>
      </c>
      <c r="C934" s="218">
        <v>2167.5</v>
      </c>
      <c r="D934" s="221">
        <v>16250</v>
      </c>
      <c r="E934" s="224">
        <f t="shared" si="17"/>
        <v>1625</v>
      </c>
    </row>
    <row r="935" spans="1:5">
      <c r="A935" s="223">
        <v>40399</v>
      </c>
      <c r="B935" s="217">
        <v>189975</v>
      </c>
      <c r="C935" s="218">
        <v>2171</v>
      </c>
      <c r="D935" s="221">
        <v>16250</v>
      </c>
      <c r="E935" s="224">
        <f t="shared" si="17"/>
        <v>1625</v>
      </c>
    </row>
    <row r="936" spans="1:5">
      <c r="A936" s="223">
        <v>40400</v>
      </c>
      <c r="B936" s="217">
        <v>189975</v>
      </c>
      <c r="C936" s="218">
        <v>2100.5</v>
      </c>
      <c r="D936" s="221">
        <v>16250</v>
      </c>
      <c r="E936" s="224">
        <f t="shared" si="17"/>
        <v>1625</v>
      </c>
    </row>
    <row r="937" spans="1:5">
      <c r="A937" s="223">
        <v>40401</v>
      </c>
      <c r="B937" s="217">
        <v>190425</v>
      </c>
      <c r="C937" s="218">
        <v>2047</v>
      </c>
      <c r="D937" s="221">
        <v>16200</v>
      </c>
      <c r="E937" s="224">
        <f t="shared" si="17"/>
        <v>1620</v>
      </c>
    </row>
    <row r="938" spans="1:5">
      <c r="A938" s="223">
        <v>40402</v>
      </c>
      <c r="B938" s="217">
        <v>190425</v>
      </c>
      <c r="C938" s="218">
        <v>2028</v>
      </c>
      <c r="D938" s="221">
        <v>16200</v>
      </c>
      <c r="E938" s="224">
        <f t="shared" si="17"/>
        <v>1620</v>
      </c>
    </row>
    <row r="939" spans="1:5">
      <c r="A939" s="223">
        <v>40403</v>
      </c>
      <c r="B939" s="217">
        <v>190250</v>
      </c>
      <c r="C939" s="218">
        <v>2065.5</v>
      </c>
      <c r="D939" s="221">
        <v>16200</v>
      </c>
      <c r="E939" s="224">
        <f t="shared" si="17"/>
        <v>1620</v>
      </c>
    </row>
    <row r="940" spans="1:5">
      <c r="A940" s="223">
        <v>40406</v>
      </c>
      <c r="B940" s="217">
        <v>189975</v>
      </c>
      <c r="C940" s="218">
        <v>2040.5</v>
      </c>
      <c r="D940" s="221">
        <v>16150</v>
      </c>
      <c r="E940" s="224">
        <f t="shared" si="17"/>
        <v>1615</v>
      </c>
    </row>
    <row r="941" spans="1:5">
      <c r="A941" s="223">
        <v>40407</v>
      </c>
      <c r="B941" s="217">
        <v>192400</v>
      </c>
      <c r="C941" s="218">
        <v>2113</v>
      </c>
      <c r="D941" s="221">
        <v>16200</v>
      </c>
      <c r="E941" s="224">
        <f t="shared" si="17"/>
        <v>1620</v>
      </c>
    </row>
    <row r="942" spans="1:5">
      <c r="A942" s="223">
        <v>40408</v>
      </c>
      <c r="B942" s="217">
        <v>192475</v>
      </c>
      <c r="C942" s="218">
        <v>2119</v>
      </c>
      <c r="D942" s="221">
        <v>16250</v>
      </c>
      <c r="E942" s="224">
        <f t="shared" si="17"/>
        <v>1625</v>
      </c>
    </row>
    <row r="943" spans="1:5">
      <c r="A943" s="223">
        <v>40409</v>
      </c>
      <c r="B943" s="217">
        <v>192500</v>
      </c>
      <c r="C943" s="218">
        <v>2103.5</v>
      </c>
      <c r="D943" s="221">
        <v>16300</v>
      </c>
      <c r="E943" s="224">
        <f t="shared" si="17"/>
        <v>1630</v>
      </c>
    </row>
    <row r="944" spans="1:5">
      <c r="A944" s="223">
        <v>40410</v>
      </c>
      <c r="B944" s="217">
        <v>192525</v>
      </c>
      <c r="C944" s="218">
        <v>2040</v>
      </c>
      <c r="D944" s="221">
        <v>16250</v>
      </c>
      <c r="E944" s="224">
        <f t="shared" si="17"/>
        <v>1625</v>
      </c>
    </row>
    <row r="945" spans="1:5">
      <c r="A945" s="223">
        <v>40413</v>
      </c>
      <c r="B945" s="217">
        <v>192700</v>
      </c>
      <c r="C945" s="218">
        <v>2021.5</v>
      </c>
      <c r="D945" s="221">
        <v>16100</v>
      </c>
      <c r="E945" s="224">
        <f t="shared" si="17"/>
        <v>1610</v>
      </c>
    </row>
    <row r="946" spans="1:5">
      <c r="A946" s="223">
        <v>40414</v>
      </c>
      <c r="B946" s="217">
        <v>192850</v>
      </c>
      <c r="C946" s="218">
        <v>1991</v>
      </c>
      <c r="D946" s="221">
        <v>16050</v>
      </c>
      <c r="E946" s="224">
        <f t="shared" si="17"/>
        <v>1605</v>
      </c>
    </row>
    <row r="947" spans="1:5">
      <c r="A947" s="223">
        <v>40415</v>
      </c>
      <c r="B947" s="217">
        <v>192850</v>
      </c>
      <c r="C947" s="218">
        <v>1937</v>
      </c>
      <c r="D947" s="221">
        <v>15900</v>
      </c>
      <c r="E947" s="224">
        <f t="shared" si="17"/>
        <v>1590</v>
      </c>
    </row>
    <row r="948" spans="1:5">
      <c r="A948" s="223">
        <v>40416</v>
      </c>
      <c r="B948" s="217">
        <v>192450</v>
      </c>
      <c r="C948" s="218">
        <v>1980.5</v>
      </c>
      <c r="D948" s="221">
        <v>15900</v>
      </c>
      <c r="E948" s="224">
        <f t="shared" si="17"/>
        <v>1590</v>
      </c>
    </row>
    <row r="949" spans="1:5">
      <c r="A949" s="223">
        <v>40417</v>
      </c>
      <c r="B949" s="217">
        <v>192150</v>
      </c>
      <c r="C949" s="218">
        <v>2010</v>
      </c>
      <c r="D949" s="221">
        <v>15950</v>
      </c>
      <c r="E949" s="224">
        <f t="shared" si="17"/>
        <v>1595</v>
      </c>
    </row>
    <row r="950" spans="1:5">
      <c r="A950" s="223">
        <v>40420</v>
      </c>
      <c r="B950" s="217">
        <v>192150</v>
      </c>
      <c r="C950" s="218">
        <v>2010</v>
      </c>
      <c r="D950" s="221">
        <v>16100</v>
      </c>
      <c r="E950" s="224">
        <f t="shared" si="17"/>
        <v>1610</v>
      </c>
    </row>
    <row r="951" spans="1:5">
      <c r="A951" s="223">
        <v>40421</v>
      </c>
      <c r="B951" s="217">
        <v>191500</v>
      </c>
      <c r="C951" s="218">
        <v>2010.5</v>
      </c>
      <c r="D951" s="221">
        <v>16200</v>
      </c>
      <c r="E951" s="224">
        <f t="shared" si="17"/>
        <v>1620</v>
      </c>
    </row>
    <row r="952" spans="1:5">
      <c r="A952" s="223">
        <v>40422</v>
      </c>
      <c r="B952" s="217">
        <v>191100</v>
      </c>
      <c r="C952" s="218">
        <v>2089</v>
      </c>
      <c r="D952" s="221">
        <v>16200</v>
      </c>
      <c r="E952" s="224">
        <f t="shared" si="17"/>
        <v>1620</v>
      </c>
    </row>
    <row r="953" spans="1:5">
      <c r="A953" s="223">
        <v>40423</v>
      </c>
      <c r="B953" s="217">
        <v>191800</v>
      </c>
      <c r="C953" s="218">
        <v>2130</v>
      </c>
      <c r="D953" s="221">
        <v>16300</v>
      </c>
      <c r="E953" s="224">
        <f t="shared" si="17"/>
        <v>1630</v>
      </c>
    </row>
    <row r="954" spans="1:5">
      <c r="A954" s="223">
        <v>40424</v>
      </c>
      <c r="B954" s="217">
        <v>191400</v>
      </c>
      <c r="C954" s="218">
        <v>2137</v>
      </c>
      <c r="D954" s="221">
        <v>16300</v>
      </c>
      <c r="E954" s="224">
        <f t="shared" si="17"/>
        <v>1630</v>
      </c>
    </row>
    <row r="955" spans="1:5">
      <c r="A955" s="223">
        <v>40427</v>
      </c>
      <c r="B955" s="217">
        <v>191000</v>
      </c>
      <c r="C955" s="218">
        <v>2160</v>
      </c>
      <c r="D955" s="221">
        <v>16350</v>
      </c>
      <c r="E955" s="224">
        <f t="shared" si="17"/>
        <v>1635</v>
      </c>
    </row>
    <row r="956" spans="1:5">
      <c r="A956" s="223">
        <v>40428</v>
      </c>
      <c r="B956" s="217">
        <v>191025</v>
      </c>
      <c r="C956" s="218">
        <v>2126</v>
      </c>
      <c r="D956" s="221">
        <v>16400</v>
      </c>
      <c r="E956" s="224">
        <f t="shared" si="17"/>
        <v>1640</v>
      </c>
    </row>
    <row r="957" spans="1:5">
      <c r="A957" s="223">
        <v>40429</v>
      </c>
      <c r="B957" s="217">
        <v>190975</v>
      </c>
      <c r="C957" s="218">
        <v>2151</v>
      </c>
      <c r="D957" s="221">
        <v>16350</v>
      </c>
      <c r="E957" s="224">
        <f t="shared" si="17"/>
        <v>1635</v>
      </c>
    </row>
    <row r="958" spans="1:5">
      <c r="A958" s="223">
        <v>40430</v>
      </c>
      <c r="B958" s="217">
        <v>191000</v>
      </c>
      <c r="C958" s="218">
        <v>2162</v>
      </c>
      <c r="D958" s="221">
        <v>16400</v>
      </c>
      <c r="E958" s="224">
        <f t="shared" si="17"/>
        <v>1640</v>
      </c>
    </row>
    <row r="959" spans="1:5">
      <c r="A959" s="223">
        <v>40431</v>
      </c>
      <c r="B959" s="217">
        <v>191000</v>
      </c>
      <c r="C959" s="218">
        <v>2170</v>
      </c>
      <c r="D959" s="221">
        <v>16300</v>
      </c>
      <c r="E959" s="224">
        <f t="shared" si="17"/>
        <v>1630</v>
      </c>
    </row>
    <row r="960" spans="1:5">
      <c r="A960" s="223">
        <v>40434</v>
      </c>
      <c r="B960" s="217">
        <v>190625</v>
      </c>
      <c r="C960" s="218">
        <v>2186</v>
      </c>
      <c r="D960" s="221">
        <v>16300</v>
      </c>
      <c r="E960" s="224">
        <f t="shared" si="17"/>
        <v>1630</v>
      </c>
    </row>
    <row r="961" spans="1:5">
      <c r="A961" s="223">
        <v>40435</v>
      </c>
      <c r="B961" s="217">
        <v>190150</v>
      </c>
      <c r="C961" s="218">
        <v>2189</v>
      </c>
      <c r="D961" s="221">
        <v>16500</v>
      </c>
      <c r="E961" s="224">
        <f t="shared" si="17"/>
        <v>1650</v>
      </c>
    </row>
    <row r="962" spans="1:5">
      <c r="A962" s="223">
        <v>40436</v>
      </c>
      <c r="B962" s="217">
        <v>189825</v>
      </c>
      <c r="C962" s="218">
        <v>2196.5</v>
      </c>
      <c r="D962" s="221">
        <v>16500</v>
      </c>
      <c r="E962" s="224">
        <f t="shared" si="17"/>
        <v>1650</v>
      </c>
    </row>
    <row r="963" spans="1:5">
      <c r="A963" s="223">
        <v>40437</v>
      </c>
      <c r="B963" s="217">
        <v>192025</v>
      </c>
      <c r="C963" s="218">
        <v>2191.5</v>
      </c>
      <c r="D963" s="221">
        <v>16450</v>
      </c>
      <c r="E963" s="224">
        <f t="shared" ref="E963:E1026" si="18">D963/10</f>
        <v>1645</v>
      </c>
    </row>
    <row r="964" spans="1:5">
      <c r="A964" s="223">
        <v>40438</v>
      </c>
      <c r="B964" s="217">
        <v>191750</v>
      </c>
      <c r="C964" s="218">
        <v>2208.5</v>
      </c>
      <c r="D964" s="221">
        <v>16400</v>
      </c>
      <c r="E964" s="224">
        <f t="shared" si="18"/>
        <v>1640</v>
      </c>
    </row>
    <row r="965" spans="1:5">
      <c r="A965" s="223">
        <v>40441</v>
      </c>
      <c r="B965" s="217">
        <v>191850</v>
      </c>
      <c r="C965" s="218">
        <v>2188</v>
      </c>
      <c r="D965" s="221">
        <v>16400</v>
      </c>
      <c r="E965" s="224">
        <f t="shared" si="18"/>
        <v>1640</v>
      </c>
    </row>
    <row r="966" spans="1:5">
      <c r="A966" s="223">
        <v>40442</v>
      </c>
      <c r="B966" s="217">
        <v>191900</v>
      </c>
      <c r="C966" s="218">
        <v>2126</v>
      </c>
      <c r="D966" s="221">
        <v>16400</v>
      </c>
      <c r="E966" s="224">
        <f>D966/10</f>
        <v>1640</v>
      </c>
    </row>
    <row r="967" spans="1:5">
      <c r="A967" s="223">
        <v>40443</v>
      </c>
      <c r="B967" s="217">
        <v>191075</v>
      </c>
      <c r="C967" s="218">
        <v>2160.5</v>
      </c>
      <c r="D967" s="221">
        <v>16400</v>
      </c>
      <c r="E967" s="224">
        <f>D967/10</f>
        <v>1640</v>
      </c>
    </row>
    <row r="968" spans="1:5">
      <c r="A968" s="223">
        <v>40444</v>
      </c>
      <c r="B968" s="217">
        <v>191075</v>
      </c>
      <c r="C968" s="218">
        <v>2217.5</v>
      </c>
      <c r="D968" s="221">
        <v>16400</v>
      </c>
      <c r="E968" s="224">
        <f>D968/10</f>
        <v>1640</v>
      </c>
    </row>
    <row r="969" spans="1:5">
      <c r="A969" s="223">
        <v>40445</v>
      </c>
      <c r="B969" s="217">
        <v>190875</v>
      </c>
      <c r="C969" s="218">
        <v>2256</v>
      </c>
      <c r="D969" s="221">
        <v>16400</v>
      </c>
      <c r="E969" s="224">
        <f>D969/10</f>
        <v>1640</v>
      </c>
    </row>
    <row r="970" spans="1:5">
      <c r="A970" s="223">
        <v>40448</v>
      </c>
      <c r="B970" s="217">
        <v>190825</v>
      </c>
      <c r="C970" s="218">
        <v>2251</v>
      </c>
      <c r="D970" s="221">
        <v>16600</v>
      </c>
      <c r="E970" s="224">
        <f t="shared" si="18"/>
        <v>1660</v>
      </c>
    </row>
    <row r="971" spans="1:5">
      <c r="A971" s="223">
        <v>40449</v>
      </c>
      <c r="B971" s="217">
        <v>191625</v>
      </c>
      <c r="C971" s="218">
        <v>2223</v>
      </c>
      <c r="D971" s="221">
        <v>16600</v>
      </c>
      <c r="E971" s="224">
        <f t="shared" si="18"/>
        <v>1660</v>
      </c>
    </row>
    <row r="972" spans="1:5">
      <c r="A972" s="223">
        <v>40450</v>
      </c>
      <c r="B972" s="217">
        <v>191925</v>
      </c>
      <c r="C972" s="218">
        <v>2272.5</v>
      </c>
      <c r="D972" s="221">
        <v>16650</v>
      </c>
      <c r="E972" s="224">
        <f t="shared" si="18"/>
        <v>1665</v>
      </c>
    </row>
    <row r="973" spans="1:5">
      <c r="A973" s="223">
        <v>40451</v>
      </c>
      <c r="B973" s="217">
        <v>191700</v>
      </c>
      <c r="C973" s="218">
        <v>2262</v>
      </c>
      <c r="D973" s="221">
        <v>16650</v>
      </c>
      <c r="E973" s="224">
        <f t="shared" si="18"/>
        <v>1665</v>
      </c>
    </row>
    <row r="974" spans="1:5">
      <c r="A974" s="223">
        <v>40452</v>
      </c>
      <c r="B974" s="217">
        <v>194375</v>
      </c>
      <c r="C974" s="218">
        <v>2276.5</v>
      </c>
      <c r="D974" s="221">
        <v>16650</v>
      </c>
      <c r="E974" s="224">
        <f>D974/10</f>
        <v>1665</v>
      </c>
    </row>
    <row r="975" spans="1:5">
      <c r="A975" s="223">
        <v>40455</v>
      </c>
      <c r="B975" s="217">
        <v>197850</v>
      </c>
      <c r="C975" s="218">
        <v>2265.5</v>
      </c>
      <c r="D975" s="221">
        <v>16650</v>
      </c>
      <c r="E975" s="224">
        <f>D975/10</f>
        <v>1665</v>
      </c>
    </row>
    <row r="976" spans="1:5">
      <c r="A976" s="223">
        <v>40456</v>
      </c>
      <c r="B976" s="217">
        <v>197775</v>
      </c>
      <c r="C976" s="218">
        <v>2275</v>
      </c>
      <c r="D976" s="221">
        <v>16650</v>
      </c>
      <c r="E976" s="224">
        <f>D976/10</f>
        <v>1665</v>
      </c>
    </row>
    <row r="977" spans="1:5">
      <c r="A977" s="223">
        <v>40457</v>
      </c>
      <c r="B977" s="217">
        <v>199450</v>
      </c>
      <c r="C977" s="218">
        <v>2293.5</v>
      </c>
      <c r="D977" s="221">
        <v>16650</v>
      </c>
      <c r="E977" s="224">
        <f>D977/10</f>
        <v>1665</v>
      </c>
    </row>
    <row r="978" spans="1:5">
      <c r="A978" s="223">
        <v>40458</v>
      </c>
      <c r="B978" s="217">
        <v>199300</v>
      </c>
      <c r="C978" s="218">
        <v>2281</v>
      </c>
      <c r="D978" s="221">
        <v>16650</v>
      </c>
      <c r="E978" s="224">
        <f>D978/10</f>
        <v>1665</v>
      </c>
    </row>
    <row r="979" spans="1:5">
      <c r="A979" s="223">
        <v>40459</v>
      </c>
      <c r="B979" s="217">
        <v>198400</v>
      </c>
      <c r="C979" s="218">
        <v>2199</v>
      </c>
      <c r="D979" s="221">
        <v>16650</v>
      </c>
      <c r="E979" s="224">
        <f t="shared" si="18"/>
        <v>1665</v>
      </c>
    </row>
    <row r="980" spans="1:5">
      <c r="A980" s="223">
        <v>40462</v>
      </c>
      <c r="B980" s="217">
        <v>198450</v>
      </c>
      <c r="C980" s="218">
        <v>2270.5</v>
      </c>
      <c r="D980" s="221">
        <v>16750</v>
      </c>
      <c r="E980" s="224">
        <f t="shared" si="18"/>
        <v>1675</v>
      </c>
    </row>
    <row r="981" spans="1:5">
      <c r="A981" s="223">
        <v>40463</v>
      </c>
      <c r="B981" s="217">
        <v>198425</v>
      </c>
      <c r="C981" s="218">
        <v>2275</v>
      </c>
      <c r="D981" s="221">
        <v>16850</v>
      </c>
      <c r="E981" s="224">
        <f t="shared" si="18"/>
        <v>1685</v>
      </c>
    </row>
    <row r="982" spans="1:5">
      <c r="A982" s="223">
        <v>40464</v>
      </c>
      <c r="B982" s="217">
        <v>198425</v>
      </c>
      <c r="C982" s="218">
        <v>2408</v>
      </c>
      <c r="D982" s="221">
        <v>16850</v>
      </c>
      <c r="E982" s="224">
        <f t="shared" si="18"/>
        <v>1685</v>
      </c>
    </row>
    <row r="983" spans="1:5">
      <c r="A983" s="223">
        <v>40465</v>
      </c>
      <c r="B983" s="217">
        <v>197875</v>
      </c>
      <c r="C983" s="218">
        <v>2402</v>
      </c>
      <c r="D983" s="221">
        <v>17000</v>
      </c>
      <c r="E983" s="224">
        <f t="shared" si="18"/>
        <v>1700</v>
      </c>
    </row>
    <row r="984" spans="1:5">
      <c r="A984" s="223">
        <v>40466</v>
      </c>
      <c r="B984" s="217">
        <v>197700</v>
      </c>
      <c r="C984" s="218">
        <v>2377</v>
      </c>
      <c r="D984" s="221">
        <v>17050</v>
      </c>
      <c r="E984" s="224">
        <f t="shared" si="18"/>
        <v>1705</v>
      </c>
    </row>
    <row r="985" spans="1:5">
      <c r="A985" s="223">
        <v>40469</v>
      </c>
      <c r="B985" s="217">
        <v>197625</v>
      </c>
      <c r="C985" s="218">
        <v>2373</v>
      </c>
      <c r="D985" s="221">
        <v>17050</v>
      </c>
      <c r="E985" s="224">
        <f t="shared" si="18"/>
        <v>1705</v>
      </c>
    </row>
    <row r="986" spans="1:5">
      <c r="A986" s="223">
        <v>40470</v>
      </c>
      <c r="B986" s="217">
        <v>198300</v>
      </c>
      <c r="C986" s="218">
        <v>2377</v>
      </c>
      <c r="D986" s="221">
        <v>17100</v>
      </c>
      <c r="E986" s="224">
        <f t="shared" si="18"/>
        <v>1710</v>
      </c>
    </row>
    <row r="987" spans="1:5">
      <c r="A987" s="223">
        <v>40471</v>
      </c>
      <c r="B987" s="217">
        <v>198225</v>
      </c>
      <c r="C987" s="218">
        <v>2381</v>
      </c>
      <c r="D987" s="221">
        <v>17100</v>
      </c>
      <c r="E987" s="224">
        <f t="shared" si="18"/>
        <v>1710</v>
      </c>
    </row>
    <row r="988" spans="1:5">
      <c r="A988" s="223">
        <v>40472</v>
      </c>
      <c r="B988" s="217">
        <v>198075</v>
      </c>
      <c r="C988" s="218">
        <v>2475</v>
      </c>
      <c r="D988" s="221">
        <v>17150</v>
      </c>
      <c r="E988" s="224">
        <f t="shared" si="18"/>
        <v>1715</v>
      </c>
    </row>
    <row r="989" spans="1:5">
      <c r="A989" s="223">
        <v>40473</v>
      </c>
      <c r="B989" s="217">
        <v>197775</v>
      </c>
      <c r="C989" s="218">
        <v>2494</v>
      </c>
      <c r="D989" s="221">
        <v>17200</v>
      </c>
      <c r="E989" s="224">
        <f t="shared" si="18"/>
        <v>1720</v>
      </c>
    </row>
    <row r="990" spans="1:5">
      <c r="A990" s="223">
        <v>40476</v>
      </c>
      <c r="B990" s="217">
        <v>197725</v>
      </c>
      <c r="C990" s="218">
        <v>2560</v>
      </c>
      <c r="D990" s="221">
        <v>17400</v>
      </c>
      <c r="E990" s="224">
        <f t="shared" si="18"/>
        <v>1740</v>
      </c>
    </row>
    <row r="991" spans="1:5">
      <c r="A991" s="223">
        <v>40477</v>
      </c>
      <c r="B991" s="217">
        <v>198875</v>
      </c>
      <c r="C991" s="218">
        <v>2541</v>
      </c>
      <c r="D991" s="221">
        <v>17700</v>
      </c>
      <c r="E991" s="224">
        <f t="shared" si="18"/>
        <v>1770</v>
      </c>
    </row>
    <row r="992" spans="1:5">
      <c r="A992" s="223">
        <v>40478</v>
      </c>
      <c r="B992" s="217">
        <v>198700</v>
      </c>
      <c r="C992" s="218">
        <v>2532</v>
      </c>
      <c r="D992" s="221">
        <v>17700</v>
      </c>
      <c r="E992" s="224">
        <f t="shared" si="18"/>
        <v>1770</v>
      </c>
    </row>
    <row r="993" spans="1:5">
      <c r="A993" s="223">
        <v>40479</v>
      </c>
      <c r="B993" s="217">
        <v>199775</v>
      </c>
      <c r="C993" s="218">
        <v>2480</v>
      </c>
      <c r="D993" s="221">
        <v>17600</v>
      </c>
      <c r="E993" s="224">
        <f t="shared" si="18"/>
        <v>1760</v>
      </c>
    </row>
    <row r="994" spans="1:5">
      <c r="A994" s="223">
        <v>40480</v>
      </c>
      <c r="B994" s="217">
        <v>199725</v>
      </c>
      <c r="C994" s="218">
        <v>2437</v>
      </c>
      <c r="D994" s="221">
        <v>17550</v>
      </c>
      <c r="E994" s="224">
        <f t="shared" si="18"/>
        <v>1755</v>
      </c>
    </row>
    <row r="995" spans="1:5">
      <c r="A995" s="223">
        <v>40483</v>
      </c>
      <c r="B995" s="217">
        <v>199725</v>
      </c>
      <c r="C995" s="218">
        <v>2472.5</v>
      </c>
      <c r="D995" s="221">
        <v>17550</v>
      </c>
      <c r="E995" s="224">
        <f t="shared" si="18"/>
        <v>1755</v>
      </c>
    </row>
    <row r="996" spans="1:5">
      <c r="A996" s="223">
        <v>40484</v>
      </c>
      <c r="B996" s="217">
        <v>202450</v>
      </c>
      <c r="C996" s="218">
        <v>2476</v>
      </c>
      <c r="D996" s="221">
        <v>17550</v>
      </c>
      <c r="E996" s="224">
        <f t="shared" si="18"/>
        <v>1755</v>
      </c>
    </row>
    <row r="997" spans="1:5">
      <c r="A997" s="223">
        <v>40485</v>
      </c>
      <c r="B997" s="217">
        <v>202950</v>
      </c>
      <c r="C997" s="218">
        <v>2490</v>
      </c>
      <c r="D997" s="221">
        <v>17600</v>
      </c>
      <c r="E997" s="224">
        <f t="shared" si="18"/>
        <v>1760</v>
      </c>
    </row>
    <row r="998" spans="1:5">
      <c r="A998" s="223">
        <v>40486</v>
      </c>
      <c r="B998" s="217">
        <v>202525</v>
      </c>
      <c r="C998" s="218">
        <v>2500</v>
      </c>
      <c r="D998" s="221">
        <v>17550</v>
      </c>
      <c r="E998" s="224">
        <f t="shared" si="18"/>
        <v>1755</v>
      </c>
    </row>
    <row r="999" spans="1:5">
      <c r="A999" s="223">
        <v>40487</v>
      </c>
      <c r="B999" s="217">
        <v>203225</v>
      </c>
      <c r="C999" s="218">
        <v>2505</v>
      </c>
      <c r="D999" s="221">
        <v>17900</v>
      </c>
      <c r="E999" s="224">
        <f t="shared" si="18"/>
        <v>1790</v>
      </c>
    </row>
    <row r="1000" spans="1:5">
      <c r="A1000" s="223">
        <v>40490</v>
      </c>
      <c r="B1000" s="217">
        <v>202875</v>
      </c>
      <c r="C1000" s="218">
        <v>2484</v>
      </c>
      <c r="D1000" s="221">
        <v>17900</v>
      </c>
      <c r="E1000" s="224">
        <f t="shared" si="18"/>
        <v>1790</v>
      </c>
    </row>
    <row r="1001" spans="1:5">
      <c r="A1001" s="223">
        <v>40491</v>
      </c>
      <c r="B1001" s="217">
        <v>203100</v>
      </c>
      <c r="C1001" s="218">
        <v>2553.5</v>
      </c>
      <c r="D1001" s="221">
        <v>18000</v>
      </c>
      <c r="E1001" s="224">
        <f t="shared" si="18"/>
        <v>1800</v>
      </c>
    </row>
    <row r="1002" spans="1:5">
      <c r="A1002" s="223">
        <v>40492</v>
      </c>
      <c r="B1002" s="217">
        <v>203375</v>
      </c>
      <c r="C1002" s="218">
        <v>2575</v>
      </c>
      <c r="D1002" s="221">
        <v>18100</v>
      </c>
      <c r="E1002" s="224">
        <f t="shared" si="18"/>
        <v>1810</v>
      </c>
    </row>
    <row r="1003" spans="1:5">
      <c r="A1003" s="223">
        <v>40493</v>
      </c>
      <c r="B1003" s="217">
        <v>202975</v>
      </c>
      <c r="C1003" s="218">
        <v>2593.5</v>
      </c>
      <c r="D1003" s="221">
        <v>18100</v>
      </c>
      <c r="E1003" s="224">
        <f t="shared" si="18"/>
        <v>1810</v>
      </c>
    </row>
    <row r="1004" spans="1:5">
      <c r="A1004" s="223">
        <v>40494</v>
      </c>
      <c r="B1004" s="217">
        <v>202775</v>
      </c>
      <c r="C1004" s="218">
        <v>2534</v>
      </c>
      <c r="D1004" s="221">
        <v>18100</v>
      </c>
      <c r="E1004" s="224">
        <f t="shared" si="18"/>
        <v>1810</v>
      </c>
    </row>
    <row r="1005" spans="1:5">
      <c r="A1005" s="223">
        <v>40497</v>
      </c>
      <c r="B1005" s="217">
        <v>205450</v>
      </c>
      <c r="C1005" s="218">
        <v>2420</v>
      </c>
      <c r="D1005" s="221">
        <v>18000</v>
      </c>
      <c r="E1005" s="224">
        <f t="shared" si="18"/>
        <v>1800</v>
      </c>
    </row>
    <row r="1006" spans="1:5">
      <c r="A1006" s="223">
        <v>40498</v>
      </c>
      <c r="B1006" s="217">
        <v>205300</v>
      </c>
      <c r="C1006" s="218">
        <v>2384</v>
      </c>
      <c r="D1006" s="221">
        <v>17950</v>
      </c>
      <c r="E1006" s="224">
        <f t="shared" si="18"/>
        <v>1795</v>
      </c>
    </row>
    <row r="1007" spans="1:5">
      <c r="A1007" s="223">
        <v>40499</v>
      </c>
      <c r="B1007" s="217">
        <v>204950</v>
      </c>
      <c r="C1007" s="218">
        <v>2222</v>
      </c>
      <c r="D1007" s="221">
        <v>17600</v>
      </c>
      <c r="E1007" s="224">
        <f t="shared" si="18"/>
        <v>1760</v>
      </c>
    </row>
    <row r="1008" spans="1:5">
      <c r="A1008" s="223">
        <v>40500</v>
      </c>
      <c r="B1008" s="217">
        <v>204625</v>
      </c>
      <c r="C1008" s="218">
        <v>2306</v>
      </c>
      <c r="D1008" s="221">
        <v>17600</v>
      </c>
      <c r="E1008" s="224">
        <f t="shared" si="18"/>
        <v>1760</v>
      </c>
    </row>
    <row r="1009" spans="1:5">
      <c r="A1009" s="223">
        <v>40501</v>
      </c>
      <c r="B1009" s="217">
        <v>204075</v>
      </c>
      <c r="C1009" s="218">
        <v>2247</v>
      </c>
      <c r="D1009" s="221">
        <v>17600</v>
      </c>
      <c r="E1009" s="224">
        <f t="shared" si="18"/>
        <v>1760</v>
      </c>
    </row>
    <row r="1010" spans="1:5">
      <c r="A1010" s="223">
        <v>40504</v>
      </c>
      <c r="B1010" s="217">
        <v>203875</v>
      </c>
      <c r="C1010" s="218">
        <v>2226.5</v>
      </c>
      <c r="D1010" s="221">
        <v>17500</v>
      </c>
      <c r="E1010" s="224">
        <f t="shared" si="18"/>
        <v>1750</v>
      </c>
    </row>
    <row r="1011" spans="1:5">
      <c r="A1011" s="223">
        <v>40505</v>
      </c>
      <c r="B1011" s="217">
        <v>203625</v>
      </c>
      <c r="C1011" s="218">
        <v>2150</v>
      </c>
      <c r="D1011" s="221">
        <v>17400</v>
      </c>
      <c r="E1011" s="224">
        <f t="shared" si="18"/>
        <v>1740</v>
      </c>
    </row>
    <row r="1012" spans="1:5">
      <c r="A1012" s="223">
        <v>40506</v>
      </c>
      <c r="B1012" s="217">
        <v>203600</v>
      </c>
      <c r="C1012" s="218">
        <v>2199</v>
      </c>
      <c r="D1012" s="221">
        <v>17250</v>
      </c>
      <c r="E1012" s="224">
        <f t="shared" si="18"/>
        <v>1725</v>
      </c>
    </row>
    <row r="1013" spans="1:5">
      <c r="A1013" s="223">
        <v>40507</v>
      </c>
      <c r="B1013" s="217">
        <v>203350</v>
      </c>
      <c r="C1013" s="218">
        <v>2221</v>
      </c>
      <c r="D1013" s="221">
        <v>17250</v>
      </c>
      <c r="E1013" s="224">
        <f t="shared" si="18"/>
        <v>1725</v>
      </c>
    </row>
    <row r="1014" spans="1:5">
      <c r="A1014" s="223">
        <v>40508</v>
      </c>
      <c r="B1014" s="217">
        <v>203925</v>
      </c>
      <c r="C1014" s="218">
        <v>2264</v>
      </c>
      <c r="D1014" s="221">
        <v>17300</v>
      </c>
      <c r="E1014" s="224">
        <f t="shared" si="18"/>
        <v>1730</v>
      </c>
    </row>
    <row r="1015" spans="1:5">
      <c r="A1015" s="223">
        <v>40511</v>
      </c>
      <c r="B1015" s="217">
        <v>204200</v>
      </c>
      <c r="C1015" s="218">
        <v>2255</v>
      </c>
      <c r="D1015" s="221">
        <v>17250</v>
      </c>
      <c r="E1015" s="224">
        <f t="shared" si="18"/>
        <v>1725</v>
      </c>
    </row>
    <row r="1016" spans="1:5">
      <c r="A1016" s="223">
        <v>40512</v>
      </c>
      <c r="B1016" s="217">
        <v>204025</v>
      </c>
      <c r="C1016" s="218">
        <v>2210</v>
      </c>
      <c r="D1016" s="221">
        <v>17150</v>
      </c>
      <c r="E1016" s="224">
        <f t="shared" si="18"/>
        <v>1715</v>
      </c>
    </row>
    <row r="1017" spans="1:5">
      <c r="A1017" s="223">
        <v>40513</v>
      </c>
      <c r="B1017" s="217">
        <v>203875</v>
      </c>
      <c r="C1017" s="218">
        <v>2265</v>
      </c>
      <c r="D1017" s="221">
        <v>17150</v>
      </c>
      <c r="E1017" s="224">
        <f t="shared" si="18"/>
        <v>1715</v>
      </c>
    </row>
    <row r="1018" spans="1:5">
      <c r="A1018" s="223">
        <v>40514</v>
      </c>
      <c r="B1018" s="217">
        <v>203850</v>
      </c>
      <c r="C1018" s="218">
        <v>2292</v>
      </c>
      <c r="D1018" s="221">
        <v>17200</v>
      </c>
      <c r="E1018" s="224">
        <f t="shared" si="18"/>
        <v>1720</v>
      </c>
    </row>
    <row r="1019" spans="1:5">
      <c r="A1019" s="223">
        <v>40515</v>
      </c>
      <c r="B1019" s="217">
        <v>203675</v>
      </c>
      <c r="C1019" s="218">
        <v>2330.5</v>
      </c>
      <c r="D1019" s="221">
        <v>17250</v>
      </c>
      <c r="E1019" s="224">
        <f t="shared" si="18"/>
        <v>1725</v>
      </c>
    </row>
    <row r="1020" spans="1:5">
      <c r="A1020" s="223">
        <v>40518</v>
      </c>
      <c r="B1020" s="217">
        <v>203950</v>
      </c>
      <c r="C1020" s="218">
        <v>2320.5</v>
      </c>
      <c r="D1020" s="221">
        <v>17250</v>
      </c>
      <c r="E1020" s="224">
        <f t="shared" si="18"/>
        <v>1725</v>
      </c>
    </row>
    <row r="1021" spans="1:5">
      <c r="A1021" s="223">
        <v>40519</v>
      </c>
      <c r="B1021" s="217">
        <v>203550</v>
      </c>
      <c r="C1021" s="218">
        <v>2402</v>
      </c>
      <c r="D1021" s="221">
        <v>17250</v>
      </c>
      <c r="E1021" s="224">
        <f t="shared" si="18"/>
        <v>1725</v>
      </c>
    </row>
    <row r="1022" spans="1:5">
      <c r="A1022" s="223">
        <v>40520</v>
      </c>
      <c r="B1022" s="217">
        <v>203450</v>
      </c>
      <c r="C1022" s="218">
        <v>2362</v>
      </c>
      <c r="D1022" s="221">
        <v>17250</v>
      </c>
      <c r="E1022" s="224">
        <f t="shared" si="18"/>
        <v>1725</v>
      </c>
    </row>
    <row r="1023" spans="1:5">
      <c r="A1023" s="223">
        <v>40521</v>
      </c>
      <c r="B1023" s="217">
        <v>205250</v>
      </c>
      <c r="C1023" s="218">
        <v>2367.5</v>
      </c>
      <c r="D1023" s="221">
        <v>17200</v>
      </c>
      <c r="E1023" s="224">
        <f t="shared" si="18"/>
        <v>1720</v>
      </c>
    </row>
    <row r="1024" spans="1:5">
      <c r="A1024" s="223">
        <v>40522</v>
      </c>
      <c r="B1024" s="217">
        <v>204375</v>
      </c>
      <c r="C1024" s="218">
        <v>2402</v>
      </c>
      <c r="D1024" s="221">
        <v>17200</v>
      </c>
      <c r="E1024" s="224">
        <f t="shared" si="18"/>
        <v>1720</v>
      </c>
    </row>
    <row r="1025" spans="1:5">
      <c r="A1025" s="223">
        <v>40525</v>
      </c>
      <c r="B1025" s="217">
        <v>203175</v>
      </c>
      <c r="C1025" s="218">
        <v>2419.5</v>
      </c>
      <c r="D1025" s="221">
        <v>17200</v>
      </c>
      <c r="E1025" s="224">
        <f t="shared" si="18"/>
        <v>1720</v>
      </c>
    </row>
    <row r="1026" spans="1:5">
      <c r="A1026" s="223">
        <v>40526</v>
      </c>
      <c r="B1026" s="217">
        <v>203175</v>
      </c>
      <c r="C1026" s="218">
        <v>2440</v>
      </c>
      <c r="D1026" s="221">
        <v>17250</v>
      </c>
      <c r="E1026" s="224">
        <f t="shared" si="18"/>
        <v>1725</v>
      </c>
    </row>
    <row r="1027" spans="1:5">
      <c r="A1027" s="223">
        <v>40527</v>
      </c>
      <c r="B1027" s="217">
        <v>207050</v>
      </c>
      <c r="C1027" s="218">
        <v>2392</v>
      </c>
      <c r="D1027" s="221">
        <v>17250</v>
      </c>
      <c r="E1027" s="224">
        <f t="shared" ref="E1027:E1090" si="19">D1027/10</f>
        <v>1725</v>
      </c>
    </row>
    <row r="1028" spans="1:5">
      <c r="A1028" s="223">
        <v>40528</v>
      </c>
      <c r="B1028" s="217">
        <v>207775</v>
      </c>
      <c r="C1028" s="218">
        <v>2380</v>
      </c>
      <c r="D1028" s="221">
        <v>17100</v>
      </c>
      <c r="E1028" s="224">
        <f t="shared" si="19"/>
        <v>1710</v>
      </c>
    </row>
    <row r="1029" spans="1:5">
      <c r="A1029" s="223">
        <v>40529</v>
      </c>
      <c r="B1029" s="217">
        <v>207600</v>
      </c>
      <c r="C1029" s="218">
        <v>2378.5</v>
      </c>
      <c r="D1029" s="221">
        <v>17100</v>
      </c>
      <c r="E1029" s="224">
        <f t="shared" si="19"/>
        <v>1710</v>
      </c>
    </row>
    <row r="1030" spans="1:5">
      <c r="A1030" s="223">
        <v>40532</v>
      </c>
      <c r="B1030" s="217">
        <v>207750</v>
      </c>
      <c r="C1030" s="218">
        <v>2452</v>
      </c>
      <c r="D1030" s="221">
        <v>17150</v>
      </c>
      <c r="E1030" s="224">
        <f t="shared" si="19"/>
        <v>1715</v>
      </c>
    </row>
    <row r="1031" spans="1:5">
      <c r="A1031" s="223">
        <v>40533</v>
      </c>
      <c r="B1031" s="217">
        <v>207500</v>
      </c>
      <c r="C1031" s="218">
        <v>2470</v>
      </c>
      <c r="D1031" s="221">
        <v>17150</v>
      </c>
      <c r="E1031" s="224">
        <f t="shared" si="19"/>
        <v>1715</v>
      </c>
    </row>
    <row r="1032" spans="1:5">
      <c r="A1032" s="223">
        <v>40534</v>
      </c>
      <c r="B1032" s="217">
        <v>207800</v>
      </c>
      <c r="C1032" s="218">
        <v>2460</v>
      </c>
      <c r="D1032" s="221">
        <v>17150</v>
      </c>
      <c r="E1032" s="224">
        <f t="shared" si="19"/>
        <v>1715</v>
      </c>
    </row>
    <row r="1033" spans="1:5">
      <c r="A1033" s="223">
        <v>40535</v>
      </c>
      <c r="B1033" s="217">
        <v>207875</v>
      </c>
      <c r="C1033" s="218">
        <v>2417</v>
      </c>
      <c r="D1033" s="221">
        <v>17100</v>
      </c>
      <c r="E1033" s="224">
        <f t="shared" si="19"/>
        <v>1710</v>
      </c>
    </row>
    <row r="1034" spans="1:5">
      <c r="A1034" s="223">
        <v>40536</v>
      </c>
      <c r="B1034" s="217">
        <v>207850</v>
      </c>
      <c r="C1034" s="218">
        <v>2440</v>
      </c>
      <c r="D1034" s="221">
        <v>17000</v>
      </c>
      <c r="E1034" s="224">
        <f t="shared" si="19"/>
        <v>1700</v>
      </c>
    </row>
    <row r="1035" spans="1:5">
      <c r="A1035" s="223">
        <v>40539</v>
      </c>
      <c r="B1035" s="217">
        <v>207850</v>
      </c>
      <c r="C1035" s="218">
        <v>2440</v>
      </c>
      <c r="D1035" s="221">
        <v>17000</v>
      </c>
      <c r="E1035" s="224">
        <f>D1035/10</f>
        <v>1700</v>
      </c>
    </row>
    <row r="1036" spans="1:5">
      <c r="A1036" s="223">
        <v>40540</v>
      </c>
      <c r="B1036" s="217">
        <v>207850</v>
      </c>
      <c r="C1036" s="218">
        <v>2440</v>
      </c>
      <c r="D1036" s="221">
        <v>17000</v>
      </c>
      <c r="E1036" s="224">
        <f>D1036/10</f>
        <v>1700</v>
      </c>
    </row>
    <row r="1037" spans="1:5">
      <c r="A1037" s="223">
        <v>40541</v>
      </c>
      <c r="B1037" s="217">
        <v>207700</v>
      </c>
      <c r="C1037" s="218">
        <v>2535</v>
      </c>
      <c r="D1037" s="221">
        <v>17000</v>
      </c>
      <c r="E1037" s="224">
        <f t="shared" si="19"/>
        <v>1700</v>
      </c>
    </row>
    <row r="1038" spans="1:5">
      <c r="A1038" s="223">
        <v>40542</v>
      </c>
      <c r="B1038" s="217">
        <v>206850</v>
      </c>
      <c r="C1038" s="218">
        <v>2559</v>
      </c>
      <c r="D1038" s="221">
        <v>17050</v>
      </c>
      <c r="E1038" s="224">
        <f t="shared" si="19"/>
        <v>1705</v>
      </c>
    </row>
    <row r="1039" spans="1:5">
      <c r="A1039" s="223">
        <v>40543</v>
      </c>
      <c r="B1039" s="217">
        <v>208275</v>
      </c>
      <c r="C1039" s="218">
        <v>2587</v>
      </c>
      <c r="D1039" s="221">
        <v>17050</v>
      </c>
      <c r="E1039" s="224">
        <f t="shared" si="19"/>
        <v>1705</v>
      </c>
    </row>
    <row r="1040" spans="1:5">
      <c r="A1040" s="223">
        <v>40547</v>
      </c>
      <c r="B1040" s="217">
        <v>208550</v>
      </c>
      <c r="C1040" s="218">
        <v>2593</v>
      </c>
      <c r="D1040" s="221">
        <v>17100</v>
      </c>
      <c r="E1040" s="224">
        <f t="shared" si="19"/>
        <v>1710</v>
      </c>
    </row>
    <row r="1041" spans="1:5">
      <c r="A1041" s="223">
        <v>40548</v>
      </c>
      <c r="B1041" s="217">
        <v>209900</v>
      </c>
      <c r="C1041" s="218">
        <v>2569</v>
      </c>
      <c r="D1041" s="221">
        <v>17150</v>
      </c>
      <c r="E1041" s="224">
        <f t="shared" si="19"/>
        <v>1715</v>
      </c>
    </row>
    <row r="1042" spans="1:5">
      <c r="A1042" s="223">
        <v>40549</v>
      </c>
      <c r="B1042" s="217">
        <v>209850</v>
      </c>
      <c r="C1042" s="218">
        <v>2703</v>
      </c>
      <c r="D1042" s="221">
        <v>17250</v>
      </c>
      <c r="E1042" s="224">
        <f t="shared" si="19"/>
        <v>1725</v>
      </c>
    </row>
    <row r="1043" spans="1:5">
      <c r="A1043" s="223">
        <v>40550</v>
      </c>
      <c r="B1043" s="217">
        <v>209700</v>
      </c>
      <c r="C1043" s="218">
        <v>2660</v>
      </c>
      <c r="D1043" s="221">
        <v>17300</v>
      </c>
      <c r="E1043" s="224">
        <f t="shared" si="19"/>
        <v>1730</v>
      </c>
    </row>
    <row r="1044" spans="1:5">
      <c r="A1044" s="223">
        <v>40553</v>
      </c>
      <c r="B1044" s="217">
        <v>210375</v>
      </c>
      <c r="C1044" s="218">
        <v>2642</v>
      </c>
      <c r="D1044" s="221">
        <v>17450</v>
      </c>
      <c r="E1044" s="224">
        <f t="shared" si="19"/>
        <v>1745</v>
      </c>
    </row>
    <row r="1045" spans="1:5">
      <c r="A1045" s="223">
        <v>40554</v>
      </c>
      <c r="B1045" s="217">
        <v>211675</v>
      </c>
      <c r="C1045" s="218">
        <v>2630</v>
      </c>
      <c r="D1045" s="221">
        <v>17450</v>
      </c>
      <c r="E1045" s="224">
        <f t="shared" si="19"/>
        <v>1745</v>
      </c>
    </row>
    <row r="1046" spans="1:5">
      <c r="A1046" s="223">
        <v>40555</v>
      </c>
      <c r="B1046" s="217">
        <v>211975</v>
      </c>
      <c r="C1046" s="218">
        <v>2662</v>
      </c>
      <c r="D1046" s="221">
        <v>17450</v>
      </c>
      <c r="E1046" s="224">
        <f t="shared" si="19"/>
        <v>1745</v>
      </c>
    </row>
    <row r="1047" spans="1:5">
      <c r="A1047" s="223">
        <v>40556</v>
      </c>
      <c r="B1047" s="217">
        <v>211425</v>
      </c>
      <c r="C1047" s="218">
        <v>2699</v>
      </c>
      <c r="D1047" s="221">
        <v>17500</v>
      </c>
      <c r="E1047" s="224">
        <f t="shared" si="19"/>
        <v>1750</v>
      </c>
    </row>
    <row r="1048" spans="1:5">
      <c r="A1048" s="223">
        <v>40557</v>
      </c>
      <c r="B1048" s="217">
        <v>210975</v>
      </c>
      <c r="C1048" s="218">
        <v>2652</v>
      </c>
      <c r="D1048" s="221">
        <v>17500</v>
      </c>
      <c r="E1048" s="224">
        <f t="shared" si="19"/>
        <v>1750</v>
      </c>
    </row>
    <row r="1049" spans="1:5">
      <c r="A1049" s="223">
        <v>40560</v>
      </c>
      <c r="B1049" s="217">
        <v>214125</v>
      </c>
      <c r="C1049" s="218">
        <v>2720</v>
      </c>
      <c r="D1049" s="221">
        <v>17550</v>
      </c>
      <c r="E1049" s="224">
        <f t="shared" si="19"/>
        <v>1755</v>
      </c>
    </row>
    <row r="1050" spans="1:5">
      <c r="A1050" s="223">
        <v>40561</v>
      </c>
      <c r="B1050" s="217">
        <v>243950</v>
      </c>
      <c r="C1050" s="218">
        <v>2693</v>
      </c>
      <c r="D1050" s="221">
        <v>17500</v>
      </c>
      <c r="E1050" s="224">
        <f t="shared" si="19"/>
        <v>1750</v>
      </c>
    </row>
    <row r="1051" spans="1:5">
      <c r="A1051" s="223">
        <v>40562</v>
      </c>
      <c r="B1051" s="217">
        <v>261925</v>
      </c>
      <c r="C1051" s="218">
        <v>2650</v>
      </c>
      <c r="D1051" s="221">
        <v>17500</v>
      </c>
      <c r="E1051" s="224">
        <f t="shared" si="19"/>
        <v>1750</v>
      </c>
    </row>
    <row r="1052" spans="1:5">
      <c r="A1052" s="223">
        <v>40563</v>
      </c>
      <c r="B1052" s="217">
        <v>264350</v>
      </c>
      <c r="C1052" s="218">
        <v>2530</v>
      </c>
      <c r="D1052" s="221">
        <v>17400</v>
      </c>
      <c r="E1052" s="224">
        <f t="shared" si="19"/>
        <v>1740</v>
      </c>
    </row>
    <row r="1053" spans="1:5">
      <c r="A1053" s="223">
        <v>40564</v>
      </c>
      <c r="B1053" s="217">
        <v>264175</v>
      </c>
      <c r="C1053" s="218">
        <v>2550</v>
      </c>
      <c r="D1053" s="221">
        <v>17400</v>
      </c>
      <c r="E1053" s="224">
        <f t="shared" si="19"/>
        <v>1740</v>
      </c>
    </row>
    <row r="1054" spans="1:5">
      <c r="A1054" s="223">
        <v>40567</v>
      </c>
      <c r="B1054" s="217">
        <v>266775</v>
      </c>
      <c r="C1054" s="218">
        <v>2490</v>
      </c>
      <c r="D1054" s="221">
        <v>17350</v>
      </c>
      <c r="E1054" s="224">
        <f t="shared" si="19"/>
        <v>1735</v>
      </c>
    </row>
    <row r="1055" spans="1:5">
      <c r="A1055" s="223">
        <v>40568</v>
      </c>
      <c r="B1055" s="217">
        <v>271300</v>
      </c>
      <c r="C1055" s="218">
        <v>2535</v>
      </c>
      <c r="D1055" s="221">
        <v>17200</v>
      </c>
      <c r="E1055" s="224">
        <f t="shared" si="19"/>
        <v>1720</v>
      </c>
    </row>
    <row r="1056" spans="1:5">
      <c r="A1056" s="223">
        <v>40569</v>
      </c>
      <c r="B1056" s="217">
        <v>275300</v>
      </c>
      <c r="C1056" s="218">
        <v>2444</v>
      </c>
      <c r="D1056" s="221">
        <v>17200</v>
      </c>
      <c r="E1056" s="224">
        <f t="shared" si="19"/>
        <v>1720</v>
      </c>
    </row>
    <row r="1057" spans="1:5">
      <c r="A1057" s="223">
        <v>40570</v>
      </c>
      <c r="B1057" s="217">
        <v>276925</v>
      </c>
      <c r="C1057" s="218">
        <v>2490</v>
      </c>
      <c r="D1057" s="221">
        <v>17100</v>
      </c>
      <c r="E1057" s="224">
        <f t="shared" si="19"/>
        <v>1710</v>
      </c>
    </row>
    <row r="1058" spans="1:5">
      <c r="A1058" s="223">
        <v>40571</v>
      </c>
      <c r="B1058" s="217">
        <v>279025</v>
      </c>
      <c r="C1058" s="218">
        <v>2545</v>
      </c>
      <c r="D1058" s="221">
        <v>17100</v>
      </c>
      <c r="E1058" s="224">
        <f t="shared" si="19"/>
        <v>1710</v>
      </c>
    </row>
    <row r="1059" spans="1:5">
      <c r="A1059" s="223">
        <v>40574</v>
      </c>
      <c r="B1059" s="217">
        <v>279925</v>
      </c>
      <c r="C1059" s="218">
        <v>2576</v>
      </c>
      <c r="D1059" s="221">
        <v>17100</v>
      </c>
      <c r="E1059" s="224">
        <f t="shared" si="19"/>
        <v>1710</v>
      </c>
    </row>
    <row r="1060" spans="1:5">
      <c r="A1060" s="223">
        <v>40575</v>
      </c>
      <c r="B1060" s="217">
        <v>282700</v>
      </c>
      <c r="C1060" s="218">
        <v>2620</v>
      </c>
      <c r="D1060" s="221">
        <v>17200</v>
      </c>
      <c r="E1060" s="224">
        <f t="shared" si="19"/>
        <v>1720</v>
      </c>
    </row>
    <row r="1061" spans="1:5">
      <c r="A1061" s="223">
        <v>40576</v>
      </c>
      <c r="B1061" s="217">
        <v>284850</v>
      </c>
      <c r="C1061" s="218">
        <v>2613</v>
      </c>
      <c r="D1061" s="221">
        <v>17200</v>
      </c>
      <c r="E1061" s="224">
        <f>D1061/10</f>
        <v>1720</v>
      </c>
    </row>
    <row r="1062" spans="1:5">
      <c r="A1062" s="223">
        <v>40577</v>
      </c>
      <c r="B1062" s="217">
        <v>288925</v>
      </c>
      <c r="C1062" s="218">
        <v>2642</v>
      </c>
      <c r="D1062" s="221">
        <v>17200</v>
      </c>
      <c r="E1062" s="224">
        <f>D1062/10</f>
        <v>1720</v>
      </c>
    </row>
    <row r="1063" spans="1:5">
      <c r="A1063" s="223">
        <v>40578</v>
      </c>
      <c r="B1063" s="217">
        <v>289275</v>
      </c>
      <c r="C1063" s="218">
        <v>2638</v>
      </c>
      <c r="D1063" s="221">
        <v>17200</v>
      </c>
      <c r="E1063" s="224">
        <f>D1063/10</f>
        <v>1720</v>
      </c>
    </row>
    <row r="1064" spans="1:5">
      <c r="A1064" s="223">
        <v>40581</v>
      </c>
      <c r="B1064" s="217">
        <v>289400</v>
      </c>
      <c r="C1064" s="218">
        <v>2645</v>
      </c>
      <c r="D1064" s="221">
        <v>17200</v>
      </c>
      <c r="E1064" s="224">
        <f>D1064/10</f>
        <v>1720</v>
      </c>
    </row>
    <row r="1065" spans="1:5">
      <c r="A1065" s="223">
        <v>40582</v>
      </c>
      <c r="B1065" s="217">
        <v>291850</v>
      </c>
      <c r="C1065" s="218">
        <v>2568</v>
      </c>
      <c r="D1065" s="221">
        <v>17200</v>
      </c>
      <c r="E1065" s="224">
        <f>D1065/10</f>
        <v>1720</v>
      </c>
    </row>
    <row r="1066" spans="1:5">
      <c r="A1066" s="223">
        <v>40583</v>
      </c>
      <c r="B1066" s="217">
        <v>292975</v>
      </c>
      <c r="C1066" s="218">
        <v>2575</v>
      </c>
      <c r="D1066" s="221">
        <v>17250</v>
      </c>
      <c r="E1066" s="224">
        <f t="shared" si="19"/>
        <v>1725</v>
      </c>
    </row>
    <row r="1067" spans="1:5">
      <c r="A1067" s="223">
        <v>40584</v>
      </c>
      <c r="B1067" s="217">
        <v>294775</v>
      </c>
      <c r="C1067" s="218">
        <v>2505.5</v>
      </c>
      <c r="D1067" s="221">
        <v>17150</v>
      </c>
      <c r="E1067" s="224">
        <f t="shared" si="19"/>
        <v>1715</v>
      </c>
    </row>
    <row r="1068" spans="1:5">
      <c r="A1068" s="223">
        <v>40585</v>
      </c>
      <c r="B1068" s="217">
        <v>295050</v>
      </c>
      <c r="C1068" s="218">
        <v>2525</v>
      </c>
      <c r="D1068" s="221">
        <v>17200</v>
      </c>
      <c r="E1068" s="224">
        <f t="shared" si="19"/>
        <v>1720</v>
      </c>
    </row>
    <row r="1069" spans="1:5">
      <c r="A1069" s="223">
        <v>40588</v>
      </c>
      <c r="B1069" s="217">
        <v>295575</v>
      </c>
      <c r="C1069" s="218">
        <v>2631</v>
      </c>
      <c r="D1069" s="221">
        <v>17250</v>
      </c>
      <c r="E1069" s="224">
        <f t="shared" si="19"/>
        <v>1725</v>
      </c>
    </row>
    <row r="1070" spans="1:5">
      <c r="A1070" s="223">
        <v>40589</v>
      </c>
      <c r="B1070" s="217">
        <v>297500</v>
      </c>
      <c r="C1070" s="218">
        <v>2654</v>
      </c>
      <c r="D1070" s="221">
        <v>17300</v>
      </c>
      <c r="E1070" s="224">
        <f t="shared" si="19"/>
        <v>1730</v>
      </c>
    </row>
    <row r="1071" spans="1:5">
      <c r="A1071" s="223">
        <v>40590</v>
      </c>
      <c r="B1071" s="217">
        <v>297250</v>
      </c>
      <c r="C1071" s="218">
        <v>2619</v>
      </c>
      <c r="D1071" s="221">
        <v>17250</v>
      </c>
      <c r="E1071" s="224">
        <f t="shared" si="19"/>
        <v>1725</v>
      </c>
    </row>
    <row r="1072" spans="1:5">
      <c r="A1072" s="223">
        <v>40591</v>
      </c>
      <c r="B1072" s="217">
        <v>297200</v>
      </c>
      <c r="C1072" s="218">
        <v>2587</v>
      </c>
      <c r="D1072" s="221">
        <v>17250</v>
      </c>
      <c r="E1072" s="224">
        <f t="shared" si="19"/>
        <v>1725</v>
      </c>
    </row>
    <row r="1073" spans="1:5">
      <c r="A1073" s="223">
        <v>40592</v>
      </c>
      <c r="B1073" s="217">
        <v>296975</v>
      </c>
      <c r="C1073" s="218">
        <v>2613</v>
      </c>
      <c r="D1073" s="221">
        <v>17250</v>
      </c>
      <c r="E1073" s="224">
        <f t="shared" si="19"/>
        <v>1725</v>
      </c>
    </row>
    <row r="1074" spans="1:5">
      <c r="A1074" s="223">
        <v>40595</v>
      </c>
      <c r="B1074" s="217">
        <v>296750</v>
      </c>
      <c r="C1074" s="218">
        <v>2658</v>
      </c>
      <c r="D1074" s="221">
        <v>17350</v>
      </c>
      <c r="E1074" s="224">
        <f t="shared" si="19"/>
        <v>1735</v>
      </c>
    </row>
    <row r="1075" spans="1:5">
      <c r="A1075" s="223">
        <v>40596</v>
      </c>
      <c r="B1075" s="217">
        <v>295650</v>
      </c>
      <c r="C1075" s="218">
        <v>2563</v>
      </c>
      <c r="D1075" s="221">
        <v>17450</v>
      </c>
      <c r="E1075" s="224">
        <f t="shared" si="19"/>
        <v>1745</v>
      </c>
    </row>
    <row r="1076" spans="1:5">
      <c r="A1076" s="223">
        <v>40597</v>
      </c>
      <c r="B1076" s="217">
        <v>294850</v>
      </c>
      <c r="C1076" s="218">
        <v>2545</v>
      </c>
      <c r="D1076" s="221">
        <v>17450</v>
      </c>
      <c r="E1076" s="224">
        <f t="shared" si="19"/>
        <v>1745</v>
      </c>
    </row>
    <row r="1077" spans="1:5">
      <c r="A1077" s="223">
        <v>40598</v>
      </c>
      <c r="B1077" s="217">
        <v>294325</v>
      </c>
      <c r="C1077" s="218">
        <v>2485</v>
      </c>
      <c r="D1077" s="221">
        <v>17450</v>
      </c>
      <c r="E1077" s="224">
        <f t="shared" si="19"/>
        <v>1745</v>
      </c>
    </row>
    <row r="1078" spans="1:5">
      <c r="A1078" s="223">
        <v>40599</v>
      </c>
      <c r="B1078" s="217">
        <v>294575</v>
      </c>
      <c r="C1078" s="218">
        <v>2512</v>
      </c>
      <c r="D1078" s="221">
        <v>17450</v>
      </c>
      <c r="E1078" s="224">
        <f t="shared" si="19"/>
        <v>1745</v>
      </c>
    </row>
    <row r="1079" spans="1:5">
      <c r="A1079" s="223">
        <v>40602</v>
      </c>
      <c r="B1079" s="217">
        <v>294125</v>
      </c>
      <c r="C1079" s="218">
        <v>2535</v>
      </c>
      <c r="D1079" s="221">
        <v>17450</v>
      </c>
      <c r="E1079" s="224">
        <f t="shared" si="19"/>
        <v>1745</v>
      </c>
    </row>
    <row r="1080" spans="1:5">
      <c r="A1080" s="223">
        <v>40603</v>
      </c>
      <c r="B1080" s="217">
        <v>293850</v>
      </c>
      <c r="C1080" s="218">
        <v>2573</v>
      </c>
      <c r="D1080" s="221">
        <v>17500</v>
      </c>
      <c r="E1080" s="224">
        <f t="shared" si="19"/>
        <v>1750</v>
      </c>
    </row>
    <row r="1081" spans="1:5">
      <c r="A1081" s="223">
        <v>40604</v>
      </c>
      <c r="B1081" s="217">
        <v>293425</v>
      </c>
      <c r="C1081" s="218">
        <v>2532</v>
      </c>
      <c r="D1081" s="221">
        <v>17500</v>
      </c>
      <c r="E1081" s="224">
        <f t="shared" si="19"/>
        <v>1750</v>
      </c>
    </row>
    <row r="1082" spans="1:5">
      <c r="A1082" s="223">
        <v>40605</v>
      </c>
      <c r="B1082" s="217">
        <v>292725</v>
      </c>
      <c r="C1082" s="218">
        <v>2611.5</v>
      </c>
      <c r="D1082" s="221">
        <v>17500</v>
      </c>
      <c r="E1082" s="224">
        <f t="shared" si="19"/>
        <v>1750</v>
      </c>
    </row>
    <row r="1083" spans="1:5">
      <c r="A1083" s="223">
        <v>40606</v>
      </c>
      <c r="B1083" s="217">
        <v>291500</v>
      </c>
      <c r="C1083" s="218">
        <v>2672</v>
      </c>
      <c r="D1083" s="221">
        <v>17550</v>
      </c>
      <c r="E1083" s="224">
        <f t="shared" si="19"/>
        <v>1755</v>
      </c>
    </row>
    <row r="1084" spans="1:5">
      <c r="A1084" s="223">
        <v>40609</v>
      </c>
      <c r="B1084" s="217">
        <v>290100</v>
      </c>
      <c r="C1084" s="218">
        <v>2620</v>
      </c>
      <c r="D1084" s="221">
        <v>17550</v>
      </c>
      <c r="E1084" s="224">
        <f t="shared" si="19"/>
        <v>1755</v>
      </c>
    </row>
    <row r="1085" spans="1:5">
      <c r="A1085" s="223">
        <v>40610</v>
      </c>
      <c r="B1085" s="217">
        <v>289050</v>
      </c>
      <c r="C1085" s="218">
        <v>2559</v>
      </c>
      <c r="D1085" s="221">
        <v>17450</v>
      </c>
      <c r="E1085" s="224">
        <f t="shared" si="19"/>
        <v>1745</v>
      </c>
    </row>
    <row r="1086" spans="1:5">
      <c r="A1086" s="223">
        <v>40611</v>
      </c>
      <c r="B1086" s="217">
        <v>289525</v>
      </c>
      <c r="C1086" s="218">
        <v>2590</v>
      </c>
      <c r="D1086" s="221">
        <v>17450</v>
      </c>
      <c r="E1086" s="224">
        <f t="shared" si="19"/>
        <v>1745</v>
      </c>
    </row>
    <row r="1087" spans="1:5">
      <c r="A1087" s="223">
        <v>40612</v>
      </c>
      <c r="B1087" s="217">
        <v>289150</v>
      </c>
      <c r="C1087" s="218">
        <v>2459.5</v>
      </c>
      <c r="D1087" s="221">
        <v>17300</v>
      </c>
      <c r="E1087" s="224">
        <f t="shared" si="19"/>
        <v>1730</v>
      </c>
    </row>
    <row r="1088" spans="1:5">
      <c r="A1088" s="223">
        <v>40613</v>
      </c>
      <c r="B1088" s="217">
        <v>288250</v>
      </c>
      <c r="C1088" s="218">
        <v>2428.5</v>
      </c>
      <c r="D1088" s="221">
        <v>17250</v>
      </c>
      <c r="E1088" s="224">
        <f t="shared" si="19"/>
        <v>1725</v>
      </c>
    </row>
    <row r="1089" spans="1:5">
      <c r="A1089" s="223">
        <v>40616</v>
      </c>
      <c r="B1089" s="217">
        <v>288150</v>
      </c>
      <c r="C1089" s="218">
        <v>2506.5</v>
      </c>
      <c r="D1089" s="221">
        <v>17200</v>
      </c>
      <c r="E1089" s="224">
        <f t="shared" si="19"/>
        <v>1720</v>
      </c>
    </row>
    <row r="1090" spans="1:5">
      <c r="A1090" s="223">
        <v>40617</v>
      </c>
      <c r="B1090" s="217">
        <v>288800</v>
      </c>
      <c r="C1090" s="218">
        <v>2490</v>
      </c>
      <c r="D1090" s="221">
        <v>17250</v>
      </c>
      <c r="E1090" s="224">
        <f t="shared" si="19"/>
        <v>1725</v>
      </c>
    </row>
    <row r="1091" spans="1:5">
      <c r="A1091" s="223">
        <v>40618</v>
      </c>
      <c r="B1091" s="217">
        <v>289925</v>
      </c>
      <c r="C1091" s="218">
        <v>2593</v>
      </c>
      <c r="D1091" s="221">
        <v>17250</v>
      </c>
      <c r="E1091" s="224">
        <f t="shared" ref="E1091:E1154" si="20">D1091/10</f>
        <v>1725</v>
      </c>
    </row>
    <row r="1092" spans="1:5">
      <c r="A1092" s="223">
        <v>40619</v>
      </c>
      <c r="B1092" s="217">
        <v>289500</v>
      </c>
      <c r="C1092" s="218">
        <v>2690</v>
      </c>
      <c r="D1092" s="221">
        <v>17300</v>
      </c>
      <c r="E1092" s="224">
        <f t="shared" si="20"/>
        <v>1730</v>
      </c>
    </row>
    <row r="1093" spans="1:5">
      <c r="A1093" s="223">
        <v>40620</v>
      </c>
      <c r="B1093" s="217">
        <v>288650</v>
      </c>
      <c r="C1093" s="218">
        <v>2722</v>
      </c>
      <c r="D1093" s="221">
        <v>17400</v>
      </c>
      <c r="E1093" s="224">
        <f t="shared" si="20"/>
        <v>1740</v>
      </c>
    </row>
    <row r="1094" spans="1:5">
      <c r="A1094" s="223">
        <v>40623</v>
      </c>
      <c r="B1094" s="217">
        <v>287650</v>
      </c>
      <c r="C1094" s="218">
        <v>2712.5</v>
      </c>
      <c r="D1094" s="221">
        <v>17500</v>
      </c>
      <c r="E1094" s="224">
        <f t="shared" si="20"/>
        <v>1750</v>
      </c>
    </row>
    <row r="1095" spans="1:5">
      <c r="A1095" s="223">
        <v>40624</v>
      </c>
      <c r="B1095" s="217">
        <v>287050</v>
      </c>
      <c r="C1095" s="218">
        <v>2663</v>
      </c>
      <c r="D1095" s="221">
        <v>17500</v>
      </c>
      <c r="E1095" s="224">
        <f t="shared" si="20"/>
        <v>1750</v>
      </c>
    </row>
    <row r="1096" spans="1:5">
      <c r="A1096" s="223">
        <v>40625</v>
      </c>
      <c r="B1096" s="217">
        <v>286900</v>
      </c>
      <c r="C1096" s="218">
        <v>2730</v>
      </c>
      <c r="D1096" s="221">
        <v>17600</v>
      </c>
      <c r="E1096" s="224">
        <f t="shared" si="20"/>
        <v>1760</v>
      </c>
    </row>
    <row r="1097" spans="1:5">
      <c r="A1097" s="223">
        <v>40626</v>
      </c>
      <c r="B1097" s="217">
        <v>285625</v>
      </c>
      <c r="C1097" s="218">
        <v>2730</v>
      </c>
      <c r="D1097" s="221">
        <v>18100</v>
      </c>
      <c r="E1097" s="224">
        <f t="shared" si="20"/>
        <v>1810</v>
      </c>
    </row>
    <row r="1098" spans="1:5">
      <c r="A1098" s="223">
        <v>40627</v>
      </c>
      <c r="B1098" s="217">
        <v>283975</v>
      </c>
      <c r="C1098" s="218">
        <v>2705</v>
      </c>
      <c r="D1098" s="221">
        <v>17800</v>
      </c>
      <c r="E1098" s="224">
        <f t="shared" si="20"/>
        <v>1780</v>
      </c>
    </row>
    <row r="1099" spans="1:5">
      <c r="A1099" s="223">
        <v>40630</v>
      </c>
      <c r="B1099" s="217">
        <v>283800</v>
      </c>
      <c r="C1099" s="218">
        <v>2679</v>
      </c>
      <c r="D1099" s="221">
        <v>17700</v>
      </c>
      <c r="E1099" s="224">
        <f t="shared" si="20"/>
        <v>1770</v>
      </c>
    </row>
    <row r="1100" spans="1:5">
      <c r="A1100" s="223">
        <v>40631</v>
      </c>
      <c r="B1100" s="217">
        <v>283675</v>
      </c>
      <c r="C1100" s="218">
        <v>2670</v>
      </c>
      <c r="D1100" s="221">
        <v>17600</v>
      </c>
      <c r="E1100" s="224">
        <f t="shared" si="20"/>
        <v>1760</v>
      </c>
    </row>
    <row r="1101" spans="1:5">
      <c r="A1101" s="223">
        <v>40632</v>
      </c>
      <c r="B1101" s="217">
        <v>282425</v>
      </c>
      <c r="C1101" s="218">
        <v>2700</v>
      </c>
      <c r="D1101" s="221">
        <v>17600</v>
      </c>
      <c r="E1101" s="224">
        <f t="shared" si="20"/>
        <v>1760</v>
      </c>
    </row>
    <row r="1102" spans="1:5">
      <c r="A1102" s="223">
        <v>40633</v>
      </c>
      <c r="B1102" s="217">
        <v>281300</v>
      </c>
      <c r="C1102" s="218">
        <v>2720</v>
      </c>
      <c r="D1102" s="221">
        <v>17500</v>
      </c>
      <c r="E1102" s="224">
        <f t="shared" si="20"/>
        <v>1750</v>
      </c>
    </row>
    <row r="1103" spans="1:5">
      <c r="A1103" s="223">
        <v>40634</v>
      </c>
      <c r="B1103" s="217">
        <v>281500</v>
      </c>
      <c r="C1103" s="218">
        <v>2730.5</v>
      </c>
      <c r="D1103" s="221">
        <v>17500</v>
      </c>
      <c r="E1103" s="224">
        <f t="shared" si="20"/>
        <v>1750</v>
      </c>
    </row>
    <row r="1104" spans="1:5">
      <c r="A1104" s="223">
        <v>40637</v>
      </c>
      <c r="B1104" s="217">
        <v>281200</v>
      </c>
      <c r="C1104" s="218">
        <v>2840</v>
      </c>
      <c r="D1104" s="221">
        <v>17500</v>
      </c>
      <c r="E1104" s="224">
        <f>D1104/10</f>
        <v>1750</v>
      </c>
    </row>
    <row r="1105" spans="1:5">
      <c r="A1105" s="223">
        <v>40638</v>
      </c>
      <c r="B1105" s="217">
        <v>279425</v>
      </c>
      <c r="C1105" s="218">
        <v>2778</v>
      </c>
      <c r="D1105" s="221">
        <v>17500</v>
      </c>
      <c r="E1105" s="224">
        <f>D1105/10</f>
        <v>1750</v>
      </c>
    </row>
    <row r="1106" spans="1:5">
      <c r="A1106" s="223">
        <v>40639</v>
      </c>
      <c r="B1106" s="217">
        <v>278400</v>
      </c>
      <c r="C1106" s="218">
        <v>2815</v>
      </c>
      <c r="D1106" s="221">
        <v>17600</v>
      </c>
      <c r="E1106" s="224">
        <f t="shared" si="20"/>
        <v>1760</v>
      </c>
    </row>
    <row r="1107" spans="1:5">
      <c r="A1107" s="223">
        <v>40640</v>
      </c>
      <c r="B1107" s="217">
        <v>278125</v>
      </c>
      <c r="C1107" s="218">
        <v>2878</v>
      </c>
      <c r="D1107" s="221">
        <v>17600</v>
      </c>
      <c r="E1107" s="224">
        <f t="shared" si="20"/>
        <v>1760</v>
      </c>
    </row>
    <row r="1108" spans="1:5">
      <c r="A1108" s="223">
        <v>40641</v>
      </c>
      <c r="B1108" s="217">
        <v>277550</v>
      </c>
      <c r="C1108" s="218">
        <v>2905</v>
      </c>
      <c r="D1108" s="221">
        <v>17600</v>
      </c>
      <c r="E1108" s="224">
        <f t="shared" si="20"/>
        <v>1760</v>
      </c>
    </row>
    <row r="1109" spans="1:5">
      <c r="A1109" s="223">
        <v>40644</v>
      </c>
      <c r="B1109" s="217">
        <v>276575</v>
      </c>
      <c r="C1109" s="218">
        <v>2939</v>
      </c>
      <c r="D1109" s="221">
        <v>17700</v>
      </c>
      <c r="E1109" s="224">
        <f t="shared" si="20"/>
        <v>1770</v>
      </c>
    </row>
    <row r="1110" spans="1:5">
      <c r="A1110" s="223">
        <v>40645</v>
      </c>
      <c r="B1110" s="217">
        <v>275450</v>
      </c>
      <c r="C1110" s="218">
        <v>2880</v>
      </c>
      <c r="D1110" s="221">
        <v>17600</v>
      </c>
      <c r="E1110" s="224">
        <f t="shared" si="20"/>
        <v>1760</v>
      </c>
    </row>
    <row r="1111" spans="1:5">
      <c r="A1111" s="223">
        <v>40646</v>
      </c>
      <c r="B1111" s="217">
        <v>280400</v>
      </c>
      <c r="C1111" s="218">
        <v>2817.5</v>
      </c>
      <c r="D1111" s="221">
        <v>17450</v>
      </c>
      <c r="E1111" s="224">
        <f t="shared" si="20"/>
        <v>1745</v>
      </c>
    </row>
    <row r="1112" spans="1:5">
      <c r="A1112" s="223">
        <v>40647</v>
      </c>
      <c r="B1112" s="217">
        <v>283850</v>
      </c>
      <c r="C1112" s="218">
        <v>2683</v>
      </c>
      <c r="D1112" s="221">
        <v>17400</v>
      </c>
      <c r="E1112" s="224">
        <f t="shared" si="20"/>
        <v>1740</v>
      </c>
    </row>
    <row r="1113" spans="1:5">
      <c r="A1113" s="223">
        <v>40648</v>
      </c>
      <c r="B1113" s="217">
        <v>287075</v>
      </c>
      <c r="C1113" s="218">
        <v>2732</v>
      </c>
      <c r="D1113" s="221">
        <v>17400</v>
      </c>
      <c r="E1113" s="224">
        <f t="shared" si="20"/>
        <v>1740</v>
      </c>
    </row>
    <row r="1114" spans="1:5">
      <c r="A1114" s="223">
        <v>40651</v>
      </c>
      <c r="B1114" s="217">
        <v>291775</v>
      </c>
      <c r="C1114" s="218">
        <v>2720</v>
      </c>
      <c r="D1114" s="221">
        <v>17300</v>
      </c>
      <c r="E1114" s="224">
        <f t="shared" si="20"/>
        <v>1730</v>
      </c>
    </row>
    <row r="1115" spans="1:5">
      <c r="A1115" s="223">
        <v>40652</v>
      </c>
      <c r="B1115" s="217">
        <v>298425</v>
      </c>
      <c r="C1115" s="218">
        <v>2598</v>
      </c>
      <c r="D1115" s="221">
        <v>17200</v>
      </c>
      <c r="E1115" s="224">
        <f t="shared" si="20"/>
        <v>1720</v>
      </c>
    </row>
    <row r="1116" spans="1:5">
      <c r="A1116" s="223">
        <v>40653</v>
      </c>
      <c r="B1116" s="217">
        <v>301950</v>
      </c>
      <c r="C1116" s="218">
        <v>2661</v>
      </c>
      <c r="D1116" s="221">
        <v>17050</v>
      </c>
      <c r="E1116" s="224">
        <f t="shared" si="20"/>
        <v>1705</v>
      </c>
    </row>
    <row r="1117" spans="1:5">
      <c r="A1117" s="223">
        <v>40654</v>
      </c>
      <c r="B1117" s="217">
        <v>304625</v>
      </c>
      <c r="C1117" s="218">
        <v>2670</v>
      </c>
      <c r="D1117" s="221">
        <v>17100</v>
      </c>
      <c r="E1117" s="224">
        <f t="shared" si="20"/>
        <v>1710</v>
      </c>
    </row>
    <row r="1118" spans="1:5">
      <c r="A1118" s="223">
        <v>40655</v>
      </c>
      <c r="B1118" s="217">
        <v>304625</v>
      </c>
      <c r="C1118" s="218">
        <v>2670</v>
      </c>
      <c r="D1118" s="221">
        <v>17100</v>
      </c>
      <c r="E1118" s="224">
        <f>D1118/10</f>
        <v>1710</v>
      </c>
    </row>
    <row r="1119" spans="1:5">
      <c r="A1119" s="223">
        <v>40658</v>
      </c>
      <c r="B1119" s="217">
        <v>304625</v>
      </c>
      <c r="C1119" s="218">
        <v>2670</v>
      </c>
      <c r="D1119" s="221">
        <v>17100</v>
      </c>
      <c r="E1119" s="224">
        <f>D1119/10</f>
        <v>1710</v>
      </c>
    </row>
    <row r="1120" spans="1:5">
      <c r="A1120" s="223">
        <v>40659</v>
      </c>
      <c r="B1120" s="217">
        <v>304500</v>
      </c>
      <c r="C1120" s="218">
        <v>2582.5</v>
      </c>
      <c r="D1120" s="221">
        <v>16600</v>
      </c>
      <c r="E1120" s="224">
        <f t="shared" si="20"/>
        <v>1660</v>
      </c>
    </row>
    <row r="1121" spans="1:5">
      <c r="A1121" s="223">
        <v>40660</v>
      </c>
      <c r="B1121" s="217">
        <v>307375</v>
      </c>
      <c r="C1121" s="218">
        <v>2580</v>
      </c>
      <c r="D1121" s="221">
        <v>16700</v>
      </c>
      <c r="E1121" s="224">
        <f t="shared" si="20"/>
        <v>1670</v>
      </c>
    </row>
    <row r="1122" spans="1:5">
      <c r="A1122" s="223">
        <v>40661</v>
      </c>
      <c r="B1122" s="217">
        <v>308375</v>
      </c>
      <c r="C1122" s="218">
        <v>2531</v>
      </c>
      <c r="D1122" s="221">
        <v>16700</v>
      </c>
      <c r="E1122" s="224">
        <f t="shared" si="20"/>
        <v>1670</v>
      </c>
    </row>
    <row r="1123" spans="1:5">
      <c r="A1123" s="223">
        <v>40662</v>
      </c>
      <c r="B1123" s="217">
        <v>308375</v>
      </c>
      <c r="C1123" s="218">
        <v>2531</v>
      </c>
      <c r="D1123" s="221">
        <v>16650</v>
      </c>
      <c r="E1123" s="224">
        <f t="shared" si="20"/>
        <v>1665</v>
      </c>
    </row>
    <row r="1124" spans="1:5">
      <c r="A1124" s="223">
        <v>40665</v>
      </c>
      <c r="B1124" s="217">
        <v>308375</v>
      </c>
      <c r="C1124" s="218">
        <v>2531</v>
      </c>
      <c r="D1124" s="221">
        <v>16650</v>
      </c>
      <c r="E1124" s="224">
        <f>D1124/10</f>
        <v>1665</v>
      </c>
    </row>
    <row r="1125" spans="1:5">
      <c r="A1125" s="223">
        <v>40666</v>
      </c>
      <c r="B1125" s="217">
        <v>310250</v>
      </c>
      <c r="C1125" s="218">
        <v>2545</v>
      </c>
      <c r="D1125" s="221">
        <v>16600</v>
      </c>
      <c r="E1125" s="224">
        <f t="shared" si="20"/>
        <v>1660</v>
      </c>
    </row>
    <row r="1126" spans="1:5">
      <c r="A1126" s="223">
        <v>40667</v>
      </c>
      <c r="B1126" s="217">
        <v>311050</v>
      </c>
      <c r="C1126" s="218">
        <v>2519</v>
      </c>
      <c r="D1126" s="221">
        <v>16600</v>
      </c>
      <c r="E1126" s="224">
        <f t="shared" si="20"/>
        <v>1660</v>
      </c>
    </row>
    <row r="1127" spans="1:5">
      <c r="A1127" s="223">
        <v>40668</v>
      </c>
      <c r="B1127" s="217">
        <v>311450</v>
      </c>
      <c r="C1127" s="218">
        <v>2379</v>
      </c>
      <c r="D1127" s="221">
        <v>16000</v>
      </c>
      <c r="E1127" s="224">
        <f t="shared" si="20"/>
        <v>1600</v>
      </c>
    </row>
    <row r="1128" spans="1:5">
      <c r="A1128" s="223">
        <v>40669</v>
      </c>
      <c r="B1128" s="217">
        <v>311450</v>
      </c>
      <c r="C1128" s="218">
        <v>2295</v>
      </c>
      <c r="D1128" s="221">
        <v>15900</v>
      </c>
      <c r="E1128" s="224">
        <f t="shared" si="20"/>
        <v>1590</v>
      </c>
    </row>
    <row r="1129" spans="1:5">
      <c r="A1129" s="223">
        <v>40672</v>
      </c>
      <c r="B1129" s="217">
        <v>312475</v>
      </c>
      <c r="C1129" s="218">
        <v>2380</v>
      </c>
      <c r="D1129" s="221">
        <v>16000</v>
      </c>
      <c r="E1129" s="224">
        <f t="shared" si="20"/>
        <v>1600</v>
      </c>
    </row>
    <row r="1130" spans="1:5">
      <c r="A1130" s="223">
        <v>40673</v>
      </c>
      <c r="B1130" s="217">
        <v>313175</v>
      </c>
      <c r="C1130" s="218">
        <v>2380</v>
      </c>
      <c r="D1130" s="221">
        <v>16000</v>
      </c>
      <c r="E1130" s="224">
        <f t="shared" si="20"/>
        <v>1600</v>
      </c>
    </row>
    <row r="1131" spans="1:5">
      <c r="A1131" s="223">
        <v>40674</v>
      </c>
      <c r="B1131" s="217">
        <v>313325</v>
      </c>
      <c r="C1131" s="218">
        <v>2359</v>
      </c>
      <c r="D1131" s="221">
        <v>16050</v>
      </c>
      <c r="E1131" s="224">
        <f t="shared" si="20"/>
        <v>1605</v>
      </c>
    </row>
    <row r="1132" spans="1:5">
      <c r="A1132" s="223">
        <v>40675</v>
      </c>
      <c r="B1132" s="217">
        <v>315825</v>
      </c>
      <c r="C1132" s="218">
        <v>2272</v>
      </c>
      <c r="D1132" s="221">
        <v>15750</v>
      </c>
      <c r="E1132" s="224">
        <f t="shared" si="20"/>
        <v>1575</v>
      </c>
    </row>
    <row r="1133" spans="1:5">
      <c r="A1133" s="223">
        <v>40676</v>
      </c>
      <c r="B1133" s="217">
        <v>316525</v>
      </c>
      <c r="C1133" s="218">
        <v>2365</v>
      </c>
      <c r="D1133" s="221">
        <v>15850</v>
      </c>
      <c r="E1133" s="224">
        <f t="shared" si="20"/>
        <v>1585</v>
      </c>
    </row>
    <row r="1134" spans="1:5">
      <c r="A1134" s="223">
        <v>40679</v>
      </c>
      <c r="B1134" s="217">
        <v>316450</v>
      </c>
      <c r="C1134" s="218">
        <v>2277</v>
      </c>
      <c r="D1134" s="221">
        <v>15850</v>
      </c>
      <c r="E1134" s="224">
        <f t="shared" si="20"/>
        <v>1585</v>
      </c>
    </row>
    <row r="1135" spans="1:5">
      <c r="A1135" s="223">
        <v>40680</v>
      </c>
      <c r="B1135" s="217">
        <v>316300</v>
      </c>
      <c r="C1135" s="218">
        <v>2309</v>
      </c>
      <c r="D1135" s="221">
        <v>15750</v>
      </c>
      <c r="E1135" s="224">
        <f t="shared" si="20"/>
        <v>1575</v>
      </c>
    </row>
    <row r="1136" spans="1:5">
      <c r="A1136" s="223">
        <v>40681</v>
      </c>
      <c r="B1136" s="217">
        <v>316875</v>
      </c>
      <c r="C1136" s="218">
        <v>2362</v>
      </c>
      <c r="D1136" s="221">
        <v>15950</v>
      </c>
      <c r="E1136" s="224">
        <f t="shared" si="20"/>
        <v>1595</v>
      </c>
    </row>
    <row r="1137" spans="1:5">
      <c r="A1137" s="223">
        <v>40682</v>
      </c>
      <c r="B1137" s="217">
        <v>316875</v>
      </c>
      <c r="C1137" s="218">
        <v>2455.5</v>
      </c>
      <c r="D1137" s="221">
        <v>16300</v>
      </c>
      <c r="E1137" s="224">
        <f t="shared" si="20"/>
        <v>1630</v>
      </c>
    </row>
    <row r="1138" spans="1:5">
      <c r="A1138" s="223">
        <v>40683</v>
      </c>
      <c r="B1138" s="217">
        <v>317800</v>
      </c>
      <c r="C1138" s="218">
        <v>2485</v>
      </c>
      <c r="D1138" s="221">
        <v>16150</v>
      </c>
      <c r="E1138" s="224">
        <f t="shared" si="20"/>
        <v>1615</v>
      </c>
    </row>
    <row r="1139" spans="1:5">
      <c r="A1139" s="223">
        <v>40686</v>
      </c>
      <c r="B1139" s="217">
        <v>318850</v>
      </c>
      <c r="C1139" s="218">
        <v>2421</v>
      </c>
      <c r="D1139" s="221">
        <v>16100</v>
      </c>
      <c r="E1139" s="224">
        <f t="shared" si="20"/>
        <v>1610</v>
      </c>
    </row>
    <row r="1140" spans="1:5">
      <c r="A1140" s="223">
        <v>40687</v>
      </c>
      <c r="B1140" s="217">
        <v>319825</v>
      </c>
      <c r="C1140" s="218">
        <v>2491</v>
      </c>
      <c r="D1140" s="221">
        <v>16000</v>
      </c>
      <c r="E1140" s="224">
        <f t="shared" si="20"/>
        <v>1600</v>
      </c>
    </row>
    <row r="1141" spans="1:5">
      <c r="A1141" s="223">
        <v>40688</v>
      </c>
      <c r="B1141" s="217">
        <v>320650</v>
      </c>
      <c r="C1141" s="218">
        <v>2532</v>
      </c>
      <c r="D1141" s="221">
        <v>16100</v>
      </c>
      <c r="E1141" s="224">
        <f t="shared" si="20"/>
        <v>1610</v>
      </c>
    </row>
    <row r="1142" spans="1:5">
      <c r="A1142" s="223">
        <v>40689</v>
      </c>
      <c r="B1142" s="217">
        <v>320625</v>
      </c>
      <c r="C1142" s="218">
        <v>2503</v>
      </c>
      <c r="D1142" s="221">
        <v>16300</v>
      </c>
      <c r="E1142" s="224">
        <f t="shared" si="20"/>
        <v>1630</v>
      </c>
    </row>
    <row r="1143" spans="1:5">
      <c r="A1143" s="223">
        <v>40690</v>
      </c>
      <c r="B1143" s="217">
        <v>322050</v>
      </c>
      <c r="C1143" s="218">
        <v>2545</v>
      </c>
      <c r="D1143" s="221">
        <v>16300</v>
      </c>
      <c r="E1143" s="224">
        <f t="shared" si="20"/>
        <v>1630</v>
      </c>
    </row>
    <row r="1144" spans="1:5">
      <c r="A1144" s="223">
        <v>40693</v>
      </c>
      <c r="B1144" s="217">
        <v>322050</v>
      </c>
      <c r="C1144" s="218">
        <v>2545</v>
      </c>
      <c r="D1144" s="221">
        <v>16300</v>
      </c>
      <c r="E1144" s="224">
        <f t="shared" si="20"/>
        <v>1630</v>
      </c>
    </row>
    <row r="1145" spans="1:5">
      <c r="A1145" s="223">
        <v>40694</v>
      </c>
      <c r="B1145" s="217">
        <v>322200</v>
      </c>
      <c r="C1145" s="218">
        <v>2533</v>
      </c>
      <c r="D1145" s="221">
        <v>16300</v>
      </c>
      <c r="E1145" s="224">
        <f t="shared" si="20"/>
        <v>1630</v>
      </c>
    </row>
    <row r="1146" spans="1:5">
      <c r="A1146" s="223">
        <v>40695</v>
      </c>
      <c r="B1146" s="217">
        <v>323300</v>
      </c>
      <c r="C1146" s="218">
        <v>2513</v>
      </c>
      <c r="D1146" s="221">
        <v>16200</v>
      </c>
      <c r="E1146" s="224">
        <f t="shared" si="20"/>
        <v>1620</v>
      </c>
    </row>
    <row r="1147" spans="1:5">
      <c r="A1147" s="223">
        <v>40696</v>
      </c>
      <c r="B1147" s="217">
        <v>323375</v>
      </c>
      <c r="C1147" s="218">
        <v>2485</v>
      </c>
      <c r="D1147" s="221">
        <v>16100</v>
      </c>
      <c r="E1147" s="224">
        <f t="shared" si="20"/>
        <v>1610</v>
      </c>
    </row>
    <row r="1148" spans="1:5">
      <c r="A1148" s="223">
        <v>40697</v>
      </c>
      <c r="B1148" s="217">
        <v>323825</v>
      </c>
      <c r="C1148" s="218">
        <v>2426</v>
      </c>
      <c r="D1148" s="221">
        <v>16100</v>
      </c>
      <c r="E1148" s="224">
        <f t="shared" si="20"/>
        <v>1610</v>
      </c>
    </row>
    <row r="1149" spans="1:5">
      <c r="A1149" s="223">
        <v>40700</v>
      </c>
      <c r="B1149" s="217">
        <v>323050</v>
      </c>
      <c r="C1149" s="218">
        <v>2471</v>
      </c>
      <c r="D1149" s="221">
        <v>16100</v>
      </c>
      <c r="E1149" s="224">
        <f>D1149/10</f>
        <v>1610</v>
      </c>
    </row>
    <row r="1150" spans="1:5">
      <c r="A1150" s="223">
        <v>40701</v>
      </c>
      <c r="B1150" s="217">
        <v>323400</v>
      </c>
      <c r="C1150" s="218">
        <v>2510</v>
      </c>
      <c r="D1150" s="221">
        <v>16200</v>
      </c>
      <c r="E1150" s="224">
        <f t="shared" si="20"/>
        <v>1620</v>
      </c>
    </row>
    <row r="1151" spans="1:5">
      <c r="A1151" s="223">
        <v>40702</v>
      </c>
      <c r="B1151" s="217">
        <v>323250</v>
      </c>
      <c r="C1151" s="218">
        <v>2520.5</v>
      </c>
      <c r="D1151" s="221">
        <v>16200</v>
      </c>
      <c r="E1151" s="224">
        <f t="shared" si="20"/>
        <v>1620</v>
      </c>
    </row>
    <row r="1152" spans="1:5">
      <c r="A1152" s="223">
        <v>40703</v>
      </c>
      <c r="B1152" s="217">
        <v>323225</v>
      </c>
      <c r="C1152" s="218">
        <v>2571</v>
      </c>
      <c r="D1152" s="221">
        <v>16200</v>
      </c>
      <c r="E1152" s="224">
        <f t="shared" si="20"/>
        <v>1620</v>
      </c>
    </row>
    <row r="1153" spans="1:5">
      <c r="A1153" s="223">
        <v>40704</v>
      </c>
      <c r="B1153" s="217">
        <v>322200</v>
      </c>
      <c r="C1153" s="218">
        <v>2577.5</v>
      </c>
      <c r="D1153" s="221">
        <v>16200</v>
      </c>
      <c r="E1153" s="224">
        <f t="shared" si="20"/>
        <v>1620</v>
      </c>
    </row>
    <row r="1154" spans="1:5">
      <c r="A1154" s="223">
        <v>40707</v>
      </c>
      <c r="B1154" s="217">
        <v>321825</v>
      </c>
      <c r="C1154" s="218">
        <v>2512.5</v>
      </c>
      <c r="D1154" s="221">
        <v>16150</v>
      </c>
      <c r="E1154" s="224">
        <f t="shared" si="20"/>
        <v>1615</v>
      </c>
    </row>
    <row r="1155" spans="1:5">
      <c r="A1155" s="223">
        <v>40708</v>
      </c>
      <c r="B1155" s="217">
        <v>321725</v>
      </c>
      <c r="C1155" s="218">
        <v>2550.5</v>
      </c>
      <c r="D1155" s="221">
        <v>16150</v>
      </c>
      <c r="E1155" s="224">
        <f t="shared" ref="E1155:E1218" si="21">D1155/10</f>
        <v>1615</v>
      </c>
    </row>
    <row r="1156" spans="1:5">
      <c r="A1156" s="223">
        <v>40709</v>
      </c>
      <c r="B1156" s="217">
        <v>323100</v>
      </c>
      <c r="C1156" s="218">
        <v>2542</v>
      </c>
      <c r="D1156" s="221">
        <v>16250</v>
      </c>
      <c r="E1156" s="224">
        <f t="shared" si="21"/>
        <v>1625</v>
      </c>
    </row>
    <row r="1157" spans="1:5">
      <c r="A1157" s="223">
        <v>40710</v>
      </c>
      <c r="B1157" s="217">
        <v>322950</v>
      </c>
      <c r="C1157" s="218">
        <v>2472</v>
      </c>
      <c r="D1157" s="221">
        <v>16050</v>
      </c>
      <c r="E1157" s="224">
        <f t="shared" si="21"/>
        <v>1605</v>
      </c>
    </row>
    <row r="1158" spans="1:5">
      <c r="A1158" s="223">
        <v>40711</v>
      </c>
      <c r="B1158" s="217">
        <v>322700</v>
      </c>
      <c r="C1158" s="218">
        <v>2461</v>
      </c>
      <c r="D1158" s="221">
        <v>16000</v>
      </c>
      <c r="E1158" s="224">
        <f t="shared" si="21"/>
        <v>1600</v>
      </c>
    </row>
    <row r="1159" spans="1:5">
      <c r="A1159" s="223">
        <v>40714</v>
      </c>
      <c r="B1159" s="217">
        <v>322575</v>
      </c>
      <c r="C1159" s="218">
        <v>2380</v>
      </c>
      <c r="D1159" s="221">
        <v>15900</v>
      </c>
      <c r="E1159" s="224">
        <f t="shared" si="21"/>
        <v>1590</v>
      </c>
    </row>
    <row r="1160" spans="1:5">
      <c r="A1160" s="223">
        <v>40715</v>
      </c>
      <c r="B1160" s="217">
        <v>321825</v>
      </c>
      <c r="C1160" s="218">
        <v>2442</v>
      </c>
      <c r="D1160" s="221">
        <v>15950</v>
      </c>
      <c r="E1160" s="224">
        <f t="shared" si="21"/>
        <v>1595</v>
      </c>
    </row>
    <row r="1161" spans="1:5">
      <c r="A1161" s="223">
        <v>40716</v>
      </c>
      <c r="B1161" s="217">
        <v>321600</v>
      </c>
      <c r="C1161" s="218">
        <v>2455.5</v>
      </c>
      <c r="D1161" s="221">
        <v>16000</v>
      </c>
      <c r="E1161" s="224">
        <f t="shared" si="21"/>
        <v>1600</v>
      </c>
    </row>
    <row r="1162" spans="1:5">
      <c r="A1162" s="223">
        <v>40717</v>
      </c>
      <c r="B1162" s="217">
        <v>321775</v>
      </c>
      <c r="C1162" s="218">
        <v>2517.5</v>
      </c>
      <c r="D1162" s="221">
        <v>16100</v>
      </c>
      <c r="E1162" s="224">
        <f t="shared" si="21"/>
        <v>1610</v>
      </c>
    </row>
    <row r="1163" spans="1:5">
      <c r="A1163" s="223">
        <v>40718</v>
      </c>
      <c r="B1163" s="217">
        <v>321750</v>
      </c>
      <c r="C1163" s="218">
        <v>2555</v>
      </c>
      <c r="D1163" s="221">
        <v>16200</v>
      </c>
      <c r="E1163" s="224">
        <f t="shared" si="21"/>
        <v>1620</v>
      </c>
    </row>
    <row r="1164" spans="1:5">
      <c r="A1164" s="223">
        <v>40721</v>
      </c>
      <c r="B1164" s="217">
        <v>322500</v>
      </c>
      <c r="C1164" s="218">
        <v>2545.5</v>
      </c>
      <c r="D1164" s="221">
        <v>16100</v>
      </c>
      <c r="E1164" s="224">
        <f t="shared" si="21"/>
        <v>1610</v>
      </c>
    </row>
    <row r="1165" spans="1:5">
      <c r="A1165" s="223">
        <v>40722</v>
      </c>
      <c r="B1165" s="217">
        <v>322975</v>
      </c>
      <c r="C1165" s="218">
        <v>2553</v>
      </c>
      <c r="D1165" s="221">
        <v>16150</v>
      </c>
      <c r="E1165" s="224">
        <f t="shared" si="21"/>
        <v>1615</v>
      </c>
    </row>
    <row r="1166" spans="1:5">
      <c r="A1166" s="223">
        <v>40723</v>
      </c>
      <c r="B1166" s="217">
        <v>322675</v>
      </c>
      <c r="C1166" s="218">
        <v>2585.5</v>
      </c>
      <c r="D1166" s="221">
        <v>16150</v>
      </c>
      <c r="E1166" s="224">
        <f t="shared" si="21"/>
        <v>1615</v>
      </c>
    </row>
    <row r="1167" spans="1:5">
      <c r="A1167" s="223">
        <v>40724</v>
      </c>
      <c r="B1167" s="217">
        <v>320300</v>
      </c>
      <c r="C1167" s="218">
        <v>2622.5</v>
      </c>
      <c r="D1167" s="221">
        <v>16300</v>
      </c>
      <c r="E1167" s="224">
        <f t="shared" si="21"/>
        <v>1630</v>
      </c>
    </row>
    <row r="1168" spans="1:5">
      <c r="A1168" s="223">
        <v>40725</v>
      </c>
      <c r="B1168" s="217">
        <v>318600</v>
      </c>
      <c r="C1168" s="218">
        <v>2636.5</v>
      </c>
      <c r="D1168" s="221">
        <v>16300</v>
      </c>
      <c r="E1168" s="224">
        <f t="shared" si="21"/>
        <v>1630</v>
      </c>
    </row>
    <row r="1169" spans="1:5">
      <c r="A1169" s="223">
        <v>40728</v>
      </c>
      <c r="B1169" s="217">
        <v>316675</v>
      </c>
      <c r="C1169" s="218">
        <v>2655</v>
      </c>
      <c r="D1169" s="221">
        <v>16500</v>
      </c>
      <c r="E1169" s="224">
        <f t="shared" si="21"/>
        <v>1650</v>
      </c>
    </row>
    <row r="1170" spans="1:5">
      <c r="A1170" s="223">
        <v>40729</v>
      </c>
      <c r="B1170" s="217">
        <v>314900</v>
      </c>
      <c r="C1170" s="218">
        <v>2660.5</v>
      </c>
      <c r="D1170" s="221">
        <v>16500</v>
      </c>
      <c r="E1170" s="224">
        <f t="shared" si="21"/>
        <v>1650</v>
      </c>
    </row>
    <row r="1171" spans="1:5">
      <c r="A1171" s="223">
        <v>40730</v>
      </c>
      <c r="B1171" s="217">
        <v>314900</v>
      </c>
      <c r="C1171" s="218">
        <v>2661</v>
      </c>
      <c r="D1171" s="221">
        <v>16550</v>
      </c>
      <c r="E1171" s="224">
        <f t="shared" si="21"/>
        <v>1655</v>
      </c>
    </row>
    <row r="1172" spans="1:5">
      <c r="A1172" s="223">
        <v>40731</v>
      </c>
      <c r="B1172" s="217">
        <v>309425</v>
      </c>
      <c r="C1172" s="218">
        <v>2694</v>
      </c>
      <c r="D1172" s="221">
        <v>16550</v>
      </c>
      <c r="E1172" s="224">
        <f t="shared" si="21"/>
        <v>1655</v>
      </c>
    </row>
    <row r="1173" spans="1:5">
      <c r="A1173" s="223">
        <v>40732</v>
      </c>
      <c r="B1173" s="217">
        <v>308300</v>
      </c>
      <c r="C1173" s="218">
        <v>2706</v>
      </c>
      <c r="D1173" s="221">
        <v>16700</v>
      </c>
      <c r="E1173" s="224">
        <f t="shared" si="21"/>
        <v>1670</v>
      </c>
    </row>
    <row r="1174" spans="1:5">
      <c r="A1174" s="223">
        <v>40735</v>
      </c>
      <c r="B1174" s="217">
        <v>306725</v>
      </c>
      <c r="C1174" s="218">
        <v>2650.5</v>
      </c>
      <c r="D1174" s="221">
        <v>16700</v>
      </c>
      <c r="E1174" s="224">
        <f t="shared" si="21"/>
        <v>1670</v>
      </c>
    </row>
    <row r="1175" spans="1:5">
      <c r="A1175" s="223">
        <v>40736</v>
      </c>
      <c r="B1175" s="217">
        <v>308650</v>
      </c>
      <c r="C1175" s="218">
        <v>2660</v>
      </c>
      <c r="D1175" s="221">
        <v>16700</v>
      </c>
      <c r="E1175" s="224">
        <f t="shared" si="21"/>
        <v>1670</v>
      </c>
    </row>
    <row r="1176" spans="1:5">
      <c r="A1176" s="223">
        <v>40737</v>
      </c>
      <c r="B1176" s="217">
        <v>307350</v>
      </c>
      <c r="C1176" s="218">
        <v>2745</v>
      </c>
      <c r="D1176" s="221">
        <v>16850</v>
      </c>
      <c r="E1176" s="224">
        <f t="shared" si="21"/>
        <v>1685</v>
      </c>
    </row>
    <row r="1177" spans="1:5">
      <c r="A1177" s="223">
        <v>40738</v>
      </c>
      <c r="B1177" s="217">
        <v>306150</v>
      </c>
      <c r="C1177" s="218">
        <v>2687</v>
      </c>
      <c r="D1177" s="221">
        <v>17000</v>
      </c>
      <c r="E1177" s="224">
        <f t="shared" si="21"/>
        <v>1700</v>
      </c>
    </row>
    <row r="1178" spans="1:5">
      <c r="A1178" s="223">
        <v>40739</v>
      </c>
      <c r="B1178" s="217">
        <v>307850</v>
      </c>
      <c r="C1178" s="218">
        <v>2650</v>
      </c>
      <c r="D1178" s="221">
        <v>17000</v>
      </c>
      <c r="E1178" s="224">
        <f t="shared" si="21"/>
        <v>1700</v>
      </c>
    </row>
    <row r="1179" spans="1:5">
      <c r="A1179" s="223">
        <v>40742</v>
      </c>
      <c r="B1179" s="217">
        <v>307525</v>
      </c>
      <c r="C1179" s="218">
        <v>2730</v>
      </c>
      <c r="D1179" s="221">
        <v>17050</v>
      </c>
      <c r="E1179" s="224">
        <f t="shared" si="21"/>
        <v>1705</v>
      </c>
    </row>
    <row r="1180" spans="1:5">
      <c r="A1180" s="223">
        <v>40743</v>
      </c>
      <c r="B1180" s="217">
        <v>309250</v>
      </c>
      <c r="C1180" s="218">
        <v>2741.5</v>
      </c>
      <c r="D1180" s="221">
        <v>17100</v>
      </c>
      <c r="E1180" s="224">
        <f t="shared" si="21"/>
        <v>1710</v>
      </c>
    </row>
    <row r="1181" spans="1:5">
      <c r="A1181" s="223">
        <v>40744</v>
      </c>
      <c r="B1181" s="217">
        <v>310275</v>
      </c>
      <c r="C1181" s="218">
        <v>2720</v>
      </c>
      <c r="D1181" s="221">
        <v>17150</v>
      </c>
      <c r="E1181" s="224">
        <f t="shared" si="21"/>
        <v>1715</v>
      </c>
    </row>
    <row r="1182" spans="1:5">
      <c r="A1182" s="223">
        <v>40745</v>
      </c>
      <c r="B1182" s="217">
        <v>310150</v>
      </c>
      <c r="C1182" s="218">
        <v>2667</v>
      </c>
      <c r="D1182" s="221">
        <v>17100</v>
      </c>
      <c r="E1182" s="224">
        <f t="shared" si="21"/>
        <v>1710</v>
      </c>
    </row>
    <row r="1183" spans="1:5">
      <c r="A1183" s="223">
        <v>40746</v>
      </c>
      <c r="B1183" s="217">
        <v>310200</v>
      </c>
      <c r="C1183" s="218">
        <v>2707.5</v>
      </c>
      <c r="D1183" s="221">
        <v>17100</v>
      </c>
      <c r="E1183" s="224">
        <f t="shared" si="21"/>
        <v>1710</v>
      </c>
    </row>
    <row r="1184" spans="1:5">
      <c r="A1184" s="223">
        <v>40749</v>
      </c>
      <c r="B1184" s="217">
        <v>310800</v>
      </c>
      <c r="C1184" s="218">
        <v>2670</v>
      </c>
      <c r="D1184" s="221">
        <v>17050</v>
      </c>
      <c r="E1184" s="224">
        <f t="shared" si="21"/>
        <v>1705</v>
      </c>
    </row>
    <row r="1185" spans="1:5">
      <c r="A1185" s="223">
        <v>40750</v>
      </c>
      <c r="B1185" s="217">
        <v>311525</v>
      </c>
      <c r="C1185" s="218">
        <v>2705.5</v>
      </c>
      <c r="D1185" s="221">
        <v>17050</v>
      </c>
      <c r="E1185" s="224">
        <f t="shared" si="21"/>
        <v>1705</v>
      </c>
    </row>
    <row r="1186" spans="1:5">
      <c r="A1186" s="223">
        <v>40751</v>
      </c>
      <c r="B1186" s="217">
        <v>311375</v>
      </c>
      <c r="C1186" s="218">
        <v>2694</v>
      </c>
      <c r="D1186" s="221">
        <v>17150</v>
      </c>
      <c r="E1186" s="224">
        <f t="shared" si="21"/>
        <v>1715</v>
      </c>
    </row>
    <row r="1187" spans="1:5">
      <c r="A1187" s="223">
        <v>40752</v>
      </c>
      <c r="B1187" s="217">
        <v>311925</v>
      </c>
      <c r="C1187" s="218">
        <v>2680</v>
      </c>
      <c r="D1187" s="221">
        <v>17100</v>
      </c>
      <c r="E1187" s="224">
        <f t="shared" si="21"/>
        <v>1710</v>
      </c>
    </row>
    <row r="1188" spans="1:5">
      <c r="A1188" s="223">
        <v>40753</v>
      </c>
      <c r="B1188" s="217">
        <v>311450</v>
      </c>
      <c r="C1188" s="218">
        <v>2613.5</v>
      </c>
      <c r="D1188" s="221">
        <v>17100</v>
      </c>
      <c r="E1188" s="224">
        <f t="shared" si="21"/>
        <v>1710</v>
      </c>
    </row>
    <row r="1189" spans="1:5">
      <c r="A1189" s="223">
        <v>40756</v>
      </c>
      <c r="B1189" s="217">
        <v>310675</v>
      </c>
      <c r="C1189" s="218">
        <v>2627.5</v>
      </c>
      <c r="D1189" s="221">
        <v>17050</v>
      </c>
      <c r="E1189" s="224">
        <f t="shared" si="21"/>
        <v>1705</v>
      </c>
    </row>
    <row r="1190" spans="1:5">
      <c r="A1190" s="223">
        <v>40757</v>
      </c>
      <c r="B1190" s="217">
        <v>310750</v>
      </c>
      <c r="C1190" s="218">
        <v>2539.5</v>
      </c>
      <c r="D1190" s="221">
        <v>16900</v>
      </c>
      <c r="E1190" s="224">
        <f t="shared" si="21"/>
        <v>1690</v>
      </c>
    </row>
    <row r="1191" spans="1:5">
      <c r="A1191" s="223">
        <v>40758</v>
      </c>
      <c r="B1191" s="217">
        <v>309675</v>
      </c>
      <c r="C1191" s="218">
        <v>2522.5</v>
      </c>
      <c r="D1191" s="221">
        <v>16850</v>
      </c>
      <c r="E1191" s="224">
        <f t="shared" si="21"/>
        <v>1685</v>
      </c>
    </row>
    <row r="1192" spans="1:5">
      <c r="A1192" s="223">
        <v>40759</v>
      </c>
      <c r="B1192" s="217">
        <v>309950</v>
      </c>
      <c r="C1192" s="218">
        <v>2493</v>
      </c>
      <c r="D1192" s="221">
        <v>16650</v>
      </c>
      <c r="E1192" s="224">
        <f t="shared" si="21"/>
        <v>1665</v>
      </c>
    </row>
    <row r="1193" spans="1:5">
      <c r="A1193" s="223">
        <v>40760</v>
      </c>
      <c r="B1193" s="217">
        <v>309800</v>
      </c>
      <c r="C1193" s="218">
        <v>2419</v>
      </c>
      <c r="D1193" s="221">
        <v>16100</v>
      </c>
      <c r="E1193" s="224">
        <f t="shared" si="21"/>
        <v>1610</v>
      </c>
    </row>
    <row r="1194" spans="1:5">
      <c r="A1194" s="223">
        <v>40763</v>
      </c>
      <c r="B1194" s="217">
        <v>310650</v>
      </c>
      <c r="C1194" s="218">
        <v>2345</v>
      </c>
      <c r="D1194" s="221">
        <v>16000</v>
      </c>
      <c r="E1194" s="224">
        <f t="shared" si="21"/>
        <v>1600</v>
      </c>
    </row>
    <row r="1195" spans="1:5">
      <c r="A1195" s="223">
        <v>40764</v>
      </c>
      <c r="B1195" s="217">
        <v>310475</v>
      </c>
      <c r="C1195" s="218">
        <v>2278</v>
      </c>
      <c r="D1195" s="221">
        <v>15600</v>
      </c>
      <c r="E1195" s="224">
        <f t="shared" si="21"/>
        <v>1560</v>
      </c>
    </row>
    <row r="1196" spans="1:5">
      <c r="A1196" s="223">
        <v>40765</v>
      </c>
      <c r="B1196" s="217">
        <v>309825</v>
      </c>
      <c r="C1196" s="218">
        <v>2338.5</v>
      </c>
      <c r="D1196" s="221">
        <v>15900</v>
      </c>
      <c r="E1196" s="224">
        <f t="shared" si="21"/>
        <v>1590</v>
      </c>
    </row>
    <row r="1197" spans="1:5">
      <c r="A1197" s="223">
        <v>40766</v>
      </c>
      <c r="B1197" s="217">
        <v>309150</v>
      </c>
      <c r="C1197" s="218">
        <v>2300.5</v>
      </c>
      <c r="D1197" s="221">
        <v>16000</v>
      </c>
      <c r="E1197" s="224">
        <f t="shared" si="21"/>
        <v>1600</v>
      </c>
    </row>
    <row r="1198" spans="1:5">
      <c r="A1198" s="223">
        <v>40767</v>
      </c>
      <c r="B1198" s="217">
        <v>308525</v>
      </c>
      <c r="C1198" s="218">
        <v>2387</v>
      </c>
      <c r="D1198" s="221">
        <v>16200</v>
      </c>
      <c r="E1198" s="224">
        <f t="shared" si="21"/>
        <v>1620</v>
      </c>
    </row>
    <row r="1199" spans="1:5">
      <c r="A1199" s="223">
        <v>40770</v>
      </c>
      <c r="B1199" s="217">
        <v>308300</v>
      </c>
      <c r="C1199" s="218">
        <v>2355</v>
      </c>
      <c r="D1199" s="221">
        <v>16250</v>
      </c>
      <c r="E1199" s="224">
        <f t="shared" si="21"/>
        <v>1625</v>
      </c>
    </row>
    <row r="1200" spans="1:5">
      <c r="A1200" s="223">
        <v>40771</v>
      </c>
      <c r="B1200" s="217">
        <v>319225</v>
      </c>
      <c r="C1200" s="218">
        <v>2355</v>
      </c>
      <c r="D1200" s="221">
        <v>16200</v>
      </c>
      <c r="E1200" s="224">
        <f t="shared" si="21"/>
        <v>1620</v>
      </c>
    </row>
    <row r="1201" spans="1:5">
      <c r="A1201" s="223">
        <v>40772</v>
      </c>
      <c r="B1201" s="217">
        <v>318575</v>
      </c>
      <c r="C1201" s="218">
        <v>2396</v>
      </c>
      <c r="D1201" s="221">
        <v>16200</v>
      </c>
      <c r="E1201" s="224">
        <f t="shared" si="21"/>
        <v>1620</v>
      </c>
    </row>
    <row r="1202" spans="1:5">
      <c r="A1202" s="223">
        <v>40773</v>
      </c>
      <c r="B1202" s="217">
        <v>318125</v>
      </c>
      <c r="C1202" s="218">
        <v>2340</v>
      </c>
      <c r="D1202" s="221">
        <v>16300</v>
      </c>
      <c r="E1202" s="224">
        <f t="shared" si="21"/>
        <v>1630</v>
      </c>
    </row>
    <row r="1203" spans="1:5">
      <c r="A1203" s="223">
        <v>40774</v>
      </c>
      <c r="B1203" s="217">
        <v>318050</v>
      </c>
      <c r="C1203" s="218">
        <v>2316</v>
      </c>
      <c r="D1203" s="221">
        <v>16100</v>
      </c>
      <c r="E1203" s="224">
        <f t="shared" si="21"/>
        <v>1610</v>
      </c>
    </row>
    <row r="1204" spans="1:5">
      <c r="A1204" s="223">
        <v>40777</v>
      </c>
      <c r="B1204" s="217">
        <v>316450</v>
      </c>
      <c r="C1204" s="218">
        <v>2300</v>
      </c>
      <c r="D1204" s="221">
        <v>16250</v>
      </c>
      <c r="E1204" s="224">
        <f t="shared" si="21"/>
        <v>1625</v>
      </c>
    </row>
    <row r="1205" spans="1:5">
      <c r="A1205" s="223">
        <v>40778</v>
      </c>
      <c r="B1205" s="217">
        <v>315750</v>
      </c>
      <c r="C1205" s="218">
        <v>2324.5</v>
      </c>
      <c r="D1205" s="221">
        <v>16150</v>
      </c>
      <c r="E1205" s="224">
        <f t="shared" si="21"/>
        <v>1615</v>
      </c>
    </row>
    <row r="1206" spans="1:5">
      <c r="A1206" s="223">
        <v>40779</v>
      </c>
      <c r="B1206" s="217">
        <v>315025</v>
      </c>
      <c r="C1206" s="218">
        <v>2344</v>
      </c>
      <c r="D1206" s="221">
        <v>16250</v>
      </c>
      <c r="E1206" s="224">
        <f t="shared" si="21"/>
        <v>1625</v>
      </c>
    </row>
    <row r="1207" spans="1:5">
      <c r="A1207" s="223">
        <v>40780</v>
      </c>
      <c r="B1207" s="217">
        <v>314000</v>
      </c>
      <c r="C1207" s="218">
        <v>2399.5</v>
      </c>
      <c r="D1207" s="221">
        <v>16250</v>
      </c>
      <c r="E1207" s="224">
        <f t="shared" si="21"/>
        <v>1625</v>
      </c>
    </row>
    <row r="1208" spans="1:5">
      <c r="A1208" s="223">
        <v>40781</v>
      </c>
      <c r="B1208" s="217">
        <v>317200</v>
      </c>
      <c r="C1208" s="218">
        <v>2471</v>
      </c>
      <c r="D1208" s="221">
        <v>16275</v>
      </c>
      <c r="E1208" s="224">
        <f t="shared" si="21"/>
        <v>1627.5</v>
      </c>
    </row>
    <row r="1209" spans="1:5">
      <c r="A1209" s="223">
        <v>40784</v>
      </c>
      <c r="B1209" s="217">
        <v>317200</v>
      </c>
      <c r="C1209" s="218">
        <v>2471</v>
      </c>
      <c r="D1209" s="221">
        <v>16375</v>
      </c>
      <c r="E1209" s="224">
        <f t="shared" si="21"/>
        <v>1637.5</v>
      </c>
    </row>
    <row r="1210" spans="1:5">
      <c r="A1210" s="223">
        <v>40785</v>
      </c>
      <c r="B1210" s="217">
        <v>317875</v>
      </c>
      <c r="C1210" s="218">
        <v>2497</v>
      </c>
      <c r="D1210" s="221">
        <v>16475</v>
      </c>
      <c r="E1210" s="224">
        <f t="shared" si="21"/>
        <v>1647.5</v>
      </c>
    </row>
    <row r="1211" spans="1:5">
      <c r="A1211" s="223">
        <v>40786</v>
      </c>
      <c r="B1211" s="217">
        <v>317600</v>
      </c>
      <c r="C1211" s="218">
        <v>2555</v>
      </c>
      <c r="D1211" s="221">
        <v>16425</v>
      </c>
      <c r="E1211" s="224">
        <f t="shared" si="21"/>
        <v>1642.5</v>
      </c>
    </row>
    <row r="1212" spans="1:5">
      <c r="A1212" s="223">
        <v>40787</v>
      </c>
      <c r="B1212" s="217">
        <v>318250</v>
      </c>
      <c r="C1212" s="218">
        <v>2559</v>
      </c>
      <c r="D1212" s="221">
        <v>16425</v>
      </c>
      <c r="E1212" s="224">
        <f t="shared" si="21"/>
        <v>1642.5</v>
      </c>
    </row>
    <row r="1213" spans="1:5">
      <c r="A1213" s="223">
        <v>40788</v>
      </c>
      <c r="B1213" s="217">
        <v>321500</v>
      </c>
      <c r="C1213" s="218">
        <v>2527</v>
      </c>
      <c r="D1213" s="221">
        <v>16325</v>
      </c>
      <c r="E1213" s="224">
        <f t="shared" si="21"/>
        <v>1632.5</v>
      </c>
    </row>
    <row r="1214" spans="1:5">
      <c r="A1214" s="223">
        <v>40791</v>
      </c>
      <c r="B1214" s="217">
        <v>321100</v>
      </c>
      <c r="C1214" s="218">
        <v>2444</v>
      </c>
      <c r="D1214" s="221">
        <v>16275</v>
      </c>
      <c r="E1214" s="224">
        <f t="shared" si="21"/>
        <v>1627.5</v>
      </c>
    </row>
    <row r="1215" spans="1:5">
      <c r="A1215" s="223">
        <v>40792</v>
      </c>
      <c r="B1215" s="217">
        <v>321350</v>
      </c>
      <c r="C1215" s="218">
        <v>2424</v>
      </c>
      <c r="D1215" s="221">
        <v>16175</v>
      </c>
      <c r="E1215" s="224">
        <f t="shared" si="21"/>
        <v>1617.5</v>
      </c>
    </row>
    <row r="1216" spans="1:5">
      <c r="A1216" s="223">
        <v>40793</v>
      </c>
      <c r="B1216" s="217">
        <v>321450</v>
      </c>
      <c r="C1216" s="218">
        <v>2432</v>
      </c>
      <c r="D1216" s="221">
        <v>16225</v>
      </c>
      <c r="E1216" s="224">
        <f t="shared" si="21"/>
        <v>1622.5</v>
      </c>
    </row>
    <row r="1217" spans="1:5">
      <c r="A1217" s="223">
        <v>40794</v>
      </c>
      <c r="B1217" s="217">
        <v>321050</v>
      </c>
      <c r="C1217" s="218">
        <v>2423.5</v>
      </c>
      <c r="D1217" s="221">
        <v>16325</v>
      </c>
      <c r="E1217" s="224">
        <f t="shared" si="21"/>
        <v>1632.5</v>
      </c>
    </row>
    <row r="1218" spans="1:5">
      <c r="A1218" s="223">
        <v>40795</v>
      </c>
      <c r="B1218" s="217">
        <v>320125</v>
      </c>
      <c r="C1218" s="218">
        <v>2455</v>
      </c>
      <c r="D1218" s="221">
        <v>16275</v>
      </c>
      <c r="E1218" s="224">
        <f t="shared" si="21"/>
        <v>1627.5</v>
      </c>
    </row>
    <row r="1219" spans="1:5">
      <c r="A1219" s="223">
        <v>40798</v>
      </c>
      <c r="B1219" s="217">
        <v>319150</v>
      </c>
      <c r="C1219" s="218">
        <v>2430</v>
      </c>
      <c r="D1219" s="221">
        <v>16175</v>
      </c>
      <c r="E1219" s="224">
        <f t="shared" ref="E1219:E1282" si="22">D1219/10</f>
        <v>1617.5</v>
      </c>
    </row>
    <row r="1220" spans="1:5">
      <c r="A1220" s="223">
        <v>40799</v>
      </c>
      <c r="B1220" s="217">
        <v>323775</v>
      </c>
      <c r="C1220" s="218">
        <v>2425.5</v>
      </c>
      <c r="D1220" s="221">
        <v>16175</v>
      </c>
      <c r="E1220" s="224">
        <f t="shared" si="22"/>
        <v>1617.5</v>
      </c>
    </row>
    <row r="1221" spans="1:5">
      <c r="A1221" s="223">
        <v>40800</v>
      </c>
      <c r="B1221" s="217">
        <v>323000</v>
      </c>
      <c r="C1221" s="218">
        <v>2383</v>
      </c>
      <c r="D1221" s="221">
        <v>16175</v>
      </c>
      <c r="E1221" s="224">
        <f t="shared" si="22"/>
        <v>1617.5</v>
      </c>
    </row>
    <row r="1222" spans="1:5">
      <c r="A1222" s="223">
        <v>40801</v>
      </c>
      <c r="B1222" s="217">
        <v>322675</v>
      </c>
      <c r="C1222" s="218">
        <v>2406</v>
      </c>
      <c r="D1222" s="221">
        <v>16100</v>
      </c>
      <c r="E1222" s="224">
        <f t="shared" si="22"/>
        <v>1610</v>
      </c>
    </row>
    <row r="1223" spans="1:5">
      <c r="A1223" s="223">
        <v>40802</v>
      </c>
      <c r="B1223" s="217">
        <v>327750</v>
      </c>
      <c r="C1223" s="218">
        <v>2426</v>
      </c>
      <c r="D1223" s="221">
        <v>16100</v>
      </c>
      <c r="E1223" s="224">
        <f t="shared" si="22"/>
        <v>1610</v>
      </c>
    </row>
    <row r="1224" spans="1:5">
      <c r="A1224" s="223">
        <v>40805</v>
      </c>
      <c r="B1224" s="217">
        <v>330175</v>
      </c>
      <c r="C1224" s="218">
        <v>2321</v>
      </c>
      <c r="D1224" s="221">
        <v>15950</v>
      </c>
      <c r="E1224" s="224">
        <f t="shared" si="22"/>
        <v>1595</v>
      </c>
    </row>
    <row r="1225" spans="1:5">
      <c r="A1225" s="223">
        <v>40806</v>
      </c>
      <c r="B1225" s="217">
        <v>345425</v>
      </c>
      <c r="C1225" s="218">
        <v>2330</v>
      </c>
      <c r="D1225" s="221">
        <v>15700</v>
      </c>
      <c r="E1225" s="224">
        <f t="shared" si="22"/>
        <v>1570</v>
      </c>
    </row>
    <row r="1226" spans="1:5">
      <c r="A1226" s="223">
        <v>40807</v>
      </c>
      <c r="B1226" s="217">
        <v>374825</v>
      </c>
      <c r="C1226" s="218">
        <v>2260</v>
      </c>
      <c r="D1226" s="221">
        <v>15700</v>
      </c>
      <c r="E1226" s="224">
        <f t="shared" si="22"/>
        <v>1570</v>
      </c>
    </row>
    <row r="1227" spans="1:5">
      <c r="A1227" s="223">
        <v>40808</v>
      </c>
      <c r="B1227" s="217">
        <v>374450</v>
      </c>
      <c r="C1227" s="218">
        <v>2167</v>
      </c>
      <c r="D1227" s="221">
        <v>15400</v>
      </c>
      <c r="E1227" s="224">
        <f t="shared" si="22"/>
        <v>1540</v>
      </c>
    </row>
    <row r="1228" spans="1:5">
      <c r="A1228" s="223">
        <v>40809</v>
      </c>
      <c r="B1228" s="217">
        <v>374025</v>
      </c>
      <c r="C1228" s="218">
        <v>2050</v>
      </c>
      <c r="D1228" s="221">
        <v>14700</v>
      </c>
      <c r="E1228" s="224">
        <f t="shared" si="22"/>
        <v>1470</v>
      </c>
    </row>
    <row r="1229" spans="1:5">
      <c r="A1229" s="223">
        <v>40812</v>
      </c>
      <c r="B1229" s="217">
        <v>373800</v>
      </c>
      <c r="C1229" s="218">
        <v>1994</v>
      </c>
      <c r="D1229" s="221">
        <v>14200</v>
      </c>
      <c r="E1229" s="224">
        <f t="shared" si="22"/>
        <v>1420</v>
      </c>
    </row>
    <row r="1230" spans="1:5">
      <c r="A1230" s="223">
        <v>40813</v>
      </c>
      <c r="B1230" s="217">
        <v>374225</v>
      </c>
      <c r="C1230" s="218">
        <v>2015</v>
      </c>
      <c r="D1230" s="221">
        <v>14250</v>
      </c>
      <c r="E1230" s="224">
        <f t="shared" si="22"/>
        <v>1425</v>
      </c>
    </row>
    <row r="1231" spans="1:5">
      <c r="A1231" s="223">
        <v>40814</v>
      </c>
      <c r="B1231" s="217">
        <v>373700</v>
      </c>
      <c r="C1231" s="218">
        <v>2035</v>
      </c>
      <c r="D1231" s="221">
        <v>14375</v>
      </c>
      <c r="E1231" s="224">
        <f t="shared" si="22"/>
        <v>1437.5</v>
      </c>
    </row>
    <row r="1232" spans="1:5">
      <c r="A1232" s="223">
        <v>40815</v>
      </c>
      <c r="B1232" s="217">
        <v>373425</v>
      </c>
      <c r="C1232" s="218">
        <v>2006</v>
      </c>
      <c r="D1232" s="221">
        <v>14125</v>
      </c>
      <c r="E1232" s="224">
        <f t="shared" si="22"/>
        <v>1412.5</v>
      </c>
    </row>
    <row r="1233" spans="1:5">
      <c r="A1233" s="223">
        <v>40816</v>
      </c>
      <c r="B1233" s="217">
        <v>373425</v>
      </c>
      <c r="C1233" s="218">
        <v>2060.5</v>
      </c>
      <c r="D1233" s="221">
        <v>14525</v>
      </c>
      <c r="E1233" s="224">
        <f t="shared" si="22"/>
        <v>1452.5</v>
      </c>
    </row>
    <row r="1234" spans="1:5">
      <c r="A1234" s="223">
        <v>40819</v>
      </c>
      <c r="B1234" s="217">
        <v>374125</v>
      </c>
      <c r="C1234" s="218">
        <v>1999.5</v>
      </c>
      <c r="D1234" s="221">
        <v>14525</v>
      </c>
      <c r="E1234" s="224">
        <f>D1234/10</f>
        <v>1452.5</v>
      </c>
    </row>
    <row r="1235" spans="1:5">
      <c r="A1235" s="223">
        <v>40820</v>
      </c>
      <c r="B1235" s="217">
        <v>374550</v>
      </c>
      <c r="C1235" s="218">
        <v>1961</v>
      </c>
      <c r="D1235" s="221">
        <v>14525</v>
      </c>
      <c r="E1235" s="224">
        <f>D1235/10</f>
        <v>1452.5</v>
      </c>
    </row>
    <row r="1236" spans="1:5">
      <c r="A1236" s="223">
        <v>40821</v>
      </c>
      <c r="B1236" s="217">
        <v>379700</v>
      </c>
      <c r="C1236" s="218">
        <v>1947</v>
      </c>
      <c r="D1236" s="221">
        <v>14525</v>
      </c>
      <c r="E1236" s="224">
        <f>D1236/10</f>
        <v>1452.5</v>
      </c>
    </row>
    <row r="1237" spans="1:5">
      <c r="A1237" s="223">
        <v>40822</v>
      </c>
      <c r="B1237" s="217">
        <v>380875</v>
      </c>
      <c r="C1237" s="218">
        <v>1944.5</v>
      </c>
      <c r="D1237" s="221">
        <v>14525</v>
      </c>
      <c r="E1237" s="224">
        <f>D1237/10</f>
        <v>1452.5</v>
      </c>
    </row>
    <row r="1238" spans="1:5">
      <c r="A1238" s="223">
        <v>40823</v>
      </c>
      <c r="B1238" s="217">
        <v>380400</v>
      </c>
      <c r="C1238" s="218">
        <v>1946</v>
      </c>
      <c r="D1238" s="221">
        <v>14525</v>
      </c>
      <c r="E1238" s="224">
        <f>D1238/10</f>
        <v>1452.5</v>
      </c>
    </row>
    <row r="1239" spans="1:5">
      <c r="A1239" s="223">
        <v>40826</v>
      </c>
      <c r="B1239" s="217">
        <v>382000</v>
      </c>
      <c r="C1239" s="218">
        <v>1976</v>
      </c>
      <c r="D1239" s="221">
        <v>14775</v>
      </c>
      <c r="E1239" s="224">
        <f t="shared" si="22"/>
        <v>1477.5</v>
      </c>
    </row>
    <row r="1240" spans="1:5">
      <c r="A1240" s="223">
        <v>40827</v>
      </c>
      <c r="B1240" s="217">
        <v>385675</v>
      </c>
      <c r="C1240" s="218">
        <v>1956.5</v>
      </c>
      <c r="D1240" s="221">
        <v>14850</v>
      </c>
      <c r="E1240" s="224">
        <f t="shared" si="22"/>
        <v>1485</v>
      </c>
    </row>
    <row r="1241" spans="1:5">
      <c r="A1241" s="223">
        <v>40828</v>
      </c>
      <c r="B1241" s="217">
        <v>386850</v>
      </c>
      <c r="C1241" s="218">
        <v>2009.5</v>
      </c>
      <c r="D1241" s="221">
        <v>14850</v>
      </c>
      <c r="E1241" s="224">
        <f t="shared" si="22"/>
        <v>1485</v>
      </c>
    </row>
    <row r="1242" spans="1:5">
      <c r="A1242" s="223">
        <v>40829</v>
      </c>
      <c r="B1242" s="217">
        <v>388325</v>
      </c>
      <c r="C1242" s="218">
        <v>1996</v>
      </c>
      <c r="D1242" s="221">
        <v>14950</v>
      </c>
      <c r="E1242" s="224">
        <f t="shared" si="22"/>
        <v>1495</v>
      </c>
    </row>
    <row r="1243" spans="1:5">
      <c r="A1243" s="223">
        <v>40830</v>
      </c>
      <c r="B1243" s="217">
        <v>388500</v>
      </c>
      <c r="C1243" s="218">
        <v>2008</v>
      </c>
      <c r="D1243" s="221">
        <v>14950</v>
      </c>
      <c r="E1243" s="224">
        <f t="shared" si="22"/>
        <v>1495</v>
      </c>
    </row>
    <row r="1244" spans="1:5">
      <c r="A1244" s="223">
        <v>40833</v>
      </c>
      <c r="B1244" s="217">
        <v>388500</v>
      </c>
      <c r="C1244" s="218">
        <v>1990.5</v>
      </c>
      <c r="D1244" s="221">
        <v>15000</v>
      </c>
      <c r="E1244" s="224">
        <f t="shared" si="22"/>
        <v>1500</v>
      </c>
    </row>
    <row r="1245" spans="1:5">
      <c r="A1245" s="223">
        <v>40834</v>
      </c>
      <c r="B1245" s="217">
        <v>387825</v>
      </c>
      <c r="C1245" s="218">
        <v>1906</v>
      </c>
      <c r="D1245" s="221">
        <v>14650</v>
      </c>
      <c r="E1245" s="224">
        <f t="shared" si="22"/>
        <v>1465</v>
      </c>
    </row>
    <row r="1246" spans="1:5">
      <c r="A1246" s="223">
        <v>40835</v>
      </c>
      <c r="B1246" s="217">
        <v>388350</v>
      </c>
      <c r="C1246" s="218">
        <v>1890</v>
      </c>
      <c r="D1246" s="221">
        <v>14650</v>
      </c>
      <c r="E1246" s="224">
        <f t="shared" si="22"/>
        <v>1465</v>
      </c>
    </row>
    <row r="1247" spans="1:5">
      <c r="A1247" s="223">
        <v>40836</v>
      </c>
      <c r="B1247" s="217">
        <v>387925</v>
      </c>
      <c r="C1247" s="218">
        <v>1791.5</v>
      </c>
      <c r="D1247" s="221">
        <v>14050</v>
      </c>
      <c r="E1247" s="224">
        <f t="shared" si="22"/>
        <v>1405</v>
      </c>
    </row>
    <row r="1248" spans="1:5">
      <c r="A1248" s="223">
        <v>40837</v>
      </c>
      <c r="B1248" s="217">
        <v>387950</v>
      </c>
      <c r="C1248" s="218">
        <v>1841</v>
      </c>
      <c r="D1248" s="221">
        <v>14400</v>
      </c>
      <c r="E1248" s="224">
        <f t="shared" si="22"/>
        <v>1440</v>
      </c>
    </row>
    <row r="1249" spans="1:5">
      <c r="A1249" s="223">
        <v>40840</v>
      </c>
      <c r="B1249" s="217">
        <v>388275</v>
      </c>
      <c r="C1249" s="218">
        <v>1940.5</v>
      </c>
      <c r="D1249" s="221">
        <v>14750</v>
      </c>
      <c r="E1249" s="224">
        <f t="shared" si="22"/>
        <v>1475</v>
      </c>
    </row>
    <row r="1250" spans="1:5">
      <c r="A1250" s="223">
        <v>40841</v>
      </c>
      <c r="B1250" s="217">
        <v>388150</v>
      </c>
      <c r="C1250" s="218">
        <v>1961.5</v>
      </c>
      <c r="D1250" s="221">
        <v>15100</v>
      </c>
      <c r="E1250" s="224">
        <f t="shared" si="22"/>
        <v>1510</v>
      </c>
    </row>
    <row r="1251" spans="1:5">
      <c r="A1251" s="223">
        <v>40842</v>
      </c>
      <c r="B1251" s="217">
        <v>388475</v>
      </c>
      <c r="C1251" s="218">
        <v>1937.5</v>
      </c>
      <c r="D1251" s="221">
        <v>15050</v>
      </c>
      <c r="E1251" s="224">
        <f t="shared" si="22"/>
        <v>1505</v>
      </c>
    </row>
    <row r="1252" spans="1:5">
      <c r="A1252" s="223">
        <v>40843</v>
      </c>
      <c r="B1252" s="217">
        <v>388375</v>
      </c>
      <c r="C1252" s="218">
        <v>1951</v>
      </c>
      <c r="D1252" s="221">
        <v>15050</v>
      </c>
      <c r="E1252" s="224">
        <f t="shared" si="22"/>
        <v>1505</v>
      </c>
    </row>
    <row r="1253" spans="1:5">
      <c r="A1253" s="223">
        <v>40844</v>
      </c>
      <c r="B1253" s="217">
        <v>387900</v>
      </c>
      <c r="C1253" s="218">
        <v>1986</v>
      </c>
      <c r="D1253" s="221">
        <v>15400</v>
      </c>
      <c r="E1253" s="224">
        <f t="shared" si="22"/>
        <v>1540</v>
      </c>
    </row>
    <row r="1254" spans="1:5">
      <c r="A1254" s="223">
        <v>40847</v>
      </c>
      <c r="B1254" s="217">
        <v>387800</v>
      </c>
      <c r="C1254" s="218">
        <v>1981</v>
      </c>
      <c r="D1254" s="221">
        <v>15400</v>
      </c>
      <c r="E1254" s="224">
        <f t="shared" si="22"/>
        <v>1540</v>
      </c>
    </row>
    <row r="1255" spans="1:5">
      <c r="A1255" s="223">
        <v>40848</v>
      </c>
      <c r="B1255" s="217">
        <v>387425</v>
      </c>
      <c r="C1255" s="218">
        <v>1997</v>
      </c>
      <c r="D1255" s="221">
        <v>15400</v>
      </c>
      <c r="E1255" s="224">
        <f t="shared" si="22"/>
        <v>1540</v>
      </c>
    </row>
    <row r="1256" spans="1:5">
      <c r="A1256" s="223">
        <v>40849</v>
      </c>
      <c r="B1256" s="217">
        <v>386600</v>
      </c>
      <c r="C1256" s="218">
        <v>1978</v>
      </c>
      <c r="D1256" s="221">
        <v>15150</v>
      </c>
      <c r="E1256" s="224">
        <f t="shared" si="22"/>
        <v>1515</v>
      </c>
    </row>
    <row r="1257" spans="1:5">
      <c r="A1257" s="223">
        <v>40850</v>
      </c>
      <c r="B1257" s="217">
        <v>385300</v>
      </c>
      <c r="C1257" s="218">
        <v>1993</v>
      </c>
      <c r="D1257" s="221">
        <v>15200</v>
      </c>
      <c r="E1257" s="224">
        <f t="shared" si="22"/>
        <v>1520</v>
      </c>
    </row>
    <row r="1258" spans="1:5">
      <c r="A1258" s="223">
        <v>40851</v>
      </c>
      <c r="B1258" s="217">
        <v>384575</v>
      </c>
      <c r="C1258" s="218">
        <v>2022</v>
      </c>
      <c r="D1258" s="221">
        <v>15400</v>
      </c>
      <c r="E1258" s="224">
        <f t="shared" si="22"/>
        <v>1540</v>
      </c>
    </row>
    <row r="1259" spans="1:5">
      <c r="A1259" s="223">
        <v>40854</v>
      </c>
      <c r="B1259" s="217">
        <v>383400</v>
      </c>
      <c r="C1259" s="218">
        <v>1976</v>
      </c>
      <c r="D1259" s="221">
        <v>15400</v>
      </c>
      <c r="E1259" s="224">
        <f t="shared" si="22"/>
        <v>1540</v>
      </c>
    </row>
    <row r="1260" spans="1:5">
      <c r="A1260" s="223">
        <v>40855</v>
      </c>
      <c r="B1260" s="217">
        <v>382175</v>
      </c>
      <c r="C1260" s="218">
        <v>1995.5</v>
      </c>
      <c r="D1260" s="221">
        <v>15350</v>
      </c>
      <c r="E1260" s="224">
        <f t="shared" si="22"/>
        <v>1535</v>
      </c>
    </row>
    <row r="1261" spans="1:5">
      <c r="A1261" s="223">
        <v>40856</v>
      </c>
      <c r="B1261" s="217">
        <v>380050</v>
      </c>
      <c r="C1261" s="218">
        <v>1966.5</v>
      </c>
      <c r="D1261" s="221">
        <v>15400</v>
      </c>
      <c r="E1261" s="224">
        <f t="shared" si="22"/>
        <v>1540</v>
      </c>
    </row>
    <row r="1262" spans="1:5">
      <c r="A1262" s="223">
        <v>40857</v>
      </c>
      <c r="B1262" s="217">
        <v>378775</v>
      </c>
      <c r="C1262" s="218">
        <v>1921.5</v>
      </c>
      <c r="D1262" s="221">
        <v>14750</v>
      </c>
      <c r="E1262" s="224">
        <f t="shared" si="22"/>
        <v>1475</v>
      </c>
    </row>
    <row r="1263" spans="1:5">
      <c r="A1263" s="223">
        <v>40858</v>
      </c>
      <c r="B1263" s="217">
        <v>376850</v>
      </c>
      <c r="C1263" s="218">
        <v>1949</v>
      </c>
      <c r="D1263" s="221">
        <v>14900</v>
      </c>
      <c r="E1263" s="224">
        <f t="shared" si="22"/>
        <v>1490</v>
      </c>
    </row>
    <row r="1264" spans="1:5">
      <c r="A1264" s="223">
        <v>40861</v>
      </c>
      <c r="B1264" s="217">
        <v>374900</v>
      </c>
      <c r="C1264" s="218">
        <v>1990.5</v>
      </c>
      <c r="D1264" s="221">
        <v>15500</v>
      </c>
      <c r="E1264" s="224">
        <f t="shared" si="22"/>
        <v>1550</v>
      </c>
    </row>
    <row r="1265" spans="1:5">
      <c r="A1265" s="223">
        <v>40862</v>
      </c>
      <c r="B1265" s="217">
        <v>375950</v>
      </c>
      <c r="C1265" s="218">
        <v>1983</v>
      </c>
      <c r="D1265" s="221">
        <v>15400</v>
      </c>
      <c r="E1265" s="224">
        <f t="shared" si="22"/>
        <v>1540</v>
      </c>
    </row>
    <row r="1266" spans="1:5">
      <c r="A1266" s="223">
        <v>40863</v>
      </c>
      <c r="B1266" s="217">
        <v>380300</v>
      </c>
      <c r="C1266" s="218">
        <v>1982</v>
      </c>
      <c r="D1266" s="221">
        <v>15350</v>
      </c>
      <c r="E1266" s="224">
        <f t="shared" si="22"/>
        <v>1535</v>
      </c>
    </row>
    <row r="1267" spans="1:5">
      <c r="A1267" s="223">
        <v>40864</v>
      </c>
      <c r="B1267" s="217">
        <v>375800</v>
      </c>
      <c r="C1267" s="218">
        <v>1975</v>
      </c>
      <c r="D1267" s="221">
        <v>15350</v>
      </c>
      <c r="E1267" s="224">
        <f t="shared" si="22"/>
        <v>1535</v>
      </c>
    </row>
    <row r="1268" spans="1:5">
      <c r="A1268" s="223">
        <v>40865</v>
      </c>
      <c r="B1268" s="217">
        <v>374950</v>
      </c>
      <c r="C1268" s="218">
        <v>1996</v>
      </c>
      <c r="D1268" s="221">
        <v>15250</v>
      </c>
      <c r="E1268" s="224">
        <f t="shared" si="22"/>
        <v>1525</v>
      </c>
    </row>
    <row r="1269" spans="1:5">
      <c r="A1269" s="223">
        <v>40868</v>
      </c>
      <c r="B1269" s="217">
        <v>373825</v>
      </c>
      <c r="C1269" s="218">
        <v>2001</v>
      </c>
      <c r="D1269" s="221">
        <v>15400</v>
      </c>
      <c r="E1269" s="224">
        <f t="shared" si="22"/>
        <v>1540</v>
      </c>
    </row>
    <row r="1270" spans="1:5">
      <c r="A1270" s="223">
        <v>40869</v>
      </c>
      <c r="B1270" s="217">
        <v>372650</v>
      </c>
      <c r="C1270" s="218">
        <v>1976</v>
      </c>
      <c r="D1270" s="221">
        <v>15350</v>
      </c>
      <c r="E1270" s="224">
        <f t="shared" si="22"/>
        <v>1535</v>
      </c>
    </row>
    <row r="1271" spans="1:5">
      <c r="A1271" s="223">
        <v>40870</v>
      </c>
      <c r="B1271" s="217">
        <v>371225</v>
      </c>
      <c r="C1271" s="218">
        <v>1957</v>
      </c>
      <c r="D1271" s="221">
        <v>15400</v>
      </c>
      <c r="E1271" s="224">
        <f t="shared" si="22"/>
        <v>1540</v>
      </c>
    </row>
    <row r="1272" spans="1:5">
      <c r="A1272" s="223">
        <v>40871</v>
      </c>
      <c r="B1272" s="217">
        <v>369975</v>
      </c>
      <c r="C1272" s="218">
        <v>1982.5</v>
      </c>
      <c r="D1272" s="221">
        <v>15200</v>
      </c>
      <c r="E1272" s="224">
        <f t="shared" si="22"/>
        <v>1520</v>
      </c>
    </row>
    <row r="1273" spans="1:5">
      <c r="A1273" s="223">
        <v>40872</v>
      </c>
      <c r="B1273" s="217">
        <v>375050</v>
      </c>
      <c r="C1273" s="218">
        <v>1975</v>
      </c>
      <c r="D1273" s="221">
        <v>15250</v>
      </c>
      <c r="E1273" s="224">
        <f t="shared" si="22"/>
        <v>1525</v>
      </c>
    </row>
    <row r="1274" spans="1:5">
      <c r="A1274" s="223">
        <v>40875</v>
      </c>
      <c r="B1274" s="217">
        <v>371975</v>
      </c>
      <c r="C1274" s="218">
        <v>2004</v>
      </c>
      <c r="D1274" s="221">
        <v>15450</v>
      </c>
      <c r="E1274" s="224">
        <f t="shared" si="22"/>
        <v>1545</v>
      </c>
    </row>
    <row r="1275" spans="1:5">
      <c r="A1275" s="223">
        <v>40876</v>
      </c>
      <c r="B1275" s="217">
        <v>371700</v>
      </c>
      <c r="C1275" s="218">
        <v>1999</v>
      </c>
      <c r="D1275" s="221">
        <v>15450</v>
      </c>
      <c r="E1275" s="224">
        <f t="shared" si="22"/>
        <v>1545</v>
      </c>
    </row>
    <row r="1276" spans="1:5">
      <c r="A1276" s="223">
        <v>40877</v>
      </c>
      <c r="B1276" s="217">
        <v>369825</v>
      </c>
      <c r="C1276" s="218">
        <v>1985.5</v>
      </c>
      <c r="D1276" s="221">
        <v>15350</v>
      </c>
      <c r="E1276" s="224">
        <f t="shared" si="22"/>
        <v>1535</v>
      </c>
    </row>
    <row r="1277" spans="1:5">
      <c r="A1277" s="223">
        <v>40878</v>
      </c>
      <c r="B1277" s="217">
        <v>369250</v>
      </c>
      <c r="C1277" s="218">
        <v>2062</v>
      </c>
      <c r="D1277" s="221">
        <v>15750</v>
      </c>
      <c r="E1277" s="224">
        <f t="shared" si="22"/>
        <v>1575</v>
      </c>
    </row>
    <row r="1278" spans="1:5">
      <c r="A1278" s="223">
        <v>40879</v>
      </c>
      <c r="B1278" s="217">
        <v>366825</v>
      </c>
      <c r="C1278" s="218">
        <v>2102.5</v>
      </c>
      <c r="D1278" s="221">
        <v>15650</v>
      </c>
      <c r="E1278" s="224">
        <f t="shared" si="22"/>
        <v>1565</v>
      </c>
    </row>
    <row r="1279" spans="1:5">
      <c r="A1279" s="223">
        <v>40882</v>
      </c>
      <c r="B1279" s="217">
        <v>366375</v>
      </c>
      <c r="C1279" s="218">
        <v>2077</v>
      </c>
      <c r="D1279" s="221">
        <v>15600</v>
      </c>
      <c r="E1279" s="224">
        <f t="shared" si="22"/>
        <v>1560</v>
      </c>
    </row>
    <row r="1280" spans="1:5">
      <c r="A1280" s="223">
        <v>40883</v>
      </c>
      <c r="B1280" s="217">
        <v>365225</v>
      </c>
      <c r="C1280" s="218">
        <v>2063.5</v>
      </c>
      <c r="D1280" s="221">
        <v>15550</v>
      </c>
      <c r="E1280" s="224">
        <f t="shared" si="22"/>
        <v>1555</v>
      </c>
    </row>
    <row r="1281" spans="1:5">
      <c r="A1281" s="223">
        <v>40884</v>
      </c>
      <c r="B1281" s="217">
        <v>364400</v>
      </c>
      <c r="C1281" s="218">
        <v>2100</v>
      </c>
      <c r="D1281" s="221">
        <v>15650</v>
      </c>
      <c r="E1281" s="224">
        <f t="shared" si="22"/>
        <v>1565</v>
      </c>
    </row>
    <row r="1282" spans="1:5">
      <c r="A1282" s="223">
        <v>40885</v>
      </c>
      <c r="B1282" s="217">
        <v>363325</v>
      </c>
      <c r="C1282" s="218">
        <v>2119</v>
      </c>
      <c r="D1282" s="221">
        <v>15725</v>
      </c>
      <c r="E1282" s="224">
        <f t="shared" si="22"/>
        <v>1572.5</v>
      </c>
    </row>
    <row r="1283" spans="1:5">
      <c r="A1283" s="223">
        <v>40886</v>
      </c>
      <c r="B1283" s="217">
        <v>361700</v>
      </c>
      <c r="C1283" s="218">
        <v>2092.5</v>
      </c>
      <c r="D1283" s="221">
        <v>15600</v>
      </c>
      <c r="E1283" s="224">
        <f t="shared" ref="E1283:E1344" si="23">D1283/10</f>
        <v>1560</v>
      </c>
    </row>
    <row r="1284" spans="1:5">
      <c r="A1284" s="223">
        <v>40889</v>
      </c>
      <c r="B1284" s="217">
        <v>360300</v>
      </c>
      <c r="C1284" s="218">
        <v>2088</v>
      </c>
      <c r="D1284" s="221">
        <v>15600</v>
      </c>
      <c r="E1284" s="224">
        <f t="shared" si="23"/>
        <v>1560</v>
      </c>
    </row>
    <row r="1285" spans="1:5">
      <c r="A1285" s="223">
        <v>40890</v>
      </c>
      <c r="B1285" s="217">
        <v>358900</v>
      </c>
      <c r="C1285" s="218">
        <v>2077</v>
      </c>
      <c r="D1285" s="221">
        <v>15500</v>
      </c>
      <c r="E1285" s="224">
        <f t="shared" si="23"/>
        <v>1550</v>
      </c>
    </row>
    <row r="1286" spans="1:5">
      <c r="A1286" s="223">
        <v>40891</v>
      </c>
      <c r="B1286" s="217">
        <v>360325</v>
      </c>
      <c r="C1286" s="218">
        <v>2017</v>
      </c>
      <c r="D1286" s="221">
        <v>15350</v>
      </c>
      <c r="E1286" s="224">
        <f t="shared" si="23"/>
        <v>1535</v>
      </c>
    </row>
    <row r="1287" spans="1:5">
      <c r="A1287" s="223">
        <v>40892</v>
      </c>
      <c r="B1287" s="217">
        <v>359650</v>
      </c>
      <c r="C1287" s="218">
        <v>1980</v>
      </c>
      <c r="D1287" s="221">
        <v>15150</v>
      </c>
      <c r="E1287" s="224">
        <f t="shared" si="23"/>
        <v>1515</v>
      </c>
    </row>
    <row r="1288" spans="1:5">
      <c r="A1288" s="223">
        <v>40893</v>
      </c>
      <c r="B1288" s="217">
        <v>358075</v>
      </c>
      <c r="C1288" s="218">
        <v>1980</v>
      </c>
      <c r="D1288" s="221">
        <v>15200</v>
      </c>
      <c r="E1288" s="224">
        <f t="shared" si="23"/>
        <v>1520</v>
      </c>
    </row>
    <row r="1289" spans="1:5">
      <c r="A1289" s="223">
        <v>40896</v>
      </c>
      <c r="B1289" s="217">
        <v>362650</v>
      </c>
      <c r="C1289" s="218">
        <v>1937.5</v>
      </c>
      <c r="D1289" s="221">
        <v>15150</v>
      </c>
      <c r="E1289" s="224">
        <f t="shared" si="23"/>
        <v>1515</v>
      </c>
    </row>
    <row r="1290" spans="1:5">
      <c r="A1290" s="223">
        <v>40897</v>
      </c>
      <c r="B1290" s="217">
        <v>361075</v>
      </c>
      <c r="C1290" s="218">
        <v>1933</v>
      </c>
      <c r="D1290" s="221">
        <v>15150</v>
      </c>
      <c r="E1290" s="224">
        <f t="shared" si="23"/>
        <v>1515</v>
      </c>
    </row>
    <row r="1291" spans="1:5">
      <c r="A1291" s="223">
        <v>40898</v>
      </c>
      <c r="B1291" s="217">
        <v>358450</v>
      </c>
      <c r="C1291" s="218">
        <v>1933.5</v>
      </c>
      <c r="D1291" s="221">
        <v>15250</v>
      </c>
      <c r="E1291" s="224">
        <f t="shared" si="23"/>
        <v>1525</v>
      </c>
    </row>
    <row r="1292" spans="1:5">
      <c r="A1292" s="223">
        <v>40899</v>
      </c>
      <c r="B1292" s="217">
        <v>357775</v>
      </c>
      <c r="C1292" s="218">
        <v>1955.5</v>
      </c>
      <c r="D1292" s="221">
        <v>15200</v>
      </c>
      <c r="E1292" s="224">
        <f t="shared" si="23"/>
        <v>1520</v>
      </c>
    </row>
    <row r="1293" spans="1:5">
      <c r="A1293" s="223">
        <v>40900</v>
      </c>
      <c r="B1293" s="217">
        <v>356225</v>
      </c>
      <c r="C1293" s="218">
        <v>1986</v>
      </c>
      <c r="D1293" s="221">
        <v>15300</v>
      </c>
      <c r="E1293" s="224">
        <f t="shared" si="23"/>
        <v>1530</v>
      </c>
    </row>
    <row r="1294" spans="1:5">
      <c r="A1294" s="223">
        <v>40903</v>
      </c>
      <c r="B1294" s="217">
        <v>356225</v>
      </c>
      <c r="C1294" s="218">
        <v>1986</v>
      </c>
      <c r="D1294" s="221">
        <v>15300</v>
      </c>
      <c r="E1294" s="224">
        <f>D1294/10</f>
        <v>1530</v>
      </c>
    </row>
    <row r="1295" spans="1:5">
      <c r="A1295" s="223">
        <v>40904</v>
      </c>
      <c r="B1295" s="217">
        <v>356225</v>
      </c>
      <c r="C1295" s="218">
        <v>1986</v>
      </c>
      <c r="D1295" s="221">
        <v>15300</v>
      </c>
      <c r="E1295" s="224">
        <f>D1295/10</f>
        <v>1530</v>
      </c>
    </row>
    <row r="1296" spans="1:5">
      <c r="A1296" s="223">
        <v>40905</v>
      </c>
      <c r="B1296" s="217">
        <v>356175</v>
      </c>
      <c r="C1296" s="218">
        <v>1950.5</v>
      </c>
      <c r="D1296" s="221">
        <v>15250</v>
      </c>
      <c r="E1296" s="224">
        <f t="shared" si="23"/>
        <v>1525</v>
      </c>
    </row>
    <row r="1297" spans="1:5">
      <c r="A1297" s="223">
        <v>40906</v>
      </c>
      <c r="B1297" s="217">
        <v>353250</v>
      </c>
      <c r="C1297" s="218">
        <v>1945</v>
      </c>
      <c r="D1297" s="221">
        <v>15100</v>
      </c>
      <c r="E1297" s="224">
        <f t="shared" si="23"/>
        <v>1510</v>
      </c>
    </row>
    <row r="1298" spans="1:5">
      <c r="A1298" s="223">
        <v>40907</v>
      </c>
      <c r="B1298" s="217">
        <v>353075</v>
      </c>
      <c r="C1298" s="218">
        <v>1980</v>
      </c>
      <c r="D1298" s="221">
        <v>15200</v>
      </c>
      <c r="E1298" s="224">
        <f t="shared" si="23"/>
        <v>1520</v>
      </c>
    </row>
    <row r="1299" spans="1:5">
      <c r="A1299" s="223">
        <v>40910</v>
      </c>
      <c r="B1299" s="217">
        <v>353075</v>
      </c>
      <c r="C1299" s="218">
        <v>1980</v>
      </c>
      <c r="D1299" s="221">
        <v>15200</v>
      </c>
      <c r="E1299" s="224">
        <f>D1299/10</f>
        <v>1520</v>
      </c>
    </row>
    <row r="1300" spans="1:5">
      <c r="A1300" s="223">
        <v>40911</v>
      </c>
      <c r="B1300" s="217">
        <v>351725</v>
      </c>
      <c r="C1300" s="218">
        <v>1994.5</v>
      </c>
      <c r="D1300" s="221">
        <v>15200</v>
      </c>
      <c r="E1300" s="224">
        <f>D1300/10</f>
        <v>1520</v>
      </c>
    </row>
    <row r="1301" spans="1:5">
      <c r="A1301" s="223">
        <v>40912</v>
      </c>
      <c r="B1301" s="217">
        <v>353075</v>
      </c>
      <c r="C1301" s="218">
        <v>2043</v>
      </c>
      <c r="D1301" s="221">
        <v>15300</v>
      </c>
      <c r="E1301" s="224">
        <f t="shared" si="23"/>
        <v>1530</v>
      </c>
    </row>
    <row r="1302" spans="1:5">
      <c r="A1302" s="223">
        <v>40913</v>
      </c>
      <c r="B1302" s="217">
        <v>351850</v>
      </c>
      <c r="C1302" s="218">
        <v>2015.5</v>
      </c>
      <c r="D1302" s="221">
        <v>15300</v>
      </c>
      <c r="E1302" s="224">
        <f t="shared" si="23"/>
        <v>1530</v>
      </c>
    </row>
    <row r="1303" spans="1:5">
      <c r="A1303" s="223">
        <v>40914</v>
      </c>
      <c r="B1303" s="217">
        <v>349775</v>
      </c>
      <c r="C1303" s="218">
        <v>1975.5</v>
      </c>
      <c r="D1303" s="221">
        <v>15200</v>
      </c>
      <c r="E1303" s="224">
        <f t="shared" si="23"/>
        <v>1520</v>
      </c>
    </row>
    <row r="1304" spans="1:5">
      <c r="A1304" s="223">
        <v>40917</v>
      </c>
      <c r="B1304" s="217">
        <v>350875</v>
      </c>
      <c r="C1304" s="218">
        <v>1942.5</v>
      </c>
      <c r="D1304" s="221">
        <v>15200</v>
      </c>
      <c r="E1304" s="224">
        <f t="shared" si="23"/>
        <v>1520</v>
      </c>
    </row>
    <row r="1305" spans="1:5">
      <c r="A1305" s="223">
        <v>40918</v>
      </c>
      <c r="B1305" s="217">
        <v>353975</v>
      </c>
      <c r="C1305" s="218">
        <v>1999</v>
      </c>
      <c r="D1305" s="221">
        <v>15200</v>
      </c>
      <c r="E1305" s="224">
        <f t="shared" si="23"/>
        <v>1520</v>
      </c>
    </row>
    <row r="1306" spans="1:5">
      <c r="A1306" s="223">
        <v>40919</v>
      </c>
      <c r="B1306" s="217">
        <v>353625</v>
      </c>
      <c r="C1306" s="218">
        <v>1968.5</v>
      </c>
      <c r="D1306" s="221">
        <v>15330</v>
      </c>
      <c r="E1306" s="224">
        <f t="shared" si="23"/>
        <v>1533</v>
      </c>
    </row>
    <row r="1307" spans="1:5">
      <c r="A1307" s="223">
        <v>40920</v>
      </c>
      <c r="B1307" s="217">
        <v>352650</v>
      </c>
      <c r="C1307" s="218">
        <v>2000</v>
      </c>
      <c r="D1307" s="221">
        <v>15300</v>
      </c>
      <c r="E1307" s="224">
        <f t="shared" si="23"/>
        <v>1530</v>
      </c>
    </row>
    <row r="1308" spans="1:5">
      <c r="A1308" s="223">
        <v>40921</v>
      </c>
      <c r="B1308" s="217">
        <v>352500</v>
      </c>
      <c r="C1308" s="218">
        <v>2004</v>
      </c>
      <c r="D1308" s="221">
        <v>15350</v>
      </c>
      <c r="E1308" s="224">
        <f t="shared" si="23"/>
        <v>1535</v>
      </c>
    </row>
    <row r="1309" spans="1:5">
      <c r="A1309" s="223">
        <v>40924</v>
      </c>
      <c r="B1309" s="217">
        <v>352200</v>
      </c>
      <c r="C1309" s="218">
        <v>1989</v>
      </c>
      <c r="D1309" s="221">
        <v>15350</v>
      </c>
      <c r="E1309" s="224">
        <f t="shared" si="23"/>
        <v>1535</v>
      </c>
    </row>
    <row r="1310" spans="1:5">
      <c r="A1310" s="223">
        <v>40925</v>
      </c>
      <c r="B1310" s="217">
        <v>351075</v>
      </c>
      <c r="C1310" s="218">
        <v>2046</v>
      </c>
      <c r="D1310" s="221">
        <v>15500</v>
      </c>
      <c r="E1310" s="224">
        <f t="shared" si="23"/>
        <v>1550</v>
      </c>
    </row>
    <row r="1311" spans="1:5">
      <c r="A1311" s="223">
        <v>40926</v>
      </c>
      <c r="B1311" s="217">
        <v>349300</v>
      </c>
      <c r="C1311" s="218">
        <v>2092</v>
      </c>
      <c r="D1311" s="221">
        <v>15600</v>
      </c>
      <c r="E1311" s="224">
        <f t="shared" si="23"/>
        <v>1560</v>
      </c>
    </row>
    <row r="1312" spans="1:5">
      <c r="A1312" s="223">
        <v>40927</v>
      </c>
      <c r="B1312" s="217">
        <v>349300</v>
      </c>
      <c r="C1312" s="218">
        <v>2131.5</v>
      </c>
      <c r="D1312" s="221">
        <v>15700</v>
      </c>
      <c r="E1312" s="224">
        <f t="shared" si="23"/>
        <v>1570</v>
      </c>
    </row>
    <row r="1313" spans="1:5">
      <c r="A1313" s="223">
        <v>40928</v>
      </c>
      <c r="B1313" s="217">
        <v>347525</v>
      </c>
      <c r="C1313" s="218">
        <v>2130.5</v>
      </c>
      <c r="D1313" s="221">
        <v>15850</v>
      </c>
      <c r="E1313" s="224">
        <f t="shared" si="23"/>
        <v>1585</v>
      </c>
    </row>
    <row r="1314" spans="1:5">
      <c r="A1314" s="223">
        <v>40931</v>
      </c>
      <c r="B1314" s="217">
        <v>346025</v>
      </c>
      <c r="C1314" s="218">
        <v>2178</v>
      </c>
      <c r="D1314" s="221">
        <v>15850</v>
      </c>
      <c r="E1314" s="224">
        <f>D1314/10</f>
        <v>1585</v>
      </c>
    </row>
    <row r="1315" spans="1:5">
      <c r="A1315" s="223">
        <v>40932</v>
      </c>
      <c r="B1315" s="217">
        <v>345925</v>
      </c>
      <c r="C1315" s="218">
        <v>2216</v>
      </c>
      <c r="D1315" s="221">
        <v>15850</v>
      </c>
      <c r="E1315" s="224">
        <f>D1315/10</f>
        <v>1585</v>
      </c>
    </row>
    <row r="1316" spans="1:5">
      <c r="A1316" s="223">
        <v>40933</v>
      </c>
      <c r="B1316" s="217">
        <v>345850</v>
      </c>
      <c r="C1316" s="218">
        <v>2196</v>
      </c>
      <c r="D1316" s="221">
        <v>15850</v>
      </c>
      <c r="E1316" s="224">
        <f>D1316/10</f>
        <v>1585</v>
      </c>
    </row>
    <row r="1317" spans="1:5">
      <c r="A1317" s="223">
        <v>40934</v>
      </c>
      <c r="B1317" s="217">
        <v>344525</v>
      </c>
      <c r="C1317" s="218">
        <v>2277</v>
      </c>
      <c r="D1317" s="221">
        <v>15850</v>
      </c>
      <c r="E1317" s="224">
        <f>D1317/10</f>
        <v>1585</v>
      </c>
    </row>
    <row r="1318" spans="1:5">
      <c r="A1318" s="223">
        <v>40935</v>
      </c>
      <c r="B1318" s="217">
        <v>343050</v>
      </c>
      <c r="C1318" s="218">
        <v>2288</v>
      </c>
      <c r="D1318" s="221">
        <v>15850</v>
      </c>
      <c r="E1318" s="224">
        <f>D1318/10</f>
        <v>1585</v>
      </c>
    </row>
    <row r="1319" spans="1:5">
      <c r="A1319" s="223">
        <v>40938</v>
      </c>
      <c r="B1319" s="217">
        <v>345100</v>
      </c>
      <c r="C1319" s="218">
        <v>2238</v>
      </c>
      <c r="D1319" s="221">
        <v>16050</v>
      </c>
      <c r="E1319" s="224">
        <f t="shared" si="23"/>
        <v>1605</v>
      </c>
    </row>
    <row r="1320" spans="1:5">
      <c r="A1320" s="223">
        <v>40939</v>
      </c>
      <c r="B1320" s="217">
        <v>363150</v>
      </c>
      <c r="C1320" s="218">
        <v>2251</v>
      </c>
      <c r="D1320" s="221">
        <v>16000</v>
      </c>
      <c r="E1320" s="224">
        <f t="shared" si="23"/>
        <v>1600</v>
      </c>
    </row>
    <row r="1321" spans="1:5">
      <c r="A1321" s="223">
        <v>40940</v>
      </c>
      <c r="B1321" s="217">
        <v>366225</v>
      </c>
      <c r="C1321" s="218">
        <v>2210</v>
      </c>
      <c r="D1321" s="221">
        <v>15900</v>
      </c>
      <c r="E1321" s="224">
        <f t="shared" si="23"/>
        <v>1590</v>
      </c>
    </row>
    <row r="1322" spans="1:5">
      <c r="A1322" s="223">
        <v>40941</v>
      </c>
      <c r="B1322" s="217">
        <v>370000</v>
      </c>
      <c r="C1322" s="218">
        <v>2184</v>
      </c>
      <c r="D1322" s="221">
        <v>15850</v>
      </c>
      <c r="E1322" s="224">
        <f t="shared" si="23"/>
        <v>1585</v>
      </c>
    </row>
    <row r="1323" spans="1:5">
      <c r="A1323" s="223">
        <v>40942</v>
      </c>
      <c r="B1323" s="217">
        <v>375300</v>
      </c>
      <c r="C1323" s="218">
        <v>2147</v>
      </c>
      <c r="D1323" s="221">
        <v>15900</v>
      </c>
      <c r="E1323" s="224">
        <f t="shared" si="23"/>
        <v>1590</v>
      </c>
    </row>
    <row r="1324" spans="1:5">
      <c r="A1324" s="223">
        <v>40945</v>
      </c>
      <c r="B1324" s="217">
        <v>374800</v>
      </c>
      <c r="C1324" s="218">
        <v>2165.5</v>
      </c>
      <c r="D1324" s="221">
        <v>16000</v>
      </c>
      <c r="E1324" s="224">
        <f t="shared" si="23"/>
        <v>1600</v>
      </c>
    </row>
    <row r="1325" spans="1:5">
      <c r="A1325" s="223">
        <v>40946</v>
      </c>
      <c r="B1325" s="217">
        <v>376050</v>
      </c>
      <c r="C1325" s="218">
        <v>2126</v>
      </c>
      <c r="D1325" s="221">
        <v>15900</v>
      </c>
      <c r="E1325" s="224">
        <f t="shared" si="23"/>
        <v>1590</v>
      </c>
    </row>
    <row r="1326" spans="1:5">
      <c r="A1326" s="223">
        <v>40947</v>
      </c>
      <c r="B1326" s="217">
        <v>376025</v>
      </c>
      <c r="C1326" s="218">
        <v>2190.5</v>
      </c>
      <c r="D1326" s="221">
        <v>15950</v>
      </c>
      <c r="E1326" s="224">
        <f t="shared" si="23"/>
        <v>1595</v>
      </c>
    </row>
    <row r="1327" spans="1:5">
      <c r="A1327" s="223">
        <v>40948</v>
      </c>
      <c r="B1327" s="217">
        <v>382475</v>
      </c>
      <c r="C1327" s="218">
        <v>2141.5</v>
      </c>
      <c r="D1327" s="221">
        <v>15950</v>
      </c>
      <c r="E1327" s="224">
        <f t="shared" si="23"/>
        <v>1595</v>
      </c>
    </row>
    <row r="1328" spans="1:5">
      <c r="A1328" s="223">
        <v>40949</v>
      </c>
      <c r="B1328" s="217">
        <v>382600</v>
      </c>
      <c r="C1328" s="218">
        <v>2169</v>
      </c>
      <c r="D1328" s="221">
        <v>15950</v>
      </c>
      <c r="E1328" s="224">
        <f t="shared" si="23"/>
        <v>1595</v>
      </c>
    </row>
    <row r="1329" spans="1:5">
      <c r="A1329" s="223">
        <v>40952</v>
      </c>
      <c r="B1329" s="217">
        <v>381750</v>
      </c>
      <c r="C1329" s="218">
        <v>2127.5</v>
      </c>
      <c r="D1329" s="221">
        <v>15800</v>
      </c>
      <c r="E1329" s="224">
        <f t="shared" si="23"/>
        <v>1580</v>
      </c>
    </row>
    <row r="1330" spans="1:5">
      <c r="A1330" s="223">
        <v>40953</v>
      </c>
      <c r="B1330" s="217">
        <v>383700</v>
      </c>
      <c r="C1330" s="218">
        <v>2076</v>
      </c>
      <c r="D1330" s="221">
        <v>15800</v>
      </c>
      <c r="E1330" s="224">
        <f t="shared" si="23"/>
        <v>1580</v>
      </c>
    </row>
    <row r="1331" spans="1:5">
      <c r="A1331" s="223">
        <v>40954</v>
      </c>
      <c r="B1331" s="217">
        <v>383300</v>
      </c>
      <c r="C1331" s="218">
        <v>2048.5</v>
      </c>
      <c r="D1331" s="221">
        <v>15750</v>
      </c>
      <c r="E1331" s="224">
        <f t="shared" si="23"/>
        <v>1575</v>
      </c>
    </row>
    <row r="1332" spans="1:5">
      <c r="A1332" s="223">
        <v>40955</v>
      </c>
      <c r="B1332" s="217">
        <v>382025</v>
      </c>
      <c r="C1332" s="218">
        <v>1985</v>
      </c>
      <c r="D1332" s="221">
        <v>15500</v>
      </c>
      <c r="E1332" s="224">
        <f t="shared" si="23"/>
        <v>1550</v>
      </c>
    </row>
    <row r="1333" spans="1:5">
      <c r="A1333" s="223">
        <v>40956</v>
      </c>
      <c r="B1333" s="217">
        <v>379800</v>
      </c>
      <c r="C1333" s="218">
        <v>2029</v>
      </c>
      <c r="D1333" s="221">
        <v>15600</v>
      </c>
      <c r="E1333" s="224">
        <f t="shared" si="23"/>
        <v>1560</v>
      </c>
    </row>
    <row r="1334" spans="1:5">
      <c r="A1334" s="223">
        <v>40959</v>
      </c>
      <c r="B1334" s="217">
        <v>377825</v>
      </c>
      <c r="C1334" s="218">
        <v>2028</v>
      </c>
      <c r="D1334" s="221">
        <v>15650</v>
      </c>
      <c r="E1334" s="224">
        <f t="shared" si="23"/>
        <v>1565</v>
      </c>
    </row>
    <row r="1335" spans="1:5">
      <c r="A1335" s="223">
        <v>40960</v>
      </c>
      <c r="B1335" s="217">
        <v>375975</v>
      </c>
      <c r="C1335" s="218">
        <v>2057</v>
      </c>
      <c r="D1335" s="221">
        <v>15675</v>
      </c>
      <c r="E1335" s="224">
        <f t="shared" si="23"/>
        <v>1567.5</v>
      </c>
    </row>
    <row r="1336" spans="1:5">
      <c r="A1336" s="223">
        <v>40961</v>
      </c>
      <c r="B1336" s="217">
        <v>374225</v>
      </c>
      <c r="C1336" s="218">
        <v>2070</v>
      </c>
      <c r="D1336" s="221">
        <v>15750</v>
      </c>
      <c r="E1336" s="224">
        <f t="shared" si="23"/>
        <v>1575</v>
      </c>
    </row>
    <row r="1337" spans="1:5">
      <c r="A1337" s="223">
        <v>40962</v>
      </c>
      <c r="B1337" s="217">
        <v>371950</v>
      </c>
      <c r="C1337" s="218">
        <v>2114</v>
      </c>
      <c r="D1337" s="221">
        <v>15800</v>
      </c>
      <c r="E1337" s="224">
        <f t="shared" si="23"/>
        <v>1580</v>
      </c>
    </row>
    <row r="1338" spans="1:5">
      <c r="A1338" s="223">
        <v>40963</v>
      </c>
      <c r="B1338" s="217">
        <v>370500</v>
      </c>
      <c r="C1338" s="218">
        <v>2153.5</v>
      </c>
      <c r="D1338" s="221">
        <v>15850</v>
      </c>
      <c r="E1338" s="224">
        <f t="shared" si="23"/>
        <v>1585</v>
      </c>
    </row>
    <row r="1339" spans="1:5">
      <c r="A1339" s="223">
        <v>40966</v>
      </c>
      <c r="B1339" s="217">
        <v>368175</v>
      </c>
      <c r="C1339" s="218">
        <v>2156</v>
      </c>
      <c r="D1339" s="221">
        <v>15950</v>
      </c>
      <c r="E1339" s="224">
        <f t="shared" si="23"/>
        <v>1595</v>
      </c>
    </row>
    <row r="1340" spans="1:5">
      <c r="A1340" s="223">
        <v>40967</v>
      </c>
      <c r="B1340" s="217">
        <v>365350</v>
      </c>
      <c r="C1340" s="218">
        <v>2238</v>
      </c>
      <c r="D1340" s="221">
        <v>16000</v>
      </c>
      <c r="E1340" s="224">
        <f t="shared" si="23"/>
        <v>1600</v>
      </c>
    </row>
    <row r="1341" spans="1:5">
      <c r="A1341" s="223">
        <v>40968</v>
      </c>
      <c r="B1341" s="217">
        <v>370450</v>
      </c>
      <c r="C1341" s="218">
        <v>2232.5</v>
      </c>
      <c r="D1341" s="221">
        <v>16170</v>
      </c>
      <c r="E1341" s="224">
        <f t="shared" si="23"/>
        <v>1617</v>
      </c>
    </row>
    <row r="1342" spans="1:5">
      <c r="A1342" s="223">
        <v>40969</v>
      </c>
      <c r="B1342" s="217">
        <v>369950</v>
      </c>
      <c r="C1342" s="218">
        <v>2155.5</v>
      </c>
      <c r="D1342" s="221">
        <v>15900</v>
      </c>
      <c r="E1342" s="224">
        <f t="shared" si="23"/>
        <v>1590</v>
      </c>
    </row>
    <row r="1343" spans="1:5">
      <c r="A1343" s="223">
        <v>40970</v>
      </c>
      <c r="B1343" s="217">
        <v>366675</v>
      </c>
      <c r="C1343" s="218">
        <v>2135</v>
      </c>
      <c r="D1343" s="221">
        <v>15900</v>
      </c>
      <c r="E1343" s="224">
        <f t="shared" si="23"/>
        <v>1590</v>
      </c>
    </row>
    <row r="1344" spans="1:5">
      <c r="A1344" s="223">
        <v>40973</v>
      </c>
      <c r="B1344" s="217">
        <v>364800</v>
      </c>
      <c r="C1344" s="218">
        <v>2122.5</v>
      </c>
      <c r="D1344" s="221">
        <v>15900</v>
      </c>
      <c r="E1344" s="224">
        <f t="shared" si="23"/>
        <v>1590</v>
      </c>
    </row>
    <row r="1345" spans="1:5">
      <c r="A1345" s="223">
        <v>40974</v>
      </c>
      <c r="B1345" s="217">
        <v>363950</v>
      </c>
      <c r="C1345" s="218">
        <v>2068.5</v>
      </c>
      <c r="D1345" s="221">
        <v>15850</v>
      </c>
      <c r="E1345" s="224">
        <f t="shared" ref="E1345:E1406" si="24">D1345/10</f>
        <v>1585</v>
      </c>
    </row>
    <row r="1346" spans="1:5">
      <c r="A1346" s="223">
        <v>40975</v>
      </c>
      <c r="B1346" s="217">
        <v>363950</v>
      </c>
      <c r="C1346" s="218">
        <v>2040</v>
      </c>
      <c r="D1346" s="221">
        <v>15650</v>
      </c>
      <c r="E1346" s="224">
        <f t="shared" si="24"/>
        <v>1565</v>
      </c>
    </row>
    <row r="1347" spans="1:5">
      <c r="A1347" s="223">
        <v>40976</v>
      </c>
      <c r="B1347" s="217">
        <v>363425</v>
      </c>
      <c r="C1347" s="218">
        <v>2087</v>
      </c>
      <c r="D1347" s="221">
        <v>15650</v>
      </c>
      <c r="E1347" s="224">
        <f t="shared" si="24"/>
        <v>1565</v>
      </c>
    </row>
    <row r="1348" spans="1:5">
      <c r="A1348" s="223">
        <v>40977</v>
      </c>
      <c r="B1348" s="217">
        <v>363000</v>
      </c>
      <c r="C1348" s="218">
        <v>2090.5</v>
      </c>
      <c r="D1348" s="221">
        <v>15800</v>
      </c>
      <c r="E1348" s="224">
        <f t="shared" si="24"/>
        <v>1580</v>
      </c>
    </row>
    <row r="1349" spans="1:5">
      <c r="A1349" s="223">
        <v>40980</v>
      </c>
      <c r="B1349" s="217">
        <v>363625</v>
      </c>
      <c r="C1349" s="218">
        <v>2085.5</v>
      </c>
      <c r="D1349" s="221">
        <v>15850</v>
      </c>
      <c r="E1349" s="224">
        <f t="shared" si="24"/>
        <v>1585</v>
      </c>
    </row>
    <row r="1350" spans="1:5">
      <c r="A1350" s="223">
        <v>40981</v>
      </c>
      <c r="B1350" s="217">
        <v>365325</v>
      </c>
      <c r="C1350" s="218">
        <v>2122</v>
      </c>
      <c r="D1350" s="221">
        <v>15900</v>
      </c>
      <c r="E1350" s="224">
        <f t="shared" si="24"/>
        <v>1590</v>
      </c>
    </row>
    <row r="1351" spans="1:5">
      <c r="A1351" s="223">
        <v>40982</v>
      </c>
      <c r="B1351" s="217">
        <v>365225</v>
      </c>
      <c r="C1351" s="218">
        <v>2108</v>
      </c>
      <c r="D1351" s="221">
        <v>15950</v>
      </c>
      <c r="E1351" s="224">
        <f t="shared" si="24"/>
        <v>1595</v>
      </c>
    </row>
    <row r="1352" spans="1:5">
      <c r="A1352" s="223">
        <v>40983</v>
      </c>
      <c r="B1352" s="217">
        <v>365100</v>
      </c>
      <c r="C1352" s="218">
        <v>2095.5</v>
      </c>
      <c r="D1352" s="221">
        <v>15850</v>
      </c>
      <c r="E1352" s="224">
        <f t="shared" si="24"/>
        <v>1585</v>
      </c>
    </row>
    <row r="1353" spans="1:5">
      <c r="A1353" s="223">
        <v>40984</v>
      </c>
      <c r="B1353" s="217">
        <v>366875</v>
      </c>
      <c r="C1353" s="218">
        <v>2107</v>
      </c>
      <c r="D1353" s="221">
        <v>15900</v>
      </c>
      <c r="E1353" s="224">
        <f t="shared" si="24"/>
        <v>1590</v>
      </c>
    </row>
    <row r="1354" spans="1:5">
      <c r="A1354" s="223">
        <v>40987</v>
      </c>
      <c r="B1354" s="217">
        <v>368650</v>
      </c>
      <c r="C1354" s="218">
        <v>2095</v>
      </c>
      <c r="D1354" s="221">
        <v>15850</v>
      </c>
      <c r="E1354" s="224">
        <f t="shared" si="24"/>
        <v>1585</v>
      </c>
    </row>
    <row r="1355" spans="1:5">
      <c r="A1355" s="223">
        <v>40988</v>
      </c>
      <c r="B1355" s="217">
        <v>370125</v>
      </c>
      <c r="C1355" s="218">
        <v>2042.5</v>
      </c>
      <c r="D1355" s="221">
        <v>15850</v>
      </c>
      <c r="E1355" s="224">
        <f t="shared" si="24"/>
        <v>1585</v>
      </c>
    </row>
    <row r="1356" spans="1:5">
      <c r="A1356" s="223">
        <v>40989</v>
      </c>
      <c r="B1356" s="217">
        <v>369850</v>
      </c>
      <c r="C1356" s="218">
        <v>2026</v>
      </c>
      <c r="D1356" s="221">
        <v>15750</v>
      </c>
      <c r="E1356" s="224">
        <f t="shared" si="24"/>
        <v>1575</v>
      </c>
    </row>
    <row r="1357" spans="1:5">
      <c r="A1357" s="223">
        <v>40990</v>
      </c>
      <c r="B1357" s="217">
        <v>373850</v>
      </c>
      <c r="C1357" s="218">
        <v>2000</v>
      </c>
      <c r="D1357" s="221">
        <v>15650</v>
      </c>
      <c r="E1357" s="224">
        <f t="shared" si="24"/>
        <v>1565</v>
      </c>
    </row>
    <row r="1358" spans="1:5">
      <c r="A1358" s="223">
        <v>40991</v>
      </c>
      <c r="B1358" s="217">
        <v>372875</v>
      </c>
      <c r="C1358" s="218">
        <v>1995</v>
      </c>
      <c r="D1358" s="221">
        <v>15650</v>
      </c>
      <c r="E1358" s="224">
        <f t="shared" si="24"/>
        <v>1565</v>
      </c>
    </row>
    <row r="1359" spans="1:5">
      <c r="A1359" s="223">
        <v>40994</v>
      </c>
      <c r="B1359" s="217">
        <v>376175</v>
      </c>
      <c r="C1359" s="218">
        <v>1982</v>
      </c>
      <c r="D1359" s="221">
        <v>15700</v>
      </c>
      <c r="E1359" s="224">
        <f t="shared" si="24"/>
        <v>1570</v>
      </c>
    </row>
    <row r="1360" spans="1:5">
      <c r="A1360" s="223">
        <v>40995</v>
      </c>
      <c r="B1360" s="217">
        <v>377225</v>
      </c>
      <c r="C1360" s="218">
        <v>1998</v>
      </c>
      <c r="D1360" s="221">
        <v>15700</v>
      </c>
      <c r="E1360" s="224">
        <f t="shared" si="24"/>
        <v>1570</v>
      </c>
    </row>
    <row r="1361" spans="1:5">
      <c r="A1361" s="223">
        <v>40996</v>
      </c>
      <c r="B1361" s="217">
        <v>376850</v>
      </c>
      <c r="C1361" s="218">
        <v>1987</v>
      </c>
      <c r="D1361" s="221">
        <v>15700</v>
      </c>
      <c r="E1361" s="224">
        <f t="shared" si="24"/>
        <v>1570</v>
      </c>
    </row>
    <row r="1362" spans="1:5">
      <c r="A1362" s="223">
        <v>40997</v>
      </c>
      <c r="B1362" s="217">
        <v>376725</v>
      </c>
      <c r="C1362" s="218">
        <v>1989</v>
      </c>
      <c r="D1362" s="221">
        <v>15650</v>
      </c>
      <c r="E1362" s="224">
        <f t="shared" si="24"/>
        <v>1565</v>
      </c>
    </row>
    <row r="1363" spans="1:5">
      <c r="A1363" s="223">
        <v>40998</v>
      </c>
      <c r="B1363" s="217">
        <v>376575</v>
      </c>
      <c r="C1363" s="218">
        <v>2020.5</v>
      </c>
      <c r="D1363" s="221">
        <v>15650</v>
      </c>
      <c r="E1363" s="224">
        <f t="shared" si="24"/>
        <v>1565</v>
      </c>
    </row>
    <row r="1364" spans="1:5">
      <c r="A1364" s="223">
        <v>41001</v>
      </c>
      <c r="B1364" s="217">
        <v>376800</v>
      </c>
      <c r="C1364" s="218">
        <v>2007</v>
      </c>
      <c r="D1364" s="221">
        <v>15650</v>
      </c>
      <c r="E1364" s="224">
        <f>D1364/10</f>
        <v>1565</v>
      </c>
    </row>
    <row r="1365" spans="1:5">
      <c r="A1365" s="223">
        <v>41002</v>
      </c>
      <c r="B1365" s="217">
        <v>376300</v>
      </c>
      <c r="C1365" s="218">
        <v>2045</v>
      </c>
      <c r="D1365" s="221">
        <v>15650</v>
      </c>
      <c r="E1365" s="224">
        <f>D1365/10</f>
        <v>1565</v>
      </c>
    </row>
    <row r="1366" spans="1:5">
      <c r="A1366" s="223">
        <v>41003</v>
      </c>
      <c r="B1366" s="217">
        <v>374300</v>
      </c>
      <c r="C1366" s="218">
        <v>2014</v>
      </c>
      <c r="D1366" s="221">
        <v>15650</v>
      </c>
      <c r="E1366" s="224">
        <f>D1366/10</f>
        <v>1565</v>
      </c>
    </row>
    <row r="1367" spans="1:5">
      <c r="A1367" s="223">
        <v>41004</v>
      </c>
      <c r="B1367" s="217">
        <v>374575</v>
      </c>
      <c r="C1367" s="218">
        <v>1994</v>
      </c>
      <c r="D1367" s="221">
        <v>15550</v>
      </c>
      <c r="E1367" s="224">
        <f t="shared" si="24"/>
        <v>1555</v>
      </c>
    </row>
    <row r="1368" spans="1:5">
      <c r="A1368" s="223">
        <v>41005</v>
      </c>
      <c r="B1368" s="217">
        <v>374575</v>
      </c>
      <c r="C1368" s="218">
        <v>1994</v>
      </c>
      <c r="D1368" s="221">
        <v>15550</v>
      </c>
      <c r="E1368" s="224">
        <f t="shared" si="24"/>
        <v>1555</v>
      </c>
    </row>
    <row r="1369" spans="1:5">
      <c r="A1369" s="223">
        <v>41008</v>
      </c>
      <c r="B1369" s="217">
        <v>374575</v>
      </c>
      <c r="C1369" s="218">
        <v>1994</v>
      </c>
      <c r="D1369" s="221">
        <v>15700</v>
      </c>
      <c r="E1369" s="224">
        <f t="shared" si="24"/>
        <v>1570</v>
      </c>
    </row>
    <row r="1370" spans="1:5">
      <c r="A1370" s="223">
        <v>41009</v>
      </c>
      <c r="B1370" s="217">
        <v>373375</v>
      </c>
      <c r="C1370" s="218">
        <v>2038</v>
      </c>
      <c r="D1370" s="221">
        <v>15700</v>
      </c>
      <c r="E1370" s="224">
        <f t="shared" si="24"/>
        <v>1570</v>
      </c>
    </row>
    <row r="1371" spans="1:5">
      <c r="A1371" s="223">
        <v>41010</v>
      </c>
      <c r="B1371" s="217">
        <v>373375</v>
      </c>
      <c r="C1371" s="218">
        <v>2019</v>
      </c>
      <c r="D1371" s="221">
        <v>15600</v>
      </c>
      <c r="E1371" s="224">
        <f t="shared" si="24"/>
        <v>1560</v>
      </c>
    </row>
    <row r="1372" spans="1:5">
      <c r="A1372" s="223">
        <v>41011</v>
      </c>
      <c r="B1372" s="217">
        <v>373550</v>
      </c>
      <c r="C1372" s="218">
        <v>2081</v>
      </c>
      <c r="D1372" s="221">
        <v>15650</v>
      </c>
      <c r="E1372" s="224">
        <f t="shared" si="24"/>
        <v>1565</v>
      </c>
    </row>
    <row r="1373" spans="1:5">
      <c r="A1373" s="223">
        <v>41012</v>
      </c>
      <c r="B1373" s="217">
        <v>372600</v>
      </c>
      <c r="C1373" s="218">
        <v>2073</v>
      </c>
      <c r="D1373" s="221">
        <v>15700</v>
      </c>
      <c r="E1373" s="224">
        <f t="shared" si="24"/>
        <v>1570</v>
      </c>
    </row>
    <row r="1374" spans="1:5">
      <c r="A1374" s="223">
        <v>41015</v>
      </c>
      <c r="B1374" s="217">
        <v>371875</v>
      </c>
      <c r="C1374" s="218">
        <v>2033.5</v>
      </c>
      <c r="D1374" s="221">
        <v>15550</v>
      </c>
      <c r="E1374" s="224">
        <f t="shared" si="24"/>
        <v>1555</v>
      </c>
    </row>
    <row r="1375" spans="1:5">
      <c r="A1375" s="223">
        <v>41016</v>
      </c>
      <c r="B1375" s="217">
        <v>371450</v>
      </c>
      <c r="C1375" s="218">
        <v>2066</v>
      </c>
      <c r="D1375" s="221">
        <v>15550</v>
      </c>
      <c r="E1375" s="224">
        <f t="shared" si="24"/>
        <v>1555</v>
      </c>
    </row>
    <row r="1376" spans="1:5">
      <c r="A1376" s="223">
        <v>41017</v>
      </c>
      <c r="B1376" s="217">
        <v>371450</v>
      </c>
      <c r="C1376" s="218">
        <v>2042</v>
      </c>
      <c r="D1376" s="221">
        <v>15600</v>
      </c>
      <c r="E1376" s="224">
        <f t="shared" si="24"/>
        <v>1560</v>
      </c>
    </row>
    <row r="1377" spans="1:5">
      <c r="A1377" s="223">
        <v>41018</v>
      </c>
      <c r="B1377" s="217">
        <v>370200</v>
      </c>
      <c r="C1377" s="218">
        <v>2039.5</v>
      </c>
      <c r="D1377" s="221">
        <v>15600</v>
      </c>
      <c r="E1377" s="224">
        <f t="shared" si="24"/>
        <v>1560</v>
      </c>
    </row>
    <row r="1378" spans="1:5">
      <c r="A1378" s="223">
        <v>41019</v>
      </c>
      <c r="B1378" s="217">
        <v>369150</v>
      </c>
      <c r="C1378" s="218">
        <v>2100</v>
      </c>
      <c r="D1378" s="221">
        <v>15650</v>
      </c>
      <c r="E1378" s="224">
        <f t="shared" si="24"/>
        <v>1565</v>
      </c>
    </row>
    <row r="1379" spans="1:5">
      <c r="A1379" s="223">
        <v>41022</v>
      </c>
      <c r="B1379" s="217">
        <v>368400</v>
      </c>
      <c r="C1379" s="218">
        <v>2087</v>
      </c>
      <c r="D1379" s="221">
        <v>15700</v>
      </c>
      <c r="E1379" s="224">
        <f t="shared" si="24"/>
        <v>1570</v>
      </c>
    </row>
    <row r="1380" spans="1:5">
      <c r="A1380" s="223">
        <v>41023</v>
      </c>
      <c r="B1380" s="217">
        <v>367375</v>
      </c>
      <c r="C1380" s="218">
        <v>2080</v>
      </c>
      <c r="D1380" s="221">
        <v>15600</v>
      </c>
      <c r="E1380" s="224">
        <f t="shared" si="24"/>
        <v>1560</v>
      </c>
    </row>
    <row r="1381" spans="1:5">
      <c r="A1381" s="223">
        <v>41024</v>
      </c>
      <c r="B1381" s="217">
        <v>366725</v>
      </c>
      <c r="C1381" s="218">
        <v>2083</v>
      </c>
      <c r="D1381" s="221">
        <v>15625</v>
      </c>
      <c r="E1381" s="224">
        <f t="shared" si="24"/>
        <v>1562.5</v>
      </c>
    </row>
    <row r="1382" spans="1:5">
      <c r="A1382" s="223">
        <v>41025</v>
      </c>
      <c r="B1382" s="217">
        <v>365475</v>
      </c>
      <c r="C1382" s="218">
        <v>2113</v>
      </c>
      <c r="D1382" s="221">
        <v>15625</v>
      </c>
      <c r="E1382" s="224">
        <f t="shared" si="24"/>
        <v>1562.5</v>
      </c>
    </row>
    <row r="1383" spans="1:5">
      <c r="A1383" s="223">
        <v>41026</v>
      </c>
      <c r="B1383" s="217">
        <v>363375</v>
      </c>
      <c r="C1383" s="218">
        <v>2127</v>
      </c>
      <c r="D1383" s="221">
        <v>15700</v>
      </c>
      <c r="E1383" s="224">
        <f t="shared" si="24"/>
        <v>1570</v>
      </c>
    </row>
    <row r="1384" spans="1:5">
      <c r="A1384" s="223">
        <v>41029</v>
      </c>
      <c r="B1384" s="217">
        <v>359500</v>
      </c>
      <c r="C1384" s="218">
        <v>2156</v>
      </c>
      <c r="D1384" s="221">
        <v>15700</v>
      </c>
      <c r="E1384" s="224">
        <f>D1384/10</f>
        <v>1570</v>
      </c>
    </row>
    <row r="1385" spans="1:5">
      <c r="A1385" s="223">
        <v>41030</v>
      </c>
      <c r="B1385" s="217">
        <v>359500</v>
      </c>
      <c r="C1385" s="218">
        <v>2150.5</v>
      </c>
      <c r="D1385" s="221">
        <v>15700</v>
      </c>
      <c r="E1385" s="224">
        <f>D1385/10</f>
        <v>1570</v>
      </c>
    </row>
    <row r="1386" spans="1:5">
      <c r="A1386" s="223">
        <v>41031</v>
      </c>
      <c r="B1386" s="217">
        <v>361000</v>
      </c>
      <c r="C1386" s="218">
        <v>2143.5</v>
      </c>
      <c r="D1386" s="221">
        <v>15750</v>
      </c>
      <c r="E1386" s="224">
        <f t="shared" si="24"/>
        <v>1575</v>
      </c>
    </row>
    <row r="1387" spans="1:5">
      <c r="A1387" s="223">
        <v>41032</v>
      </c>
      <c r="B1387" s="217">
        <v>360325</v>
      </c>
      <c r="C1387" s="218">
        <v>2104.5</v>
      </c>
      <c r="D1387" s="221">
        <v>15700</v>
      </c>
      <c r="E1387" s="224">
        <f t="shared" si="24"/>
        <v>1570</v>
      </c>
    </row>
    <row r="1388" spans="1:5">
      <c r="A1388" s="223">
        <v>41033</v>
      </c>
      <c r="B1388" s="217">
        <v>358425</v>
      </c>
      <c r="C1388" s="218">
        <v>2080</v>
      </c>
      <c r="D1388" s="221">
        <v>15650</v>
      </c>
      <c r="E1388" s="224">
        <f t="shared" si="24"/>
        <v>1565</v>
      </c>
    </row>
    <row r="1389" spans="1:5">
      <c r="A1389" s="223">
        <v>41036</v>
      </c>
      <c r="B1389" s="217">
        <v>358425</v>
      </c>
      <c r="C1389" s="218">
        <v>2080</v>
      </c>
      <c r="D1389" s="221">
        <v>15575</v>
      </c>
      <c r="E1389" s="224">
        <f t="shared" si="24"/>
        <v>1557.5</v>
      </c>
    </row>
    <row r="1390" spans="1:5">
      <c r="A1390" s="223">
        <v>41037</v>
      </c>
      <c r="B1390" s="217">
        <v>356525</v>
      </c>
      <c r="C1390" s="218">
        <v>2077.5</v>
      </c>
      <c r="D1390" s="221">
        <v>15600</v>
      </c>
      <c r="E1390" s="224">
        <f t="shared" si="24"/>
        <v>1560</v>
      </c>
    </row>
    <row r="1391" spans="1:5">
      <c r="A1391" s="223">
        <v>41038</v>
      </c>
      <c r="B1391" s="217">
        <v>353825</v>
      </c>
      <c r="C1391" s="218">
        <v>2036</v>
      </c>
      <c r="D1391" s="221">
        <v>15550</v>
      </c>
      <c r="E1391" s="224">
        <f t="shared" si="24"/>
        <v>1555</v>
      </c>
    </row>
    <row r="1392" spans="1:5">
      <c r="A1392" s="223">
        <v>41039</v>
      </c>
      <c r="B1392" s="217">
        <v>352675</v>
      </c>
      <c r="C1392" s="218">
        <v>2063</v>
      </c>
      <c r="D1392" s="221">
        <v>15550</v>
      </c>
      <c r="E1392" s="224">
        <f t="shared" si="24"/>
        <v>1555</v>
      </c>
    </row>
    <row r="1393" spans="1:5">
      <c r="A1393" s="223">
        <v>41040</v>
      </c>
      <c r="B1393" s="217">
        <v>352525</v>
      </c>
      <c r="C1393" s="218">
        <v>2053</v>
      </c>
      <c r="D1393" s="221">
        <v>15500</v>
      </c>
      <c r="E1393" s="224">
        <f t="shared" si="24"/>
        <v>1550</v>
      </c>
    </row>
    <row r="1394" spans="1:5">
      <c r="A1394" s="223">
        <v>41043</v>
      </c>
      <c r="B1394" s="217">
        <v>352275</v>
      </c>
      <c r="C1394" s="218">
        <v>2026.5</v>
      </c>
      <c r="D1394" s="221">
        <v>15500</v>
      </c>
      <c r="E1394" s="224">
        <f t="shared" si="24"/>
        <v>1550</v>
      </c>
    </row>
    <row r="1395" spans="1:5">
      <c r="A1395" s="223">
        <v>41044</v>
      </c>
      <c r="B1395" s="217">
        <v>359100</v>
      </c>
      <c r="C1395" s="218">
        <v>2016.5</v>
      </c>
      <c r="D1395" s="221">
        <v>15450</v>
      </c>
      <c r="E1395" s="224">
        <f t="shared" si="24"/>
        <v>1545</v>
      </c>
    </row>
    <row r="1396" spans="1:5">
      <c r="A1396" s="223">
        <v>41045</v>
      </c>
      <c r="B1396" s="217">
        <v>359025</v>
      </c>
      <c r="C1396" s="218">
        <v>1973</v>
      </c>
      <c r="D1396" s="221">
        <v>15400</v>
      </c>
      <c r="E1396" s="224">
        <f t="shared" si="24"/>
        <v>1540</v>
      </c>
    </row>
    <row r="1397" spans="1:5">
      <c r="A1397" s="223">
        <v>41046</v>
      </c>
      <c r="B1397" s="217">
        <v>358975</v>
      </c>
      <c r="C1397" s="218">
        <v>1930</v>
      </c>
      <c r="D1397" s="221">
        <v>15300</v>
      </c>
      <c r="E1397" s="224">
        <f t="shared" si="24"/>
        <v>1530</v>
      </c>
    </row>
    <row r="1398" spans="1:5">
      <c r="A1398" s="223">
        <v>41047</v>
      </c>
      <c r="B1398" s="217">
        <v>357925</v>
      </c>
      <c r="C1398" s="218">
        <v>1950</v>
      </c>
      <c r="D1398" s="221">
        <v>15200</v>
      </c>
      <c r="E1398" s="224">
        <f t="shared" si="24"/>
        <v>1520</v>
      </c>
    </row>
    <row r="1399" spans="1:5">
      <c r="A1399" s="223">
        <v>41050</v>
      </c>
      <c r="B1399" s="217">
        <v>358000</v>
      </c>
      <c r="C1399" s="218">
        <v>1942</v>
      </c>
      <c r="D1399" s="221">
        <v>15250</v>
      </c>
      <c r="E1399" s="224">
        <f t="shared" si="24"/>
        <v>1525</v>
      </c>
    </row>
    <row r="1400" spans="1:5">
      <c r="A1400" s="223">
        <v>41051</v>
      </c>
      <c r="B1400" s="217">
        <v>357300</v>
      </c>
      <c r="C1400" s="218">
        <v>1928.5</v>
      </c>
      <c r="D1400" s="221">
        <v>15275</v>
      </c>
      <c r="E1400" s="224">
        <f t="shared" si="24"/>
        <v>1527.5</v>
      </c>
    </row>
    <row r="1401" spans="1:5">
      <c r="A1401" s="223">
        <v>41052</v>
      </c>
      <c r="B1401" s="217">
        <v>353450</v>
      </c>
      <c r="C1401" s="218">
        <v>1922</v>
      </c>
      <c r="D1401" s="221">
        <v>15250</v>
      </c>
      <c r="E1401" s="224">
        <f t="shared" si="24"/>
        <v>1525</v>
      </c>
    </row>
    <row r="1402" spans="1:5">
      <c r="A1402" s="223">
        <v>41053</v>
      </c>
      <c r="B1402" s="217">
        <v>352550</v>
      </c>
      <c r="C1402" s="218">
        <v>1934</v>
      </c>
      <c r="D1402" s="221">
        <v>15200</v>
      </c>
      <c r="E1402" s="224">
        <f t="shared" si="24"/>
        <v>1520</v>
      </c>
    </row>
    <row r="1403" spans="1:5">
      <c r="A1403" s="223">
        <v>41054</v>
      </c>
      <c r="B1403" s="217">
        <v>349200</v>
      </c>
      <c r="C1403" s="218">
        <v>1945</v>
      </c>
      <c r="D1403" s="221">
        <v>15200</v>
      </c>
      <c r="E1403" s="224">
        <f t="shared" si="24"/>
        <v>1520</v>
      </c>
    </row>
    <row r="1404" spans="1:5">
      <c r="A1404" s="223">
        <v>41057</v>
      </c>
      <c r="B1404" s="217">
        <v>352800</v>
      </c>
      <c r="C1404" s="218">
        <v>1933.5</v>
      </c>
      <c r="D1404" s="221">
        <v>15200</v>
      </c>
      <c r="E1404" s="224">
        <f t="shared" si="24"/>
        <v>1520</v>
      </c>
    </row>
    <row r="1405" spans="1:5">
      <c r="A1405" s="223">
        <v>41058</v>
      </c>
      <c r="B1405" s="217">
        <v>350825</v>
      </c>
      <c r="C1405" s="218">
        <v>1932</v>
      </c>
      <c r="D1405" s="221">
        <v>15250</v>
      </c>
      <c r="E1405" s="224">
        <f t="shared" si="24"/>
        <v>1525</v>
      </c>
    </row>
    <row r="1406" spans="1:5">
      <c r="A1406" s="223">
        <v>41059</v>
      </c>
      <c r="B1406" s="217">
        <v>349525</v>
      </c>
      <c r="C1406" s="218">
        <v>1912.5</v>
      </c>
      <c r="D1406" s="221">
        <v>15175</v>
      </c>
      <c r="E1406" s="224">
        <f t="shared" si="24"/>
        <v>1517.5</v>
      </c>
    </row>
    <row r="1407" spans="1:5">
      <c r="A1407" s="223">
        <v>41060</v>
      </c>
      <c r="B1407" s="217">
        <v>349575</v>
      </c>
      <c r="C1407" s="218">
        <v>1922.5</v>
      </c>
      <c r="D1407" s="221">
        <v>15100</v>
      </c>
      <c r="E1407" s="224">
        <f t="shared" ref="E1407:E1467" si="25">D1407/10</f>
        <v>1510</v>
      </c>
    </row>
    <row r="1408" spans="1:5">
      <c r="A1408" s="223">
        <v>41061</v>
      </c>
      <c r="B1408" s="217">
        <v>348175</v>
      </c>
      <c r="C1408" s="218">
        <v>1880.5</v>
      </c>
      <c r="D1408" s="221">
        <v>15000</v>
      </c>
      <c r="E1408" s="224">
        <f t="shared" si="25"/>
        <v>1500</v>
      </c>
    </row>
    <row r="1409" spans="1:5">
      <c r="A1409" s="223">
        <v>41064</v>
      </c>
      <c r="B1409" s="217">
        <v>348175</v>
      </c>
      <c r="C1409" s="218">
        <v>1880.5</v>
      </c>
      <c r="D1409" s="221">
        <v>15000</v>
      </c>
      <c r="E1409" s="224">
        <f t="shared" si="25"/>
        <v>1500</v>
      </c>
    </row>
    <row r="1410" spans="1:5">
      <c r="A1410" s="223">
        <v>41065</v>
      </c>
      <c r="B1410" s="217">
        <v>348175</v>
      </c>
      <c r="C1410" s="218">
        <v>1880.5</v>
      </c>
      <c r="D1410" s="221">
        <v>15075</v>
      </c>
      <c r="E1410" s="224">
        <f t="shared" si="25"/>
        <v>1507.5</v>
      </c>
    </row>
    <row r="1411" spans="1:5">
      <c r="A1411" s="223">
        <v>41066</v>
      </c>
      <c r="B1411" s="217">
        <v>346125</v>
      </c>
      <c r="C1411" s="218">
        <v>1907.5</v>
      </c>
      <c r="D1411" s="221">
        <v>15100</v>
      </c>
      <c r="E1411" s="224">
        <f t="shared" si="25"/>
        <v>1510</v>
      </c>
    </row>
    <row r="1412" spans="1:5">
      <c r="A1412" s="223">
        <v>41067</v>
      </c>
      <c r="B1412" s="217">
        <v>345750</v>
      </c>
      <c r="C1412" s="218">
        <v>1916</v>
      </c>
      <c r="D1412" s="221">
        <v>15100</v>
      </c>
      <c r="E1412" s="224">
        <f t="shared" si="25"/>
        <v>1510</v>
      </c>
    </row>
    <row r="1413" spans="1:5">
      <c r="A1413" s="223">
        <v>41068</v>
      </c>
      <c r="B1413" s="217">
        <v>345325</v>
      </c>
      <c r="C1413" s="218">
        <v>1884</v>
      </c>
      <c r="D1413" s="221">
        <v>15075</v>
      </c>
      <c r="E1413" s="224">
        <f t="shared" si="25"/>
        <v>1507.5</v>
      </c>
    </row>
    <row r="1414" spans="1:5">
      <c r="A1414" s="223">
        <v>41071</v>
      </c>
      <c r="B1414" s="217">
        <v>344775</v>
      </c>
      <c r="C1414" s="218">
        <v>1895</v>
      </c>
      <c r="D1414" s="221">
        <v>15100</v>
      </c>
      <c r="E1414" s="224">
        <f t="shared" si="25"/>
        <v>1510</v>
      </c>
    </row>
    <row r="1415" spans="1:5">
      <c r="A1415" s="223">
        <v>41072</v>
      </c>
      <c r="B1415" s="217">
        <v>345075</v>
      </c>
      <c r="C1415" s="218">
        <v>1893.5</v>
      </c>
      <c r="D1415" s="221">
        <v>15050</v>
      </c>
      <c r="E1415" s="224">
        <f t="shared" si="25"/>
        <v>1505</v>
      </c>
    </row>
    <row r="1416" spans="1:5">
      <c r="A1416" s="223">
        <v>41073</v>
      </c>
      <c r="B1416" s="217">
        <v>344525</v>
      </c>
      <c r="C1416" s="218">
        <v>1883</v>
      </c>
      <c r="D1416" s="221">
        <v>15075</v>
      </c>
      <c r="E1416" s="224">
        <f t="shared" si="25"/>
        <v>1507.5</v>
      </c>
    </row>
    <row r="1417" spans="1:5">
      <c r="A1417" s="223">
        <v>41074</v>
      </c>
      <c r="B1417" s="217">
        <v>344025</v>
      </c>
      <c r="C1417" s="218">
        <v>1885</v>
      </c>
      <c r="D1417" s="221">
        <v>15050</v>
      </c>
      <c r="E1417" s="224">
        <f t="shared" si="25"/>
        <v>1505</v>
      </c>
    </row>
    <row r="1418" spans="1:5">
      <c r="A1418" s="223">
        <v>41075</v>
      </c>
      <c r="B1418" s="217">
        <v>344750</v>
      </c>
      <c r="C1418" s="218">
        <v>1914.5</v>
      </c>
      <c r="D1418" s="221">
        <v>15100</v>
      </c>
      <c r="E1418" s="224">
        <f t="shared" si="25"/>
        <v>1510</v>
      </c>
    </row>
    <row r="1419" spans="1:5">
      <c r="A1419" s="223">
        <v>41078</v>
      </c>
      <c r="B1419" s="217">
        <v>344850</v>
      </c>
      <c r="C1419" s="218">
        <v>1893.5</v>
      </c>
      <c r="D1419" s="221">
        <v>15150</v>
      </c>
      <c r="E1419" s="224">
        <f t="shared" si="25"/>
        <v>1515</v>
      </c>
    </row>
    <row r="1420" spans="1:5">
      <c r="A1420" s="223">
        <v>41079</v>
      </c>
      <c r="B1420" s="217">
        <v>345200</v>
      </c>
      <c r="C1420" s="218">
        <v>1885.5</v>
      </c>
      <c r="D1420" s="221">
        <v>15100</v>
      </c>
      <c r="E1420" s="224">
        <f t="shared" si="25"/>
        <v>1510</v>
      </c>
    </row>
    <row r="1421" spans="1:5">
      <c r="A1421" s="223">
        <v>41080</v>
      </c>
      <c r="B1421" s="217">
        <v>347075</v>
      </c>
      <c r="C1421" s="218">
        <v>1899</v>
      </c>
      <c r="D1421" s="221">
        <v>15100</v>
      </c>
      <c r="E1421" s="224">
        <f t="shared" si="25"/>
        <v>1510</v>
      </c>
    </row>
    <row r="1422" spans="1:5">
      <c r="A1422" s="223">
        <v>41081</v>
      </c>
      <c r="B1422" s="217">
        <v>347025</v>
      </c>
      <c r="C1422" s="218">
        <v>1842</v>
      </c>
      <c r="D1422" s="221">
        <v>15000</v>
      </c>
      <c r="E1422" s="224">
        <f t="shared" si="25"/>
        <v>1500</v>
      </c>
    </row>
    <row r="1423" spans="1:5">
      <c r="A1423" s="223">
        <v>41082</v>
      </c>
      <c r="B1423" s="217">
        <v>351000</v>
      </c>
      <c r="C1423" s="218">
        <v>1791.5</v>
      </c>
      <c r="D1423" s="221">
        <v>15000</v>
      </c>
      <c r="E1423" s="224">
        <f>D1423/10</f>
        <v>1500</v>
      </c>
    </row>
    <row r="1424" spans="1:5">
      <c r="A1424" s="223">
        <v>41085</v>
      </c>
      <c r="B1424" s="217">
        <v>351150</v>
      </c>
      <c r="C1424" s="218">
        <v>1792.5</v>
      </c>
      <c r="D1424" s="221">
        <v>14950</v>
      </c>
      <c r="E1424" s="224">
        <f t="shared" si="25"/>
        <v>1495</v>
      </c>
    </row>
    <row r="1425" spans="1:5">
      <c r="A1425" s="223">
        <v>41086</v>
      </c>
      <c r="B1425" s="217">
        <v>350775</v>
      </c>
      <c r="C1425" s="218">
        <v>1768</v>
      </c>
      <c r="D1425" s="221">
        <v>14875</v>
      </c>
      <c r="E1425" s="224">
        <f t="shared" si="25"/>
        <v>1487.5</v>
      </c>
    </row>
    <row r="1426" spans="1:5">
      <c r="A1426" s="223">
        <v>41087</v>
      </c>
      <c r="B1426" s="217">
        <v>351250</v>
      </c>
      <c r="C1426" s="218">
        <v>1744</v>
      </c>
      <c r="D1426" s="221">
        <v>14600</v>
      </c>
      <c r="E1426" s="224">
        <f t="shared" si="25"/>
        <v>1460</v>
      </c>
    </row>
    <row r="1427" spans="1:5">
      <c r="A1427" s="223">
        <v>41088</v>
      </c>
      <c r="B1427" s="217">
        <v>350725</v>
      </c>
      <c r="C1427" s="218">
        <v>1769</v>
      </c>
      <c r="D1427" s="221">
        <v>14550</v>
      </c>
      <c r="E1427" s="224">
        <f t="shared" si="25"/>
        <v>1455</v>
      </c>
    </row>
    <row r="1428" spans="1:5">
      <c r="A1428" s="223">
        <v>41089</v>
      </c>
      <c r="B1428" s="217">
        <v>350300</v>
      </c>
      <c r="C1428" s="218">
        <v>1796</v>
      </c>
      <c r="D1428" s="221">
        <v>14650</v>
      </c>
      <c r="E1428" s="224">
        <f t="shared" si="25"/>
        <v>1465</v>
      </c>
    </row>
    <row r="1429" spans="1:5">
      <c r="A1429" s="223">
        <v>41092</v>
      </c>
      <c r="B1429" s="217">
        <v>349725</v>
      </c>
      <c r="C1429" s="218">
        <v>1851.5</v>
      </c>
      <c r="D1429" s="221">
        <v>14775</v>
      </c>
      <c r="E1429" s="224">
        <f t="shared" si="25"/>
        <v>1477.5</v>
      </c>
    </row>
    <row r="1430" spans="1:5">
      <c r="A1430" s="223">
        <v>41093</v>
      </c>
      <c r="B1430" s="217">
        <v>349200</v>
      </c>
      <c r="C1430" s="218">
        <v>1900.5</v>
      </c>
      <c r="D1430" s="221">
        <v>14875</v>
      </c>
      <c r="E1430" s="224">
        <f t="shared" si="25"/>
        <v>1487.5</v>
      </c>
    </row>
    <row r="1431" spans="1:5">
      <c r="A1431" s="223">
        <v>41094</v>
      </c>
      <c r="B1431" s="217">
        <v>349250</v>
      </c>
      <c r="C1431" s="218">
        <v>1895.5</v>
      </c>
      <c r="D1431" s="221">
        <v>14950</v>
      </c>
      <c r="E1431" s="224">
        <f t="shared" si="25"/>
        <v>1495</v>
      </c>
    </row>
    <row r="1432" spans="1:5">
      <c r="A1432" s="223">
        <v>41095</v>
      </c>
      <c r="B1432" s="217">
        <v>348575</v>
      </c>
      <c r="C1432" s="218">
        <v>1901.5</v>
      </c>
      <c r="D1432" s="221">
        <v>15000</v>
      </c>
      <c r="E1432" s="224">
        <f t="shared" si="25"/>
        <v>1500</v>
      </c>
    </row>
    <row r="1433" spans="1:5">
      <c r="A1433" s="223">
        <v>41096</v>
      </c>
      <c r="B1433" s="217">
        <v>348475</v>
      </c>
      <c r="C1433" s="218">
        <v>1858</v>
      </c>
      <c r="D1433" s="221">
        <v>14950</v>
      </c>
      <c r="E1433" s="224">
        <f t="shared" si="25"/>
        <v>1495</v>
      </c>
    </row>
    <row r="1434" spans="1:5">
      <c r="A1434" s="223">
        <v>41099</v>
      </c>
      <c r="B1434" s="217">
        <v>347325</v>
      </c>
      <c r="C1434" s="218">
        <v>1839.5</v>
      </c>
      <c r="D1434" s="221">
        <v>14925</v>
      </c>
      <c r="E1434" s="224">
        <f t="shared" si="25"/>
        <v>1492.5</v>
      </c>
    </row>
    <row r="1435" spans="1:5">
      <c r="A1435" s="223">
        <v>41100</v>
      </c>
      <c r="B1435" s="217">
        <v>346825</v>
      </c>
      <c r="C1435" s="218">
        <v>1863</v>
      </c>
      <c r="D1435" s="221">
        <v>15000</v>
      </c>
      <c r="E1435" s="224">
        <f t="shared" si="25"/>
        <v>1500</v>
      </c>
    </row>
    <row r="1436" spans="1:5">
      <c r="A1436" s="223">
        <v>41101</v>
      </c>
      <c r="B1436" s="217">
        <v>346525</v>
      </c>
      <c r="C1436" s="218">
        <v>1861.5</v>
      </c>
      <c r="D1436" s="221">
        <v>14975</v>
      </c>
      <c r="E1436" s="224">
        <f t="shared" si="25"/>
        <v>1497.5</v>
      </c>
    </row>
    <row r="1437" spans="1:5">
      <c r="A1437" s="223">
        <v>41102</v>
      </c>
      <c r="B1437" s="217">
        <v>345750</v>
      </c>
      <c r="C1437" s="218">
        <v>1830</v>
      </c>
      <c r="D1437" s="221">
        <v>14975</v>
      </c>
      <c r="E1437" s="224">
        <f t="shared" si="25"/>
        <v>1497.5</v>
      </c>
    </row>
    <row r="1438" spans="1:5">
      <c r="A1438" s="223">
        <v>41103</v>
      </c>
      <c r="B1438" s="217">
        <v>344575</v>
      </c>
      <c r="C1438" s="218">
        <v>1874.5</v>
      </c>
      <c r="D1438" s="221">
        <v>15000</v>
      </c>
      <c r="E1438" s="224">
        <f t="shared" si="25"/>
        <v>1500</v>
      </c>
    </row>
    <row r="1439" spans="1:5">
      <c r="A1439" s="223">
        <v>41106</v>
      </c>
      <c r="B1439" s="217">
        <v>342975</v>
      </c>
      <c r="C1439" s="218">
        <v>1851</v>
      </c>
      <c r="D1439" s="221">
        <v>15050</v>
      </c>
      <c r="E1439" s="224">
        <f t="shared" si="25"/>
        <v>1505</v>
      </c>
    </row>
    <row r="1440" spans="1:5">
      <c r="A1440" s="223">
        <v>41107</v>
      </c>
      <c r="B1440" s="217">
        <v>343175</v>
      </c>
      <c r="C1440" s="218">
        <v>1889</v>
      </c>
      <c r="D1440" s="221">
        <v>15100</v>
      </c>
      <c r="E1440" s="224">
        <f t="shared" si="25"/>
        <v>1510</v>
      </c>
    </row>
    <row r="1441" spans="1:5">
      <c r="A1441" s="223">
        <v>41108</v>
      </c>
      <c r="B1441" s="217">
        <v>341650</v>
      </c>
      <c r="C1441" s="218">
        <v>1872.5</v>
      </c>
      <c r="D1441" s="221">
        <v>15100</v>
      </c>
      <c r="E1441" s="224">
        <f t="shared" si="25"/>
        <v>1510</v>
      </c>
    </row>
    <row r="1442" spans="1:5">
      <c r="A1442" s="223">
        <v>41109</v>
      </c>
      <c r="B1442" s="217">
        <v>339675</v>
      </c>
      <c r="C1442" s="218">
        <v>1920.5</v>
      </c>
      <c r="D1442" s="221">
        <v>15100</v>
      </c>
      <c r="E1442" s="224">
        <f t="shared" si="25"/>
        <v>1510</v>
      </c>
    </row>
    <row r="1443" spans="1:5">
      <c r="A1443" s="223">
        <v>41110</v>
      </c>
      <c r="B1443" s="217">
        <v>338325</v>
      </c>
      <c r="C1443" s="218">
        <v>1899</v>
      </c>
      <c r="D1443" s="221">
        <v>15100</v>
      </c>
      <c r="E1443" s="224">
        <f t="shared" si="25"/>
        <v>1510</v>
      </c>
    </row>
    <row r="1444" spans="1:5">
      <c r="A1444" s="223">
        <v>41113</v>
      </c>
      <c r="B1444" s="217">
        <v>336350</v>
      </c>
      <c r="C1444" s="218">
        <v>1850.5</v>
      </c>
      <c r="D1444" s="221">
        <v>15000</v>
      </c>
      <c r="E1444" s="224">
        <f t="shared" si="25"/>
        <v>1500</v>
      </c>
    </row>
    <row r="1445" spans="1:5">
      <c r="A1445" s="223">
        <v>41114</v>
      </c>
      <c r="B1445" s="217">
        <v>334850</v>
      </c>
      <c r="C1445" s="218">
        <v>1840.5</v>
      </c>
      <c r="D1445" s="221">
        <v>14950</v>
      </c>
      <c r="E1445" s="224">
        <f t="shared" si="25"/>
        <v>1495</v>
      </c>
    </row>
    <row r="1446" spans="1:5">
      <c r="A1446" s="223">
        <v>41115</v>
      </c>
      <c r="B1446" s="217">
        <v>332700</v>
      </c>
      <c r="C1446" s="218">
        <v>1849</v>
      </c>
      <c r="D1446" s="221">
        <v>14950</v>
      </c>
      <c r="E1446" s="224">
        <f t="shared" si="25"/>
        <v>1495</v>
      </c>
    </row>
    <row r="1447" spans="1:5">
      <c r="A1447" s="223">
        <v>41116</v>
      </c>
      <c r="B1447" s="217">
        <v>330750</v>
      </c>
      <c r="C1447" s="218">
        <v>1870</v>
      </c>
      <c r="D1447" s="221">
        <v>14950</v>
      </c>
      <c r="E1447" s="224">
        <f t="shared" si="25"/>
        <v>1495</v>
      </c>
    </row>
    <row r="1448" spans="1:5">
      <c r="A1448" s="223">
        <v>41117</v>
      </c>
      <c r="B1448" s="217">
        <v>328975</v>
      </c>
      <c r="C1448" s="218">
        <v>1907.5</v>
      </c>
      <c r="D1448" s="221">
        <v>15000</v>
      </c>
      <c r="E1448" s="224">
        <f t="shared" si="25"/>
        <v>1500</v>
      </c>
    </row>
    <row r="1449" spans="1:5">
      <c r="A1449" s="223">
        <v>41120</v>
      </c>
      <c r="B1449" s="217">
        <v>327900</v>
      </c>
      <c r="C1449" s="218">
        <v>1909</v>
      </c>
      <c r="D1449" s="221">
        <v>15050</v>
      </c>
      <c r="E1449" s="224">
        <f t="shared" si="25"/>
        <v>1505</v>
      </c>
    </row>
    <row r="1450" spans="1:5">
      <c r="A1450" s="223">
        <v>41121</v>
      </c>
      <c r="B1450" s="217">
        <v>326950</v>
      </c>
      <c r="C1450" s="218">
        <v>1946.5</v>
      </c>
      <c r="D1450" s="221">
        <v>15050</v>
      </c>
      <c r="E1450" s="224">
        <f t="shared" si="25"/>
        <v>1505</v>
      </c>
    </row>
    <row r="1451" spans="1:5">
      <c r="A1451" s="223">
        <v>41122</v>
      </c>
      <c r="B1451" s="217">
        <v>326775</v>
      </c>
      <c r="C1451" s="218">
        <v>1886.5</v>
      </c>
      <c r="D1451" s="221">
        <v>15050</v>
      </c>
      <c r="E1451" s="224">
        <f t="shared" si="25"/>
        <v>1505</v>
      </c>
    </row>
    <row r="1452" spans="1:5">
      <c r="A1452" s="223">
        <v>41123</v>
      </c>
      <c r="B1452" s="217">
        <v>328850</v>
      </c>
      <c r="C1452" s="218">
        <v>1868.5</v>
      </c>
      <c r="D1452" s="221">
        <v>15000</v>
      </c>
      <c r="E1452" s="224">
        <f t="shared" si="25"/>
        <v>1500</v>
      </c>
    </row>
    <row r="1453" spans="1:5">
      <c r="A1453" s="223">
        <v>41124</v>
      </c>
      <c r="B1453" s="217">
        <v>327100</v>
      </c>
      <c r="C1453" s="218">
        <v>1862</v>
      </c>
      <c r="D1453" s="221">
        <v>15300</v>
      </c>
      <c r="E1453" s="224">
        <f t="shared" si="25"/>
        <v>1530</v>
      </c>
    </row>
    <row r="1454" spans="1:5">
      <c r="A1454" s="223">
        <v>41127</v>
      </c>
      <c r="B1454" s="217">
        <v>326550</v>
      </c>
      <c r="C1454" s="218">
        <v>1868.5</v>
      </c>
      <c r="D1454" s="221">
        <v>15050</v>
      </c>
      <c r="E1454" s="224">
        <f t="shared" si="25"/>
        <v>1505</v>
      </c>
    </row>
    <row r="1455" spans="1:5">
      <c r="A1455" s="223">
        <v>41128</v>
      </c>
      <c r="B1455" s="217">
        <v>326025</v>
      </c>
      <c r="C1455" s="218">
        <v>1899</v>
      </c>
      <c r="D1455" s="221">
        <v>15050</v>
      </c>
      <c r="E1455" s="224">
        <f t="shared" si="25"/>
        <v>1505</v>
      </c>
    </row>
    <row r="1456" spans="1:5">
      <c r="A1456" s="223">
        <v>41129</v>
      </c>
      <c r="B1456" s="217">
        <v>324875</v>
      </c>
      <c r="C1456" s="218">
        <v>1896.5</v>
      </c>
      <c r="D1456" s="221">
        <v>15100</v>
      </c>
      <c r="E1456" s="224">
        <f t="shared" si="25"/>
        <v>1510</v>
      </c>
    </row>
    <row r="1457" spans="1:5">
      <c r="A1457" s="223">
        <v>41130</v>
      </c>
      <c r="B1457" s="217">
        <v>323800</v>
      </c>
      <c r="C1457" s="218">
        <v>1893</v>
      </c>
      <c r="D1457" s="221">
        <v>15100</v>
      </c>
      <c r="E1457" s="224">
        <f t="shared" si="25"/>
        <v>1510</v>
      </c>
    </row>
    <row r="1458" spans="1:5">
      <c r="A1458" s="223">
        <v>41131</v>
      </c>
      <c r="B1458" s="217">
        <v>325600</v>
      </c>
      <c r="C1458" s="218">
        <v>1889</v>
      </c>
      <c r="D1458" s="221">
        <v>15100</v>
      </c>
      <c r="E1458" s="224">
        <f t="shared" si="25"/>
        <v>1510</v>
      </c>
    </row>
    <row r="1459" spans="1:5">
      <c r="A1459" s="223">
        <v>41134</v>
      </c>
      <c r="B1459" s="217">
        <v>323450</v>
      </c>
      <c r="C1459" s="218">
        <v>1866</v>
      </c>
      <c r="D1459" s="221">
        <v>15100</v>
      </c>
      <c r="E1459" s="224">
        <f t="shared" si="25"/>
        <v>1510</v>
      </c>
    </row>
    <row r="1460" spans="1:5">
      <c r="A1460" s="223">
        <v>41135</v>
      </c>
      <c r="B1460" s="217">
        <v>322700</v>
      </c>
      <c r="C1460" s="218">
        <v>1862.5</v>
      </c>
      <c r="D1460" s="221">
        <v>15050</v>
      </c>
      <c r="E1460" s="224">
        <f t="shared" si="25"/>
        <v>1505</v>
      </c>
    </row>
    <row r="1461" spans="1:5">
      <c r="A1461" s="223">
        <v>41136</v>
      </c>
      <c r="B1461" s="217">
        <v>321125</v>
      </c>
      <c r="C1461" s="218">
        <v>1835</v>
      </c>
      <c r="D1461" s="221">
        <v>15000</v>
      </c>
      <c r="E1461" s="224">
        <f t="shared" si="25"/>
        <v>1500</v>
      </c>
    </row>
    <row r="1462" spans="1:5">
      <c r="A1462" s="223">
        <v>41137</v>
      </c>
      <c r="B1462" s="217">
        <v>320850</v>
      </c>
      <c r="C1462" s="218">
        <v>1816.5</v>
      </c>
      <c r="D1462" s="221">
        <v>14950</v>
      </c>
      <c r="E1462" s="224">
        <f t="shared" si="25"/>
        <v>1495</v>
      </c>
    </row>
    <row r="1463" spans="1:5">
      <c r="A1463" s="223">
        <v>41138</v>
      </c>
      <c r="B1463" s="217">
        <v>319200</v>
      </c>
      <c r="C1463" s="218">
        <v>1871</v>
      </c>
      <c r="D1463" s="221">
        <v>14950</v>
      </c>
      <c r="E1463" s="224">
        <f t="shared" si="25"/>
        <v>1495</v>
      </c>
    </row>
    <row r="1464" spans="1:5">
      <c r="A1464" s="223">
        <v>41141</v>
      </c>
      <c r="B1464" s="217">
        <v>317525</v>
      </c>
      <c r="C1464" s="218">
        <v>1871</v>
      </c>
      <c r="D1464" s="221">
        <v>14950</v>
      </c>
      <c r="E1464" s="224">
        <f t="shared" si="25"/>
        <v>1495</v>
      </c>
    </row>
    <row r="1465" spans="1:5">
      <c r="A1465" s="223">
        <v>41142</v>
      </c>
      <c r="B1465" s="217">
        <v>317250</v>
      </c>
      <c r="C1465" s="218">
        <v>1913</v>
      </c>
      <c r="D1465" s="221">
        <v>15000</v>
      </c>
      <c r="E1465" s="224">
        <f t="shared" si="25"/>
        <v>1500</v>
      </c>
    </row>
    <row r="1466" spans="1:5">
      <c r="A1466" s="223">
        <v>41143</v>
      </c>
      <c r="B1466" s="217">
        <v>316400</v>
      </c>
      <c r="C1466" s="218">
        <v>1905</v>
      </c>
      <c r="D1466" s="221">
        <v>15000</v>
      </c>
      <c r="E1466" s="224">
        <f t="shared" si="25"/>
        <v>1500</v>
      </c>
    </row>
    <row r="1467" spans="1:5">
      <c r="A1467" s="223">
        <v>41144</v>
      </c>
      <c r="B1467" s="217">
        <v>315800</v>
      </c>
      <c r="C1467" s="218">
        <v>1921.5</v>
      </c>
      <c r="D1467" s="221">
        <v>15050</v>
      </c>
      <c r="E1467" s="224">
        <f t="shared" si="25"/>
        <v>1505</v>
      </c>
    </row>
    <row r="1468" spans="1:5">
      <c r="A1468" s="223">
        <v>41145</v>
      </c>
      <c r="B1468" s="217">
        <v>315125</v>
      </c>
      <c r="C1468" s="218">
        <v>1942</v>
      </c>
      <c r="D1468" s="221">
        <v>15100</v>
      </c>
      <c r="E1468" s="224">
        <f t="shared" ref="E1468:E1528" si="26">D1468/10</f>
        <v>1510</v>
      </c>
    </row>
    <row r="1469" spans="1:5">
      <c r="A1469" s="223">
        <v>41148</v>
      </c>
      <c r="B1469" s="217">
        <v>315125</v>
      </c>
      <c r="C1469" s="218">
        <v>1942</v>
      </c>
      <c r="D1469" s="221">
        <v>15150</v>
      </c>
      <c r="E1469" s="224">
        <f t="shared" si="26"/>
        <v>1515</v>
      </c>
    </row>
    <row r="1470" spans="1:5">
      <c r="A1470" s="223">
        <v>41149</v>
      </c>
      <c r="B1470" s="217">
        <v>314200</v>
      </c>
      <c r="C1470" s="218">
        <v>1954.5</v>
      </c>
      <c r="D1470" s="221">
        <v>15100</v>
      </c>
      <c r="E1470" s="224">
        <f t="shared" si="26"/>
        <v>1510</v>
      </c>
    </row>
    <row r="1471" spans="1:5">
      <c r="A1471" s="223">
        <v>41150</v>
      </c>
      <c r="B1471" s="217">
        <v>312575</v>
      </c>
      <c r="C1471" s="218">
        <v>1959</v>
      </c>
      <c r="D1471" s="221">
        <v>15100</v>
      </c>
      <c r="E1471" s="224">
        <f t="shared" si="26"/>
        <v>1510</v>
      </c>
    </row>
    <row r="1472" spans="1:5">
      <c r="A1472" s="223">
        <v>41151</v>
      </c>
      <c r="B1472" s="217">
        <v>311475</v>
      </c>
      <c r="C1472" s="218">
        <v>1963</v>
      </c>
      <c r="D1472" s="221">
        <v>15100</v>
      </c>
      <c r="E1472" s="224">
        <f t="shared" si="26"/>
        <v>1510</v>
      </c>
    </row>
    <row r="1473" spans="1:5">
      <c r="A1473" s="223">
        <v>41152</v>
      </c>
      <c r="B1473" s="217">
        <v>310225</v>
      </c>
      <c r="C1473" s="218">
        <v>1963.5</v>
      </c>
      <c r="D1473" s="221">
        <v>15100</v>
      </c>
      <c r="E1473" s="224">
        <f t="shared" si="26"/>
        <v>1510</v>
      </c>
    </row>
    <row r="1474" spans="1:5">
      <c r="A1474" s="223">
        <v>41155</v>
      </c>
      <c r="B1474" s="217">
        <v>307875</v>
      </c>
      <c r="C1474" s="218">
        <v>1982</v>
      </c>
      <c r="D1474" s="221">
        <v>15150</v>
      </c>
      <c r="E1474" s="224">
        <f t="shared" si="26"/>
        <v>1515</v>
      </c>
    </row>
    <row r="1475" spans="1:5">
      <c r="A1475" s="223">
        <v>41156</v>
      </c>
      <c r="B1475" s="217">
        <v>305725</v>
      </c>
      <c r="C1475" s="218">
        <v>1999</v>
      </c>
      <c r="D1475" s="221">
        <v>15150</v>
      </c>
      <c r="E1475" s="224">
        <f t="shared" si="26"/>
        <v>1515</v>
      </c>
    </row>
    <row r="1476" spans="1:5">
      <c r="A1476" s="223">
        <v>41157</v>
      </c>
      <c r="B1476" s="217">
        <v>304475</v>
      </c>
      <c r="C1476" s="218">
        <v>1991.5</v>
      </c>
      <c r="D1476" s="221">
        <v>15150</v>
      </c>
      <c r="E1476" s="224">
        <f t="shared" si="26"/>
        <v>1515</v>
      </c>
    </row>
    <row r="1477" spans="1:5">
      <c r="A1477" s="223">
        <v>41158</v>
      </c>
      <c r="B1477" s="217">
        <v>304750</v>
      </c>
      <c r="C1477" s="218">
        <v>2036</v>
      </c>
      <c r="D1477" s="221">
        <v>15250</v>
      </c>
      <c r="E1477" s="224">
        <f t="shared" si="26"/>
        <v>1525</v>
      </c>
    </row>
    <row r="1478" spans="1:5">
      <c r="A1478" s="223">
        <v>41159</v>
      </c>
      <c r="B1478" s="217">
        <v>303450</v>
      </c>
      <c r="C1478" s="218">
        <v>2061.5</v>
      </c>
      <c r="D1478" s="221">
        <v>15300</v>
      </c>
      <c r="E1478" s="224">
        <f t="shared" si="26"/>
        <v>1530</v>
      </c>
    </row>
    <row r="1479" spans="1:5">
      <c r="A1479" s="223">
        <v>41162</v>
      </c>
      <c r="B1479" s="217">
        <v>303150</v>
      </c>
      <c r="C1479" s="218">
        <v>2117.5</v>
      </c>
      <c r="D1479" s="221">
        <v>15500</v>
      </c>
      <c r="E1479" s="224">
        <f t="shared" si="26"/>
        <v>1550</v>
      </c>
    </row>
    <row r="1480" spans="1:5">
      <c r="A1480" s="223">
        <v>41163</v>
      </c>
      <c r="B1480" s="217">
        <v>300650</v>
      </c>
      <c r="C1480" s="218">
        <v>2101.5</v>
      </c>
      <c r="D1480" s="221">
        <v>15500</v>
      </c>
      <c r="E1480" s="224">
        <f t="shared" si="26"/>
        <v>1550</v>
      </c>
    </row>
    <row r="1481" spans="1:5">
      <c r="A1481" s="223">
        <v>41164</v>
      </c>
      <c r="B1481" s="217">
        <v>298400</v>
      </c>
      <c r="C1481" s="218">
        <v>2120.5</v>
      </c>
      <c r="D1481" s="221">
        <v>15500</v>
      </c>
      <c r="E1481" s="224">
        <f t="shared" si="26"/>
        <v>1550</v>
      </c>
    </row>
    <row r="1482" spans="1:5">
      <c r="A1482" s="223">
        <v>41165</v>
      </c>
      <c r="B1482" s="217">
        <v>295825</v>
      </c>
      <c r="C1482" s="218">
        <v>2112.5</v>
      </c>
      <c r="D1482" s="221">
        <v>15550</v>
      </c>
      <c r="E1482" s="224">
        <f t="shared" si="26"/>
        <v>1555</v>
      </c>
    </row>
    <row r="1483" spans="1:5">
      <c r="A1483" s="223">
        <v>41166</v>
      </c>
      <c r="B1483" s="217">
        <v>293200</v>
      </c>
      <c r="C1483" s="218">
        <v>2243.5</v>
      </c>
      <c r="D1483" s="221">
        <v>15800</v>
      </c>
      <c r="E1483" s="224">
        <f t="shared" si="26"/>
        <v>1580</v>
      </c>
    </row>
    <row r="1484" spans="1:5">
      <c r="A1484" s="223">
        <v>41169</v>
      </c>
      <c r="B1484" s="217">
        <v>290900</v>
      </c>
      <c r="C1484" s="218">
        <v>2243</v>
      </c>
      <c r="D1484" s="221">
        <v>15800</v>
      </c>
      <c r="E1484" s="224">
        <f t="shared" si="26"/>
        <v>1580</v>
      </c>
    </row>
    <row r="1485" spans="1:5">
      <c r="A1485" s="223">
        <v>41170</v>
      </c>
      <c r="B1485" s="217">
        <v>288550</v>
      </c>
      <c r="C1485" s="218">
        <v>2235</v>
      </c>
      <c r="D1485" s="221">
        <v>15750</v>
      </c>
      <c r="E1485" s="224">
        <f t="shared" si="26"/>
        <v>1575</v>
      </c>
    </row>
    <row r="1486" spans="1:5">
      <c r="A1486" s="223">
        <v>41171</v>
      </c>
      <c r="B1486" s="217">
        <v>285950</v>
      </c>
      <c r="C1486" s="218">
        <v>2271.5</v>
      </c>
      <c r="D1486" s="221">
        <v>15750</v>
      </c>
      <c r="E1486" s="224">
        <f t="shared" si="26"/>
        <v>1575</v>
      </c>
    </row>
    <row r="1487" spans="1:5">
      <c r="A1487" s="223">
        <v>41172</v>
      </c>
      <c r="B1487" s="217">
        <v>283875</v>
      </c>
      <c r="C1487" s="218">
        <v>2229</v>
      </c>
      <c r="D1487" s="221">
        <v>15700</v>
      </c>
      <c r="E1487" s="224">
        <f t="shared" si="26"/>
        <v>1570</v>
      </c>
    </row>
    <row r="1488" spans="1:5">
      <c r="A1488" s="223">
        <v>41173</v>
      </c>
      <c r="B1488" s="217">
        <v>283625</v>
      </c>
      <c r="C1488" s="218">
        <v>2276.5</v>
      </c>
      <c r="D1488" s="221">
        <v>15750</v>
      </c>
      <c r="E1488" s="224">
        <f t="shared" si="26"/>
        <v>1575</v>
      </c>
    </row>
    <row r="1489" spans="1:5">
      <c r="A1489" s="223">
        <v>41176</v>
      </c>
      <c r="B1489" s="217">
        <v>281250</v>
      </c>
      <c r="C1489" s="218">
        <v>2241.5</v>
      </c>
      <c r="D1489" s="221">
        <v>15700</v>
      </c>
      <c r="E1489" s="224">
        <f t="shared" si="26"/>
        <v>1570</v>
      </c>
    </row>
    <row r="1490" spans="1:5">
      <c r="A1490" s="223">
        <v>41177</v>
      </c>
      <c r="B1490" s="217">
        <v>277600</v>
      </c>
      <c r="C1490" s="218">
        <v>2285</v>
      </c>
      <c r="D1490" s="221">
        <v>15700</v>
      </c>
      <c r="E1490" s="224">
        <f t="shared" si="26"/>
        <v>1570</v>
      </c>
    </row>
    <row r="1491" spans="1:5">
      <c r="A1491" s="223">
        <v>41178</v>
      </c>
      <c r="B1491" s="217">
        <v>274175</v>
      </c>
      <c r="C1491" s="218">
        <v>2273</v>
      </c>
      <c r="D1491" s="221">
        <v>15750</v>
      </c>
      <c r="E1491" s="224">
        <f t="shared" si="26"/>
        <v>1575</v>
      </c>
    </row>
    <row r="1492" spans="1:5">
      <c r="A1492" s="223">
        <v>41179</v>
      </c>
      <c r="B1492" s="217">
        <v>270650</v>
      </c>
      <c r="C1492" s="218">
        <v>2265.5</v>
      </c>
      <c r="D1492" s="221">
        <v>15700</v>
      </c>
      <c r="E1492" s="224">
        <f t="shared" si="26"/>
        <v>1570</v>
      </c>
    </row>
    <row r="1493" spans="1:5">
      <c r="A1493" s="223">
        <v>41180</v>
      </c>
      <c r="B1493" s="217">
        <v>267700</v>
      </c>
      <c r="C1493" s="218">
        <v>2300</v>
      </c>
      <c r="D1493" s="221">
        <v>15700</v>
      </c>
      <c r="E1493" s="224">
        <f t="shared" si="26"/>
        <v>1570</v>
      </c>
    </row>
    <row r="1494" spans="1:5">
      <c r="A1494" s="223">
        <v>41183</v>
      </c>
      <c r="B1494" s="217">
        <v>265075</v>
      </c>
      <c r="C1494" s="218">
        <v>2238.5</v>
      </c>
      <c r="D1494" s="221">
        <v>15700</v>
      </c>
      <c r="E1494" s="224">
        <f>D1494/10</f>
        <v>1570</v>
      </c>
    </row>
    <row r="1495" spans="1:5">
      <c r="A1495" s="223">
        <v>41184</v>
      </c>
      <c r="B1495" s="217">
        <v>261975</v>
      </c>
      <c r="C1495" s="218">
        <v>2315</v>
      </c>
      <c r="D1495" s="221">
        <v>15700</v>
      </c>
      <c r="E1495" s="224">
        <f>D1495/10</f>
        <v>1570</v>
      </c>
    </row>
    <row r="1496" spans="1:5">
      <c r="A1496" s="223">
        <v>41185</v>
      </c>
      <c r="B1496" s="217">
        <v>259900</v>
      </c>
      <c r="C1496" s="218">
        <v>2293.5</v>
      </c>
      <c r="D1496" s="221">
        <v>15700</v>
      </c>
      <c r="E1496" s="224">
        <f>D1496/10</f>
        <v>1570</v>
      </c>
    </row>
    <row r="1497" spans="1:5">
      <c r="A1497" s="223">
        <v>41186</v>
      </c>
      <c r="B1497" s="217">
        <v>257775</v>
      </c>
      <c r="C1497" s="218">
        <v>2308.5</v>
      </c>
      <c r="D1497" s="221">
        <v>15700</v>
      </c>
      <c r="E1497" s="224">
        <f>D1497/10</f>
        <v>1570</v>
      </c>
    </row>
    <row r="1498" spans="1:5">
      <c r="A1498" s="223">
        <v>41187</v>
      </c>
      <c r="B1498" s="217">
        <v>254575</v>
      </c>
      <c r="C1498" s="218">
        <v>2265</v>
      </c>
      <c r="D1498" s="221">
        <v>15700</v>
      </c>
      <c r="E1498" s="224">
        <f>D1498/10</f>
        <v>1570</v>
      </c>
    </row>
    <row r="1499" spans="1:5">
      <c r="A1499" s="223">
        <v>41190</v>
      </c>
      <c r="B1499" s="217">
        <v>251350</v>
      </c>
      <c r="C1499" s="218">
        <v>2243</v>
      </c>
      <c r="D1499" s="221">
        <v>15700</v>
      </c>
      <c r="E1499" s="224">
        <f t="shared" si="26"/>
        <v>1570</v>
      </c>
    </row>
    <row r="1500" spans="1:5">
      <c r="A1500" s="223">
        <v>41191</v>
      </c>
      <c r="B1500" s="217">
        <v>247850</v>
      </c>
      <c r="C1500" s="218">
        <v>2251</v>
      </c>
      <c r="D1500" s="221">
        <v>15700</v>
      </c>
      <c r="E1500" s="224">
        <f t="shared" si="26"/>
        <v>1570</v>
      </c>
    </row>
    <row r="1501" spans="1:5">
      <c r="A1501" s="223">
        <v>41192</v>
      </c>
      <c r="B1501" s="217">
        <v>265675</v>
      </c>
      <c r="C1501" s="218">
        <v>2215</v>
      </c>
      <c r="D1501" s="221">
        <v>15650</v>
      </c>
      <c r="E1501" s="224">
        <f t="shared" si="26"/>
        <v>1565</v>
      </c>
    </row>
    <row r="1502" spans="1:5">
      <c r="A1502" s="223">
        <v>41193</v>
      </c>
      <c r="B1502" s="217">
        <v>281175</v>
      </c>
      <c r="C1502" s="218">
        <v>2208</v>
      </c>
      <c r="D1502" s="221">
        <v>15600</v>
      </c>
      <c r="E1502" s="224">
        <f t="shared" si="26"/>
        <v>1560</v>
      </c>
    </row>
    <row r="1503" spans="1:5">
      <c r="A1503" s="223">
        <v>41194</v>
      </c>
      <c r="B1503" s="217">
        <v>296725</v>
      </c>
      <c r="C1503" s="218">
        <v>2169</v>
      </c>
      <c r="D1503" s="221">
        <v>15600</v>
      </c>
      <c r="E1503" s="224">
        <f t="shared" si="26"/>
        <v>1560</v>
      </c>
    </row>
    <row r="1504" spans="1:5">
      <c r="A1504" s="223">
        <v>41197</v>
      </c>
      <c r="B1504" s="217">
        <v>301700</v>
      </c>
      <c r="C1504" s="218">
        <v>2139</v>
      </c>
      <c r="D1504" s="221">
        <v>15550</v>
      </c>
      <c r="E1504" s="224">
        <f t="shared" si="26"/>
        <v>1555</v>
      </c>
    </row>
    <row r="1505" spans="1:5">
      <c r="A1505" s="223">
        <v>41198</v>
      </c>
      <c r="B1505" s="217">
        <v>300425</v>
      </c>
      <c r="C1505" s="218">
        <v>2128</v>
      </c>
      <c r="D1505" s="221">
        <v>15550</v>
      </c>
      <c r="E1505" s="224">
        <f t="shared" si="26"/>
        <v>1555</v>
      </c>
    </row>
    <row r="1506" spans="1:5">
      <c r="A1506" s="223">
        <v>41199</v>
      </c>
      <c r="B1506" s="217">
        <v>297250</v>
      </c>
      <c r="C1506" s="218">
        <v>2112</v>
      </c>
      <c r="D1506" s="221">
        <v>15500</v>
      </c>
      <c r="E1506" s="224">
        <f t="shared" si="26"/>
        <v>1550</v>
      </c>
    </row>
    <row r="1507" spans="1:5">
      <c r="A1507" s="223">
        <v>41200</v>
      </c>
      <c r="B1507" s="217">
        <v>295275</v>
      </c>
      <c r="C1507" s="218">
        <v>2167</v>
      </c>
      <c r="D1507" s="221">
        <v>15550</v>
      </c>
      <c r="E1507" s="224">
        <f t="shared" si="26"/>
        <v>1555</v>
      </c>
    </row>
    <row r="1508" spans="1:5">
      <c r="A1508" s="223">
        <v>41201</v>
      </c>
      <c r="B1508" s="217">
        <v>293675</v>
      </c>
      <c r="C1508" s="218">
        <v>2134.5</v>
      </c>
      <c r="D1508" s="221">
        <v>15450</v>
      </c>
      <c r="E1508" s="224">
        <f t="shared" si="26"/>
        <v>1545</v>
      </c>
    </row>
    <row r="1509" spans="1:5">
      <c r="A1509" s="223">
        <v>41204</v>
      </c>
      <c r="B1509" s="217">
        <v>300175</v>
      </c>
      <c r="C1509" s="218">
        <v>2093.5</v>
      </c>
      <c r="D1509" s="221">
        <v>15400</v>
      </c>
      <c r="E1509" s="224">
        <f t="shared" si="26"/>
        <v>1540</v>
      </c>
    </row>
    <row r="1510" spans="1:5">
      <c r="A1510" s="223">
        <v>41205</v>
      </c>
      <c r="B1510" s="217">
        <v>312550</v>
      </c>
      <c r="C1510" s="218">
        <v>2024</v>
      </c>
      <c r="D1510" s="221">
        <v>15350</v>
      </c>
      <c r="E1510" s="224">
        <f t="shared" si="26"/>
        <v>1535</v>
      </c>
    </row>
    <row r="1511" spans="1:5">
      <c r="A1511" s="223">
        <v>41206</v>
      </c>
      <c r="B1511" s="217">
        <v>310975</v>
      </c>
      <c r="C1511" s="218">
        <v>2020</v>
      </c>
      <c r="D1511" s="221">
        <v>15150</v>
      </c>
      <c r="E1511" s="224">
        <f t="shared" si="26"/>
        <v>1515</v>
      </c>
    </row>
    <row r="1512" spans="1:5">
      <c r="A1512" s="223">
        <v>41207</v>
      </c>
      <c r="B1512" s="217">
        <v>309875</v>
      </c>
      <c r="C1512" s="218">
        <v>2029.5</v>
      </c>
      <c r="D1512" s="221">
        <v>15150</v>
      </c>
      <c r="E1512" s="224">
        <f t="shared" si="26"/>
        <v>1515</v>
      </c>
    </row>
    <row r="1513" spans="1:5">
      <c r="A1513" s="223">
        <v>41208</v>
      </c>
      <c r="B1513" s="217">
        <v>310325</v>
      </c>
      <c r="C1513" s="218">
        <v>2002</v>
      </c>
      <c r="D1513" s="221">
        <v>15100</v>
      </c>
      <c r="E1513" s="224">
        <f t="shared" si="26"/>
        <v>1510</v>
      </c>
    </row>
    <row r="1514" spans="1:5">
      <c r="A1514" s="223">
        <v>41211</v>
      </c>
      <c r="B1514" s="217">
        <v>326675</v>
      </c>
      <c r="C1514" s="218">
        <v>2010</v>
      </c>
      <c r="D1514" s="221">
        <v>15000</v>
      </c>
      <c r="E1514" s="224">
        <f t="shared" si="26"/>
        <v>1500</v>
      </c>
    </row>
    <row r="1515" spans="1:5">
      <c r="A1515" s="223">
        <v>41212</v>
      </c>
      <c r="B1515" s="217">
        <v>324775</v>
      </c>
      <c r="C1515" s="218">
        <v>2064.5</v>
      </c>
      <c r="D1515" s="221">
        <v>14950</v>
      </c>
      <c r="E1515" s="224">
        <f t="shared" si="26"/>
        <v>1495</v>
      </c>
    </row>
    <row r="1516" spans="1:5">
      <c r="A1516" s="223">
        <v>41213</v>
      </c>
      <c r="B1516" s="217">
        <v>324025</v>
      </c>
      <c r="C1516" s="218">
        <v>2095.5</v>
      </c>
      <c r="D1516" s="221">
        <v>15000</v>
      </c>
      <c r="E1516" s="224">
        <f t="shared" si="26"/>
        <v>1500</v>
      </c>
    </row>
    <row r="1517" spans="1:5">
      <c r="A1517" s="223">
        <v>41214</v>
      </c>
      <c r="B1517" s="217">
        <v>322525</v>
      </c>
      <c r="C1517" s="218">
        <v>2123</v>
      </c>
      <c r="D1517" s="221">
        <v>15000</v>
      </c>
      <c r="E1517" s="224">
        <f t="shared" si="26"/>
        <v>1500</v>
      </c>
    </row>
    <row r="1518" spans="1:5">
      <c r="A1518" s="223">
        <v>41215</v>
      </c>
      <c r="B1518" s="217">
        <v>320700</v>
      </c>
      <c r="C1518" s="218">
        <v>2148</v>
      </c>
      <c r="D1518" s="221">
        <v>15050</v>
      </c>
      <c r="E1518" s="224">
        <f t="shared" si="26"/>
        <v>1505</v>
      </c>
    </row>
    <row r="1519" spans="1:5">
      <c r="A1519" s="223">
        <v>41218</v>
      </c>
      <c r="B1519" s="217">
        <v>319050</v>
      </c>
      <c r="C1519" s="218">
        <v>2096.5</v>
      </c>
      <c r="D1519" s="221">
        <v>14950</v>
      </c>
      <c r="E1519" s="224">
        <f t="shared" si="26"/>
        <v>1495</v>
      </c>
    </row>
    <row r="1520" spans="1:5">
      <c r="A1520" s="223">
        <v>41219</v>
      </c>
      <c r="B1520" s="217">
        <v>318525</v>
      </c>
      <c r="C1520" s="218">
        <v>2170</v>
      </c>
      <c r="D1520" s="221">
        <v>15000</v>
      </c>
      <c r="E1520" s="224">
        <f t="shared" si="26"/>
        <v>1500</v>
      </c>
    </row>
    <row r="1521" spans="1:5">
      <c r="A1521" s="223">
        <v>41220</v>
      </c>
      <c r="B1521" s="217">
        <v>317450</v>
      </c>
      <c r="C1521" s="218">
        <v>2203</v>
      </c>
      <c r="D1521" s="221">
        <v>15000</v>
      </c>
      <c r="E1521" s="224">
        <f t="shared" si="26"/>
        <v>1500</v>
      </c>
    </row>
    <row r="1522" spans="1:5">
      <c r="A1522" s="223">
        <v>41221</v>
      </c>
      <c r="B1522" s="217">
        <v>314775</v>
      </c>
      <c r="C1522" s="218">
        <v>2203</v>
      </c>
      <c r="D1522" s="221">
        <v>15000</v>
      </c>
      <c r="E1522" s="224">
        <f t="shared" si="26"/>
        <v>1500</v>
      </c>
    </row>
    <row r="1523" spans="1:5">
      <c r="A1523" s="223">
        <v>41222</v>
      </c>
      <c r="B1523" s="217">
        <v>334000</v>
      </c>
      <c r="C1523" s="218">
        <v>2180</v>
      </c>
      <c r="D1523" s="221">
        <v>15050</v>
      </c>
      <c r="E1523" s="224">
        <f t="shared" si="26"/>
        <v>1505</v>
      </c>
    </row>
    <row r="1524" spans="1:5">
      <c r="A1524" s="223">
        <v>41225</v>
      </c>
      <c r="B1524" s="217">
        <v>331025</v>
      </c>
      <c r="C1524" s="218">
        <v>2180</v>
      </c>
      <c r="D1524" s="221">
        <v>14850</v>
      </c>
      <c r="E1524" s="224">
        <f t="shared" si="26"/>
        <v>1485</v>
      </c>
    </row>
    <row r="1525" spans="1:5">
      <c r="A1525" s="223">
        <v>41226</v>
      </c>
      <c r="B1525" s="217">
        <v>327950</v>
      </c>
      <c r="C1525" s="218">
        <v>2163.5</v>
      </c>
      <c r="D1525" s="221">
        <v>14900</v>
      </c>
      <c r="E1525" s="224">
        <f t="shared" si="26"/>
        <v>1490</v>
      </c>
    </row>
    <row r="1526" spans="1:5">
      <c r="A1526" s="223">
        <v>41227</v>
      </c>
      <c r="B1526" s="217">
        <v>326875</v>
      </c>
      <c r="C1526" s="218">
        <v>2188</v>
      </c>
      <c r="D1526" s="221">
        <v>14900</v>
      </c>
      <c r="E1526" s="224">
        <f t="shared" si="26"/>
        <v>1490</v>
      </c>
    </row>
    <row r="1527" spans="1:5">
      <c r="A1527" s="223">
        <v>41228</v>
      </c>
      <c r="B1527" s="217">
        <v>323800</v>
      </c>
      <c r="C1527" s="218">
        <v>2188</v>
      </c>
      <c r="D1527" s="221">
        <v>14850</v>
      </c>
      <c r="E1527" s="224">
        <f t="shared" si="26"/>
        <v>1485</v>
      </c>
    </row>
    <row r="1528" spans="1:5">
      <c r="A1528" s="223">
        <v>41229</v>
      </c>
      <c r="B1528" s="217">
        <v>332250</v>
      </c>
      <c r="C1528" s="218">
        <v>2180</v>
      </c>
      <c r="D1528" s="221">
        <v>14900</v>
      </c>
      <c r="E1528" s="224">
        <f t="shared" si="26"/>
        <v>1490</v>
      </c>
    </row>
    <row r="1529" spans="1:5">
      <c r="A1529" s="223">
        <v>41232</v>
      </c>
      <c r="B1529" s="217">
        <v>339000</v>
      </c>
      <c r="C1529" s="218">
        <v>2174.5</v>
      </c>
      <c r="D1529" s="221">
        <v>14900</v>
      </c>
      <c r="E1529" s="224">
        <f t="shared" ref="E1529:E1586" si="27">D1529/10</f>
        <v>1490</v>
      </c>
    </row>
    <row r="1530" spans="1:5">
      <c r="A1530" s="223">
        <v>41233</v>
      </c>
      <c r="B1530" s="217">
        <v>336425</v>
      </c>
      <c r="C1530" s="218">
        <v>2187</v>
      </c>
      <c r="D1530" s="221">
        <v>14850</v>
      </c>
      <c r="E1530" s="224">
        <f t="shared" si="27"/>
        <v>1485</v>
      </c>
    </row>
    <row r="1531" spans="1:5">
      <c r="A1531" s="223">
        <v>41234</v>
      </c>
      <c r="B1531" s="217">
        <v>361625</v>
      </c>
      <c r="C1531" s="218">
        <v>2147</v>
      </c>
      <c r="D1531" s="221">
        <v>14800</v>
      </c>
      <c r="E1531" s="224">
        <f t="shared" si="27"/>
        <v>1480</v>
      </c>
    </row>
    <row r="1532" spans="1:5">
      <c r="A1532" s="223">
        <v>41235</v>
      </c>
      <c r="B1532" s="217">
        <v>361625</v>
      </c>
      <c r="C1532" s="218">
        <v>2166</v>
      </c>
      <c r="D1532" s="221">
        <v>14800</v>
      </c>
      <c r="E1532" s="224">
        <f t="shared" si="27"/>
        <v>1480</v>
      </c>
    </row>
    <row r="1533" spans="1:5">
      <c r="A1533" s="223">
        <v>41236</v>
      </c>
      <c r="B1533" s="217">
        <v>361525</v>
      </c>
      <c r="C1533" s="218">
        <v>2170</v>
      </c>
      <c r="D1533" s="221">
        <v>14750</v>
      </c>
      <c r="E1533" s="224">
        <f t="shared" si="27"/>
        <v>1475</v>
      </c>
    </row>
    <row r="1534" spans="1:5">
      <c r="A1534" s="223">
        <v>41239</v>
      </c>
      <c r="B1534" s="217">
        <v>361475</v>
      </c>
      <c r="C1534" s="218">
        <v>2201</v>
      </c>
      <c r="D1534" s="221">
        <v>14850</v>
      </c>
      <c r="E1534" s="224">
        <f t="shared" si="27"/>
        <v>1485</v>
      </c>
    </row>
    <row r="1535" spans="1:5">
      <c r="A1535" s="223">
        <v>41240</v>
      </c>
      <c r="B1535" s="217">
        <v>361475</v>
      </c>
      <c r="C1535" s="218">
        <v>2198.5</v>
      </c>
      <c r="D1535" s="221">
        <v>14800</v>
      </c>
      <c r="E1535" s="224">
        <f t="shared" si="27"/>
        <v>1480</v>
      </c>
    </row>
    <row r="1536" spans="1:5">
      <c r="A1536" s="223">
        <v>41241</v>
      </c>
      <c r="B1536" s="217">
        <v>361475</v>
      </c>
      <c r="C1536" s="218">
        <v>2188</v>
      </c>
      <c r="D1536" s="221">
        <v>14800</v>
      </c>
      <c r="E1536" s="224">
        <f t="shared" si="27"/>
        <v>1480</v>
      </c>
    </row>
    <row r="1537" spans="1:5">
      <c r="A1537" s="223">
        <v>41242</v>
      </c>
      <c r="B1537" s="217">
        <v>362350</v>
      </c>
      <c r="C1537" s="218">
        <v>2239</v>
      </c>
      <c r="D1537" s="221">
        <v>14800</v>
      </c>
      <c r="E1537" s="224">
        <f t="shared" si="27"/>
        <v>1480</v>
      </c>
    </row>
    <row r="1538" spans="1:5">
      <c r="A1538" s="223">
        <v>41243</v>
      </c>
      <c r="B1538" s="217">
        <v>362275</v>
      </c>
      <c r="C1538" s="218">
        <v>2254.5</v>
      </c>
      <c r="D1538" s="221">
        <v>14800</v>
      </c>
      <c r="E1538" s="224">
        <f t="shared" si="27"/>
        <v>1480</v>
      </c>
    </row>
    <row r="1539" spans="1:5">
      <c r="A1539" s="223">
        <v>41246</v>
      </c>
      <c r="B1539" s="217">
        <v>362275</v>
      </c>
      <c r="C1539" s="218">
        <v>2244</v>
      </c>
      <c r="D1539" s="221">
        <v>14800</v>
      </c>
      <c r="E1539" s="224">
        <f t="shared" si="27"/>
        <v>1480</v>
      </c>
    </row>
    <row r="1540" spans="1:5">
      <c r="A1540" s="223">
        <v>41247</v>
      </c>
      <c r="B1540" s="217">
        <v>362275</v>
      </c>
      <c r="C1540" s="218">
        <v>2230</v>
      </c>
      <c r="D1540" s="221">
        <v>14750</v>
      </c>
      <c r="E1540" s="224">
        <f t="shared" si="27"/>
        <v>1475</v>
      </c>
    </row>
    <row r="1541" spans="1:5">
      <c r="A1541" s="223">
        <v>41248</v>
      </c>
      <c r="B1541" s="217">
        <v>361525</v>
      </c>
      <c r="C1541" s="218">
        <v>2232</v>
      </c>
      <c r="D1541" s="221">
        <v>14750</v>
      </c>
      <c r="E1541" s="224">
        <f t="shared" si="27"/>
        <v>1475</v>
      </c>
    </row>
    <row r="1542" spans="1:5">
      <c r="A1542" s="223">
        <v>41249</v>
      </c>
      <c r="B1542" s="217">
        <v>359525</v>
      </c>
      <c r="C1542" s="218">
        <v>2224</v>
      </c>
      <c r="D1542" s="221">
        <v>14700</v>
      </c>
      <c r="E1542" s="224">
        <f t="shared" si="27"/>
        <v>1470</v>
      </c>
    </row>
    <row r="1543" spans="1:5">
      <c r="A1543" s="223">
        <v>41250</v>
      </c>
      <c r="B1543" s="217">
        <v>356925</v>
      </c>
      <c r="C1543" s="218">
        <v>2179</v>
      </c>
      <c r="D1543" s="221">
        <v>14700</v>
      </c>
      <c r="E1543" s="224">
        <f t="shared" si="27"/>
        <v>1470</v>
      </c>
    </row>
    <row r="1544" spans="1:5">
      <c r="A1544" s="223">
        <v>41253</v>
      </c>
      <c r="B1544" s="217">
        <v>354925</v>
      </c>
      <c r="C1544" s="218">
        <v>2258</v>
      </c>
      <c r="D1544" s="221">
        <v>14700</v>
      </c>
      <c r="E1544" s="224">
        <f t="shared" si="27"/>
        <v>1470</v>
      </c>
    </row>
    <row r="1545" spans="1:5">
      <c r="A1545" s="223">
        <v>41254</v>
      </c>
      <c r="B1545" s="217">
        <v>352900</v>
      </c>
      <c r="C1545" s="218">
        <v>2279</v>
      </c>
      <c r="D1545" s="221">
        <v>14700</v>
      </c>
      <c r="E1545" s="224">
        <f t="shared" si="27"/>
        <v>1470</v>
      </c>
    </row>
    <row r="1546" spans="1:5">
      <c r="A1546" s="223">
        <v>41255</v>
      </c>
      <c r="B1546" s="217">
        <v>350925</v>
      </c>
      <c r="C1546" s="218">
        <v>2287</v>
      </c>
      <c r="D1546" s="221">
        <v>14700</v>
      </c>
      <c r="E1546" s="224">
        <f t="shared" si="27"/>
        <v>1470</v>
      </c>
    </row>
    <row r="1547" spans="1:5">
      <c r="A1547" s="223">
        <v>41256</v>
      </c>
      <c r="B1547" s="217">
        <v>348925</v>
      </c>
      <c r="C1547" s="218">
        <v>2279</v>
      </c>
      <c r="D1547" s="221">
        <v>14700</v>
      </c>
      <c r="E1547" s="224">
        <f t="shared" si="27"/>
        <v>1470</v>
      </c>
    </row>
    <row r="1548" spans="1:5">
      <c r="A1548" s="223">
        <v>41257</v>
      </c>
      <c r="B1548" s="217">
        <v>346925</v>
      </c>
      <c r="C1548" s="218">
        <v>2293</v>
      </c>
      <c r="D1548" s="221">
        <v>14700</v>
      </c>
      <c r="E1548" s="224">
        <f t="shared" si="27"/>
        <v>1470</v>
      </c>
    </row>
    <row r="1549" spans="1:5">
      <c r="A1549" s="223">
        <v>41260</v>
      </c>
      <c r="B1549" s="217">
        <v>342650</v>
      </c>
      <c r="C1549" s="218">
        <v>2270</v>
      </c>
      <c r="D1549" s="221">
        <v>14700</v>
      </c>
      <c r="E1549" s="224">
        <f t="shared" si="27"/>
        <v>1470</v>
      </c>
    </row>
    <row r="1550" spans="1:5">
      <c r="A1550" s="223">
        <v>41261</v>
      </c>
      <c r="B1550" s="217">
        <v>338150</v>
      </c>
      <c r="C1550" s="218">
        <v>2292.5</v>
      </c>
      <c r="D1550" s="221">
        <v>14750</v>
      </c>
      <c r="E1550" s="224">
        <f t="shared" si="27"/>
        <v>1475</v>
      </c>
    </row>
    <row r="1551" spans="1:5">
      <c r="A1551" s="223">
        <v>41262</v>
      </c>
      <c r="B1551" s="217">
        <v>335750</v>
      </c>
      <c r="C1551" s="218">
        <v>2311</v>
      </c>
      <c r="D1551" s="221">
        <v>14750</v>
      </c>
      <c r="E1551" s="224">
        <f t="shared" si="27"/>
        <v>1475</v>
      </c>
    </row>
    <row r="1552" spans="1:5">
      <c r="A1552" s="223">
        <v>41263</v>
      </c>
      <c r="B1552" s="217">
        <v>333500</v>
      </c>
      <c r="C1552" s="218">
        <v>2312</v>
      </c>
      <c r="D1552" s="221">
        <v>14750</v>
      </c>
      <c r="E1552" s="224">
        <f t="shared" si="27"/>
        <v>1475</v>
      </c>
    </row>
    <row r="1553" spans="1:5">
      <c r="A1553" s="223">
        <v>41264</v>
      </c>
      <c r="B1553" s="217">
        <v>330550</v>
      </c>
      <c r="C1553" s="218">
        <v>2276</v>
      </c>
      <c r="D1553" s="221">
        <v>14750</v>
      </c>
      <c r="E1553" s="224">
        <f t="shared" si="27"/>
        <v>1475</v>
      </c>
    </row>
    <row r="1554" spans="1:5">
      <c r="A1554" s="223">
        <v>41267</v>
      </c>
      <c r="B1554" s="217">
        <v>329150</v>
      </c>
      <c r="C1554" s="218">
        <v>2299</v>
      </c>
      <c r="D1554" s="221">
        <v>14700</v>
      </c>
      <c r="E1554" s="224">
        <f t="shared" si="27"/>
        <v>1470</v>
      </c>
    </row>
    <row r="1555" spans="1:5">
      <c r="A1555" s="223">
        <v>41268</v>
      </c>
      <c r="B1555" s="217">
        <v>329150</v>
      </c>
      <c r="C1555" s="218">
        <v>2299</v>
      </c>
      <c r="D1555" s="221">
        <v>14700</v>
      </c>
      <c r="E1555" s="224">
        <f t="shared" si="27"/>
        <v>1470</v>
      </c>
    </row>
    <row r="1556" spans="1:5">
      <c r="A1556" s="223">
        <v>41269</v>
      </c>
      <c r="B1556" s="217">
        <v>329150</v>
      </c>
      <c r="C1556" s="218">
        <v>2299</v>
      </c>
      <c r="D1556" s="221">
        <v>14700</v>
      </c>
      <c r="E1556" s="224">
        <f t="shared" si="27"/>
        <v>1470</v>
      </c>
    </row>
    <row r="1557" spans="1:5">
      <c r="A1557" s="223">
        <v>41270</v>
      </c>
      <c r="B1557" s="217">
        <v>327650</v>
      </c>
      <c r="C1557" s="218">
        <v>2311</v>
      </c>
      <c r="D1557" s="221">
        <v>14700</v>
      </c>
      <c r="E1557" s="224">
        <f t="shared" si="27"/>
        <v>1470</v>
      </c>
    </row>
    <row r="1558" spans="1:5">
      <c r="A1558" s="223">
        <v>41271</v>
      </c>
      <c r="B1558" s="217">
        <v>323400</v>
      </c>
      <c r="C1558" s="218">
        <v>2318</v>
      </c>
      <c r="D1558" s="221">
        <v>14750</v>
      </c>
      <c r="E1558" s="224">
        <f t="shared" si="27"/>
        <v>1475</v>
      </c>
    </row>
    <row r="1559" spans="1:5">
      <c r="A1559" s="223">
        <v>41274</v>
      </c>
      <c r="B1559" s="217">
        <v>320325</v>
      </c>
      <c r="C1559" s="218">
        <v>2340</v>
      </c>
      <c r="D1559" s="221">
        <v>14750</v>
      </c>
      <c r="E1559" s="224">
        <f t="shared" si="27"/>
        <v>1475</v>
      </c>
    </row>
    <row r="1560" spans="1:5">
      <c r="A1560" s="223">
        <v>41275</v>
      </c>
      <c r="B1560" s="217">
        <v>320325</v>
      </c>
      <c r="C1560" s="218">
        <v>2340</v>
      </c>
      <c r="D1560" s="221">
        <v>14750</v>
      </c>
      <c r="E1560" s="224">
        <f>D1560/10</f>
        <v>1475</v>
      </c>
    </row>
    <row r="1561" spans="1:5">
      <c r="A1561" s="223">
        <v>41276</v>
      </c>
      <c r="B1561" s="217">
        <v>317700</v>
      </c>
      <c r="C1561" s="218">
        <v>2385</v>
      </c>
      <c r="D1561" s="221">
        <v>14750</v>
      </c>
      <c r="E1561" s="224">
        <f>D1561/10</f>
        <v>1475</v>
      </c>
    </row>
    <row r="1562" spans="1:5">
      <c r="A1562" s="223">
        <v>41277</v>
      </c>
      <c r="B1562" s="217">
        <v>314550</v>
      </c>
      <c r="C1562" s="218">
        <v>2412.5</v>
      </c>
      <c r="D1562" s="221">
        <v>14750</v>
      </c>
      <c r="E1562" s="224">
        <f>D1562/10</f>
        <v>1475</v>
      </c>
    </row>
    <row r="1563" spans="1:5">
      <c r="A1563" s="223">
        <v>41278</v>
      </c>
      <c r="B1563" s="217">
        <v>312625</v>
      </c>
      <c r="C1563" s="218">
        <v>2343</v>
      </c>
      <c r="D1563" s="221">
        <v>14750</v>
      </c>
      <c r="E1563" s="224">
        <f t="shared" si="27"/>
        <v>1475</v>
      </c>
    </row>
    <row r="1564" spans="1:5">
      <c r="A1564" s="223">
        <v>41283</v>
      </c>
      <c r="B1564" s="217">
        <v>329050</v>
      </c>
      <c r="C1564" s="218">
        <v>2323.5</v>
      </c>
      <c r="D1564" s="221">
        <v>14750</v>
      </c>
      <c r="E1564" s="224">
        <f t="shared" si="27"/>
        <v>1475</v>
      </c>
    </row>
    <row r="1565" spans="1:5">
      <c r="A1565" s="223">
        <v>41284</v>
      </c>
      <c r="B1565" s="217">
        <v>304650</v>
      </c>
      <c r="C1565" s="218">
        <v>2332</v>
      </c>
      <c r="D1565" s="221">
        <v>14750</v>
      </c>
      <c r="E1565" s="224">
        <f t="shared" si="27"/>
        <v>1475</v>
      </c>
    </row>
    <row r="1566" spans="1:5">
      <c r="A1566" s="223">
        <v>41285</v>
      </c>
      <c r="B1566" s="217">
        <v>303075</v>
      </c>
      <c r="C1566" s="218">
        <v>2323</v>
      </c>
      <c r="D1566" s="221">
        <v>14750</v>
      </c>
      <c r="E1566" s="224">
        <f t="shared" si="27"/>
        <v>1475</v>
      </c>
    </row>
    <row r="1567" spans="1:5">
      <c r="A1567" s="223">
        <v>41288</v>
      </c>
      <c r="B1567" s="217">
        <v>301525</v>
      </c>
      <c r="C1567" s="218">
        <v>2305</v>
      </c>
      <c r="D1567" s="221">
        <v>14700</v>
      </c>
      <c r="E1567" s="224">
        <f t="shared" si="27"/>
        <v>1470</v>
      </c>
    </row>
    <row r="1568" spans="1:5">
      <c r="A1568" s="223">
        <v>41289</v>
      </c>
      <c r="B1568" s="217">
        <v>301525</v>
      </c>
      <c r="C1568" s="218">
        <v>2257.5</v>
      </c>
      <c r="D1568" s="221">
        <v>14700</v>
      </c>
      <c r="E1568" s="224">
        <f t="shared" si="27"/>
        <v>1470</v>
      </c>
    </row>
    <row r="1569" spans="1:5">
      <c r="A1569" s="223">
        <v>41290</v>
      </c>
      <c r="B1569" s="217">
        <v>298425</v>
      </c>
      <c r="C1569" s="218">
        <v>2254.5</v>
      </c>
      <c r="D1569" s="221">
        <v>14700</v>
      </c>
      <c r="E1569" s="224">
        <f t="shared" si="27"/>
        <v>1470</v>
      </c>
    </row>
    <row r="1570" spans="1:5">
      <c r="A1570" s="223">
        <v>41291</v>
      </c>
      <c r="B1570" s="217">
        <v>295450</v>
      </c>
      <c r="C1570" s="218">
        <v>2270</v>
      </c>
      <c r="D1570" s="221">
        <v>14700</v>
      </c>
      <c r="E1570" s="224">
        <f t="shared" si="27"/>
        <v>1470</v>
      </c>
    </row>
    <row r="1571" spans="1:5">
      <c r="A1571" s="223">
        <v>41292</v>
      </c>
      <c r="B1571" s="217">
        <v>296050</v>
      </c>
      <c r="C1571" s="218">
        <v>2320</v>
      </c>
      <c r="D1571" s="221">
        <v>14750</v>
      </c>
      <c r="E1571" s="224">
        <f t="shared" si="27"/>
        <v>1475</v>
      </c>
    </row>
    <row r="1572" spans="1:5">
      <c r="A1572" s="223">
        <v>41295</v>
      </c>
      <c r="B1572" s="217">
        <v>294500</v>
      </c>
      <c r="C1572" s="218">
        <v>2296</v>
      </c>
      <c r="D1572" s="221">
        <v>14750</v>
      </c>
      <c r="E1572" s="224">
        <f t="shared" si="27"/>
        <v>1475</v>
      </c>
    </row>
    <row r="1573" spans="1:5">
      <c r="A1573" s="223">
        <v>41296</v>
      </c>
      <c r="B1573" s="217">
        <v>294000</v>
      </c>
      <c r="C1573" s="218">
        <v>2315.5</v>
      </c>
      <c r="D1573" s="221">
        <v>14750</v>
      </c>
      <c r="E1573" s="224">
        <f t="shared" si="27"/>
        <v>1475</v>
      </c>
    </row>
    <row r="1574" spans="1:5">
      <c r="A1574" s="223">
        <v>41297</v>
      </c>
      <c r="B1574" s="217">
        <v>293950</v>
      </c>
      <c r="C1574" s="218">
        <v>2372.5</v>
      </c>
      <c r="D1574" s="221">
        <v>14750</v>
      </c>
      <c r="E1574" s="224">
        <f t="shared" si="27"/>
        <v>1475</v>
      </c>
    </row>
    <row r="1575" spans="1:5">
      <c r="A1575" s="223">
        <v>41298</v>
      </c>
      <c r="B1575" s="217">
        <v>293875</v>
      </c>
      <c r="C1575" s="218">
        <v>2369</v>
      </c>
      <c r="D1575" s="221">
        <v>14750</v>
      </c>
      <c r="E1575" s="224">
        <f t="shared" si="27"/>
        <v>1475</v>
      </c>
    </row>
    <row r="1576" spans="1:5">
      <c r="A1576" s="223">
        <v>41299</v>
      </c>
      <c r="B1576" s="217">
        <v>293800</v>
      </c>
      <c r="C1576" s="218">
        <v>2399.5</v>
      </c>
      <c r="D1576" s="221">
        <v>14800</v>
      </c>
      <c r="E1576" s="224">
        <f t="shared" si="27"/>
        <v>1480</v>
      </c>
    </row>
    <row r="1577" spans="1:5">
      <c r="A1577" s="223">
        <v>41302</v>
      </c>
      <c r="B1577" s="217">
        <v>293725</v>
      </c>
      <c r="C1577" s="218">
        <v>2367</v>
      </c>
      <c r="D1577" s="221">
        <v>14800</v>
      </c>
      <c r="E1577" s="224">
        <f t="shared" si="27"/>
        <v>1480</v>
      </c>
    </row>
    <row r="1578" spans="1:5">
      <c r="A1578" s="223">
        <v>41303</v>
      </c>
      <c r="B1578" s="217">
        <v>292650</v>
      </c>
      <c r="C1578" s="218">
        <v>2378</v>
      </c>
      <c r="D1578" s="221">
        <v>14800</v>
      </c>
      <c r="E1578" s="224">
        <f t="shared" si="27"/>
        <v>1480</v>
      </c>
    </row>
    <row r="1579" spans="1:5">
      <c r="A1579" s="223">
        <v>41304</v>
      </c>
      <c r="B1579" s="217">
        <v>292600</v>
      </c>
      <c r="C1579" s="218">
        <v>2438.5</v>
      </c>
      <c r="D1579" s="221">
        <v>14800</v>
      </c>
      <c r="E1579" s="224">
        <f t="shared" si="27"/>
        <v>1480</v>
      </c>
    </row>
    <row r="1580" spans="1:5">
      <c r="A1580" s="223">
        <v>41305</v>
      </c>
      <c r="B1580" s="217">
        <v>290850</v>
      </c>
      <c r="C1580" s="218">
        <v>2438</v>
      </c>
      <c r="D1580" s="221">
        <v>14800</v>
      </c>
      <c r="E1580" s="224">
        <f t="shared" si="27"/>
        <v>1480</v>
      </c>
    </row>
    <row r="1581" spans="1:5">
      <c r="A1581" s="223">
        <v>41306</v>
      </c>
      <c r="B1581" s="217">
        <v>290125</v>
      </c>
      <c r="C1581" s="218">
        <v>2426</v>
      </c>
      <c r="D1581" s="221">
        <v>14850</v>
      </c>
      <c r="E1581" s="224">
        <f t="shared" si="27"/>
        <v>1485</v>
      </c>
    </row>
    <row r="1582" spans="1:5">
      <c r="A1582" s="223">
        <v>41309</v>
      </c>
      <c r="B1582" s="217">
        <v>290075</v>
      </c>
      <c r="C1582" s="218">
        <v>2443</v>
      </c>
      <c r="D1582" s="221">
        <v>14950</v>
      </c>
      <c r="E1582" s="224">
        <f t="shared" si="27"/>
        <v>1495</v>
      </c>
    </row>
    <row r="1583" spans="1:5">
      <c r="A1583" s="223">
        <v>41310</v>
      </c>
      <c r="B1583" s="217">
        <v>290000</v>
      </c>
      <c r="C1583" s="218">
        <v>2448</v>
      </c>
      <c r="D1583" s="221">
        <v>14900</v>
      </c>
      <c r="E1583" s="224">
        <f t="shared" si="27"/>
        <v>1490</v>
      </c>
    </row>
    <row r="1584" spans="1:5">
      <c r="A1584" s="223">
        <v>41311</v>
      </c>
      <c r="B1584" s="217">
        <v>289900</v>
      </c>
      <c r="C1584" s="218">
        <v>2424.5</v>
      </c>
      <c r="D1584" s="221">
        <v>14900</v>
      </c>
      <c r="E1584" s="224">
        <f t="shared" si="27"/>
        <v>1490</v>
      </c>
    </row>
    <row r="1585" spans="1:5">
      <c r="A1585" s="223">
        <v>41312</v>
      </c>
      <c r="B1585" s="217">
        <v>287500</v>
      </c>
      <c r="C1585" s="218">
        <v>2406.5</v>
      </c>
      <c r="D1585" s="221">
        <v>14800</v>
      </c>
      <c r="E1585" s="224">
        <f t="shared" si="27"/>
        <v>1480</v>
      </c>
    </row>
    <row r="1586" spans="1:5">
      <c r="A1586" s="223">
        <v>41313</v>
      </c>
      <c r="B1586" s="217">
        <v>288100</v>
      </c>
      <c r="C1586" s="218">
        <v>2409</v>
      </c>
      <c r="D1586" s="221">
        <v>14850</v>
      </c>
      <c r="E1586" s="224">
        <f t="shared" si="27"/>
        <v>1485</v>
      </c>
    </row>
    <row r="1587" spans="1:5">
      <c r="A1587" s="223">
        <v>41316</v>
      </c>
      <c r="B1587" s="217">
        <v>288000</v>
      </c>
      <c r="C1587" s="218">
        <v>2409</v>
      </c>
      <c r="D1587" s="221">
        <v>14850</v>
      </c>
      <c r="E1587" s="224">
        <f>D1587/10</f>
        <v>1485</v>
      </c>
    </row>
    <row r="1588" spans="1:5">
      <c r="A1588" s="223">
        <v>41317</v>
      </c>
      <c r="B1588" s="217">
        <v>287625</v>
      </c>
      <c r="C1588" s="218">
        <v>2375.5</v>
      </c>
      <c r="D1588" s="221">
        <v>14850</v>
      </c>
      <c r="E1588" s="224">
        <f>D1588/10</f>
        <v>1485</v>
      </c>
    </row>
    <row r="1589" spans="1:5">
      <c r="A1589" s="223">
        <v>41318</v>
      </c>
      <c r="B1589" s="217">
        <v>287350</v>
      </c>
      <c r="C1589" s="218">
        <v>2423</v>
      </c>
      <c r="D1589" s="221">
        <v>14850</v>
      </c>
      <c r="E1589" s="224">
        <f>D1589/10</f>
        <v>1485</v>
      </c>
    </row>
    <row r="1590" spans="1:5">
      <c r="A1590" s="223">
        <v>41319</v>
      </c>
      <c r="B1590" s="217">
        <v>287075</v>
      </c>
      <c r="C1590" s="218">
        <v>2401</v>
      </c>
      <c r="D1590" s="221">
        <v>14850</v>
      </c>
      <c r="E1590" s="224">
        <f>D1590/10</f>
        <v>1485</v>
      </c>
    </row>
    <row r="1591" spans="1:5">
      <c r="A1591" s="223">
        <v>41320</v>
      </c>
      <c r="B1591" s="217">
        <v>287150</v>
      </c>
      <c r="C1591" s="218">
        <v>2404</v>
      </c>
      <c r="D1591" s="221">
        <v>14850</v>
      </c>
      <c r="E1591" s="224">
        <f>D1591/10</f>
        <v>1485</v>
      </c>
    </row>
    <row r="1592" spans="1:5">
      <c r="A1592" s="223">
        <v>41323</v>
      </c>
      <c r="B1592" s="217">
        <v>288425</v>
      </c>
      <c r="C1592" s="218">
        <v>2395.5</v>
      </c>
      <c r="D1592" s="221">
        <v>14900</v>
      </c>
      <c r="E1592" s="224">
        <f t="shared" ref="E1592:E1653" si="28">D1592/10</f>
        <v>1490</v>
      </c>
    </row>
    <row r="1593" spans="1:5">
      <c r="A1593" s="223">
        <v>41324</v>
      </c>
      <c r="B1593" s="217">
        <v>288325</v>
      </c>
      <c r="C1593" s="218">
        <v>2374</v>
      </c>
      <c r="D1593" s="221">
        <v>14900</v>
      </c>
      <c r="E1593" s="224">
        <f t="shared" si="28"/>
        <v>1490</v>
      </c>
    </row>
    <row r="1594" spans="1:5">
      <c r="A1594" s="223">
        <v>41325</v>
      </c>
      <c r="B1594" s="217">
        <v>288575</v>
      </c>
      <c r="C1594" s="218">
        <v>2364</v>
      </c>
      <c r="D1594" s="221">
        <v>14850</v>
      </c>
      <c r="E1594" s="224">
        <f t="shared" si="28"/>
        <v>1485</v>
      </c>
    </row>
    <row r="1595" spans="1:5">
      <c r="A1595" s="223">
        <v>41326</v>
      </c>
      <c r="B1595" s="217">
        <v>288500</v>
      </c>
      <c r="C1595" s="218">
        <v>2315</v>
      </c>
      <c r="D1595" s="221">
        <v>14850</v>
      </c>
      <c r="E1595" s="224">
        <f t="shared" si="28"/>
        <v>1485</v>
      </c>
    </row>
    <row r="1596" spans="1:5">
      <c r="A1596" s="223">
        <v>41327</v>
      </c>
      <c r="B1596" s="217">
        <v>288025</v>
      </c>
      <c r="C1596" s="218">
        <v>2321</v>
      </c>
      <c r="D1596" s="221">
        <v>14850</v>
      </c>
      <c r="E1596" s="224">
        <f t="shared" si="28"/>
        <v>1485</v>
      </c>
    </row>
    <row r="1597" spans="1:5">
      <c r="A1597" s="223">
        <v>41330</v>
      </c>
      <c r="B1597" s="217">
        <v>287925</v>
      </c>
      <c r="C1597" s="218">
        <v>2306.5</v>
      </c>
      <c r="D1597" s="221">
        <v>14750</v>
      </c>
      <c r="E1597" s="224">
        <f t="shared" si="28"/>
        <v>1475</v>
      </c>
    </row>
    <row r="1598" spans="1:5">
      <c r="A1598" s="223">
        <v>41331</v>
      </c>
      <c r="B1598" s="217">
        <v>288100</v>
      </c>
      <c r="C1598" s="218">
        <v>2280</v>
      </c>
      <c r="D1598" s="221">
        <v>14800</v>
      </c>
      <c r="E1598" s="224">
        <f t="shared" si="28"/>
        <v>1480</v>
      </c>
    </row>
    <row r="1599" spans="1:5">
      <c r="A1599" s="223">
        <v>41332</v>
      </c>
      <c r="B1599" s="217">
        <v>287950</v>
      </c>
      <c r="C1599" s="218">
        <v>2311</v>
      </c>
      <c r="D1599" s="221">
        <v>14800</v>
      </c>
      <c r="E1599" s="224">
        <f t="shared" si="28"/>
        <v>1480</v>
      </c>
    </row>
    <row r="1600" spans="1:5">
      <c r="A1600" s="223">
        <v>41333</v>
      </c>
      <c r="B1600" s="217">
        <v>287275</v>
      </c>
      <c r="C1600" s="218">
        <v>2287.5</v>
      </c>
      <c r="D1600" s="221">
        <v>14800</v>
      </c>
      <c r="E1600" s="224">
        <f t="shared" si="28"/>
        <v>1480</v>
      </c>
    </row>
    <row r="1601" spans="1:5">
      <c r="A1601" s="236">
        <v>41334</v>
      </c>
      <c r="B1601" s="237">
        <v>287225</v>
      </c>
      <c r="C1601" s="239">
        <v>2220</v>
      </c>
      <c r="D1601" s="238">
        <v>14700</v>
      </c>
      <c r="E1601" s="240">
        <f t="shared" si="28"/>
        <v>1470</v>
      </c>
    </row>
    <row r="1602" spans="1:5">
      <c r="A1602" s="236">
        <v>41337</v>
      </c>
      <c r="B1602" s="237">
        <v>287175</v>
      </c>
      <c r="C1602" s="239">
        <v>2235</v>
      </c>
      <c r="D1602" s="238">
        <v>14650</v>
      </c>
      <c r="E1602" s="240">
        <f t="shared" si="28"/>
        <v>1465</v>
      </c>
    </row>
    <row r="1603" spans="1:5">
      <c r="A1603" s="236">
        <v>41338</v>
      </c>
      <c r="B1603" s="237">
        <v>287100</v>
      </c>
      <c r="C1603" s="239">
        <v>2207</v>
      </c>
      <c r="D1603" s="238">
        <v>14650</v>
      </c>
      <c r="E1603" s="240">
        <f t="shared" si="28"/>
        <v>1465</v>
      </c>
    </row>
    <row r="1604" spans="1:5">
      <c r="A1604" s="236">
        <v>41339</v>
      </c>
      <c r="B1604" s="237">
        <v>287700</v>
      </c>
      <c r="C1604" s="239">
        <v>2202</v>
      </c>
      <c r="D1604" s="238">
        <v>14650</v>
      </c>
      <c r="E1604" s="240">
        <f t="shared" si="28"/>
        <v>1465</v>
      </c>
    </row>
    <row r="1605" spans="1:5">
      <c r="A1605" s="236">
        <v>41340</v>
      </c>
      <c r="B1605" s="237">
        <v>286150</v>
      </c>
      <c r="C1605" s="239">
        <v>2167</v>
      </c>
      <c r="D1605" s="238">
        <v>14600</v>
      </c>
      <c r="E1605" s="240">
        <f t="shared" si="28"/>
        <v>1460</v>
      </c>
    </row>
    <row r="1606" spans="1:5">
      <c r="A1606" s="236">
        <v>41341</v>
      </c>
      <c r="B1606" s="237">
        <v>285050</v>
      </c>
      <c r="C1606" s="239">
        <v>2195</v>
      </c>
      <c r="D1606" s="238">
        <v>14600</v>
      </c>
      <c r="E1606" s="240">
        <f t="shared" si="28"/>
        <v>1460</v>
      </c>
    </row>
    <row r="1607" spans="1:5">
      <c r="A1607" s="236">
        <v>41344</v>
      </c>
      <c r="B1607" s="237">
        <v>284900</v>
      </c>
      <c r="C1607" s="239">
        <v>2171</v>
      </c>
      <c r="D1607" s="238">
        <v>14600</v>
      </c>
      <c r="E1607" s="240">
        <f t="shared" si="28"/>
        <v>1460</v>
      </c>
    </row>
    <row r="1608" spans="1:5">
      <c r="A1608" s="236">
        <v>41345</v>
      </c>
      <c r="B1608" s="237">
        <v>283300</v>
      </c>
      <c r="C1608" s="239">
        <v>2219</v>
      </c>
      <c r="D1608" s="238">
        <v>14600</v>
      </c>
      <c r="E1608" s="240">
        <f t="shared" si="28"/>
        <v>1460</v>
      </c>
    </row>
    <row r="1609" spans="1:5">
      <c r="A1609" s="236">
        <v>41346</v>
      </c>
      <c r="B1609" s="237">
        <v>281400</v>
      </c>
      <c r="C1609" s="239">
        <v>2234</v>
      </c>
      <c r="D1609" s="238">
        <v>14600</v>
      </c>
      <c r="E1609" s="240">
        <f t="shared" si="28"/>
        <v>1460</v>
      </c>
    </row>
    <row r="1610" spans="1:5">
      <c r="A1610" s="236">
        <v>41347</v>
      </c>
      <c r="B1610" s="237">
        <v>279000</v>
      </c>
      <c r="C1610" s="239">
        <v>2235</v>
      </c>
      <c r="D1610" s="238">
        <v>14550</v>
      </c>
      <c r="E1610" s="240">
        <f t="shared" si="28"/>
        <v>1455</v>
      </c>
    </row>
    <row r="1611" spans="1:5">
      <c r="A1611" s="236">
        <v>41348</v>
      </c>
      <c r="B1611" s="237">
        <v>277500</v>
      </c>
      <c r="C1611" s="239">
        <v>2235</v>
      </c>
      <c r="D1611" s="238">
        <v>14550</v>
      </c>
      <c r="E1611" s="240">
        <f t="shared" si="28"/>
        <v>1455</v>
      </c>
    </row>
    <row r="1612" spans="1:5">
      <c r="A1612" s="236">
        <v>41351</v>
      </c>
      <c r="B1612" s="237">
        <v>275500</v>
      </c>
      <c r="C1612" s="239">
        <v>2164.5</v>
      </c>
      <c r="D1612" s="238">
        <v>14450</v>
      </c>
      <c r="E1612" s="240">
        <f t="shared" si="28"/>
        <v>1445</v>
      </c>
    </row>
    <row r="1613" spans="1:5">
      <c r="A1613" s="236">
        <v>41352</v>
      </c>
      <c r="B1613" s="237">
        <v>274400</v>
      </c>
      <c r="C1613" s="239">
        <v>2160</v>
      </c>
      <c r="D1613" s="238">
        <v>14450</v>
      </c>
      <c r="E1613" s="240">
        <f t="shared" si="28"/>
        <v>1445</v>
      </c>
    </row>
    <row r="1614" spans="1:5">
      <c r="A1614" s="236">
        <v>41353</v>
      </c>
      <c r="B1614" s="237">
        <v>271475</v>
      </c>
      <c r="C1614" s="239">
        <v>2163</v>
      </c>
      <c r="D1614" s="238">
        <v>14450</v>
      </c>
      <c r="E1614" s="240">
        <f t="shared" si="28"/>
        <v>1445</v>
      </c>
    </row>
    <row r="1615" spans="1:5">
      <c r="A1615" s="236">
        <v>41354</v>
      </c>
      <c r="B1615" s="237">
        <v>269975</v>
      </c>
      <c r="C1615" s="239">
        <v>2184</v>
      </c>
      <c r="D1615" s="238">
        <v>14500</v>
      </c>
      <c r="E1615" s="240">
        <f t="shared" si="28"/>
        <v>1450</v>
      </c>
    </row>
    <row r="1616" spans="1:5">
      <c r="A1616" s="236">
        <v>41355</v>
      </c>
      <c r="B1616" s="237">
        <v>268475</v>
      </c>
      <c r="C1616" s="239">
        <v>2163.5</v>
      </c>
      <c r="D1616" s="238">
        <v>14450</v>
      </c>
      <c r="E1616" s="240">
        <f t="shared" si="28"/>
        <v>1445</v>
      </c>
    </row>
    <row r="1617" spans="1:5">
      <c r="A1617" s="236">
        <v>41358</v>
      </c>
      <c r="B1617" s="237">
        <v>266975</v>
      </c>
      <c r="C1617" s="239">
        <v>2169</v>
      </c>
      <c r="D1617" s="238">
        <v>14450</v>
      </c>
      <c r="E1617" s="240">
        <f t="shared" si="28"/>
        <v>1445</v>
      </c>
    </row>
    <row r="1618" spans="1:5">
      <c r="A1618" s="236">
        <v>41359</v>
      </c>
      <c r="B1618" s="237">
        <v>265975</v>
      </c>
      <c r="C1618" s="239">
        <v>2162.5</v>
      </c>
      <c r="D1618" s="238">
        <v>14450</v>
      </c>
      <c r="E1618" s="240">
        <f t="shared" si="28"/>
        <v>1445</v>
      </c>
    </row>
    <row r="1619" spans="1:5">
      <c r="A1619" s="236">
        <v>41360</v>
      </c>
      <c r="B1619" s="237">
        <v>264475</v>
      </c>
      <c r="C1619" s="239">
        <v>2089</v>
      </c>
      <c r="D1619" s="238">
        <v>14450</v>
      </c>
      <c r="E1619" s="240">
        <f t="shared" si="28"/>
        <v>1445</v>
      </c>
    </row>
    <row r="1620" spans="1:5">
      <c r="A1620" s="236">
        <v>41361</v>
      </c>
      <c r="B1620" s="237">
        <v>262725</v>
      </c>
      <c r="C1620" s="239">
        <v>2094</v>
      </c>
      <c r="D1620" s="238">
        <v>14350</v>
      </c>
      <c r="E1620" s="240">
        <f t="shared" si="28"/>
        <v>1435</v>
      </c>
    </row>
    <row r="1621" spans="1:5">
      <c r="A1621" s="236">
        <v>41362</v>
      </c>
      <c r="B1621" s="237">
        <v>262725</v>
      </c>
      <c r="C1621" s="239">
        <v>2094</v>
      </c>
      <c r="D1621" s="238">
        <v>14350</v>
      </c>
      <c r="E1621" s="240">
        <f t="shared" si="28"/>
        <v>1435</v>
      </c>
    </row>
    <row r="1622" spans="1:5">
      <c r="A1622" s="236">
        <v>41365</v>
      </c>
      <c r="B1622" s="237">
        <v>262725</v>
      </c>
      <c r="C1622" s="239">
        <v>2094</v>
      </c>
      <c r="D1622" s="238">
        <v>14250</v>
      </c>
      <c r="E1622" s="240">
        <f t="shared" si="28"/>
        <v>1425</v>
      </c>
    </row>
    <row r="1623" spans="1:5">
      <c r="A1623" s="236">
        <v>41366</v>
      </c>
      <c r="B1623" s="237">
        <v>262025</v>
      </c>
      <c r="C1623" s="239">
        <v>2078</v>
      </c>
      <c r="D1623" s="238">
        <v>14300</v>
      </c>
      <c r="E1623" s="240">
        <f t="shared" si="28"/>
        <v>1430</v>
      </c>
    </row>
    <row r="1624" spans="1:5">
      <c r="A1624" s="236">
        <v>41367</v>
      </c>
      <c r="B1624" s="237">
        <v>261425</v>
      </c>
      <c r="C1624" s="239">
        <v>2039.5</v>
      </c>
      <c r="D1624" s="238">
        <v>14300</v>
      </c>
      <c r="E1624" s="240">
        <f t="shared" si="28"/>
        <v>1430</v>
      </c>
    </row>
    <row r="1625" spans="1:5">
      <c r="A1625" s="236">
        <v>41368</v>
      </c>
      <c r="B1625" s="237">
        <v>260900</v>
      </c>
      <c r="C1625" s="239">
        <v>2037.5</v>
      </c>
      <c r="D1625" s="238">
        <v>14300</v>
      </c>
      <c r="E1625" s="240">
        <f>D1625/10</f>
        <v>1430</v>
      </c>
    </row>
    <row r="1626" spans="1:5">
      <c r="A1626" s="236">
        <v>41369</v>
      </c>
      <c r="B1626" s="237">
        <v>260400</v>
      </c>
      <c r="C1626" s="239">
        <v>2042.5</v>
      </c>
      <c r="D1626" s="238">
        <v>14300</v>
      </c>
      <c r="E1626" s="240">
        <f>D1626/10</f>
        <v>1430</v>
      </c>
    </row>
    <row r="1627" spans="1:5">
      <c r="A1627" s="236">
        <v>41372</v>
      </c>
      <c r="B1627" s="237">
        <v>260550</v>
      </c>
      <c r="C1627" s="239">
        <v>2038</v>
      </c>
      <c r="D1627" s="238">
        <v>14300</v>
      </c>
      <c r="E1627" s="240">
        <f t="shared" si="28"/>
        <v>1430</v>
      </c>
    </row>
    <row r="1628" spans="1:5">
      <c r="A1628" s="236">
        <v>41373</v>
      </c>
      <c r="B1628" s="237">
        <v>260400</v>
      </c>
      <c r="C1628" s="239">
        <v>2049</v>
      </c>
      <c r="D1628" s="238">
        <v>14300</v>
      </c>
      <c r="E1628" s="240">
        <f t="shared" si="28"/>
        <v>1430</v>
      </c>
    </row>
    <row r="1629" spans="1:5">
      <c r="A1629" s="236">
        <v>41374</v>
      </c>
      <c r="B1629" s="237">
        <v>260250</v>
      </c>
      <c r="C1629" s="239">
        <v>2088</v>
      </c>
      <c r="D1629" s="238">
        <v>14300</v>
      </c>
      <c r="E1629" s="240">
        <f t="shared" si="28"/>
        <v>1430</v>
      </c>
    </row>
    <row r="1630" spans="1:5">
      <c r="A1630" s="236">
        <v>41375</v>
      </c>
      <c r="B1630" s="237">
        <v>260175</v>
      </c>
      <c r="C1630" s="239">
        <v>2061.5</v>
      </c>
      <c r="D1630" s="238">
        <v>14300</v>
      </c>
      <c r="E1630" s="240">
        <f t="shared" si="28"/>
        <v>1430</v>
      </c>
    </row>
    <row r="1631" spans="1:5">
      <c r="A1631" s="236">
        <v>41376</v>
      </c>
      <c r="B1631" s="237">
        <v>259375</v>
      </c>
      <c r="C1631" s="239">
        <v>2047</v>
      </c>
      <c r="D1631" s="238">
        <v>14300</v>
      </c>
      <c r="E1631" s="240">
        <f t="shared" si="28"/>
        <v>1430</v>
      </c>
    </row>
    <row r="1632" spans="1:5">
      <c r="A1632" s="236">
        <v>41379</v>
      </c>
      <c r="B1632" s="237">
        <v>259025</v>
      </c>
      <c r="C1632" s="239">
        <v>1982.5</v>
      </c>
      <c r="D1632" s="238">
        <v>14075</v>
      </c>
      <c r="E1632" s="240">
        <f t="shared" si="28"/>
        <v>1407.5</v>
      </c>
    </row>
    <row r="1633" spans="1:5">
      <c r="A1633" s="236">
        <v>41380</v>
      </c>
      <c r="B1633" s="237">
        <v>259675</v>
      </c>
      <c r="C1633" s="239">
        <v>2038</v>
      </c>
      <c r="D1633" s="238">
        <v>14075</v>
      </c>
      <c r="E1633" s="240">
        <f t="shared" si="28"/>
        <v>1407.5</v>
      </c>
    </row>
    <row r="1634" spans="1:5">
      <c r="A1634" s="236">
        <v>41381</v>
      </c>
      <c r="B1634" s="237">
        <v>259475</v>
      </c>
      <c r="C1634" s="239">
        <v>2013</v>
      </c>
      <c r="D1634" s="238">
        <v>13985</v>
      </c>
      <c r="E1634" s="240">
        <f t="shared" si="28"/>
        <v>1398.5</v>
      </c>
    </row>
    <row r="1635" spans="1:5">
      <c r="A1635" s="236">
        <v>41382</v>
      </c>
      <c r="B1635" s="237">
        <v>259775</v>
      </c>
      <c r="C1635" s="239">
        <v>1997.5</v>
      </c>
      <c r="D1635" s="238">
        <v>13665</v>
      </c>
      <c r="E1635" s="240">
        <f t="shared" si="28"/>
        <v>1366.5</v>
      </c>
    </row>
    <row r="1636" spans="1:5">
      <c r="A1636" s="236">
        <v>41383</v>
      </c>
      <c r="B1636" s="237">
        <v>259850</v>
      </c>
      <c r="C1636" s="239">
        <v>2008.5</v>
      </c>
      <c r="D1636" s="238">
        <v>13730</v>
      </c>
      <c r="E1636" s="240">
        <f t="shared" si="28"/>
        <v>1373</v>
      </c>
    </row>
    <row r="1637" spans="1:5">
      <c r="A1637" s="236">
        <v>41386</v>
      </c>
      <c r="B1637" s="237">
        <v>259850</v>
      </c>
      <c r="C1637" s="239">
        <v>1997.5</v>
      </c>
      <c r="D1637" s="238">
        <v>13730</v>
      </c>
      <c r="E1637" s="240">
        <f t="shared" si="28"/>
        <v>1373</v>
      </c>
    </row>
    <row r="1638" spans="1:5">
      <c r="A1638" s="236">
        <v>41387</v>
      </c>
      <c r="B1638" s="237">
        <v>258825</v>
      </c>
      <c r="C1638" s="239">
        <v>1990</v>
      </c>
      <c r="D1638" s="238">
        <v>13680</v>
      </c>
      <c r="E1638" s="240">
        <f t="shared" si="28"/>
        <v>1368</v>
      </c>
    </row>
    <row r="1639" spans="1:5">
      <c r="A1639" s="236">
        <v>41388</v>
      </c>
      <c r="B1639" s="237">
        <v>258800</v>
      </c>
      <c r="C1639" s="239">
        <v>2009.5</v>
      </c>
      <c r="D1639" s="238">
        <v>13730</v>
      </c>
      <c r="E1639" s="240">
        <f t="shared" si="28"/>
        <v>1373</v>
      </c>
    </row>
    <row r="1640" spans="1:5">
      <c r="A1640" s="236">
        <v>41389</v>
      </c>
      <c r="B1640" s="237">
        <v>258450</v>
      </c>
      <c r="C1640" s="239">
        <v>2041</v>
      </c>
      <c r="D1640" s="238">
        <v>13830</v>
      </c>
      <c r="E1640" s="240">
        <f t="shared" si="28"/>
        <v>1383</v>
      </c>
    </row>
    <row r="1641" spans="1:5">
      <c r="A1641" s="236">
        <v>41390</v>
      </c>
      <c r="B1641" s="237">
        <v>257775</v>
      </c>
      <c r="C1641" s="239">
        <v>2037</v>
      </c>
      <c r="D1641" s="238">
        <v>13830</v>
      </c>
      <c r="E1641" s="240">
        <f t="shared" si="28"/>
        <v>1383</v>
      </c>
    </row>
    <row r="1642" spans="1:5">
      <c r="A1642" s="236">
        <v>41393</v>
      </c>
      <c r="B1642" s="237">
        <v>256700</v>
      </c>
      <c r="C1642" s="239">
        <v>2021</v>
      </c>
      <c r="D1642" s="238">
        <v>13830</v>
      </c>
      <c r="E1642" s="240">
        <f>D1642/10</f>
        <v>1383</v>
      </c>
    </row>
    <row r="1643" spans="1:5">
      <c r="A1643" s="236">
        <v>41394</v>
      </c>
      <c r="B1643" s="237">
        <v>255175</v>
      </c>
      <c r="C1643" s="239">
        <v>2019</v>
      </c>
      <c r="D1643" s="238">
        <v>13830</v>
      </c>
      <c r="E1643" s="240">
        <f>D1643/10</f>
        <v>1383</v>
      </c>
    </row>
    <row r="1644" spans="1:5">
      <c r="A1644" s="236">
        <v>41395</v>
      </c>
      <c r="B1644" s="237">
        <v>254325</v>
      </c>
      <c r="C1644" s="239">
        <v>1970</v>
      </c>
      <c r="D1644" s="238">
        <v>13830</v>
      </c>
      <c r="E1644" s="240">
        <f>D1644/10</f>
        <v>1383</v>
      </c>
    </row>
    <row r="1645" spans="1:5">
      <c r="A1645" s="236">
        <v>41396</v>
      </c>
      <c r="B1645" s="237">
        <v>253925</v>
      </c>
      <c r="C1645" s="239">
        <v>1979</v>
      </c>
      <c r="D1645" s="238">
        <v>13760</v>
      </c>
      <c r="E1645" s="240">
        <f t="shared" si="28"/>
        <v>1376</v>
      </c>
    </row>
    <row r="1646" spans="1:5">
      <c r="A1646" s="236">
        <v>41397</v>
      </c>
      <c r="B1646" s="237">
        <v>252200</v>
      </c>
      <c r="C1646" s="239">
        <v>1970</v>
      </c>
      <c r="D1646" s="238">
        <v>13760</v>
      </c>
      <c r="E1646" s="240">
        <f t="shared" si="28"/>
        <v>1376</v>
      </c>
    </row>
    <row r="1647" spans="1:5">
      <c r="A1647" s="236">
        <v>41400</v>
      </c>
      <c r="B1647" s="237">
        <v>252200</v>
      </c>
      <c r="C1647" s="239">
        <v>1970</v>
      </c>
      <c r="D1647" s="238">
        <v>13800</v>
      </c>
      <c r="E1647" s="240">
        <f t="shared" si="28"/>
        <v>1380</v>
      </c>
    </row>
    <row r="1648" spans="1:5">
      <c r="A1648" s="236">
        <v>41401</v>
      </c>
      <c r="B1648" s="237">
        <v>251075</v>
      </c>
      <c r="C1648" s="239">
        <v>2020</v>
      </c>
      <c r="D1648" s="238">
        <v>13880</v>
      </c>
      <c r="E1648" s="240">
        <f t="shared" si="28"/>
        <v>1388</v>
      </c>
    </row>
    <row r="1649" spans="1:5">
      <c r="A1649" s="236">
        <v>41402</v>
      </c>
      <c r="B1649" s="237">
        <v>248200</v>
      </c>
      <c r="C1649" s="239">
        <v>2048.5</v>
      </c>
      <c r="D1649" s="238">
        <v>13880</v>
      </c>
      <c r="E1649" s="240">
        <f t="shared" si="28"/>
        <v>1388</v>
      </c>
    </row>
    <row r="1650" spans="1:5">
      <c r="A1650" s="236">
        <v>41403</v>
      </c>
      <c r="B1650" s="237">
        <v>247100</v>
      </c>
      <c r="C1650" s="239">
        <v>2012.5</v>
      </c>
      <c r="D1650" s="238">
        <v>13880</v>
      </c>
      <c r="E1650" s="240">
        <f t="shared" si="28"/>
        <v>1388</v>
      </c>
    </row>
    <row r="1651" spans="1:5">
      <c r="A1651" s="236">
        <v>41404</v>
      </c>
      <c r="B1651" s="237">
        <v>245425</v>
      </c>
      <c r="C1651" s="239">
        <v>1983.5</v>
      </c>
      <c r="D1651" s="238">
        <v>13880</v>
      </c>
      <c r="E1651" s="240">
        <f t="shared" si="28"/>
        <v>1388</v>
      </c>
    </row>
    <row r="1652" spans="1:5">
      <c r="A1652" s="236">
        <v>41407</v>
      </c>
      <c r="B1652" s="237">
        <v>243775</v>
      </c>
      <c r="C1652" s="239">
        <v>1981</v>
      </c>
      <c r="D1652" s="238">
        <v>13880</v>
      </c>
      <c r="E1652" s="240">
        <f t="shared" si="28"/>
        <v>1388</v>
      </c>
    </row>
    <row r="1653" spans="1:5">
      <c r="A1653" s="236">
        <v>41408</v>
      </c>
      <c r="B1653" s="237">
        <v>245650</v>
      </c>
      <c r="C1653" s="239">
        <v>1976</v>
      </c>
      <c r="D1653" s="238">
        <v>13860</v>
      </c>
      <c r="E1653" s="240">
        <f t="shared" si="28"/>
        <v>1386</v>
      </c>
    </row>
    <row r="1654" spans="1:5">
      <c r="A1654" s="236">
        <v>41409</v>
      </c>
      <c r="B1654" s="237">
        <v>244525</v>
      </c>
      <c r="C1654" s="239">
        <v>1949</v>
      </c>
      <c r="D1654" s="238">
        <v>13760</v>
      </c>
      <c r="E1654" s="240">
        <f t="shared" ref="E1654:E1717" si="29">D1654/10</f>
        <v>1376</v>
      </c>
    </row>
    <row r="1655" spans="1:5">
      <c r="A1655" s="236">
        <v>41410</v>
      </c>
      <c r="B1655" s="237">
        <v>243250</v>
      </c>
      <c r="C1655" s="239">
        <v>1966.5</v>
      </c>
      <c r="D1655" s="238">
        <v>13760</v>
      </c>
      <c r="E1655" s="240">
        <f t="shared" si="29"/>
        <v>1376</v>
      </c>
    </row>
    <row r="1656" spans="1:5">
      <c r="A1656" s="236">
        <v>41411</v>
      </c>
      <c r="B1656" s="237">
        <v>240875</v>
      </c>
      <c r="C1656" s="239">
        <v>2003</v>
      </c>
      <c r="D1656" s="238">
        <v>13760</v>
      </c>
      <c r="E1656" s="240">
        <f t="shared" si="29"/>
        <v>1376</v>
      </c>
    </row>
    <row r="1657" spans="1:5">
      <c r="A1657" s="236">
        <v>41414</v>
      </c>
      <c r="B1657" s="237">
        <v>239375</v>
      </c>
      <c r="C1657" s="239">
        <v>2002</v>
      </c>
      <c r="D1657" s="238">
        <v>13790</v>
      </c>
      <c r="E1657" s="240">
        <f t="shared" si="29"/>
        <v>1379</v>
      </c>
    </row>
    <row r="1658" spans="1:5">
      <c r="A1658" s="236">
        <v>41415</v>
      </c>
      <c r="B1658" s="237">
        <v>237925</v>
      </c>
      <c r="C1658" s="239">
        <v>2040.5</v>
      </c>
      <c r="D1658" s="238">
        <v>13810</v>
      </c>
      <c r="E1658" s="240">
        <f t="shared" si="29"/>
        <v>1381</v>
      </c>
    </row>
    <row r="1659" spans="1:5">
      <c r="A1659" s="236">
        <v>41416</v>
      </c>
      <c r="B1659" s="237">
        <v>236275</v>
      </c>
      <c r="C1659" s="239">
        <v>2053.5</v>
      </c>
      <c r="D1659" s="238">
        <v>13810</v>
      </c>
      <c r="E1659" s="240">
        <f t="shared" si="29"/>
        <v>1381</v>
      </c>
    </row>
    <row r="1660" spans="1:5">
      <c r="A1660" s="236">
        <v>41417</v>
      </c>
      <c r="B1660" s="237">
        <v>234525</v>
      </c>
      <c r="C1660" s="239">
        <v>2025</v>
      </c>
      <c r="D1660" s="238">
        <v>13780</v>
      </c>
      <c r="E1660" s="240">
        <f t="shared" si="29"/>
        <v>1378</v>
      </c>
    </row>
    <row r="1661" spans="1:5">
      <c r="A1661" s="236">
        <v>41418</v>
      </c>
      <c r="B1661" s="237">
        <v>234525</v>
      </c>
      <c r="C1661" s="239">
        <v>2056</v>
      </c>
      <c r="D1661" s="238">
        <v>13810</v>
      </c>
      <c r="E1661" s="240">
        <f t="shared" si="29"/>
        <v>1381</v>
      </c>
    </row>
    <row r="1662" spans="1:5">
      <c r="A1662" s="236">
        <v>41421</v>
      </c>
      <c r="B1662" s="237">
        <v>234525</v>
      </c>
      <c r="C1662" s="239">
        <v>2056</v>
      </c>
      <c r="D1662" s="238">
        <v>13810</v>
      </c>
      <c r="E1662" s="240">
        <f t="shared" si="29"/>
        <v>1381</v>
      </c>
    </row>
    <row r="1663" spans="1:5">
      <c r="A1663" s="236">
        <v>41422</v>
      </c>
      <c r="B1663" s="237">
        <v>230725</v>
      </c>
      <c r="C1663" s="239">
        <v>2098</v>
      </c>
      <c r="D1663" s="238">
        <v>13810</v>
      </c>
      <c r="E1663" s="240">
        <f t="shared" si="29"/>
        <v>1381</v>
      </c>
    </row>
    <row r="1664" spans="1:5">
      <c r="A1664" s="236">
        <v>41423</v>
      </c>
      <c r="B1664" s="237">
        <v>225150</v>
      </c>
      <c r="C1664" s="239">
        <v>2117</v>
      </c>
      <c r="D1664" s="238">
        <v>13830</v>
      </c>
      <c r="E1664" s="240">
        <f t="shared" si="29"/>
        <v>1383</v>
      </c>
    </row>
    <row r="1665" spans="1:5">
      <c r="A1665" s="236">
        <v>41424</v>
      </c>
      <c r="B1665" s="237">
        <v>222225</v>
      </c>
      <c r="C1665" s="239">
        <v>2150</v>
      </c>
      <c r="D1665" s="238">
        <v>13860</v>
      </c>
      <c r="E1665" s="240">
        <f t="shared" si="29"/>
        <v>1386</v>
      </c>
    </row>
    <row r="1666" spans="1:5">
      <c r="A1666" s="236">
        <v>41425</v>
      </c>
      <c r="B1666" s="237">
        <v>219475</v>
      </c>
      <c r="C1666" s="239">
        <v>2193</v>
      </c>
      <c r="D1666" s="238">
        <v>13910</v>
      </c>
      <c r="E1666" s="240">
        <f t="shared" si="29"/>
        <v>1391</v>
      </c>
    </row>
    <row r="1667" spans="1:5">
      <c r="A1667" s="236">
        <v>41428</v>
      </c>
      <c r="B1667" s="237">
        <v>217000</v>
      </c>
      <c r="C1667" s="239">
        <v>2210</v>
      </c>
      <c r="D1667" s="238">
        <v>13910</v>
      </c>
      <c r="E1667" s="240">
        <f t="shared" si="29"/>
        <v>1391</v>
      </c>
    </row>
    <row r="1668" spans="1:5">
      <c r="A1668" s="236">
        <v>41429</v>
      </c>
      <c r="B1668" s="237">
        <v>213550</v>
      </c>
      <c r="C1668" s="239">
        <v>2219</v>
      </c>
      <c r="D1668" s="238">
        <v>13950</v>
      </c>
      <c r="E1668" s="240">
        <f t="shared" si="29"/>
        <v>1395</v>
      </c>
    </row>
    <row r="1669" spans="1:5">
      <c r="A1669" s="236">
        <v>41430</v>
      </c>
      <c r="B1669" s="237">
        <v>210400</v>
      </c>
      <c r="C1669" s="239">
        <v>2246.5</v>
      </c>
      <c r="D1669" s="238">
        <v>14020</v>
      </c>
      <c r="E1669" s="240">
        <f t="shared" si="29"/>
        <v>1402</v>
      </c>
    </row>
    <row r="1670" spans="1:5">
      <c r="A1670" s="236">
        <v>41431</v>
      </c>
      <c r="B1670" s="237">
        <v>207750</v>
      </c>
      <c r="C1670" s="239">
        <v>2205.5</v>
      </c>
      <c r="D1670" s="238">
        <v>14020</v>
      </c>
      <c r="E1670" s="240">
        <f t="shared" si="29"/>
        <v>1402</v>
      </c>
    </row>
    <row r="1671" spans="1:5">
      <c r="A1671" s="236">
        <v>41432</v>
      </c>
      <c r="B1671" s="237">
        <v>205225</v>
      </c>
      <c r="C1671" s="239">
        <v>2188</v>
      </c>
      <c r="D1671" s="238">
        <v>13990</v>
      </c>
      <c r="E1671" s="240">
        <f t="shared" si="29"/>
        <v>1399</v>
      </c>
    </row>
    <row r="1672" spans="1:5">
      <c r="A1672" s="236">
        <v>41435</v>
      </c>
      <c r="B1672" s="237">
        <v>207350</v>
      </c>
      <c r="C1672" s="239">
        <v>2123</v>
      </c>
      <c r="D1672" s="238">
        <v>13990</v>
      </c>
      <c r="E1672" s="240">
        <f>D1672/10</f>
        <v>1399</v>
      </c>
    </row>
    <row r="1673" spans="1:5">
      <c r="A1673" s="236">
        <v>41436</v>
      </c>
      <c r="B1673" s="237">
        <v>202550</v>
      </c>
      <c r="C1673" s="239">
        <v>2129</v>
      </c>
      <c r="D1673" s="238">
        <v>13990</v>
      </c>
      <c r="E1673" s="240">
        <f>D1673/10</f>
        <v>1399</v>
      </c>
    </row>
    <row r="1674" spans="1:5">
      <c r="A1674" s="236">
        <v>41437</v>
      </c>
      <c r="B1674" s="237">
        <v>200325</v>
      </c>
      <c r="C1674" s="239">
        <v>2133</v>
      </c>
      <c r="D1674" s="238">
        <v>13990</v>
      </c>
      <c r="E1674" s="240">
        <f>D1674/10</f>
        <v>1399</v>
      </c>
    </row>
    <row r="1675" spans="1:5">
      <c r="A1675" s="236">
        <v>41438</v>
      </c>
      <c r="B1675" s="237">
        <v>199975</v>
      </c>
      <c r="C1675" s="239">
        <v>2092</v>
      </c>
      <c r="D1675" s="238">
        <v>13990</v>
      </c>
      <c r="E1675" s="240">
        <f t="shared" si="29"/>
        <v>1399</v>
      </c>
    </row>
    <row r="1676" spans="1:5">
      <c r="A1676" s="236">
        <v>41439</v>
      </c>
      <c r="B1676" s="237">
        <v>197350</v>
      </c>
      <c r="C1676" s="239">
        <v>2100</v>
      </c>
      <c r="D1676" s="238">
        <v>13940</v>
      </c>
      <c r="E1676" s="240">
        <f t="shared" si="29"/>
        <v>1394</v>
      </c>
    </row>
    <row r="1677" spans="1:5">
      <c r="A1677" s="236">
        <v>41442</v>
      </c>
      <c r="B1677" s="237">
        <v>192600</v>
      </c>
      <c r="C1677" s="239">
        <v>2099.5</v>
      </c>
      <c r="D1677" s="238">
        <v>13940</v>
      </c>
      <c r="E1677" s="240">
        <f t="shared" si="29"/>
        <v>1394</v>
      </c>
    </row>
    <row r="1678" spans="1:5">
      <c r="A1678" s="236">
        <v>41443</v>
      </c>
      <c r="B1678" s="237">
        <v>189050</v>
      </c>
      <c r="C1678" s="239">
        <v>2076</v>
      </c>
      <c r="D1678" s="238">
        <v>13920</v>
      </c>
      <c r="E1678" s="240">
        <f t="shared" si="29"/>
        <v>1392</v>
      </c>
    </row>
    <row r="1679" spans="1:5">
      <c r="A1679" s="236">
        <v>41444</v>
      </c>
      <c r="B1679" s="237">
        <v>204625</v>
      </c>
      <c r="C1679" s="239">
        <v>2082</v>
      </c>
      <c r="D1679" s="238">
        <v>13910</v>
      </c>
      <c r="E1679" s="240">
        <f t="shared" si="29"/>
        <v>1391</v>
      </c>
    </row>
    <row r="1680" spans="1:5">
      <c r="A1680" s="236">
        <v>41445</v>
      </c>
      <c r="B1680" s="237">
        <v>203125</v>
      </c>
      <c r="C1680" s="239">
        <v>2009</v>
      </c>
      <c r="D1680" s="238">
        <v>13880</v>
      </c>
      <c r="E1680" s="240">
        <f t="shared" si="29"/>
        <v>1388</v>
      </c>
    </row>
    <row r="1681" spans="1:5">
      <c r="A1681" s="236">
        <v>41446</v>
      </c>
      <c r="B1681" s="237">
        <v>199025</v>
      </c>
      <c r="C1681" s="239">
        <v>2017</v>
      </c>
      <c r="D1681" s="238">
        <v>13880</v>
      </c>
      <c r="E1681" s="240">
        <f t="shared" si="29"/>
        <v>1388</v>
      </c>
    </row>
    <row r="1682" spans="1:5">
      <c r="A1682" s="236">
        <v>41449</v>
      </c>
      <c r="B1682" s="237">
        <v>195875</v>
      </c>
      <c r="C1682" s="239">
        <v>1996</v>
      </c>
      <c r="D1682" s="238">
        <v>13820</v>
      </c>
      <c r="E1682" s="240">
        <f t="shared" si="29"/>
        <v>1382</v>
      </c>
    </row>
    <row r="1683" spans="1:5">
      <c r="A1683" s="236">
        <v>41450</v>
      </c>
      <c r="B1683" s="237">
        <v>194200</v>
      </c>
      <c r="C1683" s="239">
        <v>2023</v>
      </c>
      <c r="D1683" s="238">
        <v>13740</v>
      </c>
      <c r="E1683" s="240">
        <f t="shared" si="29"/>
        <v>1374</v>
      </c>
    </row>
    <row r="1684" spans="1:5">
      <c r="A1684" s="236">
        <v>41451</v>
      </c>
      <c r="B1684" s="237">
        <v>194600</v>
      </c>
      <c r="C1684" s="239">
        <v>2032</v>
      </c>
      <c r="D1684" s="238">
        <v>13740</v>
      </c>
      <c r="E1684" s="240">
        <f t="shared" si="29"/>
        <v>1374</v>
      </c>
    </row>
    <row r="1685" spans="1:5">
      <c r="A1685" s="236">
        <v>41452</v>
      </c>
      <c r="B1685" s="237">
        <v>198000</v>
      </c>
      <c r="C1685" s="239">
        <v>2038</v>
      </c>
      <c r="D1685" s="238">
        <v>13760</v>
      </c>
      <c r="E1685" s="240">
        <f t="shared" si="29"/>
        <v>1376</v>
      </c>
    </row>
    <row r="1686" spans="1:5">
      <c r="A1686" s="236">
        <v>41453</v>
      </c>
      <c r="B1686" s="237">
        <v>198300</v>
      </c>
      <c r="C1686" s="239">
        <v>2058</v>
      </c>
      <c r="D1686" s="238">
        <v>13740</v>
      </c>
      <c r="E1686" s="240">
        <f t="shared" si="29"/>
        <v>1374</v>
      </c>
    </row>
    <row r="1687" spans="1:5">
      <c r="A1687" s="236">
        <v>41456</v>
      </c>
      <c r="B1687" s="237">
        <v>198200</v>
      </c>
      <c r="C1687" s="239">
        <v>2059</v>
      </c>
      <c r="D1687" s="238">
        <v>13760</v>
      </c>
      <c r="E1687" s="240">
        <f t="shared" si="29"/>
        <v>1376</v>
      </c>
    </row>
    <row r="1688" spans="1:5">
      <c r="A1688" s="236">
        <v>41457</v>
      </c>
      <c r="B1688" s="237">
        <v>198050</v>
      </c>
      <c r="C1688" s="239">
        <v>2088</v>
      </c>
      <c r="D1688" s="238">
        <v>13840</v>
      </c>
      <c r="E1688" s="240">
        <f t="shared" si="29"/>
        <v>1384</v>
      </c>
    </row>
    <row r="1689" spans="1:5">
      <c r="A1689" s="236">
        <v>41458</v>
      </c>
      <c r="B1689" s="237">
        <v>197750</v>
      </c>
      <c r="C1689" s="239">
        <v>2058</v>
      </c>
      <c r="D1689" s="238">
        <v>13740</v>
      </c>
      <c r="E1689" s="240">
        <f t="shared" si="29"/>
        <v>1374</v>
      </c>
    </row>
    <row r="1690" spans="1:5">
      <c r="A1690" s="236">
        <v>41459</v>
      </c>
      <c r="B1690" s="237">
        <v>197575</v>
      </c>
      <c r="C1690" s="239">
        <v>2067.5</v>
      </c>
      <c r="D1690" s="238">
        <v>13810</v>
      </c>
      <c r="E1690" s="240">
        <f t="shared" si="29"/>
        <v>1381</v>
      </c>
    </row>
    <row r="1691" spans="1:5">
      <c r="A1691" s="236">
        <v>41460</v>
      </c>
      <c r="B1691" s="237">
        <v>197325</v>
      </c>
      <c r="C1691" s="239">
        <v>2035.5</v>
      </c>
      <c r="D1691" s="238">
        <v>13810</v>
      </c>
      <c r="E1691" s="240">
        <f t="shared" si="29"/>
        <v>1381</v>
      </c>
    </row>
    <row r="1692" spans="1:5">
      <c r="A1692" s="236">
        <v>41463</v>
      </c>
      <c r="B1692" s="237">
        <v>196175</v>
      </c>
      <c r="C1692" s="239">
        <v>2032</v>
      </c>
      <c r="D1692" s="238">
        <v>13760</v>
      </c>
      <c r="E1692" s="240">
        <f t="shared" si="29"/>
        <v>1376</v>
      </c>
    </row>
    <row r="1693" spans="1:5">
      <c r="A1693" s="236">
        <v>41464</v>
      </c>
      <c r="B1693" s="237">
        <v>195975</v>
      </c>
      <c r="C1693" s="239">
        <v>2029</v>
      </c>
      <c r="D1693" s="238">
        <v>13780</v>
      </c>
      <c r="E1693" s="240">
        <f t="shared" si="29"/>
        <v>1378</v>
      </c>
    </row>
    <row r="1694" spans="1:5">
      <c r="A1694" s="236">
        <v>41465</v>
      </c>
      <c r="B1694" s="237">
        <v>194875</v>
      </c>
      <c r="C1694" s="239">
        <v>2046</v>
      </c>
      <c r="D1694" s="238">
        <v>13780</v>
      </c>
      <c r="E1694" s="240">
        <f t="shared" si="29"/>
        <v>1378</v>
      </c>
    </row>
    <row r="1695" spans="1:5">
      <c r="A1695" s="236">
        <v>41466</v>
      </c>
      <c r="B1695" s="237">
        <v>194375</v>
      </c>
      <c r="C1695" s="239">
        <v>2093</v>
      </c>
      <c r="D1695" s="238">
        <v>13830</v>
      </c>
      <c r="E1695" s="240">
        <f t="shared" si="29"/>
        <v>1383</v>
      </c>
    </row>
    <row r="1696" spans="1:5">
      <c r="A1696" s="236">
        <v>41467</v>
      </c>
      <c r="B1696" s="237">
        <v>193825</v>
      </c>
      <c r="C1696" s="239">
        <v>2050</v>
      </c>
      <c r="D1696" s="238">
        <v>13810</v>
      </c>
      <c r="E1696" s="240">
        <f t="shared" si="29"/>
        <v>1381</v>
      </c>
    </row>
    <row r="1697" spans="1:5">
      <c r="A1697" s="236">
        <v>41470</v>
      </c>
      <c r="B1697" s="237">
        <v>193950</v>
      </c>
      <c r="C1697" s="239">
        <v>2049.5</v>
      </c>
      <c r="D1697" s="238">
        <v>13810</v>
      </c>
      <c r="E1697" s="240">
        <f t="shared" si="29"/>
        <v>1381</v>
      </c>
    </row>
    <row r="1698" spans="1:5">
      <c r="A1698" s="236">
        <v>41471</v>
      </c>
      <c r="B1698" s="237">
        <v>193950</v>
      </c>
      <c r="C1698" s="239">
        <v>2044.5</v>
      </c>
      <c r="D1698" s="238">
        <v>13810</v>
      </c>
      <c r="E1698" s="240">
        <f t="shared" si="29"/>
        <v>1381</v>
      </c>
    </row>
    <row r="1699" spans="1:5">
      <c r="A1699" s="236">
        <v>41472</v>
      </c>
      <c r="B1699" s="237">
        <v>196875</v>
      </c>
      <c r="C1699" s="239">
        <v>2037.5</v>
      </c>
      <c r="D1699" s="238">
        <v>13810</v>
      </c>
      <c r="E1699" s="240">
        <f t="shared" si="29"/>
        <v>1381</v>
      </c>
    </row>
    <row r="1700" spans="1:5">
      <c r="A1700" s="236">
        <v>41473</v>
      </c>
      <c r="B1700" s="237">
        <v>196475</v>
      </c>
      <c r="C1700" s="239">
        <v>2016.5</v>
      </c>
      <c r="D1700" s="238">
        <v>13780</v>
      </c>
      <c r="E1700" s="240">
        <f t="shared" si="29"/>
        <v>1378</v>
      </c>
    </row>
    <row r="1701" spans="1:5">
      <c r="A1701" s="236">
        <v>41474</v>
      </c>
      <c r="B1701" s="237">
        <v>196475</v>
      </c>
      <c r="C1701" s="239">
        <v>2036</v>
      </c>
      <c r="D1701" s="238">
        <v>13810</v>
      </c>
      <c r="E1701" s="240">
        <f t="shared" si="29"/>
        <v>1381</v>
      </c>
    </row>
    <row r="1702" spans="1:5">
      <c r="A1702" s="236">
        <v>41477</v>
      </c>
      <c r="B1702" s="237">
        <v>197975</v>
      </c>
      <c r="C1702" s="239">
        <v>2036</v>
      </c>
      <c r="D1702" s="238">
        <v>13810</v>
      </c>
      <c r="E1702" s="240">
        <f t="shared" si="29"/>
        <v>1381</v>
      </c>
    </row>
    <row r="1703" spans="1:5">
      <c r="A1703" s="236">
        <v>41478</v>
      </c>
      <c r="B1703" s="237">
        <v>198775</v>
      </c>
      <c r="C1703" s="239">
        <v>2039.5</v>
      </c>
      <c r="D1703" s="238">
        <v>13810</v>
      </c>
      <c r="E1703" s="240">
        <f t="shared" si="29"/>
        <v>1381</v>
      </c>
    </row>
    <row r="1704" spans="1:5">
      <c r="A1704" s="236">
        <v>41479</v>
      </c>
      <c r="B1704" s="237">
        <v>198775</v>
      </c>
      <c r="C1704" s="239">
        <v>2063</v>
      </c>
      <c r="D1704" s="238">
        <v>13810</v>
      </c>
      <c r="E1704" s="240">
        <f t="shared" si="29"/>
        <v>1381</v>
      </c>
    </row>
    <row r="1705" spans="1:5">
      <c r="A1705" s="236">
        <v>41480</v>
      </c>
      <c r="B1705" s="237">
        <v>198500</v>
      </c>
      <c r="C1705" s="239">
        <v>2050</v>
      </c>
      <c r="D1705" s="238">
        <v>13810</v>
      </c>
      <c r="E1705" s="240">
        <f t="shared" si="29"/>
        <v>1381</v>
      </c>
    </row>
    <row r="1706" spans="1:5">
      <c r="A1706" s="236">
        <v>41481</v>
      </c>
      <c r="B1706" s="237">
        <v>198500</v>
      </c>
      <c r="C1706" s="239">
        <v>2060.5</v>
      </c>
      <c r="D1706" s="238">
        <v>13810</v>
      </c>
      <c r="E1706" s="240">
        <f t="shared" si="29"/>
        <v>1381</v>
      </c>
    </row>
    <row r="1707" spans="1:5">
      <c r="A1707" s="236">
        <v>41484</v>
      </c>
      <c r="B1707" s="237">
        <v>198350</v>
      </c>
      <c r="C1707" s="239">
        <v>2056</v>
      </c>
      <c r="D1707" s="238">
        <v>13760</v>
      </c>
      <c r="E1707" s="240">
        <f t="shared" si="29"/>
        <v>1376</v>
      </c>
    </row>
    <row r="1708" spans="1:5">
      <c r="A1708" s="236">
        <v>41485</v>
      </c>
      <c r="B1708" s="237">
        <v>200225</v>
      </c>
      <c r="C1708" s="239">
        <v>2029</v>
      </c>
      <c r="D1708" s="238">
        <v>13760</v>
      </c>
      <c r="E1708" s="240">
        <f t="shared" si="29"/>
        <v>1376</v>
      </c>
    </row>
    <row r="1709" spans="1:5">
      <c r="A1709" s="236">
        <v>41486</v>
      </c>
      <c r="B1709" s="237">
        <v>200225</v>
      </c>
      <c r="C1709" s="239">
        <v>2033.5</v>
      </c>
      <c r="D1709" s="238">
        <v>13760</v>
      </c>
      <c r="E1709" s="240">
        <f t="shared" si="29"/>
        <v>1376</v>
      </c>
    </row>
    <row r="1710" spans="1:5">
      <c r="A1710" s="236">
        <v>41487</v>
      </c>
      <c r="B1710" s="237">
        <v>200225</v>
      </c>
      <c r="C1710" s="239">
        <v>2090</v>
      </c>
      <c r="D1710" s="238">
        <v>13810</v>
      </c>
      <c r="E1710" s="240">
        <f t="shared" si="29"/>
        <v>1381</v>
      </c>
    </row>
    <row r="1711" spans="1:5">
      <c r="A1711" s="236">
        <v>41488</v>
      </c>
      <c r="B1711" s="237">
        <v>200125</v>
      </c>
      <c r="C1711" s="239">
        <v>2111.5</v>
      </c>
      <c r="D1711" s="238">
        <v>13810</v>
      </c>
      <c r="E1711" s="240">
        <f t="shared" si="29"/>
        <v>1381</v>
      </c>
    </row>
    <row r="1712" spans="1:5">
      <c r="A1712" s="236">
        <v>41491</v>
      </c>
      <c r="B1712" s="237">
        <v>199775</v>
      </c>
      <c r="C1712" s="239">
        <v>2112</v>
      </c>
      <c r="D1712" s="238">
        <v>13860</v>
      </c>
      <c r="E1712" s="240">
        <f t="shared" si="29"/>
        <v>1386</v>
      </c>
    </row>
    <row r="1713" spans="1:5">
      <c r="A1713" s="236">
        <v>41492</v>
      </c>
      <c r="B1713" s="237">
        <v>200200</v>
      </c>
      <c r="C1713" s="239">
        <v>2118</v>
      </c>
      <c r="D1713" s="238">
        <v>13860</v>
      </c>
      <c r="E1713" s="240">
        <f t="shared" si="29"/>
        <v>1386</v>
      </c>
    </row>
    <row r="1714" spans="1:5">
      <c r="A1714" s="236">
        <v>41493</v>
      </c>
      <c r="B1714" s="237">
        <v>199625</v>
      </c>
      <c r="C1714" s="239">
        <v>2090</v>
      </c>
      <c r="D1714" s="238">
        <v>13890</v>
      </c>
      <c r="E1714" s="240">
        <f t="shared" si="29"/>
        <v>1389</v>
      </c>
    </row>
    <row r="1715" spans="1:5">
      <c r="A1715" s="236">
        <v>41494</v>
      </c>
      <c r="B1715" s="237">
        <v>199825</v>
      </c>
      <c r="C1715" s="239">
        <v>2120</v>
      </c>
      <c r="D1715" s="238">
        <v>13950</v>
      </c>
      <c r="E1715" s="240">
        <f t="shared" si="29"/>
        <v>1395</v>
      </c>
    </row>
    <row r="1716" spans="1:5">
      <c r="A1716" s="236">
        <v>41495</v>
      </c>
      <c r="B1716" s="237">
        <v>199275</v>
      </c>
      <c r="C1716" s="239">
        <v>2152</v>
      </c>
      <c r="D1716" s="238">
        <v>14060</v>
      </c>
      <c r="E1716" s="240">
        <f t="shared" si="29"/>
        <v>1406</v>
      </c>
    </row>
    <row r="1717" spans="1:5">
      <c r="A1717" s="236">
        <v>41498</v>
      </c>
      <c r="B1717" s="237">
        <v>198725</v>
      </c>
      <c r="C1717" s="239">
        <v>2180</v>
      </c>
      <c r="D1717" s="238">
        <v>14240</v>
      </c>
      <c r="E1717" s="240">
        <f t="shared" si="29"/>
        <v>1424</v>
      </c>
    </row>
    <row r="1718" spans="1:5">
      <c r="A1718" s="236">
        <v>41499</v>
      </c>
      <c r="B1718" s="237">
        <v>197675</v>
      </c>
      <c r="C1718" s="239">
        <v>2178</v>
      </c>
      <c r="D1718" s="238">
        <v>14290</v>
      </c>
      <c r="E1718" s="240">
        <f t="shared" ref="E1718:E1781" si="30">D1718/10</f>
        <v>1429</v>
      </c>
    </row>
    <row r="1719" spans="1:5">
      <c r="A1719" s="236">
        <v>41500</v>
      </c>
      <c r="B1719" s="237">
        <v>195025</v>
      </c>
      <c r="C1719" s="239">
        <v>2169</v>
      </c>
      <c r="D1719" s="238">
        <v>14290</v>
      </c>
      <c r="E1719" s="240">
        <f t="shared" si="30"/>
        <v>1429</v>
      </c>
    </row>
    <row r="1720" spans="1:5">
      <c r="A1720" s="236">
        <v>41501</v>
      </c>
      <c r="B1720" s="237">
        <v>191975</v>
      </c>
      <c r="C1720" s="239">
        <v>2190</v>
      </c>
      <c r="D1720" s="238">
        <v>14420</v>
      </c>
      <c r="E1720" s="240">
        <f t="shared" si="30"/>
        <v>1442</v>
      </c>
    </row>
    <row r="1721" spans="1:5">
      <c r="A1721" s="236">
        <v>41502</v>
      </c>
      <c r="B1721" s="237">
        <v>190925</v>
      </c>
      <c r="C1721" s="239">
        <v>2224.5</v>
      </c>
      <c r="D1721" s="238">
        <v>14640</v>
      </c>
      <c r="E1721" s="240">
        <f t="shared" si="30"/>
        <v>1464</v>
      </c>
    </row>
    <row r="1722" spans="1:5">
      <c r="A1722" s="236">
        <v>41505</v>
      </c>
      <c r="B1722" s="237">
        <v>189000</v>
      </c>
      <c r="C1722" s="239">
        <v>2238</v>
      </c>
      <c r="D1722" s="238">
        <v>14940</v>
      </c>
      <c r="E1722" s="240">
        <f t="shared" si="30"/>
        <v>1494</v>
      </c>
    </row>
    <row r="1723" spans="1:5">
      <c r="A1723" s="236">
        <v>41506</v>
      </c>
      <c r="B1723" s="237">
        <v>186025</v>
      </c>
      <c r="C1723" s="239">
        <v>2229.5</v>
      </c>
      <c r="D1723" s="238">
        <v>14810</v>
      </c>
      <c r="E1723" s="240">
        <f t="shared" si="30"/>
        <v>1481</v>
      </c>
    </row>
    <row r="1724" spans="1:5">
      <c r="A1724" s="236">
        <v>41507</v>
      </c>
      <c r="B1724" s="237">
        <v>189600</v>
      </c>
      <c r="C1724" s="239">
        <v>2220</v>
      </c>
      <c r="D1724" s="238">
        <v>14760</v>
      </c>
      <c r="E1724" s="240">
        <f t="shared" si="30"/>
        <v>1476</v>
      </c>
    </row>
    <row r="1725" spans="1:5">
      <c r="A1725" s="236">
        <v>41508</v>
      </c>
      <c r="B1725" s="237">
        <v>186625</v>
      </c>
      <c r="C1725" s="239">
        <v>2227.5</v>
      </c>
      <c r="D1725" s="238">
        <v>14790</v>
      </c>
      <c r="E1725" s="240">
        <f t="shared" si="30"/>
        <v>1479</v>
      </c>
    </row>
    <row r="1726" spans="1:5">
      <c r="A1726" s="236">
        <v>41509</v>
      </c>
      <c r="B1726" s="237">
        <v>187850</v>
      </c>
      <c r="C1726" s="239">
        <v>2197</v>
      </c>
      <c r="D1726" s="238">
        <v>14790</v>
      </c>
      <c r="E1726" s="240">
        <f t="shared" si="30"/>
        <v>1479</v>
      </c>
    </row>
    <row r="1727" spans="1:5">
      <c r="A1727" s="236">
        <v>41512</v>
      </c>
      <c r="B1727" s="237">
        <v>187850</v>
      </c>
      <c r="C1727" s="239">
        <v>2197</v>
      </c>
      <c r="D1727" s="238">
        <v>14860</v>
      </c>
      <c r="E1727" s="240">
        <f t="shared" si="30"/>
        <v>1486</v>
      </c>
    </row>
    <row r="1728" spans="1:5">
      <c r="A1728" s="236">
        <v>41513</v>
      </c>
      <c r="B1728" s="237">
        <v>186525</v>
      </c>
      <c r="C1728" s="239">
        <v>2205.5</v>
      </c>
      <c r="D1728" s="238">
        <v>14860</v>
      </c>
      <c r="E1728" s="240">
        <f t="shared" si="30"/>
        <v>1486</v>
      </c>
    </row>
    <row r="1729" spans="1:5">
      <c r="A1729" s="236">
        <v>41514</v>
      </c>
      <c r="B1729" s="237">
        <v>185950</v>
      </c>
      <c r="C1729" s="239">
        <v>2229.5</v>
      </c>
      <c r="D1729" s="238">
        <v>14860</v>
      </c>
      <c r="E1729" s="240">
        <f t="shared" si="30"/>
        <v>1486</v>
      </c>
    </row>
    <row r="1730" spans="1:5">
      <c r="A1730" s="236">
        <v>41515</v>
      </c>
      <c r="B1730" s="237">
        <v>186200</v>
      </c>
      <c r="C1730" s="239">
        <v>2200</v>
      </c>
      <c r="D1730" s="238">
        <v>14760</v>
      </c>
      <c r="E1730" s="240">
        <f t="shared" si="30"/>
        <v>1476</v>
      </c>
    </row>
    <row r="1731" spans="1:5">
      <c r="A1731" s="236">
        <v>41516</v>
      </c>
      <c r="B1731" s="237">
        <v>185675</v>
      </c>
      <c r="C1731" s="239">
        <v>2160.5</v>
      </c>
      <c r="D1731" s="238">
        <v>14690</v>
      </c>
      <c r="E1731" s="240">
        <f t="shared" si="30"/>
        <v>1469</v>
      </c>
    </row>
    <row r="1732" spans="1:5">
      <c r="A1732" s="236">
        <v>41519</v>
      </c>
      <c r="B1732" s="237">
        <v>185150</v>
      </c>
      <c r="C1732" s="239">
        <v>2152</v>
      </c>
      <c r="D1732" s="238">
        <v>14690</v>
      </c>
      <c r="E1732" s="240">
        <f t="shared" si="30"/>
        <v>1469</v>
      </c>
    </row>
    <row r="1733" spans="1:5">
      <c r="A1733" s="236">
        <v>41520</v>
      </c>
      <c r="B1733" s="237">
        <v>184725</v>
      </c>
      <c r="C1733" s="239">
        <v>2151.5</v>
      </c>
      <c r="D1733" s="238">
        <v>14660</v>
      </c>
      <c r="E1733" s="240">
        <f t="shared" si="30"/>
        <v>1466</v>
      </c>
    </row>
    <row r="1734" spans="1:5">
      <c r="A1734" s="236">
        <v>41521</v>
      </c>
      <c r="B1734" s="237">
        <v>185350</v>
      </c>
      <c r="C1734" s="239">
        <v>2122</v>
      </c>
      <c r="D1734" s="238">
        <v>14490</v>
      </c>
      <c r="E1734" s="240">
        <f t="shared" si="30"/>
        <v>1449</v>
      </c>
    </row>
    <row r="1735" spans="1:5">
      <c r="A1735" s="236">
        <v>41522</v>
      </c>
      <c r="B1735" s="237">
        <v>184450</v>
      </c>
      <c r="C1735" s="239">
        <v>2122</v>
      </c>
      <c r="D1735" s="238">
        <v>14440</v>
      </c>
      <c r="E1735" s="240">
        <f t="shared" si="30"/>
        <v>1444</v>
      </c>
    </row>
    <row r="1736" spans="1:5">
      <c r="A1736" s="236">
        <v>41523</v>
      </c>
      <c r="B1736" s="237">
        <v>183400</v>
      </c>
      <c r="C1736" s="239">
        <v>2151</v>
      </c>
      <c r="D1736" s="238">
        <v>14360</v>
      </c>
      <c r="E1736" s="240">
        <f t="shared" si="30"/>
        <v>1436</v>
      </c>
    </row>
    <row r="1737" spans="1:5">
      <c r="A1737" s="236">
        <v>41526</v>
      </c>
      <c r="B1737" s="237">
        <v>182375</v>
      </c>
      <c r="C1737" s="239">
        <v>2134.5</v>
      </c>
      <c r="D1737" s="238">
        <v>14440</v>
      </c>
      <c r="E1737" s="240">
        <f t="shared" si="30"/>
        <v>1444</v>
      </c>
    </row>
    <row r="1738" spans="1:5">
      <c r="A1738" s="236">
        <v>41527</v>
      </c>
      <c r="B1738" s="237">
        <v>181425</v>
      </c>
      <c r="C1738" s="239">
        <v>2125</v>
      </c>
      <c r="D1738" s="238">
        <v>14390</v>
      </c>
      <c r="E1738" s="240">
        <f t="shared" si="30"/>
        <v>1439</v>
      </c>
    </row>
    <row r="1739" spans="1:5">
      <c r="A1739" s="236">
        <v>41528</v>
      </c>
      <c r="B1739" s="237">
        <v>180425</v>
      </c>
      <c r="C1739" s="239">
        <v>2120</v>
      </c>
      <c r="D1739" s="238">
        <v>14370</v>
      </c>
      <c r="E1739" s="240">
        <f t="shared" si="30"/>
        <v>1437</v>
      </c>
    </row>
    <row r="1740" spans="1:5">
      <c r="A1740" s="236">
        <v>41529</v>
      </c>
      <c r="B1740" s="237">
        <v>182200</v>
      </c>
      <c r="C1740" s="239">
        <v>2083</v>
      </c>
      <c r="D1740" s="238">
        <v>14340</v>
      </c>
      <c r="E1740" s="240">
        <f t="shared" si="30"/>
        <v>1434</v>
      </c>
    </row>
    <row r="1741" spans="1:5">
      <c r="A1741" s="236">
        <v>41530</v>
      </c>
      <c r="B1741" s="237">
        <v>231675</v>
      </c>
      <c r="C1741" s="239">
        <v>2063</v>
      </c>
      <c r="D1741" s="238">
        <v>14290</v>
      </c>
      <c r="E1741" s="240">
        <f t="shared" si="30"/>
        <v>1429</v>
      </c>
    </row>
    <row r="1742" spans="1:5">
      <c r="A1742" s="236">
        <v>41533</v>
      </c>
      <c r="B1742" s="237">
        <v>231225</v>
      </c>
      <c r="C1742" s="239">
        <v>2039.5</v>
      </c>
      <c r="D1742" s="238">
        <v>14190</v>
      </c>
      <c r="E1742" s="240">
        <f t="shared" si="30"/>
        <v>1419</v>
      </c>
    </row>
    <row r="1743" spans="1:5">
      <c r="A1743" s="236">
        <v>41534</v>
      </c>
      <c r="B1743" s="237">
        <v>246100</v>
      </c>
      <c r="C1743" s="239">
        <v>2023</v>
      </c>
      <c r="D1743" s="238">
        <v>14060</v>
      </c>
      <c r="E1743" s="240">
        <f t="shared" si="30"/>
        <v>1406</v>
      </c>
    </row>
    <row r="1744" spans="1:5">
      <c r="A1744" s="236">
        <v>41535</v>
      </c>
      <c r="B1744" s="237">
        <v>245100</v>
      </c>
      <c r="C1744" s="239">
        <v>2053</v>
      </c>
      <c r="D1744" s="238">
        <v>13990</v>
      </c>
      <c r="E1744" s="240">
        <f t="shared" si="30"/>
        <v>1399</v>
      </c>
    </row>
    <row r="1745" spans="1:5">
      <c r="A1745" s="236">
        <v>41536</v>
      </c>
      <c r="B1745" s="237">
        <v>244100</v>
      </c>
      <c r="C1745" s="239">
        <v>2092</v>
      </c>
      <c r="D1745" s="238">
        <v>13990</v>
      </c>
      <c r="E1745" s="240">
        <f>D1745/10</f>
        <v>1399</v>
      </c>
    </row>
    <row r="1746" spans="1:5">
      <c r="A1746" s="236">
        <v>41537</v>
      </c>
      <c r="B1746" s="237">
        <v>244375</v>
      </c>
      <c r="C1746" s="239">
        <v>2075.5</v>
      </c>
      <c r="D1746" s="238">
        <v>13990</v>
      </c>
      <c r="E1746" s="240">
        <f>D1746/10</f>
        <v>1399</v>
      </c>
    </row>
    <row r="1747" spans="1:5">
      <c r="A1747" s="236">
        <v>41540</v>
      </c>
      <c r="B1747" s="237">
        <v>243550</v>
      </c>
      <c r="C1747" s="239">
        <v>2043</v>
      </c>
      <c r="D1747" s="238">
        <v>14010</v>
      </c>
      <c r="E1747" s="240">
        <f t="shared" si="30"/>
        <v>1401</v>
      </c>
    </row>
    <row r="1748" spans="1:5">
      <c r="A1748" s="236">
        <v>41541</v>
      </c>
      <c r="B1748" s="237">
        <v>244000</v>
      </c>
      <c r="C1748" s="239">
        <v>2045</v>
      </c>
      <c r="D1748" s="238">
        <v>14060</v>
      </c>
      <c r="E1748" s="240">
        <f t="shared" si="30"/>
        <v>1406</v>
      </c>
    </row>
    <row r="1749" spans="1:5">
      <c r="A1749" s="236">
        <v>41542</v>
      </c>
      <c r="B1749" s="237">
        <v>243500</v>
      </c>
      <c r="C1749" s="239">
        <v>2042.5</v>
      </c>
      <c r="D1749" s="238">
        <v>14060</v>
      </c>
      <c r="E1749" s="240">
        <f t="shared" si="30"/>
        <v>1406</v>
      </c>
    </row>
    <row r="1750" spans="1:5">
      <c r="A1750" s="236">
        <v>41543</v>
      </c>
      <c r="B1750" s="237">
        <v>241725</v>
      </c>
      <c r="C1750" s="239">
        <v>2061</v>
      </c>
      <c r="D1750" s="238">
        <v>14060</v>
      </c>
      <c r="E1750" s="240">
        <f t="shared" si="30"/>
        <v>1406</v>
      </c>
    </row>
    <row r="1751" spans="1:5">
      <c r="A1751" s="236">
        <v>41544</v>
      </c>
      <c r="B1751" s="237">
        <v>240600</v>
      </c>
      <c r="C1751" s="239">
        <v>2083</v>
      </c>
      <c r="D1751" s="238">
        <v>14110</v>
      </c>
      <c r="E1751" s="240">
        <f t="shared" si="30"/>
        <v>1411</v>
      </c>
    </row>
    <row r="1752" spans="1:5">
      <c r="A1752" s="236">
        <v>41547</v>
      </c>
      <c r="B1752" s="237">
        <v>239850</v>
      </c>
      <c r="C1752" s="239">
        <v>2075</v>
      </c>
      <c r="D1752" s="238">
        <v>14110</v>
      </c>
      <c r="E1752" s="240">
        <f t="shared" si="30"/>
        <v>1411</v>
      </c>
    </row>
    <row r="1753" spans="1:5">
      <c r="A1753" s="236">
        <v>41548</v>
      </c>
      <c r="B1753" s="237">
        <v>239350</v>
      </c>
      <c r="C1753" s="239">
        <v>2052.5</v>
      </c>
      <c r="D1753" s="238">
        <v>14110</v>
      </c>
      <c r="E1753" s="240">
        <f>D1753/10</f>
        <v>1411</v>
      </c>
    </row>
    <row r="1754" spans="1:5">
      <c r="A1754" s="236">
        <v>41549</v>
      </c>
      <c r="B1754" s="237">
        <v>238850</v>
      </c>
      <c r="C1754" s="239">
        <v>2035</v>
      </c>
      <c r="D1754" s="238">
        <v>14110</v>
      </c>
      <c r="E1754" s="240">
        <f>D1754/10</f>
        <v>1411</v>
      </c>
    </row>
    <row r="1755" spans="1:5">
      <c r="A1755" s="236">
        <v>41550</v>
      </c>
      <c r="B1755" s="237">
        <v>238300</v>
      </c>
      <c r="C1755" s="239">
        <v>2048</v>
      </c>
      <c r="D1755" s="238">
        <v>14110</v>
      </c>
      <c r="E1755" s="240">
        <f>D1755/10</f>
        <v>1411</v>
      </c>
    </row>
    <row r="1756" spans="1:5">
      <c r="A1756" s="236">
        <v>41551</v>
      </c>
      <c r="B1756" s="237">
        <v>237800</v>
      </c>
      <c r="C1756" s="239">
        <v>2027</v>
      </c>
      <c r="D1756" s="238">
        <v>14110</v>
      </c>
      <c r="E1756" s="240">
        <f>D1756/10</f>
        <v>1411</v>
      </c>
    </row>
    <row r="1757" spans="1:5">
      <c r="A1757" s="236">
        <v>41554</v>
      </c>
      <c r="B1757" s="237">
        <v>237300</v>
      </c>
      <c r="C1757" s="239">
        <v>2028</v>
      </c>
      <c r="D1757" s="238">
        <v>14110</v>
      </c>
      <c r="E1757" s="240">
        <f>D1757/10</f>
        <v>1411</v>
      </c>
    </row>
    <row r="1758" spans="1:5">
      <c r="A1758" s="236">
        <v>41555</v>
      </c>
      <c r="B1758" s="237">
        <v>236800</v>
      </c>
      <c r="C1758" s="239">
        <v>2056</v>
      </c>
      <c r="D1758" s="238">
        <v>14060</v>
      </c>
      <c r="E1758" s="240">
        <f t="shared" si="30"/>
        <v>1406</v>
      </c>
    </row>
    <row r="1759" spans="1:5">
      <c r="A1759" s="236">
        <v>41556</v>
      </c>
      <c r="B1759" s="237">
        <v>236425</v>
      </c>
      <c r="C1759" s="239">
        <v>2061</v>
      </c>
      <c r="D1759" s="238">
        <v>14060</v>
      </c>
      <c r="E1759" s="240">
        <f t="shared" si="30"/>
        <v>1406</v>
      </c>
    </row>
    <row r="1760" spans="1:5">
      <c r="A1760" s="236">
        <v>41557</v>
      </c>
      <c r="B1760" s="237">
        <v>236725</v>
      </c>
      <c r="C1760" s="239">
        <v>2054</v>
      </c>
      <c r="D1760" s="238">
        <v>14060</v>
      </c>
      <c r="E1760" s="240">
        <f t="shared" si="30"/>
        <v>1406</v>
      </c>
    </row>
    <row r="1761" spans="1:5">
      <c r="A1761" s="236">
        <v>41558</v>
      </c>
      <c r="B1761" s="237">
        <v>236725</v>
      </c>
      <c r="C1761" s="239">
        <v>2073</v>
      </c>
      <c r="D1761" s="238">
        <v>14090</v>
      </c>
      <c r="E1761" s="240">
        <f t="shared" si="30"/>
        <v>1409</v>
      </c>
    </row>
    <row r="1762" spans="1:5">
      <c r="A1762" s="236">
        <v>41561</v>
      </c>
      <c r="B1762" s="237">
        <v>235675</v>
      </c>
      <c r="C1762" s="239">
        <v>2102</v>
      </c>
      <c r="D1762" s="238">
        <v>14090</v>
      </c>
      <c r="E1762" s="240">
        <f t="shared" si="30"/>
        <v>1409</v>
      </c>
    </row>
    <row r="1763" spans="1:5">
      <c r="A1763" s="236">
        <v>41562</v>
      </c>
      <c r="B1763" s="237">
        <v>233675</v>
      </c>
      <c r="C1763" s="239">
        <v>2113</v>
      </c>
      <c r="D1763" s="238">
        <v>14140</v>
      </c>
      <c r="E1763" s="240">
        <f t="shared" si="30"/>
        <v>1414</v>
      </c>
    </row>
    <row r="1764" spans="1:5">
      <c r="A1764" s="236">
        <v>41563</v>
      </c>
      <c r="B1764" s="237">
        <v>233025</v>
      </c>
      <c r="C1764" s="239">
        <v>2103.5</v>
      </c>
      <c r="D1764" s="238">
        <v>14140</v>
      </c>
      <c r="E1764" s="240">
        <f t="shared" si="30"/>
        <v>1414</v>
      </c>
    </row>
    <row r="1765" spans="1:5">
      <c r="A1765" s="236">
        <v>41564</v>
      </c>
      <c r="B1765" s="237">
        <v>233025</v>
      </c>
      <c r="C1765" s="239">
        <v>2128</v>
      </c>
      <c r="D1765" s="238">
        <v>14160</v>
      </c>
      <c r="E1765" s="240">
        <f t="shared" si="30"/>
        <v>1416</v>
      </c>
    </row>
    <row r="1766" spans="1:5">
      <c r="A1766" s="236">
        <v>41565</v>
      </c>
      <c r="B1766" s="237">
        <v>232825</v>
      </c>
      <c r="C1766" s="239">
        <v>2158.5</v>
      </c>
      <c r="D1766" s="238">
        <v>14240</v>
      </c>
      <c r="E1766" s="240">
        <f t="shared" si="30"/>
        <v>1424</v>
      </c>
    </row>
    <row r="1767" spans="1:5">
      <c r="A1767" s="236">
        <v>41568</v>
      </c>
      <c r="B1767" s="237">
        <v>232825</v>
      </c>
      <c r="C1767" s="239">
        <v>2157.5</v>
      </c>
      <c r="D1767" s="238">
        <v>14240</v>
      </c>
      <c r="E1767" s="240">
        <f t="shared" si="30"/>
        <v>1424</v>
      </c>
    </row>
    <row r="1768" spans="1:5">
      <c r="A1768" s="236">
        <v>41569</v>
      </c>
      <c r="B1768" s="237">
        <v>232825</v>
      </c>
      <c r="C1768" s="239">
        <v>2183</v>
      </c>
      <c r="D1768" s="238">
        <v>14260</v>
      </c>
      <c r="E1768" s="240">
        <f t="shared" si="30"/>
        <v>1426</v>
      </c>
    </row>
    <row r="1769" spans="1:5">
      <c r="A1769" s="236">
        <v>41570</v>
      </c>
      <c r="B1769" s="237">
        <v>232425</v>
      </c>
      <c r="C1769" s="239">
        <v>2159</v>
      </c>
      <c r="D1769" s="238">
        <v>14310</v>
      </c>
      <c r="E1769" s="240">
        <f t="shared" si="30"/>
        <v>1431</v>
      </c>
    </row>
    <row r="1770" spans="1:5">
      <c r="A1770" s="236">
        <v>41571</v>
      </c>
      <c r="B1770" s="237">
        <v>232225</v>
      </c>
      <c r="C1770" s="239">
        <v>2141</v>
      </c>
      <c r="D1770" s="238">
        <v>14260</v>
      </c>
      <c r="E1770" s="240">
        <f t="shared" si="30"/>
        <v>1426</v>
      </c>
    </row>
    <row r="1771" spans="1:5">
      <c r="A1771" s="236">
        <v>41572</v>
      </c>
      <c r="B1771" s="237">
        <v>231125</v>
      </c>
      <c r="C1771" s="239">
        <v>2149</v>
      </c>
      <c r="D1771" s="238">
        <v>14260</v>
      </c>
      <c r="E1771" s="240">
        <f t="shared" si="30"/>
        <v>1426</v>
      </c>
    </row>
    <row r="1772" spans="1:5">
      <c r="A1772" s="236">
        <v>41575</v>
      </c>
      <c r="B1772" s="237">
        <v>232925</v>
      </c>
      <c r="C1772" s="239">
        <v>2183</v>
      </c>
      <c r="D1772" s="238">
        <v>14340</v>
      </c>
      <c r="E1772" s="240">
        <f t="shared" si="30"/>
        <v>1434</v>
      </c>
    </row>
    <row r="1773" spans="1:5">
      <c r="A1773" s="236">
        <v>41576</v>
      </c>
      <c r="B1773" s="237">
        <v>232925</v>
      </c>
      <c r="C1773" s="239">
        <v>2195</v>
      </c>
      <c r="D1773" s="238">
        <v>14330</v>
      </c>
      <c r="E1773" s="240">
        <f t="shared" si="30"/>
        <v>1433</v>
      </c>
    </row>
    <row r="1774" spans="1:5">
      <c r="A1774" s="236">
        <v>41577</v>
      </c>
      <c r="B1774" s="237">
        <v>232925</v>
      </c>
      <c r="C1774" s="239">
        <v>2186.5</v>
      </c>
      <c r="D1774" s="238">
        <v>14330</v>
      </c>
      <c r="E1774" s="240">
        <f t="shared" si="30"/>
        <v>1433</v>
      </c>
    </row>
    <row r="1775" spans="1:5">
      <c r="A1775" s="236">
        <v>41578</v>
      </c>
      <c r="B1775" s="237">
        <v>232925</v>
      </c>
      <c r="C1775" s="239">
        <v>2170</v>
      </c>
      <c r="D1775" s="238">
        <v>14290</v>
      </c>
      <c r="E1775" s="240">
        <f t="shared" si="30"/>
        <v>1429</v>
      </c>
    </row>
    <row r="1776" spans="1:5">
      <c r="A1776" s="236">
        <v>41579</v>
      </c>
      <c r="B1776" s="237">
        <v>233200</v>
      </c>
      <c r="C1776" s="239">
        <v>2171</v>
      </c>
      <c r="D1776" s="238">
        <v>14290</v>
      </c>
      <c r="E1776" s="240">
        <f t="shared" si="30"/>
        <v>1429</v>
      </c>
    </row>
    <row r="1777" spans="1:5">
      <c r="A1777" s="236">
        <v>41582</v>
      </c>
      <c r="B1777" s="237">
        <v>233150</v>
      </c>
      <c r="C1777" s="239">
        <v>2139</v>
      </c>
      <c r="D1777" s="238">
        <v>14290</v>
      </c>
      <c r="E1777" s="240">
        <f t="shared" si="30"/>
        <v>1429</v>
      </c>
    </row>
    <row r="1778" spans="1:5">
      <c r="A1778" s="236">
        <v>41583</v>
      </c>
      <c r="B1778" s="237">
        <v>233150</v>
      </c>
      <c r="C1778" s="239">
        <v>2123.5</v>
      </c>
      <c r="D1778" s="238">
        <v>14220</v>
      </c>
      <c r="E1778" s="240">
        <f t="shared" si="30"/>
        <v>1422</v>
      </c>
    </row>
    <row r="1779" spans="1:5">
      <c r="A1779" s="236">
        <v>41584</v>
      </c>
      <c r="B1779" s="237">
        <v>233150</v>
      </c>
      <c r="C1779" s="239">
        <v>2150</v>
      </c>
      <c r="D1779" s="238">
        <v>14220</v>
      </c>
      <c r="E1779" s="240">
        <f t="shared" si="30"/>
        <v>1422</v>
      </c>
    </row>
    <row r="1780" spans="1:5">
      <c r="A1780" s="236">
        <v>41585</v>
      </c>
      <c r="B1780" s="237">
        <v>233150</v>
      </c>
      <c r="C1780" s="239">
        <v>2117</v>
      </c>
      <c r="D1780" s="238">
        <v>14220</v>
      </c>
      <c r="E1780" s="240">
        <f t="shared" si="30"/>
        <v>1422</v>
      </c>
    </row>
    <row r="1781" spans="1:5">
      <c r="A1781" s="236">
        <v>41586</v>
      </c>
      <c r="B1781" s="237">
        <v>233000</v>
      </c>
      <c r="C1781" s="239">
        <v>2117</v>
      </c>
      <c r="D1781" s="238">
        <v>14220</v>
      </c>
      <c r="E1781" s="240">
        <f t="shared" si="30"/>
        <v>1422</v>
      </c>
    </row>
    <row r="1782" spans="1:5">
      <c r="A1782" s="236">
        <v>41589</v>
      </c>
      <c r="B1782" s="237">
        <v>233000</v>
      </c>
      <c r="C1782" s="239">
        <v>2107.5</v>
      </c>
      <c r="D1782" s="238">
        <v>14190</v>
      </c>
      <c r="E1782" s="240">
        <f t="shared" ref="E1782:E1817" si="31">D1782/10</f>
        <v>1419</v>
      </c>
    </row>
    <row r="1783" spans="1:5">
      <c r="A1783" s="236">
        <v>41590</v>
      </c>
      <c r="B1783" s="237">
        <v>233000</v>
      </c>
      <c r="C1783" s="239">
        <v>2092</v>
      </c>
      <c r="D1783" s="238">
        <v>14140</v>
      </c>
      <c r="E1783" s="240">
        <f t="shared" si="31"/>
        <v>1414</v>
      </c>
    </row>
    <row r="1784" spans="1:5">
      <c r="A1784" s="236">
        <v>41591</v>
      </c>
      <c r="B1784" s="237">
        <v>236675</v>
      </c>
      <c r="C1784" s="239">
        <v>2077</v>
      </c>
      <c r="D1784" s="238">
        <v>14060</v>
      </c>
      <c r="E1784" s="240">
        <f t="shared" si="31"/>
        <v>1406</v>
      </c>
    </row>
    <row r="1785" spans="1:5">
      <c r="A1785" s="236">
        <v>41592</v>
      </c>
      <c r="B1785" s="237">
        <v>236675</v>
      </c>
      <c r="C1785" s="239">
        <v>2074</v>
      </c>
      <c r="D1785" s="238">
        <v>14060</v>
      </c>
      <c r="E1785" s="240">
        <f t="shared" si="31"/>
        <v>1406</v>
      </c>
    </row>
    <row r="1786" spans="1:5">
      <c r="A1786" s="236">
        <v>41593</v>
      </c>
      <c r="B1786" s="237">
        <v>236675</v>
      </c>
      <c r="C1786" s="239">
        <v>2073</v>
      </c>
      <c r="D1786" s="238">
        <v>14060</v>
      </c>
      <c r="E1786" s="240">
        <f t="shared" si="31"/>
        <v>1406</v>
      </c>
    </row>
    <row r="1787" spans="1:5">
      <c r="A1787" s="236">
        <v>41596</v>
      </c>
      <c r="B1787" s="237">
        <v>236125</v>
      </c>
      <c r="C1787" s="239">
        <v>2072</v>
      </c>
      <c r="D1787" s="238">
        <v>14040</v>
      </c>
      <c r="E1787" s="240">
        <f t="shared" si="31"/>
        <v>1404</v>
      </c>
    </row>
    <row r="1788" spans="1:5">
      <c r="A1788" s="236">
        <v>41597</v>
      </c>
      <c r="B1788" s="237">
        <v>235425</v>
      </c>
      <c r="C1788" s="239">
        <v>2062.5</v>
      </c>
      <c r="D1788" s="238">
        <v>13960</v>
      </c>
      <c r="E1788" s="240">
        <f t="shared" si="31"/>
        <v>1396</v>
      </c>
    </row>
    <row r="1789" spans="1:5">
      <c r="A1789" s="236">
        <v>41598</v>
      </c>
      <c r="B1789" s="237">
        <v>234900</v>
      </c>
      <c r="C1789" s="239">
        <v>2074</v>
      </c>
      <c r="D1789" s="238">
        <v>13960</v>
      </c>
      <c r="E1789" s="240">
        <f t="shared" si="31"/>
        <v>1396</v>
      </c>
    </row>
    <row r="1790" spans="1:5">
      <c r="A1790" s="236">
        <v>41599</v>
      </c>
      <c r="B1790" s="237">
        <v>234125</v>
      </c>
      <c r="C1790" s="239">
        <v>2061</v>
      </c>
      <c r="D1790" s="238">
        <v>13960</v>
      </c>
      <c r="E1790" s="240">
        <f t="shared" si="31"/>
        <v>1396</v>
      </c>
    </row>
    <row r="1791" spans="1:5">
      <c r="A1791" s="236">
        <v>41600</v>
      </c>
      <c r="B1791" s="237">
        <v>233825</v>
      </c>
      <c r="C1791" s="239">
        <v>2083</v>
      </c>
      <c r="D1791" s="238">
        <v>13940</v>
      </c>
      <c r="E1791" s="240">
        <f t="shared" si="31"/>
        <v>1394</v>
      </c>
    </row>
    <row r="1792" spans="1:5">
      <c r="A1792" s="236">
        <v>41603</v>
      </c>
      <c r="B1792" s="237">
        <v>233625</v>
      </c>
      <c r="C1792" s="239">
        <v>2068</v>
      </c>
      <c r="D1792" s="238">
        <v>13940</v>
      </c>
      <c r="E1792" s="240">
        <f t="shared" si="31"/>
        <v>1394</v>
      </c>
    </row>
    <row r="1793" spans="1:5">
      <c r="A1793" s="236">
        <v>41604</v>
      </c>
      <c r="B1793" s="237">
        <v>232900</v>
      </c>
      <c r="C1793" s="239">
        <v>2073</v>
      </c>
      <c r="D1793" s="238">
        <v>13920</v>
      </c>
      <c r="E1793" s="240">
        <f t="shared" si="31"/>
        <v>1392</v>
      </c>
    </row>
    <row r="1794" spans="1:5">
      <c r="A1794" s="236">
        <v>41605</v>
      </c>
      <c r="B1794" s="237">
        <v>232375</v>
      </c>
      <c r="C1794" s="239">
        <v>2067</v>
      </c>
      <c r="D1794" s="238">
        <v>13920</v>
      </c>
      <c r="E1794" s="240">
        <f t="shared" si="31"/>
        <v>1392</v>
      </c>
    </row>
    <row r="1795" spans="1:5">
      <c r="A1795" s="236">
        <v>41606</v>
      </c>
      <c r="B1795" s="237">
        <v>231875</v>
      </c>
      <c r="C1795" s="239">
        <v>2041</v>
      </c>
      <c r="D1795" s="238">
        <v>13890</v>
      </c>
      <c r="E1795" s="240">
        <f t="shared" si="31"/>
        <v>1389</v>
      </c>
    </row>
    <row r="1796" spans="1:5">
      <c r="A1796" s="236">
        <v>41607</v>
      </c>
      <c r="B1796" s="237">
        <v>231375</v>
      </c>
      <c r="C1796" s="239">
        <v>2051.5</v>
      </c>
      <c r="D1796" s="238">
        <v>13890</v>
      </c>
      <c r="E1796" s="240">
        <f t="shared" si="31"/>
        <v>1389</v>
      </c>
    </row>
    <row r="1797" spans="1:5">
      <c r="A1797" s="236">
        <v>41610</v>
      </c>
      <c r="B1797" s="237">
        <v>230175</v>
      </c>
      <c r="C1797" s="239">
        <v>2040.5</v>
      </c>
      <c r="D1797" s="238">
        <v>13890</v>
      </c>
      <c r="E1797" s="240">
        <f t="shared" si="31"/>
        <v>1389</v>
      </c>
    </row>
    <row r="1798" spans="1:5">
      <c r="A1798" s="236">
        <v>41611</v>
      </c>
      <c r="B1798" s="237">
        <v>229950</v>
      </c>
      <c r="C1798" s="239">
        <v>2035.5</v>
      </c>
      <c r="D1798" s="238">
        <v>13840</v>
      </c>
      <c r="E1798" s="240">
        <f t="shared" si="31"/>
        <v>1384</v>
      </c>
    </row>
    <row r="1799" spans="1:5">
      <c r="A1799" s="236">
        <v>41612</v>
      </c>
      <c r="B1799" s="237">
        <v>229450</v>
      </c>
      <c r="C1799" s="239">
        <v>2047</v>
      </c>
      <c r="D1799" s="238">
        <v>13840</v>
      </c>
      <c r="E1799" s="240">
        <f t="shared" si="31"/>
        <v>1384</v>
      </c>
    </row>
    <row r="1800" spans="1:5">
      <c r="A1800" s="236">
        <v>41613</v>
      </c>
      <c r="B1800" s="237">
        <v>228925</v>
      </c>
      <c r="C1800" s="239">
        <v>2074</v>
      </c>
      <c r="D1800" s="238">
        <v>13840</v>
      </c>
      <c r="E1800" s="240">
        <f t="shared" si="31"/>
        <v>1384</v>
      </c>
    </row>
    <row r="1801" spans="1:5">
      <c r="A1801" s="236">
        <v>41614</v>
      </c>
      <c r="B1801" s="237">
        <v>227925</v>
      </c>
      <c r="C1801" s="239">
        <v>2067</v>
      </c>
      <c r="D1801" s="238">
        <v>13820</v>
      </c>
      <c r="E1801" s="240">
        <f t="shared" si="31"/>
        <v>1382</v>
      </c>
    </row>
    <row r="1802" spans="1:5">
      <c r="A1802" s="236">
        <v>41617</v>
      </c>
      <c r="B1802" s="237">
        <v>226950</v>
      </c>
      <c r="C1802" s="239">
        <v>2085.5</v>
      </c>
      <c r="D1802" s="238">
        <v>13840</v>
      </c>
      <c r="E1802" s="240">
        <f t="shared" si="31"/>
        <v>1384</v>
      </c>
    </row>
    <row r="1803" spans="1:5">
      <c r="A1803" s="236">
        <v>41618</v>
      </c>
      <c r="B1803" s="237">
        <v>225950</v>
      </c>
      <c r="C1803" s="239">
        <v>2103.5</v>
      </c>
      <c r="D1803" s="238">
        <v>13890</v>
      </c>
      <c r="E1803" s="240">
        <f t="shared" si="31"/>
        <v>1389</v>
      </c>
    </row>
    <row r="1804" spans="1:5">
      <c r="A1804" s="236">
        <v>41619</v>
      </c>
      <c r="B1804" s="237">
        <v>225950</v>
      </c>
      <c r="C1804" s="239">
        <v>2114</v>
      </c>
      <c r="D1804" s="238">
        <v>13910</v>
      </c>
      <c r="E1804" s="240">
        <f t="shared" si="31"/>
        <v>1391</v>
      </c>
    </row>
    <row r="1805" spans="1:5">
      <c r="A1805" s="236">
        <v>41620</v>
      </c>
      <c r="B1805" s="237">
        <v>223250</v>
      </c>
      <c r="C1805" s="239">
        <v>2114</v>
      </c>
      <c r="D1805" s="238">
        <v>13940</v>
      </c>
      <c r="E1805" s="240">
        <f t="shared" si="31"/>
        <v>1394</v>
      </c>
    </row>
    <row r="1806" spans="1:5">
      <c r="A1806" s="236">
        <v>41621</v>
      </c>
      <c r="B1806" s="237">
        <v>222150</v>
      </c>
      <c r="C1806" s="239">
        <v>2115.5</v>
      </c>
      <c r="D1806" s="238">
        <v>13920</v>
      </c>
      <c r="E1806" s="240">
        <f t="shared" si="31"/>
        <v>1392</v>
      </c>
    </row>
    <row r="1807" spans="1:5">
      <c r="A1807" s="236">
        <v>41624</v>
      </c>
      <c r="B1807" s="237">
        <v>221175</v>
      </c>
      <c r="C1807" s="239">
        <v>2151.5</v>
      </c>
      <c r="D1807" s="238">
        <v>13940</v>
      </c>
      <c r="E1807" s="240">
        <f t="shared" si="31"/>
        <v>1394</v>
      </c>
    </row>
    <row r="1808" spans="1:5">
      <c r="A1808" s="236">
        <v>41625</v>
      </c>
      <c r="B1808" s="237">
        <v>220150</v>
      </c>
      <c r="C1808" s="239">
        <v>2150</v>
      </c>
      <c r="D1808" s="238">
        <v>14025</v>
      </c>
      <c r="E1808" s="240">
        <f t="shared" si="31"/>
        <v>1402.5</v>
      </c>
    </row>
    <row r="1809" spans="1:5">
      <c r="A1809" s="236">
        <v>41626</v>
      </c>
      <c r="B1809" s="237">
        <v>219100</v>
      </c>
      <c r="C1809" s="239">
        <v>2131.5</v>
      </c>
      <c r="D1809" s="238">
        <v>14120</v>
      </c>
      <c r="E1809" s="240">
        <f t="shared" si="31"/>
        <v>1412</v>
      </c>
    </row>
    <row r="1810" spans="1:5">
      <c r="A1810" s="236">
        <v>41627</v>
      </c>
      <c r="B1810" s="237">
        <v>217475</v>
      </c>
      <c r="C1810" s="239">
        <v>2137.5</v>
      </c>
      <c r="D1810" s="238">
        <v>14090</v>
      </c>
      <c r="E1810" s="240">
        <f t="shared" si="31"/>
        <v>1409</v>
      </c>
    </row>
    <row r="1811" spans="1:5">
      <c r="A1811" s="236">
        <v>41628</v>
      </c>
      <c r="B1811" s="237">
        <v>216950</v>
      </c>
      <c r="C1811" s="239">
        <v>2169</v>
      </c>
      <c r="D1811" s="238">
        <v>14090</v>
      </c>
      <c r="E1811" s="240">
        <f t="shared" si="31"/>
        <v>1409</v>
      </c>
    </row>
    <row r="1812" spans="1:5">
      <c r="A1812" s="236">
        <v>41631</v>
      </c>
      <c r="B1812" s="237">
        <v>216450</v>
      </c>
      <c r="C1812" s="239">
        <v>2195.5</v>
      </c>
      <c r="D1812" s="238">
        <v>14190</v>
      </c>
      <c r="E1812" s="240">
        <f t="shared" si="31"/>
        <v>1419</v>
      </c>
    </row>
    <row r="1813" spans="1:5">
      <c r="A1813" s="236">
        <v>41632</v>
      </c>
      <c r="B1813" s="237">
        <v>215450</v>
      </c>
      <c r="C1813" s="239">
        <v>2223.5</v>
      </c>
      <c r="D1813" s="238">
        <v>14140</v>
      </c>
      <c r="E1813" s="240">
        <f t="shared" si="31"/>
        <v>1414</v>
      </c>
    </row>
    <row r="1814" spans="1:5">
      <c r="A1814" s="236">
        <v>41633</v>
      </c>
      <c r="B1814" s="237">
        <v>215450</v>
      </c>
      <c r="C1814" s="239">
        <v>2223.5</v>
      </c>
      <c r="D1814" s="238">
        <v>14220</v>
      </c>
      <c r="E1814" s="240">
        <f t="shared" si="31"/>
        <v>1422</v>
      </c>
    </row>
    <row r="1815" spans="1:5">
      <c r="A1815" s="236">
        <v>41634</v>
      </c>
      <c r="B1815" s="237">
        <v>215450</v>
      </c>
      <c r="C1815" s="239">
        <v>2223.5</v>
      </c>
      <c r="D1815" s="238">
        <v>14220</v>
      </c>
      <c r="E1815" s="240">
        <f t="shared" si="31"/>
        <v>1422</v>
      </c>
    </row>
    <row r="1816" spans="1:5">
      <c r="A1816" s="236">
        <v>41635</v>
      </c>
      <c r="B1816" s="237">
        <v>214950</v>
      </c>
      <c r="C1816" s="239">
        <v>2259</v>
      </c>
      <c r="D1816" s="238">
        <v>14190</v>
      </c>
      <c r="E1816" s="240">
        <f t="shared" si="31"/>
        <v>1419</v>
      </c>
    </row>
    <row r="1817" spans="1:5">
      <c r="A1817" s="236">
        <v>41638</v>
      </c>
      <c r="B1817" s="237">
        <v>214950</v>
      </c>
      <c r="C1817" s="239">
        <v>2240</v>
      </c>
      <c r="D1817" s="238">
        <v>14210</v>
      </c>
      <c r="E1817" s="240">
        <f t="shared" si="31"/>
        <v>1421</v>
      </c>
    </row>
    <row r="1818" spans="1:5">
      <c r="A1818" s="236">
        <v>41639</v>
      </c>
      <c r="B1818" s="237">
        <v>214450</v>
      </c>
      <c r="C1818" s="239">
        <v>2206</v>
      </c>
      <c r="D1818" s="238">
        <v>14210</v>
      </c>
      <c r="E1818" s="240">
        <f>D1818/10</f>
        <v>1421</v>
      </c>
    </row>
    <row r="1819" spans="1:5">
      <c r="A1819" s="236">
        <v>41641</v>
      </c>
      <c r="B1819" s="237">
        <v>213950</v>
      </c>
      <c r="C1819" s="239">
        <v>2212</v>
      </c>
      <c r="D1819" s="238">
        <v>14190</v>
      </c>
      <c r="E1819" s="240">
        <f>D1819/10</f>
        <v>1419</v>
      </c>
    </row>
    <row r="1820" spans="1:5">
      <c r="A1820" s="236">
        <v>41642</v>
      </c>
      <c r="B1820" s="237">
        <v>215200</v>
      </c>
      <c r="C1820" s="239">
        <v>2168</v>
      </c>
      <c r="D1820" s="238">
        <v>14190</v>
      </c>
      <c r="E1820" s="240">
        <f>D1820/10</f>
        <v>1419</v>
      </c>
    </row>
    <row r="1821" spans="1:5">
      <c r="A1821" s="236">
        <v>41645</v>
      </c>
      <c r="B1821" s="237">
        <v>215000</v>
      </c>
      <c r="C1821" s="239">
        <v>2136</v>
      </c>
      <c r="D1821" s="238">
        <v>14140</v>
      </c>
      <c r="E1821" s="240">
        <f t="shared" ref="E1821:E1881" si="32">D1821/10</f>
        <v>1414</v>
      </c>
    </row>
    <row r="1822" spans="1:5">
      <c r="A1822" s="236">
        <v>41646</v>
      </c>
      <c r="B1822" s="237">
        <v>214500</v>
      </c>
      <c r="C1822" s="239">
        <v>2157</v>
      </c>
      <c r="D1822" s="238">
        <v>14140</v>
      </c>
      <c r="E1822" s="240">
        <f t="shared" si="32"/>
        <v>1414</v>
      </c>
    </row>
    <row r="1823" spans="1:5">
      <c r="A1823" s="236">
        <v>41647</v>
      </c>
      <c r="B1823" s="237">
        <v>214000</v>
      </c>
      <c r="C1823" s="239">
        <v>2127</v>
      </c>
      <c r="D1823" s="238">
        <v>14120</v>
      </c>
      <c r="E1823" s="240">
        <f t="shared" si="32"/>
        <v>1412</v>
      </c>
    </row>
    <row r="1824" spans="1:5">
      <c r="A1824" s="236">
        <v>41648</v>
      </c>
      <c r="B1824" s="237">
        <v>213500</v>
      </c>
      <c r="C1824" s="239">
        <v>2093</v>
      </c>
      <c r="D1824" s="238">
        <v>14070</v>
      </c>
      <c r="E1824" s="240">
        <f t="shared" si="32"/>
        <v>1407</v>
      </c>
    </row>
    <row r="1825" spans="1:5">
      <c r="A1825" s="236">
        <v>41649</v>
      </c>
      <c r="B1825" s="237">
        <v>213000</v>
      </c>
      <c r="C1825" s="239">
        <v>2097</v>
      </c>
      <c r="D1825" s="238">
        <v>14010</v>
      </c>
      <c r="E1825" s="240">
        <f t="shared" si="32"/>
        <v>1401</v>
      </c>
    </row>
    <row r="1826" spans="1:5">
      <c r="A1826" s="236">
        <v>41652</v>
      </c>
      <c r="B1826" s="237">
        <v>212500</v>
      </c>
      <c r="C1826" s="239">
        <v>2119</v>
      </c>
      <c r="D1826" s="238">
        <v>14090</v>
      </c>
      <c r="E1826" s="240">
        <f t="shared" si="32"/>
        <v>1409</v>
      </c>
    </row>
    <row r="1827" spans="1:5">
      <c r="A1827" s="236">
        <v>41653</v>
      </c>
      <c r="B1827" s="237">
        <v>212000</v>
      </c>
      <c r="C1827" s="239">
        <v>2181.5</v>
      </c>
      <c r="D1827" s="238">
        <v>14090</v>
      </c>
      <c r="E1827" s="240">
        <f t="shared" si="32"/>
        <v>1409</v>
      </c>
    </row>
    <row r="1828" spans="1:5">
      <c r="A1828" s="236">
        <v>41654</v>
      </c>
      <c r="B1828" s="237">
        <v>211500</v>
      </c>
      <c r="C1828" s="239">
        <v>2151</v>
      </c>
      <c r="D1828" s="238">
        <v>14090</v>
      </c>
      <c r="E1828" s="240">
        <f t="shared" si="32"/>
        <v>1409</v>
      </c>
    </row>
    <row r="1829" spans="1:5">
      <c r="A1829" s="236">
        <v>41655</v>
      </c>
      <c r="B1829" s="237">
        <v>211000</v>
      </c>
      <c r="C1829" s="239">
        <v>2198.5</v>
      </c>
      <c r="D1829" s="238">
        <v>14090</v>
      </c>
      <c r="E1829" s="240">
        <f t="shared" si="32"/>
        <v>1409</v>
      </c>
    </row>
    <row r="1830" spans="1:5">
      <c r="A1830" s="236">
        <v>41656</v>
      </c>
      <c r="B1830" s="237">
        <v>209750</v>
      </c>
      <c r="C1830" s="239">
        <v>2175.5</v>
      </c>
      <c r="D1830" s="238">
        <v>14090</v>
      </c>
      <c r="E1830" s="240">
        <f t="shared" si="32"/>
        <v>1409</v>
      </c>
    </row>
    <row r="1831" spans="1:5">
      <c r="A1831" s="236">
        <v>41659</v>
      </c>
      <c r="B1831" s="237">
        <v>209250</v>
      </c>
      <c r="C1831" s="239">
        <v>2187.5</v>
      </c>
      <c r="D1831" s="238">
        <v>14090</v>
      </c>
      <c r="E1831" s="240">
        <f t="shared" si="32"/>
        <v>1409</v>
      </c>
    </row>
    <row r="1832" spans="1:5">
      <c r="A1832" s="236">
        <v>41660</v>
      </c>
      <c r="B1832" s="237">
        <v>209450</v>
      </c>
      <c r="C1832" s="239">
        <v>2176.5</v>
      </c>
      <c r="D1832" s="238">
        <v>14070</v>
      </c>
      <c r="E1832" s="240">
        <f t="shared" si="32"/>
        <v>1407</v>
      </c>
    </row>
    <row r="1833" spans="1:5">
      <c r="A1833" s="236">
        <v>41661</v>
      </c>
      <c r="B1833" s="237">
        <v>208850</v>
      </c>
      <c r="C1833" s="239">
        <v>2182</v>
      </c>
      <c r="D1833" s="238">
        <v>14060</v>
      </c>
      <c r="E1833" s="240">
        <f t="shared" si="32"/>
        <v>1406</v>
      </c>
    </row>
    <row r="1834" spans="1:5">
      <c r="A1834" s="236">
        <v>41662</v>
      </c>
      <c r="B1834" s="237">
        <v>207950</v>
      </c>
      <c r="C1834" s="239">
        <v>2155</v>
      </c>
      <c r="D1834" s="238">
        <v>14010</v>
      </c>
      <c r="E1834" s="240">
        <f t="shared" si="32"/>
        <v>1401</v>
      </c>
    </row>
    <row r="1835" spans="1:5">
      <c r="A1835" s="236">
        <v>41663</v>
      </c>
      <c r="B1835" s="237">
        <v>207575</v>
      </c>
      <c r="C1835" s="239">
        <v>2145.5</v>
      </c>
      <c r="D1835" s="238">
        <v>14010</v>
      </c>
      <c r="E1835" s="240">
        <f t="shared" si="32"/>
        <v>1401</v>
      </c>
    </row>
    <row r="1836" spans="1:5">
      <c r="A1836" s="236">
        <v>41666</v>
      </c>
      <c r="B1836" s="237">
        <v>209675</v>
      </c>
      <c r="C1836" s="239">
        <v>2136</v>
      </c>
      <c r="D1836" s="238">
        <v>13990</v>
      </c>
      <c r="E1836" s="240">
        <f t="shared" si="32"/>
        <v>1399</v>
      </c>
    </row>
    <row r="1837" spans="1:5">
      <c r="A1837" s="236">
        <v>41667</v>
      </c>
      <c r="B1837" s="237">
        <v>209175</v>
      </c>
      <c r="C1837" s="239">
        <v>2127</v>
      </c>
      <c r="D1837" s="238">
        <v>13990</v>
      </c>
      <c r="E1837" s="240">
        <f t="shared" si="32"/>
        <v>1399</v>
      </c>
    </row>
    <row r="1838" spans="1:5">
      <c r="A1838" s="236">
        <v>41668</v>
      </c>
      <c r="B1838" s="237">
        <v>209175</v>
      </c>
      <c r="C1838" s="239">
        <v>2143</v>
      </c>
      <c r="D1838" s="238">
        <v>13990</v>
      </c>
      <c r="E1838" s="240">
        <f t="shared" si="32"/>
        <v>1399</v>
      </c>
    </row>
    <row r="1839" spans="1:5">
      <c r="A1839" s="236">
        <v>41669</v>
      </c>
      <c r="B1839" s="237">
        <v>208975</v>
      </c>
      <c r="C1839" s="239">
        <v>2116</v>
      </c>
      <c r="D1839" s="238">
        <v>13990</v>
      </c>
      <c r="E1839" s="240">
        <f t="shared" si="32"/>
        <v>1399</v>
      </c>
    </row>
    <row r="1840" spans="1:5">
      <c r="A1840" s="236">
        <v>41670</v>
      </c>
      <c r="B1840" s="237">
        <v>208475</v>
      </c>
      <c r="C1840" s="239">
        <v>2091.5</v>
      </c>
      <c r="D1840" s="238">
        <v>13990</v>
      </c>
      <c r="E1840" s="240">
        <f>D1840/10</f>
        <v>1399</v>
      </c>
    </row>
    <row r="1841" spans="1:5">
      <c r="A1841" s="236">
        <v>41673</v>
      </c>
      <c r="B1841" s="237">
        <v>208425</v>
      </c>
      <c r="C1841" s="239">
        <v>2087.5</v>
      </c>
      <c r="D1841" s="238">
        <v>13990</v>
      </c>
      <c r="E1841" s="240">
        <f>D1841/10</f>
        <v>1399</v>
      </c>
    </row>
    <row r="1842" spans="1:5">
      <c r="A1842" s="236">
        <v>41674</v>
      </c>
      <c r="B1842" s="237">
        <v>207925</v>
      </c>
      <c r="C1842" s="239">
        <v>2091.5</v>
      </c>
      <c r="D1842" s="238">
        <v>13990</v>
      </c>
      <c r="E1842" s="240">
        <f>D1842/10</f>
        <v>1399</v>
      </c>
    </row>
    <row r="1843" spans="1:5">
      <c r="A1843" s="236">
        <v>41675</v>
      </c>
      <c r="B1843" s="237">
        <v>207425</v>
      </c>
      <c r="C1843" s="239">
        <v>2093</v>
      </c>
      <c r="D1843" s="238">
        <v>13990</v>
      </c>
      <c r="E1843" s="240">
        <f>D1843/10</f>
        <v>1399</v>
      </c>
    </row>
    <row r="1844" spans="1:5">
      <c r="A1844" s="236">
        <v>41676</v>
      </c>
      <c r="B1844" s="237">
        <v>206925</v>
      </c>
      <c r="C1844" s="239">
        <v>2078</v>
      </c>
      <c r="D1844" s="238">
        <v>13990</v>
      </c>
      <c r="E1844" s="240">
        <f>D1844/10</f>
        <v>1399</v>
      </c>
    </row>
    <row r="1845" spans="1:5">
      <c r="A1845" s="236">
        <v>41677</v>
      </c>
      <c r="B1845" s="237">
        <v>206425</v>
      </c>
      <c r="C1845" s="239">
        <v>2117</v>
      </c>
      <c r="D1845" s="247">
        <v>13990</v>
      </c>
      <c r="E1845" s="240">
        <f t="shared" si="32"/>
        <v>1399</v>
      </c>
    </row>
    <row r="1846" spans="1:5">
      <c r="A1846" s="236">
        <v>41680</v>
      </c>
      <c r="B1846" s="237">
        <v>205925</v>
      </c>
      <c r="C1846" s="239">
        <v>2111.5</v>
      </c>
      <c r="D1846" s="247">
        <v>13990</v>
      </c>
      <c r="E1846" s="240">
        <f t="shared" si="32"/>
        <v>1399</v>
      </c>
    </row>
    <row r="1847" spans="1:5">
      <c r="A1847" s="236">
        <v>41681</v>
      </c>
      <c r="B1847" s="237">
        <v>205425</v>
      </c>
      <c r="C1847" s="239">
        <v>2085</v>
      </c>
      <c r="D1847" s="247">
        <v>13990</v>
      </c>
      <c r="E1847" s="240">
        <f t="shared" si="32"/>
        <v>1399</v>
      </c>
    </row>
    <row r="1848" spans="1:5">
      <c r="A1848" s="236">
        <v>41682</v>
      </c>
      <c r="B1848" s="237">
        <v>204925</v>
      </c>
      <c r="C1848" s="239">
        <v>2103.5</v>
      </c>
      <c r="D1848" s="247">
        <v>13990</v>
      </c>
      <c r="E1848" s="240">
        <f t="shared" si="32"/>
        <v>1399</v>
      </c>
    </row>
    <row r="1849" spans="1:5">
      <c r="A1849" s="236">
        <v>41683</v>
      </c>
      <c r="B1849" s="237">
        <v>204425</v>
      </c>
      <c r="C1849" s="239">
        <v>2105</v>
      </c>
      <c r="D1849" s="247">
        <v>13960</v>
      </c>
      <c r="E1849" s="240">
        <f t="shared" si="32"/>
        <v>1396</v>
      </c>
    </row>
    <row r="1850" spans="1:5">
      <c r="A1850" s="236">
        <v>41684</v>
      </c>
      <c r="B1850" s="237">
        <v>203925</v>
      </c>
      <c r="C1850" s="239">
        <v>2123</v>
      </c>
      <c r="D1850" s="247">
        <v>13910</v>
      </c>
      <c r="E1850" s="240">
        <f t="shared" si="32"/>
        <v>1391</v>
      </c>
    </row>
    <row r="1851" spans="1:5">
      <c r="A1851" s="236">
        <v>41687</v>
      </c>
      <c r="B1851" s="237">
        <v>203425</v>
      </c>
      <c r="C1851" s="239">
        <v>2131.5</v>
      </c>
      <c r="D1851" s="247">
        <v>13910</v>
      </c>
      <c r="E1851" s="240">
        <f t="shared" si="32"/>
        <v>1391</v>
      </c>
    </row>
    <row r="1852" spans="1:5">
      <c r="A1852" s="236">
        <v>41688</v>
      </c>
      <c r="B1852" s="237">
        <v>202925</v>
      </c>
      <c r="C1852" s="239">
        <v>2132.5</v>
      </c>
      <c r="D1852" s="247">
        <v>13910</v>
      </c>
      <c r="E1852" s="240">
        <f t="shared" si="32"/>
        <v>1391</v>
      </c>
    </row>
    <row r="1853" spans="1:5">
      <c r="A1853" s="236">
        <v>41689</v>
      </c>
      <c r="B1853" s="237">
        <v>201875</v>
      </c>
      <c r="C1853" s="239">
        <v>2155</v>
      </c>
      <c r="D1853" s="247">
        <v>13940</v>
      </c>
      <c r="E1853" s="240">
        <f t="shared" si="32"/>
        <v>1394</v>
      </c>
    </row>
    <row r="1854" spans="1:5">
      <c r="A1854" s="236">
        <v>41690</v>
      </c>
      <c r="B1854" s="237">
        <v>201275</v>
      </c>
      <c r="C1854" s="239">
        <v>2124</v>
      </c>
      <c r="D1854" s="247">
        <v>13940</v>
      </c>
      <c r="E1854" s="240">
        <f t="shared" si="32"/>
        <v>1394</v>
      </c>
    </row>
    <row r="1855" spans="1:5">
      <c r="A1855" s="236">
        <v>41691</v>
      </c>
      <c r="B1855" s="237">
        <v>201350</v>
      </c>
      <c r="C1855" s="239">
        <v>2133</v>
      </c>
      <c r="D1855" s="247">
        <v>13920</v>
      </c>
      <c r="E1855" s="240">
        <f t="shared" si="32"/>
        <v>1392</v>
      </c>
    </row>
    <row r="1856" spans="1:5">
      <c r="A1856" s="236">
        <v>41694</v>
      </c>
      <c r="B1856" s="237">
        <v>201350</v>
      </c>
      <c r="C1856" s="239">
        <v>2102</v>
      </c>
      <c r="D1856" s="247">
        <v>13870</v>
      </c>
      <c r="E1856" s="240">
        <f t="shared" si="32"/>
        <v>1387</v>
      </c>
    </row>
    <row r="1857" spans="1:6">
      <c r="A1857" s="236">
        <v>41695</v>
      </c>
      <c r="B1857" s="237">
        <v>201350</v>
      </c>
      <c r="C1857" s="239">
        <v>2112</v>
      </c>
      <c r="D1857" s="247">
        <v>13870</v>
      </c>
      <c r="E1857" s="240">
        <f t="shared" si="32"/>
        <v>1387</v>
      </c>
    </row>
    <row r="1858" spans="1:6">
      <c r="A1858" s="236">
        <v>41696</v>
      </c>
      <c r="B1858" s="237">
        <v>202575</v>
      </c>
      <c r="C1858" s="239">
        <v>2110</v>
      </c>
      <c r="D1858" s="247">
        <v>13840</v>
      </c>
      <c r="E1858" s="240">
        <f t="shared" si="32"/>
        <v>1384</v>
      </c>
    </row>
    <row r="1859" spans="1:6">
      <c r="A1859" s="236">
        <v>41697</v>
      </c>
      <c r="B1859" s="237">
        <v>202425</v>
      </c>
      <c r="C1859" s="239">
        <v>2099</v>
      </c>
      <c r="D1859" s="247">
        <v>13840</v>
      </c>
      <c r="E1859" s="240">
        <f t="shared" si="32"/>
        <v>1384</v>
      </c>
    </row>
    <row r="1860" spans="1:6">
      <c r="A1860" s="273">
        <v>41698</v>
      </c>
      <c r="B1860" s="274">
        <v>202225</v>
      </c>
      <c r="C1860" s="275">
        <v>2115.5</v>
      </c>
      <c r="D1860" s="276">
        <v>13840</v>
      </c>
      <c r="E1860" s="277">
        <f t="shared" si="32"/>
        <v>1384</v>
      </c>
      <c r="F1860" s="278"/>
    </row>
    <row r="1861" spans="1:6">
      <c r="A1861" s="236">
        <v>41701</v>
      </c>
      <c r="B1861" s="237">
        <v>202775</v>
      </c>
      <c r="C1861" s="239">
        <v>2081</v>
      </c>
      <c r="D1861" s="247">
        <v>13790</v>
      </c>
      <c r="E1861" s="240">
        <f t="shared" si="32"/>
        <v>1379</v>
      </c>
    </row>
    <row r="1862" spans="1:6">
      <c r="A1862" s="236">
        <v>41702</v>
      </c>
      <c r="B1862" s="237">
        <v>202775</v>
      </c>
      <c r="C1862" s="239">
        <v>2102.5</v>
      </c>
      <c r="D1862" s="247">
        <v>13790</v>
      </c>
      <c r="E1862" s="240">
        <f t="shared" si="32"/>
        <v>1379</v>
      </c>
    </row>
    <row r="1863" spans="1:6">
      <c r="A1863" s="236">
        <v>41703</v>
      </c>
      <c r="B1863" s="237">
        <v>202650</v>
      </c>
      <c r="C1863" s="239">
        <v>2123.5</v>
      </c>
      <c r="D1863" s="247">
        <v>13810</v>
      </c>
      <c r="E1863" s="240">
        <f t="shared" si="32"/>
        <v>1381</v>
      </c>
    </row>
    <row r="1864" spans="1:6">
      <c r="A1864" s="236">
        <v>41704</v>
      </c>
      <c r="B1864" s="237">
        <v>203975</v>
      </c>
      <c r="C1864" s="239">
        <v>2105</v>
      </c>
      <c r="D1864" s="247">
        <v>13790</v>
      </c>
      <c r="E1864" s="240">
        <f t="shared" si="32"/>
        <v>1379</v>
      </c>
    </row>
    <row r="1865" spans="1:6">
      <c r="A1865" s="236">
        <v>41705</v>
      </c>
      <c r="B1865" s="237">
        <v>203975</v>
      </c>
      <c r="C1865" s="239">
        <v>2084.5</v>
      </c>
      <c r="D1865" s="247">
        <v>13760</v>
      </c>
      <c r="E1865" s="240">
        <f t="shared" si="32"/>
        <v>1376</v>
      </c>
    </row>
    <row r="1866" spans="1:6">
      <c r="A1866" s="236">
        <v>41708</v>
      </c>
      <c r="B1866" s="237">
        <v>203800</v>
      </c>
      <c r="C1866" s="239">
        <v>2039</v>
      </c>
      <c r="D1866" s="247">
        <v>13640</v>
      </c>
      <c r="E1866" s="240">
        <f t="shared" si="32"/>
        <v>1364</v>
      </c>
    </row>
    <row r="1867" spans="1:6">
      <c r="A1867" s="236">
        <v>41709</v>
      </c>
      <c r="B1867" s="237">
        <v>203325</v>
      </c>
      <c r="C1867" s="239">
        <v>2079</v>
      </c>
      <c r="D1867" s="247">
        <v>13690</v>
      </c>
      <c r="E1867" s="240">
        <f t="shared" si="32"/>
        <v>1369</v>
      </c>
    </row>
    <row r="1868" spans="1:6">
      <c r="A1868" s="236">
        <v>41710</v>
      </c>
      <c r="B1868" s="237">
        <v>203100</v>
      </c>
      <c r="C1868" s="239">
        <v>2022</v>
      </c>
      <c r="D1868" s="247">
        <v>13660</v>
      </c>
      <c r="E1868" s="240">
        <f t="shared" si="32"/>
        <v>1366</v>
      </c>
    </row>
    <row r="1869" spans="1:6">
      <c r="A1869" s="236">
        <v>41711</v>
      </c>
      <c r="B1869" s="237">
        <v>202400</v>
      </c>
      <c r="C1869" s="239">
        <v>2008</v>
      </c>
      <c r="D1869" s="247">
        <v>13660</v>
      </c>
      <c r="E1869" s="240">
        <f t="shared" si="32"/>
        <v>1366</v>
      </c>
    </row>
    <row r="1870" spans="1:6">
      <c r="A1870" s="236">
        <v>41712</v>
      </c>
      <c r="B1870" s="237">
        <v>201850</v>
      </c>
      <c r="C1870" s="239">
        <v>2018</v>
      </c>
      <c r="D1870" s="247">
        <v>13640</v>
      </c>
      <c r="E1870" s="240">
        <f t="shared" si="32"/>
        <v>1364</v>
      </c>
    </row>
    <row r="1871" spans="1:6">
      <c r="A1871" s="236">
        <v>41715</v>
      </c>
      <c r="B1871" s="237">
        <v>202075</v>
      </c>
      <c r="C1871" s="239">
        <v>2035.5</v>
      </c>
      <c r="D1871" s="247">
        <v>13640</v>
      </c>
      <c r="E1871" s="240">
        <f t="shared" si="32"/>
        <v>1364</v>
      </c>
    </row>
    <row r="1872" spans="1:6">
      <c r="A1872" s="236">
        <v>41716</v>
      </c>
      <c r="B1872" s="237">
        <v>201675</v>
      </c>
      <c r="C1872" s="239">
        <v>2027</v>
      </c>
      <c r="D1872" s="247">
        <v>13640</v>
      </c>
      <c r="E1872" s="240">
        <f t="shared" si="32"/>
        <v>1364</v>
      </c>
    </row>
    <row r="1873" spans="1:5">
      <c r="A1873" s="236">
        <v>41717</v>
      </c>
      <c r="B1873" s="237">
        <v>201050</v>
      </c>
      <c r="C1873" s="239">
        <v>2035.5</v>
      </c>
      <c r="D1873" s="247">
        <v>13660</v>
      </c>
      <c r="E1873" s="240">
        <f t="shared" si="32"/>
        <v>1366</v>
      </c>
    </row>
    <row r="1874" spans="1:5">
      <c r="A1874" s="236">
        <v>41718</v>
      </c>
      <c r="B1874" s="237">
        <v>200700</v>
      </c>
      <c r="C1874" s="239">
        <v>2046</v>
      </c>
      <c r="D1874" s="247">
        <v>13690</v>
      </c>
      <c r="E1874" s="240">
        <f t="shared" si="32"/>
        <v>1369</v>
      </c>
    </row>
    <row r="1875" spans="1:5">
      <c r="A1875" s="236">
        <v>41719</v>
      </c>
      <c r="B1875" s="237">
        <v>200700</v>
      </c>
      <c r="C1875" s="239">
        <v>2061</v>
      </c>
      <c r="D1875" s="247">
        <v>13690</v>
      </c>
      <c r="E1875" s="240">
        <f t="shared" si="32"/>
        <v>1369</v>
      </c>
    </row>
    <row r="1876" spans="1:5">
      <c r="A1876" s="236">
        <v>41722</v>
      </c>
      <c r="B1876" s="237">
        <v>200700</v>
      </c>
      <c r="C1876" s="239">
        <v>2049.5</v>
      </c>
      <c r="D1876" s="247">
        <v>13690</v>
      </c>
      <c r="E1876" s="240">
        <f t="shared" si="32"/>
        <v>1369</v>
      </c>
    </row>
    <row r="1877" spans="1:5">
      <c r="A1877" s="236">
        <v>41723</v>
      </c>
      <c r="B1877" s="237">
        <v>200700</v>
      </c>
      <c r="C1877" s="239">
        <v>2059</v>
      </c>
      <c r="D1877" s="247">
        <v>13690</v>
      </c>
      <c r="E1877" s="240">
        <f t="shared" si="32"/>
        <v>1369</v>
      </c>
    </row>
    <row r="1878" spans="1:5">
      <c r="A1878" s="236">
        <v>41724</v>
      </c>
      <c r="B1878" s="237">
        <v>200625</v>
      </c>
      <c r="C1878" s="239">
        <v>2065</v>
      </c>
      <c r="D1878" s="247">
        <v>13720</v>
      </c>
      <c r="E1878" s="240">
        <f t="shared" si="32"/>
        <v>1372</v>
      </c>
    </row>
    <row r="1879" spans="1:5">
      <c r="A1879" s="236">
        <v>41725</v>
      </c>
      <c r="B1879" s="237">
        <v>200400</v>
      </c>
      <c r="C1879" s="239">
        <v>2043.5</v>
      </c>
      <c r="D1879" s="247">
        <v>13720</v>
      </c>
      <c r="E1879" s="240">
        <f t="shared" si="32"/>
        <v>1372</v>
      </c>
    </row>
    <row r="1880" spans="1:5">
      <c r="A1880" s="236">
        <v>41726</v>
      </c>
      <c r="B1880" s="237">
        <v>200375</v>
      </c>
      <c r="C1880" s="239">
        <v>2058</v>
      </c>
      <c r="D1880" s="247">
        <v>13720</v>
      </c>
      <c r="E1880" s="240">
        <f t="shared" si="32"/>
        <v>1372</v>
      </c>
    </row>
    <row r="1881" spans="1:5">
      <c r="A1881" s="273">
        <v>41729</v>
      </c>
      <c r="B1881" s="274">
        <v>200325</v>
      </c>
      <c r="C1881" s="275">
        <v>2041</v>
      </c>
      <c r="D1881" s="276">
        <v>13720</v>
      </c>
      <c r="E1881" s="277">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391" customFormat="1" ht="17.25" customHeight="1"/>
    <row r="12" s="391" customFormat="1" ht="17.25" customHeight="1"/>
    <row r="13" s="392"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26" t="s">
        <v>99</v>
      </c>
      <c r="B1" s="1426"/>
      <c r="C1" s="1426"/>
      <c r="D1" s="1426"/>
      <c r="E1" s="1426"/>
      <c r="F1" s="1426"/>
      <c r="G1" s="1426"/>
    </row>
    <row r="2" spans="1:9" ht="15.6">
      <c r="A2" s="62" t="s">
        <v>0</v>
      </c>
      <c r="B2" s="254" t="s">
        <v>65</v>
      </c>
      <c r="C2" s="254" t="s">
        <v>66</v>
      </c>
      <c r="D2" s="254" t="s">
        <v>67</v>
      </c>
      <c r="E2" s="254"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64">
        <v>57320.234924778211</v>
      </c>
      <c r="F24" s="99">
        <f>AVERAGE(E3:E24)</f>
        <v>57320.234924778204</v>
      </c>
      <c r="G24" s="264"/>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270">
        <v>28.5</v>
      </c>
      <c r="D34" s="271">
        <f t="shared" si="1"/>
        <v>26.75</v>
      </c>
      <c r="E34">
        <v>58973.7</v>
      </c>
    </row>
    <row r="35" spans="1:16" ht="15.6">
      <c r="A35" s="68">
        <v>41687</v>
      </c>
      <c r="B35" s="69">
        <v>25</v>
      </c>
      <c r="C35" s="270">
        <v>28.5</v>
      </c>
      <c r="D35" s="271">
        <f t="shared" si="1"/>
        <v>26.75</v>
      </c>
      <c r="E35">
        <v>58973.7</v>
      </c>
    </row>
    <row r="36" spans="1:16" ht="15.6">
      <c r="A36" s="68">
        <v>41688</v>
      </c>
      <c r="B36" s="69">
        <v>25</v>
      </c>
      <c r="C36" s="270">
        <v>28.5</v>
      </c>
      <c r="D36" s="271">
        <f t="shared" si="1"/>
        <v>26.75</v>
      </c>
      <c r="E36">
        <v>58973.7</v>
      </c>
    </row>
    <row r="37" spans="1:16" ht="16.2" thickBot="1">
      <c r="A37" s="68">
        <v>41689</v>
      </c>
      <c r="B37" s="270">
        <v>25.5</v>
      </c>
      <c r="C37" s="270">
        <v>28.5</v>
      </c>
      <c r="D37" s="271">
        <f t="shared" si="1"/>
        <v>27</v>
      </c>
      <c r="E37">
        <v>59524.86</v>
      </c>
    </row>
    <row r="38" spans="1:16" ht="15.6">
      <c r="A38" s="68">
        <v>41690</v>
      </c>
      <c r="B38" s="270">
        <v>25.5</v>
      </c>
      <c r="C38" s="270">
        <v>28.5</v>
      </c>
      <c r="D38" s="271">
        <f t="shared" si="1"/>
        <v>27</v>
      </c>
      <c r="E38">
        <v>59524.86</v>
      </c>
      <c r="J38" s="1427" t="s">
        <v>103</v>
      </c>
      <c r="K38" s="1428"/>
      <c r="L38" s="259" t="s">
        <v>104</v>
      </c>
      <c r="M38" s="259" t="s">
        <v>105</v>
      </c>
      <c r="N38" s="259" t="s">
        <v>106</v>
      </c>
      <c r="O38" s="259" t="s">
        <v>107</v>
      </c>
      <c r="P38" s="260" t="s">
        <v>108</v>
      </c>
    </row>
    <row r="39" spans="1:16" ht="16.2" thickBot="1">
      <c r="A39" s="68">
        <v>41691</v>
      </c>
      <c r="B39" s="270">
        <v>25.5</v>
      </c>
      <c r="C39" s="270">
        <v>29</v>
      </c>
      <c r="D39" s="271">
        <f t="shared" si="1"/>
        <v>27.25</v>
      </c>
      <c r="E39">
        <v>60076.02</v>
      </c>
      <c r="J39" s="1429"/>
      <c r="K39" s="1430"/>
      <c r="L39" s="257">
        <v>25</v>
      </c>
      <c r="M39" s="257">
        <v>28</v>
      </c>
      <c r="N39" s="256">
        <f>(L39+M39)/2</f>
        <v>26.5</v>
      </c>
      <c r="O39" s="256">
        <f>N39/P45</f>
        <v>58.422547134870101</v>
      </c>
      <c r="P39" s="258">
        <f>O39*1000</f>
        <v>58422.547134870103</v>
      </c>
    </row>
    <row r="40" spans="1:16" ht="15.6">
      <c r="A40" s="68">
        <v>41694</v>
      </c>
      <c r="B40" s="270">
        <v>25.5</v>
      </c>
      <c r="C40" s="270">
        <v>29</v>
      </c>
      <c r="D40" s="271">
        <f t="shared" si="1"/>
        <v>27.25</v>
      </c>
      <c r="E40">
        <v>60076.02</v>
      </c>
      <c r="J40" s="261"/>
      <c r="K40" s="261"/>
      <c r="L40" s="262"/>
      <c r="M40" s="262"/>
      <c r="P40" s="263"/>
    </row>
    <row r="41" spans="1:16" ht="15.6">
      <c r="A41" s="68">
        <v>41695</v>
      </c>
      <c r="B41" s="270">
        <v>25.5</v>
      </c>
      <c r="C41" s="270">
        <v>29</v>
      </c>
      <c r="D41" s="271">
        <f t="shared" si="1"/>
        <v>27.25</v>
      </c>
      <c r="E41">
        <v>60076.02</v>
      </c>
    </row>
    <row r="42" spans="1:16" ht="15.6">
      <c r="A42" s="68">
        <v>41696</v>
      </c>
      <c r="B42" s="270">
        <v>25.5</v>
      </c>
      <c r="C42" s="270">
        <v>29</v>
      </c>
      <c r="D42" s="271">
        <f t="shared" si="1"/>
        <v>27.25</v>
      </c>
      <c r="E42">
        <v>60076.02</v>
      </c>
    </row>
    <row r="43" spans="1:16" ht="15.6">
      <c r="A43" s="68">
        <v>41697</v>
      </c>
      <c r="B43" s="270">
        <v>25.5</v>
      </c>
      <c r="C43" s="270">
        <v>29</v>
      </c>
      <c r="D43" s="271">
        <f t="shared" si="1"/>
        <v>27.25</v>
      </c>
      <c r="E43">
        <v>60076.02</v>
      </c>
    </row>
    <row r="44" spans="1:16" ht="16.2" thickBot="1">
      <c r="A44" s="72">
        <v>41698</v>
      </c>
      <c r="B44" s="280">
        <v>25.5</v>
      </c>
      <c r="C44" s="280">
        <v>29</v>
      </c>
      <c r="D44" s="281">
        <f t="shared" si="1"/>
        <v>27.25</v>
      </c>
      <c r="E44" s="264">
        <v>60076.02</v>
      </c>
      <c r="F44" s="99">
        <f>AVERAGE(E25:E44)</f>
        <v>58615.45271615019</v>
      </c>
      <c r="G44" s="99">
        <f>AVERAGE(E3:E44)</f>
        <v>57937.00530162199</v>
      </c>
      <c r="P44" t="s">
        <v>109</v>
      </c>
    </row>
    <row r="45" spans="1:16" ht="15.6">
      <c r="A45" s="68">
        <v>41701</v>
      </c>
      <c r="B45" s="270">
        <v>25.5</v>
      </c>
      <c r="C45" s="270">
        <v>29</v>
      </c>
      <c r="D45" s="271">
        <f t="shared" si="1"/>
        <v>27.25</v>
      </c>
      <c r="E45">
        <v>60076.02</v>
      </c>
      <c r="P45" s="255">
        <v>0.453592</v>
      </c>
    </row>
    <row r="46" spans="1:16" ht="15.6">
      <c r="A46" s="68">
        <v>41702</v>
      </c>
      <c r="B46" s="270">
        <v>25.5</v>
      </c>
      <c r="C46" s="270">
        <v>29</v>
      </c>
      <c r="D46" s="271">
        <f t="shared" si="1"/>
        <v>27.25</v>
      </c>
      <c r="E46">
        <v>60076.02</v>
      </c>
    </row>
    <row r="47" spans="1:16" ht="15.6">
      <c r="A47" s="68">
        <v>41703</v>
      </c>
      <c r="B47" s="270">
        <v>25.5</v>
      </c>
      <c r="C47" s="270">
        <v>29</v>
      </c>
      <c r="D47" s="271">
        <f t="shared" si="1"/>
        <v>27.25</v>
      </c>
      <c r="E47">
        <v>60076.02</v>
      </c>
    </row>
    <row r="48" spans="1:16" ht="15.6">
      <c r="A48" s="68">
        <v>41704</v>
      </c>
      <c r="B48" s="270">
        <v>25.5</v>
      </c>
      <c r="C48" s="270">
        <v>29</v>
      </c>
      <c r="D48" s="271">
        <f t="shared" si="1"/>
        <v>27.25</v>
      </c>
      <c r="E48">
        <v>60076.02</v>
      </c>
    </row>
    <row r="49" spans="1:7" ht="15.6">
      <c r="A49" s="68">
        <v>41705</v>
      </c>
      <c r="B49" s="270">
        <v>25.5</v>
      </c>
      <c r="C49" s="270">
        <v>29</v>
      </c>
      <c r="D49" s="271">
        <f t="shared" si="1"/>
        <v>27.25</v>
      </c>
      <c r="E49">
        <v>60076.02</v>
      </c>
    </row>
    <row r="50" spans="1:7" ht="15.6">
      <c r="A50" s="68">
        <v>41708</v>
      </c>
      <c r="B50" s="270">
        <v>25.5</v>
      </c>
      <c r="C50" s="270">
        <v>29</v>
      </c>
      <c r="D50" s="271">
        <f t="shared" si="1"/>
        <v>27.25</v>
      </c>
      <c r="E50">
        <v>60076.02</v>
      </c>
    </row>
    <row r="51" spans="1:7" ht="15.6">
      <c r="A51" s="68">
        <v>41709</v>
      </c>
      <c r="B51" s="270">
        <v>25.5</v>
      </c>
      <c r="C51" s="270">
        <v>29</v>
      </c>
      <c r="D51" s="271">
        <f t="shared" si="1"/>
        <v>27.25</v>
      </c>
      <c r="E51">
        <v>60076.02</v>
      </c>
    </row>
    <row r="52" spans="1:7" ht="15.6">
      <c r="A52" s="68">
        <v>41710</v>
      </c>
      <c r="B52" s="270">
        <v>25.5</v>
      </c>
      <c r="C52" s="270">
        <v>29</v>
      </c>
      <c r="D52" s="271">
        <f t="shared" si="1"/>
        <v>27.25</v>
      </c>
      <c r="E52">
        <v>60076.02</v>
      </c>
    </row>
    <row r="53" spans="1:7" ht="15.6">
      <c r="A53" s="68">
        <v>41711</v>
      </c>
      <c r="B53" s="270">
        <v>25.5</v>
      </c>
      <c r="C53" s="270">
        <v>29</v>
      </c>
      <c r="D53" s="271">
        <f t="shared" si="1"/>
        <v>27.25</v>
      </c>
      <c r="E53">
        <v>60076.02</v>
      </c>
    </row>
    <row r="54" spans="1:7" ht="15.6">
      <c r="A54" s="68">
        <v>41712</v>
      </c>
      <c r="B54" s="270">
        <v>25.5</v>
      </c>
      <c r="C54" s="270">
        <v>29</v>
      </c>
      <c r="D54" s="271">
        <f t="shared" si="1"/>
        <v>27.25</v>
      </c>
      <c r="E54">
        <v>60076.02</v>
      </c>
    </row>
    <row r="55" spans="1:7" ht="15.6">
      <c r="A55" s="68">
        <v>41715</v>
      </c>
      <c r="B55" s="270">
        <v>25.5</v>
      </c>
      <c r="C55" s="270">
        <v>28.5</v>
      </c>
      <c r="D55" s="271">
        <f t="shared" si="1"/>
        <v>27</v>
      </c>
      <c r="E55">
        <v>59524.86</v>
      </c>
    </row>
    <row r="56" spans="1:7" ht="15.6">
      <c r="A56" s="68">
        <v>41716</v>
      </c>
      <c r="B56" s="270">
        <v>25.5</v>
      </c>
      <c r="C56" s="270">
        <v>28.5</v>
      </c>
      <c r="D56" s="271">
        <f t="shared" si="1"/>
        <v>27</v>
      </c>
      <c r="E56">
        <v>59524.86</v>
      </c>
    </row>
    <row r="57" spans="1:7" ht="15.6">
      <c r="A57" s="68">
        <v>41717</v>
      </c>
      <c r="B57" s="270">
        <v>25</v>
      </c>
      <c r="C57" s="270">
        <v>28</v>
      </c>
      <c r="D57" s="271">
        <f t="shared" si="1"/>
        <v>26.5</v>
      </c>
      <c r="E57">
        <v>58422.55</v>
      </c>
    </row>
    <row r="58" spans="1:7" ht="15.6">
      <c r="A58" s="68">
        <v>41718</v>
      </c>
      <c r="B58" s="270">
        <v>25</v>
      </c>
      <c r="C58" s="270">
        <v>28</v>
      </c>
      <c r="D58" s="271">
        <f t="shared" si="1"/>
        <v>26.5</v>
      </c>
      <c r="E58">
        <v>58422.55</v>
      </c>
    </row>
    <row r="59" spans="1:7" ht="15.6">
      <c r="A59" s="68">
        <v>41719</v>
      </c>
      <c r="B59" s="270">
        <v>25</v>
      </c>
      <c r="C59" s="270">
        <v>28</v>
      </c>
      <c r="D59" s="271">
        <f t="shared" si="1"/>
        <v>26.5</v>
      </c>
      <c r="E59">
        <v>58422.55</v>
      </c>
    </row>
    <row r="60" spans="1:7" ht="15.6">
      <c r="A60" s="68">
        <v>41722</v>
      </c>
      <c r="B60" s="270">
        <v>25</v>
      </c>
      <c r="C60" s="270">
        <v>28</v>
      </c>
      <c r="D60" s="271">
        <f t="shared" si="1"/>
        <v>26.5</v>
      </c>
      <c r="E60">
        <v>58422.55</v>
      </c>
    </row>
    <row r="61" spans="1:7" ht="15.6">
      <c r="A61" s="68">
        <v>41723</v>
      </c>
      <c r="B61" s="270">
        <v>25</v>
      </c>
      <c r="C61" s="270">
        <v>28</v>
      </c>
      <c r="D61" s="271">
        <f>AVERAGE(B61:C61)</f>
        <v>26.5</v>
      </c>
      <c r="E61">
        <v>58422.55</v>
      </c>
    </row>
    <row r="62" spans="1:7" ht="15.6">
      <c r="A62" s="68">
        <v>41724</v>
      </c>
      <c r="B62" s="270">
        <v>25</v>
      </c>
      <c r="C62" s="270">
        <v>28</v>
      </c>
      <c r="D62" s="271">
        <f>AVERAGE(B62:C62)</f>
        <v>26.5</v>
      </c>
      <c r="E62">
        <v>58422.55</v>
      </c>
    </row>
    <row r="63" spans="1:7" ht="16.2" thickBot="1">
      <c r="A63" s="68">
        <v>41725</v>
      </c>
      <c r="B63" s="270">
        <v>25</v>
      </c>
      <c r="C63" s="270">
        <v>28</v>
      </c>
      <c r="D63" s="271">
        <f>AVERAGE(B63:C63)</f>
        <v>26.5</v>
      </c>
      <c r="E63">
        <v>58422.55</v>
      </c>
      <c r="F63" s="99">
        <f>AVERAGE(E45:E63)</f>
        <v>59408.830000000016</v>
      </c>
      <c r="G63" s="99">
        <f>AVERAGE(E3:E63)</f>
        <v>58395.442502756101</v>
      </c>
    </row>
    <row r="64" spans="1:7" ht="15.6">
      <c r="A64" s="68"/>
      <c r="B64" s="270"/>
      <c r="C64" s="270"/>
      <c r="D64" s="271"/>
    </row>
    <row r="65" spans="1:4" ht="15.6">
      <c r="A65" s="68"/>
      <c r="B65" s="270"/>
      <c r="C65" s="270"/>
      <c r="D65" s="271"/>
    </row>
    <row r="66" spans="1:4" ht="15.6">
      <c r="A66" s="68"/>
      <c r="B66" s="270"/>
      <c r="C66" s="270"/>
      <c r="D66" s="271"/>
    </row>
    <row r="67" spans="1:4" ht="15.6">
      <c r="A67" s="68"/>
      <c r="B67" s="270"/>
      <c r="C67" s="270"/>
      <c r="D67" s="271"/>
    </row>
    <row r="68" spans="1:4" ht="15.6">
      <c r="A68" s="68"/>
      <c r="B68" s="270"/>
      <c r="C68" s="270"/>
      <c r="D68" s="271"/>
    </row>
    <row r="69" spans="1:4" ht="15.6">
      <c r="A69" s="68"/>
      <c r="B69" s="270"/>
      <c r="C69" s="270"/>
      <c r="D69" s="271"/>
    </row>
    <row r="70" spans="1:4" ht="15.6">
      <c r="A70" s="68"/>
      <c r="B70" s="270"/>
      <c r="C70" s="270"/>
      <c r="D70" s="271"/>
    </row>
    <row r="71" spans="1:4" ht="15.6">
      <c r="A71" s="68"/>
      <c r="B71" s="270"/>
      <c r="C71" s="270"/>
      <c r="D71" s="271"/>
    </row>
    <row r="72" spans="1:4" ht="15.6">
      <c r="A72" s="68"/>
      <c r="B72" s="270"/>
      <c r="C72" s="270"/>
      <c r="D72" s="271"/>
    </row>
    <row r="73" spans="1:4" ht="15.6">
      <c r="A73" s="68"/>
      <c r="B73" s="270"/>
      <c r="C73" s="270"/>
      <c r="D73" s="271"/>
    </row>
    <row r="74" spans="1:4" ht="15.6">
      <c r="A74" s="68"/>
      <c r="B74" s="270"/>
      <c r="C74" s="270"/>
      <c r="D74" s="271"/>
    </row>
    <row r="75" spans="1:4" ht="15.6">
      <c r="A75" s="68"/>
      <c r="B75" s="270"/>
      <c r="C75" s="270"/>
      <c r="D75" s="271"/>
    </row>
    <row r="76" spans="1:4" ht="15.6">
      <c r="A76" s="68"/>
      <c r="B76" s="270"/>
      <c r="C76" s="270"/>
      <c r="D76" s="271"/>
    </row>
    <row r="77" spans="1:4" ht="15.6">
      <c r="A77" s="68"/>
      <c r="B77" s="270"/>
      <c r="C77" s="270"/>
      <c r="D77" s="271"/>
    </row>
    <row r="78" spans="1:4" ht="15.6">
      <c r="A78" s="68"/>
      <c r="B78" s="270"/>
      <c r="C78" s="270"/>
      <c r="D78" s="271"/>
    </row>
    <row r="79" spans="1:4" ht="15.6">
      <c r="A79" s="68"/>
      <c r="B79" s="270"/>
      <c r="C79" s="270"/>
      <c r="D79" s="271"/>
    </row>
    <row r="80" spans="1:4" ht="15.6">
      <c r="A80" s="68"/>
      <c r="B80" s="270"/>
      <c r="C80" s="270"/>
      <c r="D80" s="271"/>
    </row>
    <row r="81" spans="1:4" ht="15.6">
      <c r="A81" s="68"/>
      <c r="B81" s="270"/>
      <c r="C81" s="270"/>
      <c r="D81" s="271"/>
    </row>
    <row r="82" spans="1:4" ht="15.6">
      <c r="A82" s="68"/>
      <c r="B82" s="270"/>
      <c r="C82" s="270"/>
      <c r="D82" s="271"/>
    </row>
    <row r="83" spans="1:4" ht="15.6">
      <c r="A83" s="68"/>
      <c r="B83" s="270"/>
      <c r="C83" s="270"/>
      <c r="D83" s="271"/>
    </row>
    <row r="84" spans="1:4" ht="15.6">
      <c r="A84" s="68"/>
      <c r="B84" s="270"/>
      <c r="C84" s="270"/>
      <c r="D84" s="271"/>
    </row>
    <row r="85" spans="1:4" ht="15.6">
      <c r="A85" s="68"/>
      <c r="B85" s="270"/>
      <c r="C85" s="270"/>
      <c r="D85" s="271"/>
    </row>
    <row r="86" spans="1:4" ht="15.6">
      <c r="A86" s="68"/>
      <c r="B86" s="270"/>
      <c r="C86" s="270"/>
      <c r="D86" s="271"/>
    </row>
    <row r="87" spans="1:4" ht="15.6">
      <c r="A87" s="68"/>
      <c r="B87" s="270"/>
      <c r="C87" s="270"/>
      <c r="D87" s="271"/>
    </row>
    <row r="88" spans="1:4" ht="15.6">
      <c r="A88" s="68"/>
      <c r="B88" s="270"/>
      <c r="C88" s="270"/>
      <c r="D88" s="271"/>
    </row>
    <row r="89" spans="1:4" ht="15.6">
      <c r="A89" s="68"/>
      <c r="B89" s="270"/>
      <c r="C89" s="270"/>
      <c r="D89" s="271"/>
    </row>
    <row r="90" spans="1:4" ht="15.6">
      <c r="A90" s="68"/>
      <c r="B90" s="270"/>
      <c r="C90" s="270"/>
      <c r="D90" s="271"/>
    </row>
    <row r="91" spans="1:4" ht="15.6">
      <c r="B91" s="270"/>
      <c r="C91" s="270"/>
      <c r="D91" s="271"/>
    </row>
    <row r="92" spans="1:4" ht="15.6">
      <c r="B92" s="270"/>
      <c r="C92" s="270"/>
      <c r="D92" s="271"/>
    </row>
    <row r="93" spans="1:4" ht="15.6">
      <c r="B93" s="270"/>
      <c r="C93" s="270"/>
      <c r="D93" s="271"/>
    </row>
    <row r="94" spans="1:4" ht="15.6">
      <c r="B94" s="270"/>
      <c r="C94" s="270"/>
      <c r="D94" s="271"/>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3" topLeftCell="A3326" activePane="bottomLeft" state="frozen"/>
      <selection pane="bottomLeft" activeCell="E3338" sqref="E3338"/>
    </sheetView>
  </sheetViews>
  <sheetFormatPr defaultRowHeight="15" customHeight="1"/>
  <cols>
    <col min="1" max="1" width="11.3984375" bestFit="1" customWidth="1"/>
    <col min="2" max="2" width="8.8984375" style="163"/>
    <col min="3" max="3" width="11.796875" style="161" customWidth="1"/>
    <col min="4" max="4" width="12.296875" style="162" bestFit="1" customWidth="1"/>
    <col min="5" max="5" width="10.19921875" style="162" customWidth="1"/>
    <col min="6" max="6" width="13.09765625" style="241" customWidth="1"/>
    <col min="7" max="8" width="10.3984375" bestFit="1" customWidth="1"/>
    <col min="9" max="9" width="13.8984375" style="269" customWidth="1"/>
    <col min="10" max="11" width="9.09765625" bestFit="1" customWidth="1"/>
    <col min="13" max="13" width="13.3984375" bestFit="1" customWidth="1"/>
  </cols>
  <sheetData>
    <row r="1" spans="1:11" ht="15" customHeight="1" thickBot="1">
      <c r="A1" s="1431" t="s">
        <v>214</v>
      </c>
      <c r="B1" s="1432"/>
      <c r="C1" s="1432"/>
      <c r="D1" s="1432"/>
      <c r="E1" s="1432"/>
      <c r="F1" s="1432"/>
      <c r="G1" s="1432"/>
      <c r="H1" s="1432"/>
      <c r="I1" s="1432"/>
    </row>
    <row r="2" spans="1:11" s="80" customFormat="1" ht="15" customHeight="1">
      <c r="A2" s="1450" t="s">
        <v>0</v>
      </c>
      <c r="B2" s="1261" t="s">
        <v>95</v>
      </c>
      <c r="C2" s="1452" t="s">
        <v>110</v>
      </c>
      <c r="D2" s="1454" t="s">
        <v>5</v>
      </c>
      <c r="E2" s="1454" t="s">
        <v>6</v>
      </c>
      <c r="F2" s="1456" t="s">
        <v>111</v>
      </c>
      <c r="G2" s="1460" t="s">
        <v>7</v>
      </c>
      <c r="H2" s="1462" t="s">
        <v>8</v>
      </c>
      <c r="I2" s="267" t="s">
        <v>9</v>
      </c>
    </row>
    <row r="3" spans="1:11" s="80" customFormat="1" ht="15" customHeight="1">
      <c r="A3" s="1451"/>
      <c r="B3" s="1207" t="s">
        <v>15</v>
      </c>
      <c r="C3" s="1453"/>
      <c r="D3" s="1455"/>
      <c r="E3" s="1455"/>
      <c r="F3" s="1457"/>
      <c r="G3" s="1461"/>
      <c r="H3" s="1463"/>
      <c r="I3" s="1281" t="s">
        <v>4</v>
      </c>
    </row>
    <row r="4" spans="1:11" s="80" customFormat="1" ht="15" customHeight="1">
      <c r="A4" s="1253">
        <v>40910</v>
      </c>
      <c r="B4" s="1434" t="s">
        <v>112</v>
      </c>
      <c r="C4" s="1434"/>
      <c r="D4" s="1434"/>
      <c r="E4" s="1434"/>
      <c r="F4" s="1434"/>
      <c r="G4" s="1208"/>
      <c r="H4" s="1265"/>
      <c r="I4" s="1459" t="s">
        <v>112</v>
      </c>
      <c r="K4" s="173">
        <f>AVERAGE(C5:C19)</f>
        <v>20722.666666666668</v>
      </c>
    </row>
    <row r="5" spans="1:11" s="80" customFormat="1" ht="15" customHeight="1">
      <c r="A5" s="1253">
        <v>40911</v>
      </c>
      <c r="B5" s="1209">
        <v>12095</v>
      </c>
      <c r="C5" s="1210">
        <v>19450</v>
      </c>
      <c r="D5" s="1211">
        <v>19495</v>
      </c>
      <c r="E5" s="1212">
        <f>D5-C5</f>
        <v>45</v>
      </c>
      <c r="F5" s="1213" t="e">
        <f>+C5-#REF!</f>
        <v>#REF!</v>
      </c>
      <c r="G5" s="1208"/>
      <c r="H5" s="1266"/>
      <c r="I5" s="1459"/>
    </row>
    <row r="6" spans="1:11" s="80" customFormat="1" ht="15" customHeight="1">
      <c r="A6" s="1253">
        <v>40912</v>
      </c>
      <c r="B6" s="1209">
        <v>11795</v>
      </c>
      <c r="C6" s="1210">
        <v>19675</v>
      </c>
      <c r="D6" s="1211">
        <v>19750</v>
      </c>
      <c r="E6" s="1212">
        <f t="shared" ref="E6:E69" si="0">D6-C6</f>
        <v>75</v>
      </c>
      <c r="F6" s="1213">
        <f t="shared" ref="F6:F15" si="1">+C6-C5</f>
        <v>225</v>
      </c>
      <c r="G6" s="1208"/>
      <c r="H6" s="1266"/>
      <c r="I6" s="1282"/>
    </row>
    <row r="7" spans="1:11" s="80" customFormat="1" ht="15" customHeight="1">
      <c r="A7" s="1253">
        <v>40913</v>
      </c>
      <c r="B7" s="1209">
        <v>11360</v>
      </c>
      <c r="C7" s="1210">
        <v>19415</v>
      </c>
      <c r="D7" s="1211">
        <v>19450</v>
      </c>
      <c r="E7" s="1212">
        <f t="shared" si="0"/>
        <v>35</v>
      </c>
      <c r="F7" s="1213">
        <f t="shared" si="1"/>
        <v>-260</v>
      </c>
      <c r="G7" s="1208"/>
      <c r="H7" s="1266"/>
      <c r="I7" s="1282"/>
    </row>
    <row r="8" spans="1:11" s="80" customFormat="1" ht="15" customHeight="1">
      <c r="A8" s="1253">
        <v>40914</v>
      </c>
      <c r="B8" s="1209">
        <v>11335</v>
      </c>
      <c r="C8" s="1210">
        <v>19750</v>
      </c>
      <c r="D8" s="1211">
        <v>19800</v>
      </c>
      <c r="E8" s="1212">
        <f t="shared" si="0"/>
        <v>50</v>
      </c>
      <c r="F8" s="1213">
        <f t="shared" si="1"/>
        <v>335</v>
      </c>
      <c r="G8" s="1208"/>
      <c r="H8" s="1266"/>
      <c r="I8" s="1282"/>
    </row>
    <row r="9" spans="1:11" s="80" customFormat="1" ht="15" customHeight="1">
      <c r="A9" s="1253">
        <v>40917</v>
      </c>
      <c r="B9" s="1209">
        <v>11330</v>
      </c>
      <c r="C9" s="1210">
        <v>20100</v>
      </c>
      <c r="D9" s="1211">
        <v>20100</v>
      </c>
      <c r="E9" s="1212">
        <f t="shared" si="0"/>
        <v>0</v>
      </c>
      <c r="F9" s="1213">
        <f t="shared" si="1"/>
        <v>350</v>
      </c>
      <c r="G9" s="1208"/>
      <c r="H9" s="1266"/>
      <c r="I9" s="1282"/>
    </row>
    <row r="10" spans="1:11" s="80" customFormat="1" ht="15" customHeight="1">
      <c r="A10" s="1253">
        <v>40918</v>
      </c>
      <c r="B10" s="1209">
        <v>11270</v>
      </c>
      <c r="C10" s="1210">
        <v>20075</v>
      </c>
      <c r="D10" s="1211">
        <v>20010</v>
      </c>
      <c r="E10" s="1212">
        <f t="shared" si="0"/>
        <v>-65</v>
      </c>
      <c r="F10" s="1213">
        <f t="shared" si="1"/>
        <v>-25</v>
      </c>
      <c r="G10" s="1208"/>
      <c r="H10" s="1266"/>
      <c r="I10" s="1282"/>
    </row>
    <row r="11" spans="1:11" s="80" customFormat="1" ht="15" customHeight="1">
      <c r="A11" s="1253">
        <v>40919</v>
      </c>
      <c r="B11" s="1209">
        <v>11250</v>
      </c>
      <c r="C11" s="1210">
        <v>20300</v>
      </c>
      <c r="D11" s="1211">
        <v>20350</v>
      </c>
      <c r="E11" s="1212">
        <f t="shared" si="0"/>
        <v>50</v>
      </c>
      <c r="F11" s="1213">
        <f t="shared" si="1"/>
        <v>225</v>
      </c>
      <c r="G11" s="1208"/>
      <c r="H11" s="1266"/>
      <c r="I11" s="1282"/>
    </row>
    <row r="12" spans="1:11" s="80" customFormat="1" ht="15" customHeight="1">
      <c r="A12" s="1253">
        <v>40920</v>
      </c>
      <c r="B12" s="1209">
        <v>11250</v>
      </c>
      <c r="C12" s="1210">
        <v>21100</v>
      </c>
      <c r="D12" s="1211">
        <v>21100</v>
      </c>
      <c r="E12" s="1212">
        <f t="shared" si="0"/>
        <v>0</v>
      </c>
      <c r="F12" s="1213">
        <f t="shared" si="1"/>
        <v>800</v>
      </c>
      <c r="G12" s="1208"/>
      <c r="H12" s="1266"/>
      <c r="I12" s="1282"/>
    </row>
    <row r="13" spans="1:11" s="80" customFormat="1" ht="15" customHeight="1">
      <c r="A13" s="1253">
        <v>40921</v>
      </c>
      <c r="B13" s="1209">
        <v>11205</v>
      </c>
      <c r="C13" s="1210">
        <v>21090</v>
      </c>
      <c r="D13" s="1211">
        <v>21100</v>
      </c>
      <c r="E13" s="1212">
        <f t="shared" si="0"/>
        <v>10</v>
      </c>
      <c r="F13" s="1213">
        <f t="shared" si="1"/>
        <v>-10</v>
      </c>
      <c r="G13" s="1208"/>
      <c r="H13" s="1266"/>
      <c r="I13" s="1282"/>
    </row>
    <row r="14" spans="1:11" s="80" customFormat="1" ht="15" customHeight="1">
      <c r="A14" s="1253">
        <v>40924</v>
      </c>
      <c r="B14" s="1209">
        <v>11160</v>
      </c>
      <c r="C14" s="1210">
        <v>20900</v>
      </c>
      <c r="D14" s="1211">
        <v>20905</v>
      </c>
      <c r="E14" s="1212">
        <f t="shared" si="0"/>
        <v>5</v>
      </c>
      <c r="F14" s="1213">
        <f t="shared" si="1"/>
        <v>-190</v>
      </c>
      <c r="G14" s="1208"/>
      <c r="H14" s="1266"/>
      <c r="I14" s="1282"/>
    </row>
    <row r="15" spans="1:11" s="80" customFormat="1" ht="15" customHeight="1">
      <c r="A15" s="1253">
        <v>40925</v>
      </c>
      <c r="B15" s="1209">
        <v>10935</v>
      </c>
      <c r="C15" s="1210">
        <v>21600</v>
      </c>
      <c r="D15" s="1211">
        <v>21650</v>
      </c>
      <c r="E15" s="1212">
        <f t="shared" si="0"/>
        <v>50</v>
      </c>
      <c r="F15" s="1213">
        <f t="shared" si="1"/>
        <v>700</v>
      </c>
      <c r="G15" s="1208"/>
      <c r="H15" s="1266"/>
      <c r="I15" s="1282"/>
    </row>
    <row r="16" spans="1:11" s="80" customFormat="1" ht="15" customHeight="1">
      <c r="A16" s="1253">
        <v>40926</v>
      </c>
      <c r="B16" s="1209">
        <v>10885</v>
      </c>
      <c r="C16" s="1210">
        <v>21600</v>
      </c>
      <c r="D16" s="1211">
        <v>21650</v>
      </c>
      <c r="E16" s="1212">
        <f t="shared" si="0"/>
        <v>50</v>
      </c>
      <c r="F16" s="1213">
        <f>+C16-C14</f>
        <v>700</v>
      </c>
      <c r="G16" s="1208"/>
      <c r="H16" s="1266"/>
      <c r="I16" s="1282"/>
    </row>
    <row r="17" spans="1:9" s="80" customFormat="1" ht="15" customHeight="1">
      <c r="A17" s="1253">
        <v>40927</v>
      </c>
      <c r="B17" s="1209">
        <v>10745</v>
      </c>
      <c r="C17" s="1210">
        <v>22000</v>
      </c>
      <c r="D17" s="1211">
        <v>22005</v>
      </c>
      <c r="E17" s="1212">
        <f t="shared" si="0"/>
        <v>5</v>
      </c>
      <c r="F17" s="1213">
        <f t="shared" ref="F17:F22" si="2">+C17-C16</f>
        <v>400</v>
      </c>
      <c r="G17" s="1208"/>
      <c r="H17" s="1266"/>
      <c r="I17" s="1282"/>
    </row>
    <row r="18" spans="1:9" s="80" customFormat="1" ht="15" customHeight="1">
      <c r="A18" s="1253">
        <v>40928</v>
      </c>
      <c r="B18" s="1209">
        <v>9800</v>
      </c>
      <c r="C18" s="1210">
        <v>21850</v>
      </c>
      <c r="D18" s="1211">
        <v>21925</v>
      </c>
      <c r="E18" s="1212">
        <f t="shared" si="0"/>
        <v>75</v>
      </c>
      <c r="F18" s="1213">
        <f t="shared" si="2"/>
        <v>-150</v>
      </c>
      <c r="G18" s="1208"/>
      <c r="H18" s="1266"/>
      <c r="I18" s="1282">
        <v>173000</v>
      </c>
    </row>
    <row r="19" spans="1:9" s="80" customFormat="1" ht="15" customHeight="1">
      <c r="A19" s="1253">
        <v>40931</v>
      </c>
      <c r="B19" s="1209">
        <v>9705</v>
      </c>
      <c r="C19" s="1210">
        <v>21935</v>
      </c>
      <c r="D19" s="1211">
        <v>22050</v>
      </c>
      <c r="E19" s="1212">
        <f t="shared" si="0"/>
        <v>115</v>
      </c>
      <c r="F19" s="1213">
        <f t="shared" si="2"/>
        <v>85</v>
      </c>
      <c r="G19" s="1208"/>
      <c r="H19" s="1266"/>
      <c r="I19" s="1459" t="s">
        <v>113</v>
      </c>
    </row>
    <row r="20" spans="1:9" s="80" customFormat="1" ht="15" customHeight="1">
      <c r="A20" s="1253">
        <v>40932</v>
      </c>
      <c r="B20" s="1209">
        <v>9685</v>
      </c>
      <c r="C20" s="1210">
        <v>21860</v>
      </c>
      <c r="D20" s="1211">
        <v>22000</v>
      </c>
      <c r="E20" s="1212">
        <f t="shared" si="0"/>
        <v>140</v>
      </c>
      <c r="F20" s="1213">
        <f t="shared" si="2"/>
        <v>-75</v>
      </c>
      <c r="G20" s="1208"/>
      <c r="H20" s="1266"/>
      <c r="I20" s="1459"/>
    </row>
    <row r="21" spans="1:9" s="80" customFormat="1" ht="15" customHeight="1">
      <c r="A21" s="1253">
        <v>40933</v>
      </c>
      <c r="B21" s="1209">
        <v>9685</v>
      </c>
      <c r="C21" s="1210">
        <v>22005</v>
      </c>
      <c r="D21" s="1211">
        <v>22145</v>
      </c>
      <c r="E21" s="1212">
        <f t="shared" si="0"/>
        <v>140</v>
      </c>
      <c r="F21" s="1213">
        <f t="shared" si="2"/>
        <v>145</v>
      </c>
      <c r="G21" s="1208"/>
      <c r="H21" s="1266"/>
      <c r="I21" s="1459"/>
    </row>
    <row r="22" spans="1:9" s="80" customFormat="1" ht="15" customHeight="1">
      <c r="A22" s="1253">
        <v>40934</v>
      </c>
      <c r="B22" s="1209">
        <v>9664</v>
      </c>
      <c r="C22" s="1210">
        <v>23330</v>
      </c>
      <c r="D22" s="1211">
        <v>23400</v>
      </c>
      <c r="E22" s="1212">
        <f t="shared" si="0"/>
        <v>70</v>
      </c>
      <c r="F22" s="1213">
        <f t="shared" si="2"/>
        <v>1325</v>
      </c>
      <c r="G22" s="1208"/>
      <c r="H22" s="1266"/>
      <c r="I22" s="1459"/>
    </row>
    <row r="23" spans="1:9" ht="15" customHeight="1">
      <c r="A23" s="1253">
        <v>40935</v>
      </c>
      <c r="B23" s="1209">
        <v>9365</v>
      </c>
      <c r="C23" s="1210">
        <v>24310</v>
      </c>
      <c r="D23" s="1211">
        <v>24325</v>
      </c>
      <c r="E23" s="1212">
        <f t="shared" si="0"/>
        <v>15</v>
      </c>
      <c r="F23" s="1213">
        <f t="shared" ref="F23:F28" si="3">+C23-C22</f>
        <v>980</v>
      </c>
      <c r="G23" s="1208"/>
      <c r="H23" s="1266"/>
      <c r="I23" s="1459"/>
    </row>
    <row r="24" spans="1:9" ht="15" customHeight="1">
      <c r="A24" s="1253">
        <v>40938</v>
      </c>
      <c r="B24" s="1209">
        <v>9315</v>
      </c>
      <c r="C24" s="1210">
        <v>24050</v>
      </c>
      <c r="D24" s="1211">
        <v>24005</v>
      </c>
      <c r="E24" s="1212">
        <f t="shared" si="0"/>
        <v>-45</v>
      </c>
      <c r="F24" s="1213">
        <f t="shared" si="3"/>
        <v>-260</v>
      </c>
      <c r="G24" s="1208"/>
      <c r="H24" s="1266"/>
      <c r="I24" s="1282">
        <v>181000</v>
      </c>
    </row>
    <row r="25" spans="1:9" ht="15" customHeight="1">
      <c r="A25" s="1253">
        <v>40939</v>
      </c>
      <c r="B25" s="1209">
        <v>9100</v>
      </c>
      <c r="C25" s="1210">
        <v>24290</v>
      </c>
      <c r="D25" s="1211">
        <v>24325</v>
      </c>
      <c r="E25" s="1212">
        <f t="shared" si="0"/>
        <v>35</v>
      </c>
      <c r="F25" s="1213">
        <f t="shared" si="3"/>
        <v>240</v>
      </c>
      <c r="G25" s="1214">
        <f>AVERAGE(C5:C25)</f>
        <v>21461.190476190477</v>
      </c>
      <c r="H25" s="1267">
        <f>AVERAGE(C5:C25)</f>
        <v>21461.190476190477</v>
      </c>
      <c r="I25" s="1282">
        <v>183000</v>
      </c>
    </row>
    <row r="26" spans="1:9" ht="15" customHeight="1">
      <c r="A26" s="1253">
        <v>40940</v>
      </c>
      <c r="B26" s="1209">
        <v>9175</v>
      </c>
      <c r="C26" s="1210">
        <v>24060</v>
      </c>
      <c r="D26" s="1211">
        <v>24250</v>
      </c>
      <c r="E26" s="1212">
        <f t="shared" si="0"/>
        <v>190</v>
      </c>
      <c r="F26" s="1213">
        <f t="shared" si="3"/>
        <v>-230</v>
      </c>
      <c r="G26" s="1208"/>
      <c r="H26" s="1266"/>
      <c r="I26" s="1282">
        <v>183000</v>
      </c>
    </row>
    <row r="27" spans="1:9" ht="15" customHeight="1">
      <c r="A27" s="1253">
        <v>40941</v>
      </c>
      <c r="B27" s="1209">
        <v>9200</v>
      </c>
      <c r="C27" s="1210">
        <v>24100</v>
      </c>
      <c r="D27" s="1211">
        <v>24150</v>
      </c>
      <c r="E27" s="1212">
        <f t="shared" si="0"/>
        <v>50</v>
      </c>
      <c r="F27" s="1213">
        <f t="shared" si="3"/>
        <v>40</v>
      </c>
      <c r="G27" s="1208"/>
      <c r="H27" s="1266"/>
      <c r="I27" s="1282">
        <v>184500</v>
      </c>
    </row>
    <row r="28" spans="1:9" ht="15" customHeight="1">
      <c r="A28" s="1253">
        <v>40942</v>
      </c>
      <c r="B28" s="1209">
        <v>9240</v>
      </c>
      <c r="C28" s="1210">
        <v>24000</v>
      </c>
      <c r="D28" s="1211">
        <v>24075</v>
      </c>
      <c r="E28" s="1212">
        <f t="shared" si="0"/>
        <v>75</v>
      </c>
      <c r="F28" s="1213">
        <f t="shared" si="3"/>
        <v>-100</v>
      </c>
      <c r="G28" s="1208"/>
      <c r="H28" s="1266"/>
      <c r="I28" s="1282">
        <v>183500</v>
      </c>
    </row>
    <row r="29" spans="1:9" ht="15" customHeight="1">
      <c r="A29" s="1253">
        <v>40945</v>
      </c>
      <c r="B29" s="1209">
        <v>9400</v>
      </c>
      <c r="C29" s="1210">
        <v>24375</v>
      </c>
      <c r="D29" s="1211">
        <v>24400</v>
      </c>
      <c r="E29" s="1212">
        <f t="shared" si="0"/>
        <v>25</v>
      </c>
      <c r="F29" s="1213">
        <f t="shared" ref="F29:F34" si="4">+C29-C28</f>
        <v>375</v>
      </c>
      <c r="G29" s="1208"/>
      <c r="H29" s="1266"/>
      <c r="I29" s="1282">
        <v>182500</v>
      </c>
    </row>
    <row r="30" spans="1:9" ht="15" customHeight="1">
      <c r="A30" s="1253">
        <v>40946</v>
      </c>
      <c r="B30" s="1209">
        <v>9125</v>
      </c>
      <c r="C30" s="1210">
        <v>24250</v>
      </c>
      <c r="D30" s="1211">
        <v>24300</v>
      </c>
      <c r="E30" s="1212">
        <f t="shared" si="0"/>
        <v>50</v>
      </c>
      <c r="F30" s="1213">
        <f t="shared" si="4"/>
        <v>-125</v>
      </c>
      <c r="G30" s="1208"/>
      <c r="H30" s="1266"/>
      <c r="I30" s="1282">
        <v>181000</v>
      </c>
    </row>
    <row r="31" spans="1:9" ht="15" customHeight="1">
      <c r="A31" s="1253">
        <v>40947</v>
      </c>
      <c r="B31" s="1209">
        <v>9090</v>
      </c>
      <c r="C31" s="1210">
        <v>25650</v>
      </c>
      <c r="D31" s="1211">
        <v>25700</v>
      </c>
      <c r="E31" s="1212">
        <f t="shared" si="0"/>
        <v>50</v>
      </c>
      <c r="F31" s="1213">
        <f t="shared" si="4"/>
        <v>1400</v>
      </c>
      <c r="G31" s="1208"/>
      <c r="H31" s="1266"/>
      <c r="I31" s="1282">
        <v>179500</v>
      </c>
    </row>
    <row r="32" spans="1:9" ht="15" customHeight="1">
      <c r="A32" s="1253">
        <v>40948</v>
      </c>
      <c r="B32" s="1209">
        <v>9090</v>
      </c>
      <c r="C32" s="1210">
        <v>25160</v>
      </c>
      <c r="D32" s="1211">
        <v>25205</v>
      </c>
      <c r="E32" s="1212">
        <f t="shared" si="0"/>
        <v>45</v>
      </c>
      <c r="F32" s="1213">
        <f t="shared" si="4"/>
        <v>-490</v>
      </c>
      <c r="G32" s="1208"/>
      <c r="H32" s="1266"/>
      <c r="I32" s="1282">
        <v>179500</v>
      </c>
    </row>
    <row r="33" spans="1:9" ht="15" customHeight="1">
      <c r="A33" s="1253">
        <v>40949</v>
      </c>
      <c r="B33" s="1209">
        <v>9150</v>
      </c>
      <c r="C33" s="1210">
        <v>25500</v>
      </c>
      <c r="D33" s="1211">
        <v>25500</v>
      </c>
      <c r="E33" s="1212">
        <f t="shared" si="0"/>
        <v>0</v>
      </c>
      <c r="F33" s="1213">
        <f t="shared" si="4"/>
        <v>340</v>
      </c>
      <c r="G33" s="1208"/>
      <c r="H33" s="1266"/>
      <c r="I33" s="1282">
        <v>179500</v>
      </c>
    </row>
    <row r="34" spans="1:9" ht="15" customHeight="1">
      <c r="A34" s="1253">
        <v>40952</v>
      </c>
      <c r="B34" s="1209">
        <v>9190</v>
      </c>
      <c r="C34" s="1210">
        <v>25325</v>
      </c>
      <c r="D34" s="1211">
        <v>25325</v>
      </c>
      <c r="E34" s="1212">
        <f t="shared" si="0"/>
        <v>0</v>
      </c>
      <c r="F34" s="1213">
        <f t="shared" si="4"/>
        <v>-175</v>
      </c>
      <c r="G34" s="1208"/>
      <c r="H34" s="1266"/>
      <c r="I34" s="1282">
        <v>181000</v>
      </c>
    </row>
    <row r="35" spans="1:9" ht="15" customHeight="1">
      <c r="A35" s="1253">
        <v>40953</v>
      </c>
      <c r="B35" s="1209">
        <v>9300</v>
      </c>
      <c r="C35" s="1210">
        <v>24800</v>
      </c>
      <c r="D35" s="1211">
        <v>24840</v>
      </c>
      <c r="E35" s="1212">
        <f t="shared" si="0"/>
        <v>40</v>
      </c>
      <c r="F35" s="1213">
        <f t="shared" ref="F35:F40" si="5">+C35-C34</f>
        <v>-525</v>
      </c>
      <c r="G35" s="1208"/>
      <c r="H35" s="1266"/>
      <c r="I35" s="1282">
        <v>180250</v>
      </c>
    </row>
    <row r="36" spans="1:9" ht="15" customHeight="1">
      <c r="A36" s="1253">
        <v>40954</v>
      </c>
      <c r="B36" s="1209">
        <v>9180</v>
      </c>
      <c r="C36" s="1210">
        <v>24535</v>
      </c>
      <c r="D36" s="1211">
        <v>24575</v>
      </c>
      <c r="E36" s="1212">
        <f t="shared" si="0"/>
        <v>40</v>
      </c>
      <c r="F36" s="1213">
        <f t="shared" si="5"/>
        <v>-265</v>
      </c>
      <c r="G36" s="1208"/>
      <c r="H36" s="1266"/>
      <c r="I36" s="1282">
        <v>178750</v>
      </c>
    </row>
    <row r="37" spans="1:9" ht="15" customHeight="1">
      <c r="A37" s="1253">
        <v>40955</v>
      </c>
      <c r="B37" s="1209">
        <v>10000</v>
      </c>
      <c r="C37" s="1210">
        <v>24005</v>
      </c>
      <c r="D37" s="1211">
        <v>24150</v>
      </c>
      <c r="E37" s="1212">
        <f t="shared" si="0"/>
        <v>145</v>
      </c>
      <c r="F37" s="1213">
        <f t="shared" si="5"/>
        <v>-530</v>
      </c>
      <c r="G37" s="1208"/>
      <c r="H37" s="1266"/>
      <c r="I37" s="1282">
        <v>178000</v>
      </c>
    </row>
    <row r="38" spans="1:9" ht="15" customHeight="1">
      <c r="A38" s="1253">
        <v>40956</v>
      </c>
      <c r="B38" s="1209">
        <v>9995</v>
      </c>
      <c r="C38" s="1210">
        <v>24200</v>
      </c>
      <c r="D38" s="1211">
        <v>24275</v>
      </c>
      <c r="E38" s="1212">
        <f t="shared" si="0"/>
        <v>75</v>
      </c>
      <c r="F38" s="1213">
        <f t="shared" si="5"/>
        <v>195</v>
      </c>
      <c r="G38" s="1208"/>
      <c r="H38" s="1266"/>
      <c r="I38" s="1282">
        <v>177500</v>
      </c>
    </row>
    <row r="39" spans="1:9" ht="15" customHeight="1">
      <c r="A39" s="1253">
        <v>40959</v>
      </c>
      <c r="B39" s="1209">
        <v>10080</v>
      </c>
      <c r="C39" s="1210">
        <v>23550</v>
      </c>
      <c r="D39" s="1211">
        <v>23600</v>
      </c>
      <c r="E39" s="1212">
        <f t="shared" si="0"/>
        <v>50</v>
      </c>
      <c r="F39" s="1213">
        <f t="shared" si="5"/>
        <v>-650</v>
      </c>
      <c r="G39" s="1208"/>
      <c r="H39" s="1266"/>
      <c r="I39" s="1282">
        <v>175500</v>
      </c>
    </row>
    <row r="40" spans="1:9" ht="15" customHeight="1">
      <c r="A40" s="1253">
        <v>40960</v>
      </c>
      <c r="B40" s="1209">
        <v>10005</v>
      </c>
      <c r="C40" s="1210">
        <v>23750</v>
      </c>
      <c r="D40" s="1211">
        <v>23825</v>
      </c>
      <c r="E40" s="1212">
        <f t="shared" si="0"/>
        <v>75</v>
      </c>
      <c r="F40" s="1213">
        <f t="shared" si="5"/>
        <v>200</v>
      </c>
      <c r="G40" s="1208"/>
      <c r="H40" s="1266"/>
      <c r="I40" s="1282">
        <v>173250</v>
      </c>
    </row>
    <row r="41" spans="1:9" ht="15" customHeight="1">
      <c r="A41" s="1253">
        <v>40961</v>
      </c>
      <c r="B41" s="1209">
        <v>9945</v>
      </c>
      <c r="C41" s="1210">
        <v>23950</v>
      </c>
      <c r="D41" s="1211">
        <v>24000</v>
      </c>
      <c r="E41" s="1212">
        <f t="shared" si="0"/>
        <v>50</v>
      </c>
      <c r="F41" s="1213">
        <f t="shared" ref="F41:F47" si="6">+C41-C40</f>
        <v>200</v>
      </c>
      <c r="G41" s="1208"/>
      <c r="H41" s="1266"/>
      <c r="I41" s="1282">
        <v>173500</v>
      </c>
    </row>
    <row r="42" spans="1:9" ht="15" customHeight="1">
      <c r="A42" s="1253">
        <v>40962</v>
      </c>
      <c r="B42" s="1209">
        <v>9840</v>
      </c>
      <c r="C42" s="1210">
        <v>24035</v>
      </c>
      <c r="D42" s="1211">
        <v>24125</v>
      </c>
      <c r="E42" s="1212">
        <f t="shared" si="0"/>
        <v>90</v>
      </c>
      <c r="F42" s="1213">
        <f t="shared" si="6"/>
        <v>85</v>
      </c>
      <c r="G42" s="1208"/>
      <c r="H42" s="1266"/>
      <c r="I42" s="1282">
        <v>173500</v>
      </c>
    </row>
    <row r="43" spans="1:9" ht="15" customHeight="1">
      <c r="A43" s="1253">
        <v>40963</v>
      </c>
      <c r="B43" s="1209">
        <v>10250</v>
      </c>
      <c r="C43" s="1210">
        <v>24100</v>
      </c>
      <c r="D43" s="1211">
        <v>24050</v>
      </c>
      <c r="E43" s="1212">
        <f t="shared" si="0"/>
        <v>-50</v>
      </c>
      <c r="F43" s="1213">
        <f t="shared" si="6"/>
        <v>65</v>
      </c>
      <c r="G43" s="1208"/>
      <c r="H43" s="1266"/>
      <c r="I43" s="1282">
        <v>174000</v>
      </c>
    </row>
    <row r="44" spans="1:9" ht="15" customHeight="1">
      <c r="A44" s="1253">
        <v>40966</v>
      </c>
      <c r="B44" s="1209">
        <v>10250</v>
      </c>
      <c r="C44" s="1210">
        <v>23475</v>
      </c>
      <c r="D44" s="1211">
        <v>23525</v>
      </c>
      <c r="E44" s="1212">
        <f t="shared" si="0"/>
        <v>50</v>
      </c>
      <c r="F44" s="1213">
        <f t="shared" si="6"/>
        <v>-625</v>
      </c>
      <c r="G44" s="1208"/>
      <c r="H44" s="1266"/>
      <c r="I44" s="1282">
        <v>174250</v>
      </c>
    </row>
    <row r="45" spans="1:9" ht="15" customHeight="1">
      <c r="A45" s="1253">
        <v>40967</v>
      </c>
      <c r="B45" s="1209">
        <v>10250</v>
      </c>
      <c r="C45" s="1210">
        <v>24125</v>
      </c>
      <c r="D45" s="1211">
        <v>24125</v>
      </c>
      <c r="E45" s="1212">
        <f t="shared" si="0"/>
        <v>0</v>
      </c>
      <c r="F45" s="1213">
        <f t="shared" si="6"/>
        <v>650</v>
      </c>
      <c r="G45" s="1208"/>
      <c r="H45" s="1266"/>
      <c r="I45" s="1282">
        <v>173750</v>
      </c>
    </row>
    <row r="46" spans="1:9" ht="15" customHeight="1">
      <c r="A46" s="1253">
        <v>40968</v>
      </c>
      <c r="B46" s="1209">
        <v>10470</v>
      </c>
      <c r="C46" s="1210">
        <v>24250</v>
      </c>
      <c r="D46" s="1211">
        <v>24300</v>
      </c>
      <c r="E46" s="1212">
        <f t="shared" si="0"/>
        <v>50</v>
      </c>
      <c r="F46" s="1213">
        <f t="shared" si="6"/>
        <v>125</v>
      </c>
      <c r="G46" s="1214">
        <f>AVERAGE(C26:C46)</f>
        <v>24342.619047619046</v>
      </c>
      <c r="H46" s="1267">
        <f>AVERAGE(C5:C46)</f>
        <v>22901.904761904763</v>
      </c>
      <c r="I46" s="1283"/>
    </row>
    <row r="47" spans="1:9" ht="15" customHeight="1">
      <c r="A47" s="1253">
        <v>40969</v>
      </c>
      <c r="B47" s="1209">
        <v>10615</v>
      </c>
      <c r="C47" s="1210">
        <v>23880</v>
      </c>
      <c r="D47" s="1211">
        <v>23945</v>
      </c>
      <c r="E47" s="1212">
        <f t="shared" si="0"/>
        <v>65</v>
      </c>
      <c r="F47" s="1213">
        <f t="shared" si="6"/>
        <v>-370</v>
      </c>
      <c r="G47" s="1208"/>
      <c r="H47" s="1266"/>
      <c r="I47" s="1282">
        <v>173500</v>
      </c>
    </row>
    <row r="48" spans="1:9" ht="15" customHeight="1">
      <c r="A48" s="1253">
        <v>40970</v>
      </c>
      <c r="B48" s="1209">
        <v>11035</v>
      </c>
      <c r="C48" s="1210">
        <v>23650</v>
      </c>
      <c r="D48" s="1211">
        <v>23700</v>
      </c>
      <c r="E48" s="1212">
        <f t="shared" si="0"/>
        <v>50</v>
      </c>
      <c r="F48" s="1213">
        <f t="shared" ref="F48:F53" si="7">+C48-C47</f>
        <v>-230</v>
      </c>
      <c r="G48" s="1208"/>
      <c r="H48" s="1266"/>
      <c r="I48" s="1282">
        <v>173500</v>
      </c>
    </row>
    <row r="49" spans="1:9" ht="15" customHeight="1">
      <c r="A49" s="1253">
        <v>40973</v>
      </c>
      <c r="B49" s="1209">
        <v>11225</v>
      </c>
      <c r="C49" s="1210">
        <v>22905</v>
      </c>
      <c r="D49" s="1211">
        <v>23075</v>
      </c>
      <c r="E49" s="1212">
        <f t="shared" si="0"/>
        <v>170</v>
      </c>
      <c r="F49" s="1213">
        <f t="shared" si="7"/>
        <v>-745</v>
      </c>
      <c r="G49" s="1208"/>
      <c r="H49" s="1266"/>
      <c r="I49" s="1282">
        <v>173500</v>
      </c>
    </row>
    <row r="50" spans="1:9" ht="15" customHeight="1">
      <c r="A50" s="1253">
        <v>40974</v>
      </c>
      <c r="B50" s="1209">
        <v>11315</v>
      </c>
      <c r="C50" s="1210">
        <v>22700</v>
      </c>
      <c r="D50" s="1211">
        <v>22700</v>
      </c>
      <c r="E50" s="1212">
        <f t="shared" si="0"/>
        <v>0</v>
      </c>
      <c r="F50" s="1213">
        <f t="shared" si="7"/>
        <v>-205</v>
      </c>
      <c r="G50" s="1208"/>
      <c r="H50" s="1266"/>
      <c r="I50" s="1282">
        <v>172750</v>
      </c>
    </row>
    <row r="51" spans="1:9" ht="15" customHeight="1">
      <c r="A51" s="1253">
        <v>40975</v>
      </c>
      <c r="B51" s="1209">
        <v>11460</v>
      </c>
      <c r="C51" s="1210">
        <v>22450</v>
      </c>
      <c r="D51" s="1211">
        <v>22455</v>
      </c>
      <c r="E51" s="1212">
        <f t="shared" si="0"/>
        <v>5</v>
      </c>
      <c r="F51" s="1213">
        <f t="shared" si="7"/>
        <v>-250</v>
      </c>
      <c r="G51" s="1208"/>
      <c r="H51" s="1266"/>
      <c r="I51" s="1282">
        <v>171000</v>
      </c>
    </row>
    <row r="52" spans="1:9" ht="15" customHeight="1">
      <c r="A52" s="1253">
        <v>40976</v>
      </c>
      <c r="B52" s="1209">
        <v>11545</v>
      </c>
      <c r="C52" s="1210">
        <v>22900</v>
      </c>
      <c r="D52" s="1211">
        <v>22950</v>
      </c>
      <c r="E52" s="1212">
        <f t="shared" si="0"/>
        <v>50</v>
      </c>
      <c r="F52" s="1213">
        <f t="shared" si="7"/>
        <v>450</v>
      </c>
      <c r="G52" s="1208"/>
      <c r="H52" s="1266"/>
      <c r="I52" s="1282">
        <v>170750</v>
      </c>
    </row>
    <row r="53" spans="1:9" ht="15" customHeight="1">
      <c r="A53" s="1253">
        <v>40977</v>
      </c>
      <c r="B53" s="1209">
        <v>11620</v>
      </c>
      <c r="C53" s="1210">
        <v>22660</v>
      </c>
      <c r="D53" s="1211">
        <v>22700</v>
      </c>
      <c r="E53" s="1212">
        <f t="shared" si="0"/>
        <v>40</v>
      </c>
      <c r="F53" s="1213">
        <f t="shared" si="7"/>
        <v>-240</v>
      </c>
      <c r="G53" s="1208"/>
      <c r="H53" s="1266"/>
      <c r="I53" s="1282">
        <v>170500</v>
      </c>
    </row>
    <row r="54" spans="1:9" ht="15" customHeight="1">
      <c r="A54" s="1253">
        <v>40980</v>
      </c>
      <c r="B54" s="1209">
        <v>11615</v>
      </c>
      <c r="C54" s="1210">
        <v>22905</v>
      </c>
      <c r="D54" s="1211">
        <v>23000</v>
      </c>
      <c r="E54" s="1212">
        <f t="shared" si="0"/>
        <v>95</v>
      </c>
      <c r="F54" s="1213">
        <f t="shared" ref="F54:F59" si="8">+C54-C53</f>
        <v>245</v>
      </c>
      <c r="G54" s="1208"/>
      <c r="H54" s="1266"/>
      <c r="I54" s="1282">
        <v>171500</v>
      </c>
    </row>
    <row r="55" spans="1:9" ht="15" customHeight="1">
      <c r="A55" s="1253">
        <v>40981</v>
      </c>
      <c r="B55" s="1209">
        <v>11595</v>
      </c>
      <c r="C55" s="1210">
        <v>23450</v>
      </c>
      <c r="D55" s="1211">
        <v>23550</v>
      </c>
      <c r="E55" s="1212">
        <f t="shared" si="0"/>
        <v>100</v>
      </c>
      <c r="F55" s="1213">
        <f t="shared" si="8"/>
        <v>545</v>
      </c>
      <c r="G55" s="1208"/>
      <c r="H55" s="1266"/>
      <c r="I55" s="1282">
        <v>171500</v>
      </c>
    </row>
    <row r="56" spans="1:9" ht="15" customHeight="1">
      <c r="A56" s="1253">
        <v>40982</v>
      </c>
      <c r="B56" s="1209">
        <v>11570</v>
      </c>
      <c r="C56" s="1210">
        <v>23900</v>
      </c>
      <c r="D56" s="1211">
        <v>23950</v>
      </c>
      <c r="E56" s="1212">
        <f t="shared" si="0"/>
        <v>50</v>
      </c>
      <c r="F56" s="1213">
        <f t="shared" si="8"/>
        <v>450</v>
      </c>
      <c r="G56" s="1208"/>
      <c r="H56" s="1266"/>
      <c r="I56" s="1282">
        <v>173500</v>
      </c>
    </row>
    <row r="57" spans="1:9" ht="15" customHeight="1">
      <c r="A57" s="1253">
        <v>40983</v>
      </c>
      <c r="B57" s="1209">
        <v>11570</v>
      </c>
      <c r="C57" s="1210">
        <v>23530</v>
      </c>
      <c r="D57" s="1211">
        <v>23650</v>
      </c>
      <c r="E57" s="1212">
        <f t="shared" si="0"/>
        <v>120</v>
      </c>
      <c r="F57" s="1213">
        <f t="shared" si="8"/>
        <v>-370</v>
      </c>
      <c r="G57" s="1208"/>
      <c r="H57" s="1266"/>
      <c r="I57" s="1282">
        <v>174000</v>
      </c>
    </row>
    <row r="58" spans="1:9" ht="15" customHeight="1">
      <c r="A58" s="1253">
        <v>40984</v>
      </c>
      <c r="B58" s="1209">
        <v>11570</v>
      </c>
      <c r="C58" s="1210">
        <v>23800</v>
      </c>
      <c r="D58" s="1211">
        <v>23850</v>
      </c>
      <c r="E58" s="1212">
        <f t="shared" si="0"/>
        <v>50</v>
      </c>
      <c r="F58" s="1213">
        <f t="shared" si="8"/>
        <v>270</v>
      </c>
      <c r="G58" s="1208"/>
      <c r="H58" s="1266"/>
      <c r="I58" s="1282">
        <v>173500</v>
      </c>
    </row>
    <row r="59" spans="1:9" ht="15" customHeight="1">
      <c r="A59" s="1253">
        <v>40987</v>
      </c>
      <c r="B59" s="1209">
        <v>11555</v>
      </c>
      <c r="C59" s="1210">
        <v>23625</v>
      </c>
      <c r="D59" s="1211">
        <v>23650</v>
      </c>
      <c r="E59" s="1212">
        <f t="shared" si="0"/>
        <v>25</v>
      </c>
      <c r="F59" s="1213">
        <f t="shared" si="8"/>
        <v>-175</v>
      </c>
      <c r="G59" s="1208"/>
      <c r="H59" s="1266"/>
      <c r="I59" s="1282">
        <v>172000</v>
      </c>
    </row>
    <row r="60" spans="1:9" ht="15" customHeight="1">
      <c r="A60" s="1253">
        <v>40988</v>
      </c>
      <c r="B60" s="1209">
        <v>12095</v>
      </c>
      <c r="C60" s="1210">
        <v>23170</v>
      </c>
      <c r="D60" s="1211">
        <v>23250</v>
      </c>
      <c r="E60" s="1212">
        <f t="shared" si="0"/>
        <v>80</v>
      </c>
      <c r="F60" s="1213">
        <f t="shared" ref="F60:F65" si="9">+C60-C59</f>
        <v>-455</v>
      </c>
      <c r="G60" s="1208"/>
      <c r="H60" s="1266"/>
      <c r="I60" s="1282">
        <v>172250</v>
      </c>
    </row>
    <row r="61" spans="1:9" ht="15" customHeight="1">
      <c r="A61" s="1253">
        <v>40989</v>
      </c>
      <c r="B61" s="1209">
        <v>12500</v>
      </c>
      <c r="C61" s="1210">
        <v>23305</v>
      </c>
      <c r="D61" s="1211">
        <v>23330</v>
      </c>
      <c r="E61" s="1212">
        <f t="shared" si="0"/>
        <v>25</v>
      </c>
      <c r="F61" s="1213">
        <f t="shared" si="9"/>
        <v>135</v>
      </c>
      <c r="G61" s="1208"/>
      <c r="H61" s="1266"/>
      <c r="I61" s="1282">
        <v>171000</v>
      </c>
    </row>
    <row r="62" spans="1:9" ht="15" customHeight="1">
      <c r="A62" s="1253">
        <v>40990</v>
      </c>
      <c r="B62" s="1209">
        <v>12690</v>
      </c>
      <c r="C62" s="1210">
        <v>22325</v>
      </c>
      <c r="D62" s="1211">
        <v>22305</v>
      </c>
      <c r="E62" s="1212">
        <f t="shared" si="0"/>
        <v>-20</v>
      </c>
      <c r="F62" s="1213">
        <f t="shared" si="9"/>
        <v>-980</v>
      </c>
      <c r="G62" s="1208"/>
      <c r="H62" s="1266"/>
      <c r="I62" s="1282">
        <v>170500</v>
      </c>
    </row>
    <row r="63" spans="1:9" ht="15" customHeight="1">
      <c r="A63" s="1253">
        <v>40991</v>
      </c>
      <c r="B63" s="1209">
        <v>12705</v>
      </c>
      <c r="C63" s="1210">
        <v>22350</v>
      </c>
      <c r="D63" s="1211">
        <v>22375</v>
      </c>
      <c r="E63" s="1212">
        <f t="shared" si="0"/>
        <v>25</v>
      </c>
      <c r="F63" s="1213">
        <f t="shared" si="9"/>
        <v>25</v>
      </c>
      <c r="G63" s="1208"/>
      <c r="H63" s="1266"/>
      <c r="I63" s="1282">
        <v>169750</v>
      </c>
    </row>
    <row r="64" spans="1:9" ht="15" customHeight="1">
      <c r="A64" s="1253">
        <v>40994</v>
      </c>
      <c r="B64" s="1209">
        <v>12825</v>
      </c>
      <c r="C64" s="1210">
        <v>22375</v>
      </c>
      <c r="D64" s="1211">
        <v>22355</v>
      </c>
      <c r="E64" s="1212">
        <f t="shared" si="0"/>
        <v>-20</v>
      </c>
      <c r="F64" s="1213">
        <f t="shared" si="9"/>
        <v>25</v>
      </c>
      <c r="G64" s="1208"/>
      <c r="H64" s="1266"/>
      <c r="I64" s="1282">
        <v>169750</v>
      </c>
    </row>
    <row r="65" spans="1:9" ht="15" customHeight="1">
      <c r="A65" s="1253">
        <v>40995</v>
      </c>
      <c r="B65" s="1209">
        <v>12810</v>
      </c>
      <c r="C65" s="1210">
        <v>22475</v>
      </c>
      <c r="D65" s="1211">
        <v>22550</v>
      </c>
      <c r="E65" s="1212">
        <f t="shared" si="0"/>
        <v>75</v>
      </c>
      <c r="F65" s="1213">
        <f t="shared" si="9"/>
        <v>100</v>
      </c>
      <c r="G65" s="1208"/>
      <c r="H65" s="1266"/>
      <c r="I65" s="1282">
        <v>169750</v>
      </c>
    </row>
    <row r="66" spans="1:9" ht="15" customHeight="1">
      <c r="A66" s="1253">
        <v>40996</v>
      </c>
      <c r="B66" s="1209">
        <v>12950</v>
      </c>
      <c r="C66" s="1210">
        <v>22450</v>
      </c>
      <c r="D66" s="1211">
        <v>22425</v>
      </c>
      <c r="E66" s="1212">
        <f t="shared" si="0"/>
        <v>-25</v>
      </c>
      <c r="F66" s="1213">
        <f t="shared" ref="F66:F71" si="10">+C66-C65</f>
        <v>-25</v>
      </c>
      <c r="G66" s="1208"/>
      <c r="H66" s="1266"/>
      <c r="I66" s="1282">
        <v>169500</v>
      </c>
    </row>
    <row r="67" spans="1:9" ht="15" customHeight="1">
      <c r="A67" s="1253">
        <v>40997</v>
      </c>
      <c r="B67" s="1209">
        <v>12925</v>
      </c>
      <c r="C67" s="1210">
        <v>22350</v>
      </c>
      <c r="D67" s="1211">
        <v>22425</v>
      </c>
      <c r="E67" s="1212">
        <f t="shared" si="0"/>
        <v>75</v>
      </c>
      <c r="F67" s="1213">
        <f t="shared" si="10"/>
        <v>-100</v>
      </c>
      <c r="G67" s="1208"/>
      <c r="H67" s="1266"/>
      <c r="I67" s="1282">
        <v>170000</v>
      </c>
    </row>
    <row r="68" spans="1:9" ht="15" customHeight="1">
      <c r="A68" s="1253">
        <v>40998</v>
      </c>
      <c r="B68" s="1209">
        <v>13080</v>
      </c>
      <c r="C68" s="1210">
        <v>23200</v>
      </c>
      <c r="D68" s="1211">
        <v>23100</v>
      </c>
      <c r="E68" s="1212">
        <f t="shared" si="0"/>
        <v>-100</v>
      </c>
      <c r="F68" s="1213">
        <f t="shared" si="10"/>
        <v>850</v>
      </c>
      <c r="G68" s="1214">
        <f>AVERAGE(C47:C68)</f>
        <v>23016.136363636364</v>
      </c>
      <c r="H68" s="1267">
        <f>AVERAGE(C5:C68)</f>
        <v>22941.171875</v>
      </c>
      <c r="I68" s="1282">
        <v>170000</v>
      </c>
    </row>
    <row r="69" spans="1:9" ht="15" customHeight="1">
      <c r="A69" s="1253">
        <v>41001</v>
      </c>
      <c r="B69" s="1216">
        <v>13090</v>
      </c>
      <c r="C69" s="1210">
        <v>22750</v>
      </c>
      <c r="D69" s="1211">
        <v>22810</v>
      </c>
      <c r="E69" s="1212">
        <f t="shared" si="0"/>
        <v>60</v>
      </c>
      <c r="F69" s="1213">
        <f t="shared" si="10"/>
        <v>-450</v>
      </c>
      <c r="G69" s="1208"/>
      <c r="H69" s="1266"/>
      <c r="I69" s="1459" t="s">
        <v>112</v>
      </c>
    </row>
    <row r="70" spans="1:9" ht="15" customHeight="1">
      <c r="A70" s="1253">
        <v>41002</v>
      </c>
      <c r="B70" s="1216">
        <v>13285</v>
      </c>
      <c r="C70" s="1210">
        <v>23100</v>
      </c>
      <c r="D70" s="1211">
        <v>23200</v>
      </c>
      <c r="E70" s="1212">
        <f t="shared" ref="E70:E72" si="11">D70-C70</f>
        <v>100</v>
      </c>
      <c r="F70" s="1213">
        <f t="shared" si="10"/>
        <v>350</v>
      </c>
      <c r="G70" s="1208"/>
      <c r="H70" s="1266"/>
      <c r="I70" s="1459"/>
    </row>
    <row r="71" spans="1:9" ht="15" customHeight="1">
      <c r="A71" s="1253">
        <v>41003</v>
      </c>
      <c r="B71" s="1216">
        <v>13285</v>
      </c>
      <c r="C71" s="1210">
        <v>22550</v>
      </c>
      <c r="D71" s="1211">
        <v>22505</v>
      </c>
      <c r="E71" s="1212">
        <f t="shared" si="11"/>
        <v>-45</v>
      </c>
      <c r="F71" s="1213">
        <f t="shared" si="10"/>
        <v>-550</v>
      </c>
      <c r="G71" s="1208"/>
      <c r="H71" s="1266"/>
      <c r="I71" s="1459"/>
    </row>
    <row r="72" spans="1:9" ht="15" customHeight="1">
      <c r="A72" s="1253">
        <v>41004</v>
      </c>
      <c r="B72" s="1216">
        <v>13070</v>
      </c>
      <c r="C72" s="1210">
        <v>22500</v>
      </c>
      <c r="D72" s="1211">
        <v>22455</v>
      </c>
      <c r="E72" s="1212">
        <f t="shared" si="11"/>
        <v>-45</v>
      </c>
      <c r="F72" s="1213">
        <f>+C72-C71</f>
        <v>-50</v>
      </c>
      <c r="G72" s="1208"/>
      <c r="H72" s="1266"/>
      <c r="I72" s="1282">
        <v>170000</v>
      </c>
    </row>
    <row r="73" spans="1:9" ht="15" customHeight="1">
      <c r="A73" s="1253">
        <v>41005</v>
      </c>
      <c r="B73" s="1438" t="s">
        <v>112</v>
      </c>
      <c r="C73" s="1438"/>
      <c r="D73" s="1438"/>
      <c r="E73" s="1438"/>
      <c r="F73" s="1438"/>
      <c r="G73" s="1208"/>
      <c r="H73" s="1266"/>
      <c r="I73" s="1282">
        <v>170000</v>
      </c>
    </row>
    <row r="74" spans="1:9" ht="15" customHeight="1">
      <c r="A74" s="1253">
        <v>41008</v>
      </c>
      <c r="B74" s="1438"/>
      <c r="C74" s="1438"/>
      <c r="D74" s="1438"/>
      <c r="E74" s="1438"/>
      <c r="F74" s="1438"/>
      <c r="G74" s="1208"/>
      <c r="H74" s="1266"/>
      <c r="I74" s="1282">
        <v>169250</v>
      </c>
    </row>
    <row r="75" spans="1:9" ht="15" customHeight="1">
      <c r="A75" s="1253">
        <v>41009</v>
      </c>
      <c r="B75" s="1216">
        <v>13045</v>
      </c>
      <c r="C75" s="1210">
        <v>22850</v>
      </c>
      <c r="D75" s="1211">
        <v>23000</v>
      </c>
      <c r="E75" s="1212">
        <f t="shared" ref="E75:E113" si="12">D75-C75</f>
        <v>150</v>
      </c>
      <c r="F75" s="1213">
        <f>+C75-C72</f>
        <v>350</v>
      </c>
      <c r="G75" s="1208"/>
      <c r="H75" s="1266"/>
      <c r="I75" s="1282">
        <v>168250</v>
      </c>
    </row>
    <row r="76" spans="1:9" ht="15" customHeight="1">
      <c r="A76" s="1253">
        <v>41010</v>
      </c>
      <c r="B76" s="1216">
        <v>13150</v>
      </c>
      <c r="C76" s="1210">
        <v>22650</v>
      </c>
      <c r="D76" s="1211">
        <v>22730</v>
      </c>
      <c r="E76" s="1212">
        <f t="shared" si="12"/>
        <v>80</v>
      </c>
      <c r="F76" s="1213">
        <f t="shared" ref="F76:F81" si="13">+C76-C75</f>
        <v>-200</v>
      </c>
      <c r="G76" s="1208"/>
      <c r="H76" s="1266"/>
      <c r="I76" s="1282">
        <v>168000</v>
      </c>
    </row>
    <row r="77" spans="1:9" ht="15" customHeight="1">
      <c r="A77" s="1253">
        <v>41011</v>
      </c>
      <c r="B77" s="1216">
        <v>13150</v>
      </c>
      <c r="C77" s="1210">
        <v>22625</v>
      </c>
      <c r="D77" s="1211">
        <v>22700</v>
      </c>
      <c r="E77" s="1212">
        <f t="shared" si="12"/>
        <v>75</v>
      </c>
      <c r="F77" s="1213">
        <f t="shared" si="13"/>
        <v>-25</v>
      </c>
      <c r="G77" s="1208"/>
      <c r="H77" s="1266"/>
      <c r="I77" s="1282">
        <v>167250</v>
      </c>
    </row>
    <row r="78" spans="1:9" ht="15" customHeight="1">
      <c r="A78" s="1253">
        <v>41012</v>
      </c>
      <c r="B78" s="1216">
        <v>13265</v>
      </c>
      <c r="C78" s="1210">
        <v>22650</v>
      </c>
      <c r="D78" s="1211">
        <v>22605</v>
      </c>
      <c r="E78" s="1212">
        <f t="shared" si="12"/>
        <v>-45</v>
      </c>
      <c r="F78" s="1213">
        <f t="shared" si="13"/>
        <v>25</v>
      </c>
      <c r="G78" s="1208"/>
      <c r="H78" s="1266"/>
      <c r="I78" s="1282">
        <v>167250</v>
      </c>
    </row>
    <row r="79" spans="1:9" ht="15" customHeight="1">
      <c r="A79" s="1253">
        <v>41015</v>
      </c>
      <c r="B79" s="1216">
        <v>13240</v>
      </c>
      <c r="C79" s="1210">
        <v>21650</v>
      </c>
      <c r="D79" s="1211">
        <v>21795</v>
      </c>
      <c r="E79" s="1212">
        <f t="shared" si="12"/>
        <v>145</v>
      </c>
      <c r="F79" s="1213">
        <f t="shared" si="13"/>
        <v>-1000</v>
      </c>
      <c r="G79" s="1208"/>
      <c r="H79" s="1266"/>
      <c r="I79" s="1282">
        <v>166500</v>
      </c>
    </row>
    <row r="80" spans="1:9" ht="15" customHeight="1">
      <c r="A80" s="1253">
        <v>41016</v>
      </c>
      <c r="B80" s="1216">
        <v>13275</v>
      </c>
      <c r="C80" s="1210">
        <v>21250</v>
      </c>
      <c r="D80" s="1211">
        <v>21350</v>
      </c>
      <c r="E80" s="1212">
        <f t="shared" si="12"/>
        <v>100</v>
      </c>
      <c r="F80" s="1213">
        <f t="shared" si="13"/>
        <v>-400</v>
      </c>
      <c r="G80" s="1208"/>
      <c r="H80" s="1266"/>
      <c r="I80" s="1282">
        <v>165750</v>
      </c>
    </row>
    <row r="81" spans="1:9" ht="15" customHeight="1">
      <c r="A81" s="1253">
        <v>41017</v>
      </c>
      <c r="B81" s="1216">
        <v>13470</v>
      </c>
      <c r="C81" s="1210">
        <v>21170</v>
      </c>
      <c r="D81" s="1211">
        <v>21225</v>
      </c>
      <c r="E81" s="1212">
        <f t="shared" si="12"/>
        <v>55</v>
      </c>
      <c r="F81" s="1213">
        <f t="shared" si="13"/>
        <v>-80</v>
      </c>
      <c r="G81" s="1208"/>
      <c r="H81" s="1266"/>
      <c r="I81" s="1282">
        <v>165250</v>
      </c>
    </row>
    <row r="82" spans="1:9" ht="15" customHeight="1">
      <c r="A82" s="1253">
        <v>41018</v>
      </c>
      <c r="B82" s="1216">
        <v>13480</v>
      </c>
      <c r="C82" s="1210">
        <v>21060</v>
      </c>
      <c r="D82" s="1211">
        <v>21250</v>
      </c>
      <c r="E82" s="1212">
        <f t="shared" si="12"/>
        <v>190</v>
      </c>
      <c r="F82" s="1213">
        <f t="shared" ref="F82:F87" si="14">+C82-C81</f>
        <v>-110</v>
      </c>
      <c r="G82" s="1208"/>
      <c r="H82" s="1266"/>
      <c r="I82" s="1282">
        <v>164750</v>
      </c>
    </row>
    <row r="83" spans="1:9" ht="15" customHeight="1">
      <c r="A83" s="1253">
        <v>41019</v>
      </c>
      <c r="B83" s="1216">
        <v>13645</v>
      </c>
      <c r="C83" s="1210">
        <v>21255</v>
      </c>
      <c r="D83" s="1211">
        <v>21350</v>
      </c>
      <c r="E83" s="1212">
        <f t="shared" si="12"/>
        <v>95</v>
      </c>
      <c r="F83" s="1213">
        <f t="shared" si="14"/>
        <v>195</v>
      </c>
      <c r="G83" s="1208"/>
      <c r="H83" s="1266"/>
      <c r="I83" s="1282">
        <v>164750</v>
      </c>
    </row>
    <row r="84" spans="1:9" ht="15" customHeight="1">
      <c r="A84" s="1253">
        <v>41022</v>
      </c>
      <c r="B84" s="1216">
        <v>13810</v>
      </c>
      <c r="C84" s="1210">
        <v>21065</v>
      </c>
      <c r="D84" s="1211">
        <v>21165</v>
      </c>
      <c r="E84" s="1212">
        <f t="shared" si="12"/>
        <v>100</v>
      </c>
      <c r="F84" s="1213">
        <f t="shared" si="14"/>
        <v>-190</v>
      </c>
      <c r="G84" s="1208"/>
      <c r="H84" s="1266"/>
      <c r="I84" s="1282">
        <v>164750</v>
      </c>
    </row>
    <row r="85" spans="1:9" ht="15" customHeight="1">
      <c r="A85" s="1253">
        <v>41023</v>
      </c>
      <c r="B85" s="1216">
        <v>13875</v>
      </c>
      <c r="C85" s="1210">
        <v>21390</v>
      </c>
      <c r="D85" s="1211">
        <v>21400</v>
      </c>
      <c r="E85" s="1212">
        <f t="shared" si="12"/>
        <v>10</v>
      </c>
      <c r="F85" s="1213">
        <f t="shared" si="14"/>
        <v>325</v>
      </c>
      <c r="G85" s="1208"/>
      <c r="H85" s="1266"/>
      <c r="I85" s="1282">
        <v>164500</v>
      </c>
    </row>
    <row r="86" spans="1:9" ht="15" customHeight="1">
      <c r="A86" s="1253">
        <v>41024</v>
      </c>
      <c r="B86" s="1216">
        <v>13875</v>
      </c>
      <c r="C86" s="1210">
        <v>21700</v>
      </c>
      <c r="D86" s="1211">
        <v>21750</v>
      </c>
      <c r="E86" s="1212">
        <f t="shared" si="12"/>
        <v>50</v>
      </c>
      <c r="F86" s="1213">
        <f t="shared" si="14"/>
        <v>310</v>
      </c>
      <c r="G86" s="1208"/>
      <c r="H86" s="1266"/>
      <c r="I86" s="1282">
        <v>164500</v>
      </c>
    </row>
    <row r="87" spans="1:9" ht="15" customHeight="1">
      <c r="A87" s="1253">
        <v>41025</v>
      </c>
      <c r="B87" s="1216">
        <v>13890</v>
      </c>
      <c r="C87" s="1210">
        <v>22495</v>
      </c>
      <c r="D87" s="1211">
        <v>22500</v>
      </c>
      <c r="E87" s="1212">
        <f t="shared" si="12"/>
        <v>5</v>
      </c>
      <c r="F87" s="1213">
        <f t="shared" si="14"/>
        <v>795</v>
      </c>
      <c r="G87" s="1208"/>
      <c r="H87" s="1266"/>
      <c r="I87" s="1282">
        <v>164000</v>
      </c>
    </row>
    <row r="88" spans="1:9" ht="15" customHeight="1">
      <c r="A88" s="1253">
        <v>41026</v>
      </c>
      <c r="B88" s="1216">
        <v>14405</v>
      </c>
      <c r="C88" s="1210">
        <v>22405</v>
      </c>
      <c r="D88" s="1211">
        <v>22525</v>
      </c>
      <c r="E88" s="1212">
        <f t="shared" si="12"/>
        <v>120</v>
      </c>
      <c r="F88" s="1213">
        <f t="shared" ref="F88:F93" si="15">+C88-C87</f>
        <v>-90</v>
      </c>
      <c r="G88" s="1208"/>
      <c r="H88" s="1266"/>
      <c r="I88" s="1282">
        <v>164000</v>
      </c>
    </row>
    <row r="89" spans="1:9" ht="15" customHeight="1">
      <c r="A89" s="1253">
        <v>41029</v>
      </c>
      <c r="B89" s="1216">
        <v>14515</v>
      </c>
      <c r="C89" s="1210">
        <v>22625</v>
      </c>
      <c r="D89" s="1211">
        <v>22680</v>
      </c>
      <c r="E89" s="1212">
        <f t="shared" si="12"/>
        <v>55</v>
      </c>
      <c r="F89" s="1213">
        <f t="shared" si="15"/>
        <v>220</v>
      </c>
      <c r="G89" s="1214">
        <f>AVERAGE(C69:C89)</f>
        <v>22091.57894736842</v>
      </c>
      <c r="H89" s="1267">
        <f>AVERAGE(C5:C89)</f>
        <v>22746.686746987951</v>
      </c>
      <c r="I89" s="1284" t="s">
        <v>36</v>
      </c>
    </row>
    <row r="90" spans="1:9" ht="15" customHeight="1">
      <c r="A90" s="1253">
        <v>41030</v>
      </c>
      <c r="B90" s="1216">
        <v>14515</v>
      </c>
      <c r="C90" s="1210">
        <v>22725</v>
      </c>
      <c r="D90" s="1211">
        <v>22800</v>
      </c>
      <c r="E90" s="1212">
        <f t="shared" si="12"/>
        <v>75</v>
      </c>
      <c r="F90" s="1213">
        <f t="shared" si="15"/>
        <v>100</v>
      </c>
      <c r="G90" s="1208"/>
      <c r="H90" s="1266"/>
      <c r="I90" s="1284" t="s">
        <v>36</v>
      </c>
    </row>
    <row r="91" spans="1:9" ht="15" customHeight="1">
      <c r="A91" s="1253">
        <v>41031</v>
      </c>
      <c r="B91" s="1216">
        <v>14490</v>
      </c>
      <c r="C91" s="1210">
        <v>22250</v>
      </c>
      <c r="D91" s="1211">
        <v>22325</v>
      </c>
      <c r="E91" s="1212">
        <f t="shared" si="12"/>
        <v>75</v>
      </c>
      <c r="F91" s="1213">
        <f t="shared" si="15"/>
        <v>-475</v>
      </c>
      <c r="G91" s="1208"/>
      <c r="H91" s="1266"/>
      <c r="I91" s="1282">
        <v>164250</v>
      </c>
    </row>
    <row r="92" spans="1:9" ht="15" customHeight="1">
      <c r="A92" s="1253">
        <v>41032</v>
      </c>
      <c r="B92" s="1216">
        <v>14510</v>
      </c>
      <c r="C92" s="1210">
        <v>22005</v>
      </c>
      <c r="D92" s="1211">
        <v>22075</v>
      </c>
      <c r="E92" s="1212">
        <f t="shared" si="12"/>
        <v>70</v>
      </c>
      <c r="F92" s="1213">
        <f t="shared" si="15"/>
        <v>-245</v>
      </c>
      <c r="G92" s="1208"/>
      <c r="H92" s="1266"/>
      <c r="I92" s="1282">
        <v>164250</v>
      </c>
    </row>
    <row r="93" spans="1:9" ht="15" customHeight="1">
      <c r="A93" s="1253">
        <v>41033</v>
      </c>
      <c r="B93" s="1216">
        <v>14545</v>
      </c>
      <c r="C93" s="1210">
        <v>21775</v>
      </c>
      <c r="D93" s="1211">
        <v>21700</v>
      </c>
      <c r="E93" s="1212">
        <f t="shared" si="12"/>
        <v>-75</v>
      </c>
      <c r="F93" s="1213">
        <f t="shared" si="15"/>
        <v>-230</v>
      </c>
      <c r="G93" s="1208"/>
      <c r="H93" s="1266"/>
      <c r="I93" s="1282">
        <v>163750</v>
      </c>
    </row>
    <row r="94" spans="1:9" ht="15" customHeight="1">
      <c r="A94" s="1253">
        <v>41036</v>
      </c>
      <c r="B94" s="1434" t="s">
        <v>112</v>
      </c>
      <c r="C94" s="1434"/>
      <c r="D94" s="1434"/>
      <c r="E94" s="1434"/>
      <c r="F94" s="1434"/>
      <c r="G94" s="1208"/>
      <c r="H94" s="1266"/>
      <c r="I94" s="1282">
        <v>163500</v>
      </c>
    </row>
    <row r="95" spans="1:9" ht="15" customHeight="1">
      <c r="A95" s="1253">
        <v>41037</v>
      </c>
      <c r="B95" s="1216">
        <v>14595</v>
      </c>
      <c r="C95" s="1210">
        <v>21340</v>
      </c>
      <c r="D95" s="1211">
        <v>21345</v>
      </c>
      <c r="E95" s="1212">
        <f t="shared" si="12"/>
        <v>5</v>
      </c>
      <c r="F95" s="1213">
        <f t="shared" ref="F95:F100" si="16">+C95-C94</f>
        <v>21340</v>
      </c>
      <c r="G95" s="1208"/>
      <c r="H95" s="1266"/>
      <c r="I95" s="1282">
        <v>162500</v>
      </c>
    </row>
    <row r="96" spans="1:9" ht="15" customHeight="1">
      <c r="A96" s="1253">
        <v>41038</v>
      </c>
      <c r="B96" s="1216">
        <v>14490</v>
      </c>
      <c r="C96" s="1210">
        <v>20850</v>
      </c>
      <c r="D96" s="1211">
        <v>20900</v>
      </c>
      <c r="E96" s="1212">
        <f t="shared" si="12"/>
        <v>50</v>
      </c>
      <c r="F96" s="1213">
        <f t="shared" si="16"/>
        <v>-490</v>
      </c>
      <c r="G96" s="1208"/>
      <c r="H96" s="1266"/>
      <c r="I96" s="1282">
        <v>161750</v>
      </c>
    </row>
    <row r="97" spans="1:9" ht="15" customHeight="1">
      <c r="A97" s="1253">
        <v>41039</v>
      </c>
      <c r="B97" s="1216">
        <v>14515</v>
      </c>
      <c r="C97" s="1210">
        <v>20645</v>
      </c>
      <c r="D97" s="1211">
        <v>20650</v>
      </c>
      <c r="E97" s="1212">
        <f t="shared" si="12"/>
        <v>5</v>
      </c>
      <c r="F97" s="1213">
        <f t="shared" si="16"/>
        <v>-205</v>
      </c>
      <c r="G97" s="1208"/>
      <c r="H97" s="1266"/>
      <c r="I97" s="1282">
        <v>160000</v>
      </c>
    </row>
    <row r="98" spans="1:9" ht="15" customHeight="1">
      <c r="A98" s="1253">
        <v>41040</v>
      </c>
      <c r="B98" s="1216">
        <v>14490</v>
      </c>
      <c r="C98" s="1210">
        <v>20255</v>
      </c>
      <c r="D98" s="1211">
        <v>20325</v>
      </c>
      <c r="E98" s="1212">
        <f t="shared" si="12"/>
        <v>70</v>
      </c>
      <c r="F98" s="1213">
        <f t="shared" si="16"/>
        <v>-390</v>
      </c>
      <c r="G98" s="1208"/>
      <c r="H98" s="1266"/>
      <c r="I98" s="1282">
        <v>159750</v>
      </c>
    </row>
    <row r="99" spans="1:9" ht="15" customHeight="1">
      <c r="A99" s="1253">
        <v>41043</v>
      </c>
      <c r="B99" s="1216">
        <v>14425</v>
      </c>
      <c r="C99" s="1210">
        <v>20275</v>
      </c>
      <c r="D99" s="1211">
        <v>20200</v>
      </c>
      <c r="E99" s="1212">
        <f t="shared" si="12"/>
        <v>-75</v>
      </c>
      <c r="F99" s="1213">
        <f t="shared" si="16"/>
        <v>20</v>
      </c>
      <c r="G99" s="1208"/>
      <c r="H99" s="1266"/>
      <c r="I99" s="1282">
        <v>158000</v>
      </c>
    </row>
    <row r="100" spans="1:9" ht="15" customHeight="1">
      <c r="A100" s="1253">
        <v>41044</v>
      </c>
      <c r="B100" s="1216">
        <v>14305</v>
      </c>
      <c r="C100" s="1210">
        <v>20200</v>
      </c>
      <c r="D100" s="1211">
        <v>20200</v>
      </c>
      <c r="E100" s="1212">
        <f t="shared" si="12"/>
        <v>0</v>
      </c>
      <c r="F100" s="1213">
        <f t="shared" si="16"/>
        <v>-75</v>
      </c>
      <c r="G100" s="1208"/>
      <c r="H100" s="1266"/>
      <c r="I100" s="1282">
        <v>157500</v>
      </c>
    </row>
    <row r="101" spans="1:9" ht="15" customHeight="1">
      <c r="A101" s="1253">
        <v>41045</v>
      </c>
      <c r="B101" s="1216">
        <v>14255</v>
      </c>
      <c r="C101" s="1210">
        <v>19780</v>
      </c>
      <c r="D101" s="1211">
        <v>19850</v>
      </c>
      <c r="E101" s="1212">
        <f t="shared" si="12"/>
        <v>70</v>
      </c>
      <c r="F101" s="1213">
        <f t="shared" ref="F101:F106" si="17">+C101-C100</f>
        <v>-420</v>
      </c>
      <c r="G101" s="1208"/>
      <c r="H101" s="1266"/>
      <c r="I101" s="1282">
        <v>155500</v>
      </c>
    </row>
    <row r="102" spans="1:9" ht="15" customHeight="1">
      <c r="A102" s="1253">
        <v>41046</v>
      </c>
      <c r="B102" s="1216">
        <v>14355</v>
      </c>
      <c r="C102" s="1210">
        <v>19450</v>
      </c>
      <c r="D102" s="1211">
        <v>19380</v>
      </c>
      <c r="E102" s="1212">
        <f t="shared" si="12"/>
        <v>-70</v>
      </c>
      <c r="F102" s="1213">
        <f t="shared" si="17"/>
        <v>-330</v>
      </c>
      <c r="G102" s="1208"/>
      <c r="H102" s="1266"/>
      <c r="I102" s="1282">
        <v>154500</v>
      </c>
    </row>
    <row r="103" spans="1:9" ht="15" customHeight="1">
      <c r="A103" s="1253">
        <v>41047</v>
      </c>
      <c r="B103" s="1216">
        <v>14430</v>
      </c>
      <c r="C103" s="1210">
        <v>19400</v>
      </c>
      <c r="D103" s="1211">
        <v>19450</v>
      </c>
      <c r="E103" s="1212">
        <f t="shared" si="12"/>
        <v>50</v>
      </c>
      <c r="F103" s="1213">
        <f t="shared" si="17"/>
        <v>-50</v>
      </c>
      <c r="G103" s="1208"/>
      <c r="H103" s="1266"/>
      <c r="I103" s="1282">
        <v>154500</v>
      </c>
    </row>
    <row r="104" spans="1:9" ht="15" customHeight="1">
      <c r="A104" s="1253">
        <v>41050</v>
      </c>
      <c r="B104" s="1216">
        <v>14470</v>
      </c>
      <c r="C104" s="1210">
        <v>19450</v>
      </c>
      <c r="D104" s="1211">
        <v>19425</v>
      </c>
      <c r="E104" s="1212">
        <f t="shared" si="12"/>
        <v>-25</v>
      </c>
      <c r="F104" s="1213">
        <f t="shared" si="17"/>
        <v>50</v>
      </c>
      <c r="G104" s="1208"/>
      <c r="H104" s="1266"/>
      <c r="I104" s="1282">
        <v>154000</v>
      </c>
    </row>
    <row r="105" spans="1:9" ht="15" customHeight="1">
      <c r="A105" s="1253">
        <v>41051</v>
      </c>
      <c r="B105" s="1216">
        <v>14575</v>
      </c>
      <c r="C105" s="1210">
        <v>19460</v>
      </c>
      <c r="D105" s="1211">
        <v>19525</v>
      </c>
      <c r="E105" s="1212">
        <f t="shared" si="12"/>
        <v>65</v>
      </c>
      <c r="F105" s="1213">
        <f t="shared" si="17"/>
        <v>10</v>
      </c>
      <c r="G105" s="1208"/>
      <c r="H105" s="1266"/>
      <c r="I105" s="1282">
        <v>154000</v>
      </c>
    </row>
    <row r="106" spans="1:9" ht="15" customHeight="1">
      <c r="A106" s="1253">
        <v>41052</v>
      </c>
      <c r="B106" s="1216">
        <v>13995</v>
      </c>
      <c r="C106" s="1210">
        <v>19305</v>
      </c>
      <c r="D106" s="1211">
        <v>19350</v>
      </c>
      <c r="E106" s="1212">
        <f t="shared" si="12"/>
        <v>45</v>
      </c>
      <c r="F106" s="1213">
        <f t="shared" si="17"/>
        <v>-155</v>
      </c>
      <c r="G106" s="1208"/>
      <c r="H106" s="1266"/>
      <c r="I106" s="1282">
        <v>154250</v>
      </c>
    </row>
    <row r="107" spans="1:9" ht="15" customHeight="1">
      <c r="A107" s="1253">
        <v>41053</v>
      </c>
      <c r="B107" s="1216">
        <v>13625</v>
      </c>
      <c r="C107" s="1210">
        <v>19655</v>
      </c>
      <c r="D107" s="1211">
        <v>19695</v>
      </c>
      <c r="E107" s="1212">
        <f t="shared" si="12"/>
        <v>40</v>
      </c>
      <c r="F107" s="1213">
        <f t="shared" ref="F107:F112" si="18">+C107-C106</f>
        <v>350</v>
      </c>
      <c r="G107" s="1208"/>
      <c r="H107" s="1266"/>
      <c r="I107" s="1282">
        <v>155000</v>
      </c>
    </row>
    <row r="108" spans="1:9" ht="15" customHeight="1">
      <c r="A108" s="1253">
        <v>41054</v>
      </c>
      <c r="B108" s="1216">
        <v>13465</v>
      </c>
      <c r="C108" s="1210">
        <v>19850</v>
      </c>
      <c r="D108" s="1211">
        <v>19850</v>
      </c>
      <c r="E108" s="1212">
        <f t="shared" si="12"/>
        <v>0</v>
      </c>
      <c r="F108" s="1213">
        <f t="shared" si="18"/>
        <v>195</v>
      </c>
      <c r="G108" s="1208"/>
      <c r="H108" s="1266"/>
      <c r="I108" s="1282">
        <v>154750</v>
      </c>
    </row>
    <row r="109" spans="1:9" ht="15" customHeight="1">
      <c r="A109" s="1253">
        <v>41057</v>
      </c>
      <c r="B109" s="1216">
        <v>13395</v>
      </c>
      <c r="C109" s="1210">
        <v>19855</v>
      </c>
      <c r="D109" s="1211">
        <v>19895</v>
      </c>
      <c r="E109" s="1212">
        <f t="shared" si="12"/>
        <v>40</v>
      </c>
      <c r="F109" s="1213">
        <f t="shared" si="18"/>
        <v>5</v>
      </c>
      <c r="G109" s="1208"/>
      <c r="H109" s="1266"/>
      <c r="I109" s="1282">
        <v>154500</v>
      </c>
    </row>
    <row r="110" spans="1:9" ht="15" customHeight="1">
      <c r="A110" s="1253">
        <v>41058</v>
      </c>
      <c r="B110" s="1216">
        <v>13355</v>
      </c>
      <c r="C110" s="1210">
        <v>20100</v>
      </c>
      <c r="D110" s="1211">
        <v>20100</v>
      </c>
      <c r="E110" s="1212">
        <f t="shared" si="12"/>
        <v>0</v>
      </c>
      <c r="F110" s="1213">
        <f t="shared" si="18"/>
        <v>245</v>
      </c>
      <c r="G110" s="1208"/>
      <c r="H110" s="1266"/>
      <c r="I110" s="1282">
        <v>154750</v>
      </c>
    </row>
    <row r="111" spans="1:9" ht="15" customHeight="1">
      <c r="A111" s="1253">
        <v>41059</v>
      </c>
      <c r="B111" s="1216">
        <v>13410</v>
      </c>
      <c r="C111" s="1210">
        <v>19805</v>
      </c>
      <c r="D111" s="1211">
        <v>19800</v>
      </c>
      <c r="E111" s="1212">
        <f t="shared" si="12"/>
        <v>-5</v>
      </c>
      <c r="F111" s="1213">
        <f t="shared" si="18"/>
        <v>-295</v>
      </c>
      <c r="G111" s="1208"/>
      <c r="H111" s="1266"/>
      <c r="I111" s="1282">
        <v>154250</v>
      </c>
    </row>
    <row r="112" spans="1:9" ht="15" customHeight="1">
      <c r="A112" s="1253">
        <v>41060</v>
      </c>
      <c r="B112" s="1216">
        <v>13410</v>
      </c>
      <c r="C112" s="1210">
        <v>19725</v>
      </c>
      <c r="D112" s="1211">
        <v>19725</v>
      </c>
      <c r="E112" s="1212">
        <f t="shared" si="12"/>
        <v>0</v>
      </c>
      <c r="F112" s="1213">
        <f t="shared" si="18"/>
        <v>-80</v>
      </c>
      <c r="G112" s="1214">
        <f>AVERAGE(C90:C112)</f>
        <v>20370.68181818182</v>
      </c>
      <c r="H112" s="1267">
        <f>AVERAGE(C5:C112)</f>
        <v>22248.857142857141</v>
      </c>
      <c r="I112" s="1282">
        <v>154150</v>
      </c>
    </row>
    <row r="113" spans="1:9" ht="15" customHeight="1">
      <c r="A113" s="1253">
        <v>41061</v>
      </c>
      <c r="B113" s="1216">
        <v>13360</v>
      </c>
      <c r="C113" s="1210">
        <v>19330</v>
      </c>
      <c r="D113" s="1211">
        <v>19405</v>
      </c>
      <c r="E113" s="1212">
        <f t="shared" si="12"/>
        <v>75</v>
      </c>
      <c r="F113" s="1213">
        <f>+C113-C112</f>
        <v>-395</v>
      </c>
      <c r="G113" s="1208"/>
      <c r="H113" s="1266"/>
      <c r="I113" s="1282">
        <v>154250</v>
      </c>
    </row>
    <row r="114" spans="1:9" ht="15" customHeight="1">
      <c r="A114" s="1253">
        <v>41064</v>
      </c>
      <c r="B114" s="1438" t="s">
        <v>112</v>
      </c>
      <c r="C114" s="1438"/>
      <c r="D114" s="1438"/>
      <c r="E114" s="1438"/>
      <c r="F114" s="1438"/>
      <c r="G114" s="1208"/>
      <c r="H114" s="1266"/>
      <c r="I114" s="1282">
        <v>154250</v>
      </c>
    </row>
    <row r="115" spans="1:9" ht="15" customHeight="1">
      <c r="A115" s="1253">
        <v>41065</v>
      </c>
      <c r="B115" s="1438"/>
      <c r="C115" s="1438"/>
      <c r="D115" s="1438"/>
      <c r="E115" s="1438"/>
      <c r="F115" s="1438"/>
      <c r="G115" s="1208"/>
      <c r="H115" s="1266"/>
      <c r="I115" s="1282">
        <v>152750</v>
      </c>
    </row>
    <row r="116" spans="1:9" ht="15" customHeight="1">
      <c r="A116" s="1253">
        <v>41066</v>
      </c>
      <c r="B116" s="1216">
        <v>12855</v>
      </c>
      <c r="C116" s="1210">
        <v>19905</v>
      </c>
      <c r="D116" s="1211">
        <v>19900</v>
      </c>
      <c r="E116" s="1212">
        <f t="shared" ref="E116:E179" si="19">D116-C116</f>
        <v>-5</v>
      </c>
      <c r="F116" s="1213">
        <f>+C116-C113</f>
        <v>575</v>
      </c>
      <c r="G116" s="1208"/>
      <c r="H116" s="1266"/>
      <c r="I116" s="1282">
        <v>152750</v>
      </c>
    </row>
    <row r="117" spans="1:9" ht="15" customHeight="1">
      <c r="A117" s="1253">
        <v>41067</v>
      </c>
      <c r="B117" s="1216">
        <v>12310</v>
      </c>
      <c r="C117" s="1210">
        <v>19620</v>
      </c>
      <c r="D117" s="1211">
        <v>19605</v>
      </c>
      <c r="E117" s="1212">
        <f t="shared" si="19"/>
        <v>-15</v>
      </c>
      <c r="F117" s="1213">
        <f t="shared" ref="F117:F122" si="20">+C117-C116</f>
        <v>-285</v>
      </c>
      <c r="G117" s="1208"/>
      <c r="H117" s="1266"/>
      <c r="I117" s="1282">
        <v>152000</v>
      </c>
    </row>
    <row r="118" spans="1:9" ht="15" customHeight="1">
      <c r="A118" s="1253">
        <v>41068</v>
      </c>
      <c r="B118" s="1216">
        <v>12155</v>
      </c>
      <c r="C118" s="1210">
        <v>19500</v>
      </c>
      <c r="D118" s="1211">
        <v>19500</v>
      </c>
      <c r="E118" s="1212">
        <f t="shared" si="19"/>
        <v>0</v>
      </c>
      <c r="F118" s="1213">
        <f t="shared" si="20"/>
        <v>-120</v>
      </c>
      <c r="G118" s="1208"/>
      <c r="H118" s="1266"/>
      <c r="I118" s="1282">
        <v>151750</v>
      </c>
    </row>
    <row r="119" spans="1:9" ht="15" customHeight="1">
      <c r="A119" s="1253">
        <v>41071</v>
      </c>
      <c r="B119" s="1216">
        <v>12075</v>
      </c>
      <c r="C119" s="1210">
        <v>19875</v>
      </c>
      <c r="D119" s="1211">
        <v>19720</v>
      </c>
      <c r="E119" s="1212">
        <f t="shared" si="19"/>
        <v>-155</v>
      </c>
      <c r="F119" s="1213">
        <f t="shared" si="20"/>
        <v>375</v>
      </c>
      <c r="G119" s="1208"/>
      <c r="H119" s="1266"/>
      <c r="I119" s="1282">
        <v>151500</v>
      </c>
    </row>
    <row r="120" spans="1:9" ht="15" customHeight="1">
      <c r="A120" s="1253">
        <v>41072</v>
      </c>
      <c r="B120" s="1216">
        <v>12045</v>
      </c>
      <c r="C120" s="1210">
        <v>19650</v>
      </c>
      <c r="D120" s="1211">
        <v>19600</v>
      </c>
      <c r="E120" s="1212">
        <f t="shared" si="19"/>
        <v>-50</v>
      </c>
      <c r="F120" s="1213">
        <f t="shared" si="20"/>
        <v>-225</v>
      </c>
      <c r="G120" s="1208"/>
      <c r="H120" s="1266"/>
      <c r="I120" s="1282">
        <v>151500</v>
      </c>
    </row>
    <row r="121" spans="1:9" ht="15" customHeight="1">
      <c r="A121" s="1253">
        <v>41073</v>
      </c>
      <c r="B121" s="1216">
        <v>12045</v>
      </c>
      <c r="C121" s="1210">
        <v>19510</v>
      </c>
      <c r="D121" s="1211">
        <v>19550</v>
      </c>
      <c r="E121" s="1212">
        <f t="shared" si="19"/>
        <v>40</v>
      </c>
      <c r="F121" s="1213">
        <f t="shared" si="20"/>
        <v>-140</v>
      </c>
      <c r="G121" s="1208"/>
      <c r="H121" s="1266"/>
      <c r="I121" s="1282">
        <v>151500</v>
      </c>
    </row>
    <row r="122" spans="1:9" ht="15" customHeight="1">
      <c r="A122" s="1253">
        <v>41074</v>
      </c>
      <c r="B122" s="1216">
        <v>12115</v>
      </c>
      <c r="C122" s="1210">
        <v>19455</v>
      </c>
      <c r="D122" s="1211">
        <v>19450</v>
      </c>
      <c r="E122" s="1212">
        <f t="shared" si="19"/>
        <v>-5</v>
      </c>
      <c r="F122" s="1213">
        <f t="shared" si="20"/>
        <v>-55</v>
      </c>
      <c r="G122" s="1208"/>
      <c r="H122" s="1266"/>
      <c r="I122" s="1282">
        <v>151250</v>
      </c>
    </row>
    <row r="123" spans="1:9" ht="15" customHeight="1">
      <c r="A123" s="1253">
        <v>41075</v>
      </c>
      <c r="B123" s="1216">
        <v>12180</v>
      </c>
      <c r="C123" s="1210">
        <v>19555</v>
      </c>
      <c r="D123" s="1211">
        <v>19550</v>
      </c>
      <c r="E123" s="1212">
        <f t="shared" si="19"/>
        <v>-5</v>
      </c>
      <c r="F123" s="1213">
        <f t="shared" ref="F123:F128" si="21">+C123-C122</f>
        <v>100</v>
      </c>
      <c r="G123" s="1208"/>
      <c r="H123" s="1266"/>
      <c r="I123" s="1282">
        <v>150500</v>
      </c>
    </row>
    <row r="124" spans="1:9" ht="15" customHeight="1">
      <c r="A124" s="1253">
        <v>41078</v>
      </c>
      <c r="B124" s="1216">
        <v>12180</v>
      </c>
      <c r="C124" s="1210">
        <v>19430</v>
      </c>
      <c r="D124" s="1211">
        <v>19430</v>
      </c>
      <c r="E124" s="1212">
        <f t="shared" si="19"/>
        <v>0</v>
      </c>
      <c r="F124" s="1213">
        <f t="shared" si="21"/>
        <v>-125</v>
      </c>
      <c r="G124" s="1208"/>
      <c r="H124" s="1266"/>
      <c r="I124" s="1282">
        <v>150500</v>
      </c>
    </row>
    <row r="125" spans="1:9" ht="15" customHeight="1">
      <c r="A125" s="1253">
        <v>41079</v>
      </c>
      <c r="B125" s="1216">
        <v>12175</v>
      </c>
      <c r="C125" s="1210">
        <v>19500</v>
      </c>
      <c r="D125" s="1211">
        <v>19505</v>
      </c>
      <c r="E125" s="1212">
        <f t="shared" si="19"/>
        <v>5</v>
      </c>
      <c r="F125" s="1213">
        <f t="shared" si="21"/>
        <v>70</v>
      </c>
      <c r="G125" s="1208"/>
      <c r="H125" s="1266"/>
      <c r="I125" s="1282">
        <v>150500</v>
      </c>
    </row>
    <row r="126" spans="1:9" ht="15" customHeight="1">
      <c r="A126" s="1253">
        <v>41080</v>
      </c>
      <c r="B126" s="1216">
        <v>12115</v>
      </c>
      <c r="C126" s="1210">
        <v>19525</v>
      </c>
      <c r="D126" s="1211">
        <v>19525</v>
      </c>
      <c r="E126" s="1212">
        <f t="shared" si="19"/>
        <v>0</v>
      </c>
      <c r="F126" s="1213">
        <f t="shared" si="21"/>
        <v>25</v>
      </c>
      <c r="G126" s="1208"/>
      <c r="H126" s="1266"/>
      <c r="I126" s="1282">
        <v>150500</v>
      </c>
    </row>
    <row r="127" spans="1:9" ht="15" customHeight="1">
      <c r="A127" s="1253">
        <v>41081</v>
      </c>
      <c r="B127" s="1216">
        <v>12365</v>
      </c>
      <c r="C127" s="1210">
        <v>19195</v>
      </c>
      <c r="D127" s="1211">
        <v>19200</v>
      </c>
      <c r="E127" s="1212">
        <f t="shared" si="19"/>
        <v>5</v>
      </c>
      <c r="F127" s="1213">
        <f t="shared" si="21"/>
        <v>-330</v>
      </c>
      <c r="G127" s="1208"/>
      <c r="H127" s="1266"/>
      <c r="I127" s="1282">
        <v>150500</v>
      </c>
    </row>
    <row r="128" spans="1:9" ht="15" customHeight="1">
      <c r="A128" s="1253">
        <v>41082</v>
      </c>
      <c r="B128" s="1216">
        <v>12235</v>
      </c>
      <c r="C128" s="1210">
        <v>18375</v>
      </c>
      <c r="D128" s="1211">
        <v>18360</v>
      </c>
      <c r="E128" s="1212">
        <f t="shared" si="19"/>
        <v>-15</v>
      </c>
      <c r="F128" s="1213">
        <f t="shared" si="21"/>
        <v>-820</v>
      </c>
      <c r="G128" s="1208"/>
      <c r="H128" s="1266"/>
      <c r="I128" s="1282" t="s">
        <v>112</v>
      </c>
    </row>
    <row r="129" spans="1:9" ht="15" customHeight="1">
      <c r="A129" s="1253">
        <v>41085</v>
      </c>
      <c r="B129" s="1216">
        <v>12225</v>
      </c>
      <c r="C129" s="1210">
        <v>18800</v>
      </c>
      <c r="D129" s="1211">
        <v>18795</v>
      </c>
      <c r="E129" s="1212">
        <f t="shared" si="19"/>
        <v>-5</v>
      </c>
      <c r="F129" s="1213">
        <f t="shared" ref="F129:F134" si="22">+C129-C128</f>
        <v>425</v>
      </c>
      <c r="G129" s="1208"/>
      <c r="H129" s="1266"/>
      <c r="I129" s="1282">
        <v>150000</v>
      </c>
    </row>
    <row r="130" spans="1:9" ht="15" customHeight="1">
      <c r="A130" s="1253">
        <v>41086</v>
      </c>
      <c r="B130" s="1216">
        <v>12250</v>
      </c>
      <c r="C130" s="1210">
        <v>18600</v>
      </c>
      <c r="D130" s="1211">
        <v>18555</v>
      </c>
      <c r="E130" s="1212">
        <f t="shared" si="19"/>
        <v>-45</v>
      </c>
      <c r="F130" s="1213">
        <f t="shared" si="22"/>
        <v>-200</v>
      </c>
      <c r="G130" s="1208"/>
      <c r="H130" s="1266"/>
      <c r="I130" s="1282">
        <v>149500</v>
      </c>
    </row>
    <row r="131" spans="1:9" ht="15" customHeight="1">
      <c r="A131" s="1253">
        <v>41087</v>
      </c>
      <c r="B131" s="1216">
        <v>12240</v>
      </c>
      <c r="C131" s="1210">
        <v>18545</v>
      </c>
      <c r="D131" s="1211">
        <v>18500</v>
      </c>
      <c r="E131" s="1212">
        <f t="shared" si="19"/>
        <v>-45</v>
      </c>
      <c r="F131" s="1213">
        <f t="shared" si="22"/>
        <v>-55</v>
      </c>
      <c r="G131" s="1208"/>
      <c r="H131" s="1266"/>
      <c r="I131" s="1282">
        <v>149000</v>
      </c>
    </row>
    <row r="132" spans="1:9" ht="15" customHeight="1">
      <c r="A132" s="1253">
        <v>41088</v>
      </c>
      <c r="B132" s="1216">
        <v>12240</v>
      </c>
      <c r="C132" s="1210">
        <v>18845</v>
      </c>
      <c r="D132" s="1211">
        <v>18825</v>
      </c>
      <c r="E132" s="1212">
        <f t="shared" si="19"/>
        <v>-20</v>
      </c>
      <c r="F132" s="1213">
        <f t="shared" si="22"/>
        <v>300</v>
      </c>
      <c r="G132" s="1208"/>
      <c r="H132" s="1266"/>
      <c r="I132" s="1282">
        <v>148000</v>
      </c>
    </row>
    <row r="133" spans="1:9" ht="15" customHeight="1">
      <c r="A133" s="1253">
        <v>41089</v>
      </c>
      <c r="B133" s="1216">
        <v>12260</v>
      </c>
      <c r="C133" s="1210">
        <v>18775</v>
      </c>
      <c r="D133" s="1211">
        <v>18800</v>
      </c>
      <c r="E133" s="1212">
        <f t="shared" si="19"/>
        <v>25</v>
      </c>
      <c r="F133" s="1213">
        <f t="shared" si="22"/>
        <v>-70</v>
      </c>
      <c r="G133" s="1214">
        <f>AVERAGE(C113:C133)</f>
        <v>19262.63157894737</v>
      </c>
      <c r="H133" s="1267">
        <f>AVERAGE(C5:C133)</f>
        <v>21791.290322580644</v>
      </c>
      <c r="I133" s="1282">
        <v>146750</v>
      </c>
    </row>
    <row r="134" spans="1:9" ht="15" customHeight="1">
      <c r="A134" s="1253">
        <v>41092</v>
      </c>
      <c r="B134" s="1216">
        <v>12170</v>
      </c>
      <c r="C134" s="1210">
        <v>18935</v>
      </c>
      <c r="D134" s="1211">
        <v>18945</v>
      </c>
      <c r="E134" s="1212">
        <f t="shared" si="19"/>
        <v>10</v>
      </c>
      <c r="F134" s="1213">
        <f t="shared" si="22"/>
        <v>160</v>
      </c>
      <c r="G134" s="1208"/>
      <c r="H134" s="1266"/>
      <c r="I134" s="1282">
        <v>147000</v>
      </c>
    </row>
    <row r="135" spans="1:9" ht="15" customHeight="1">
      <c r="A135" s="1253">
        <v>41093</v>
      </c>
      <c r="B135" s="1216">
        <v>12590</v>
      </c>
      <c r="C135" s="1210">
        <v>19130</v>
      </c>
      <c r="D135" s="1211">
        <v>19155</v>
      </c>
      <c r="E135" s="1212">
        <f t="shared" si="19"/>
        <v>25</v>
      </c>
      <c r="F135" s="1213">
        <f t="shared" ref="F135:F140" si="23">+C135-C134</f>
        <v>195</v>
      </c>
      <c r="G135" s="1208"/>
      <c r="H135" s="1266"/>
      <c r="I135" s="1282">
        <v>146500</v>
      </c>
    </row>
    <row r="136" spans="1:9" ht="15" customHeight="1">
      <c r="A136" s="1253">
        <v>41094</v>
      </c>
      <c r="B136" s="1216">
        <v>12580</v>
      </c>
      <c r="C136" s="1210">
        <v>19095</v>
      </c>
      <c r="D136" s="1211">
        <v>19100</v>
      </c>
      <c r="E136" s="1212">
        <f t="shared" si="19"/>
        <v>5</v>
      </c>
      <c r="F136" s="1213">
        <f t="shared" si="23"/>
        <v>-35</v>
      </c>
      <c r="G136" s="1208"/>
      <c r="H136" s="1266"/>
      <c r="I136" s="1282">
        <v>147750</v>
      </c>
    </row>
    <row r="137" spans="1:9" ht="15" customHeight="1">
      <c r="A137" s="1253">
        <v>41095</v>
      </c>
      <c r="B137" s="1216">
        <v>12605</v>
      </c>
      <c r="C137" s="1210">
        <v>19200</v>
      </c>
      <c r="D137" s="1211">
        <v>19200</v>
      </c>
      <c r="E137" s="1212">
        <f t="shared" si="19"/>
        <v>0</v>
      </c>
      <c r="F137" s="1213">
        <f t="shared" si="23"/>
        <v>105</v>
      </c>
      <c r="G137" s="1208"/>
      <c r="H137" s="1266"/>
      <c r="I137" s="1282">
        <v>148500</v>
      </c>
    </row>
    <row r="138" spans="1:9" ht="15" customHeight="1">
      <c r="A138" s="1253">
        <v>41096</v>
      </c>
      <c r="B138" s="1216">
        <v>12735</v>
      </c>
      <c r="C138" s="1210">
        <v>18905</v>
      </c>
      <c r="D138" s="1211">
        <v>18850</v>
      </c>
      <c r="E138" s="1212">
        <f t="shared" si="19"/>
        <v>-55</v>
      </c>
      <c r="F138" s="1213">
        <f t="shared" si="23"/>
        <v>-295</v>
      </c>
      <c r="G138" s="1208"/>
      <c r="H138" s="1266"/>
      <c r="I138" s="1282">
        <v>148000</v>
      </c>
    </row>
    <row r="139" spans="1:9" ht="15" customHeight="1">
      <c r="A139" s="1253">
        <v>41099</v>
      </c>
      <c r="B139" s="1216">
        <v>12585</v>
      </c>
      <c r="C139" s="1210">
        <v>18600</v>
      </c>
      <c r="D139" s="1211">
        <v>18625</v>
      </c>
      <c r="E139" s="1212">
        <f t="shared" si="19"/>
        <v>25</v>
      </c>
      <c r="F139" s="1213">
        <f t="shared" si="23"/>
        <v>-305</v>
      </c>
      <c r="G139" s="1208"/>
      <c r="H139" s="1266"/>
      <c r="I139" s="1282">
        <v>148000</v>
      </c>
    </row>
    <row r="140" spans="1:9" ht="15" customHeight="1">
      <c r="A140" s="1253">
        <v>41100</v>
      </c>
      <c r="B140" s="1216">
        <v>12220</v>
      </c>
      <c r="C140" s="1210">
        <v>18675</v>
      </c>
      <c r="D140" s="1211">
        <v>18750</v>
      </c>
      <c r="E140" s="1212">
        <f t="shared" si="19"/>
        <v>75</v>
      </c>
      <c r="F140" s="1213">
        <f t="shared" si="23"/>
        <v>75</v>
      </c>
      <c r="G140" s="1208"/>
      <c r="H140" s="1266"/>
      <c r="I140" s="1282">
        <v>148000</v>
      </c>
    </row>
    <row r="141" spans="1:9" ht="15" customHeight="1">
      <c r="A141" s="1253">
        <v>41101</v>
      </c>
      <c r="B141" s="1216">
        <v>12210</v>
      </c>
      <c r="C141" s="1210">
        <v>18735</v>
      </c>
      <c r="D141" s="1211">
        <v>18795</v>
      </c>
      <c r="E141" s="1212">
        <f t="shared" si="19"/>
        <v>60</v>
      </c>
      <c r="F141" s="1213">
        <f t="shared" ref="F141:F146" si="24">+C141-C140</f>
        <v>60</v>
      </c>
      <c r="G141" s="1208"/>
      <c r="H141" s="1266"/>
      <c r="I141" s="1282">
        <v>148000</v>
      </c>
    </row>
    <row r="142" spans="1:9" ht="15" customHeight="1">
      <c r="A142" s="1253">
        <v>41102</v>
      </c>
      <c r="B142" s="1216">
        <v>12210</v>
      </c>
      <c r="C142" s="1210">
        <v>18475</v>
      </c>
      <c r="D142" s="1211">
        <v>18530</v>
      </c>
      <c r="E142" s="1212">
        <f t="shared" si="19"/>
        <v>55</v>
      </c>
      <c r="F142" s="1213">
        <f t="shared" si="24"/>
        <v>-260</v>
      </c>
      <c r="G142" s="1208"/>
      <c r="H142" s="1266"/>
      <c r="I142" s="1282">
        <v>148000</v>
      </c>
    </row>
    <row r="143" spans="1:9" ht="15" customHeight="1">
      <c r="A143" s="1253">
        <v>41103</v>
      </c>
      <c r="B143" s="1216">
        <v>12100</v>
      </c>
      <c r="C143" s="1210">
        <v>18800</v>
      </c>
      <c r="D143" s="1211">
        <v>18705</v>
      </c>
      <c r="E143" s="1212">
        <f t="shared" si="19"/>
        <v>-95</v>
      </c>
      <c r="F143" s="1213">
        <f t="shared" si="24"/>
        <v>325</v>
      </c>
      <c r="G143" s="1208"/>
      <c r="H143" s="1266"/>
      <c r="I143" s="1282">
        <v>147500</v>
      </c>
    </row>
    <row r="144" spans="1:9" ht="15" customHeight="1">
      <c r="A144" s="1253">
        <v>41106</v>
      </c>
      <c r="B144" s="1216">
        <v>12095</v>
      </c>
      <c r="C144" s="1210">
        <v>18745</v>
      </c>
      <c r="D144" s="1211">
        <v>18750</v>
      </c>
      <c r="E144" s="1212">
        <f t="shared" si="19"/>
        <v>5</v>
      </c>
      <c r="F144" s="1213">
        <f t="shared" si="24"/>
        <v>-55</v>
      </c>
      <c r="G144" s="1208"/>
      <c r="H144" s="1266"/>
      <c r="I144" s="1282">
        <v>147500</v>
      </c>
    </row>
    <row r="145" spans="1:9" ht="15" customHeight="1">
      <c r="A145" s="1253">
        <v>41107</v>
      </c>
      <c r="B145" s="1216">
        <v>11955</v>
      </c>
      <c r="C145" s="1210">
        <v>18875</v>
      </c>
      <c r="D145" s="1211">
        <v>18875</v>
      </c>
      <c r="E145" s="1212">
        <f t="shared" si="19"/>
        <v>0</v>
      </c>
      <c r="F145" s="1213">
        <f t="shared" si="24"/>
        <v>130</v>
      </c>
      <c r="G145" s="1208"/>
      <c r="H145" s="1266"/>
      <c r="I145" s="1282">
        <v>147500</v>
      </c>
    </row>
    <row r="146" spans="1:9" ht="15" customHeight="1">
      <c r="A146" s="1253">
        <v>41108</v>
      </c>
      <c r="B146" s="1216">
        <v>11915</v>
      </c>
      <c r="C146" s="1210">
        <v>18700</v>
      </c>
      <c r="D146" s="1211">
        <v>18705</v>
      </c>
      <c r="E146" s="1212">
        <f t="shared" si="19"/>
        <v>5</v>
      </c>
      <c r="F146" s="1213">
        <f t="shared" si="24"/>
        <v>-175</v>
      </c>
      <c r="G146" s="1208"/>
      <c r="H146" s="1266"/>
      <c r="I146" s="1282">
        <v>147250</v>
      </c>
    </row>
    <row r="147" spans="1:9" ht="15" customHeight="1">
      <c r="A147" s="1253">
        <v>41109</v>
      </c>
      <c r="B147" s="1216">
        <v>11715</v>
      </c>
      <c r="C147" s="1210">
        <v>19275</v>
      </c>
      <c r="D147" s="1211">
        <v>19300</v>
      </c>
      <c r="E147" s="1212">
        <f t="shared" si="19"/>
        <v>25</v>
      </c>
      <c r="F147" s="1213">
        <f t="shared" ref="F147:F152" si="25">+C147-C146</f>
        <v>575</v>
      </c>
      <c r="G147" s="1208"/>
      <c r="H147" s="1266"/>
      <c r="I147" s="1282">
        <v>147000</v>
      </c>
    </row>
    <row r="148" spans="1:9" ht="15" customHeight="1">
      <c r="A148" s="1253">
        <v>41110</v>
      </c>
      <c r="B148" s="1216">
        <v>11715</v>
      </c>
      <c r="C148" s="1210">
        <v>18990</v>
      </c>
      <c r="D148" s="1211">
        <v>19000</v>
      </c>
      <c r="E148" s="1212">
        <f t="shared" si="19"/>
        <v>10</v>
      </c>
      <c r="F148" s="1213">
        <f t="shared" si="25"/>
        <v>-285</v>
      </c>
      <c r="G148" s="1208"/>
      <c r="H148" s="1266"/>
      <c r="I148" s="1282">
        <v>147000</v>
      </c>
    </row>
    <row r="149" spans="1:9" ht="15" customHeight="1">
      <c r="A149" s="1253">
        <v>41113</v>
      </c>
      <c r="B149" s="1216">
        <v>11720</v>
      </c>
      <c r="C149" s="1210">
        <v>18455</v>
      </c>
      <c r="D149" s="1211">
        <v>18495</v>
      </c>
      <c r="E149" s="1212">
        <f t="shared" si="19"/>
        <v>40</v>
      </c>
      <c r="F149" s="1213">
        <f t="shared" si="25"/>
        <v>-535</v>
      </c>
      <c r="G149" s="1208"/>
      <c r="H149" s="1266"/>
      <c r="I149" s="1282">
        <v>147000</v>
      </c>
    </row>
    <row r="150" spans="1:9" ht="15" customHeight="1">
      <c r="A150" s="1253">
        <v>41114</v>
      </c>
      <c r="B150" s="1216">
        <v>11720</v>
      </c>
      <c r="C150" s="1210">
        <v>17840</v>
      </c>
      <c r="D150" s="1211">
        <v>17730</v>
      </c>
      <c r="E150" s="1212">
        <f t="shared" si="19"/>
        <v>-110</v>
      </c>
      <c r="F150" s="1213">
        <f t="shared" si="25"/>
        <v>-615</v>
      </c>
      <c r="G150" s="1208"/>
      <c r="H150" s="1266"/>
      <c r="I150" s="1282">
        <v>146500</v>
      </c>
    </row>
    <row r="151" spans="1:9" ht="15" customHeight="1">
      <c r="A151" s="1253">
        <v>41115</v>
      </c>
      <c r="B151" s="1216">
        <v>11670</v>
      </c>
      <c r="C151" s="1210">
        <v>17800</v>
      </c>
      <c r="D151" s="1211">
        <v>17700</v>
      </c>
      <c r="E151" s="1212">
        <f t="shared" si="19"/>
        <v>-100</v>
      </c>
      <c r="F151" s="1213">
        <f t="shared" si="25"/>
        <v>-40</v>
      </c>
      <c r="G151" s="1208"/>
      <c r="H151" s="1266"/>
      <c r="I151" s="1282">
        <v>145500</v>
      </c>
    </row>
    <row r="152" spans="1:9" ht="15" customHeight="1">
      <c r="A152" s="1253">
        <v>41116</v>
      </c>
      <c r="B152" s="1216">
        <v>11670</v>
      </c>
      <c r="C152" s="1210">
        <v>17700</v>
      </c>
      <c r="D152" s="1211">
        <v>17700</v>
      </c>
      <c r="E152" s="1212">
        <f t="shared" si="19"/>
        <v>0</v>
      </c>
      <c r="F152" s="1213">
        <f t="shared" si="25"/>
        <v>-100</v>
      </c>
      <c r="G152" s="1208"/>
      <c r="H152" s="1266"/>
      <c r="I152" s="1282">
        <v>143500</v>
      </c>
    </row>
    <row r="153" spans="1:9" ht="15" customHeight="1">
      <c r="A153" s="1253">
        <v>41117</v>
      </c>
      <c r="B153" s="1216">
        <v>11770</v>
      </c>
      <c r="C153" s="1210">
        <v>18225</v>
      </c>
      <c r="D153" s="1211">
        <v>18225</v>
      </c>
      <c r="E153" s="1212">
        <f t="shared" si="19"/>
        <v>0</v>
      </c>
      <c r="F153" s="1213">
        <f t="shared" ref="F153:F158" si="26">+C153-C152</f>
        <v>525</v>
      </c>
      <c r="G153" s="1208"/>
      <c r="H153" s="1266"/>
      <c r="I153" s="1282">
        <v>143000</v>
      </c>
    </row>
    <row r="154" spans="1:9" ht="15" customHeight="1">
      <c r="A154" s="1253">
        <v>41120</v>
      </c>
      <c r="B154" s="1216">
        <v>11765</v>
      </c>
      <c r="C154" s="1210">
        <v>18100</v>
      </c>
      <c r="D154" s="1211">
        <v>18100</v>
      </c>
      <c r="E154" s="1212">
        <f t="shared" si="19"/>
        <v>0</v>
      </c>
      <c r="F154" s="1213">
        <f t="shared" si="26"/>
        <v>-125</v>
      </c>
      <c r="G154" s="1208"/>
      <c r="H154" s="1266"/>
      <c r="I154" s="1282">
        <v>143000</v>
      </c>
    </row>
    <row r="155" spans="1:9" ht="15" customHeight="1">
      <c r="A155" s="1253">
        <v>41121</v>
      </c>
      <c r="B155" s="1216">
        <v>11765</v>
      </c>
      <c r="C155" s="1210">
        <v>18220</v>
      </c>
      <c r="D155" s="1211">
        <v>18250</v>
      </c>
      <c r="E155" s="1212">
        <f t="shared" si="19"/>
        <v>30</v>
      </c>
      <c r="F155" s="1213">
        <f t="shared" si="26"/>
        <v>120</v>
      </c>
      <c r="G155" s="1214">
        <f>AVERAGE(C134:C155)</f>
        <v>18612.5</v>
      </c>
      <c r="H155" s="1267">
        <f>AVERAGE(C5:C155)</f>
        <v>21312.294520547945</v>
      </c>
      <c r="I155" s="1282">
        <v>143000</v>
      </c>
    </row>
    <row r="156" spans="1:9" ht="15" customHeight="1">
      <c r="A156" s="1253">
        <v>41122</v>
      </c>
      <c r="B156" s="1216">
        <v>11740</v>
      </c>
      <c r="C156" s="1210">
        <v>17950</v>
      </c>
      <c r="D156" s="1211">
        <v>17955</v>
      </c>
      <c r="E156" s="1212">
        <f t="shared" si="19"/>
        <v>5</v>
      </c>
      <c r="F156" s="1213">
        <f t="shared" si="26"/>
        <v>-270</v>
      </c>
      <c r="G156" s="1208"/>
      <c r="H156" s="1266"/>
      <c r="I156" s="1282">
        <v>143500</v>
      </c>
    </row>
    <row r="157" spans="1:9" ht="15" customHeight="1">
      <c r="A157" s="1253">
        <v>41123</v>
      </c>
      <c r="B157" s="1216">
        <v>11725</v>
      </c>
      <c r="C157" s="1210">
        <v>17650</v>
      </c>
      <c r="D157" s="1211">
        <v>17675</v>
      </c>
      <c r="E157" s="1212">
        <f t="shared" si="19"/>
        <v>25</v>
      </c>
      <c r="F157" s="1213">
        <f t="shared" si="26"/>
        <v>-300</v>
      </c>
      <c r="G157" s="1208"/>
      <c r="H157" s="1266"/>
      <c r="I157" s="1282">
        <v>143500</v>
      </c>
    </row>
    <row r="158" spans="1:9" ht="15" customHeight="1">
      <c r="A158" s="1253">
        <v>41124</v>
      </c>
      <c r="B158" s="1216">
        <v>11650</v>
      </c>
      <c r="C158" s="1210">
        <v>17775</v>
      </c>
      <c r="D158" s="1211">
        <v>17775</v>
      </c>
      <c r="E158" s="1212">
        <f t="shared" si="19"/>
        <v>0</v>
      </c>
      <c r="F158" s="1213">
        <f t="shared" si="26"/>
        <v>125</v>
      </c>
      <c r="G158" s="1208"/>
      <c r="H158" s="1266"/>
      <c r="I158" s="1282">
        <v>143000</v>
      </c>
    </row>
    <row r="159" spans="1:9" ht="15" customHeight="1">
      <c r="A159" s="1253">
        <v>41127</v>
      </c>
      <c r="B159" s="1216">
        <v>11650</v>
      </c>
      <c r="C159" s="1210">
        <v>17710</v>
      </c>
      <c r="D159" s="1211">
        <v>17780</v>
      </c>
      <c r="E159" s="1212">
        <f t="shared" si="19"/>
        <v>70</v>
      </c>
      <c r="F159" s="1213">
        <f t="shared" ref="F159:F164" si="27">+C159-C158</f>
        <v>-65</v>
      </c>
      <c r="G159" s="1208"/>
      <c r="H159" s="1266"/>
      <c r="I159" s="1282">
        <v>143000</v>
      </c>
    </row>
    <row r="160" spans="1:9" ht="15" customHeight="1">
      <c r="A160" s="1253">
        <v>41128</v>
      </c>
      <c r="B160" s="1216">
        <v>11705</v>
      </c>
      <c r="C160" s="1210">
        <v>18160</v>
      </c>
      <c r="D160" s="1211">
        <v>18225</v>
      </c>
      <c r="E160" s="1212">
        <f t="shared" si="19"/>
        <v>65</v>
      </c>
      <c r="F160" s="1213">
        <f t="shared" si="27"/>
        <v>450</v>
      </c>
      <c r="G160" s="1208"/>
      <c r="H160" s="1266"/>
      <c r="I160" s="1282">
        <v>142500</v>
      </c>
    </row>
    <row r="161" spans="1:9" ht="15" customHeight="1">
      <c r="A161" s="1253">
        <v>41129</v>
      </c>
      <c r="B161" s="1216">
        <v>11705</v>
      </c>
      <c r="C161" s="1210">
        <v>18125</v>
      </c>
      <c r="D161" s="1211">
        <v>18125</v>
      </c>
      <c r="E161" s="1212">
        <f t="shared" si="19"/>
        <v>0</v>
      </c>
      <c r="F161" s="1213">
        <f t="shared" si="27"/>
        <v>-35</v>
      </c>
      <c r="G161" s="1208"/>
      <c r="H161" s="1266"/>
      <c r="I161" s="1282">
        <v>143000</v>
      </c>
    </row>
    <row r="162" spans="1:9" ht="15" customHeight="1">
      <c r="A162" s="1253">
        <v>41130</v>
      </c>
      <c r="B162" s="1216">
        <v>11685</v>
      </c>
      <c r="C162" s="1210">
        <v>18110</v>
      </c>
      <c r="D162" s="1211">
        <v>18130</v>
      </c>
      <c r="E162" s="1212">
        <f t="shared" si="19"/>
        <v>20</v>
      </c>
      <c r="F162" s="1213">
        <f t="shared" si="27"/>
        <v>-15</v>
      </c>
      <c r="G162" s="1208"/>
      <c r="H162" s="1266"/>
      <c r="I162" s="1282">
        <v>142500</v>
      </c>
    </row>
    <row r="163" spans="1:9" ht="15" customHeight="1">
      <c r="A163" s="1253">
        <v>41131</v>
      </c>
      <c r="B163" s="1216">
        <v>11685</v>
      </c>
      <c r="C163" s="1210">
        <v>17900</v>
      </c>
      <c r="D163" s="1211">
        <v>17850</v>
      </c>
      <c r="E163" s="1212">
        <f t="shared" si="19"/>
        <v>-50</v>
      </c>
      <c r="F163" s="1213">
        <f t="shared" si="27"/>
        <v>-210</v>
      </c>
      <c r="G163" s="1208"/>
      <c r="H163" s="1266"/>
      <c r="I163" s="1282">
        <v>142500</v>
      </c>
    </row>
    <row r="164" spans="1:9" ht="15" customHeight="1">
      <c r="A164" s="1253">
        <v>41134</v>
      </c>
      <c r="B164" s="1216">
        <v>11660</v>
      </c>
      <c r="C164" s="1210">
        <v>17815</v>
      </c>
      <c r="D164" s="1211">
        <v>17830</v>
      </c>
      <c r="E164" s="1212">
        <f t="shared" si="19"/>
        <v>15</v>
      </c>
      <c r="F164" s="1213">
        <f t="shared" si="27"/>
        <v>-85</v>
      </c>
      <c r="G164" s="1208"/>
      <c r="H164" s="1266"/>
      <c r="I164" s="1282">
        <v>142000</v>
      </c>
    </row>
    <row r="165" spans="1:9" ht="15" customHeight="1">
      <c r="A165" s="1253">
        <v>41135</v>
      </c>
      <c r="B165" s="1216">
        <v>11660</v>
      </c>
      <c r="C165" s="1210">
        <v>18125</v>
      </c>
      <c r="D165" s="1211">
        <v>17980</v>
      </c>
      <c r="E165" s="1212">
        <f t="shared" si="19"/>
        <v>-145</v>
      </c>
      <c r="F165" s="1213">
        <f t="shared" ref="F165:F170" si="28">+C165-C164</f>
        <v>310</v>
      </c>
      <c r="G165" s="1208"/>
      <c r="H165" s="1266"/>
      <c r="I165" s="1282">
        <v>141500</v>
      </c>
    </row>
    <row r="166" spans="1:9" ht="15" customHeight="1">
      <c r="A166" s="1253">
        <v>41136</v>
      </c>
      <c r="B166" s="1216">
        <v>11640</v>
      </c>
      <c r="C166" s="1210">
        <v>18205</v>
      </c>
      <c r="D166" s="1211">
        <v>18215</v>
      </c>
      <c r="E166" s="1212">
        <f t="shared" si="19"/>
        <v>10</v>
      </c>
      <c r="F166" s="1213">
        <f t="shared" si="28"/>
        <v>80</v>
      </c>
      <c r="G166" s="1208"/>
      <c r="H166" s="1266"/>
      <c r="I166" s="1282">
        <v>141500</v>
      </c>
    </row>
    <row r="167" spans="1:9" ht="15" customHeight="1">
      <c r="A167" s="1253">
        <v>41137</v>
      </c>
      <c r="B167" s="1216">
        <v>11640</v>
      </c>
      <c r="C167" s="1210">
        <v>18005</v>
      </c>
      <c r="D167" s="1211">
        <v>18030</v>
      </c>
      <c r="E167" s="1212">
        <f t="shared" si="19"/>
        <v>25</v>
      </c>
      <c r="F167" s="1213">
        <f t="shared" si="28"/>
        <v>-200</v>
      </c>
      <c r="G167" s="1208"/>
      <c r="H167" s="1266"/>
      <c r="I167" s="1282">
        <v>141250</v>
      </c>
    </row>
    <row r="168" spans="1:9" ht="15" customHeight="1">
      <c r="A168" s="1253">
        <v>41138</v>
      </c>
      <c r="B168" s="1216">
        <v>11630</v>
      </c>
      <c r="C168" s="1210">
        <v>18500</v>
      </c>
      <c r="D168" s="1211">
        <v>18500</v>
      </c>
      <c r="E168" s="1212">
        <f t="shared" si="19"/>
        <v>0</v>
      </c>
      <c r="F168" s="1213">
        <f t="shared" si="28"/>
        <v>495</v>
      </c>
      <c r="G168" s="1208"/>
      <c r="H168" s="1266"/>
      <c r="I168" s="1282">
        <v>141000</v>
      </c>
    </row>
    <row r="169" spans="1:9" ht="15" customHeight="1">
      <c r="A169" s="1253">
        <v>41141</v>
      </c>
      <c r="B169" s="1216">
        <v>11630</v>
      </c>
      <c r="C169" s="1210">
        <v>18450</v>
      </c>
      <c r="D169" s="1211">
        <v>18450</v>
      </c>
      <c r="E169" s="1212">
        <f t="shared" si="19"/>
        <v>0</v>
      </c>
      <c r="F169" s="1213">
        <f t="shared" si="28"/>
        <v>-50</v>
      </c>
      <c r="G169" s="1208"/>
      <c r="H169" s="1266"/>
      <c r="I169" s="1282">
        <v>141250</v>
      </c>
    </row>
    <row r="170" spans="1:9" ht="15" customHeight="1">
      <c r="A170" s="1253">
        <v>41142</v>
      </c>
      <c r="B170" s="1216">
        <v>11630</v>
      </c>
      <c r="C170" s="1210">
        <v>18660</v>
      </c>
      <c r="D170" s="1211">
        <v>18710</v>
      </c>
      <c r="E170" s="1212">
        <f t="shared" si="19"/>
        <v>50</v>
      </c>
      <c r="F170" s="1213">
        <f t="shared" si="28"/>
        <v>210</v>
      </c>
      <c r="G170" s="1208"/>
      <c r="H170" s="1266"/>
      <c r="I170" s="1282">
        <v>142000</v>
      </c>
    </row>
    <row r="171" spans="1:9" ht="15" customHeight="1">
      <c r="A171" s="1253">
        <v>41143</v>
      </c>
      <c r="B171" s="1216">
        <v>11630</v>
      </c>
      <c r="C171" s="1210">
        <v>18825</v>
      </c>
      <c r="D171" s="1211">
        <v>18840</v>
      </c>
      <c r="E171" s="1212">
        <f t="shared" si="19"/>
        <v>15</v>
      </c>
      <c r="F171" s="1213">
        <f>+C171-C170</f>
        <v>165</v>
      </c>
      <c r="G171" s="1208"/>
      <c r="H171" s="1266"/>
      <c r="I171" s="1282">
        <v>143000</v>
      </c>
    </row>
    <row r="172" spans="1:9" ht="15" customHeight="1">
      <c r="A172" s="1253">
        <v>41144</v>
      </c>
      <c r="B172" s="1216">
        <v>11630</v>
      </c>
      <c r="C172" s="1210">
        <v>19865</v>
      </c>
      <c r="D172" s="1211">
        <v>19900</v>
      </c>
      <c r="E172" s="1212">
        <f t="shared" si="19"/>
        <v>35</v>
      </c>
      <c r="F172" s="1213">
        <f>+C172-C171</f>
        <v>1040</v>
      </c>
      <c r="G172" s="1208"/>
      <c r="H172" s="1266"/>
      <c r="I172" s="1282">
        <v>144000</v>
      </c>
    </row>
    <row r="173" spans="1:9" ht="15" customHeight="1">
      <c r="A173" s="1253">
        <v>41145</v>
      </c>
      <c r="B173" s="1216">
        <v>11585</v>
      </c>
      <c r="C173" s="1210">
        <v>20320</v>
      </c>
      <c r="D173" s="1211">
        <v>20350</v>
      </c>
      <c r="E173" s="1212">
        <f t="shared" si="19"/>
        <v>30</v>
      </c>
      <c r="F173" s="1213">
        <f>+C173-C172</f>
        <v>455</v>
      </c>
      <c r="G173" s="1208"/>
      <c r="H173" s="1266"/>
      <c r="I173" s="1282">
        <v>147000</v>
      </c>
    </row>
    <row r="174" spans="1:9" ht="15" customHeight="1">
      <c r="A174" s="1253">
        <v>41148</v>
      </c>
      <c r="B174" s="1434" t="s">
        <v>112</v>
      </c>
      <c r="C174" s="1434"/>
      <c r="D174" s="1434"/>
      <c r="E174" s="1434"/>
      <c r="F174" s="1434"/>
      <c r="G174" s="1208"/>
      <c r="H174" s="1266"/>
      <c r="I174" s="1282">
        <v>152250</v>
      </c>
    </row>
    <row r="175" spans="1:9" ht="15" customHeight="1">
      <c r="A175" s="1253">
        <v>41149</v>
      </c>
      <c r="B175" s="1216">
        <v>11560</v>
      </c>
      <c r="C175" s="1210">
        <v>20675</v>
      </c>
      <c r="D175" s="1211">
        <v>20680</v>
      </c>
      <c r="E175" s="1212">
        <f t="shared" si="19"/>
        <v>5</v>
      </c>
      <c r="F175" s="1213">
        <f>+C175-C173</f>
        <v>355</v>
      </c>
      <c r="G175" s="1208"/>
      <c r="H175" s="1266"/>
      <c r="I175" s="1282">
        <v>157250</v>
      </c>
    </row>
    <row r="176" spans="1:9" ht="15" customHeight="1">
      <c r="A176" s="1253">
        <v>41150</v>
      </c>
      <c r="B176" s="1216">
        <v>11610</v>
      </c>
      <c r="C176" s="1210">
        <v>20300</v>
      </c>
      <c r="D176" s="1211">
        <v>20175</v>
      </c>
      <c r="E176" s="1212">
        <f t="shared" si="19"/>
        <v>-125</v>
      </c>
      <c r="F176" s="1213">
        <f t="shared" ref="F176:F181" si="29">+C176-C175</f>
        <v>-375</v>
      </c>
      <c r="G176" s="1208"/>
      <c r="H176" s="1266"/>
      <c r="I176" s="1282">
        <v>157000</v>
      </c>
    </row>
    <row r="177" spans="1:9" ht="15" customHeight="1">
      <c r="A177" s="1253">
        <v>41151</v>
      </c>
      <c r="B177" s="1216">
        <v>11635</v>
      </c>
      <c r="C177" s="1210">
        <v>19425</v>
      </c>
      <c r="D177" s="1211">
        <v>19360</v>
      </c>
      <c r="E177" s="1212">
        <f t="shared" si="19"/>
        <v>-65</v>
      </c>
      <c r="F177" s="1213">
        <f t="shared" si="29"/>
        <v>-875</v>
      </c>
      <c r="G177" s="1208"/>
      <c r="H177" s="1266"/>
      <c r="I177" s="1282">
        <v>153000</v>
      </c>
    </row>
    <row r="178" spans="1:9" ht="15" customHeight="1">
      <c r="A178" s="1253">
        <v>41152</v>
      </c>
      <c r="B178" s="1216">
        <v>11635</v>
      </c>
      <c r="C178" s="1210">
        <v>19645</v>
      </c>
      <c r="D178" s="1211">
        <v>19650</v>
      </c>
      <c r="E178" s="1212">
        <f t="shared" si="19"/>
        <v>5</v>
      </c>
      <c r="F178" s="1213">
        <f t="shared" si="29"/>
        <v>220</v>
      </c>
      <c r="G178" s="1214">
        <f>AVERAGE(C156:C178)</f>
        <v>18645.227272727272</v>
      </c>
      <c r="H178" s="1267">
        <f>AVERAGE(C5:C178)</f>
        <v>20963.035714285714</v>
      </c>
      <c r="I178" s="1282">
        <v>152000</v>
      </c>
    </row>
    <row r="179" spans="1:9" ht="15" customHeight="1">
      <c r="A179" s="1253">
        <v>41155</v>
      </c>
      <c r="B179" s="1216">
        <v>11635</v>
      </c>
      <c r="C179" s="1210">
        <v>19675</v>
      </c>
      <c r="D179" s="1211">
        <v>19675</v>
      </c>
      <c r="E179" s="1212">
        <f t="shared" si="19"/>
        <v>0</v>
      </c>
      <c r="F179" s="1213">
        <f t="shared" si="29"/>
        <v>30</v>
      </c>
      <c r="G179" s="1208"/>
      <c r="H179" s="1266"/>
      <c r="I179" s="1282">
        <v>150750</v>
      </c>
    </row>
    <row r="180" spans="1:9" ht="15" customHeight="1">
      <c r="A180" s="1253">
        <v>41156</v>
      </c>
      <c r="B180" s="1216">
        <v>11685</v>
      </c>
      <c r="C180" s="1210">
        <v>19660</v>
      </c>
      <c r="D180" s="1211">
        <v>19715</v>
      </c>
      <c r="E180" s="1212">
        <f t="shared" ref="E180:E243" si="30">D180-C180</f>
        <v>55</v>
      </c>
      <c r="F180" s="1213">
        <f t="shared" si="29"/>
        <v>-15</v>
      </c>
      <c r="G180" s="1208"/>
      <c r="H180" s="1266"/>
      <c r="I180" s="1282">
        <v>150000</v>
      </c>
    </row>
    <row r="181" spans="1:9" ht="15" customHeight="1">
      <c r="A181" s="1253">
        <v>41157</v>
      </c>
      <c r="B181" s="1216">
        <v>11660</v>
      </c>
      <c r="C181" s="1210">
        <v>19525</v>
      </c>
      <c r="D181" s="1211">
        <v>19505</v>
      </c>
      <c r="E181" s="1212">
        <f t="shared" si="30"/>
        <v>-20</v>
      </c>
      <c r="F181" s="1213">
        <f t="shared" si="29"/>
        <v>-135</v>
      </c>
      <c r="G181" s="1208"/>
      <c r="H181" s="1266"/>
      <c r="I181" s="1282">
        <v>149250</v>
      </c>
    </row>
    <row r="182" spans="1:9" ht="15" customHeight="1">
      <c r="A182" s="1253">
        <v>41158</v>
      </c>
      <c r="B182" s="1216">
        <v>11660</v>
      </c>
      <c r="C182" s="1210">
        <v>19560</v>
      </c>
      <c r="D182" s="1211">
        <v>19625</v>
      </c>
      <c r="E182" s="1212">
        <f t="shared" si="30"/>
        <v>65</v>
      </c>
      <c r="F182" s="1213">
        <f t="shared" ref="F182:F187" si="31">+C182-C181</f>
        <v>35</v>
      </c>
      <c r="G182" s="1208"/>
      <c r="H182" s="1266"/>
      <c r="I182" s="1282">
        <v>149250</v>
      </c>
    </row>
    <row r="183" spans="1:9" ht="15" customHeight="1">
      <c r="A183" s="1253">
        <v>41159</v>
      </c>
      <c r="B183" s="1216">
        <v>11665</v>
      </c>
      <c r="C183" s="1210">
        <v>19960</v>
      </c>
      <c r="D183" s="1211">
        <v>19955</v>
      </c>
      <c r="E183" s="1212">
        <f t="shared" si="30"/>
        <v>-5</v>
      </c>
      <c r="F183" s="1213">
        <f t="shared" si="31"/>
        <v>400</v>
      </c>
      <c r="G183" s="1208"/>
      <c r="H183" s="1266"/>
      <c r="I183" s="1282">
        <v>148500</v>
      </c>
    </row>
    <row r="184" spans="1:9" ht="15" customHeight="1">
      <c r="A184" s="1253">
        <v>41162</v>
      </c>
      <c r="B184" s="1216">
        <v>11665</v>
      </c>
      <c r="C184" s="1210">
        <v>20275</v>
      </c>
      <c r="D184" s="1211">
        <v>20295</v>
      </c>
      <c r="E184" s="1212">
        <f t="shared" si="30"/>
        <v>20</v>
      </c>
      <c r="F184" s="1213">
        <f t="shared" si="31"/>
        <v>315</v>
      </c>
      <c r="G184" s="1208"/>
      <c r="H184" s="1266"/>
      <c r="I184" s="1282">
        <v>148500</v>
      </c>
    </row>
    <row r="185" spans="1:9" ht="15" customHeight="1">
      <c r="A185" s="1253">
        <v>41163</v>
      </c>
      <c r="B185" s="1216">
        <v>11665</v>
      </c>
      <c r="C185" s="1210">
        <v>20725</v>
      </c>
      <c r="D185" s="1211">
        <v>20690</v>
      </c>
      <c r="E185" s="1212">
        <f t="shared" si="30"/>
        <v>-35</v>
      </c>
      <c r="F185" s="1213">
        <f t="shared" si="31"/>
        <v>450</v>
      </c>
      <c r="G185" s="1208"/>
      <c r="H185" s="1266"/>
      <c r="I185" s="1282">
        <v>151000</v>
      </c>
    </row>
    <row r="186" spans="1:9" ht="15" customHeight="1">
      <c r="A186" s="1253">
        <v>41164</v>
      </c>
      <c r="B186" s="1216">
        <v>11665</v>
      </c>
      <c r="C186" s="1210">
        <v>21050</v>
      </c>
      <c r="D186" s="1211">
        <v>20925</v>
      </c>
      <c r="E186" s="1212">
        <f t="shared" si="30"/>
        <v>-125</v>
      </c>
      <c r="F186" s="1213">
        <f t="shared" si="31"/>
        <v>325</v>
      </c>
      <c r="G186" s="1208"/>
      <c r="H186" s="1266"/>
      <c r="I186" s="1282">
        <v>152750</v>
      </c>
    </row>
    <row r="187" spans="1:9" ht="15" customHeight="1">
      <c r="A187" s="1253">
        <v>41165</v>
      </c>
      <c r="B187" s="1216">
        <v>11690</v>
      </c>
      <c r="C187" s="1210">
        <v>20325</v>
      </c>
      <c r="D187" s="1211">
        <v>20305</v>
      </c>
      <c r="E187" s="1212">
        <f t="shared" si="30"/>
        <v>-20</v>
      </c>
      <c r="F187" s="1213">
        <f t="shared" si="31"/>
        <v>-725</v>
      </c>
      <c r="G187" s="1208"/>
      <c r="H187" s="1266"/>
      <c r="I187" s="1282">
        <v>153250</v>
      </c>
    </row>
    <row r="188" spans="1:9" ht="15" customHeight="1">
      <c r="A188" s="1253">
        <v>41166</v>
      </c>
      <c r="B188" s="1216">
        <v>11875</v>
      </c>
      <c r="C188" s="1210">
        <v>21415</v>
      </c>
      <c r="D188" s="1211">
        <v>21405</v>
      </c>
      <c r="E188" s="1212">
        <f t="shared" si="30"/>
        <v>-10</v>
      </c>
      <c r="F188" s="1213">
        <f t="shared" ref="F188:F193" si="32">+C188-C187</f>
        <v>1090</v>
      </c>
      <c r="G188" s="1208"/>
      <c r="H188" s="1266"/>
      <c r="I188" s="1282">
        <v>154000</v>
      </c>
    </row>
    <row r="189" spans="1:9" ht="15" customHeight="1">
      <c r="A189" s="1253">
        <v>41169</v>
      </c>
      <c r="B189" s="1216">
        <v>11955</v>
      </c>
      <c r="C189" s="1210">
        <v>21630</v>
      </c>
      <c r="D189" s="1211">
        <v>21575</v>
      </c>
      <c r="E189" s="1212">
        <f t="shared" si="30"/>
        <v>-55</v>
      </c>
      <c r="F189" s="1213">
        <f t="shared" si="32"/>
        <v>215</v>
      </c>
      <c r="G189" s="1208"/>
      <c r="H189" s="1266"/>
      <c r="I189" s="1282">
        <v>158500</v>
      </c>
    </row>
    <row r="190" spans="1:9" ht="15" customHeight="1">
      <c r="A190" s="1253">
        <v>41170</v>
      </c>
      <c r="B190" s="1216">
        <v>11955</v>
      </c>
      <c r="C190" s="1210">
        <v>21305</v>
      </c>
      <c r="D190" s="1211">
        <v>21400</v>
      </c>
      <c r="E190" s="1212">
        <f t="shared" si="30"/>
        <v>95</v>
      </c>
      <c r="F190" s="1213">
        <f t="shared" si="32"/>
        <v>-325</v>
      </c>
      <c r="G190" s="1208"/>
      <c r="H190" s="1266"/>
      <c r="I190" s="1282">
        <v>158000</v>
      </c>
    </row>
    <row r="191" spans="1:9" ht="15" customHeight="1">
      <c r="A191" s="1253">
        <v>41171</v>
      </c>
      <c r="B191" s="1216">
        <v>11955</v>
      </c>
      <c r="C191" s="1210">
        <v>21550</v>
      </c>
      <c r="D191" s="1211">
        <v>21505</v>
      </c>
      <c r="E191" s="1212">
        <f t="shared" si="30"/>
        <v>-45</v>
      </c>
      <c r="F191" s="1213">
        <f t="shared" si="32"/>
        <v>245</v>
      </c>
      <c r="G191" s="1208"/>
      <c r="H191" s="1266"/>
      <c r="I191" s="1282">
        <v>156750</v>
      </c>
    </row>
    <row r="192" spans="1:9" ht="15" customHeight="1">
      <c r="A192" s="1253">
        <v>41172</v>
      </c>
      <c r="B192" s="1216">
        <v>11955</v>
      </c>
      <c r="C192" s="1210">
        <v>20575</v>
      </c>
      <c r="D192" s="1211">
        <v>20550</v>
      </c>
      <c r="E192" s="1212">
        <f t="shared" si="30"/>
        <v>-25</v>
      </c>
      <c r="F192" s="1213">
        <f t="shared" si="32"/>
        <v>-975</v>
      </c>
      <c r="G192" s="1208"/>
      <c r="H192" s="1266"/>
      <c r="I192" s="1282">
        <v>157000</v>
      </c>
    </row>
    <row r="193" spans="1:11" ht="15" customHeight="1">
      <c r="A193" s="1253">
        <v>41173</v>
      </c>
      <c r="B193" s="1216">
        <v>11990</v>
      </c>
      <c r="C193" s="1210">
        <v>21300</v>
      </c>
      <c r="D193" s="1211">
        <v>21000</v>
      </c>
      <c r="E193" s="1212">
        <f t="shared" si="30"/>
        <v>-300</v>
      </c>
      <c r="F193" s="1213">
        <f t="shared" si="32"/>
        <v>725</v>
      </c>
      <c r="G193" s="1208"/>
      <c r="H193" s="1266"/>
      <c r="I193" s="1282">
        <v>157000</v>
      </c>
    </row>
    <row r="194" spans="1:11" ht="15" customHeight="1">
      <c r="A194" s="1253">
        <v>41176</v>
      </c>
      <c r="B194" s="1216">
        <v>11975</v>
      </c>
      <c r="C194" s="1210">
        <v>20410</v>
      </c>
      <c r="D194" s="1211">
        <v>20345</v>
      </c>
      <c r="E194" s="1212">
        <f t="shared" si="30"/>
        <v>-65</v>
      </c>
      <c r="F194" s="1213">
        <f t="shared" ref="F194:F201" si="33">+C194-C193</f>
        <v>-890</v>
      </c>
      <c r="G194" s="1208"/>
      <c r="H194" s="1266"/>
      <c r="I194" s="1282">
        <v>156500</v>
      </c>
    </row>
    <row r="195" spans="1:11" ht="15" customHeight="1">
      <c r="A195" s="1253">
        <v>41177</v>
      </c>
      <c r="B195" s="1216">
        <v>12055</v>
      </c>
      <c r="C195" s="1210">
        <v>21395</v>
      </c>
      <c r="D195" s="1211">
        <v>21250</v>
      </c>
      <c r="E195" s="1212">
        <f t="shared" si="30"/>
        <v>-145</v>
      </c>
      <c r="F195" s="1213">
        <f t="shared" si="33"/>
        <v>985</v>
      </c>
      <c r="G195" s="1208"/>
      <c r="H195" s="1266"/>
      <c r="I195" s="1282">
        <v>156250</v>
      </c>
    </row>
    <row r="196" spans="1:11" ht="15" customHeight="1">
      <c r="A196" s="1253">
        <v>41178</v>
      </c>
      <c r="B196" s="1216">
        <v>12155</v>
      </c>
      <c r="C196" s="1210">
        <v>20995</v>
      </c>
      <c r="D196" s="1211">
        <v>20830</v>
      </c>
      <c r="E196" s="1212">
        <f t="shared" si="30"/>
        <v>-165</v>
      </c>
      <c r="F196" s="1213">
        <f t="shared" si="33"/>
        <v>-400</v>
      </c>
      <c r="G196" s="1208"/>
      <c r="H196" s="1266"/>
      <c r="I196" s="1282">
        <v>156500</v>
      </c>
    </row>
    <row r="197" spans="1:11" s="80" customFormat="1" ht="15" customHeight="1">
      <c r="A197" s="1253">
        <v>41179</v>
      </c>
      <c r="B197" s="1209">
        <v>12155</v>
      </c>
      <c r="C197" s="1210">
        <v>20950</v>
      </c>
      <c r="D197" s="1211">
        <v>20875</v>
      </c>
      <c r="E197" s="1212">
        <f t="shared" si="30"/>
        <v>-75</v>
      </c>
      <c r="F197" s="1208">
        <f t="shared" si="33"/>
        <v>-45</v>
      </c>
      <c r="G197" s="1208"/>
      <c r="H197" s="1266"/>
      <c r="I197" s="1282">
        <v>156000</v>
      </c>
      <c r="K197" s="82"/>
    </row>
    <row r="198" spans="1:11" s="80" customFormat="1" ht="15" customHeight="1">
      <c r="A198" s="1253">
        <v>41180</v>
      </c>
      <c r="B198" s="1209">
        <v>12255</v>
      </c>
      <c r="C198" s="1210">
        <v>21655</v>
      </c>
      <c r="D198" s="1211">
        <v>21740</v>
      </c>
      <c r="E198" s="1212">
        <f t="shared" si="30"/>
        <v>85</v>
      </c>
      <c r="F198" s="1208">
        <f t="shared" si="33"/>
        <v>705</v>
      </c>
      <c r="G198" s="1214">
        <f>AVERAGE(C179:C198)</f>
        <v>20696.75</v>
      </c>
      <c r="H198" s="1267">
        <f>AVERAGE(C5:C198)</f>
        <v>20934.707446808512</v>
      </c>
      <c r="I198" s="1282"/>
      <c r="K198" s="82"/>
    </row>
    <row r="199" spans="1:11" s="80" customFormat="1" ht="15" customHeight="1">
      <c r="A199" s="1253">
        <v>41183</v>
      </c>
      <c r="B199" s="1209">
        <v>12255</v>
      </c>
      <c r="C199" s="1210">
        <v>21900</v>
      </c>
      <c r="D199" s="1211">
        <v>21800</v>
      </c>
      <c r="E199" s="1212">
        <f t="shared" si="30"/>
        <v>-100</v>
      </c>
      <c r="F199" s="1208">
        <f t="shared" si="33"/>
        <v>245</v>
      </c>
      <c r="G199" s="1208"/>
      <c r="H199" s="1266"/>
      <c r="I199" s="1459" t="s">
        <v>112</v>
      </c>
      <c r="J199" s="82"/>
    </row>
    <row r="200" spans="1:11" s="80" customFormat="1" ht="15" customHeight="1">
      <c r="A200" s="1253">
        <v>41184</v>
      </c>
      <c r="B200" s="1209">
        <v>11965</v>
      </c>
      <c r="C200" s="1210">
        <v>22110</v>
      </c>
      <c r="D200" s="1211">
        <v>22025</v>
      </c>
      <c r="E200" s="1212">
        <f t="shared" si="30"/>
        <v>-85</v>
      </c>
      <c r="F200" s="1208">
        <f t="shared" si="33"/>
        <v>210</v>
      </c>
      <c r="G200" s="1208"/>
      <c r="H200" s="1266"/>
      <c r="I200" s="1459"/>
      <c r="J200" s="82"/>
    </row>
    <row r="201" spans="1:11" s="80" customFormat="1" ht="15" customHeight="1">
      <c r="A201" s="1253">
        <v>41185</v>
      </c>
      <c r="B201" s="1209">
        <v>12105</v>
      </c>
      <c r="C201" s="1210">
        <v>22100</v>
      </c>
      <c r="D201" s="1211">
        <v>22100</v>
      </c>
      <c r="E201" s="1212">
        <f t="shared" si="30"/>
        <v>0</v>
      </c>
      <c r="F201" s="1208">
        <f t="shared" si="33"/>
        <v>-10</v>
      </c>
      <c r="G201" s="1208"/>
      <c r="H201" s="1266"/>
      <c r="I201" s="1459"/>
      <c r="J201" s="82"/>
    </row>
    <row r="202" spans="1:11" ht="15" customHeight="1">
      <c r="A202" s="1253">
        <v>41186</v>
      </c>
      <c r="B202" s="1209">
        <v>12055</v>
      </c>
      <c r="C202" s="1210">
        <v>22230</v>
      </c>
      <c r="D202" s="1211">
        <v>22225</v>
      </c>
      <c r="E202" s="1212">
        <f t="shared" si="30"/>
        <v>-5</v>
      </c>
      <c r="F202" s="1208">
        <f t="shared" ref="F202:F207" si="34">+C202-C201</f>
        <v>130</v>
      </c>
      <c r="G202" s="1208"/>
      <c r="H202" s="1266"/>
      <c r="I202" s="1459"/>
    </row>
    <row r="203" spans="1:11" ht="15" customHeight="1">
      <c r="A203" s="1253">
        <v>41187</v>
      </c>
      <c r="B203" s="1209">
        <v>12175</v>
      </c>
      <c r="C203" s="1210">
        <v>22455</v>
      </c>
      <c r="D203" s="1211">
        <v>22500</v>
      </c>
      <c r="E203" s="1212">
        <f t="shared" si="30"/>
        <v>45</v>
      </c>
      <c r="F203" s="1208">
        <f t="shared" si="34"/>
        <v>225</v>
      </c>
      <c r="G203" s="1208"/>
      <c r="H203" s="1266"/>
      <c r="I203" s="1459"/>
    </row>
    <row r="204" spans="1:11" ht="15" customHeight="1">
      <c r="A204" s="1253">
        <v>41190</v>
      </c>
      <c r="B204" s="1209">
        <v>12175</v>
      </c>
      <c r="C204" s="1210">
        <v>22100</v>
      </c>
      <c r="D204" s="1211">
        <v>22050</v>
      </c>
      <c r="E204" s="1212">
        <f t="shared" si="30"/>
        <v>-50</v>
      </c>
      <c r="F204" s="1208">
        <f t="shared" si="34"/>
        <v>-355</v>
      </c>
      <c r="G204" s="1208"/>
      <c r="H204" s="1266"/>
      <c r="I204" s="1282">
        <v>159000</v>
      </c>
    </row>
    <row r="205" spans="1:11" ht="15" customHeight="1">
      <c r="A205" s="1253">
        <v>41191</v>
      </c>
      <c r="B205" s="1209">
        <v>12175</v>
      </c>
      <c r="C205" s="1210">
        <v>22105</v>
      </c>
      <c r="D205" s="1211">
        <v>22060</v>
      </c>
      <c r="E205" s="1212">
        <f t="shared" si="30"/>
        <v>-45</v>
      </c>
      <c r="F205" s="1208">
        <f t="shared" si="34"/>
        <v>5</v>
      </c>
      <c r="G205" s="1208"/>
      <c r="H205" s="1266"/>
      <c r="I205" s="1282">
        <v>158000</v>
      </c>
    </row>
    <row r="206" spans="1:11" ht="15" customHeight="1">
      <c r="A206" s="1253">
        <v>41192</v>
      </c>
      <c r="B206" s="1209">
        <v>12235</v>
      </c>
      <c r="C206" s="1210">
        <v>21685</v>
      </c>
      <c r="D206" s="1211">
        <v>21725</v>
      </c>
      <c r="E206" s="1212">
        <f t="shared" si="30"/>
        <v>40</v>
      </c>
      <c r="F206" s="1208">
        <f t="shared" si="34"/>
        <v>-420</v>
      </c>
      <c r="G206" s="1208"/>
      <c r="H206" s="1266"/>
      <c r="I206" s="1282">
        <v>157000</v>
      </c>
    </row>
    <row r="207" spans="1:11" ht="15" customHeight="1">
      <c r="A207" s="1253">
        <v>41193</v>
      </c>
      <c r="B207" s="1209">
        <v>12240</v>
      </c>
      <c r="C207" s="1210">
        <v>22050</v>
      </c>
      <c r="D207" s="1211">
        <v>22200</v>
      </c>
      <c r="E207" s="1212">
        <f t="shared" si="30"/>
        <v>150</v>
      </c>
      <c r="F207" s="1208">
        <f t="shared" si="34"/>
        <v>365</v>
      </c>
      <c r="G207" s="1208"/>
      <c r="H207" s="1266"/>
      <c r="I207" s="1282">
        <v>156500</v>
      </c>
    </row>
    <row r="208" spans="1:11" ht="15" customHeight="1">
      <c r="A208" s="1253">
        <v>41194</v>
      </c>
      <c r="B208" s="1209">
        <v>11755</v>
      </c>
      <c r="C208" s="1210">
        <v>21785</v>
      </c>
      <c r="D208" s="1211">
        <v>21800</v>
      </c>
      <c r="E208" s="1212">
        <f t="shared" si="30"/>
        <v>15</v>
      </c>
      <c r="F208" s="1208">
        <f t="shared" ref="F208:F213" si="35">+C208-C207</f>
        <v>-265</v>
      </c>
      <c r="G208" s="1208"/>
      <c r="H208" s="1266"/>
      <c r="I208" s="1282">
        <v>156500</v>
      </c>
    </row>
    <row r="209" spans="1:9" ht="15" customHeight="1">
      <c r="A209" s="1253">
        <v>41197</v>
      </c>
      <c r="B209" s="1209">
        <v>11430</v>
      </c>
      <c r="C209" s="1210">
        <v>21250</v>
      </c>
      <c r="D209" s="1211">
        <v>21125</v>
      </c>
      <c r="E209" s="1212">
        <f t="shared" si="30"/>
        <v>-125</v>
      </c>
      <c r="F209" s="1208">
        <f t="shared" si="35"/>
        <v>-535</v>
      </c>
      <c r="G209" s="1208"/>
      <c r="H209" s="1266"/>
      <c r="I209" s="1282">
        <v>155000</v>
      </c>
    </row>
    <row r="210" spans="1:9" ht="15" customHeight="1">
      <c r="A210" s="1253">
        <v>41198</v>
      </c>
      <c r="B210" s="1209">
        <v>11255</v>
      </c>
      <c r="C210" s="1210">
        <v>21425</v>
      </c>
      <c r="D210" s="1211">
        <v>21390</v>
      </c>
      <c r="E210" s="1212">
        <f t="shared" si="30"/>
        <v>-35</v>
      </c>
      <c r="F210" s="1208">
        <f t="shared" si="35"/>
        <v>175</v>
      </c>
      <c r="G210" s="1208"/>
      <c r="H210" s="1266"/>
      <c r="I210" s="1282">
        <v>155000</v>
      </c>
    </row>
    <row r="211" spans="1:9" ht="15" customHeight="1">
      <c r="A211" s="1253">
        <v>41199</v>
      </c>
      <c r="B211" s="1209">
        <v>11545</v>
      </c>
      <c r="C211" s="1210">
        <v>21305</v>
      </c>
      <c r="D211" s="1211">
        <v>21235</v>
      </c>
      <c r="E211" s="1212">
        <f t="shared" si="30"/>
        <v>-70</v>
      </c>
      <c r="F211" s="1208">
        <f t="shared" si="35"/>
        <v>-120</v>
      </c>
      <c r="G211" s="1208"/>
      <c r="H211" s="1266"/>
      <c r="I211" s="1282">
        <v>154000</v>
      </c>
    </row>
    <row r="212" spans="1:9" ht="15" customHeight="1">
      <c r="A212" s="1253">
        <v>41200</v>
      </c>
      <c r="B212" s="1209">
        <v>11580</v>
      </c>
      <c r="C212" s="1210">
        <v>21800</v>
      </c>
      <c r="D212" s="1211">
        <v>21700</v>
      </c>
      <c r="E212" s="1212">
        <f t="shared" si="30"/>
        <v>-100</v>
      </c>
      <c r="F212" s="1208">
        <f t="shared" si="35"/>
        <v>495</v>
      </c>
      <c r="G212" s="1217"/>
      <c r="H212" s="1268"/>
      <c r="I212" s="1282">
        <v>154000</v>
      </c>
    </row>
    <row r="213" spans="1:9" ht="15" customHeight="1">
      <c r="A213" s="1253">
        <v>41201</v>
      </c>
      <c r="B213" s="1209">
        <v>11615</v>
      </c>
      <c r="C213" s="1210">
        <v>21730</v>
      </c>
      <c r="D213" s="1211">
        <v>21700</v>
      </c>
      <c r="E213" s="1212">
        <f t="shared" si="30"/>
        <v>-30</v>
      </c>
      <c r="F213" s="1208">
        <f t="shared" si="35"/>
        <v>-70</v>
      </c>
      <c r="G213" s="1217"/>
      <c r="H213" s="1268"/>
      <c r="I213" s="1282">
        <v>154000</v>
      </c>
    </row>
    <row r="214" spans="1:9" ht="15" customHeight="1">
      <c r="A214" s="1253">
        <v>41204</v>
      </c>
      <c r="B214" s="1209">
        <v>11755</v>
      </c>
      <c r="C214" s="1210">
        <v>20955</v>
      </c>
      <c r="D214" s="1211">
        <v>21000</v>
      </c>
      <c r="E214" s="1212">
        <f t="shared" si="30"/>
        <v>45</v>
      </c>
      <c r="F214" s="1208">
        <f t="shared" ref="F214:F219" si="36">+C214-C213</f>
        <v>-775</v>
      </c>
      <c r="G214" s="1217"/>
      <c r="H214" s="1268"/>
      <c r="I214" s="1282">
        <v>152000</v>
      </c>
    </row>
    <row r="215" spans="1:9" ht="15" customHeight="1">
      <c r="A215" s="1253">
        <v>41205</v>
      </c>
      <c r="B215" s="1209">
        <v>11755</v>
      </c>
      <c r="C215" s="1210">
        <v>20480</v>
      </c>
      <c r="D215" s="1211">
        <v>20375</v>
      </c>
      <c r="E215" s="1212">
        <f t="shared" si="30"/>
        <v>-105</v>
      </c>
      <c r="F215" s="1208">
        <f t="shared" si="36"/>
        <v>-475</v>
      </c>
      <c r="G215" s="1217"/>
      <c r="H215" s="1268"/>
      <c r="I215" s="1282">
        <v>150500</v>
      </c>
    </row>
    <row r="216" spans="1:9" ht="15" customHeight="1">
      <c r="A216" s="1253">
        <v>41206</v>
      </c>
      <c r="B216" s="1209">
        <v>11760</v>
      </c>
      <c r="C216" s="1210">
        <v>20375</v>
      </c>
      <c r="D216" s="1211">
        <v>20300</v>
      </c>
      <c r="E216" s="1212">
        <f t="shared" si="30"/>
        <v>-75</v>
      </c>
      <c r="F216" s="1208">
        <f t="shared" si="36"/>
        <v>-105</v>
      </c>
      <c r="G216" s="1217"/>
      <c r="H216" s="1268"/>
      <c r="I216" s="1282">
        <v>149500</v>
      </c>
    </row>
    <row r="217" spans="1:9" ht="15" customHeight="1">
      <c r="A217" s="1253">
        <v>41207</v>
      </c>
      <c r="B217" s="1209">
        <v>11740</v>
      </c>
      <c r="C217" s="1210">
        <v>20550</v>
      </c>
      <c r="D217" s="1211">
        <v>20600</v>
      </c>
      <c r="E217" s="1212">
        <f t="shared" si="30"/>
        <v>50</v>
      </c>
      <c r="F217" s="1208">
        <f t="shared" si="36"/>
        <v>175</v>
      </c>
      <c r="G217" s="1217"/>
      <c r="H217" s="1268"/>
      <c r="I217" s="1282">
        <v>149500</v>
      </c>
    </row>
    <row r="218" spans="1:9" ht="15" customHeight="1">
      <c r="A218" s="1253">
        <v>41208</v>
      </c>
      <c r="B218" s="1209">
        <v>11750</v>
      </c>
      <c r="C218" s="1210">
        <v>19925</v>
      </c>
      <c r="D218" s="1211">
        <v>19950</v>
      </c>
      <c r="E218" s="1212">
        <f t="shared" si="30"/>
        <v>25</v>
      </c>
      <c r="F218" s="1208">
        <f t="shared" si="36"/>
        <v>-625</v>
      </c>
      <c r="G218" s="1217"/>
      <c r="H218" s="1268"/>
      <c r="I218" s="1282">
        <v>149000</v>
      </c>
    </row>
    <row r="219" spans="1:9" ht="15" customHeight="1">
      <c r="A219" s="1253">
        <v>41211</v>
      </c>
      <c r="B219" s="1209">
        <v>11750</v>
      </c>
      <c r="C219" s="1210">
        <v>19845</v>
      </c>
      <c r="D219" s="1211">
        <v>19900</v>
      </c>
      <c r="E219" s="1212">
        <f t="shared" si="30"/>
        <v>55</v>
      </c>
      <c r="F219" s="1208">
        <f t="shared" si="36"/>
        <v>-80</v>
      </c>
      <c r="G219" s="1217"/>
      <c r="H219" s="1268"/>
      <c r="I219" s="1282">
        <v>148000</v>
      </c>
    </row>
    <row r="220" spans="1:9" ht="15" customHeight="1">
      <c r="A220" s="1253">
        <v>41212</v>
      </c>
      <c r="B220" s="1209">
        <v>11850</v>
      </c>
      <c r="C220" s="1210">
        <v>20070</v>
      </c>
      <c r="D220" s="1211">
        <v>20050</v>
      </c>
      <c r="E220" s="1212">
        <f t="shared" si="30"/>
        <v>-20</v>
      </c>
      <c r="F220" s="1208">
        <f t="shared" ref="F220:F225" si="37">+C220-C219</f>
        <v>225</v>
      </c>
      <c r="G220" s="1217"/>
      <c r="H220" s="1268"/>
      <c r="I220" s="1282">
        <v>147000</v>
      </c>
    </row>
    <row r="221" spans="1:9" ht="15" customHeight="1">
      <c r="A221" s="1253">
        <v>41213</v>
      </c>
      <c r="B221" s="1209">
        <v>11860</v>
      </c>
      <c r="C221" s="1210">
        <v>20145</v>
      </c>
      <c r="D221" s="1211">
        <v>20100</v>
      </c>
      <c r="E221" s="1212">
        <f t="shared" si="30"/>
        <v>-45</v>
      </c>
      <c r="F221" s="1208">
        <f t="shared" si="37"/>
        <v>75</v>
      </c>
      <c r="G221" s="1214">
        <f>AVERAGE(C199:C221)</f>
        <v>21320.652173913044</v>
      </c>
      <c r="H221" s="1267">
        <f>AVERAGE(C5:C221)</f>
        <v>20976.777251184834</v>
      </c>
      <c r="I221" s="1282">
        <v>147250</v>
      </c>
    </row>
    <row r="222" spans="1:9" ht="15" customHeight="1">
      <c r="A222" s="1253">
        <v>41214</v>
      </c>
      <c r="B222" s="1216">
        <v>11885</v>
      </c>
      <c r="C222" s="1210">
        <v>20450</v>
      </c>
      <c r="D222" s="1211">
        <v>20445</v>
      </c>
      <c r="E222" s="1212">
        <f t="shared" si="30"/>
        <v>-5</v>
      </c>
      <c r="F222" s="1208">
        <f t="shared" si="37"/>
        <v>305</v>
      </c>
      <c r="G222" s="1217"/>
      <c r="H222" s="1268"/>
      <c r="I222" s="1282">
        <v>147750</v>
      </c>
    </row>
    <row r="223" spans="1:9" ht="15" customHeight="1">
      <c r="A223" s="1253">
        <v>41215</v>
      </c>
      <c r="B223" s="1216">
        <v>11985</v>
      </c>
      <c r="C223" s="1210">
        <v>20300</v>
      </c>
      <c r="D223" s="1211">
        <v>20295</v>
      </c>
      <c r="E223" s="1212">
        <f t="shared" si="30"/>
        <v>-5</v>
      </c>
      <c r="F223" s="1208">
        <f t="shared" si="37"/>
        <v>-150</v>
      </c>
      <c r="G223" s="1217"/>
      <c r="H223" s="1268"/>
      <c r="I223" s="1282">
        <v>149500</v>
      </c>
    </row>
    <row r="224" spans="1:9" ht="15" customHeight="1">
      <c r="A224" s="1253">
        <v>41218</v>
      </c>
      <c r="B224" s="1216">
        <v>12035</v>
      </c>
      <c r="C224" s="1210">
        <v>20175</v>
      </c>
      <c r="D224" s="1211">
        <v>20175</v>
      </c>
      <c r="E224" s="1212">
        <f t="shared" si="30"/>
        <v>0</v>
      </c>
      <c r="F224" s="1208">
        <f t="shared" si="37"/>
        <v>-125</v>
      </c>
      <c r="G224" s="1217"/>
      <c r="H224" s="1268"/>
      <c r="I224" s="1282">
        <v>149500</v>
      </c>
    </row>
    <row r="225" spans="1:11" ht="15" customHeight="1">
      <c r="A225" s="1253">
        <v>41219</v>
      </c>
      <c r="B225" s="1216">
        <v>11705</v>
      </c>
      <c r="C225" s="1210">
        <v>20750</v>
      </c>
      <c r="D225" s="1211">
        <v>20700</v>
      </c>
      <c r="E225" s="1212">
        <f t="shared" si="30"/>
        <v>-50</v>
      </c>
      <c r="F225" s="1208">
        <f t="shared" si="37"/>
        <v>575</v>
      </c>
      <c r="G225" s="1217"/>
      <c r="H225" s="1268"/>
      <c r="I225" s="1282">
        <v>149000</v>
      </c>
    </row>
    <row r="226" spans="1:11" ht="15" customHeight="1">
      <c r="A226" s="1253">
        <v>41220</v>
      </c>
      <c r="B226" s="1216">
        <v>11705</v>
      </c>
      <c r="C226" s="1210">
        <v>20600</v>
      </c>
      <c r="D226" s="1211">
        <v>20745</v>
      </c>
      <c r="E226" s="1212">
        <f t="shared" si="30"/>
        <v>145</v>
      </c>
      <c r="F226" s="1208">
        <f t="shared" ref="F226:F231" si="38">+C226-C225</f>
        <v>-150</v>
      </c>
      <c r="G226" s="1217"/>
      <c r="H226" s="1268"/>
      <c r="I226" s="1282">
        <v>149500</v>
      </c>
    </row>
    <row r="227" spans="1:11" ht="15" customHeight="1">
      <c r="A227" s="1253">
        <v>41221</v>
      </c>
      <c r="B227" s="1216">
        <v>11705</v>
      </c>
      <c r="C227" s="1210">
        <v>20550</v>
      </c>
      <c r="D227" s="1211">
        <v>20450</v>
      </c>
      <c r="E227" s="1212">
        <f t="shared" si="30"/>
        <v>-100</v>
      </c>
      <c r="F227" s="1208">
        <f t="shared" si="38"/>
        <v>-50</v>
      </c>
      <c r="G227" s="1217"/>
      <c r="H227" s="1268"/>
      <c r="I227" s="1282">
        <v>149250</v>
      </c>
    </row>
    <row r="228" spans="1:11" ht="15" customHeight="1">
      <c r="A228" s="1253">
        <v>41222</v>
      </c>
      <c r="B228" s="1216">
        <v>11680</v>
      </c>
      <c r="C228" s="1210">
        <v>20245</v>
      </c>
      <c r="D228" s="1211">
        <v>20195</v>
      </c>
      <c r="E228" s="1212">
        <f t="shared" si="30"/>
        <v>-50</v>
      </c>
      <c r="F228" s="1208">
        <f t="shared" si="38"/>
        <v>-305</v>
      </c>
      <c r="G228" s="1217"/>
      <c r="H228" s="1268"/>
      <c r="I228" s="1282">
        <v>148250</v>
      </c>
    </row>
    <row r="229" spans="1:11" ht="15" customHeight="1">
      <c r="A229" s="1253">
        <v>41225</v>
      </c>
      <c r="B229" s="1216">
        <v>11680</v>
      </c>
      <c r="C229" s="1210">
        <v>20475</v>
      </c>
      <c r="D229" s="1211">
        <v>20375</v>
      </c>
      <c r="E229" s="1212">
        <f t="shared" si="30"/>
        <v>-100</v>
      </c>
      <c r="F229" s="1208">
        <f t="shared" si="38"/>
        <v>230</v>
      </c>
      <c r="G229" s="1217"/>
      <c r="H229" s="1268"/>
      <c r="I229" s="1282">
        <v>148250</v>
      </c>
    </row>
    <row r="230" spans="1:11" ht="15" customHeight="1">
      <c r="A230" s="1253">
        <v>41226</v>
      </c>
      <c r="B230" s="1216">
        <v>11485</v>
      </c>
      <c r="C230" s="1210">
        <v>20380</v>
      </c>
      <c r="D230" s="1211">
        <v>20425</v>
      </c>
      <c r="E230" s="1212">
        <f t="shared" si="30"/>
        <v>45</v>
      </c>
      <c r="F230" s="1208">
        <f t="shared" si="38"/>
        <v>-95</v>
      </c>
      <c r="G230" s="1217"/>
      <c r="H230" s="1268"/>
      <c r="I230" s="1282">
        <v>148250</v>
      </c>
    </row>
    <row r="231" spans="1:11" ht="15" customHeight="1">
      <c r="A231" s="1253">
        <v>41227</v>
      </c>
      <c r="B231" s="1216">
        <v>11485</v>
      </c>
      <c r="C231" s="1210">
        <v>20600</v>
      </c>
      <c r="D231" s="1211">
        <v>20600</v>
      </c>
      <c r="E231" s="1212">
        <f t="shared" si="30"/>
        <v>0</v>
      </c>
      <c r="F231" s="1208">
        <f t="shared" si="38"/>
        <v>220</v>
      </c>
      <c r="G231" s="1217"/>
      <c r="H231" s="1268"/>
      <c r="I231" s="1282">
        <v>147250</v>
      </c>
    </row>
    <row r="232" spans="1:11" ht="15" customHeight="1">
      <c r="A232" s="1253">
        <v>41228</v>
      </c>
      <c r="B232" s="1216">
        <v>11485</v>
      </c>
      <c r="C232" s="1210">
        <v>20410</v>
      </c>
      <c r="D232" s="1211">
        <v>20430</v>
      </c>
      <c r="E232" s="1212">
        <f t="shared" si="30"/>
        <v>20</v>
      </c>
      <c r="F232" s="1208">
        <f t="shared" ref="F232:F238" si="39">+C232-C231</f>
        <v>-190</v>
      </c>
      <c r="G232" s="1217"/>
      <c r="H232" s="1268"/>
      <c r="I232" s="1282">
        <v>147750</v>
      </c>
    </row>
    <row r="233" spans="1:11" ht="15" customHeight="1">
      <c r="A233" s="1253">
        <v>41229</v>
      </c>
      <c r="B233" s="1216">
        <v>11475</v>
      </c>
      <c r="C233" s="1210">
        <v>20550</v>
      </c>
      <c r="D233" s="1211">
        <v>20475</v>
      </c>
      <c r="E233" s="1212">
        <f t="shared" si="30"/>
        <v>-75</v>
      </c>
      <c r="F233" s="1208">
        <f t="shared" si="39"/>
        <v>140</v>
      </c>
      <c r="G233" s="1217"/>
      <c r="H233" s="1268"/>
      <c r="I233" s="1282">
        <v>148250</v>
      </c>
    </row>
    <row r="234" spans="1:11" ht="15" customHeight="1">
      <c r="A234" s="1253">
        <v>41232</v>
      </c>
      <c r="B234" s="1209">
        <v>11455</v>
      </c>
      <c r="C234" s="1210">
        <v>20575</v>
      </c>
      <c r="D234" s="1211">
        <v>20500</v>
      </c>
      <c r="E234" s="1212">
        <f t="shared" si="30"/>
        <v>-75</v>
      </c>
      <c r="F234" s="1208">
        <f t="shared" si="39"/>
        <v>25</v>
      </c>
      <c r="G234" s="1217"/>
      <c r="H234" s="1268"/>
      <c r="I234" s="1282">
        <v>148250</v>
      </c>
    </row>
    <row r="235" spans="1:11" s="80" customFormat="1" ht="15" customHeight="1">
      <c r="A235" s="1253">
        <v>41233</v>
      </c>
      <c r="B235" s="1209">
        <v>11530</v>
      </c>
      <c r="C235" s="1210">
        <v>20930</v>
      </c>
      <c r="D235" s="1211">
        <v>20850</v>
      </c>
      <c r="E235" s="1212">
        <f t="shared" si="30"/>
        <v>-80</v>
      </c>
      <c r="F235" s="1208">
        <f t="shared" si="39"/>
        <v>355</v>
      </c>
      <c r="G235" s="1217"/>
      <c r="H235" s="1268"/>
      <c r="I235" s="1282">
        <v>148250</v>
      </c>
      <c r="K235" s="82"/>
    </row>
    <row r="236" spans="1:11" s="80" customFormat="1" ht="15" customHeight="1">
      <c r="A236" s="1253">
        <v>41234</v>
      </c>
      <c r="B236" s="1209">
        <v>11530</v>
      </c>
      <c r="C236" s="1210">
        <v>20630</v>
      </c>
      <c r="D236" s="1211">
        <v>20625</v>
      </c>
      <c r="E236" s="1212">
        <f t="shared" si="30"/>
        <v>-5</v>
      </c>
      <c r="F236" s="1208">
        <f t="shared" si="39"/>
        <v>-300</v>
      </c>
      <c r="G236" s="1217"/>
      <c r="H236" s="1268"/>
      <c r="I236" s="1282">
        <v>148500</v>
      </c>
    </row>
    <row r="237" spans="1:11" s="80" customFormat="1" ht="15" customHeight="1">
      <c r="A237" s="1253">
        <v>41235</v>
      </c>
      <c r="B237" s="1209">
        <v>11555</v>
      </c>
      <c r="C237" s="1210">
        <v>20575</v>
      </c>
      <c r="D237" s="1211">
        <v>20575</v>
      </c>
      <c r="E237" s="1212">
        <f t="shared" si="30"/>
        <v>0</v>
      </c>
      <c r="F237" s="1208">
        <f t="shared" si="39"/>
        <v>-55</v>
      </c>
      <c r="G237" s="1217"/>
      <c r="H237" s="1268"/>
      <c r="I237" s="1282">
        <v>148250</v>
      </c>
    </row>
    <row r="238" spans="1:11" s="80" customFormat="1" ht="15" customHeight="1">
      <c r="A238" s="1253">
        <v>41236</v>
      </c>
      <c r="B238" s="1209">
        <v>11740</v>
      </c>
      <c r="C238" s="1210">
        <v>20595</v>
      </c>
      <c r="D238" s="1211">
        <v>20500</v>
      </c>
      <c r="E238" s="1212">
        <f t="shared" si="30"/>
        <v>-95</v>
      </c>
      <c r="F238" s="1208">
        <f t="shared" si="39"/>
        <v>20</v>
      </c>
      <c r="G238" s="1217"/>
      <c r="H238" s="1268"/>
      <c r="I238" s="1282">
        <v>147750</v>
      </c>
      <c r="K238" s="82"/>
    </row>
    <row r="239" spans="1:11" s="80" customFormat="1" ht="15" customHeight="1">
      <c r="A239" s="1253">
        <v>41239</v>
      </c>
      <c r="B239" s="1209">
        <v>11740</v>
      </c>
      <c r="C239" s="1210">
        <v>20825</v>
      </c>
      <c r="D239" s="1211">
        <v>20775</v>
      </c>
      <c r="E239" s="1212">
        <f t="shared" si="30"/>
        <v>-50</v>
      </c>
      <c r="F239" s="1208">
        <f t="shared" ref="F239:F244" si="40">+C239-C238</f>
        <v>230</v>
      </c>
      <c r="G239" s="1217"/>
      <c r="H239" s="1268"/>
      <c r="I239" s="1282">
        <v>147750</v>
      </c>
    </row>
    <row r="240" spans="1:11" s="80" customFormat="1" ht="15" customHeight="1">
      <c r="A240" s="1253">
        <v>41240</v>
      </c>
      <c r="B240" s="1209">
        <v>12025</v>
      </c>
      <c r="C240" s="1210">
        <v>21135</v>
      </c>
      <c r="D240" s="1211">
        <v>21130</v>
      </c>
      <c r="E240" s="1212">
        <f t="shared" si="30"/>
        <v>-5</v>
      </c>
      <c r="F240" s="1208">
        <f t="shared" si="40"/>
        <v>310</v>
      </c>
      <c r="G240" s="1217"/>
      <c r="H240" s="1268"/>
      <c r="I240" s="1282">
        <v>148000</v>
      </c>
    </row>
    <row r="241" spans="1:11" s="80" customFormat="1" ht="15" customHeight="1">
      <c r="A241" s="1253">
        <v>41241</v>
      </c>
      <c r="B241" s="1209">
        <v>11990</v>
      </c>
      <c r="C241" s="1210">
        <v>21245</v>
      </c>
      <c r="D241" s="1211">
        <v>21200</v>
      </c>
      <c r="E241" s="1212">
        <f t="shared" si="30"/>
        <v>-45</v>
      </c>
      <c r="F241" s="1208">
        <f t="shared" si="40"/>
        <v>110</v>
      </c>
      <c r="G241" s="1217"/>
      <c r="H241" s="1268"/>
      <c r="I241" s="1282">
        <v>148500</v>
      </c>
      <c r="K241" s="82"/>
    </row>
    <row r="242" spans="1:11" s="80" customFormat="1" ht="15" customHeight="1">
      <c r="A242" s="1253">
        <v>41242</v>
      </c>
      <c r="B242" s="1209">
        <v>12015</v>
      </c>
      <c r="C242" s="1210">
        <v>21610</v>
      </c>
      <c r="D242" s="1211">
        <v>21800</v>
      </c>
      <c r="E242" s="1212">
        <f t="shared" si="30"/>
        <v>190</v>
      </c>
      <c r="F242" s="1208">
        <f t="shared" si="40"/>
        <v>365</v>
      </c>
      <c r="G242" s="1217"/>
      <c r="H242" s="1268"/>
      <c r="I242" s="1282">
        <v>149000</v>
      </c>
    </row>
    <row r="243" spans="1:11" s="80" customFormat="1" ht="15" customHeight="1">
      <c r="A243" s="1253">
        <v>41243</v>
      </c>
      <c r="B243" s="1209">
        <v>12060</v>
      </c>
      <c r="C243" s="1210">
        <v>21800</v>
      </c>
      <c r="D243" s="1211">
        <v>21800</v>
      </c>
      <c r="E243" s="1212">
        <f t="shared" si="30"/>
        <v>0</v>
      </c>
      <c r="F243" s="1208">
        <f t="shared" si="40"/>
        <v>190</v>
      </c>
      <c r="G243" s="1214">
        <f>AVERAGE(C222:C243)</f>
        <v>20700.227272727272</v>
      </c>
      <c r="H243" s="1267">
        <f>AVERAGE(C5:C243)</f>
        <v>20950.665236051504</v>
      </c>
      <c r="I243" s="1282">
        <v>149000</v>
      </c>
      <c r="K243" s="82"/>
    </row>
    <row r="244" spans="1:11" s="80" customFormat="1" ht="15" customHeight="1">
      <c r="A244" s="1253">
        <v>41246</v>
      </c>
      <c r="B244" s="1209">
        <v>12215</v>
      </c>
      <c r="C244" s="1210">
        <v>21860</v>
      </c>
      <c r="D244" s="1211">
        <v>21805</v>
      </c>
      <c r="E244" s="1212">
        <f t="shared" ref="E244:E259" si="41">D244-C244</f>
        <v>-55</v>
      </c>
      <c r="F244" s="1208">
        <f t="shared" si="40"/>
        <v>60</v>
      </c>
      <c r="G244" s="1217"/>
      <c r="H244" s="1268"/>
      <c r="I244" s="1282">
        <v>149750</v>
      </c>
      <c r="K244" s="82"/>
    </row>
    <row r="245" spans="1:11" ht="15" customHeight="1">
      <c r="A245" s="1253">
        <v>41247</v>
      </c>
      <c r="B245" s="1209">
        <v>12365</v>
      </c>
      <c r="C245" s="1210">
        <v>21775</v>
      </c>
      <c r="D245" s="1211">
        <v>21750</v>
      </c>
      <c r="E245" s="1212">
        <f t="shared" si="41"/>
        <v>-25</v>
      </c>
      <c r="F245" s="1208">
        <f t="shared" ref="F245:F250" si="42">+C245-C244</f>
        <v>-85</v>
      </c>
      <c r="G245" s="1217"/>
      <c r="H245" s="1268"/>
      <c r="I245" s="1282">
        <v>150000</v>
      </c>
    </row>
    <row r="246" spans="1:11" s="80" customFormat="1" ht="15" customHeight="1">
      <c r="A246" s="1253">
        <v>41248</v>
      </c>
      <c r="B246" s="1209">
        <v>12295</v>
      </c>
      <c r="C246" s="1210">
        <v>21870</v>
      </c>
      <c r="D246" s="1211">
        <v>21805</v>
      </c>
      <c r="E246" s="1212">
        <f t="shared" si="41"/>
        <v>-65</v>
      </c>
      <c r="F246" s="1208">
        <f t="shared" si="42"/>
        <v>95</v>
      </c>
      <c r="G246" s="1217"/>
      <c r="H246" s="1265"/>
      <c r="I246" s="1282">
        <v>149750</v>
      </c>
    </row>
    <row r="247" spans="1:11" s="80" customFormat="1" ht="15" customHeight="1">
      <c r="A247" s="1253">
        <v>41249</v>
      </c>
      <c r="B247" s="1209">
        <v>11195</v>
      </c>
      <c r="C247" s="1210">
        <v>21905</v>
      </c>
      <c r="D247" s="1211">
        <v>21885</v>
      </c>
      <c r="E247" s="1212">
        <f t="shared" si="41"/>
        <v>-20</v>
      </c>
      <c r="F247" s="1208">
        <f t="shared" si="42"/>
        <v>35</v>
      </c>
      <c r="G247" s="1217"/>
      <c r="H247" s="1268"/>
      <c r="I247" s="1282">
        <v>149250</v>
      </c>
      <c r="K247" s="82"/>
    </row>
    <row r="248" spans="1:11" ht="15" customHeight="1">
      <c r="A248" s="1253">
        <v>41250</v>
      </c>
      <c r="B248" s="1209">
        <v>11340</v>
      </c>
      <c r="C248" s="1210">
        <v>21620</v>
      </c>
      <c r="D248" s="1211">
        <v>21530</v>
      </c>
      <c r="E248" s="1212">
        <f t="shared" si="41"/>
        <v>-90</v>
      </c>
      <c r="F248" s="1208">
        <f t="shared" si="42"/>
        <v>-285</v>
      </c>
      <c r="G248" s="1217"/>
      <c r="H248" s="1268"/>
      <c r="I248" s="1282">
        <v>149250</v>
      </c>
    </row>
    <row r="249" spans="1:11" ht="15" customHeight="1">
      <c r="A249" s="1253">
        <v>41253</v>
      </c>
      <c r="B249" s="1209">
        <v>11380</v>
      </c>
      <c r="C249" s="1210">
        <v>22375</v>
      </c>
      <c r="D249" s="1211">
        <v>22400</v>
      </c>
      <c r="E249" s="1212">
        <f t="shared" si="41"/>
        <v>25</v>
      </c>
      <c r="F249" s="1208">
        <f t="shared" si="42"/>
        <v>755</v>
      </c>
      <c r="G249" s="1217"/>
      <c r="H249" s="1268"/>
      <c r="I249" s="1282">
        <v>149250</v>
      </c>
    </row>
    <row r="250" spans="1:11" s="80" customFormat="1" ht="15" customHeight="1">
      <c r="A250" s="1253">
        <v>41254</v>
      </c>
      <c r="B250" s="1209">
        <v>11405</v>
      </c>
      <c r="C250" s="1210">
        <v>23025</v>
      </c>
      <c r="D250" s="1211">
        <v>23000</v>
      </c>
      <c r="E250" s="1212">
        <f t="shared" si="41"/>
        <v>-25</v>
      </c>
      <c r="F250" s="1208">
        <f t="shared" si="42"/>
        <v>650</v>
      </c>
      <c r="G250" s="1217"/>
      <c r="H250" s="1268"/>
      <c r="I250" s="1282">
        <v>152000</v>
      </c>
    </row>
    <row r="251" spans="1:11" s="80" customFormat="1" ht="14.25" customHeight="1">
      <c r="A251" s="1253">
        <v>41255</v>
      </c>
      <c r="B251" s="1209">
        <v>11595</v>
      </c>
      <c r="C251" s="1210">
        <v>23155</v>
      </c>
      <c r="D251" s="1211">
        <v>23150</v>
      </c>
      <c r="E251" s="1212">
        <f t="shared" si="41"/>
        <v>-5</v>
      </c>
      <c r="F251" s="1208">
        <f t="shared" ref="F251:F259" si="43">+C251-C250</f>
        <v>130</v>
      </c>
      <c r="G251" s="1217"/>
      <c r="H251" s="1268"/>
      <c r="I251" s="1282">
        <v>153000</v>
      </c>
      <c r="K251" s="82"/>
    </row>
    <row r="252" spans="1:11" ht="15" customHeight="1">
      <c r="A252" s="1253">
        <v>41256</v>
      </c>
      <c r="B252" s="1209">
        <v>11645</v>
      </c>
      <c r="C252" s="1210">
        <v>22900</v>
      </c>
      <c r="D252" s="1211">
        <v>22900</v>
      </c>
      <c r="E252" s="1212">
        <f t="shared" si="41"/>
        <v>0</v>
      </c>
      <c r="F252" s="1208">
        <f t="shared" si="43"/>
        <v>-255</v>
      </c>
      <c r="G252" s="1217"/>
      <c r="H252" s="1269"/>
      <c r="I252" s="1282">
        <v>152000</v>
      </c>
    </row>
    <row r="253" spans="1:11" ht="15" customHeight="1">
      <c r="A253" s="1253">
        <v>41257</v>
      </c>
      <c r="B253" s="1209">
        <v>11765</v>
      </c>
      <c r="C253" s="1210">
        <v>23205</v>
      </c>
      <c r="D253" s="1211">
        <v>23225</v>
      </c>
      <c r="E253" s="1212">
        <f t="shared" si="41"/>
        <v>20</v>
      </c>
      <c r="F253" s="1208">
        <f t="shared" si="43"/>
        <v>305</v>
      </c>
      <c r="G253" s="1217"/>
      <c r="H253" s="1268"/>
      <c r="I253" s="1282">
        <v>152000</v>
      </c>
    </row>
    <row r="254" spans="1:11" ht="15" customHeight="1">
      <c r="A254" s="1253">
        <v>41260</v>
      </c>
      <c r="B254" s="1209">
        <v>12015</v>
      </c>
      <c r="C254" s="1210">
        <v>23325</v>
      </c>
      <c r="D254" s="1211">
        <v>23325</v>
      </c>
      <c r="E254" s="1212">
        <f t="shared" si="41"/>
        <v>0</v>
      </c>
      <c r="F254" s="1208">
        <f t="shared" si="43"/>
        <v>120</v>
      </c>
      <c r="G254" s="1217"/>
      <c r="H254" s="1268"/>
      <c r="I254" s="1282">
        <v>152000</v>
      </c>
    </row>
    <row r="255" spans="1:11" ht="15" customHeight="1">
      <c r="A255" s="1253">
        <v>41261</v>
      </c>
      <c r="B255" s="1209">
        <v>12040</v>
      </c>
      <c r="C255" s="1210">
        <v>23450</v>
      </c>
      <c r="D255" s="1211">
        <v>23495</v>
      </c>
      <c r="E255" s="1212">
        <f t="shared" si="41"/>
        <v>45</v>
      </c>
      <c r="F255" s="1208">
        <f t="shared" si="43"/>
        <v>125</v>
      </c>
      <c r="G255" s="1217"/>
      <c r="H255" s="1268"/>
      <c r="I255" s="1282">
        <v>152250</v>
      </c>
    </row>
    <row r="256" spans="1:11" ht="15" customHeight="1">
      <c r="A256" s="1253">
        <v>41262</v>
      </c>
      <c r="B256" s="1209">
        <v>12070</v>
      </c>
      <c r="C256" s="1210">
        <v>23660</v>
      </c>
      <c r="D256" s="1211">
        <v>23655</v>
      </c>
      <c r="E256" s="1212">
        <f t="shared" si="41"/>
        <v>-5</v>
      </c>
      <c r="F256" s="1208">
        <f t="shared" si="43"/>
        <v>210</v>
      </c>
      <c r="G256" s="1217"/>
      <c r="H256" s="1268"/>
      <c r="I256" s="1282">
        <v>152250</v>
      </c>
    </row>
    <row r="257" spans="1:9" ht="15" customHeight="1">
      <c r="A257" s="1253">
        <v>41263</v>
      </c>
      <c r="B257" s="1209">
        <v>12245</v>
      </c>
      <c r="C257" s="1210">
        <v>23305</v>
      </c>
      <c r="D257" s="1211">
        <v>23350</v>
      </c>
      <c r="E257" s="1212">
        <f t="shared" si="41"/>
        <v>45</v>
      </c>
      <c r="F257" s="1208">
        <f t="shared" si="43"/>
        <v>-355</v>
      </c>
      <c r="G257" s="1217"/>
      <c r="H257" s="1268"/>
      <c r="I257" s="1282">
        <v>152250</v>
      </c>
    </row>
    <row r="258" spans="1:9" ht="15" customHeight="1">
      <c r="A258" s="1253">
        <v>41264</v>
      </c>
      <c r="B258" s="1209">
        <v>12395</v>
      </c>
      <c r="C258" s="1210">
        <v>23350</v>
      </c>
      <c r="D258" s="1211">
        <v>23350</v>
      </c>
      <c r="E258" s="1212">
        <f t="shared" si="41"/>
        <v>0</v>
      </c>
      <c r="F258" s="1208">
        <f t="shared" si="43"/>
        <v>45</v>
      </c>
      <c r="G258" s="1217"/>
      <c r="H258" s="1268"/>
      <c r="I258" s="1282">
        <v>151750</v>
      </c>
    </row>
    <row r="259" spans="1:9" ht="15" customHeight="1">
      <c r="A259" s="1253">
        <v>41267</v>
      </c>
      <c r="B259" s="1209">
        <v>12565</v>
      </c>
      <c r="C259" s="1210">
        <v>23200</v>
      </c>
      <c r="D259" s="1211">
        <v>23205</v>
      </c>
      <c r="E259" s="1212">
        <f t="shared" si="41"/>
        <v>5</v>
      </c>
      <c r="F259" s="1208">
        <f t="shared" si="43"/>
        <v>-150</v>
      </c>
      <c r="G259" s="1217"/>
      <c r="H259" s="1268"/>
      <c r="I259" s="1282">
        <v>151250</v>
      </c>
    </row>
    <row r="260" spans="1:9" ht="15" customHeight="1">
      <c r="A260" s="1253">
        <v>41268</v>
      </c>
      <c r="B260" s="1434" t="s">
        <v>38</v>
      </c>
      <c r="C260" s="1434"/>
      <c r="D260" s="1434"/>
      <c r="E260" s="1434"/>
      <c r="F260" s="1434"/>
      <c r="G260" s="1217"/>
      <c r="H260" s="1268"/>
      <c r="I260" s="1282">
        <v>151250</v>
      </c>
    </row>
    <row r="261" spans="1:9" ht="15" customHeight="1">
      <c r="A261" s="1253">
        <v>41269</v>
      </c>
      <c r="B261" s="1434" t="s">
        <v>38</v>
      </c>
      <c r="C261" s="1434"/>
      <c r="D261" s="1434"/>
      <c r="E261" s="1434"/>
      <c r="F261" s="1434"/>
      <c r="G261" s="1217"/>
      <c r="H261" s="1268"/>
      <c r="I261" s="1282">
        <v>151250</v>
      </c>
    </row>
    <row r="262" spans="1:9" ht="15" customHeight="1">
      <c r="A262" s="1253">
        <v>41270</v>
      </c>
      <c r="B262" s="1209">
        <v>12565</v>
      </c>
      <c r="C262" s="1210">
        <v>23350</v>
      </c>
      <c r="D262" s="1211">
        <v>23455</v>
      </c>
      <c r="E262" s="1212">
        <f t="shared" ref="E262:E264" si="44">D262-C262</f>
        <v>105</v>
      </c>
      <c r="F262" s="1208">
        <f>C262-C259</f>
        <v>150</v>
      </c>
      <c r="G262" s="1217"/>
      <c r="H262" s="1270"/>
      <c r="I262" s="1282">
        <v>151250</v>
      </c>
    </row>
    <row r="263" spans="1:9" ht="15" customHeight="1">
      <c r="A263" s="1253">
        <v>41271</v>
      </c>
      <c r="B263" s="1209">
        <v>12750</v>
      </c>
      <c r="C263" s="1210">
        <v>23210</v>
      </c>
      <c r="D263" s="1211">
        <v>23350</v>
      </c>
      <c r="E263" s="1212">
        <f t="shared" si="44"/>
        <v>140</v>
      </c>
      <c r="F263" s="1208">
        <f>C263-C262</f>
        <v>-140</v>
      </c>
      <c r="G263" s="1217"/>
      <c r="H263" s="1268"/>
      <c r="I263" s="1282">
        <v>151750</v>
      </c>
    </row>
    <row r="264" spans="1:9" ht="15" customHeight="1">
      <c r="A264" s="1253">
        <v>41274</v>
      </c>
      <c r="B264" s="1209">
        <v>12825</v>
      </c>
      <c r="C264" s="1210">
        <v>23500</v>
      </c>
      <c r="D264" s="1211">
        <v>23405</v>
      </c>
      <c r="E264" s="1212">
        <f t="shared" si="44"/>
        <v>-95</v>
      </c>
      <c r="F264" s="1208">
        <f>C264-C263</f>
        <v>290</v>
      </c>
      <c r="G264" s="1214">
        <f>AVERAGE(C244:C264)</f>
        <v>22844.21052631579</v>
      </c>
      <c r="H264" s="1267">
        <f>AVERAGE(C5:C264)</f>
        <v>21093.432539682541</v>
      </c>
      <c r="I264" s="1282">
        <v>152750</v>
      </c>
    </row>
    <row r="265" spans="1:9" ht="15" customHeight="1">
      <c r="A265" s="1253">
        <v>41275</v>
      </c>
      <c r="B265" s="1434" t="s">
        <v>38</v>
      </c>
      <c r="C265" s="1434"/>
      <c r="D265" s="1434"/>
      <c r="E265" s="1434"/>
      <c r="F265" s="1434"/>
      <c r="G265" s="1215"/>
      <c r="H265" s="1269"/>
      <c r="I265" s="1458" t="s">
        <v>114</v>
      </c>
    </row>
    <row r="266" spans="1:9" ht="15" customHeight="1">
      <c r="A266" s="1253">
        <v>41276</v>
      </c>
      <c r="B266" s="1209">
        <v>12800</v>
      </c>
      <c r="C266" s="1210">
        <v>24350</v>
      </c>
      <c r="D266" s="1211">
        <v>24345</v>
      </c>
      <c r="E266" s="1212">
        <f t="shared" ref="E266:E327" si="45">D266-C266</f>
        <v>-5</v>
      </c>
      <c r="F266" s="1208">
        <f>C266-C264</f>
        <v>850</v>
      </c>
      <c r="G266" s="1215"/>
      <c r="H266" s="1269"/>
      <c r="I266" s="1458"/>
    </row>
    <row r="267" spans="1:9" ht="15" customHeight="1">
      <c r="A267" s="1253">
        <v>41277</v>
      </c>
      <c r="B267" s="1209">
        <v>12675</v>
      </c>
      <c r="C267" s="1210">
        <v>24150</v>
      </c>
      <c r="D267" s="1211">
        <v>24150</v>
      </c>
      <c r="E267" s="1212">
        <f t="shared" si="45"/>
        <v>0</v>
      </c>
      <c r="F267" s="1208">
        <f t="shared" ref="F267:F287" si="46">C267-C266</f>
        <v>-200</v>
      </c>
      <c r="G267" s="1217"/>
      <c r="H267" s="1268"/>
      <c r="I267" s="1458"/>
    </row>
    <row r="268" spans="1:9" ht="15" customHeight="1">
      <c r="A268" s="1253">
        <v>41278</v>
      </c>
      <c r="B268" s="1209">
        <v>12655</v>
      </c>
      <c r="C268" s="1210">
        <v>24000</v>
      </c>
      <c r="D268" s="1211">
        <v>23950</v>
      </c>
      <c r="E268" s="1212">
        <f t="shared" si="45"/>
        <v>-50</v>
      </c>
      <c r="F268" s="1208">
        <f t="shared" si="46"/>
        <v>-150</v>
      </c>
      <c r="G268" s="1215"/>
      <c r="H268" s="1269"/>
      <c r="I268" s="1285">
        <v>155250</v>
      </c>
    </row>
    <row r="269" spans="1:9" ht="15" customHeight="1">
      <c r="A269" s="1253">
        <v>41281</v>
      </c>
      <c r="B269" s="1209">
        <v>12655</v>
      </c>
      <c r="C269" s="1210">
        <v>23745</v>
      </c>
      <c r="D269" s="1211">
        <v>23775</v>
      </c>
      <c r="E269" s="1212">
        <f t="shared" si="45"/>
        <v>30</v>
      </c>
      <c r="F269" s="1208">
        <f t="shared" si="46"/>
        <v>-255</v>
      </c>
      <c r="G269" s="1215"/>
      <c r="H269" s="1269"/>
      <c r="I269" s="1285">
        <v>157000</v>
      </c>
    </row>
    <row r="270" spans="1:9" ht="15" customHeight="1">
      <c r="A270" s="1253">
        <v>41282</v>
      </c>
      <c r="B270" s="1209">
        <v>12705</v>
      </c>
      <c r="C270" s="1210">
        <v>24010</v>
      </c>
      <c r="D270" s="1211">
        <v>24025</v>
      </c>
      <c r="E270" s="1212">
        <f t="shared" si="45"/>
        <v>15</v>
      </c>
      <c r="F270" s="1208">
        <f t="shared" si="46"/>
        <v>265</v>
      </c>
      <c r="G270" s="1217"/>
      <c r="H270" s="1269"/>
      <c r="I270" s="1285">
        <v>158000</v>
      </c>
    </row>
    <row r="271" spans="1:9" ht="15" customHeight="1">
      <c r="A271" s="1253">
        <v>41283</v>
      </c>
      <c r="B271" s="1209">
        <v>12705</v>
      </c>
      <c r="C271" s="1210">
        <v>24450</v>
      </c>
      <c r="D271" s="1211">
        <v>24375</v>
      </c>
      <c r="E271" s="1212">
        <f t="shared" si="45"/>
        <v>-75</v>
      </c>
      <c r="F271" s="1208">
        <f t="shared" si="46"/>
        <v>440</v>
      </c>
      <c r="G271" s="1217"/>
      <c r="H271" s="1270"/>
      <c r="I271" s="1285">
        <v>158500</v>
      </c>
    </row>
    <row r="272" spans="1:9" ht="15" customHeight="1">
      <c r="A272" s="1253">
        <v>41284</v>
      </c>
      <c r="B272" s="1209">
        <v>12700</v>
      </c>
      <c r="C272" s="1210">
        <v>24875</v>
      </c>
      <c r="D272" s="1211">
        <v>24850</v>
      </c>
      <c r="E272" s="1212">
        <f t="shared" si="45"/>
        <v>-25</v>
      </c>
      <c r="F272" s="1208">
        <f t="shared" si="46"/>
        <v>425</v>
      </c>
      <c r="G272" s="1215"/>
      <c r="H272" s="1269"/>
      <c r="I272" s="1285">
        <v>159000</v>
      </c>
    </row>
    <row r="273" spans="1:9" ht="15" customHeight="1">
      <c r="A273" s="1253">
        <v>41285</v>
      </c>
      <c r="B273" s="1209">
        <v>12700</v>
      </c>
      <c r="C273" s="1210">
        <v>24700</v>
      </c>
      <c r="D273" s="1211">
        <v>24725</v>
      </c>
      <c r="E273" s="1212">
        <f t="shared" si="45"/>
        <v>25</v>
      </c>
      <c r="F273" s="1208">
        <f t="shared" si="46"/>
        <v>-175</v>
      </c>
      <c r="G273" s="1215"/>
      <c r="H273" s="1269"/>
      <c r="I273" s="1285">
        <v>160000</v>
      </c>
    </row>
    <row r="274" spans="1:9" ht="15" customHeight="1">
      <c r="A274" s="1253">
        <v>41288</v>
      </c>
      <c r="B274" s="1209">
        <v>12700</v>
      </c>
      <c r="C274" s="1210">
        <v>25100</v>
      </c>
      <c r="D274" s="1211">
        <v>24950</v>
      </c>
      <c r="E274" s="1212">
        <f t="shared" si="45"/>
        <v>-150</v>
      </c>
      <c r="F274" s="1208">
        <f t="shared" si="46"/>
        <v>400</v>
      </c>
      <c r="G274" s="1218"/>
      <c r="H274" s="1270"/>
      <c r="I274" s="1285">
        <v>161000</v>
      </c>
    </row>
    <row r="275" spans="1:9" ht="15" customHeight="1">
      <c r="A275" s="1253">
        <v>41289</v>
      </c>
      <c r="B275" s="1209">
        <v>12750</v>
      </c>
      <c r="C275" s="1210">
        <v>24785</v>
      </c>
      <c r="D275" s="1211">
        <v>24850</v>
      </c>
      <c r="E275" s="1212">
        <f t="shared" si="45"/>
        <v>65</v>
      </c>
      <c r="F275" s="1208">
        <f t="shared" si="46"/>
        <v>-315</v>
      </c>
      <c r="G275" s="1218"/>
      <c r="H275" s="1270"/>
      <c r="I275" s="1285">
        <v>161000</v>
      </c>
    </row>
    <row r="276" spans="1:9" ht="15" customHeight="1">
      <c r="A276" s="1253">
        <v>41290</v>
      </c>
      <c r="B276" s="1209">
        <v>12800</v>
      </c>
      <c r="C276" s="1210">
        <v>24895</v>
      </c>
      <c r="D276" s="1211">
        <v>24760</v>
      </c>
      <c r="E276" s="1212">
        <f t="shared" si="45"/>
        <v>-135</v>
      </c>
      <c r="F276" s="1208">
        <f t="shared" si="46"/>
        <v>110</v>
      </c>
      <c r="G276" s="1215"/>
      <c r="H276" s="1269"/>
      <c r="I276" s="1285">
        <v>16150</v>
      </c>
    </row>
    <row r="277" spans="1:9" ht="15" customHeight="1">
      <c r="A277" s="1253">
        <v>41291</v>
      </c>
      <c r="B277" s="1209">
        <v>12860</v>
      </c>
      <c r="C277" s="1210">
        <v>25200</v>
      </c>
      <c r="D277" s="1211">
        <v>25150</v>
      </c>
      <c r="E277" s="1212">
        <f t="shared" si="45"/>
        <v>-50</v>
      </c>
      <c r="F277" s="1208">
        <f t="shared" si="46"/>
        <v>305</v>
      </c>
      <c r="G277" s="1215"/>
      <c r="H277" s="1269"/>
      <c r="I277" s="1285">
        <v>16150</v>
      </c>
    </row>
    <row r="278" spans="1:9" ht="15" customHeight="1">
      <c r="A278" s="1253">
        <v>41292</v>
      </c>
      <c r="B278" s="1209">
        <v>12870</v>
      </c>
      <c r="C278" s="1210">
        <v>25085</v>
      </c>
      <c r="D278" s="1211">
        <v>25100</v>
      </c>
      <c r="E278" s="1212">
        <f t="shared" si="45"/>
        <v>15</v>
      </c>
      <c r="F278" s="1208">
        <f t="shared" si="46"/>
        <v>-115</v>
      </c>
      <c r="G278" s="1215"/>
      <c r="H278" s="1269"/>
      <c r="I278" s="1285">
        <v>161500</v>
      </c>
    </row>
    <row r="279" spans="1:9" ht="15" customHeight="1">
      <c r="A279" s="1253">
        <v>41295</v>
      </c>
      <c r="B279" s="1209">
        <v>12930</v>
      </c>
      <c r="C279" s="1210">
        <v>25025</v>
      </c>
      <c r="D279" s="1211">
        <v>25000</v>
      </c>
      <c r="E279" s="1212">
        <f t="shared" si="45"/>
        <v>-25</v>
      </c>
      <c r="F279" s="1208">
        <f t="shared" si="46"/>
        <v>-60</v>
      </c>
      <c r="G279" s="1215"/>
      <c r="H279" s="1269"/>
      <c r="I279" s="1285">
        <v>160500</v>
      </c>
    </row>
    <row r="280" spans="1:9" ht="15" customHeight="1">
      <c r="A280" s="1253">
        <v>41296</v>
      </c>
      <c r="B280" s="1209">
        <v>13130</v>
      </c>
      <c r="C280" s="1210">
        <v>24975</v>
      </c>
      <c r="D280" s="1211">
        <v>24975</v>
      </c>
      <c r="E280" s="1212">
        <f t="shared" si="45"/>
        <v>0</v>
      </c>
      <c r="F280" s="1208">
        <f t="shared" si="46"/>
        <v>-50</v>
      </c>
      <c r="G280" s="1215"/>
      <c r="H280" s="1269"/>
      <c r="I280" s="1285">
        <v>160500</v>
      </c>
    </row>
    <row r="281" spans="1:9" ht="15" customHeight="1">
      <c r="A281" s="1253">
        <v>41297</v>
      </c>
      <c r="B281" s="1209">
        <v>13130</v>
      </c>
      <c r="C281" s="1210">
        <v>24850</v>
      </c>
      <c r="D281" s="1211">
        <v>24810</v>
      </c>
      <c r="E281" s="1212">
        <f t="shared" si="45"/>
        <v>-40</v>
      </c>
      <c r="F281" s="1208">
        <f t="shared" si="46"/>
        <v>-125</v>
      </c>
      <c r="G281" s="1215"/>
      <c r="H281" s="1269"/>
      <c r="I281" s="1285">
        <v>159500</v>
      </c>
    </row>
    <row r="282" spans="1:9" ht="15" customHeight="1">
      <c r="A282" s="1253">
        <v>41298</v>
      </c>
      <c r="B282" s="1209">
        <v>13135</v>
      </c>
      <c r="C282" s="1210">
        <v>24450</v>
      </c>
      <c r="D282" s="1211">
        <v>24380</v>
      </c>
      <c r="E282" s="1212">
        <f t="shared" si="45"/>
        <v>-70</v>
      </c>
      <c r="F282" s="1208">
        <f t="shared" si="46"/>
        <v>-400</v>
      </c>
      <c r="G282" s="1215"/>
      <c r="H282" s="1269"/>
      <c r="I282" s="1285">
        <v>159000</v>
      </c>
    </row>
    <row r="283" spans="1:9" ht="15" customHeight="1">
      <c r="A283" s="1253">
        <v>41299</v>
      </c>
      <c r="B283" s="1209">
        <v>13195</v>
      </c>
      <c r="C283" s="1210">
        <v>24710</v>
      </c>
      <c r="D283" s="1211">
        <v>24805</v>
      </c>
      <c r="E283" s="1212">
        <f t="shared" si="45"/>
        <v>95</v>
      </c>
      <c r="F283" s="1208">
        <f t="shared" si="46"/>
        <v>260</v>
      </c>
      <c r="G283" s="1215"/>
      <c r="H283" s="1269"/>
      <c r="I283" s="1285">
        <v>158750</v>
      </c>
    </row>
    <row r="284" spans="1:9" ht="15" customHeight="1">
      <c r="A284" s="1253">
        <v>41302</v>
      </c>
      <c r="B284" s="1209">
        <v>13035</v>
      </c>
      <c r="C284" s="1210">
        <v>24500</v>
      </c>
      <c r="D284" s="1211">
        <v>24425</v>
      </c>
      <c r="E284" s="1212">
        <f t="shared" si="45"/>
        <v>-75</v>
      </c>
      <c r="F284" s="1208">
        <f t="shared" si="46"/>
        <v>-210</v>
      </c>
      <c r="G284" s="1215"/>
      <c r="H284" s="1269"/>
      <c r="I284" s="1285">
        <v>158750</v>
      </c>
    </row>
    <row r="285" spans="1:9" ht="15" customHeight="1">
      <c r="A285" s="1253">
        <v>41303</v>
      </c>
      <c r="B285" s="1209">
        <v>13135</v>
      </c>
      <c r="C285" s="1210">
        <v>24480</v>
      </c>
      <c r="D285" s="1211">
        <v>24480</v>
      </c>
      <c r="E285" s="1212">
        <f t="shared" si="45"/>
        <v>0</v>
      </c>
      <c r="F285" s="1208">
        <f t="shared" si="46"/>
        <v>-20</v>
      </c>
      <c r="G285" s="1215"/>
      <c r="H285" s="1269"/>
      <c r="I285" s="1285">
        <v>158750</v>
      </c>
    </row>
    <row r="286" spans="1:9" ht="15" customHeight="1">
      <c r="A286" s="1253">
        <v>41304</v>
      </c>
      <c r="B286" s="1209">
        <v>13135</v>
      </c>
      <c r="C286" s="1210">
        <v>25070</v>
      </c>
      <c r="D286" s="1211">
        <v>25075</v>
      </c>
      <c r="E286" s="1212">
        <f t="shared" si="45"/>
        <v>5</v>
      </c>
      <c r="F286" s="1208">
        <f t="shared" si="46"/>
        <v>590</v>
      </c>
      <c r="G286" s="1215"/>
      <c r="H286" s="1269"/>
      <c r="I286" s="1285">
        <v>159000</v>
      </c>
    </row>
    <row r="287" spans="1:9" ht="15" customHeight="1">
      <c r="A287" s="1253">
        <v>41305</v>
      </c>
      <c r="B287" s="1209">
        <v>13420</v>
      </c>
      <c r="C287" s="1210">
        <v>25100</v>
      </c>
      <c r="D287" s="1211">
        <v>25100</v>
      </c>
      <c r="E287" s="1212">
        <f t="shared" si="45"/>
        <v>0</v>
      </c>
      <c r="F287" s="1208">
        <f t="shared" si="46"/>
        <v>30</v>
      </c>
      <c r="G287" s="1219">
        <f>AVERAGE(C266:C287)</f>
        <v>24659.31818181818</v>
      </c>
      <c r="H287" s="1271">
        <f>AVERAGE(C266:C287)</f>
        <v>24659.31818181818</v>
      </c>
      <c r="I287" s="1285">
        <v>159750</v>
      </c>
    </row>
    <row r="288" spans="1:9" ht="15" customHeight="1">
      <c r="A288" s="1253">
        <v>41306</v>
      </c>
      <c r="B288" s="1209">
        <v>13625</v>
      </c>
      <c r="C288" s="1210">
        <v>24810</v>
      </c>
      <c r="D288" s="1211">
        <v>24850</v>
      </c>
      <c r="E288" s="1212">
        <f t="shared" si="45"/>
        <v>40</v>
      </c>
      <c r="F288" s="1208">
        <f t="shared" ref="F288:F327" si="47">C288-C287</f>
        <v>-290</v>
      </c>
      <c r="G288" s="1215"/>
      <c r="H288" s="1269"/>
      <c r="I288" s="1286">
        <v>160250</v>
      </c>
    </row>
    <row r="289" spans="1:9" ht="15" customHeight="1">
      <c r="A289" s="1253">
        <v>41309</v>
      </c>
      <c r="B289" s="1209">
        <v>13625</v>
      </c>
      <c r="C289" s="1210">
        <v>24945</v>
      </c>
      <c r="D289" s="1211">
        <v>24950</v>
      </c>
      <c r="E289" s="1212">
        <f t="shared" si="45"/>
        <v>5</v>
      </c>
      <c r="F289" s="1208">
        <f t="shared" si="47"/>
        <v>135</v>
      </c>
      <c r="G289" s="1215"/>
      <c r="H289" s="1269"/>
      <c r="I289" s="1286">
        <v>161000</v>
      </c>
    </row>
    <row r="290" spans="1:9" ht="15" customHeight="1">
      <c r="A290" s="1253">
        <v>41310</v>
      </c>
      <c r="B290" s="1209">
        <v>13315</v>
      </c>
      <c r="C290" s="1210">
        <v>24945</v>
      </c>
      <c r="D290" s="1211">
        <v>24945</v>
      </c>
      <c r="E290" s="1212">
        <f t="shared" si="45"/>
        <v>0</v>
      </c>
      <c r="F290" s="1208">
        <f t="shared" si="47"/>
        <v>0</v>
      </c>
      <c r="G290" s="1215"/>
      <c r="H290" s="1269"/>
      <c r="I290" s="1286">
        <v>161500</v>
      </c>
    </row>
    <row r="291" spans="1:9" ht="15" customHeight="1">
      <c r="A291" s="1253">
        <v>41311</v>
      </c>
      <c r="B291" s="1209">
        <v>13275</v>
      </c>
      <c r="C291" s="1210">
        <v>24850</v>
      </c>
      <c r="D291" s="1211">
        <v>24895</v>
      </c>
      <c r="E291" s="1212">
        <f t="shared" si="45"/>
        <v>45</v>
      </c>
      <c r="F291" s="1208">
        <f t="shared" si="47"/>
        <v>-95</v>
      </c>
      <c r="G291" s="1215"/>
      <c r="H291" s="1269"/>
      <c r="I291" s="1286">
        <v>161500</v>
      </c>
    </row>
    <row r="292" spans="1:9" ht="15" customHeight="1">
      <c r="A292" s="1253">
        <v>41312</v>
      </c>
      <c r="B292" s="1209">
        <v>13315</v>
      </c>
      <c r="C292" s="1210">
        <v>24955</v>
      </c>
      <c r="D292" s="1211">
        <v>24970</v>
      </c>
      <c r="E292" s="1212">
        <f t="shared" si="45"/>
        <v>15</v>
      </c>
      <c r="F292" s="1208">
        <f t="shared" si="47"/>
        <v>105</v>
      </c>
      <c r="G292" s="1215"/>
      <c r="H292" s="1269"/>
      <c r="I292" s="1286">
        <v>161500</v>
      </c>
    </row>
    <row r="293" spans="1:9" ht="15" customHeight="1">
      <c r="A293" s="1253">
        <v>41313</v>
      </c>
      <c r="B293" s="1209">
        <v>13310</v>
      </c>
      <c r="C293" s="1210">
        <v>24875</v>
      </c>
      <c r="D293" s="1211">
        <v>24860</v>
      </c>
      <c r="E293" s="1212">
        <f t="shared" si="45"/>
        <v>-15</v>
      </c>
      <c r="F293" s="1208">
        <f t="shared" si="47"/>
        <v>-80</v>
      </c>
      <c r="G293" s="1215"/>
      <c r="H293" s="1269"/>
      <c r="I293" s="1286">
        <v>161500</v>
      </c>
    </row>
    <row r="294" spans="1:9" ht="15" customHeight="1">
      <c r="A294" s="1253">
        <v>41316</v>
      </c>
      <c r="B294" s="1209">
        <v>13365</v>
      </c>
      <c r="C294" s="1210">
        <v>25000</v>
      </c>
      <c r="D294" s="1211">
        <v>24950</v>
      </c>
      <c r="E294" s="1212">
        <f t="shared" si="45"/>
        <v>-50</v>
      </c>
      <c r="F294" s="1208">
        <f t="shared" si="47"/>
        <v>125</v>
      </c>
      <c r="G294" s="1215"/>
      <c r="H294" s="1269"/>
      <c r="I294" s="1472" t="s">
        <v>114</v>
      </c>
    </row>
    <row r="295" spans="1:9" ht="15" customHeight="1">
      <c r="A295" s="1253">
        <v>41317</v>
      </c>
      <c r="B295" s="1209">
        <v>13350</v>
      </c>
      <c r="C295" s="1210">
        <v>24925</v>
      </c>
      <c r="D295" s="1211">
        <v>24905</v>
      </c>
      <c r="E295" s="1212">
        <f t="shared" si="45"/>
        <v>-20</v>
      </c>
      <c r="F295" s="1208">
        <f t="shared" si="47"/>
        <v>-75</v>
      </c>
      <c r="G295" s="1215"/>
      <c r="H295" s="1269"/>
      <c r="I295" s="1472"/>
    </row>
    <row r="296" spans="1:9" ht="15" customHeight="1">
      <c r="A296" s="1253">
        <v>41318</v>
      </c>
      <c r="B296" s="1209">
        <v>13350</v>
      </c>
      <c r="C296" s="1210">
        <v>24905</v>
      </c>
      <c r="D296" s="1211">
        <v>24925</v>
      </c>
      <c r="E296" s="1212">
        <f t="shared" si="45"/>
        <v>20</v>
      </c>
      <c r="F296" s="1208">
        <f t="shared" si="47"/>
        <v>-20</v>
      </c>
      <c r="G296" s="1215"/>
      <c r="H296" s="1269"/>
      <c r="I296" s="1472"/>
    </row>
    <row r="297" spans="1:9" ht="15" customHeight="1">
      <c r="A297" s="1253">
        <v>41319</v>
      </c>
      <c r="B297" s="1209">
        <v>13350</v>
      </c>
      <c r="C297" s="1210">
        <v>24780</v>
      </c>
      <c r="D297" s="1211">
        <v>24800</v>
      </c>
      <c r="E297" s="1212">
        <f t="shared" si="45"/>
        <v>20</v>
      </c>
      <c r="F297" s="1208">
        <f t="shared" si="47"/>
        <v>-125</v>
      </c>
      <c r="G297" s="1215"/>
      <c r="H297" s="1269"/>
      <c r="I297" s="1472"/>
    </row>
    <row r="298" spans="1:9" ht="15" customHeight="1">
      <c r="A298" s="1253">
        <v>41320</v>
      </c>
      <c r="B298" s="1209">
        <v>13375</v>
      </c>
      <c r="C298" s="1210">
        <v>24925</v>
      </c>
      <c r="D298" s="1211">
        <v>24950</v>
      </c>
      <c r="E298" s="1212">
        <f t="shared" si="45"/>
        <v>25</v>
      </c>
      <c r="F298" s="1208">
        <f t="shared" si="47"/>
        <v>145</v>
      </c>
      <c r="G298" s="1215"/>
      <c r="H298" s="1269"/>
      <c r="I298" s="1472"/>
    </row>
    <row r="299" spans="1:9" ht="15" customHeight="1">
      <c r="A299" s="1253">
        <v>41323</v>
      </c>
      <c r="B299" s="1209">
        <v>13450</v>
      </c>
      <c r="C299" s="1210">
        <v>24700</v>
      </c>
      <c r="D299" s="1211">
        <v>24685</v>
      </c>
      <c r="E299" s="1212">
        <f t="shared" si="45"/>
        <v>-15</v>
      </c>
      <c r="F299" s="1208">
        <f t="shared" si="47"/>
        <v>-225</v>
      </c>
      <c r="G299" s="1215"/>
      <c r="H299" s="1269"/>
      <c r="I299" s="1287">
        <v>161500</v>
      </c>
    </row>
    <row r="300" spans="1:9" ht="15" customHeight="1">
      <c r="A300" s="1253">
        <v>41324</v>
      </c>
      <c r="B300" s="1209">
        <v>13315</v>
      </c>
      <c r="C300" s="1210">
        <v>23925</v>
      </c>
      <c r="D300" s="1211">
        <v>23925</v>
      </c>
      <c r="E300" s="1212">
        <f t="shared" si="45"/>
        <v>0</v>
      </c>
      <c r="F300" s="1208">
        <f t="shared" si="47"/>
        <v>-775</v>
      </c>
      <c r="G300" s="1215"/>
      <c r="H300" s="1269"/>
      <c r="I300" s="1287">
        <v>160500</v>
      </c>
    </row>
    <row r="301" spans="1:9" ht="15" customHeight="1">
      <c r="A301" s="1253">
        <v>41325</v>
      </c>
      <c r="B301" s="1209">
        <v>13325</v>
      </c>
      <c r="C301" s="1210">
        <v>23900</v>
      </c>
      <c r="D301" s="1211">
        <v>23925</v>
      </c>
      <c r="E301" s="1212">
        <f t="shared" si="45"/>
        <v>25</v>
      </c>
      <c r="F301" s="1208">
        <f t="shared" si="47"/>
        <v>-25</v>
      </c>
      <c r="G301" s="1215"/>
      <c r="H301" s="1269"/>
      <c r="I301" s="1287">
        <v>159500</v>
      </c>
    </row>
    <row r="302" spans="1:9" ht="15" customHeight="1">
      <c r="A302" s="1253">
        <v>41326</v>
      </c>
      <c r="B302" s="1209">
        <v>13515</v>
      </c>
      <c r="C302" s="1210">
        <v>23150</v>
      </c>
      <c r="D302" s="1211">
        <v>23125</v>
      </c>
      <c r="E302" s="1212">
        <f t="shared" si="45"/>
        <v>-25</v>
      </c>
      <c r="F302" s="1208">
        <f t="shared" si="47"/>
        <v>-750</v>
      </c>
      <c r="G302" s="1215"/>
      <c r="H302" s="1269"/>
      <c r="I302" s="1287">
        <v>158500</v>
      </c>
    </row>
    <row r="303" spans="1:9" ht="15" customHeight="1">
      <c r="A303" s="1253">
        <v>41327</v>
      </c>
      <c r="B303" s="1209">
        <v>13580</v>
      </c>
      <c r="C303" s="1210">
        <v>23295</v>
      </c>
      <c r="D303" s="1211">
        <v>23300</v>
      </c>
      <c r="E303" s="1212">
        <f t="shared" si="45"/>
        <v>5</v>
      </c>
      <c r="F303" s="1208">
        <f t="shared" si="47"/>
        <v>145</v>
      </c>
      <c r="G303" s="1215"/>
      <c r="H303" s="1269"/>
      <c r="I303" s="1287">
        <v>157500</v>
      </c>
    </row>
    <row r="304" spans="1:9" ht="15" customHeight="1">
      <c r="A304" s="1253">
        <v>41330</v>
      </c>
      <c r="B304" s="1209">
        <v>13650</v>
      </c>
      <c r="C304" s="1210">
        <v>23305</v>
      </c>
      <c r="D304" s="1211">
        <v>23375</v>
      </c>
      <c r="E304" s="1212">
        <f t="shared" si="45"/>
        <v>70</v>
      </c>
      <c r="F304" s="1208">
        <f t="shared" si="47"/>
        <v>10</v>
      </c>
      <c r="G304" s="1215"/>
      <c r="H304" s="1269"/>
      <c r="I304" s="1287">
        <v>157250</v>
      </c>
    </row>
    <row r="305" spans="1:9" ht="15" customHeight="1">
      <c r="A305" s="1253">
        <v>41331</v>
      </c>
      <c r="B305" s="1209">
        <v>13705</v>
      </c>
      <c r="C305" s="1210">
        <v>23175</v>
      </c>
      <c r="D305" s="1211">
        <v>23175</v>
      </c>
      <c r="E305" s="1212">
        <f t="shared" si="45"/>
        <v>0</v>
      </c>
      <c r="F305" s="1208">
        <f t="shared" si="47"/>
        <v>-130</v>
      </c>
      <c r="G305" s="1215"/>
      <c r="H305" s="1269"/>
      <c r="I305" s="1287">
        <v>157000</v>
      </c>
    </row>
    <row r="306" spans="1:9" ht="15" customHeight="1">
      <c r="A306" s="1253">
        <v>41332</v>
      </c>
      <c r="B306" s="1209">
        <v>13705</v>
      </c>
      <c r="C306" s="1210">
        <v>23625</v>
      </c>
      <c r="D306" s="1211">
        <v>23625</v>
      </c>
      <c r="E306" s="1212">
        <f t="shared" si="45"/>
        <v>0</v>
      </c>
      <c r="F306" s="1208">
        <f t="shared" si="47"/>
        <v>450</v>
      </c>
      <c r="G306" s="1215"/>
      <c r="H306" s="1269"/>
      <c r="I306" s="1287">
        <v>157000</v>
      </c>
    </row>
    <row r="307" spans="1:9" ht="15" customHeight="1">
      <c r="A307" s="1253">
        <v>41333</v>
      </c>
      <c r="B307" s="1209">
        <v>13600</v>
      </c>
      <c r="C307" s="1210">
        <v>23535</v>
      </c>
      <c r="D307" s="1211">
        <v>23550</v>
      </c>
      <c r="E307" s="1212">
        <f t="shared" si="45"/>
        <v>15</v>
      </c>
      <c r="F307" s="1208">
        <f t="shared" si="47"/>
        <v>-90</v>
      </c>
      <c r="G307" s="1219">
        <f>AVERAGE(C288:C307)</f>
        <v>24326.25</v>
      </c>
      <c r="H307" s="1271">
        <f>AVERAGE(C266:C307)</f>
        <v>24500.714285714286</v>
      </c>
      <c r="I307" s="1287">
        <v>157000</v>
      </c>
    </row>
    <row r="308" spans="1:9" ht="15" customHeight="1">
      <c r="A308" s="1253">
        <v>41334</v>
      </c>
      <c r="B308" s="1209">
        <v>13575</v>
      </c>
      <c r="C308" s="1210">
        <v>23045</v>
      </c>
      <c r="D308" s="1211">
        <v>23100</v>
      </c>
      <c r="E308" s="1212">
        <f t="shared" si="45"/>
        <v>55</v>
      </c>
      <c r="F308" s="1208">
        <f t="shared" si="47"/>
        <v>-490</v>
      </c>
      <c r="G308" s="1215"/>
      <c r="H308" s="1269"/>
      <c r="I308" s="1287">
        <v>157000</v>
      </c>
    </row>
    <row r="309" spans="1:9" ht="15" customHeight="1">
      <c r="A309" s="1253">
        <v>41337</v>
      </c>
      <c r="B309" s="1209">
        <v>13575</v>
      </c>
      <c r="C309" s="1210">
        <v>23350</v>
      </c>
      <c r="D309" s="1211">
        <v>23275</v>
      </c>
      <c r="E309" s="1212">
        <f t="shared" si="45"/>
        <v>-75</v>
      </c>
      <c r="F309" s="1208">
        <f t="shared" si="47"/>
        <v>305</v>
      </c>
      <c r="G309" s="1215"/>
      <c r="H309" s="1269"/>
      <c r="I309" s="1287">
        <v>156500</v>
      </c>
    </row>
    <row r="310" spans="1:9" ht="15" customHeight="1">
      <c r="A310" s="1253">
        <v>41338</v>
      </c>
      <c r="B310" s="1209">
        <v>13485</v>
      </c>
      <c r="C310" s="1210">
        <v>23525</v>
      </c>
      <c r="D310" s="1211">
        <v>23530</v>
      </c>
      <c r="E310" s="1212">
        <f t="shared" si="45"/>
        <v>5</v>
      </c>
      <c r="F310" s="1208">
        <f t="shared" si="47"/>
        <v>175</v>
      </c>
      <c r="G310" s="1215"/>
      <c r="H310" s="1269"/>
      <c r="I310" s="1287">
        <v>156500</v>
      </c>
    </row>
    <row r="311" spans="1:9" ht="15" customHeight="1">
      <c r="A311" s="1253">
        <v>41339</v>
      </c>
      <c r="B311" s="1209">
        <v>13480</v>
      </c>
      <c r="C311" s="1210">
        <v>23470</v>
      </c>
      <c r="D311" s="1211">
        <v>23455</v>
      </c>
      <c r="E311" s="1212">
        <f t="shared" si="45"/>
        <v>-15</v>
      </c>
      <c r="F311" s="1208">
        <f t="shared" si="47"/>
        <v>-55</v>
      </c>
      <c r="G311" s="1215"/>
      <c r="H311" s="1269"/>
      <c r="I311" s="1287">
        <v>157000</v>
      </c>
    </row>
    <row r="312" spans="1:9" ht="15" customHeight="1">
      <c r="A312" s="1253">
        <v>41340</v>
      </c>
      <c r="B312" s="1209">
        <v>13520</v>
      </c>
      <c r="C312" s="1210">
        <v>23520</v>
      </c>
      <c r="D312" s="1211">
        <v>23525</v>
      </c>
      <c r="E312" s="1212">
        <f t="shared" si="45"/>
        <v>5</v>
      </c>
      <c r="F312" s="1208">
        <f t="shared" si="47"/>
        <v>50</v>
      </c>
      <c r="G312" s="1215"/>
      <c r="H312" s="1269"/>
      <c r="I312" s="1287">
        <v>157000</v>
      </c>
    </row>
    <row r="313" spans="1:9" ht="15" customHeight="1">
      <c r="A313" s="1253">
        <v>41341</v>
      </c>
      <c r="B313" s="1209">
        <v>13515</v>
      </c>
      <c r="C313" s="1210">
        <v>23750</v>
      </c>
      <c r="D313" s="1211">
        <v>23750</v>
      </c>
      <c r="E313" s="1212">
        <f t="shared" si="45"/>
        <v>0</v>
      </c>
      <c r="F313" s="1208">
        <f t="shared" si="47"/>
        <v>230</v>
      </c>
      <c r="G313" s="1215"/>
      <c r="H313" s="1269"/>
      <c r="I313" s="1287">
        <v>157000</v>
      </c>
    </row>
    <row r="314" spans="1:9" ht="15" customHeight="1">
      <c r="A314" s="1253">
        <v>41344</v>
      </c>
      <c r="B314" s="1209">
        <v>13595</v>
      </c>
      <c r="C314" s="1210">
        <v>23605</v>
      </c>
      <c r="D314" s="1211">
        <v>23650</v>
      </c>
      <c r="E314" s="1212">
        <f t="shared" si="45"/>
        <v>45</v>
      </c>
      <c r="F314" s="1208">
        <f t="shared" si="47"/>
        <v>-145</v>
      </c>
      <c r="G314" s="1215"/>
      <c r="H314" s="1269"/>
      <c r="I314" s="1287">
        <v>156000</v>
      </c>
    </row>
    <row r="315" spans="1:9" ht="15" customHeight="1">
      <c r="A315" s="1253">
        <v>41345</v>
      </c>
      <c r="B315" s="1209">
        <v>13600</v>
      </c>
      <c r="C315" s="1210">
        <v>23825</v>
      </c>
      <c r="D315" s="1211">
        <v>23825</v>
      </c>
      <c r="E315" s="1212">
        <f t="shared" si="45"/>
        <v>0</v>
      </c>
      <c r="F315" s="1208">
        <f t="shared" si="47"/>
        <v>220</v>
      </c>
      <c r="G315" s="1215"/>
      <c r="H315" s="1269"/>
      <c r="I315" s="1287">
        <v>156000</v>
      </c>
    </row>
    <row r="316" spans="1:9" ht="15" customHeight="1">
      <c r="A316" s="1253">
        <v>41346</v>
      </c>
      <c r="B316" s="1209">
        <v>13640</v>
      </c>
      <c r="C316" s="1210">
        <v>23895</v>
      </c>
      <c r="D316" s="1211">
        <v>23920</v>
      </c>
      <c r="E316" s="1212">
        <f t="shared" si="45"/>
        <v>25</v>
      </c>
      <c r="F316" s="1208">
        <f t="shared" si="47"/>
        <v>70</v>
      </c>
      <c r="G316" s="1215"/>
      <c r="H316" s="1269"/>
      <c r="I316" s="1287">
        <v>155250</v>
      </c>
    </row>
    <row r="317" spans="1:9" ht="15" customHeight="1">
      <c r="A317" s="1253">
        <v>41347</v>
      </c>
      <c r="B317" s="1209">
        <v>13760</v>
      </c>
      <c r="C317" s="1210">
        <v>24000</v>
      </c>
      <c r="D317" s="1211">
        <v>24000</v>
      </c>
      <c r="E317" s="1212">
        <f t="shared" si="45"/>
        <v>0</v>
      </c>
      <c r="F317" s="1208">
        <f t="shared" si="47"/>
        <v>105</v>
      </c>
      <c r="G317" s="1215"/>
      <c r="H317" s="1269"/>
      <c r="I317" s="1287">
        <v>154500</v>
      </c>
    </row>
    <row r="318" spans="1:9" ht="15" customHeight="1">
      <c r="A318" s="1253">
        <v>41348</v>
      </c>
      <c r="B318" s="1209">
        <v>13775</v>
      </c>
      <c r="C318" s="1210">
        <v>24005</v>
      </c>
      <c r="D318" s="1211">
        <v>24050</v>
      </c>
      <c r="E318" s="1212">
        <f t="shared" si="45"/>
        <v>45</v>
      </c>
      <c r="F318" s="1208">
        <f t="shared" si="47"/>
        <v>5</v>
      </c>
      <c r="G318" s="1215"/>
      <c r="H318" s="1269"/>
      <c r="I318" s="1287">
        <v>154500</v>
      </c>
    </row>
    <row r="319" spans="1:9" ht="15" customHeight="1">
      <c r="A319" s="1253">
        <v>41351</v>
      </c>
      <c r="B319" s="1209">
        <v>13770</v>
      </c>
      <c r="C319" s="1210">
        <v>23205</v>
      </c>
      <c r="D319" s="1211">
        <v>23250</v>
      </c>
      <c r="E319" s="1212">
        <f t="shared" si="45"/>
        <v>45</v>
      </c>
      <c r="F319" s="1208">
        <f t="shared" si="47"/>
        <v>-800</v>
      </c>
      <c r="G319" s="1215"/>
      <c r="H319" s="1269"/>
      <c r="I319" s="1288">
        <v>154250</v>
      </c>
    </row>
    <row r="320" spans="1:9" ht="15" customHeight="1">
      <c r="A320" s="1253">
        <v>41352</v>
      </c>
      <c r="B320" s="1209">
        <v>14080</v>
      </c>
      <c r="C320" s="1210">
        <v>23300</v>
      </c>
      <c r="D320" s="1211">
        <v>23300</v>
      </c>
      <c r="E320" s="1212">
        <f t="shared" si="45"/>
        <v>0</v>
      </c>
      <c r="F320" s="1208">
        <f t="shared" si="47"/>
        <v>95</v>
      </c>
      <c r="G320" s="1215"/>
      <c r="H320" s="1269"/>
      <c r="I320" s="1288">
        <v>153500</v>
      </c>
    </row>
    <row r="321" spans="1:13" ht="15" customHeight="1">
      <c r="A321" s="1253">
        <v>41353</v>
      </c>
      <c r="B321" s="1209">
        <v>14145</v>
      </c>
      <c r="C321" s="1210">
        <v>23120</v>
      </c>
      <c r="D321" s="1211">
        <v>23150</v>
      </c>
      <c r="E321" s="1212">
        <f t="shared" si="45"/>
        <v>30</v>
      </c>
      <c r="F321" s="1208">
        <f t="shared" si="47"/>
        <v>-180</v>
      </c>
      <c r="G321" s="1215"/>
      <c r="H321" s="1269"/>
      <c r="I321" s="1288">
        <v>151750</v>
      </c>
    </row>
    <row r="322" spans="1:13" ht="15" customHeight="1">
      <c r="A322" s="1253">
        <v>41354</v>
      </c>
      <c r="B322" s="1209">
        <v>14050</v>
      </c>
      <c r="C322" s="1210">
        <v>22695</v>
      </c>
      <c r="D322" s="1211">
        <v>22750</v>
      </c>
      <c r="E322" s="1212">
        <f t="shared" si="45"/>
        <v>55</v>
      </c>
      <c r="F322" s="1208">
        <f t="shared" si="47"/>
        <v>-425</v>
      </c>
      <c r="G322" s="1215"/>
      <c r="H322" s="1269"/>
      <c r="I322" s="1288">
        <v>151750</v>
      </c>
    </row>
    <row r="323" spans="1:13" ht="15" customHeight="1">
      <c r="A323" s="1253">
        <v>41355</v>
      </c>
      <c r="B323" s="1209">
        <v>14105</v>
      </c>
      <c r="C323" s="1210">
        <v>22750</v>
      </c>
      <c r="D323" s="1211">
        <v>22710</v>
      </c>
      <c r="E323" s="1212">
        <f t="shared" si="45"/>
        <v>-40</v>
      </c>
      <c r="F323" s="1208">
        <f t="shared" si="47"/>
        <v>55</v>
      </c>
      <c r="G323" s="1215"/>
      <c r="H323" s="1269"/>
      <c r="I323" s="1288">
        <v>151750</v>
      </c>
    </row>
    <row r="324" spans="1:13" ht="15" customHeight="1">
      <c r="A324" s="1253">
        <v>41358</v>
      </c>
      <c r="B324" s="1209">
        <v>14110</v>
      </c>
      <c r="C324" s="1210">
        <v>22995</v>
      </c>
      <c r="D324" s="1211">
        <v>23100</v>
      </c>
      <c r="E324" s="1212">
        <f t="shared" si="45"/>
        <v>105</v>
      </c>
      <c r="F324" s="1208">
        <f t="shared" si="47"/>
        <v>245</v>
      </c>
      <c r="G324" s="1215"/>
      <c r="H324" s="1269"/>
      <c r="I324" s="1289">
        <v>151750</v>
      </c>
      <c r="M324" s="229"/>
    </row>
    <row r="325" spans="1:13" ht="15" customHeight="1">
      <c r="A325" s="1253">
        <v>41359</v>
      </c>
      <c r="B325" s="1209">
        <v>14105</v>
      </c>
      <c r="C325" s="1210">
        <v>22980</v>
      </c>
      <c r="D325" s="1211">
        <v>23055</v>
      </c>
      <c r="E325" s="1212">
        <f t="shared" si="45"/>
        <v>75</v>
      </c>
      <c r="F325" s="1208">
        <f t="shared" si="47"/>
        <v>-15</v>
      </c>
      <c r="G325" s="1220"/>
      <c r="H325" s="1272"/>
      <c r="I325" s="1289">
        <v>151750</v>
      </c>
    </row>
    <row r="326" spans="1:13" ht="15" customHeight="1">
      <c r="A326" s="1253">
        <v>41360</v>
      </c>
      <c r="B326" s="1209">
        <v>13835</v>
      </c>
      <c r="C326" s="1210">
        <v>22555</v>
      </c>
      <c r="D326" s="1211">
        <v>22600</v>
      </c>
      <c r="E326" s="1212">
        <f t="shared" si="45"/>
        <v>45</v>
      </c>
      <c r="F326" s="1208">
        <f t="shared" si="47"/>
        <v>-425</v>
      </c>
      <c r="G326" s="1220"/>
      <c r="H326" s="1269"/>
      <c r="I326" s="1289">
        <v>151750</v>
      </c>
    </row>
    <row r="327" spans="1:13" ht="15" customHeight="1">
      <c r="A327" s="1253">
        <v>41361</v>
      </c>
      <c r="B327" s="1209">
        <v>14025</v>
      </c>
      <c r="C327" s="1210">
        <v>23150</v>
      </c>
      <c r="D327" s="1211">
        <v>23190</v>
      </c>
      <c r="E327" s="1212">
        <f t="shared" si="45"/>
        <v>40</v>
      </c>
      <c r="F327" s="1208">
        <f t="shared" si="47"/>
        <v>595</v>
      </c>
      <c r="G327" s="1220"/>
      <c r="H327" s="1272"/>
      <c r="I327" s="1289">
        <v>151750</v>
      </c>
    </row>
    <row r="328" spans="1:13" ht="15" customHeight="1">
      <c r="A328" s="1253">
        <v>41362</v>
      </c>
      <c r="B328" s="1434" t="s">
        <v>38</v>
      </c>
      <c r="C328" s="1434"/>
      <c r="D328" s="1434"/>
      <c r="E328" s="1434"/>
      <c r="F328" s="1434"/>
      <c r="G328" s="1219">
        <f>AVERAGE(C308:C327)</f>
        <v>23337</v>
      </c>
      <c r="H328" s="1271">
        <f>AVERAGE(C266:C327)</f>
        <v>24125.322580645163</v>
      </c>
      <c r="I328" s="1289">
        <v>151750</v>
      </c>
    </row>
    <row r="329" spans="1:13" ht="15" customHeight="1">
      <c r="A329" s="1253">
        <v>41365</v>
      </c>
      <c r="B329" s="1434" t="s">
        <v>38</v>
      </c>
      <c r="C329" s="1434"/>
      <c r="D329" s="1434"/>
      <c r="E329" s="1434"/>
      <c r="F329" s="1434"/>
      <c r="G329" s="1220"/>
      <c r="H329" s="1272"/>
      <c r="I329" s="1289">
        <v>151750</v>
      </c>
    </row>
    <row r="330" spans="1:13" ht="15" customHeight="1">
      <c r="A330" s="1253">
        <v>41366</v>
      </c>
      <c r="B330" s="1221">
        <v>14025</v>
      </c>
      <c r="C330" s="1210">
        <v>22995</v>
      </c>
      <c r="D330" s="1211">
        <v>23000</v>
      </c>
      <c r="E330" s="1212">
        <f t="shared" ref="E330:E393" si="48">D330-C330</f>
        <v>5</v>
      </c>
      <c r="F330" s="1222">
        <f>C330-C327</f>
        <v>-155</v>
      </c>
      <c r="G330" s="1220"/>
      <c r="H330" s="1272"/>
      <c r="I330" s="1289">
        <v>151000</v>
      </c>
    </row>
    <row r="331" spans="1:13" ht="15" customHeight="1">
      <c r="A331" s="1253">
        <v>41367</v>
      </c>
      <c r="B331" s="1221">
        <v>14500</v>
      </c>
      <c r="C331" s="1223">
        <v>22775</v>
      </c>
      <c r="D331" s="1224">
        <v>22800</v>
      </c>
      <c r="E331" s="1212">
        <f t="shared" si="48"/>
        <v>25</v>
      </c>
      <c r="F331" s="1225">
        <f t="shared" ref="F331:F353" si="49">C331-C330</f>
        <v>-220</v>
      </c>
      <c r="G331" s="1226"/>
      <c r="H331" s="1273"/>
      <c r="I331" s="1290">
        <v>150500</v>
      </c>
    </row>
    <row r="332" spans="1:13" ht="15" customHeight="1">
      <c r="A332" s="1253">
        <v>41368</v>
      </c>
      <c r="B332" s="1221">
        <v>14485</v>
      </c>
      <c r="C332" s="1223">
        <v>22740</v>
      </c>
      <c r="D332" s="1224">
        <v>22725</v>
      </c>
      <c r="E332" s="1212">
        <f t="shared" si="48"/>
        <v>-15</v>
      </c>
      <c r="F332" s="1225">
        <f t="shared" si="49"/>
        <v>-35</v>
      </c>
      <c r="G332" s="1226"/>
      <c r="H332" s="1273"/>
      <c r="I332" s="1472" t="s">
        <v>114</v>
      </c>
    </row>
    <row r="333" spans="1:13" ht="15" customHeight="1">
      <c r="A333" s="1253">
        <v>41369</v>
      </c>
      <c r="B333" s="1221">
        <v>14400</v>
      </c>
      <c r="C333" s="1223">
        <v>22725</v>
      </c>
      <c r="D333" s="1224">
        <v>22735</v>
      </c>
      <c r="E333" s="1212">
        <f t="shared" si="48"/>
        <v>10</v>
      </c>
      <c r="F333" s="1225">
        <f t="shared" si="49"/>
        <v>-15</v>
      </c>
      <c r="G333" s="1226"/>
      <c r="H333" s="1273"/>
      <c r="I333" s="1472"/>
    </row>
    <row r="334" spans="1:13" ht="15" customHeight="1">
      <c r="A334" s="1253">
        <v>41372</v>
      </c>
      <c r="B334" s="1221">
        <v>14415</v>
      </c>
      <c r="C334" s="1223">
        <v>23000</v>
      </c>
      <c r="D334" s="1224">
        <v>23020</v>
      </c>
      <c r="E334" s="1212">
        <f t="shared" si="48"/>
        <v>20</v>
      </c>
      <c r="F334" s="1225">
        <f t="shared" si="49"/>
        <v>275</v>
      </c>
      <c r="G334" s="1226"/>
      <c r="H334" s="1273"/>
      <c r="I334" s="1290">
        <v>150000</v>
      </c>
    </row>
    <row r="335" spans="1:13" ht="15" customHeight="1">
      <c r="A335" s="1253">
        <v>41373</v>
      </c>
      <c r="B335" s="1221">
        <v>14450</v>
      </c>
      <c r="C335" s="1223">
        <v>22875</v>
      </c>
      <c r="D335" s="1224">
        <v>22855</v>
      </c>
      <c r="E335" s="1212">
        <f t="shared" si="48"/>
        <v>-20</v>
      </c>
      <c r="F335" s="1225">
        <f t="shared" si="49"/>
        <v>-125</v>
      </c>
      <c r="G335" s="1226"/>
      <c r="H335" s="1273"/>
      <c r="I335" s="1290">
        <v>149250</v>
      </c>
    </row>
    <row r="336" spans="1:13" ht="15" customHeight="1">
      <c r="A336" s="1253">
        <v>41374</v>
      </c>
      <c r="B336" s="1221">
        <v>14425</v>
      </c>
      <c r="C336" s="1223">
        <v>23000</v>
      </c>
      <c r="D336" s="1224">
        <v>23000</v>
      </c>
      <c r="E336" s="1212">
        <f t="shared" si="48"/>
        <v>0</v>
      </c>
      <c r="F336" s="1225">
        <f t="shared" si="49"/>
        <v>125</v>
      </c>
      <c r="G336" s="1226"/>
      <c r="H336" s="1273"/>
      <c r="I336" s="1290">
        <v>149750</v>
      </c>
    </row>
    <row r="337" spans="1:9" ht="15" customHeight="1">
      <c r="A337" s="1253">
        <v>41375</v>
      </c>
      <c r="B337" s="1221">
        <v>14465</v>
      </c>
      <c r="C337" s="1223">
        <v>22750</v>
      </c>
      <c r="D337" s="1224">
        <v>22800</v>
      </c>
      <c r="E337" s="1212">
        <f t="shared" si="48"/>
        <v>50</v>
      </c>
      <c r="F337" s="1225">
        <f t="shared" si="49"/>
        <v>-250</v>
      </c>
      <c r="G337" s="1226"/>
      <c r="H337" s="1269"/>
      <c r="I337" s="1290">
        <v>149750</v>
      </c>
    </row>
    <row r="338" spans="1:9" ht="15" customHeight="1">
      <c r="A338" s="1253">
        <v>41376</v>
      </c>
      <c r="B338" s="1221">
        <v>14480</v>
      </c>
      <c r="C338" s="1223">
        <v>22780</v>
      </c>
      <c r="D338" s="1224">
        <v>22805</v>
      </c>
      <c r="E338" s="1212">
        <f t="shared" si="48"/>
        <v>25</v>
      </c>
      <c r="F338" s="1225">
        <f t="shared" si="49"/>
        <v>30</v>
      </c>
      <c r="G338" s="1226"/>
      <c r="H338" s="1273"/>
      <c r="I338" s="1290">
        <v>149250</v>
      </c>
    </row>
    <row r="339" spans="1:9" ht="15" customHeight="1">
      <c r="A339" s="1253">
        <v>41379</v>
      </c>
      <c r="B339" s="1221">
        <v>14405</v>
      </c>
      <c r="C339" s="1223">
        <v>21250</v>
      </c>
      <c r="D339" s="1224">
        <v>21170</v>
      </c>
      <c r="E339" s="1212">
        <f t="shared" si="48"/>
        <v>-80</v>
      </c>
      <c r="F339" s="1225">
        <f t="shared" si="49"/>
        <v>-1530</v>
      </c>
      <c r="G339" s="1226"/>
      <c r="H339" s="1273"/>
      <c r="I339" s="1290">
        <v>148250</v>
      </c>
    </row>
    <row r="340" spans="1:9" ht="15" customHeight="1">
      <c r="A340" s="1253">
        <v>41380</v>
      </c>
      <c r="B340" s="1221">
        <v>14670</v>
      </c>
      <c r="C340" s="1223">
        <v>21275</v>
      </c>
      <c r="D340" s="1224">
        <v>21300</v>
      </c>
      <c r="E340" s="1212">
        <f t="shared" si="48"/>
        <v>25</v>
      </c>
      <c r="F340" s="1225">
        <f t="shared" si="49"/>
        <v>25</v>
      </c>
      <c r="G340" s="1226"/>
      <c r="H340" s="1273"/>
      <c r="I340" s="1290">
        <v>145250</v>
      </c>
    </row>
    <row r="341" spans="1:9" ht="15" customHeight="1">
      <c r="A341" s="1253">
        <v>41381</v>
      </c>
      <c r="B341" s="1221">
        <v>14625</v>
      </c>
      <c r="C341" s="1223">
        <v>20700</v>
      </c>
      <c r="D341" s="1224">
        <v>20750</v>
      </c>
      <c r="E341" s="1212">
        <f t="shared" si="48"/>
        <v>50</v>
      </c>
      <c r="F341" s="1225">
        <f t="shared" si="49"/>
        <v>-575</v>
      </c>
      <c r="G341" s="1226"/>
      <c r="H341" s="1273"/>
      <c r="I341" s="1290">
        <v>144250</v>
      </c>
    </row>
    <row r="342" spans="1:9" ht="15" customHeight="1">
      <c r="A342" s="1253">
        <v>41382</v>
      </c>
      <c r="B342" s="1221">
        <v>14625</v>
      </c>
      <c r="C342" s="1223">
        <v>20305</v>
      </c>
      <c r="D342" s="1224">
        <v>20350</v>
      </c>
      <c r="E342" s="1212">
        <f t="shared" si="48"/>
        <v>45</v>
      </c>
      <c r="F342" s="1225">
        <f t="shared" si="49"/>
        <v>-395</v>
      </c>
      <c r="G342" s="1226"/>
      <c r="H342" s="1273"/>
      <c r="I342" s="1290">
        <v>143000</v>
      </c>
    </row>
    <row r="343" spans="1:9" ht="15" customHeight="1">
      <c r="A343" s="1253">
        <v>41383</v>
      </c>
      <c r="B343" s="1221">
        <v>14545</v>
      </c>
      <c r="C343" s="1223">
        <v>21000</v>
      </c>
      <c r="D343" s="1224">
        <v>21000</v>
      </c>
      <c r="E343" s="1212">
        <f t="shared" si="48"/>
        <v>0</v>
      </c>
      <c r="F343" s="1225">
        <f t="shared" si="49"/>
        <v>695</v>
      </c>
      <c r="G343" s="1226"/>
      <c r="H343" s="1273"/>
      <c r="I343" s="1290">
        <v>142000</v>
      </c>
    </row>
    <row r="344" spans="1:9" ht="15" customHeight="1">
      <c r="A344" s="1253">
        <v>41386</v>
      </c>
      <c r="B344" s="1221">
        <v>14485</v>
      </c>
      <c r="C344" s="1223">
        <v>20720</v>
      </c>
      <c r="D344" s="1224">
        <v>20710</v>
      </c>
      <c r="E344" s="1212">
        <f t="shared" si="48"/>
        <v>-10</v>
      </c>
      <c r="F344" s="1225">
        <f t="shared" si="49"/>
        <v>-280</v>
      </c>
      <c r="G344" s="1226"/>
      <c r="H344" s="1273"/>
      <c r="I344" s="1290">
        <v>142000</v>
      </c>
    </row>
    <row r="345" spans="1:9" ht="15" customHeight="1">
      <c r="A345" s="1253">
        <v>41387</v>
      </c>
      <c r="B345" s="1221">
        <v>14395</v>
      </c>
      <c r="C345" s="1223">
        <v>20650</v>
      </c>
      <c r="D345" s="1224">
        <v>20600</v>
      </c>
      <c r="E345" s="1212">
        <f t="shared" si="48"/>
        <v>-50</v>
      </c>
      <c r="F345" s="1225">
        <f t="shared" si="49"/>
        <v>-70</v>
      </c>
      <c r="G345" s="1226"/>
      <c r="H345" s="1269"/>
      <c r="I345" s="1290">
        <v>142250</v>
      </c>
    </row>
    <row r="346" spans="1:9" ht="15" customHeight="1">
      <c r="A346" s="1253">
        <v>41388</v>
      </c>
      <c r="B346" s="1221">
        <v>14245</v>
      </c>
      <c r="C346" s="1223">
        <v>20855</v>
      </c>
      <c r="D346" s="1224">
        <v>20825</v>
      </c>
      <c r="E346" s="1212">
        <f t="shared" si="48"/>
        <v>-30</v>
      </c>
      <c r="F346" s="1225">
        <f t="shared" si="49"/>
        <v>205</v>
      </c>
      <c r="G346" s="1226"/>
      <c r="H346" s="1269"/>
      <c r="I346" s="1290">
        <v>142250</v>
      </c>
    </row>
    <row r="347" spans="1:9" ht="15" customHeight="1">
      <c r="A347" s="1253">
        <v>41389</v>
      </c>
      <c r="B347" s="1221">
        <v>14120</v>
      </c>
      <c r="C347" s="1223">
        <v>20830</v>
      </c>
      <c r="D347" s="1224">
        <v>20810</v>
      </c>
      <c r="E347" s="1212">
        <f t="shared" si="48"/>
        <v>-20</v>
      </c>
      <c r="F347" s="1225">
        <f t="shared" si="49"/>
        <v>-25</v>
      </c>
      <c r="G347" s="1226"/>
      <c r="H347" s="1273"/>
      <c r="I347" s="1290">
        <v>143750</v>
      </c>
    </row>
    <row r="348" spans="1:9" ht="15" customHeight="1">
      <c r="A348" s="1253">
        <v>41390</v>
      </c>
      <c r="B348" s="1221">
        <v>14085</v>
      </c>
      <c r="C348" s="1223">
        <v>20775</v>
      </c>
      <c r="D348" s="1224">
        <v>20850</v>
      </c>
      <c r="E348" s="1212">
        <f t="shared" si="48"/>
        <v>75</v>
      </c>
      <c r="F348" s="1225">
        <f t="shared" si="49"/>
        <v>-55</v>
      </c>
      <c r="G348" s="1226"/>
      <c r="H348" s="1273"/>
      <c r="I348" s="1290">
        <v>144250</v>
      </c>
    </row>
    <row r="349" spans="1:9" ht="15" customHeight="1">
      <c r="A349" s="1253">
        <v>41393</v>
      </c>
      <c r="B349" s="1221">
        <v>13935</v>
      </c>
      <c r="C349" s="1223">
        <v>20775</v>
      </c>
      <c r="D349" s="1224">
        <v>20800</v>
      </c>
      <c r="E349" s="1212">
        <f t="shared" si="48"/>
        <v>25</v>
      </c>
      <c r="F349" s="1225">
        <f t="shared" si="49"/>
        <v>0</v>
      </c>
      <c r="G349" s="1226"/>
      <c r="H349" s="1273"/>
      <c r="I349" s="1470" t="s">
        <v>112</v>
      </c>
    </row>
    <row r="350" spans="1:9" ht="15" customHeight="1">
      <c r="A350" s="1253">
        <v>41394</v>
      </c>
      <c r="B350" s="1221">
        <v>14055</v>
      </c>
      <c r="C350" s="1223">
        <v>20800</v>
      </c>
      <c r="D350" s="1224">
        <v>20825</v>
      </c>
      <c r="E350" s="1212">
        <f t="shared" si="48"/>
        <v>25</v>
      </c>
      <c r="F350" s="1225">
        <f t="shared" si="49"/>
        <v>25</v>
      </c>
      <c r="G350" s="1227">
        <f>AVERAGE(C329:C350)</f>
        <v>21694.047619047618</v>
      </c>
      <c r="H350" s="1274">
        <f>AVERAGE(C266:C350)</f>
        <v>23510.180722891568</v>
      </c>
      <c r="I350" s="1470"/>
    </row>
    <row r="351" spans="1:9" ht="15" customHeight="1">
      <c r="A351" s="1253">
        <v>41395</v>
      </c>
      <c r="B351" s="1221">
        <v>14030</v>
      </c>
      <c r="C351" s="1223">
        <v>19775</v>
      </c>
      <c r="D351" s="1224">
        <v>19775</v>
      </c>
      <c r="E351" s="1212">
        <f t="shared" si="48"/>
        <v>0</v>
      </c>
      <c r="F351" s="1225">
        <f t="shared" si="49"/>
        <v>-1025</v>
      </c>
      <c r="G351" s="1226"/>
      <c r="H351" s="1273"/>
      <c r="I351" s="1290" t="s">
        <v>112</v>
      </c>
    </row>
    <row r="352" spans="1:9" ht="15" customHeight="1">
      <c r="A352" s="1253">
        <v>41396</v>
      </c>
      <c r="B352" s="1221">
        <v>14030</v>
      </c>
      <c r="C352" s="1223">
        <v>19950</v>
      </c>
      <c r="D352" s="1224">
        <v>20000</v>
      </c>
      <c r="E352" s="1212">
        <f t="shared" si="48"/>
        <v>50</v>
      </c>
      <c r="F352" s="1225">
        <f t="shared" si="49"/>
        <v>175</v>
      </c>
      <c r="G352" s="1228"/>
      <c r="H352" s="1275"/>
      <c r="I352" s="1290">
        <v>144000</v>
      </c>
    </row>
    <row r="353" spans="1:9" ht="15" customHeight="1">
      <c r="A353" s="1253">
        <v>41397</v>
      </c>
      <c r="B353" s="1221">
        <v>13830</v>
      </c>
      <c r="C353" s="1223">
        <v>19975</v>
      </c>
      <c r="D353" s="1224">
        <v>19975</v>
      </c>
      <c r="E353" s="1212">
        <f t="shared" si="48"/>
        <v>0</v>
      </c>
      <c r="F353" s="1225">
        <f t="shared" si="49"/>
        <v>25</v>
      </c>
      <c r="G353" s="1229"/>
      <c r="H353" s="1276"/>
      <c r="I353" s="1290">
        <v>143000</v>
      </c>
    </row>
    <row r="354" spans="1:9" ht="15" customHeight="1">
      <c r="A354" s="1253">
        <v>41400</v>
      </c>
      <c r="B354" s="1434" t="s">
        <v>38</v>
      </c>
      <c r="C354" s="1434"/>
      <c r="D354" s="1434"/>
      <c r="E354" s="1434"/>
      <c r="F354" s="1434"/>
      <c r="G354" s="1229"/>
      <c r="H354" s="1276"/>
      <c r="I354" s="1289">
        <v>144000</v>
      </c>
    </row>
    <row r="355" spans="1:9" ht="15" customHeight="1">
      <c r="A355" s="1253">
        <v>41401</v>
      </c>
      <c r="B355" s="1209">
        <v>13915</v>
      </c>
      <c r="C355" s="1210">
        <v>20345</v>
      </c>
      <c r="D355" s="1211">
        <v>20400</v>
      </c>
      <c r="E355" s="1212">
        <f t="shared" si="48"/>
        <v>55</v>
      </c>
      <c r="F355" s="1222">
        <f>C355-C353</f>
        <v>370</v>
      </c>
      <c r="G355" s="1215"/>
      <c r="H355" s="1269"/>
      <c r="I355" s="1289">
        <v>145000</v>
      </c>
    </row>
    <row r="356" spans="1:9" ht="15" customHeight="1">
      <c r="A356" s="1253">
        <v>41402</v>
      </c>
      <c r="B356" s="1209">
        <v>13915</v>
      </c>
      <c r="C356" s="1210">
        <v>20385</v>
      </c>
      <c r="D356" s="1211">
        <v>20450</v>
      </c>
      <c r="E356" s="1212">
        <f t="shared" si="48"/>
        <v>65</v>
      </c>
      <c r="F356" s="1222">
        <f t="shared" ref="F356:F368" si="50">C356-C355</f>
        <v>40</v>
      </c>
      <c r="G356" s="1220"/>
      <c r="H356" s="1272"/>
      <c r="I356" s="1289">
        <v>144500</v>
      </c>
    </row>
    <row r="357" spans="1:9" ht="15" customHeight="1">
      <c r="A357" s="1253">
        <v>41403</v>
      </c>
      <c r="B357" s="1209">
        <v>14010</v>
      </c>
      <c r="C357" s="1210">
        <v>20650</v>
      </c>
      <c r="D357" s="1211">
        <v>20625</v>
      </c>
      <c r="E357" s="1212">
        <f t="shared" si="48"/>
        <v>-25</v>
      </c>
      <c r="F357" s="1222">
        <f t="shared" si="50"/>
        <v>265</v>
      </c>
      <c r="G357" s="1215"/>
      <c r="H357" s="1269"/>
      <c r="I357" s="1289">
        <v>146000</v>
      </c>
    </row>
    <row r="358" spans="1:9" ht="15" customHeight="1">
      <c r="A358" s="1253">
        <v>41404</v>
      </c>
      <c r="B358" s="1209">
        <v>14085</v>
      </c>
      <c r="C358" s="1210">
        <v>20775</v>
      </c>
      <c r="D358" s="1211">
        <v>20825</v>
      </c>
      <c r="E358" s="1212">
        <f t="shared" si="48"/>
        <v>50</v>
      </c>
      <c r="F358" s="1222">
        <f t="shared" si="50"/>
        <v>125</v>
      </c>
      <c r="G358" s="1215"/>
      <c r="H358" s="1269"/>
      <c r="I358" s="1289">
        <v>145500</v>
      </c>
    </row>
    <row r="359" spans="1:9" ht="15" customHeight="1">
      <c r="A359" s="1253">
        <v>41407</v>
      </c>
      <c r="B359" s="1209">
        <v>14145</v>
      </c>
      <c r="C359" s="1210">
        <v>20830</v>
      </c>
      <c r="D359" s="1211">
        <v>21025</v>
      </c>
      <c r="E359" s="1212">
        <f t="shared" si="48"/>
        <v>195</v>
      </c>
      <c r="F359" s="1222">
        <f t="shared" si="50"/>
        <v>55</v>
      </c>
      <c r="G359" s="1215"/>
      <c r="H359" s="1269"/>
      <c r="I359" s="1289">
        <v>146000</v>
      </c>
    </row>
    <row r="360" spans="1:9" ht="15" customHeight="1">
      <c r="A360" s="1253">
        <v>41408</v>
      </c>
      <c r="B360" s="1209">
        <v>14170</v>
      </c>
      <c r="C360" s="1210">
        <v>20650</v>
      </c>
      <c r="D360" s="1211">
        <v>20680</v>
      </c>
      <c r="E360" s="1212">
        <f t="shared" si="48"/>
        <v>30</v>
      </c>
      <c r="F360" s="1222">
        <f t="shared" si="50"/>
        <v>-180</v>
      </c>
      <c r="G360" s="1215"/>
      <c r="H360" s="1269"/>
      <c r="I360" s="1289">
        <v>146500</v>
      </c>
    </row>
    <row r="361" spans="1:9" ht="15" customHeight="1">
      <c r="A361" s="1253">
        <v>41409</v>
      </c>
      <c r="B361" s="1209">
        <v>14195</v>
      </c>
      <c r="C361" s="1210">
        <v>20600</v>
      </c>
      <c r="D361" s="1211">
        <v>20650</v>
      </c>
      <c r="E361" s="1212">
        <f t="shared" si="48"/>
        <v>50</v>
      </c>
      <c r="F361" s="1222">
        <f t="shared" si="50"/>
        <v>-50</v>
      </c>
      <c r="G361" s="1215"/>
      <c r="H361" s="1269"/>
      <c r="I361" s="1289">
        <v>146500</v>
      </c>
    </row>
    <row r="362" spans="1:9" ht="15" customHeight="1">
      <c r="A362" s="1253">
        <v>41410</v>
      </c>
      <c r="B362" s="1209">
        <v>14195</v>
      </c>
      <c r="C362" s="1210">
        <v>20625</v>
      </c>
      <c r="D362" s="1211">
        <v>20700</v>
      </c>
      <c r="E362" s="1212">
        <f t="shared" si="48"/>
        <v>75</v>
      </c>
      <c r="F362" s="1222">
        <f t="shared" si="50"/>
        <v>25</v>
      </c>
      <c r="G362" s="1220"/>
      <c r="H362" s="1272"/>
      <c r="I362" s="1289">
        <v>146500</v>
      </c>
    </row>
    <row r="363" spans="1:9" ht="15" customHeight="1">
      <c r="A363" s="1253">
        <v>41411</v>
      </c>
      <c r="B363" s="1209">
        <v>14075</v>
      </c>
      <c r="C363" s="1210">
        <v>20900</v>
      </c>
      <c r="D363" s="1211">
        <v>20855</v>
      </c>
      <c r="E363" s="1212">
        <f t="shared" si="48"/>
        <v>-45</v>
      </c>
      <c r="F363" s="1222">
        <f t="shared" si="50"/>
        <v>275</v>
      </c>
      <c r="G363" s="1215"/>
      <c r="H363" s="1269"/>
      <c r="I363" s="1289">
        <v>146500</v>
      </c>
    </row>
    <row r="364" spans="1:9" ht="15" customHeight="1">
      <c r="A364" s="1253">
        <v>41414</v>
      </c>
      <c r="B364" s="1209">
        <v>14050</v>
      </c>
      <c r="C364" s="1210">
        <v>21000</v>
      </c>
      <c r="D364" s="1211">
        <v>21025</v>
      </c>
      <c r="E364" s="1212">
        <f t="shared" si="48"/>
        <v>25</v>
      </c>
      <c r="F364" s="1222">
        <f t="shared" si="50"/>
        <v>100</v>
      </c>
      <c r="G364" s="1215"/>
      <c r="H364" s="1269"/>
      <c r="I364" s="1289">
        <v>146500</v>
      </c>
    </row>
    <row r="365" spans="1:9" ht="15" customHeight="1">
      <c r="A365" s="1253">
        <v>41415</v>
      </c>
      <c r="B365" s="1209">
        <v>13950</v>
      </c>
      <c r="C365" s="1210">
        <v>21275</v>
      </c>
      <c r="D365" s="1230">
        <v>21275</v>
      </c>
      <c r="E365" s="1212">
        <f t="shared" si="48"/>
        <v>0</v>
      </c>
      <c r="F365" s="1222">
        <f t="shared" si="50"/>
        <v>275</v>
      </c>
      <c r="G365" s="1215"/>
      <c r="H365" s="1269"/>
      <c r="I365" s="1291">
        <v>146000</v>
      </c>
    </row>
    <row r="366" spans="1:9" ht="15" customHeight="1">
      <c r="A366" s="1253">
        <v>41416</v>
      </c>
      <c r="B366" s="1209">
        <v>13945</v>
      </c>
      <c r="C366" s="1210">
        <v>21500</v>
      </c>
      <c r="D366" s="1230">
        <v>21450</v>
      </c>
      <c r="E366" s="1212">
        <f t="shared" si="48"/>
        <v>-50</v>
      </c>
      <c r="F366" s="1222">
        <f t="shared" si="50"/>
        <v>225</v>
      </c>
      <c r="G366" s="1215"/>
      <c r="H366" s="1269"/>
      <c r="I366" s="1291">
        <v>146000</v>
      </c>
    </row>
    <row r="367" spans="1:9" ht="15" customHeight="1">
      <c r="A367" s="1253">
        <v>41417</v>
      </c>
      <c r="B367" s="1209">
        <v>13895</v>
      </c>
      <c r="C367" s="1210">
        <v>21000</v>
      </c>
      <c r="D367" s="1230">
        <v>21050</v>
      </c>
      <c r="E367" s="1212">
        <f t="shared" si="48"/>
        <v>50</v>
      </c>
      <c r="F367" s="1222">
        <f t="shared" si="50"/>
        <v>-500</v>
      </c>
      <c r="G367" s="1215"/>
      <c r="H367" s="1269"/>
      <c r="I367" s="1291">
        <v>146000</v>
      </c>
    </row>
    <row r="368" spans="1:9" ht="15" customHeight="1">
      <c r="A368" s="1253">
        <v>41418</v>
      </c>
      <c r="B368" s="1209">
        <v>13895</v>
      </c>
      <c r="C368" s="1210">
        <v>21125</v>
      </c>
      <c r="D368" s="1230">
        <v>21150</v>
      </c>
      <c r="E368" s="1212">
        <f t="shared" si="48"/>
        <v>25</v>
      </c>
      <c r="F368" s="1222">
        <f t="shared" si="50"/>
        <v>125</v>
      </c>
      <c r="G368" s="1215"/>
      <c r="H368" s="1269"/>
      <c r="I368" s="1291">
        <v>145500</v>
      </c>
    </row>
    <row r="369" spans="1:9" ht="15" customHeight="1">
      <c r="A369" s="1253">
        <v>41421</v>
      </c>
      <c r="B369" s="1434" t="s">
        <v>38</v>
      </c>
      <c r="C369" s="1434"/>
      <c r="D369" s="1434"/>
      <c r="E369" s="1434"/>
      <c r="F369" s="1434"/>
      <c r="G369" s="1215"/>
      <c r="H369" s="1269"/>
      <c r="I369" s="1291">
        <v>145500</v>
      </c>
    </row>
    <row r="370" spans="1:9" ht="15" customHeight="1">
      <c r="A370" s="1253">
        <v>41422</v>
      </c>
      <c r="B370" s="1209">
        <v>13895</v>
      </c>
      <c r="C370" s="1210">
        <v>21150</v>
      </c>
      <c r="D370" s="1230">
        <v>21155</v>
      </c>
      <c r="E370" s="1212">
        <f t="shared" si="48"/>
        <v>5</v>
      </c>
      <c r="F370" s="1222">
        <f>C370-C368</f>
        <v>25</v>
      </c>
      <c r="G370" s="1215"/>
      <c r="H370" s="1269"/>
      <c r="I370" s="1291">
        <v>145500</v>
      </c>
    </row>
    <row r="371" spans="1:9" ht="15" customHeight="1">
      <c r="A371" s="1253">
        <v>41423</v>
      </c>
      <c r="B371" s="1209">
        <v>13875</v>
      </c>
      <c r="C371" s="1210">
        <v>21005</v>
      </c>
      <c r="D371" s="1230">
        <v>21030</v>
      </c>
      <c r="E371" s="1212">
        <f t="shared" si="48"/>
        <v>25</v>
      </c>
      <c r="F371" s="1222">
        <f t="shared" ref="F371:F402" si="51">C371-C370</f>
        <v>-145</v>
      </c>
      <c r="G371" s="1215"/>
      <c r="H371" s="1269"/>
      <c r="I371" s="1291">
        <v>145000</v>
      </c>
    </row>
    <row r="372" spans="1:9" ht="15" customHeight="1">
      <c r="A372" s="1253">
        <v>41424</v>
      </c>
      <c r="B372" s="1209">
        <v>13875</v>
      </c>
      <c r="C372" s="1210">
        <v>20885</v>
      </c>
      <c r="D372" s="1230">
        <v>20975</v>
      </c>
      <c r="E372" s="1212">
        <f t="shared" si="48"/>
        <v>90</v>
      </c>
      <c r="F372" s="1222">
        <f t="shared" si="51"/>
        <v>-120</v>
      </c>
      <c r="G372" s="1215"/>
      <c r="H372" s="1269"/>
      <c r="I372" s="1291">
        <v>144500</v>
      </c>
    </row>
    <row r="373" spans="1:9" ht="15" customHeight="1">
      <c r="A373" s="1253">
        <v>41425</v>
      </c>
      <c r="B373" s="1209">
        <v>13935</v>
      </c>
      <c r="C373" s="1210">
        <v>20825</v>
      </c>
      <c r="D373" s="1230">
        <v>20900</v>
      </c>
      <c r="E373" s="1212">
        <f t="shared" si="48"/>
        <v>75</v>
      </c>
      <c r="F373" s="1222">
        <f t="shared" si="51"/>
        <v>-60</v>
      </c>
      <c r="G373" s="1227">
        <f>AVERAGE(C351:C373)</f>
        <v>20725</v>
      </c>
      <c r="H373" s="1274">
        <f>AVERAGE(C266:C373)</f>
        <v>22947.788461538461</v>
      </c>
      <c r="I373" s="1291">
        <v>144000</v>
      </c>
    </row>
    <row r="374" spans="1:9" ht="15" customHeight="1">
      <c r="A374" s="1253">
        <v>41428</v>
      </c>
      <c r="B374" s="1209">
        <v>13910</v>
      </c>
      <c r="C374" s="1210">
        <v>21000</v>
      </c>
      <c r="D374" s="1230">
        <v>21050</v>
      </c>
      <c r="E374" s="1212">
        <f t="shared" si="48"/>
        <v>50</v>
      </c>
      <c r="F374" s="1222">
        <f t="shared" si="51"/>
        <v>175</v>
      </c>
      <c r="G374" s="1215"/>
      <c r="H374" s="1269"/>
      <c r="I374" s="1291">
        <v>144000</v>
      </c>
    </row>
    <row r="375" spans="1:9" ht="15" customHeight="1">
      <c r="A375" s="1253">
        <v>41429</v>
      </c>
      <c r="B375" s="1209">
        <v>14085</v>
      </c>
      <c r="C375" s="1210">
        <v>21025</v>
      </c>
      <c r="D375" s="1230">
        <v>21050</v>
      </c>
      <c r="E375" s="1212">
        <f t="shared" si="48"/>
        <v>25</v>
      </c>
      <c r="F375" s="1222">
        <f t="shared" si="51"/>
        <v>25</v>
      </c>
      <c r="G375" s="1215"/>
      <c r="H375" s="1269"/>
      <c r="I375" s="1291">
        <v>144000</v>
      </c>
    </row>
    <row r="376" spans="1:9" ht="15" customHeight="1">
      <c r="A376" s="1253">
        <v>41430</v>
      </c>
      <c r="B376" s="1209">
        <v>14085</v>
      </c>
      <c r="C376" s="1210">
        <v>21100</v>
      </c>
      <c r="D376" s="1230">
        <v>21100</v>
      </c>
      <c r="E376" s="1212">
        <f t="shared" si="48"/>
        <v>0</v>
      </c>
      <c r="F376" s="1222">
        <f t="shared" si="51"/>
        <v>75</v>
      </c>
      <c r="G376" s="1215"/>
      <c r="H376" s="1269"/>
      <c r="I376" s="1291">
        <v>143500</v>
      </c>
    </row>
    <row r="377" spans="1:9" ht="15" customHeight="1">
      <c r="A377" s="1253">
        <v>41431</v>
      </c>
      <c r="B377" s="1209">
        <v>14235</v>
      </c>
      <c r="C377" s="1210">
        <v>20900</v>
      </c>
      <c r="D377" s="1230">
        <v>20925</v>
      </c>
      <c r="E377" s="1212">
        <f t="shared" si="48"/>
        <v>25</v>
      </c>
      <c r="F377" s="1222">
        <f t="shared" si="51"/>
        <v>-200</v>
      </c>
      <c r="G377" s="1229"/>
      <c r="H377" s="1276"/>
      <c r="I377" s="1291">
        <v>143000</v>
      </c>
    </row>
    <row r="378" spans="1:9" ht="15" customHeight="1">
      <c r="A378" s="1253">
        <v>41432</v>
      </c>
      <c r="B378" s="1209">
        <v>14435</v>
      </c>
      <c r="C378" s="1210">
        <v>20980</v>
      </c>
      <c r="D378" s="1230">
        <v>21095</v>
      </c>
      <c r="E378" s="1212">
        <f t="shared" si="48"/>
        <v>115</v>
      </c>
      <c r="F378" s="1222">
        <f t="shared" si="51"/>
        <v>80</v>
      </c>
      <c r="G378" s="1215"/>
      <c r="H378" s="1269"/>
      <c r="I378" s="1291">
        <v>142500</v>
      </c>
    </row>
    <row r="379" spans="1:9" ht="15" customHeight="1">
      <c r="A379" s="1253">
        <v>41435</v>
      </c>
      <c r="B379" s="1209">
        <v>14435</v>
      </c>
      <c r="C379" s="1210">
        <v>20845</v>
      </c>
      <c r="D379" s="1230">
        <v>20850</v>
      </c>
      <c r="E379" s="1212">
        <f t="shared" si="48"/>
        <v>5</v>
      </c>
      <c r="F379" s="1222">
        <f t="shared" si="51"/>
        <v>-135</v>
      </c>
      <c r="G379" s="1215"/>
      <c r="H379" s="1269"/>
      <c r="I379" s="1459" t="s">
        <v>112</v>
      </c>
    </row>
    <row r="380" spans="1:9" ht="15" customHeight="1">
      <c r="A380" s="1253">
        <v>41436</v>
      </c>
      <c r="B380" s="1209">
        <v>14505</v>
      </c>
      <c r="C380" s="1210">
        <v>20600</v>
      </c>
      <c r="D380" s="1230">
        <v>20600</v>
      </c>
      <c r="E380" s="1212">
        <f t="shared" si="48"/>
        <v>0</v>
      </c>
      <c r="F380" s="1222">
        <f t="shared" si="51"/>
        <v>-245</v>
      </c>
      <c r="G380" s="1215"/>
      <c r="H380" s="1269"/>
      <c r="I380" s="1459"/>
    </row>
    <row r="381" spans="1:9" ht="15" customHeight="1">
      <c r="A381" s="1253">
        <v>41437</v>
      </c>
      <c r="B381" s="1209">
        <v>14495</v>
      </c>
      <c r="C381" s="1210">
        <v>20445</v>
      </c>
      <c r="D381" s="1230">
        <v>20470</v>
      </c>
      <c r="E381" s="1212">
        <f t="shared" si="48"/>
        <v>25</v>
      </c>
      <c r="F381" s="1222">
        <f t="shared" si="51"/>
        <v>-155</v>
      </c>
      <c r="G381" s="1215"/>
      <c r="H381" s="1269"/>
      <c r="I381" s="1459"/>
    </row>
    <row r="382" spans="1:9" ht="15" customHeight="1">
      <c r="A382" s="1253">
        <v>41438</v>
      </c>
      <c r="B382" s="1209">
        <v>14495</v>
      </c>
      <c r="C382" s="1210">
        <v>20255</v>
      </c>
      <c r="D382" s="1230">
        <v>20310</v>
      </c>
      <c r="E382" s="1212">
        <f t="shared" si="48"/>
        <v>55</v>
      </c>
      <c r="F382" s="1222">
        <f t="shared" si="51"/>
        <v>-190</v>
      </c>
      <c r="G382" s="1215"/>
      <c r="H382" s="1269"/>
      <c r="I382" s="1291">
        <v>142000</v>
      </c>
    </row>
    <row r="383" spans="1:9" ht="15" customHeight="1">
      <c r="A383" s="1253">
        <v>41439</v>
      </c>
      <c r="B383" s="1209">
        <v>14390</v>
      </c>
      <c r="C383" s="1210">
        <v>20250</v>
      </c>
      <c r="D383" s="1230">
        <v>20300</v>
      </c>
      <c r="E383" s="1212">
        <f t="shared" si="48"/>
        <v>50</v>
      </c>
      <c r="F383" s="1222">
        <f t="shared" si="51"/>
        <v>-5</v>
      </c>
      <c r="G383" s="1215"/>
      <c r="H383" s="1269"/>
      <c r="I383" s="1291">
        <v>141500</v>
      </c>
    </row>
    <row r="384" spans="1:9" ht="15" customHeight="1">
      <c r="A384" s="1253">
        <v>41442</v>
      </c>
      <c r="B384" s="1209">
        <v>14205</v>
      </c>
      <c r="C384" s="1210">
        <v>20300</v>
      </c>
      <c r="D384" s="1230">
        <v>20355</v>
      </c>
      <c r="E384" s="1212">
        <f t="shared" si="48"/>
        <v>55</v>
      </c>
      <c r="F384" s="1222">
        <f t="shared" si="51"/>
        <v>50</v>
      </c>
      <c r="G384" s="1215"/>
      <c r="H384" s="1269"/>
      <c r="I384" s="1291">
        <v>141500</v>
      </c>
    </row>
    <row r="385" spans="1:9" ht="15" customHeight="1">
      <c r="A385" s="1253">
        <v>41443</v>
      </c>
      <c r="B385" s="1209">
        <v>14385</v>
      </c>
      <c r="C385" s="1210">
        <v>20140</v>
      </c>
      <c r="D385" s="1230">
        <v>20200</v>
      </c>
      <c r="E385" s="1212">
        <f t="shared" si="48"/>
        <v>60</v>
      </c>
      <c r="F385" s="1222">
        <f t="shared" si="51"/>
        <v>-160</v>
      </c>
      <c r="G385" s="1215"/>
      <c r="H385" s="1269"/>
      <c r="I385" s="1291">
        <v>141500</v>
      </c>
    </row>
    <row r="386" spans="1:9" ht="15" customHeight="1">
      <c r="A386" s="1253">
        <v>41444</v>
      </c>
      <c r="B386" s="1209">
        <v>14300</v>
      </c>
      <c r="C386" s="1210">
        <v>20050</v>
      </c>
      <c r="D386" s="1230">
        <v>20100</v>
      </c>
      <c r="E386" s="1212">
        <f t="shared" si="48"/>
        <v>50</v>
      </c>
      <c r="F386" s="1222">
        <f t="shared" si="51"/>
        <v>-90</v>
      </c>
      <c r="G386" s="1229"/>
      <c r="H386" s="1269"/>
      <c r="I386" s="1291">
        <v>140750</v>
      </c>
    </row>
    <row r="387" spans="1:9" ht="15" customHeight="1">
      <c r="A387" s="1253">
        <v>41445</v>
      </c>
      <c r="B387" s="1209">
        <v>14335</v>
      </c>
      <c r="C387" s="1210">
        <v>19445</v>
      </c>
      <c r="D387" s="1230">
        <v>19525</v>
      </c>
      <c r="E387" s="1212">
        <f t="shared" si="48"/>
        <v>80</v>
      </c>
      <c r="F387" s="1222">
        <f t="shared" si="51"/>
        <v>-605</v>
      </c>
      <c r="G387" s="1215"/>
      <c r="H387" s="1269"/>
      <c r="I387" s="1291">
        <v>140250</v>
      </c>
    </row>
    <row r="388" spans="1:9" ht="15" customHeight="1">
      <c r="A388" s="1253">
        <v>41446</v>
      </c>
      <c r="B388" s="1209">
        <v>14250</v>
      </c>
      <c r="C388" s="1210">
        <v>19515</v>
      </c>
      <c r="D388" s="1230">
        <v>19595</v>
      </c>
      <c r="E388" s="1212">
        <f t="shared" si="48"/>
        <v>80</v>
      </c>
      <c r="F388" s="1222">
        <f t="shared" si="51"/>
        <v>70</v>
      </c>
      <c r="G388" s="1215"/>
      <c r="H388" s="1269"/>
      <c r="I388" s="1291">
        <v>139250</v>
      </c>
    </row>
    <row r="389" spans="1:9" ht="15" customHeight="1">
      <c r="A389" s="1253">
        <v>41449</v>
      </c>
      <c r="B389" s="1209">
        <v>14190</v>
      </c>
      <c r="C389" s="1210">
        <v>19545</v>
      </c>
      <c r="D389" s="1230">
        <v>19630</v>
      </c>
      <c r="E389" s="1212">
        <f t="shared" si="48"/>
        <v>85</v>
      </c>
      <c r="F389" s="1222">
        <f t="shared" si="51"/>
        <v>30</v>
      </c>
      <c r="G389" s="1215"/>
      <c r="H389" s="1269"/>
      <c r="I389" s="1291">
        <v>139250</v>
      </c>
    </row>
    <row r="390" spans="1:9" ht="15" customHeight="1">
      <c r="A390" s="1253">
        <v>41450</v>
      </c>
      <c r="B390" s="1209">
        <v>14140</v>
      </c>
      <c r="C390" s="1210">
        <v>19725</v>
      </c>
      <c r="D390" s="1230">
        <v>19800</v>
      </c>
      <c r="E390" s="1212">
        <f t="shared" si="48"/>
        <v>75</v>
      </c>
      <c r="F390" s="1222">
        <f t="shared" si="51"/>
        <v>180</v>
      </c>
      <c r="G390" s="1215"/>
      <c r="H390" s="1269"/>
      <c r="I390" s="1291">
        <v>139000</v>
      </c>
    </row>
    <row r="391" spans="1:9" ht="15" customHeight="1">
      <c r="A391" s="1253">
        <v>41451</v>
      </c>
      <c r="B391" s="1209">
        <v>14140</v>
      </c>
      <c r="C391" s="1210">
        <v>19700</v>
      </c>
      <c r="D391" s="1230">
        <v>19750</v>
      </c>
      <c r="E391" s="1212">
        <f t="shared" si="48"/>
        <v>50</v>
      </c>
      <c r="F391" s="1222">
        <f t="shared" si="51"/>
        <v>-25</v>
      </c>
      <c r="G391" s="1215"/>
      <c r="H391" s="1269"/>
      <c r="I391" s="1291">
        <v>139000</v>
      </c>
    </row>
    <row r="392" spans="1:9" ht="15" customHeight="1">
      <c r="A392" s="1253">
        <v>41452</v>
      </c>
      <c r="B392" s="1209">
        <v>14170</v>
      </c>
      <c r="C392" s="1210">
        <v>19700</v>
      </c>
      <c r="D392" s="1230">
        <v>19655</v>
      </c>
      <c r="E392" s="1212">
        <f t="shared" si="48"/>
        <v>-45</v>
      </c>
      <c r="F392" s="1222">
        <f t="shared" si="51"/>
        <v>0</v>
      </c>
      <c r="G392" s="1215"/>
      <c r="H392" s="1269"/>
      <c r="I392" s="1291">
        <v>138500</v>
      </c>
    </row>
    <row r="393" spans="1:9" ht="15" customHeight="1">
      <c r="A393" s="1253">
        <v>41453</v>
      </c>
      <c r="B393" s="1209">
        <v>14320</v>
      </c>
      <c r="C393" s="1210">
        <v>19800</v>
      </c>
      <c r="D393" s="1230">
        <v>19875</v>
      </c>
      <c r="E393" s="1212">
        <f t="shared" si="48"/>
        <v>75</v>
      </c>
      <c r="F393" s="1222">
        <f t="shared" si="51"/>
        <v>100</v>
      </c>
      <c r="G393" s="1227">
        <f>AVERAGE(C374:C393)</f>
        <v>20266</v>
      </c>
      <c r="H393" s="1274">
        <f>AVERAGE(C266:C393)</f>
        <v>22515.241935483871</v>
      </c>
      <c r="I393" s="1291">
        <v>138500</v>
      </c>
    </row>
    <row r="394" spans="1:9" ht="15" customHeight="1">
      <c r="A394" s="1253">
        <v>41456</v>
      </c>
      <c r="B394" s="1209">
        <v>14290</v>
      </c>
      <c r="C394" s="1210">
        <v>19755</v>
      </c>
      <c r="D394" s="1230">
        <v>19850</v>
      </c>
      <c r="E394" s="1212">
        <f t="shared" ref="E394:E457" si="52">D394-C394</f>
        <v>95</v>
      </c>
      <c r="F394" s="1222">
        <f t="shared" si="51"/>
        <v>-45</v>
      </c>
      <c r="G394" s="1215"/>
      <c r="H394" s="1269"/>
      <c r="I394" s="1291">
        <v>138500</v>
      </c>
    </row>
    <row r="395" spans="1:9" ht="15" customHeight="1">
      <c r="A395" s="1253">
        <v>41457</v>
      </c>
      <c r="B395" s="1209">
        <v>14240</v>
      </c>
      <c r="C395" s="1210">
        <v>20225</v>
      </c>
      <c r="D395" s="1230">
        <v>20270</v>
      </c>
      <c r="E395" s="1212">
        <f t="shared" si="52"/>
        <v>45</v>
      </c>
      <c r="F395" s="1222">
        <f t="shared" si="51"/>
        <v>470</v>
      </c>
      <c r="G395" s="1215"/>
      <c r="H395" s="1269"/>
      <c r="I395" s="1291">
        <v>138750</v>
      </c>
    </row>
    <row r="396" spans="1:9" ht="15" customHeight="1">
      <c r="A396" s="1253">
        <v>41458</v>
      </c>
      <c r="B396" s="1209">
        <v>14235</v>
      </c>
      <c r="C396" s="1210">
        <v>20095</v>
      </c>
      <c r="D396" s="1230">
        <v>20100</v>
      </c>
      <c r="E396" s="1212">
        <f t="shared" si="52"/>
        <v>5</v>
      </c>
      <c r="F396" s="1222">
        <f t="shared" si="51"/>
        <v>-130</v>
      </c>
      <c r="G396" s="1215"/>
      <c r="H396" s="1269"/>
      <c r="I396" s="1291">
        <v>139000</v>
      </c>
    </row>
    <row r="397" spans="1:9" ht="15" customHeight="1">
      <c r="A397" s="1253">
        <v>41459</v>
      </c>
      <c r="B397" s="1209">
        <v>14480</v>
      </c>
      <c r="C397" s="1210">
        <v>20005</v>
      </c>
      <c r="D397" s="1230">
        <v>20075</v>
      </c>
      <c r="E397" s="1212">
        <f t="shared" si="52"/>
        <v>70</v>
      </c>
      <c r="F397" s="1222">
        <f t="shared" si="51"/>
        <v>-90</v>
      </c>
      <c r="G397" s="1215"/>
      <c r="H397" s="1269"/>
      <c r="I397" s="1291">
        <v>139000</v>
      </c>
    </row>
    <row r="398" spans="1:9" ht="15" customHeight="1">
      <c r="A398" s="1253">
        <v>41460</v>
      </c>
      <c r="B398" s="1209">
        <v>14555</v>
      </c>
      <c r="C398" s="1210">
        <v>19700</v>
      </c>
      <c r="D398" s="1230">
        <v>19730</v>
      </c>
      <c r="E398" s="1212">
        <f t="shared" si="52"/>
        <v>30</v>
      </c>
      <c r="F398" s="1222">
        <f t="shared" si="51"/>
        <v>-305</v>
      </c>
      <c r="G398" s="1215"/>
      <c r="H398" s="1269"/>
      <c r="I398" s="1291">
        <v>139250</v>
      </c>
    </row>
    <row r="399" spans="1:9" ht="15" customHeight="1">
      <c r="A399" s="1253">
        <v>41463</v>
      </c>
      <c r="B399" s="1209">
        <v>14430</v>
      </c>
      <c r="C399" s="1210">
        <v>19300</v>
      </c>
      <c r="D399" s="1230">
        <v>19345</v>
      </c>
      <c r="E399" s="1212">
        <f t="shared" si="52"/>
        <v>45</v>
      </c>
      <c r="F399" s="1222">
        <f t="shared" si="51"/>
        <v>-400</v>
      </c>
      <c r="G399" s="1215"/>
      <c r="H399" s="1269"/>
      <c r="I399" s="1291">
        <v>138500</v>
      </c>
    </row>
    <row r="400" spans="1:9" ht="15" customHeight="1">
      <c r="A400" s="1253">
        <v>41464</v>
      </c>
      <c r="B400" s="1209">
        <v>14410</v>
      </c>
      <c r="C400" s="1210">
        <v>19370</v>
      </c>
      <c r="D400" s="1230">
        <v>19425</v>
      </c>
      <c r="E400" s="1212">
        <f t="shared" si="52"/>
        <v>55</v>
      </c>
      <c r="F400" s="1222">
        <f t="shared" si="51"/>
        <v>70</v>
      </c>
      <c r="G400" s="1215"/>
      <c r="H400" s="1269"/>
      <c r="I400" s="1291">
        <v>138000</v>
      </c>
    </row>
    <row r="401" spans="1:9" ht="15" customHeight="1">
      <c r="A401" s="1253">
        <v>41465</v>
      </c>
      <c r="B401" s="1209">
        <v>14410</v>
      </c>
      <c r="C401" s="1210">
        <v>19680</v>
      </c>
      <c r="D401" s="1230">
        <v>19700</v>
      </c>
      <c r="E401" s="1212">
        <f t="shared" si="52"/>
        <v>20</v>
      </c>
      <c r="F401" s="1222">
        <f t="shared" si="51"/>
        <v>310</v>
      </c>
      <c r="G401" s="1215"/>
      <c r="H401" s="1269"/>
      <c r="I401" s="1291">
        <v>138000</v>
      </c>
    </row>
    <row r="402" spans="1:9" ht="15" customHeight="1">
      <c r="A402" s="1253">
        <v>41466</v>
      </c>
      <c r="B402" s="1209">
        <v>14410</v>
      </c>
      <c r="C402" s="1210">
        <v>19700</v>
      </c>
      <c r="D402" s="1230">
        <v>19800</v>
      </c>
      <c r="E402" s="1212">
        <f t="shared" si="52"/>
        <v>100</v>
      </c>
      <c r="F402" s="1222">
        <f t="shared" si="51"/>
        <v>20</v>
      </c>
      <c r="G402" s="1229"/>
      <c r="H402" s="1269"/>
      <c r="I402" s="1291">
        <v>138000</v>
      </c>
    </row>
    <row r="403" spans="1:9" ht="15" customHeight="1">
      <c r="A403" s="1253">
        <v>41467</v>
      </c>
      <c r="B403" s="1209">
        <v>14410</v>
      </c>
      <c r="C403" s="1210">
        <v>19450</v>
      </c>
      <c r="D403" s="1230">
        <v>19500</v>
      </c>
      <c r="E403" s="1212">
        <f t="shared" si="52"/>
        <v>50</v>
      </c>
      <c r="F403" s="1222">
        <f t="shared" ref="F403:F430" si="53">C403-C402</f>
        <v>-250</v>
      </c>
      <c r="G403" s="1229"/>
      <c r="H403" s="1269"/>
      <c r="I403" s="1291">
        <v>138250</v>
      </c>
    </row>
    <row r="404" spans="1:9" ht="15" customHeight="1">
      <c r="A404" s="1253">
        <v>41470</v>
      </c>
      <c r="B404" s="1209">
        <v>14435</v>
      </c>
      <c r="C404" s="1210">
        <v>19305</v>
      </c>
      <c r="D404" s="1230">
        <v>19375</v>
      </c>
      <c r="E404" s="1212">
        <f t="shared" si="52"/>
        <v>70</v>
      </c>
      <c r="F404" s="1222">
        <f t="shared" si="53"/>
        <v>-145</v>
      </c>
      <c r="G404" s="1215"/>
      <c r="H404" s="1269"/>
      <c r="I404" s="1291">
        <v>138000</v>
      </c>
    </row>
    <row r="405" spans="1:9" ht="15" customHeight="1">
      <c r="A405" s="1253">
        <v>41471</v>
      </c>
      <c r="B405" s="1209">
        <v>14355</v>
      </c>
      <c r="C405" s="1210">
        <v>19395</v>
      </c>
      <c r="D405" s="1230">
        <v>19450</v>
      </c>
      <c r="E405" s="1212">
        <f t="shared" si="52"/>
        <v>55</v>
      </c>
      <c r="F405" s="1222">
        <f t="shared" si="53"/>
        <v>90</v>
      </c>
      <c r="G405" s="1215"/>
      <c r="H405" s="1269"/>
      <c r="I405" s="1291">
        <v>138000</v>
      </c>
    </row>
    <row r="406" spans="1:9" ht="15" customHeight="1">
      <c r="A406" s="1253">
        <v>41472</v>
      </c>
      <c r="B406" s="1209">
        <v>14305</v>
      </c>
      <c r="C406" s="1210">
        <v>19460</v>
      </c>
      <c r="D406" s="1230">
        <v>19525</v>
      </c>
      <c r="E406" s="1212">
        <f t="shared" si="52"/>
        <v>65</v>
      </c>
      <c r="F406" s="1222">
        <f t="shared" si="53"/>
        <v>65</v>
      </c>
      <c r="G406" s="1215"/>
      <c r="H406" s="1269"/>
      <c r="I406" s="1291">
        <v>137750</v>
      </c>
    </row>
    <row r="407" spans="1:9" ht="15" customHeight="1">
      <c r="A407" s="1253">
        <v>41473</v>
      </c>
      <c r="B407" s="1209">
        <v>14245</v>
      </c>
      <c r="C407" s="1210">
        <v>19355</v>
      </c>
      <c r="D407" s="1230">
        <v>19385</v>
      </c>
      <c r="E407" s="1212">
        <f t="shared" si="52"/>
        <v>30</v>
      </c>
      <c r="F407" s="1222">
        <f t="shared" si="53"/>
        <v>-105</v>
      </c>
      <c r="G407" s="1215"/>
      <c r="H407" s="1269"/>
      <c r="I407" s="1291">
        <v>137750</v>
      </c>
    </row>
    <row r="408" spans="1:9" ht="15" customHeight="1">
      <c r="A408" s="1253">
        <v>41474</v>
      </c>
      <c r="B408" s="1209">
        <v>14245</v>
      </c>
      <c r="C408" s="1210">
        <v>19600</v>
      </c>
      <c r="D408" s="1230">
        <v>19600</v>
      </c>
      <c r="E408" s="1212">
        <f t="shared" si="52"/>
        <v>0</v>
      </c>
      <c r="F408" s="1222">
        <f t="shared" si="53"/>
        <v>245</v>
      </c>
      <c r="G408" s="1215"/>
      <c r="H408" s="1269"/>
      <c r="I408" s="1291">
        <v>137750</v>
      </c>
    </row>
    <row r="409" spans="1:9" ht="15" customHeight="1">
      <c r="A409" s="1253">
        <v>41477</v>
      </c>
      <c r="B409" s="1209">
        <v>14265</v>
      </c>
      <c r="C409" s="1210">
        <v>19500</v>
      </c>
      <c r="D409" s="1230">
        <v>19550</v>
      </c>
      <c r="E409" s="1212">
        <f t="shared" si="52"/>
        <v>50</v>
      </c>
      <c r="F409" s="1222">
        <f t="shared" si="53"/>
        <v>-100</v>
      </c>
      <c r="G409" s="1215"/>
      <c r="H409" s="1269"/>
      <c r="I409" s="1291">
        <v>137500</v>
      </c>
    </row>
    <row r="410" spans="1:9" ht="15" customHeight="1">
      <c r="A410" s="1253">
        <v>41478</v>
      </c>
      <c r="B410" s="1209">
        <v>14300</v>
      </c>
      <c r="C410" s="1210">
        <v>19400</v>
      </c>
      <c r="D410" s="1230">
        <v>19450</v>
      </c>
      <c r="E410" s="1212">
        <f t="shared" si="52"/>
        <v>50</v>
      </c>
      <c r="F410" s="1222">
        <f t="shared" si="53"/>
        <v>-100</v>
      </c>
      <c r="G410" s="1215"/>
      <c r="H410" s="1269"/>
      <c r="I410" s="1291">
        <v>136750</v>
      </c>
    </row>
    <row r="411" spans="1:9" ht="15" customHeight="1">
      <c r="A411" s="1253">
        <v>41479</v>
      </c>
      <c r="B411" s="1209">
        <v>14315</v>
      </c>
      <c r="C411" s="1210">
        <v>19605</v>
      </c>
      <c r="D411" s="1230">
        <v>19655</v>
      </c>
      <c r="E411" s="1212">
        <f t="shared" si="52"/>
        <v>50</v>
      </c>
      <c r="F411" s="1222">
        <f t="shared" si="53"/>
        <v>205</v>
      </c>
      <c r="G411" s="1215"/>
      <c r="H411" s="1269"/>
      <c r="I411" s="1291">
        <v>136750</v>
      </c>
    </row>
    <row r="412" spans="1:9" ht="15" customHeight="1">
      <c r="A412" s="1253">
        <v>41480</v>
      </c>
      <c r="B412" s="1209">
        <v>14390</v>
      </c>
      <c r="C412" s="1210">
        <v>19275</v>
      </c>
      <c r="D412" s="1230">
        <v>19350</v>
      </c>
      <c r="E412" s="1212">
        <f t="shared" si="52"/>
        <v>75</v>
      </c>
      <c r="F412" s="1222">
        <f t="shared" si="53"/>
        <v>-330</v>
      </c>
      <c r="G412" s="1215"/>
      <c r="H412" s="1269"/>
      <c r="I412" s="1291">
        <v>136750</v>
      </c>
    </row>
    <row r="413" spans="1:9" ht="15" customHeight="1">
      <c r="A413" s="1253">
        <v>41481</v>
      </c>
      <c r="B413" s="1209">
        <v>14545</v>
      </c>
      <c r="C413" s="1210">
        <v>19315</v>
      </c>
      <c r="D413" s="1230">
        <v>19300</v>
      </c>
      <c r="E413" s="1212">
        <f t="shared" si="52"/>
        <v>-15</v>
      </c>
      <c r="F413" s="1222">
        <f t="shared" si="53"/>
        <v>40</v>
      </c>
      <c r="G413" s="1215"/>
      <c r="H413" s="1269"/>
      <c r="I413" s="1291">
        <v>136250</v>
      </c>
    </row>
    <row r="414" spans="1:9" ht="15" customHeight="1">
      <c r="A414" s="1253">
        <v>41484</v>
      </c>
      <c r="B414" s="1209">
        <v>14545</v>
      </c>
      <c r="C414" s="1210">
        <v>19395</v>
      </c>
      <c r="D414" s="1230">
        <v>19425</v>
      </c>
      <c r="E414" s="1212">
        <f t="shared" si="52"/>
        <v>30</v>
      </c>
      <c r="F414" s="1222">
        <f t="shared" si="53"/>
        <v>80</v>
      </c>
      <c r="G414" s="1215"/>
      <c r="H414" s="1269"/>
      <c r="I414" s="1291">
        <v>135500</v>
      </c>
    </row>
    <row r="415" spans="1:9" ht="15" customHeight="1">
      <c r="A415" s="1253">
        <v>41485</v>
      </c>
      <c r="B415" s="1209">
        <v>14000</v>
      </c>
      <c r="C415" s="1210">
        <v>19760</v>
      </c>
      <c r="D415" s="1230">
        <v>19750</v>
      </c>
      <c r="E415" s="1212">
        <f t="shared" si="52"/>
        <v>-10</v>
      </c>
      <c r="F415" s="1222">
        <f t="shared" si="53"/>
        <v>365</v>
      </c>
      <c r="G415" s="1215"/>
      <c r="H415" s="1269"/>
      <c r="I415" s="1291">
        <v>135500</v>
      </c>
    </row>
    <row r="416" spans="1:9" ht="15" customHeight="1">
      <c r="A416" s="1253">
        <v>41486</v>
      </c>
      <c r="B416" s="1209">
        <v>13845</v>
      </c>
      <c r="C416" s="1210">
        <v>19895</v>
      </c>
      <c r="D416" s="1230">
        <v>19905</v>
      </c>
      <c r="E416" s="1212">
        <f t="shared" si="52"/>
        <v>10</v>
      </c>
      <c r="F416" s="1222">
        <f t="shared" si="53"/>
        <v>135</v>
      </c>
      <c r="G416" s="1227">
        <f>AVERAGE(C394:C416)</f>
        <v>19588.695652173912</v>
      </c>
      <c r="H416" s="1274">
        <f>AVERAGE(C266:C416)</f>
        <v>22057.34693877551</v>
      </c>
      <c r="I416" s="1291">
        <v>135500</v>
      </c>
    </row>
    <row r="417" spans="1:9" ht="15" customHeight="1">
      <c r="A417" s="1253">
        <v>41487</v>
      </c>
      <c r="B417" s="1209">
        <v>13845</v>
      </c>
      <c r="C417" s="1210">
        <v>20555</v>
      </c>
      <c r="D417" s="1230">
        <v>20560</v>
      </c>
      <c r="E417" s="1212">
        <f t="shared" si="52"/>
        <v>5</v>
      </c>
      <c r="F417" s="1211">
        <f t="shared" si="53"/>
        <v>660</v>
      </c>
      <c r="G417" s="1229"/>
      <c r="H417" s="1269"/>
      <c r="I417" s="1291">
        <v>136500</v>
      </c>
    </row>
    <row r="418" spans="1:9" ht="15" customHeight="1">
      <c r="A418" s="1253">
        <v>41488</v>
      </c>
      <c r="B418" s="1209">
        <v>13910</v>
      </c>
      <c r="C418" s="1210">
        <v>20870</v>
      </c>
      <c r="D418" s="1230">
        <v>20850</v>
      </c>
      <c r="E418" s="1212">
        <f t="shared" si="52"/>
        <v>-20</v>
      </c>
      <c r="F418" s="1211">
        <f t="shared" si="53"/>
        <v>315</v>
      </c>
      <c r="G418" s="1215"/>
      <c r="H418" s="1269"/>
      <c r="I418" s="1291">
        <v>138750</v>
      </c>
    </row>
    <row r="419" spans="1:9" ht="15" customHeight="1">
      <c r="A419" s="1253">
        <v>41491</v>
      </c>
      <c r="B419" s="1209">
        <v>13845</v>
      </c>
      <c r="C419" s="1210">
        <v>21130</v>
      </c>
      <c r="D419" s="1230">
        <v>21200</v>
      </c>
      <c r="E419" s="1212">
        <f t="shared" si="52"/>
        <v>70</v>
      </c>
      <c r="F419" s="1211">
        <f t="shared" si="53"/>
        <v>260</v>
      </c>
      <c r="G419" s="1215"/>
      <c r="H419" s="1269"/>
      <c r="I419" s="1291">
        <v>140500</v>
      </c>
    </row>
    <row r="420" spans="1:9" ht="15" customHeight="1">
      <c r="A420" s="1253">
        <v>41492</v>
      </c>
      <c r="B420" s="1209">
        <v>13775</v>
      </c>
      <c r="C420" s="1210">
        <v>21295</v>
      </c>
      <c r="D420" s="1230">
        <v>21225</v>
      </c>
      <c r="E420" s="1212">
        <f t="shared" si="52"/>
        <v>-70</v>
      </c>
      <c r="F420" s="1211">
        <f t="shared" si="53"/>
        <v>165</v>
      </c>
      <c r="G420" s="1215"/>
      <c r="H420" s="1269"/>
      <c r="I420" s="1291">
        <v>140500</v>
      </c>
    </row>
    <row r="421" spans="1:9" ht="15" customHeight="1">
      <c r="A421" s="1253">
        <v>41493</v>
      </c>
      <c r="B421" s="1209">
        <v>13775</v>
      </c>
      <c r="C421" s="1210">
        <v>21180</v>
      </c>
      <c r="D421" s="1230">
        <v>21150</v>
      </c>
      <c r="E421" s="1212">
        <f t="shared" si="52"/>
        <v>-30</v>
      </c>
      <c r="F421" s="1211">
        <f t="shared" si="53"/>
        <v>-115</v>
      </c>
      <c r="G421" s="1215"/>
      <c r="H421" s="1269"/>
      <c r="I421" s="1291">
        <v>140250</v>
      </c>
    </row>
    <row r="422" spans="1:9" ht="15" customHeight="1">
      <c r="A422" s="1253">
        <v>41494</v>
      </c>
      <c r="B422" s="1209">
        <v>13750</v>
      </c>
      <c r="C422" s="1210">
        <v>21650</v>
      </c>
      <c r="D422" s="1230">
        <v>21750</v>
      </c>
      <c r="E422" s="1212">
        <f t="shared" si="52"/>
        <v>100</v>
      </c>
      <c r="F422" s="1211">
        <f t="shared" si="53"/>
        <v>470</v>
      </c>
      <c r="G422" s="1215"/>
      <c r="H422" s="1269"/>
      <c r="I422" s="1291">
        <v>140250</v>
      </c>
    </row>
    <row r="423" spans="1:9" ht="15" customHeight="1">
      <c r="A423" s="1253">
        <v>41495</v>
      </c>
      <c r="B423" s="1209">
        <v>13750</v>
      </c>
      <c r="C423" s="1210">
        <v>22150</v>
      </c>
      <c r="D423" s="1230">
        <v>22125</v>
      </c>
      <c r="E423" s="1212">
        <f t="shared" si="52"/>
        <v>-25</v>
      </c>
      <c r="F423" s="1211">
        <f t="shared" si="53"/>
        <v>500</v>
      </c>
      <c r="G423" s="1215"/>
      <c r="H423" s="1269"/>
      <c r="I423" s="1291">
        <v>142250</v>
      </c>
    </row>
    <row r="424" spans="1:9" ht="15" customHeight="1">
      <c r="A424" s="1253">
        <v>41498</v>
      </c>
      <c r="B424" s="1209">
        <v>13750</v>
      </c>
      <c r="C424" s="1210">
        <v>22105</v>
      </c>
      <c r="D424" s="1230">
        <v>22180</v>
      </c>
      <c r="E424" s="1212">
        <f t="shared" si="52"/>
        <v>75</v>
      </c>
      <c r="F424" s="1211">
        <f t="shared" si="53"/>
        <v>-45</v>
      </c>
      <c r="G424" s="1215"/>
      <c r="H424" s="1269"/>
      <c r="I424" s="1291">
        <v>143250</v>
      </c>
    </row>
    <row r="425" spans="1:9" ht="15" customHeight="1">
      <c r="A425" s="1253">
        <v>41499</v>
      </c>
      <c r="B425" s="1209">
        <v>14205</v>
      </c>
      <c r="C425" s="1210">
        <v>22050</v>
      </c>
      <c r="D425" s="1230">
        <v>22150</v>
      </c>
      <c r="E425" s="1212">
        <f t="shared" si="52"/>
        <v>100</v>
      </c>
      <c r="F425" s="1211">
        <f t="shared" si="53"/>
        <v>-55</v>
      </c>
      <c r="G425" s="1215"/>
      <c r="H425" s="1269"/>
      <c r="I425" s="1291">
        <v>144000</v>
      </c>
    </row>
    <row r="426" spans="1:9" ht="15" customHeight="1">
      <c r="A426" s="1253">
        <v>41500</v>
      </c>
      <c r="B426" s="1209">
        <v>14055</v>
      </c>
      <c r="C426" s="1210">
        <v>21825</v>
      </c>
      <c r="D426" s="1230">
        <v>21850</v>
      </c>
      <c r="E426" s="1212">
        <f t="shared" si="52"/>
        <v>25</v>
      </c>
      <c r="F426" s="1211">
        <f t="shared" si="53"/>
        <v>-225</v>
      </c>
      <c r="G426" s="1215"/>
      <c r="H426" s="1269"/>
      <c r="I426" s="1291">
        <v>144000</v>
      </c>
    </row>
    <row r="427" spans="1:9" ht="15" customHeight="1">
      <c r="A427" s="1253">
        <v>41501</v>
      </c>
      <c r="B427" s="1209">
        <v>14055</v>
      </c>
      <c r="C427" s="1210">
        <v>21525</v>
      </c>
      <c r="D427" s="1230">
        <v>21505</v>
      </c>
      <c r="E427" s="1212">
        <f t="shared" si="52"/>
        <v>-20</v>
      </c>
      <c r="F427" s="1211">
        <f t="shared" si="53"/>
        <v>-300</v>
      </c>
      <c r="G427" s="1215"/>
      <c r="H427" s="1269"/>
      <c r="I427" s="1291">
        <v>143750</v>
      </c>
    </row>
    <row r="428" spans="1:9" ht="15" customHeight="1">
      <c r="A428" s="1253">
        <v>41502</v>
      </c>
      <c r="B428" s="1209">
        <v>14055</v>
      </c>
      <c r="C428" s="1210">
        <v>21875</v>
      </c>
      <c r="D428" s="1230">
        <v>21900</v>
      </c>
      <c r="E428" s="1212">
        <f t="shared" si="52"/>
        <v>25</v>
      </c>
      <c r="F428" s="1211">
        <f t="shared" si="53"/>
        <v>350</v>
      </c>
      <c r="G428" s="1215"/>
      <c r="H428" s="1269"/>
      <c r="I428" s="1291">
        <v>143500</v>
      </c>
    </row>
    <row r="429" spans="1:9" ht="15" customHeight="1">
      <c r="A429" s="1253">
        <v>41505</v>
      </c>
      <c r="B429" s="1209">
        <v>14055</v>
      </c>
      <c r="C429" s="1210">
        <v>21850</v>
      </c>
      <c r="D429" s="1230">
        <v>21850</v>
      </c>
      <c r="E429" s="1212">
        <f t="shared" si="52"/>
        <v>0</v>
      </c>
      <c r="F429" s="1211">
        <f t="shared" si="53"/>
        <v>-25</v>
      </c>
      <c r="G429" s="1229"/>
      <c r="H429" s="1269"/>
      <c r="I429" s="1291">
        <v>143500</v>
      </c>
    </row>
    <row r="430" spans="1:9" ht="15" customHeight="1">
      <c r="A430" s="1253">
        <v>41506</v>
      </c>
      <c r="B430" s="1209">
        <v>13935</v>
      </c>
      <c r="C430" s="1210">
        <v>22025</v>
      </c>
      <c r="D430" s="1230">
        <v>21925</v>
      </c>
      <c r="E430" s="1212">
        <f t="shared" si="52"/>
        <v>-100</v>
      </c>
      <c r="F430" s="1211">
        <f t="shared" si="53"/>
        <v>175</v>
      </c>
      <c r="G430" s="1229"/>
      <c r="H430" s="1269"/>
      <c r="I430" s="1291">
        <v>143250</v>
      </c>
    </row>
    <row r="431" spans="1:9" ht="15" customHeight="1">
      <c r="A431" s="1253">
        <v>41507</v>
      </c>
      <c r="B431" s="1209">
        <v>13965</v>
      </c>
      <c r="C431" s="1210">
        <v>22025</v>
      </c>
      <c r="D431" s="1230">
        <v>21930</v>
      </c>
      <c r="E431" s="1212">
        <f t="shared" si="52"/>
        <v>-95</v>
      </c>
      <c r="F431" s="1211">
        <f>C431-C430</f>
        <v>0</v>
      </c>
      <c r="G431" s="1229"/>
      <c r="H431" s="1269"/>
      <c r="I431" s="1291">
        <v>143250</v>
      </c>
    </row>
    <row r="432" spans="1:9" ht="15" customHeight="1">
      <c r="A432" s="1253">
        <v>41508</v>
      </c>
      <c r="B432" s="1209">
        <v>13960</v>
      </c>
      <c r="C432" s="1210">
        <v>22000</v>
      </c>
      <c r="D432" s="1230">
        <v>21930</v>
      </c>
      <c r="E432" s="1212">
        <f t="shared" si="52"/>
        <v>-70</v>
      </c>
      <c r="F432" s="1211">
        <f>C432-C431</f>
        <v>-25</v>
      </c>
      <c r="G432" s="1215"/>
      <c r="H432" s="1269"/>
      <c r="I432" s="1291">
        <v>143250</v>
      </c>
    </row>
    <row r="433" spans="1:9" ht="15" customHeight="1">
      <c r="A433" s="1253">
        <v>41509</v>
      </c>
      <c r="B433" s="1209">
        <v>15305</v>
      </c>
      <c r="C433" s="1210">
        <v>22000</v>
      </c>
      <c r="D433" s="1230">
        <v>21925</v>
      </c>
      <c r="E433" s="1212">
        <f t="shared" si="52"/>
        <v>-75</v>
      </c>
      <c r="F433" s="1211">
        <f>C433-C432</f>
        <v>0</v>
      </c>
      <c r="G433" s="1215"/>
      <c r="H433" s="1269"/>
      <c r="I433" s="1291">
        <v>143250</v>
      </c>
    </row>
    <row r="434" spans="1:9" ht="15" customHeight="1">
      <c r="A434" s="1253">
        <v>41512</v>
      </c>
      <c r="B434" s="1434" t="s">
        <v>38</v>
      </c>
      <c r="C434" s="1434"/>
      <c r="D434" s="1434"/>
      <c r="E434" s="1434"/>
      <c r="F434" s="1434"/>
      <c r="G434" s="1215"/>
      <c r="H434" s="1269"/>
      <c r="I434" s="1291">
        <v>143500</v>
      </c>
    </row>
    <row r="435" spans="1:9" ht="15" customHeight="1">
      <c r="A435" s="1253">
        <v>41513</v>
      </c>
      <c r="B435" s="1209">
        <v>15295</v>
      </c>
      <c r="C435" s="1210">
        <v>21700</v>
      </c>
      <c r="D435" s="1230">
        <v>21750</v>
      </c>
      <c r="E435" s="1212">
        <f t="shared" si="52"/>
        <v>50</v>
      </c>
      <c r="F435" s="1211">
        <f>C435-C433</f>
        <v>-300</v>
      </c>
      <c r="G435" s="1215"/>
      <c r="H435" s="1269"/>
      <c r="I435" s="1291">
        <v>143500</v>
      </c>
    </row>
    <row r="436" spans="1:9" ht="15" customHeight="1">
      <c r="A436" s="1253">
        <v>41514</v>
      </c>
      <c r="B436" s="1209">
        <v>15240</v>
      </c>
      <c r="C436" s="1210">
        <v>21650</v>
      </c>
      <c r="D436" s="1230">
        <v>21750</v>
      </c>
      <c r="E436" s="1212">
        <f t="shared" si="52"/>
        <v>100</v>
      </c>
      <c r="F436" s="1211">
        <f t="shared" ref="F436:F454" si="54">C436-C435</f>
        <v>-50</v>
      </c>
      <c r="G436" s="1215"/>
      <c r="H436" s="1269"/>
      <c r="I436" s="1291">
        <v>143250</v>
      </c>
    </row>
    <row r="437" spans="1:9" ht="15" customHeight="1">
      <c r="A437" s="1253">
        <v>41515</v>
      </c>
      <c r="B437" s="1209">
        <v>15290</v>
      </c>
      <c r="C437" s="1210">
        <v>21515</v>
      </c>
      <c r="D437" s="1230">
        <v>21525</v>
      </c>
      <c r="E437" s="1212">
        <f t="shared" si="52"/>
        <v>10</v>
      </c>
      <c r="F437" s="1211">
        <f t="shared" si="54"/>
        <v>-135</v>
      </c>
      <c r="G437" s="1215"/>
      <c r="H437" s="1269"/>
      <c r="I437" s="1291">
        <v>142900</v>
      </c>
    </row>
    <row r="438" spans="1:9" ht="15" customHeight="1">
      <c r="A438" s="1253">
        <v>41516</v>
      </c>
      <c r="B438" s="1209">
        <v>15440</v>
      </c>
      <c r="C438" s="1210">
        <v>21230</v>
      </c>
      <c r="D438" s="1230">
        <v>21225</v>
      </c>
      <c r="E438" s="1212">
        <f t="shared" si="52"/>
        <v>-5</v>
      </c>
      <c r="F438" s="1211">
        <f t="shared" si="54"/>
        <v>-285</v>
      </c>
      <c r="G438" s="1227">
        <f>AVERAGE(C417:C438)</f>
        <v>21628.809523809523</v>
      </c>
      <c r="H438" s="1274">
        <f>AVERAGE(C266:C438)</f>
        <v>22003.779761904763</v>
      </c>
      <c r="I438" s="1291">
        <v>142750</v>
      </c>
    </row>
    <row r="439" spans="1:9" ht="15" customHeight="1">
      <c r="A439" s="1253">
        <v>41519</v>
      </c>
      <c r="B439" s="1209">
        <v>14985</v>
      </c>
      <c r="C439" s="1210">
        <v>21130</v>
      </c>
      <c r="D439" s="1230">
        <v>21150</v>
      </c>
      <c r="E439" s="1212">
        <f t="shared" si="52"/>
        <v>20</v>
      </c>
      <c r="F439" s="1211">
        <f t="shared" si="54"/>
        <v>-100</v>
      </c>
      <c r="G439" s="1215"/>
      <c r="H439" s="1269"/>
      <c r="I439" s="1291">
        <v>141750</v>
      </c>
    </row>
    <row r="440" spans="1:9" ht="15" customHeight="1">
      <c r="A440" s="1253">
        <v>41520</v>
      </c>
      <c r="B440" s="1209">
        <v>14840</v>
      </c>
      <c r="C440" s="1210">
        <v>21280</v>
      </c>
      <c r="D440" s="1230">
        <v>21300</v>
      </c>
      <c r="E440" s="1212">
        <f t="shared" si="52"/>
        <v>20</v>
      </c>
      <c r="F440" s="1211">
        <f t="shared" si="54"/>
        <v>150</v>
      </c>
      <c r="G440" s="1215"/>
      <c r="H440" s="1269"/>
      <c r="I440" s="1291">
        <v>141750</v>
      </c>
    </row>
    <row r="441" spans="1:9" ht="15" customHeight="1">
      <c r="A441" s="1253">
        <v>41521</v>
      </c>
      <c r="B441" s="1209">
        <v>14790</v>
      </c>
      <c r="C441" s="1210">
        <v>21800</v>
      </c>
      <c r="D441" s="1230">
        <v>21650</v>
      </c>
      <c r="E441" s="1212">
        <f t="shared" si="52"/>
        <v>-150</v>
      </c>
      <c r="F441" s="1211">
        <f t="shared" si="54"/>
        <v>520</v>
      </c>
      <c r="G441" s="1215"/>
      <c r="H441" s="1269"/>
      <c r="I441" s="1291">
        <v>141750</v>
      </c>
    </row>
    <row r="442" spans="1:9" ht="15" customHeight="1">
      <c r="A442" s="1253">
        <v>41522</v>
      </c>
      <c r="B442" s="1209">
        <v>14790</v>
      </c>
      <c r="C442" s="1210">
        <v>22355</v>
      </c>
      <c r="D442" s="1230">
        <v>22300</v>
      </c>
      <c r="E442" s="1212">
        <f t="shared" si="52"/>
        <v>-55</v>
      </c>
      <c r="F442" s="1211">
        <f t="shared" si="54"/>
        <v>555</v>
      </c>
      <c r="G442" s="1215"/>
      <c r="H442" s="1269"/>
      <c r="I442" s="1291">
        <v>141750</v>
      </c>
    </row>
    <row r="443" spans="1:9" ht="15" customHeight="1">
      <c r="A443" s="1253">
        <v>41523</v>
      </c>
      <c r="B443" s="1209">
        <v>14685</v>
      </c>
      <c r="C443" s="1210">
        <v>22625</v>
      </c>
      <c r="D443" s="1230">
        <v>22725</v>
      </c>
      <c r="E443" s="1212">
        <f t="shared" si="52"/>
        <v>100</v>
      </c>
      <c r="F443" s="1211">
        <f t="shared" si="54"/>
        <v>270</v>
      </c>
      <c r="G443" s="1215"/>
      <c r="H443" s="1269"/>
      <c r="I443" s="1291">
        <v>143500</v>
      </c>
    </row>
    <row r="444" spans="1:9" ht="15" customHeight="1">
      <c r="A444" s="1253">
        <v>41526</v>
      </c>
      <c r="B444" s="1209">
        <v>14545</v>
      </c>
      <c r="C444" s="1210">
        <v>23200</v>
      </c>
      <c r="D444" s="1230">
        <v>23130</v>
      </c>
      <c r="E444" s="1212">
        <f t="shared" si="52"/>
        <v>-70</v>
      </c>
      <c r="F444" s="1211">
        <f t="shared" si="54"/>
        <v>575</v>
      </c>
      <c r="G444" s="1215"/>
      <c r="H444" s="1269"/>
      <c r="I444" s="1291">
        <v>146000</v>
      </c>
    </row>
    <row r="445" spans="1:9" ht="15" customHeight="1">
      <c r="A445" s="1253">
        <v>41527</v>
      </c>
      <c r="B445" s="1209">
        <v>14270</v>
      </c>
      <c r="C445" s="1210">
        <v>22975</v>
      </c>
      <c r="D445" s="1230">
        <v>22975</v>
      </c>
      <c r="E445" s="1212">
        <f t="shared" si="52"/>
        <v>0</v>
      </c>
      <c r="F445" s="1211">
        <f t="shared" si="54"/>
        <v>-225</v>
      </c>
      <c r="G445" s="1215"/>
      <c r="H445" s="1269"/>
      <c r="I445" s="1291">
        <v>149250</v>
      </c>
    </row>
    <row r="446" spans="1:9" ht="15" customHeight="1">
      <c r="A446" s="1253">
        <v>41528</v>
      </c>
      <c r="B446" s="1209">
        <v>14270</v>
      </c>
      <c r="C446" s="1210">
        <v>22830</v>
      </c>
      <c r="D446" s="1230">
        <v>22880</v>
      </c>
      <c r="E446" s="1212">
        <f t="shared" si="52"/>
        <v>50</v>
      </c>
      <c r="F446" s="1211">
        <f t="shared" si="54"/>
        <v>-145</v>
      </c>
      <c r="G446" s="1229"/>
      <c r="H446" s="1269"/>
      <c r="I446" s="1291">
        <v>149250</v>
      </c>
    </row>
    <row r="447" spans="1:9" ht="15" customHeight="1">
      <c r="A447" s="1253">
        <v>41529</v>
      </c>
      <c r="B447" s="1209">
        <v>14440</v>
      </c>
      <c r="C447" s="1210">
        <v>22450</v>
      </c>
      <c r="D447" s="1230">
        <v>22450</v>
      </c>
      <c r="E447" s="1212">
        <f t="shared" si="52"/>
        <v>0</v>
      </c>
      <c r="F447" s="1211">
        <f t="shared" si="54"/>
        <v>-380</v>
      </c>
      <c r="G447" s="1229"/>
      <c r="H447" s="1269"/>
      <c r="I447" s="1291">
        <v>149000</v>
      </c>
    </row>
    <row r="448" spans="1:9" ht="15" customHeight="1">
      <c r="A448" s="1253">
        <v>41530</v>
      </c>
      <c r="B448" s="1209">
        <v>14190</v>
      </c>
      <c r="C448" s="1210">
        <v>22630</v>
      </c>
      <c r="D448" s="1230">
        <v>22575</v>
      </c>
      <c r="E448" s="1212">
        <f t="shared" si="52"/>
        <v>-55</v>
      </c>
      <c r="F448" s="1211">
        <f t="shared" si="54"/>
        <v>180</v>
      </c>
      <c r="G448" s="1215"/>
      <c r="H448" s="1269"/>
      <c r="I448" s="1291">
        <v>148250</v>
      </c>
    </row>
    <row r="449" spans="1:9" ht="15" customHeight="1">
      <c r="A449" s="1253">
        <v>41533</v>
      </c>
      <c r="B449" s="1209">
        <v>14280</v>
      </c>
      <c r="C449" s="1210">
        <v>22900</v>
      </c>
      <c r="D449" s="1230">
        <v>22895</v>
      </c>
      <c r="E449" s="1212">
        <f t="shared" si="52"/>
        <v>-5</v>
      </c>
      <c r="F449" s="1211">
        <f t="shared" si="54"/>
        <v>270</v>
      </c>
      <c r="G449" s="1215"/>
      <c r="H449" s="1269"/>
      <c r="I449" s="1291">
        <v>147500</v>
      </c>
    </row>
    <row r="450" spans="1:9" ht="15" customHeight="1">
      <c r="A450" s="1253">
        <v>41534</v>
      </c>
      <c r="B450" s="1209">
        <v>13970</v>
      </c>
      <c r="C450" s="1210">
        <v>22925</v>
      </c>
      <c r="D450" s="1230">
        <v>22975</v>
      </c>
      <c r="E450" s="1212">
        <f t="shared" si="52"/>
        <v>50</v>
      </c>
      <c r="F450" s="1211">
        <f t="shared" si="54"/>
        <v>25</v>
      </c>
      <c r="G450" s="1215"/>
      <c r="H450" s="1269"/>
      <c r="I450" s="1291">
        <v>147500</v>
      </c>
    </row>
    <row r="451" spans="1:9" ht="15" customHeight="1">
      <c r="A451" s="1253">
        <v>41535</v>
      </c>
      <c r="B451" s="1209">
        <v>13920</v>
      </c>
      <c r="C451" s="1210">
        <v>22935</v>
      </c>
      <c r="D451" s="1230">
        <v>22975</v>
      </c>
      <c r="E451" s="1212">
        <f t="shared" si="52"/>
        <v>40</v>
      </c>
      <c r="F451" s="1211">
        <f t="shared" si="54"/>
        <v>10</v>
      </c>
      <c r="G451" s="1215"/>
      <c r="H451" s="1269"/>
      <c r="I451" s="1291">
        <v>148000</v>
      </c>
    </row>
    <row r="452" spans="1:9" ht="15" customHeight="1">
      <c r="A452" s="1253">
        <v>41536</v>
      </c>
      <c r="B452" s="1209">
        <v>13820</v>
      </c>
      <c r="C452" s="1210">
        <v>23335</v>
      </c>
      <c r="D452" s="1230">
        <v>23350</v>
      </c>
      <c r="E452" s="1212">
        <f t="shared" si="52"/>
        <v>15</v>
      </c>
      <c r="F452" s="1211">
        <f t="shared" si="54"/>
        <v>400</v>
      </c>
      <c r="G452" s="1215"/>
      <c r="H452" s="1269"/>
      <c r="I452" s="1474" t="s">
        <v>115</v>
      </c>
    </row>
    <row r="453" spans="1:9" ht="15" customHeight="1">
      <c r="A453" s="1253">
        <v>41537</v>
      </c>
      <c r="B453" s="1209">
        <v>13740</v>
      </c>
      <c r="C453" s="1210">
        <v>23345</v>
      </c>
      <c r="D453" s="1230">
        <v>23225</v>
      </c>
      <c r="E453" s="1212">
        <f t="shared" si="52"/>
        <v>-120</v>
      </c>
      <c r="F453" s="1211">
        <f t="shared" si="54"/>
        <v>10</v>
      </c>
      <c r="G453" s="1215"/>
      <c r="H453" s="1269"/>
      <c r="I453" s="1474"/>
    </row>
    <row r="454" spans="1:9" ht="15" customHeight="1">
      <c r="A454" s="1253">
        <v>41540</v>
      </c>
      <c r="B454" s="1209">
        <v>13715</v>
      </c>
      <c r="C454" s="1210">
        <v>22900</v>
      </c>
      <c r="D454" s="1230">
        <v>23000</v>
      </c>
      <c r="E454" s="1212">
        <f t="shared" si="52"/>
        <v>100</v>
      </c>
      <c r="F454" s="1211">
        <f t="shared" si="54"/>
        <v>-445</v>
      </c>
      <c r="G454" s="1215"/>
      <c r="H454" s="1269"/>
      <c r="I454" s="1291">
        <v>148000</v>
      </c>
    </row>
    <row r="455" spans="1:9" ht="15" customHeight="1">
      <c r="A455" s="1253">
        <v>41541</v>
      </c>
      <c r="B455" s="1209">
        <v>13765</v>
      </c>
      <c r="C455" s="1210">
        <v>22925</v>
      </c>
      <c r="D455" s="1230">
        <v>22925</v>
      </c>
      <c r="E455" s="1212">
        <f t="shared" si="52"/>
        <v>0</v>
      </c>
      <c r="F455" s="1211">
        <f t="shared" ref="F455:F474" si="55">C455-C454</f>
        <v>25</v>
      </c>
      <c r="G455" s="1215"/>
      <c r="H455" s="1269"/>
      <c r="I455" s="1291">
        <v>147750</v>
      </c>
    </row>
    <row r="456" spans="1:9" ht="15" customHeight="1">
      <c r="A456" s="1253">
        <v>41542</v>
      </c>
      <c r="B456" s="1209">
        <v>13625</v>
      </c>
      <c r="C456" s="1210">
        <v>23000</v>
      </c>
      <c r="D456" s="1230">
        <v>23050</v>
      </c>
      <c r="E456" s="1212">
        <f t="shared" si="52"/>
        <v>50</v>
      </c>
      <c r="F456" s="1211">
        <f t="shared" si="55"/>
        <v>75</v>
      </c>
      <c r="G456" s="1215"/>
      <c r="H456" s="1269"/>
      <c r="I456" s="1291">
        <v>147750</v>
      </c>
    </row>
    <row r="457" spans="1:9" ht="15" customHeight="1">
      <c r="A457" s="1253">
        <v>41543</v>
      </c>
      <c r="B457" s="1209">
        <v>13625</v>
      </c>
      <c r="C457" s="1210">
        <v>23300</v>
      </c>
      <c r="D457" s="1230">
        <v>23355</v>
      </c>
      <c r="E457" s="1212">
        <f t="shared" si="52"/>
        <v>55</v>
      </c>
      <c r="F457" s="1211">
        <f t="shared" si="55"/>
        <v>300</v>
      </c>
      <c r="G457" s="1215"/>
      <c r="H457" s="1269"/>
      <c r="I457" s="1291">
        <v>148000</v>
      </c>
    </row>
    <row r="458" spans="1:9" ht="15" customHeight="1">
      <c r="A458" s="1253">
        <v>41544</v>
      </c>
      <c r="B458" s="1209">
        <v>13490</v>
      </c>
      <c r="C458" s="1210">
        <v>23450</v>
      </c>
      <c r="D458" s="1230">
        <v>23425</v>
      </c>
      <c r="E458" s="1212">
        <f t="shared" ref="E458:E520" si="56">D458-C458</f>
        <v>-25</v>
      </c>
      <c r="F458" s="1211">
        <f t="shared" si="55"/>
        <v>150</v>
      </c>
      <c r="G458" s="1215"/>
      <c r="H458" s="1269"/>
      <c r="I458" s="1291">
        <v>149000</v>
      </c>
    </row>
    <row r="459" spans="1:9" ht="15" customHeight="1">
      <c r="A459" s="1253">
        <v>41547</v>
      </c>
      <c r="B459" s="1209">
        <v>13415</v>
      </c>
      <c r="C459" s="1210">
        <v>23395</v>
      </c>
      <c r="D459" s="1230">
        <v>23400</v>
      </c>
      <c r="E459" s="1212">
        <f t="shared" si="56"/>
        <v>5</v>
      </c>
      <c r="F459" s="1211">
        <f t="shared" si="55"/>
        <v>-55</v>
      </c>
      <c r="G459" s="1227">
        <f>AVERAGE(C439:C459)</f>
        <v>22746.904761904763</v>
      </c>
      <c r="H459" s="1274">
        <f>AVERAGE(C266:C459)</f>
        <v>22086.349206349205</v>
      </c>
      <c r="I459" s="1291">
        <v>150000</v>
      </c>
    </row>
    <row r="460" spans="1:9" ht="15" customHeight="1">
      <c r="A460" s="1253">
        <v>41548</v>
      </c>
      <c r="B460" s="1209">
        <v>13240</v>
      </c>
      <c r="C460" s="1210">
        <v>23200</v>
      </c>
      <c r="D460" s="1230">
        <v>23240</v>
      </c>
      <c r="E460" s="1212">
        <f t="shared" si="56"/>
        <v>40</v>
      </c>
      <c r="F460" s="1211">
        <f t="shared" si="55"/>
        <v>-195</v>
      </c>
      <c r="G460" s="1215"/>
      <c r="H460" s="1269"/>
      <c r="I460" s="1459" t="s">
        <v>112</v>
      </c>
    </row>
    <row r="461" spans="1:9" ht="15" customHeight="1">
      <c r="A461" s="1253">
        <v>41549</v>
      </c>
      <c r="B461" s="1209">
        <v>13195</v>
      </c>
      <c r="C461" s="1210">
        <v>22710</v>
      </c>
      <c r="D461" s="1230">
        <v>22750</v>
      </c>
      <c r="E461" s="1212">
        <f t="shared" si="56"/>
        <v>40</v>
      </c>
      <c r="F461" s="1211">
        <f t="shared" si="55"/>
        <v>-490</v>
      </c>
      <c r="G461" s="1215"/>
      <c r="H461" s="1269"/>
      <c r="I461" s="1459"/>
    </row>
    <row r="462" spans="1:9" ht="15" customHeight="1">
      <c r="A462" s="1253">
        <v>41550</v>
      </c>
      <c r="B462" s="1209">
        <v>13170</v>
      </c>
      <c r="C462" s="1210">
        <v>22850</v>
      </c>
      <c r="D462" s="1230">
        <v>22870</v>
      </c>
      <c r="E462" s="1212">
        <f t="shared" si="56"/>
        <v>20</v>
      </c>
      <c r="F462" s="1211">
        <f t="shared" si="55"/>
        <v>140</v>
      </c>
      <c r="G462" s="1215"/>
      <c r="H462" s="1269"/>
      <c r="I462" s="1459"/>
    </row>
    <row r="463" spans="1:9" ht="15" customHeight="1">
      <c r="A463" s="1253">
        <v>41551</v>
      </c>
      <c r="B463" s="1209">
        <v>13195</v>
      </c>
      <c r="C463" s="1210">
        <v>22975</v>
      </c>
      <c r="D463" s="1230">
        <v>23025</v>
      </c>
      <c r="E463" s="1212">
        <f t="shared" si="56"/>
        <v>50</v>
      </c>
      <c r="F463" s="1211">
        <f t="shared" si="55"/>
        <v>125</v>
      </c>
      <c r="G463" s="1215"/>
      <c r="H463" s="1269"/>
      <c r="I463" s="1459"/>
    </row>
    <row r="464" spans="1:9" ht="15" customHeight="1">
      <c r="A464" s="1253">
        <v>41554</v>
      </c>
      <c r="B464" s="1209">
        <v>13195</v>
      </c>
      <c r="C464" s="1210">
        <v>23675</v>
      </c>
      <c r="D464" s="1230">
        <v>23700</v>
      </c>
      <c r="E464" s="1212">
        <f t="shared" si="56"/>
        <v>25</v>
      </c>
      <c r="F464" s="1211">
        <f t="shared" si="55"/>
        <v>700</v>
      </c>
      <c r="G464" s="1215"/>
      <c r="H464" s="1269"/>
      <c r="I464" s="1459"/>
    </row>
    <row r="465" spans="1:9" ht="15" customHeight="1">
      <c r="A465" s="1253">
        <v>41555</v>
      </c>
      <c r="B465" s="1209">
        <v>12835</v>
      </c>
      <c r="C465" s="1210">
        <v>23500</v>
      </c>
      <c r="D465" s="1230">
        <v>23550</v>
      </c>
      <c r="E465" s="1212">
        <f t="shared" si="56"/>
        <v>50</v>
      </c>
      <c r="F465" s="1211">
        <f t="shared" si="55"/>
        <v>-175</v>
      </c>
      <c r="G465" s="1215"/>
      <c r="H465" s="1269"/>
      <c r="I465" s="1291">
        <v>152000</v>
      </c>
    </row>
    <row r="466" spans="1:9" ht="15" customHeight="1">
      <c r="A466" s="1253">
        <v>41556</v>
      </c>
      <c r="B466" s="1209">
        <v>13045</v>
      </c>
      <c r="C466" s="1210">
        <v>23720</v>
      </c>
      <c r="D466" s="1230">
        <v>23800</v>
      </c>
      <c r="E466" s="1212">
        <f t="shared" si="56"/>
        <v>80</v>
      </c>
      <c r="F466" s="1211">
        <f t="shared" si="55"/>
        <v>220</v>
      </c>
      <c r="G466" s="1215"/>
      <c r="H466" s="1269"/>
      <c r="I466" s="1291">
        <v>152750</v>
      </c>
    </row>
    <row r="467" spans="1:9" ht="15" customHeight="1">
      <c r="A467" s="1253">
        <v>41557</v>
      </c>
      <c r="B467" s="1209">
        <v>12835</v>
      </c>
      <c r="C467" s="1210">
        <v>23395</v>
      </c>
      <c r="D467" s="1230">
        <v>23375</v>
      </c>
      <c r="E467" s="1212">
        <f t="shared" si="56"/>
        <v>-20</v>
      </c>
      <c r="F467" s="1211">
        <f t="shared" si="55"/>
        <v>-325</v>
      </c>
      <c r="G467" s="1215"/>
      <c r="H467" s="1269"/>
      <c r="I467" s="1291">
        <v>152500</v>
      </c>
    </row>
    <row r="468" spans="1:9" ht="15" customHeight="1">
      <c r="A468" s="1253">
        <v>41558</v>
      </c>
      <c r="B468" s="1209">
        <v>12830</v>
      </c>
      <c r="C468" s="1210">
        <v>23325</v>
      </c>
      <c r="D468" s="1230">
        <v>23310</v>
      </c>
      <c r="E468" s="1212">
        <f t="shared" si="56"/>
        <v>-15</v>
      </c>
      <c r="F468" s="1211">
        <f t="shared" si="55"/>
        <v>-70</v>
      </c>
      <c r="G468" s="1215"/>
      <c r="H468" s="1269"/>
      <c r="I468" s="1291">
        <v>152500</v>
      </c>
    </row>
    <row r="469" spans="1:9" ht="15" customHeight="1">
      <c r="A469" s="1253">
        <v>41561</v>
      </c>
      <c r="B469" s="1209">
        <v>12780</v>
      </c>
      <c r="C469" s="1210">
        <v>23380</v>
      </c>
      <c r="D469" s="1230">
        <v>23475</v>
      </c>
      <c r="E469" s="1212">
        <f t="shared" si="56"/>
        <v>95</v>
      </c>
      <c r="F469" s="1211">
        <f t="shared" si="55"/>
        <v>55</v>
      </c>
      <c r="G469" s="1215"/>
      <c r="H469" s="1269"/>
      <c r="I469" s="1291">
        <v>152000</v>
      </c>
    </row>
    <row r="470" spans="1:9" ht="15" customHeight="1">
      <c r="A470" s="1253">
        <v>41562</v>
      </c>
      <c r="B470" s="1209">
        <v>12780</v>
      </c>
      <c r="C470" s="1210">
        <v>23100</v>
      </c>
      <c r="D470" s="1230">
        <v>23100</v>
      </c>
      <c r="E470" s="1212">
        <f t="shared" si="56"/>
        <v>0</v>
      </c>
      <c r="F470" s="1211">
        <f t="shared" si="55"/>
        <v>-280</v>
      </c>
      <c r="G470" s="1215"/>
      <c r="H470" s="1269"/>
      <c r="I470" s="1291">
        <v>151500</v>
      </c>
    </row>
    <row r="471" spans="1:9" ht="15" customHeight="1">
      <c r="A471" s="1253">
        <v>41563</v>
      </c>
      <c r="B471" s="1209">
        <v>12780</v>
      </c>
      <c r="C471" s="1210">
        <v>22950</v>
      </c>
      <c r="D471" s="1230">
        <v>22950</v>
      </c>
      <c r="E471" s="1212">
        <f t="shared" si="56"/>
        <v>0</v>
      </c>
      <c r="F471" s="1211">
        <f t="shared" si="55"/>
        <v>-150</v>
      </c>
      <c r="G471" s="1215"/>
      <c r="H471" s="1269"/>
      <c r="I471" s="1291">
        <v>151250</v>
      </c>
    </row>
    <row r="472" spans="1:9" ht="15" customHeight="1">
      <c r="A472" s="1253">
        <v>41564</v>
      </c>
      <c r="B472" s="1209">
        <v>12885</v>
      </c>
      <c r="C472" s="1210">
        <v>22905</v>
      </c>
      <c r="D472" s="1230">
        <v>22900</v>
      </c>
      <c r="E472" s="1212">
        <f t="shared" si="56"/>
        <v>-5</v>
      </c>
      <c r="F472" s="1211">
        <f t="shared" si="55"/>
        <v>-45</v>
      </c>
      <c r="G472" s="1215"/>
      <c r="H472" s="1269"/>
      <c r="I472" s="1291">
        <v>150500</v>
      </c>
    </row>
    <row r="473" spans="1:9" ht="15" customHeight="1">
      <c r="A473" s="1253">
        <v>41565</v>
      </c>
      <c r="B473" s="1209">
        <v>12935</v>
      </c>
      <c r="C473" s="1210">
        <v>22760</v>
      </c>
      <c r="D473" s="1230">
        <v>22850</v>
      </c>
      <c r="E473" s="1212">
        <f t="shared" si="56"/>
        <v>90</v>
      </c>
      <c r="F473" s="1211">
        <f t="shared" si="55"/>
        <v>-145</v>
      </c>
      <c r="G473" s="1215"/>
      <c r="H473" s="1269"/>
      <c r="I473" s="1291">
        <v>149250</v>
      </c>
    </row>
    <row r="474" spans="1:9" ht="15" customHeight="1">
      <c r="A474" s="1253">
        <v>41568</v>
      </c>
      <c r="B474" s="1209">
        <v>13010</v>
      </c>
      <c r="C474" s="1210">
        <v>22905</v>
      </c>
      <c r="D474" s="1230">
        <v>22950</v>
      </c>
      <c r="E474" s="1212">
        <f t="shared" si="56"/>
        <v>45</v>
      </c>
      <c r="F474" s="1211">
        <f t="shared" si="55"/>
        <v>145</v>
      </c>
      <c r="G474" s="1215"/>
      <c r="H474" s="1269"/>
      <c r="I474" s="1291">
        <v>148250</v>
      </c>
    </row>
    <row r="475" spans="1:9" ht="15" customHeight="1">
      <c r="A475" s="1253">
        <v>41569</v>
      </c>
      <c r="B475" s="1209">
        <v>13060</v>
      </c>
      <c r="C475" s="1210">
        <v>23395</v>
      </c>
      <c r="D475" s="1230">
        <v>23425</v>
      </c>
      <c r="E475" s="1212">
        <f t="shared" si="56"/>
        <v>30</v>
      </c>
      <c r="F475" s="1211">
        <f t="shared" ref="F475:F489" si="57">C475-C474</f>
        <v>490</v>
      </c>
      <c r="G475" s="1215"/>
      <c r="H475" s="1269"/>
      <c r="I475" s="1291">
        <v>148250</v>
      </c>
    </row>
    <row r="476" spans="1:9" ht="15" customHeight="1">
      <c r="A476" s="1253">
        <v>41570</v>
      </c>
      <c r="B476" s="1209">
        <v>13060</v>
      </c>
      <c r="C476" s="1210">
        <v>22905</v>
      </c>
      <c r="D476" s="1230">
        <v>22975</v>
      </c>
      <c r="E476" s="1212">
        <f t="shared" si="56"/>
        <v>70</v>
      </c>
      <c r="F476" s="1211">
        <f t="shared" si="57"/>
        <v>-490</v>
      </c>
      <c r="G476" s="1215"/>
      <c r="H476" s="1269"/>
      <c r="I476" s="1291">
        <v>148500</v>
      </c>
    </row>
    <row r="477" spans="1:9" ht="15" customHeight="1">
      <c r="A477" s="1253">
        <v>41571</v>
      </c>
      <c r="B477" s="1209">
        <v>13110</v>
      </c>
      <c r="C477" s="1210">
        <v>22845</v>
      </c>
      <c r="D477" s="1230">
        <v>22855</v>
      </c>
      <c r="E477" s="1212">
        <f t="shared" si="56"/>
        <v>10</v>
      </c>
      <c r="F477" s="1211">
        <f t="shared" si="57"/>
        <v>-60</v>
      </c>
      <c r="G477" s="1215"/>
      <c r="H477" s="1269"/>
      <c r="I477" s="1291">
        <v>148500</v>
      </c>
    </row>
    <row r="478" spans="1:9" ht="15" customHeight="1">
      <c r="A478" s="1253">
        <v>41572</v>
      </c>
      <c r="B478" s="1209">
        <v>13110</v>
      </c>
      <c r="C478" s="1210">
        <v>22825</v>
      </c>
      <c r="D478" s="1230">
        <v>22830</v>
      </c>
      <c r="E478" s="1212">
        <f t="shared" si="56"/>
        <v>5</v>
      </c>
      <c r="F478" s="1211">
        <f t="shared" si="57"/>
        <v>-20</v>
      </c>
      <c r="G478" s="1215"/>
      <c r="H478" s="1269"/>
      <c r="I478" s="1291">
        <v>148500</v>
      </c>
    </row>
    <row r="479" spans="1:9" ht="15" customHeight="1">
      <c r="A479" s="1253">
        <v>41575</v>
      </c>
      <c r="B479" s="1209">
        <v>12940</v>
      </c>
      <c r="C479" s="1210">
        <v>23210</v>
      </c>
      <c r="D479" s="1230">
        <v>23325</v>
      </c>
      <c r="E479" s="1212">
        <f t="shared" si="56"/>
        <v>115</v>
      </c>
      <c r="F479" s="1211">
        <f t="shared" si="57"/>
        <v>385</v>
      </c>
      <c r="G479" s="1215"/>
      <c r="H479" s="1269"/>
      <c r="I479" s="1291">
        <v>148500</v>
      </c>
    </row>
    <row r="480" spans="1:9" ht="15" customHeight="1">
      <c r="A480" s="1253">
        <v>41576</v>
      </c>
      <c r="B480" s="1209">
        <v>12900</v>
      </c>
      <c r="C480" s="1210">
        <v>23225</v>
      </c>
      <c r="D480" s="1230">
        <v>23180</v>
      </c>
      <c r="E480" s="1212">
        <f t="shared" si="56"/>
        <v>-45</v>
      </c>
      <c r="F480" s="1211">
        <f t="shared" si="57"/>
        <v>15</v>
      </c>
      <c r="G480" s="1215"/>
      <c r="H480" s="1269"/>
      <c r="I480" s="1291">
        <v>148500</v>
      </c>
    </row>
    <row r="481" spans="1:9" ht="15" customHeight="1">
      <c r="A481" s="1253">
        <v>41577</v>
      </c>
      <c r="B481" s="1209">
        <v>12895</v>
      </c>
      <c r="C481" s="1210">
        <v>23200</v>
      </c>
      <c r="D481" s="1230">
        <v>23275</v>
      </c>
      <c r="E481" s="1212">
        <f t="shared" si="56"/>
        <v>75</v>
      </c>
      <c r="F481" s="1211">
        <f t="shared" si="57"/>
        <v>-25</v>
      </c>
      <c r="G481" s="1215"/>
      <c r="H481" s="1269"/>
      <c r="I481" s="1291">
        <v>148000</v>
      </c>
    </row>
    <row r="482" spans="1:9" ht="15" customHeight="1">
      <c r="A482" s="1253">
        <v>41578</v>
      </c>
      <c r="B482" s="1209">
        <v>12890</v>
      </c>
      <c r="C482" s="1210">
        <v>22995</v>
      </c>
      <c r="D482" s="1230">
        <v>23000</v>
      </c>
      <c r="E482" s="1212">
        <f t="shared" si="56"/>
        <v>5</v>
      </c>
      <c r="F482" s="1211">
        <f t="shared" si="57"/>
        <v>-205</v>
      </c>
      <c r="G482" s="1227">
        <f>AVERAGE(C460:C482)</f>
        <v>23128.260869565216</v>
      </c>
      <c r="H482" s="1274">
        <f>AVERAGE(C266:C482)</f>
        <v>22199.386792452831</v>
      </c>
      <c r="I482" s="1291">
        <v>148000</v>
      </c>
    </row>
    <row r="483" spans="1:9" ht="15" customHeight="1">
      <c r="A483" s="1253">
        <v>41579</v>
      </c>
      <c r="B483" s="1209">
        <v>12830</v>
      </c>
      <c r="C483" s="1210">
        <v>22975</v>
      </c>
      <c r="D483" s="1230">
        <v>22950</v>
      </c>
      <c r="E483" s="1212">
        <f t="shared" si="56"/>
        <v>-25</v>
      </c>
      <c r="F483" s="1211">
        <f t="shared" si="57"/>
        <v>-20</v>
      </c>
      <c r="G483" s="1215"/>
      <c r="H483" s="1269"/>
      <c r="I483" s="1291">
        <v>146750</v>
      </c>
    </row>
    <row r="484" spans="1:9" ht="15" customHeight="1">
      <c r="A484" s="1253">
        <v>41582</v>
      </c>
      <c r="B484" s="1209">
        <v>12245</v>
      </c>
      <c r="C484" s="1210">
        <v>22800</v>
      </c>
      <c r="D484" s="1230">
        <v>22770</v>
      </c>
      <c r="E484" s="1212">
        <f t="shared" si="56"/>
        <v>-30</v>
      </c>
      <c r="F484" s="1211">
        <f t="shared" si="57"/>
        <v>-175</v>
      </c>
      <c r="G484" s="1215"/>
      <c r="H484" s="1269"/>
      <c r="I484" s="1291">
        <v>146500</v>
      </c>
    </row>
    <row r="485" spans="1:9" ht="15" customHeight="1">
      <c r="A485" s="1253">
        <v>41583</v>
      </c>
      <c r="B485" s="1209">
        <v>12120</v>
      </c>
      <c r="C485" s="1210">
        <v>22750</v>
      </c>
      <c r="D485" s="1230">
        <v>22750</v>
      </c>
      <c r="E485" s="1212">
        <f t="shared" si="56"/>
        <v>0</v>
      </c>
      <c r="F485" s="1211">
        <f t="shared" si="57"/>
        <v>-50</v>
      </c>
      <c r="G485" s="1215"/>
      <c r="H485" s="1269"/>
      <c r="I485" s="1291">
        <v>146250</v>
      </c>
    </row>
    <row r="486" spans="1:9" ht="15" customHeight="1">
      <c r="A486" s="1253">
        <v>41584</v>
      </c>
      <c r="B486" s="1209">
        <v>12120</v>
      </c>
      <c r="C486" s="1210">
        <v>23025</v>
      </c>
      <c r="D486" s="1230">
        <v>23025</v>
      </c>
      <c r="E486" s="1212">
        <f t="shared" si="56"/>
        <v>0</v>
      </c>
      <c r="F486" s="1211">
        <f t="shared" si="57"/>
        <v>275</v>
      </c>
      <c r="G486" s="1215"/>
      <c r="H486" s="1269"/>
      <c r="I486" s="1291">
        <v>146000</v>
      </c>
    </row>
    <row r="487" spans="1:9" ht="15" customHeight="1">
      <c r="A487" s="1253">
        <v>41585</v>
      </c>
      <c r="B487" s="1209">
        <v>12120</v>
      </c>
      <c r="C487" s="1210">
        <v>22725</v>
      </c>
      <c r="D487" s="1230">
        <v>22670</v>
      </c>
      <c r="E487" s="1212">
        <f t="shared" si="56"/>
        <v>-55</v>
      </c>
      <c r="F487" s="1211">
        <f t="shared" si="57"/>
        <v>-300</v>
      </c>
      <c r="G487" s="1215"/>
      <c r="H487" s="1269"/>
      <c r="I487" s="1291">
        <v>146750</v>
      </c>
    </row>
    <row r="488" spans="1:9" ht="15" customHeight="1">
      <c r="A488" s="1253">
        <v>41586</v>
      </c>
      <c r="B488" s="1209">
        <v>12120</v>
      </c>
      <c r="C488" s="1210">
        <v>22940</v>
      </c>
      <c r="D488" s="1230">
        <v>22950</v>
      </c>
      <c r="E488" s="1212">
        <f t="shared" si="56"/>
        <v>10</v>
      </c>
      <c r="F488" s="1211">
        <f t="shared" si="57"/>
        <v>215</v>
      </c>
      <c r="G488" s="1215"/>
      <c r="H488" s="1269"/>
      <c r="I488" s="1291">
        <v>147000</v>
      </c>
    </row>
    <row r="489" spans="1:9" ht="15" customHeight="1">
      <c r="A489" s="1253">
        <v>41589</v>
      </c>
      <c r="B489" s="1209">
        <v>12120</v>
      </c>
      <c r="C489" s="1210">
        <v>22870</v>
      </c>
      <c r="D489" s="1230">
        <v>22870</v>
      </c>
      <c r="E489" s="1212">
        <f t="shared" si="56"/>
        <v>0</v>
      </c>
      <c r="F489" s="1211">
        <f t="shared" si="57"/>
        <v>-70</v>
      </c>
      <c r="G489" s="1215"/>
      <c r="H489" s="1269"/>
      <c r="I489" s="1291">
        <v>146750</v>
      </c>
    </row>
    <row r="490" spans="1:9" ht="15" customHeight="1">
      <c r="A490" s="1253">
        <v>41590</v>
      </c>
      <c r="B490" s="1209">
        <v>11760</v>
      </c>
      <c r="C490" s="1210">
        <v>22775</v>
      </c>
      <c r="D490" s="1230">
        <v>22750</v>
      </c>
      <c r="E490" s="1212">
        <f t="shared" si="56"/>
        <v>-25</v>
      </c>
      <c r="F490" s="1211">
        <f t="shared" ref="F490:F520" si="58">C490-C489</f>
        <v>-95</v>
      </c>
      <c r="G490" s="1215"/>
      <c r="H490" s="1269"/>
      <c r="I490" s="1291">
        <v>146750</v>
      </c>
    </row>
    <row r="491" spans="1:9" ht="15" customHeight="1">
      <c r="A491" s="1253">
        <v>41591</v>
      </c>
      <c r="B491" s="1209">
        <v>11760</v>
      </c>
      <c r="C491" s="1210">
        <v>22775</v>
      </c>
      <c r="D491" s="1230">
        <v>22800</v>
      </c>
      <c r="E491" s="1212">
        <f t="shared" si="56"/>
        <v>25</v>
      </c>
      <c r="F491" s="1211">
        <f t="shared" si="58"/>
        <v>0</v>
      </c>
      <c r="G491" s="1215"/>
      <c r="H491" s="1269"/>
      <c r="I491" s="1291">
        <v>146000</v>
      </c>
    </row>
    <row r="492" spans="1:9" ht="15" customHeight="1">
      <c r="A492" s="1253">
        <v>41592</v>
      </c>
      <c r="B492" s="1209">
        <v>11760</v>
      </c>
      <c r="C492" s="1210">
        <v>22905</v>
      </c>
      <c r="D492" s="1230">
        <v>22900</v>
      </c>
      <c r="E492" s="1212">
        <f t="shared" si="56"/>
        <v>-5</v>
      </c>
      <c r="F492" s="1211">
        <f t="shared" si="58"/>
        <v>130</v>
      </c>
      <c r="G492" s="1215"/>
      <c r="H492" s="1269"/>
      <c r="I492" s="1291">
        <v>145750</v>
      </c>
    </row>
    <row r="493" spans="1:9" ht="15" customHeight="1">
      <c r="A493" s="1253">
        <v>41593</v>
      </c>
      <c r="B493" s="1209">
        <v>11555</v>
      </c>
      <c r="C493" s="1210">
        <v>22975</v>
      </c>
      <c r="D493" s="1230">
        <v>22950</v>
      </c>
      <c r="E493" s="1212">
        <f t="shared" si="56"/>
        <v>-25</v>
      </c>
      <c r="F493" s="1211">
        <f t="shared" si="58"/>
        <v>70</v>
      </c>
      <c r="G493" s="1215"/>
      <c r="H493" s="1269"/>
      <c r="I493" s="1291">
        <v>145500</v>
      </c>
    </row>
    <row r="494" spans="1:9" ht="15" customHeight="1">
      <c r="A494" s="1253">
        <v>41596</v>
      </c>
      <c r="B494" s="1209">
        <v>11480</v>
      </c>
      <c r="C494" s="1210">
        <v>23000</v>
      </c>
      <c r="D494" s="1230">
        <v>22910</v>
      </c>
      <c r="E494" s="1212">
        <f t="shared" si="56"/>
        <v>-90</v>
      </c>
      <c r="F494" s="1211">
        <f t="shared" si="58"/>
        <v>25</v>
      </c>
      <c r="G494" s="1215"/>
      <c r="H494" s="1269"/>
      <c r="I494" s="1291">
        <v>146000</v>
      </c>
    </row>
    <row r="495" spans="1:9" ht="15" customHeight="1">
      <c r="A495" s="1253">
        <v>41597</v>
      </c>
      <c r="B495" s="1209">
        <v>11445</v>
      </c>
      <c r="C495" s="1210">
        <v>22850</v>
      </c>
      <c r="D495" s="1230">
        <v>22760</v>
      </c>
      <c r="E495" s="1212">
        <f t="shared" si="56"/>
        <v>-90</v>
      </c>
      <c r="F495" s="1211">
        <f t="shared" si="58"/>
        <v>-150</v>
      </c>
      <c r="G495" s="1215"/>
      <c r="H495" s="1269"/>
      <c r="I495" s="1291">
        <v>145750</v>
      </c>
    </row>
    <row r="496" spans="1:9" ht="15" customHeight="1">
      <c r="A496" s="1253">
        <v>41598</v>
      </c>
      <c r="B496" s="1209">
        <v>11445</v>
      </c>
      <c r="C496" s="1210">
        <v>22920</v>
      </c>
      <c r="D496" s="1230">
        <v>22850</v>
      </c>
      <c r="E496" s="1212">
        <f t="shared" si="56"/>
        <v>-70</v>
      </c>
      <c r="F496" s="1211">
        <f t="shared" si="58"/>
        <v>70</v>
      </c>
      <c r="G496" s="1215"/>
      <c r="H496" s="1269"/>
      <c r="I496" s="1291">
        <v>145500</v>
      </c>
    </row>
    <row r="497" spans="1:9" ht="15" customHeight="1">
      <c r="A497" s="1253">
        <v>41599</v>
      </c>
      <c r="B497" s="1209">
        <v>11385</v>
      </c>
      <c r="C497" s="1210">
        <v>22975</v>
      </c>
      <c r="D497" s="1230">
        <v>22975</v>
      </c>
      <c r="E497" s="1212">
        <f t="shared" si="56"/>
        <v>0</v>
      </c>
      <c r="F497" s="1211">
        <f t="shared" si="58"/>
        <v>55</v>
      </c>
      <c r="G497" s="1215"/>
      <c r="H497" s="1269"/>
      <c r="I497" s="1291">
        <v>145500</v>
      </c>
    </row>
    <row r="498" spans="1:9" ht="15" customHeight="1">
      <c r="A498" s="1253">
        <v>41600</v>
      </c>
      <c r="B498" s="1209">
        <v>11380</v>
      </c>
      <c r="C498" s="1210">
        <v>22900</v>
      </c>
      <c r="D498" s="1230">
        <v>22875</v>
      </c>
      <c r="E498" s="1212">
        <f t="shared" si="56"/>
        <v>-25</v>
      </c>
      <c r="F498" s="1211">
        <f t="shared" si="58"/>
        <v>-75</v>
      </c>
      <c r="G498" s="1215"/>
      <c r="H498" s="1269"/>
      <c r="I498" s="1291">
        <v>145250</v>
      </c>
    </row>
    <row r="499" spans="1:9" ht="15" customHeight="1">
      <c r="A499" s="1253">
        <v>41603</v>
      </c>
      <c r="B499" s="1209">
        <v>11090</v>
      </c>
      <c r="C499" s="1210">
        <v>22900</v>
      </c>
      <c r="D499" s="1230">
        <v>22900</v>
      </c>
      <c r="E499" s="1212">
        <f t="shared" si="56"/>
        <v>0</v>
      </c>
      <c r="F499" s="1211">
        <f t="shared" si="58"/>
        <v>0</v>
      </c>
      <c r="G499" s="1215"/>
      <c r="H499" s="1269"/>
      <c r="I499" s="1291">
        <v>145250</v>
      </c>
    </row>
    <row r="500" spans="1:9" ht="15" customHeight="1">
      <c r="A500" s="1253">
        <v>41604</v>
      </c>
      <c r="B500" s="1209">
        <v>10875</v>
      </c>
      <c r="C500" s="1210">
        <v>22945</v>
      </c>
      <c r="D500" s="1230">
        <v>22930</v>
      </c>
      <c r="E500" s="1212">
        <f t="shared" si="56"/>
        <v>-15</v>
      </c>
      <c r="F500" s="1211">
        <f t="shared" si="58"/>
        <v>45</v>
      </c>
      <c r="G500" s="1215"/>
      <c r="H500" s="1269"/>
      <c r="I500" s="1291">
        <v>144750</v>
      </c>
    </row>
    <row r="501" spans="1:9" ht="15" customHeight="1">
      <c r="A501" s="1253">
        <v>41605</v>
      </c>
      <c r="B501" s="1209">
        <v>10795</v>
      </c>
      <c r="C501" s="1210">
        <v>22855</v>
      </c>
      <c r="D501" s="1230">
        <v>22875</v>
      </c>
      <c r="E501" s="1212">
        <f t="shared" si="56"/>
        <v>20</v>
      </c>
      <c r="F501" s="1211">
        <f t="shared" si="58"/>
        <v>-90</v>
      </c>
      <c r="G501" s="1215"/>
      <c r="H501" s="1269"/>
      <c r="I501" s="1291">
        <v>144250</v>
      </c>
    </row>
    <row r="502" spans="1:9" ht="15" customHeight="1">
      <c r="A502" s="1253">
        <v>41606</v>
      </c>
      <c r="B502" s="1209">
        <v>10815</v>
      </c>
      <c r="C502" s="1210">
        <v>22600</v>
      </c>
      <c r="D502" s="1230">
        <v>22600</v>
      </c>
      <c r="E502" s="1212">
        <f t="shared" si="56"/>
        <v>0</v>
      </c>
      <c r="F502" s="1211">
        <f t="shared" si="58"/>
        <v>-255</v>
      </c>
      <c r="G502" s="1215"/>
      <c r="H502" s="1269"/>
      <c r="I502" s="1291">
        <v>144250</v>
      </c>
    </row>
    <row r="503" spans="1:9" ht="15" customHeight="1">
      <c r="A503" s="1253">
        <v>41607</v>
      </c>
      <c r="B503" s="1209">
        <v>10905</v>
      </c>
      <c r="C503" s="1210">
        <v>22530</v>
      </c>
      <c r="D503" s="1230">
        <v>22600</v>
      </c>
      <c r="E503" s="1212">
        <f t="shared" si="56"/>
        <v>70</v>
      </c>
      <c r="F503" s="1211">
        <f t="shared" si="58"/>
        <v>-70</v>
      </c>
      <c r="G503" s="1227">
        <f>AVERAGE(C483:C503)</f>
        <v>22856.666666666668</v>
      </c>
      <c r="H503" s="1274">
        <f>AVERAGE(C266:C503)</f>
        <v>22258.626609442061</v>
      </c>
      <c r="I503" s="1291">
        <v>144000</v>
      </c>
    </row>
    <row r="504" spans="1:9" ht="15" customHeight="1">
      <c r="A504" s="1253">
        <v>41610</v>
      </c>
      <c r="B504" s="1209">
        <v>10880</v>
      </c>
      <c r="C504" s="1210">
        <v>22685</v>
      </c>
      <c r="D504" s="1230">
        <v>22675</v>
      </c>
      <c r="E504" s="1212">
        <f t="shared" si="56"/>
        <v>-10</v>
      </c>
      <c r="F504" s="1211">
        <f t="shared" si="58"/>
        <v>155</v>
      </c>
      <c r="G504" s="1215"/>
      <c r="H504" s="1269"/>
      <c r="I504" s="1291">
        <v>143500</v>
      </c>
    </row>
    <row r="505" spans="1:9" ht="15" customHeight="1">
      <c r="A505" s="1253">
        <v>41611</v>
      </c>
      <c r="B505" s="1209">
        <v>10600</v>
      </c>
      <c r="C505" s="1210">
        <v>22485</v>
      </c>
      <c r="D505" s="1230">
        <v>22525</v>
      </c>
      <c r="E505" s="1212">
        <f t="shared" si="56"/>
        <v>40</v>
      </c>
      <c r="F505" s="1211">
        <f t="shared" si="58"/>
        <v>-200</v>
      </c>
      <c r="G505" s="1215"/>
      <c r="H505" s="1269"/>
      <c r="I505" s="1291">
        <v>142750</v>
      </c>
    </row>
    <row r="506" spans="1:9" ht="15" customHeight="1">
      <c r="A506" s="1253">
        <v>41612</v>
      </c>
      <c r="B506" s="1209">
        <v>10575</v>
      </c>
      <c r="C506" s="1210">
        <v>22675</v>
      </c>
      <c r="D506" s="1230">
        <v>22640</v>
      </c>
      <c r="E506" s="1212">
        <f t="shared" si="56"/>
        <v>-35</v>
      </c>
      <c r="F506" s="1211">
        <f t="shared" si="58"/>
        <v>190</v>
      </c>
      <c r="G506" s="1215"/>
      <c r="H506" s="1269"/>
      <c r="I506" s="1291">
        <v>142500</v>
      </c>
    </row>
    <row r="507" spans="1:9" ht="15" customHeight="1">
      <c r="A507" s="1253">
        <v>41613</v>
      </c>
      <c r="B507" s="1209">
        <v>10570</v>
      </c>
      <c r="C507" s="1210">
        <v>23125</v>
      </c>
      <c r="D507" s="1230">
        <v>23100</v>
      </c>
      <c r="E507" s="1212">
        <f t="shared" si="56"/>
        <v>-25</v>
      </c>
      <c r="F507" s="1211">
        <f t="shared" si="58"/>
        <v>450</v>
      </c>
      <c r="G507" s="1215"/>
      <c r="H507" s="1269"/>
      <c r="I507" s="1291">
        <v>141500</v>
      </c>
    </row>
    <row r="508" spans="1:9" ht="15" customHeight="1">
      <c r="A508" s="1253">
        <v>41614</v>
      </c>
      <c r="B508" s="1209">
        <v>10550</v>
      </c>
      <c r="C508" s="1210">
        <v>23025</v>
      </c>
      <c r="D508" s="1230">
        <v>22985</v>
      </c>
      <c r="E508" s="1212">
        <f t="shared" si="56"/>
        <v>-40</v>
      </c>
      <c r="F508" s="1211">
        <f t="shared" si="58"/>
        <v>-100</v>
      </c>
      <c r="G508" s="1215"/>
      <c r="H508" s="1269"/>
      <c r="I508" s="1291">
        <v>141500</v>
      </c>
    </row>
    <row r="509" spans="1:9" ht="15" customHeight="1">
      <c r="A509" s="1253">
        <v>41617</v>
      </c>
      <c r="B509" s="1209">
        <v>10550</v>
      </c>
      <c r="C509" s="1210">
        <v>23150</v>
      </c>
      <c r="D509" s="1230">
        <v>23175</v>
      </c>
      <c r="E509" s="1212">
        <f t="shared" si="56"/>
        <v>25</v>
      </c>
      <c r="F509" s="1211">
        <f t="shared" si="58"/>
        <v>125</v>
      </c>
      <c r="G509" s="1215"/>
      <c r="H509" s="1269"/>
      <c r="I509" s="1291">
        <v>142000</v>
      </c>
    </row>
    <row r="510" spans="1:9" ht="15" customHeight="1">
      <c r="A510" s="1253">
        <v>41618</v>
      </c>
      <c r="B510" s="1209">
        <v>10625</v>
      </c>
      <c r="C510" s="1210">
        <v>23280</v>
      </c>
      <c r="D510" s="1230">
        <v>23290</v>
      </c>
      <c r="E510" s="1212">
        <f t="shared" si="56"/>
        <v>10</v>
      </c>
      <c r="F510" s="1211">
        <f t="shared" si="58"/>
        <v>130</v>
      </c>
      <c r="G510" s="1215"/>
      <c r="H510" s="1269"/>
      <c r="I510" s="1291">
        <v>143000</v>
      </c>
    </row>
    <row r="511" spans="1:9" ht="15" customHeight="1">
      <c r="A511" s="1253">
        <v>41619</v>
      </c>
      <c r="B511" s="1209">
        <v>10365</v>
      </c>
      <c r="C511" s="1210">
        <v>22575</v>
      </c>
      <c r="D511" s="1230">
        <v>22550</v>
      </c>
      <c r="E511" s="1212">
        <f t="shared" si="56"/>
        <v>-25</v>
      </c>
      <c r="F511" s="1211">
        <f t="shared" si="58"/>
        <v>-705</v>
      </c>
      <c r="G511" s="1215"/>
      <c r="H511" s="1269"/>
      <c r="I511" s="1291">
        <v>14330</v>
      </c>
    </row>
    <row r="512" spans="1:9" ht="15" customHeight="1">
      <c r="A512" s="1253">
        <v>41620</v>
      </c>
      <c r="B512" s="1209">
        <v>10345</v>
      </c>
      <c r="C512" s="1210">
        <v>22700</v>
      </c>
      <c r="D512" s="1230">
        <v>22700</v>
      </c>
      <c r="E512" s="1212">
        <f t="shared" si="56"/>
        <v>0</v>
      </c>
      <c r="F512" s="1211">
        <f t="shared" si="58"/>
        <v>125</v>
      </c>
      <c r="G512" s="1215"/>
      <c r="H512" s="1269"/>
      <c r="I512" s="1291">
        <v>141250</v>
      </c>
    </row>
    <row r="513" spans="1:9" ht="15" customHeight="1">
      <c r="A513" s="1253">
        <v>41621</v>
      </c>
      <c r="B513" s="1209">
        <v>10370</v>
      </c>
      <c r="C513" s="1210">
        <v>22725</v>
      </c>
      <c r="D513" s="1230">
        <v>22655</v>
      </c>
      <c r="E513" s="1212">
        <f t="shared" si="56"/>
        <v>-70</v>
      </c>
      <c r="F513" s="1211">
        <f t="shared" si="58"/>
        <v>25</v>
      </c>
      <c r="G513" s="1215"/>
      <c r="H513" s="1269"/>
      <c r="I513" s="1291">
        <v>141250</v>
      </c>
    </row>
    <row r="514" spans="1:9" ht="15" customHeight="1">
      <c r="A514" s="1253">
        <v>41624</v>
      </c>
      <c r="B514" s="1209">
        <v>10315</v>
      </c>
      <c r="C514" s="1210">
        <v>22850</v>
      </c>
      <c r="D514" s="1230">
        <v>22850</v>
      </c>
      <c r="E514" s="1212">
        <f t="shared" si="56"/>
        <v>0</v>
      </c>
      <c r="F514" s="1211">
        <f t="shared" si="58"/>
        <v>125</v>
      </c>
      <c r="G514" s="1215"/>
      <c r="H514" s="1269"/>
      <c r="I514" s="1291">
        <v>141000</v>
      </c>
    </row>
    <row r="515" spans="1:9" ht="15" customHeight="1">
      <c r="A515" s="1253">
        <v>41625</v>
      </c>
      <c r="B515" s="1209">
        <v>10315</v>
      </c>
      <c r="C515" s="1210">
        <v>22800</v>
      </c>
      <c r="D515" s="1230">
        <v>22800</v>
      </c>
      <c r="E515" s="1212">
        <f t="shared" si="56"/>
        <v>0</v>
      </c>
      <c r="F515" s="1211">
        <f t="shared" si="58"/>
        <v>-50</v>
      </c>
      <c r="G515" s="1215"/>
      <c r="H515" s="1269"/>
      <c r="I515" s="1291">
        <v>141250</v>
      </c>
    </row>
    <row r="516" spans="1:9" ht="15" customHeight="1">
      <c r="A516" s="1253">
        <v>41626</v>
      </c>
      <c r="B516" s="1209">
        <v>10210</v>
      </c>
      <c r="C516" s="1210">
        <v>22750</v>
      </c>
      <c r="D516" s="1230">
        <v>22725</v>
      </c>
      <c r="E516" s="1212">
        <f t="shared" si="56"/>
        <v>-25</v>
      </c>
      <c r="F516" s="1211">
        <f t="shared" si="58"/>
        <v>-50</v>
      </c>
      <c r="G516" s="1215"/>
      <c r="H516" s="1269"/>
      <c r="I516" s="1291">
        <v>141250</v>
      </c>
    </row>
    <row r="517" spans="1:9" ht="15" customHeight="1">
      <c r="A517" s="1253">
        <v>41627</v>
      </c>
      <c r="B517" s="1209">
        <v>10210</v>
      </c>
      <c r="C517" s="1210">
        <v>22850</v>
      </c>
      <c r="D517" s="1230">
        <v>22850</v>
      </c>
      <c r="E517" s="1212">
        <f t="shared" si="56"/>
        <v>0</v>
      </c>
      <c r="F517" s="1211">
        <f t="shared" si="58"/>
        <v>100</v>
      </c>
      <c r="G517" s="1215"/>
      <c r="H517" s="1269"/>
      <c r="I517" s="1291">
        <v>141250</v>
      </c>
    </row>
    <row r="518" spans="1:9" ht="15" customHeight="1">
      <c r="A518" s="1253">
        <v>41628</v>
      </c>
      <c r="B518" s="1209">
        <v>10235</v>
      </c>
      <c r="C518" s="1210">
        <v>22875</v>
      </c>
      <c r="D518" s="1230">
        <v>22900</v>
      </c>
      <c r="E518" s="1212">
        <f t="shared" si="56"/>
        <v>25</v>
      </c>
      <c r="F518" s="1211">
        <f t="shared" si="58"/>
        <v>25</v>
      </c>
      <c r="G518" s="1215"/>
      <c r="H518" s="1269"/>
      <c r="I518" s="1291">
        <v>141500</v>
      </c>
    </row>
    <row r="519" spans="1:9" ht="15" customHeight="1">
      <c r="A519" s="1253">
        <v>41631</v>
      </c>
      <c r="B519" s="1209">
        <v>10235</v>
      </c>
      <c r="C519" s="1210">
        <v>22855</v>
      </c>
      <c r="D519" s="1230">
        <v>22855</v>
      </c>
      <c r="E519" s="1212">
        <f t="shared" si="56"/>
        <v>0</v>
      </c>
      <c r="F519" s="1211">
        <f t="shared" si="58"/>
        <v>-20</v>
      </c>
      <c r="G519" s="1215"/>
      <c r="H519" s="1269"/>
      <c r="I519" s="1291">
        <v>141500</v>
      </c>
    </row>
    <row r="520" spans="1:9" ht="15" customHeight="1">
      <c r="A520" s="1253">
        <v>41632</v>
      </c>
      <c r="B520" s="1209">
        <v>10005</v>
      </c>
      <c r="C520" s="1210">
        <v>22945</v>
      </c>
      <c r="D520" s="1230">
        <v>22920</v>
      </c>
      <c r="E520" s="1212">
        <f t="shared" si="56"/>
        <v>-25</v>
      </c>
      <c r="F520" s="1211">
        <f t="shared" si="58"/>
        <v>90</v>
      </c>
      <c r="G520" s="1215"/>
      <c r="H520" s="1269"/>
      <c r="I520" s="1291">
        <v>141250</v>
      </c>
    </row>
    <row r="521" spans="1:9" ht="15" customHeight="1">
      <c r="A521" s="1253">
        <v>41633</v>
      </c>
      <c r="B521" s="1434" t="s">
        <v>38</v>
      </c>
      <c r="C521" s="1434"/>
      <c r="D521" s="1434"/>
      <c r="E521" s="1434"/>
      <c r="F521" s="1434"/>
      <c r="G521" s="1215"/>
      <c r="H521" s="1269"/>
      <c r="I521" s="1291">
        <v>142250</v>
      </c>
    </row>
    <row r="522" spans="1:9" ht="15" customHeight="1">
      <c r="A522" s="1253">
        <v>41634</v>
      </c>
      <c r="B522" s="1434" t="s">
        <v>38</v>
      </c>
      <c r="C522" s="1434"/>
      <c r="D522" s="1434"/>
      <c r="E522" s="1434"/>
      <c r="F522" s="1434"/>
      <c r="G522" s="1215"/>
      <c r="H522" s="1269"/>
      <c r="I522" s="1291">
        <v>142250</v>
      </c>
    </row>
    <row r="523" spans="1:9" ht="15" customHeight="1">
      <c r="A523" s="1253">
        <v>41635</v>
      </c>
      <c r="B523" s="1209">
        <v>10005</v>
      </c>
      <c r="C523" s="1210">
        <v>23000</v>
      </c>
      <c r="D523" s="1230">
        <v>23000</v>
      </c>
      <c r="E523" s="1212">
        <f t="shared" ref="E523:E586" si="59">D523-C523</f>
        <v>0</v>
      </c>
      <c r="F523" s="1211">
        <f t="shared" ref="F523:F584" si="60">C523-C522</f>
        <v>23000</v>
      </c>
      <c r="G523" s="1215"/>
      <c r="H523" s="1269"/>
      <c r="I523" s="1291">
        <v>143000</v>
      </c>
    </row>
    <row r="524" spans="1:9" ht="15" customHeight="1">
      <c r="A524" s="1253">
        <v>41638</v>
      </c>
      <c r="B524" s="1209">
        <v>9995</v>
      </c>
      <c r="C524" s="1210">
        <v>22800</v>
      </c>
      <c r="D524" s="1230">
        <v>22775</v>
      </c>
      <c r="E524" s="1212">
        <f t="shared" si="59"/>
        <v>-25</v>
      </c>
      <c r="F524" s="1211">
        <f t="shared" si="60"/>
        <v>-200</v>
      </c>
      <c r="G524" s="1215"/>
      <c r="H524" s="1269"/>
      <c r="I524" s="1291">
        <v>143000</v>
      </c>
    </row>
    <row r="525" spans="1:9" ht="15" customHeight="1">
      <c r="A525" s="1253">
        <v>41639</v>
      </c>
      <c r="B525" s="1209">
        <v>9685</v>
      </c>
      <c r="C525" s="1210">
        <v>22550</v>
      </c>
      <c r="D525" s="1230">
        <v>22550</v>
      </c>
      <c r="E525" s="1212">
        <f t="shared" si="59"/>
        <v>0</v>
      </c>
      <c r="F525" s="1211">
        <f t="shared" si="60"/>
        <v>-250</v>
      </c>
      <c r="G525" s="1227">
        <f>AVERAGE(C504:C525)</f>
        <v>22835</v>
      </c>
      <c r="H525" s="1274">
        <f>AVERAGE(C266:C525)</f>
        <v>22304.18972332016</v>
      </c>
      <c r="I525" s="1291">
        <v>142500</v>
      </c>
    </row>
    <row r="526" spans="1:9" ht="15" customHeight="1">
      <c r="A526" s="1253">
        <v>41641</v>
      </c>
      <c r="B526" s="1209">
        <v>9660</v>
      </c>
      <c r="C526" s="1210">
        <v>22490</v>
      </c>
      <c r="D526" s="1230">
        <v>22475</v>
      </c>
      <c r="E526" s="1212">
        <f t="shared" si="59"/>
        <v>-15</v>
      </c>
      <c r="F526" s="1211">
        <f t="shared" si="60"/>
        <v>-60</v>
      </c>
      <c r="G526" s="1215"/>
      <c r="H526" s="1269"/>
      <c r="I526" s="1291">
        <v>141250</v>
      </c>
    </row>
    <row r="527" spans="1:9" ht="15" customHeight="1">
      <c r="A527" s="1253">
        <v>41642</v>
      </c>
      <c r="B527" s="1209">
        <v>9705</v>
      </c>
      <c r="C527" s="1210">
        <v>21580</v>
      </c>
      <c r="D527" s="1230">
        <v>21555</v>
      </c>
      <c r="E527" s="1212">
        <f t="shared" si="59"/>
        <v>-25</v>
      </c>
      <c r="F527" s="1211">
        <f t="shared" si="60"/>
        <v>-910</v>
      </c>
      <c r="G527" s="1215"/>
      <c r="H527" s="1269"/>
      <c r="I527" s="1291">
        <v>141250</v>
      </c>
    </row>
    <row r="528" spans="1:9" ht="15" customHeight="1">
      <c r="A528" s="1253">
        <v>41645</v>
      </c>
      <c r="B528" s="1209">
        <v>9655</v>
      </c>
      <c r="C528" s="1210">
        <v>21500</v>
      </c>
      <c r="D528" s="1230">
        <v>21410</v>
      </c>
      <c r="E528" s="1212">
        <f t="shared" si="59"/>
        <v>-90</v>
      </c>
      <c r="F528" s="1211">
        <f t="shared" si="60"/>
        <v>-80</v>
      </c>
      <c r="G528" s="1215"/>
      <c r="H528" s="1269"/>
      <c r="I528" s="1291">
        <v>141000</v>
      </c>
    </row>
    <row r="529" spans="1:9" ht="15" customHeight="1">
      <c r="A529" s="1253">
        <v>41646</v>
      </c>
      <c r="B529" s="1209">
        <v>9725</v>
      </c>
      <c r="C529" s="1210">
        <v>21720</v>
      </c>
      <c r="D529" s="1230">
        <v>21725</v>
      </c>
      <c r="E529" s="1212">
        <f t="shared" si="59"/>
        <v>5</v>
      </c>
      <c r="F529" s="1211">
        <f t="shared" si="60"/>
        <v>220</v>
      </c>
      <c r="G529" s="1215"/>
      <c r="H529" s="1269"/>
      <c r="I529" s="1291">
        <v>140750</v>
      </c>
    </row>
    <row r="530" spans="1:9" ht="15" customHeight="1">
      <c r="A530" s="1253">
        <v>41647</v>
      </c>
      <c r="B530" s="1209">
        <v>9560</v>
      </c>
      <c r="C530" s="1210">
        <v>22075</v>
      </c>
      <c r="D530" s="1230">
        <v>22050</v>
      </c>
      <c r="E530" s="1212">
        <f t="shared" si="59"/>
        <v>-25</v>
      </c>
      <c r="F530" s="1211">
        <f t="shared" si="60"/>
        <v>355</v>
      </c>
      <c r="G530" s="1215"/>
      <c r="H530" s="1269"/>
      <c r="I530" s="1291">
        <v>141500</v>
      </c>
    </row>
    <row r="531" spans="1:9" ht="15" customHeight="1">
      <c r="A531" s="1253">
        <v>41648</v>
      </c>
      <c r="B531" s="1209">
        <v>9610</v>
      </c>
      <c r="C531" s="1210">
        <v>21825</v>
      </c>
      <c r="D531" s="1230">
        <v>21800</v>
      </c>
      <c r="E531" s="1212">
        <f t="shared" si="59"/>
        <v>-25</v>
      </c>
      <c r="F531" s="1211">
        <f t="shared" si="60"/>
        <v>-250</v>
      </c>
      <c r="G531" s="1215"/>
      <c r="H531" s="1269"/>
      <c r="I531" s="1291">
        <v>142250</v>
      </c>
    </row>
    <row r="532" spans="1:9" ht="15" customHeight="1">
      <c r="A532" s="1253">
        <v>41649</v>
      </c>
      <c r="B532" s="1209">
        <v>9660</v>
      </c>
      <c r="C532" s="1210">
        <v>21850</v>
      </c>
      <c r="D532" s="1230">
        <v>21850</v>
      </c>
      <c r="E532" s="1212">
        <f t="shared" si="59"/>
        <v>0</v>
      </c>
      <c r="F532" s="1211">
        <f t="shared" si="60"/>
        <v>25</v>
      </c>
      <c r="G532" s="1215"/>
      <c r="H532" s="1269"/>
      <c r="I532" s="1291">
        <v>142500</v>
      </c>
    </row>
    <row r="533" spans="1:9" ht="15" customHeight="1">
      <c r="A533" s="1253">
        <v>41652</v>
      </c>
      <c r="B533" s="1209">
        <v>9620</v>
      </c>
      <c r="C533" s="1210">
        <v>21905</v>
      </c>
      <c r="D533" s="1230">
        <v>21900</v>
      </c>
      <c r="E533" s="1212">
        <f t="shared" si="59"/>
        <v>-5</v>
      </c>
      <c r="F533" s="1211">
        <f t="shared" si="60"/>
        <v>55</v>
      </c>
      <c r="G533" s="1215"/>
      <c r="H533" s="1269"/>
      <c r="I533" s="1291">
        <v>142750</v>
      </c>
    </row>
    <row r="534" spans="1:9" ht="15" customHeight="1">
      <c r="A534" s="1253">
        <v>41653</v>
      </c>
      <c r="B534" s="1209">
        <v>9600</v>
      </c>
      <c r="C534" s="1210">
        <v>22245</v>
      </c>
      <c r="D534" s="1230">
        <v>22225</v>
      </c>
      <c r="E534" s="1212">
        <f t="shared" si="59"/>
        <v>-20</v>
      </c>
      <c r="F534" s="1211">
        <f t="shared" si="60"/>
        <v>340</v>
      </c>
      <c r="G534" s="1215"/>
      <c r="H534" s="1269"/>
      <c r="I534" s="1291">
        <v>143000</v>
      </c>
    </row>
    <row r="535" spans="1:9" ht="15" customHeight="1">
      <c r="A535" s="1253">
        <v>41654</v>
      </c>
      <c r="B535" s="1209">
        <v>9580</v>
      </c>
      <c r="C535" s="1210">
        <v>22100</v>
      </c>
      <c r="D535" s="1230">
        <v>22100</v>
      </c>
      <c r="E535" s="1212">
        <f t="shared" si="59"/>
        <v>0</v>
      </c>
      <c r="F535" s="1211">
        <f t="shared" si="60"/>
        <v>-145</v>
      </c>
      <c r="G535" s="1215"/>
      <c r="H535" s="1269"/>
      <c r="I535" s="1291">
        <v>143000</v>
      </c>
    </row>
    <row r="536" spans="1:9" ht="15" customHeight="1">
      <c r="A536" s="1253">
        <v>41655</v>
      </c>
      <c r="B536" s="1209">
        <v>9530</v>
      </c>
      <c r="C536" s="1210">
        <v>22425</v>
      </c>
      <c r="D536" s="1230">
        <v>22395</v>
      </c>
      <c r="E536" s="1212">
        <f t="shared" si="59"/>
        <v>-30</v>
      </c>
      <c r="F536" s="1211">
        <f t="shared" si="60"/>
        <v>325</v>
      </c>
      <c r="G536" s="1215"/>
      <c r="H536" s="1269"/>
      <c r="I536" s="1291">
        <v>143000</v>
      </c>
    </row>
    <row r="537" spans="1:9" ht="15" customHeight="1">
      <c r="A537" s="1253">
        <v>41656</v>
      </c>
      <c r="B537" s="1209">
        <v>9470</v>
      </c>
      <c r="C537" s="1210">
        <v>22400</v>
      </c>
      <c r="D537" s="1230">
        <v>22410</v>
      </c>
      <c r="E537" s="1212">
        <f t="shared" si="59"/>
        <v>10</v>
      </c>
      <c r="F537" s="1211">
        <f t="shared" si="60"/>
        <v>-25</v>
      </c>
      <c r="G537" s="1215"/>
      <c r="H537" s="1269"/>
      <c r="I537" s="1291">
        <v>143000</v>
      </c>
    </row>
    <row r="538" spans="1:9" ht="15" customHeight="1">
      <c r="A538" s="1253">
        <v>41659</v>
      </c>
      <c r="B538" s="1209">
        <v>9470</v>
      </c>
      <c r="C538" s="1210">
        <v>22290</v>
      </c>
      <c r="D538" s="1230">
        <v>22300</v>
      </c>
      <c r="E538" s="1212">
        <f t="shared" si="59"/>
        <v>10</v>
      </c>
      <c r="F538" s="1211">
        <f t="shared" si="60"/>
        <v>-110</v>
      </c>
      <c r="G538" s="1215"/>
      <c r="H538" s="1269"/>
      <c r="I538" s="1291">
        <v>143000</v>
      </c>
    </row>
    <row r="539" spans="1:9" ht="15" customHeight="1">
      <c r="A539" s="1253">
        <v>41660</v>
      </c>
      <c r="B539" s="1209">
        <v>9510</v>
      </c>
      <c r="C539" s="1210">
        <v>22150</v>
      </c>
      <c r="D539" s="1230">
        <v>22125</v>
      </c>
      <c r="E539" s="1212">
        <f t="shared" si="59"/>
        <v>-25</v>
      </c>
      <c r="F539" s="1211">
        <f t="shared" si="60"/>
        <v>-140</v>
      </c>
      <c r="G539" s="1215"/>
      <c r="H539" s="1269"/>
      <c r="I539" s="1291">
        <v>142500</v>
      </c>
    </row>
    <row r="540" spans="1:9" ht="15" customHeight="1">
      <c r="A540" s="1253">
        <v>41661</v>
      </c>
      <c r="B540" s="1209">
        <v>9260</v>
      </c>
      <c r="C540" s="1210">
        <v>22240</v>
      </c>
      <c r="D540" s="1230">
        <v>22225</v>
      </c>
      <c r="E540" s="1212">
        <f t="shared" si="59"/>
        <v>-15</v>
      </c>
      <c r="F540" s="1211">
        <f t="shared" si="60"/>
        <v>90</v>
      </c>
      <c r="G540" s="1215"/>
      <c r="H540" s="1269"/>
      <c r="I540" s="1291">
        <v>141500</v>
      </c>
    </row>
    <row r="541" spans="1:9" ht="15" customHeight="1">
      <c r="A541" s="1253">
        <v>41662</v>
      </c>
      <c r="B541" s="1209">
        <v>9170</v>
      </c>
      <c r="C541" s="1210">
        <v>22175</v>
      </c>
      <c r="D541" s="1230">
        <v>22200</v>
      </c>
      <c r="E541" s="1212">
        <f t="shared" si="59"/>
        <v>25</v>
      </c>
      <c r="F541" s="1211">
        <f t="shared" si="60"/>
        <v>-65</v>
      </c>
      <c r="G541" s="1215"/>
      <c r="H541" s="1269"/>
      <c r="I541" s="1291">
        <v>141500</v>
      </c>
    </row>
    <row r="542" spans="1:9" ht="15" customHeight="1">
      <c r="A542" s="1253">
        <v>41663</v>
      </c>
      <c r="B542" s="1209">
        <v>9100</v>
      </c>
      <c r="C542" s="1210">
        <v>22125</v>
      </c>
      <c r="D542" s="1230">
        <v>22100</v>
      </c>
      <c r="E542" s="1212">
        <f t="shared" si="59"/>
        <v>-25</v>
      </c>
      <c r="F542" s="1211">
        <f t="shared" si="60"/>
        <v>-50</v>
      </c>
      <c r="G542" s="1215"/>
      <c r="H542" s="1269"/>
      <c r="I542" s="1291">
        <v>141500</v>
      </c>
    </row>
    <row r="543" spans="1:9" ht="15" customHeight="1">
      <c r="A543" s="1253">
        <v>41666</v>
      </c>
      <c r="B543" s="1209">
        <v>9065</v>
      </c>
      <c r="C543" s="1210">
        <v>22000</v>
      </c>
      <c r="D543" s="1230">
        <v>22000</v>
      </c>
      <c r="E543" s="1212">
        <f t="shared" si="59"/>
        <v>0</v>
      </c>
      <c r="F543" s="1211">
        <f t="shared" si="60"/>
        <v>-125</v>
      </c>
      <c r="G543" s="1215"/>
      <c r="H543" s="1269"/>
      <c r="I543" s="1291">
        <v>141500</v>
      </c>
    </row>
    <row r="544" spans="1:9" ht="15" customHeight="1">
      <c r="A544" s="1253">
        <v>41667</v>
      </c>
      <c r="B544" s="1209">
        <v>8905</v>
      </c>
      <c r="C544" s="1210">
        <v>22105</v>
      </c>
      <c r="D544" s="1230">
        <v>22100</v>
      </c>
      <c r="E544" s="1212">
        <f t="shared" si="59"/>
        <v>-5</v>
      </c>
      <c r="F544" s="1211">
        <f t="shared" si="60"/>
        <v>105</v>
      </c>
      <c r="G544" s="1229"/>
      <c r="H544" s="1269"/>
      <c r="I544" s="1291">
        <v>141500</v>
      </c>
    </row>
    <row r="545" spans="1:9" ht="15" customHeight="1">
      <c r="A545" s="1253">
        <v>41668</v>
      </c>
      <c r="B545" s="1209">
        <v>8885</v>
      </c>
      <c r="C545" s="1210">
        <v>22145</v>
      </c>
      <c r="D545" s="1230">
        <v>22150</v>
      </c>
      <c r="E545" s="1212">
        <f t="shared" si="59"/>
        <v>5</v>
      </c>
      <c r="F545" s="1211">
        <f t="shared" si="60"/>
        <v>40</v>
      </c>
      <c r="G545" s="1229"/>
      <c r="H545" s="1269"/>
      <c r="I545" s="1291">
        <v>141500</v>
      </c>
    </row>
    <row r="546" spans="1:9" ht="15" customHeight="1">
      <c r="A546" s="1253">
        <v>41669</v>
      </c>
      <c r="B546" s="1209">
        <v>8885</v>
      </c>
      <c r="C546" s="1210">
        <v>22305</v>
      </c>
      <c r="D546" s="1230">
        <v>22125</v>
      </c>
      <c r="E546" s="1212">
        <f t="shared" si="59"/>
        <v>-180</v>
      </c>
      <c r="F546" s="1211">
        <f t="shared" si="60"/>
        <v>160</v>
      </c>
      <c r="G546" s="1229"/>
      <c r="H546" s="1269"/>
      <c r="I546" s="1291">
        <v>141500</v>
      </c>
    </row>
    <row r="547" spans="1:9" ht="15" customHeight="1">
      <c r="A547" s="1253">
        <v>41670</v>
      </c>
      <c r="B547" s="1209">
        <v>8885</v>
      </c>
      <c r="C547" s="1210">
        <v>21925</v>
      </c>
      <c r="D547" s="1230">
        <v>21900</v>
      </c>
      <c r="E547" s="1212">
        <f t="shared" si="59"/>
        <v>-25</v>
      </c>
      <c r="F547" s="1211">
        <f t="shared" si="60"/>
        <v>-380</v>
      </c>
      <c r="G547" s="1227">
        <f>AVERAGE(C526:C547)</f>
        <v>22071.590909090908</v>
      </c>
      <c r="H547" s="1274">
        <f>AVERAGE(C526:C547)</f>
        <v>22071.590909090908</v>
      </c>
      <c r="I547" s="1292" t="s">
        <v>23</v>
      </c>
    </row>
    <row r="548" spans="1:9" ht="15" customHeight="1">
      <c r="A548" s="1253">
        <v>41673</v>
      </c>
      <c r="B548" s="1209">
        <v>8890</v>
      </c>
      <c r="C548" s="1210">
        <v>22200</v>
      </c>
      <c r="D548" s="1230">
        <v>22100</v>
      </c>
      <c r="E548" s="1212">
        <f t="shared" si="59"/>
        <v>-100</v>
      </c>
      <c r="F548" s="1211">
        <f t="shared" si="60"/>
        <v>275</v>
      </c>
      <c r="G548" s="1215"/>
      <c r="H548" s="1269"/>
      <c r="I548" s="1466" t="s">
        <v>23</v>
      </c>
    </row>
    <row r="549" spans="1:9" ht="15" customHeight="1">
      <c r="A549" s="1253">
        <v>41674</v>
      </c>
      <c r="B549" s="1209">
        <v>8890</v>
      </c>
      <c r="C549" s="1210">
        <v>22330</v>
      </c>
      <c r="D549" s="1230">
        <v>22275</v>
      </c>
      <c r="E549" s="1212">
        <f t="shared" si="59"/>
        <v>-55</v>
      </c>
      <c r="F549" s="1211">
        <f t="shared" si="60"/>
        <v>130</v>
      </c>
      <c r="G549" s="1215"/>
      <c r="H549" s="1269"/>
      <c r="I549" s="1466"/>
    </row>
    <row r="550" spans="1:9" ht="15" customHeight="1">
      <c r="A550" s="1253">
        <v>41675</v>
      </c>
      <c r="B550" s="1209">
        <v>8890</v>
      </c>
      <c r="C550" s="1210">
        <v>22150</v>
      </c>
      <c r="D550" s="1230">
        <v>22175</v>
      </c>
      <c r="E550" s="1212">
        <f t="shared" si="59"/>
        <v>25</v>
      </c>
      <c r="F550" s="1211">
        <f t="shared" si="60"/>
        <v>-180</v>
      </c>
      <c r="G550" s="1215"/>
      <c r="H550" s="1269"/>
      <c r="I550" s="1466"/>
    </row>
    <row r="551" spans="1:9" ht="15" customHeight="1">
      <c r="A551" s="1253">
        <v>41676</v>
      </c>
      <c r="B551" s="1209">
        <v>8940</v>
      </c>
      <c r="C551" s="1210">
        <v>22060</v>
      </c>
      <c r="D551" s="1230">
        <v>22030</v>
      </c>
      <c r="E551" s="1212">
        <f t="shared" si="59"/>
        <v>-30</v>
      </c>
      <c r="F551" s="1211">
        <f t="shared" si="60"/>
        <v>-90</v>
      </c>
      <c r="G551" s="1215"/>
      <c r="H551" s="1269"/>
      <c r="I551" s="1466"/>
    </row>
    <row r="552" spans="1:9" ht="15" customHeight="1">
      <c r="A552" s="1253">
        <v>41677</v>
      </c>
      <c r="B552" s="1209">
        <v>8940</v>
      </c>
      <c r="C552" s="1210">
        <v>22270</v>
      </c>
      <c r="D552" s="1230">
        <v>22250</v>
      </c>
      <c r="E552" s="1212">
        <f t="shared" si="59"/>
        <v>-20</v>
      </c>
      <c r="F552" s="1211">
        <f t="shared" si="60"/>
        <v>210</v>
      </c>
      <c r="G552" s="1215"/>
      <c r="H552" s="1269"/>
      <c r="I552" s="1291">
        <v>141500</v>
      </c>
    </row>
    <row r="553" spans="1:9" ht="15" customHeight="1">
      <c r="A553" s="1253">
        <v>41680</v>
      </c>
      <c r="B553" s="1209">
        <v>8940</v>
      </c>
      <c r="C553" s="1210">
        <v>22235</v>
      </c>
      <c r="D553" s="1230">
        <v>22185</v>
      </c>
      <c r="E553" s="1212">
        <f t="shared" si="59"/>
        <v>-50</v>
      </c>
      <c r="F553" s="1211">
        <f t="shared" si="60"/>
        <v>-35</v>
      </c>
      <c r="G553" s="1215"/>
      <c r="H553" s="1269"/>
      <c r="I553" s="1291">
        <v>141000</v>
      </c>
    </row>
    <row r="554" spans="1:9" ht="15" customHeight="1">
      <c r="A554" s="1253">
        <v>41681</v>
      </c>
      <c r="B554" s="1209">
        <v>8815</v>
      </c>
      <c r="C554" s="1210">
        <v>22290</v>
      </c>
      <c r="D554" s="1230">
        <v>22260</v>
      </c>
      <c r="E554" s="1212">
        <f t="shared" si="59"/>
        <v>-30</v>
      </c>
      <c r="F554" s="1211">
        <f t="shared" si="60"/>
        <v>55</v>
      </c>
      <c r="G554" s="1215"/>
      <c r="H554" s="1269"/>
      <c r="I554" s="1291">
        <v>140500</v>
      </c>
    </row>
    <row r="555" spans="1:9" ht="15" customHeight="1">
      <c r="A555" s="1253">
        <v>41682</v>
      </c>
      <c r="B555" s="1209">
        <v>8790</v>
      </c>
      <c r="C555" s="1210">
        <v>22425</v>
      </c>
      <c r="D555" s="1230">
        <v>22370</v>
      </c>
      <c r="E555" s="1212">
        <f t="shared" si="59"/>
        <v>-55</v>
      </c>
      <c r="F555" s="1211">
        <f t="shared" si="60"/>
        <v>135</v>
      </c>
      <c r="G555" s="1215"/>
      <c r="H555" s="1269"/>
      <c r="I555" s="1291">
        <v>140500</v>
      </c>
    </row>
    <row r="556" spans="1:9" ht="15" customHeight="1">
      <c r="A556" s="1253">
        <v>41683</v>
      </c>
      <c r="B556" s="1209">
        <v>8840</v>
      </c>
      <c r="C556" s="1210">
        <v>22600</v>
      </c>
      <c r="D556" s="1230">
        <v>22570</v>
      </c>
      <c r="E556" s="1212">
        <f t="shared" si="59"/>
        <v>-30</v>
      </c>
      <c r="F556" s="1211">
        <f t="shared" si="60"/>
        <v>175</v>
      </c>
      <c r="G556" s="1215"/>
      <c r="H556" s="1269"/>
      <c r="I556" s="1291">
        <v>141000</v>
      </c>
    </row>
    <row r="557" spans="1:9" ht="15" customHeight="1">
      <c r="A557" s="1253">
        <v>41684</v>
      </c>
      <c r="B557" s="1209">
        <v>8805</v>
      </c>
      <c r="C557" s="1210">
        <v>22930</v>
      </c>
      <c r="D557" s="1230">
        <v>22925</v>
      </c>
      <c r="E557" s="1212">
        <f t="shared" si="59"/>
        <v>-5</v>
      </c>
      <c r="F557" s="1211">
        <f t="shared" si="60"/>
        <v>330</v>
      </c>
      <c r="G557" s="1215"/>
      <c r="H557" s="1269"/>
      <c r="I557" s="1291">
        <v>141250</v>
      </c>
    </row>
    <row r="558" spans="1:9" ht="15" customHeight="1">
      <c r="A558" s="1253">
        <v>41687</v>
      </c>
      <c r="B558" s="1209">
        <v>8745</v>
      </c>
      <c r="C558" s="1210">
        <v>23230</v>
      </c>
      <c r="D558" s="1230">
        <v>23155</v>
      </c>
      <c r="E558" s="1212">
        <f t="shared" si="59"/>
        <v>-75</v>
      </c>
      <c r="F558" s="1211">
        <f t="shared" si="60"/>
        <v>300</v>
      </c>
      <c r="G558" s="1215"/>
      <c r="H558" s="1269"/>
      <c r="I558" s="1291">
        <v>142500</v>
      </c>
    </row>
    <row r="559" spans="1:9" ht="15" customHeight="1">
      <c r="A559" s="1253">
        <v>41688</v>
      </c>
      <c r="B559" s="1209">
        <v>8725</v>
      </c>
      <c r="C559" s="1210">
        <v>23095</v>
      </c>
      <c r="D559" s="1230">
        <v>23070</v>
      </c>
      <c r="E559" s="1212">
        <f t="shared" si="59"/>
        <v>-25</v>
      </c>
      <c r="F559" s="1211">
        <f t="shared" si="60"/>
        <v>-135</v>
      </c>
      <c r="G559" s="1215"/>
      <c r="H559" s="1269"/>
      <c r="I559" s="1291">
        <v>143250</v>
      </c>
    </row>
    <row r="560" spans="1:9" ht="15" customHeight="1">
      <c r="A560" s="1253">
        <v>41689</v>
      </c>
      <c r="B560" s="1209">
        <v>8595</v>
      </c>
      <c r="C560" s="1210">
        <v>23230</v>
      </c>
      <c r="D560" s="1230">
        <v>23175</v>
      </c>
      <c r="E560" s="1212">
        <f t="shared" si="59"/>
        <v>-55</v>
      </c>
      <c r="F560" s="1211">
        <f t="shared" si="60"/>
        <v>135</v>
      </c>
      <c r="G560" s="1215"/>
      <c r="H560" s="1269"/>
      <c r="I560" s="1291">
        <v>143250</v>
      </c>
    </row>
    <row r="561" spans="1:9" ht="15" customHeight="1">
      <c r="A561" s="1253">
        <v>41690</v>
      </c>
      <c r="B561" s="1209">
        <v>8430</v>
      </c>
      <c r="C561" s="1210">
        <v>23050</v>
      </c>
      <c r="D561" s="1230">
        <v>23000</v>
      </c>
      <c r="E561" s="1212">
        <f t="shared" si="59"/>
        <v>-50</v>
      </c>
      <c r="F561" s="1211">
        <f t="shared" si="60"/>
        <v>-180</v>
      </c>
      <c r="G561" s="1215"/>
      <c r="H561" s="1269"/>
      <c r="I561" s="1291">
        <v>142750</v>
      </c>
    </row>
    <row r="562" spans="1:9" ht="15" customHeight="1">
      <c r="A562" s="1253">
        <v>41691</v>
      </c>
      <c r="B562" s="1209">
        <v>8430</v>
      </c>
      <c r="C562" s="1210">
        <v>23130</v>
      </c>
      <c r="D562" s="1230">
        <v>23100</v>
      </c>
      <c r="E562" s="1212">
        <f t="shared" si="59"/>
        <v>-30</v>
      </c>
      <c r="F562" s="1211">
        <f t="shared" si="60"/>
        <v>80</v>
      </c>
      <c r="G562" s="1215"/>
      <c r="H562" s="1269"/>
      <c r="I562" s="1291">
        <v>142750</v>
      </c>
    </row>
    <row r="563" spans="1:9" ht="15" customHeight="1">
      <c r="A563" s="1253">
        <v>41694</v>
      </c>
      <c r="B563" s="1209">
        <v>8375</v>
      </c>
      <c r="C563" s="1210">
        <v>23100</v>
      </c>
      <c r="D563" s="1230">
        <v>23095</v>
      </c>
      <c r="E563" s="1212">
        <f t="shared" si="59"/>
        <v>-5</v>
      </c>
      <c r="F563" s="1211">
        <f t="shared" si="60"/>
        <v>-30</v>
      </c>
      <c r="G563" s="1215"/>
      <c r="H563" s="1269"/>
      <c r="I563" s="1291">
        <v>142000</v>
      </c>
    </row>
    <row r="564" spans="1:9" ht="15" customHeight="1">
      <c r="A564" s="1253">
        <v>41695</v>
      </c>
      <c r="B564" s="1209">
        <v>8365</v>
      </c>
      <c r="C564" s="1210">
        <v>23150</v>
      </c>
      <c r="D564" s="1230">
        <v>23150</v>
      </c>
      <c r="E564" s="1212">
        <f t="shared" si="59"/>
        <v>0</v>
      </c>
      <c r="F564" s="1211">
        <f t="shared" si="60"/>
        <v>50</v>
      </c>
      <c r="G564" s="1215"/>
      <c r="H564" s="1269"/>
      <c r="I564" s="1291">
        <v>141250</v>
      </c>
    </row>
    <row r="565" spans="1:9" ht="15" customHeight="1">
      <c r="A565" s="1253">
        <v>41696</v>
      </c>
      <c r="B565" s="1209">
        <v>8365</v>
      </c>
      <c r="C565" s="1210">
        <v>23575</v>
      </c>
      <c r="D565" s="1230">
        <v>23575</v>
      </c>
      <c r="E565" s="1212">
        <f t="shared" si="59"/>
        <v>0</v>
      </c>
      <c r="F565" s="1211">
        <f t="shared" si="60"/>
        <v>425</v>
      </c>
      <c r="G565" s="1215"/>
      <c r="H565" s="1269"/>
      <c r="I565" s="1291">
        <v>142000</v>
      </c>
    </row>
    <row r="566" spans="1:9" ht="15" customHeight="1">
      <c r="A566" s="1253">
        <v>41697</v>
      </c>
      <c r="B566" s="1209">
        <v>8415</v>
      </c>
      <c r="C566" s="1210">
        <v>23590</v>
      </c>
      <c r="D566" s="1230">
        <v>23515</v>
      </c>
      <c r="E566" s="1212">
        <f t="shared" si="59"/>
        <v>-75</v>
      </c>
      <c r="F566" s="1211">
        <f t="shared" si="60"/>
        <v>15</v>
      </c>
      <c r="G566" s="1215"/>
      <c r="H566" s="1269"/>
      <c r="I566" s="1291">
        <v>143000</v>
      </c>
    </row>
    <row r="567" spans="1:9" ht="15" customHeight="1">
      <c r="A567" s="1253">
        <v>41698</v>
      </c>
      <c r="B567" s="1209">
        <v>8065</v>
      </c>
      <c r="C567" s="1210">
        <v>23545</v>
      </c>
      <c r="D567" s="1230">
        <v>23525</v>
      </c>
      <c r="E567" s="1212">
        <f t="shared" si="59"/>
        <v>-20</v>
      </c>
      <c r="F567" s="1211">
        <f t="shared" si="60"/>
        <v>-45</v>
      </c>
      <c r="G567" s="1227">
        <f>AVERAGE(C548:C567)</f>
        <v>22809.25</v>
      </c>
      <c r="H567" s="1274">
        <f>AVERAGE(C526:C567)</f>
        <v>22422.857142857141</v>
      </c>
      <c r="I567" s="1291">
        <v>143000</v>
      </c>
    </row>
    <row r="568" spans="1:9" ht="15" customHeight="1">
      <c r="A568" s="1253">
        <v>41701</v>
      </c>
      <c r="B568" s="1209">
        <v>9085</v>
      </c>
      <c r="C568" s="1210">
        <v>23130</v>
      </c>
      <c r="D568" s="1230">
        <v>23030</v>
      </c>
      <c r="E568" s="1212">
        <f t="shared" si="59"/>
        <v>-100</v>
      </c>
      <c r="F568" s="1211">
        <f t="shared" si="60"/>
        <v>-415</v>
      </c>
      <c r="G568" s="1215"/>
      <c r="H568" s="1269"/>
      <c r="I568" s="1291">
        <v>142750</v>
      </c>
    </row>
    <row r="569" spans="1:9" ht="15" customHeight="1">
      <c r="A569" s="1253">
        <v>41702</v>
      </c>
      <c r="B569" s="1209">
        <v>9170</v>
      </c>
      <c r="C569" s="1210">
        <v>23225</v>
      </c>
      <c r="D569" s="1230">
        <v>23200</v>
      </c>
      <c r="E569" s="1212">
        <f t="shared" si="59"/>
        <v>-25</v>
      </c>
      <c r="F569" s="1211">
        <f t="shared" si="60"/>
        <v>95</v>
      </c>
      <c r="G569" s="1215"/>
      <c r="H569" s="1269"/>
      <c r="I569" s="1291">
        <v>142750</v>
      </c>
    </row>
    <row r="570" spans="1:9" ht="15" customHeight="1">
      <c r="A570" s="1253">
        <v>41703</v>
      </c>
      <c r="B570" s="1209">
        <v>9150</v>
      </c>
      <c r="C570" s="1210">
        <v>23350</v>
      </c>
      <c r="D570" s="1230">
        <v>23330</v>
      </c>
      <c r="E570" s="1212">
        <f t="shared" si="59"/>
        <v>-20</v>
      </c>
      <c r="F570" s="1211">
        <f t="shared" si="60"/>
        <v>125</v>
      </c>
      <c r="G570" s="1215"/>
      <c r="H570" s="1269"/>
      <c r="I570" s="1291">
        <v>142500</v>
      </c>
    </row>
    <row r="571" spans="1:9" ht="15" customHeight="1">
      <c r="A571" s="1253">
        <v>41704</v>
      </c>
      <c r="B571" s="1209">
        <v>9125</v>
      </c>
      <c r="C571" s="1210">
        <v>23305</v>
      </c>
      <c r="D571" s="1230">
        <v>23260</v>
      </c>
      <c r="E571" s="1212">
        <f t="shared" si="59"/>
        <v>-45</v>
      </c>
      <c r="F571" s="1211">
        <f t="shared" si="60"/>
        <v>-45</v>
      </c>
      <c r="G571" s="1215"/>
      <c r="H571" s="1269"/>
      <c r="I571" s="1291">
        <v>142500</v>
      </c>
    </row>
    <row r="572" spans="1:9" ht="15" customHeight="1">
      <c r="A572" s="1253">
        <v>41705</v>
      </c>
      <c r="B572" s="1209">
        <v>9105</v>
      </c>
      <c r="C572" s="1210">
        <v>23135</v>
      </c>
      <c r="D572" s="1230">
        <v>23125</v>
      </c>
      <c r="E572" s="1212">
        <f t="shared" si="59"/>
        <v>-10</v>
      </c>
      <c r="F572" s="1211">
        <f t="shared" si="60"/>
        <v>-170</v>
      </c>
      <c r="G572" s="1215"/>
      <c r="H572" s="1269"/>
      <c r="I572" s="1291">
        <v>142500</v>
      </c>
    </row>
    <row r="573" spans="1:9" ht="15" customHeight="1">
      <c r="A573" s="1253">
        <v>41708</v>
      </c>
      <c r="B573" s="1209">
        <v>9205</v>
      </c>
      <c r="C573" s="1210">
        <v>22855</v>
      </c>
      <c r="D573" s="1230">
        <v>22830</v>
      </c>
      <c r="E573" s="1212">
        <f t="shared" si="59"/>
        <v>-25</v>
      </c>
      <c r="F573" s="1211">
        <f t="shared" si="60"/>
        <v>-280</v>
      </c>
      <c r="G573" s="1215"/>
      <c r="H573" s="1269"/>
      <c r="I573" s="1291">
        <v>141250</v>
      </c>
    </row>
    <row r="574" spans="1:9" ht="15" customHeight="1">
      <c r="A574" s="1253">
        <v>41709</v>
      </c>
      <c r="B574" s="1209">
        <v>9140</v>
      </c>
      <c r="C574" s="1210">
        <v>23255</v>
      </c>
      <c r="D574" s="1230">
        <v>23245</v>
      </c>
      <c r="E574" s="1212">
        <f t="shared" si="59"/>
        <v>-10</v>
      </c>
      <c r="F574" s="1211">
        <f t="shared" si="60"/>
        <v>400</v>
      </c>
      <c r="G574" s="1215"/>
      <c r="H574" s="1269"/>
      <c r="I574" s="1291">
        <v>140250</v>
      </c>
    </row>
    <row r="575" spans="1:9" ht="15" customHeight="1">
      <c r="A575" s="1253">
        <v>41710</v>
      </c>
      <c r="B575" s="1209">
        <v>9035</v>
      </c>
      <c r="C575" s="1210">
        <v>22970</v>
      </c>
      <c r="D575" s="1230">
        <v>22950</v>
      </c>
      <c r="E575" s="1212">
        <f t="shared" si="59"/>
        <v>-20</v>
      </c>
      <c r="F575" s="1211">
        <f t="shared" si="60"/>
        <v>-285</v>
      </c>
      <c r="G575" s="1215"/>
      <c r="H575" s="1269"/>
      <c r="I575" s="1291">
        <v>139750</v>
      </c>
    </row>
    <row r="576" spans="1:9" ht="15" customHeight="1">
      <c r="A576" s="1253">
        <v>41711</v>
      </c>
      <c r="B576" s="1209">
        <v>9050</v>
      </c>
      <c r="C576" s="1210">
        <v>22780</v>
      </c>
      <c r="D576" s="1230">
        <v>22775</v>
      </c>
      <c r="E576" s="1212">
        <f t="shared" si="59"/>
        <v>-5</v>
      </c>
      <c r="F576" s="1211">
        <f t="shared" si="60"/>
        <v>-190</v>
      </c>
      <c r="G576" s="1215"/>
      <c r="H576" s="1269"/>
      <c r="I576" s="1291">
        <v>139750</v>
      </c>
    </row>
    <row r="577" spans="1:9" ht="15" customHeight="1">
      <c r="A577" s="1253">
        <v>41712</v>
      </c>
      <c r="B577" s="1209">
        <v>9085</v>
      </c>
      <c r="C577" s="1210">
        <v>23095</v>
      </c>
      <c r="D577" s="1230">
        <v>23100</v>
      </c>
      <c r="E577" s="1212">
        <f t="shared" si="59"/>
        <v>5</v>
      </c>
      <c r="F577" s="1211">
        <f t="shared" si="60"/>
        <v>315</v>
      </c>
      <c r="G577" s="1215"/>
      <c r="H577" s="1269"/>
      <c r="I577" s="1291">
        <v>140000</v>
      </c>
    </row>
    <row r="578" spans="1:9" ht="15" customHeight="1">
      <c r="A578" s="1253">
        <v>41715</v>
      </c>
      <c r="B578" s="1209">
        <v>9105</v>
      </c>
      <c r="C578" s="1210">
        <v>22900</v>
      </c>
      <c r="D578" s="1230">
        <v>22910</v>
      </c>
      <c r="E578" s="1212">
        <f t="shared" si="59"/>
        <v>10</v>
      </c>
      <c r="F578" s="1211">
        <f t="shared" si="60"/>
        <v>-195</v>
      </c>
      <c r="G578" s="1215"/>
      <c r="H578" s="1269"/>
      <c r="I578" s="1291">
        <v>140500</v>
      </c>
    </row>
    <row r="579" spans="1:9" ht="15" customHeight="1">
      <c r="A579" s="1253">
        <v>41716</v>
      </c>
      <c r="B579" s="1209">
        <v>9100</v>
      </c>
      <c r="C579" s="1210">
        <v>23125</v>
      </c>
      <c r="D579" s="1230">
        <v>23095</v>
      </c>
      <c r="E579" s="1212">
        <f t="shared" si="59"/>
        <v>-30</v>
      </c>
      <c r="F579" s="1211">
        <f t="shared" si="60"/>
        <v>225</v>
      </c>
      <c r="G579" s="1215"/>
      <c r="H579" s="1269"/>
      <c r="I579" s="1291">
        <v>140500</v>
      </c>
    </row>
    <row r="580" spans="1:9" ht="15" customHeight="1">
      <c r="A580" s="1253">
        <v>41717</v>
      </c>
      <c r="B580" s="1209">
        <v>9195</v>
      </c>
      <c r="C580" s="1210">
        <v>23225</v>
      </c>
      <c r="D580" s="1230">
        <v>23225</v>
      </c>
      <c r="E580" s="1212">
        <f t="shared" si="59"/>
        <v>0</v>
      </c>
      <c r="F580" s="1211">
        <f t="shared" si="60"/>
        <v>100</v>
      </c>
      <c r="G580" s="1215"/>
      <c r="H580" s="1269"/>
      <c r="I580" s="1291">
        <v>140500</v>
      </c>
    </row>
    <row r="581" spans="1:9" ht="15" customHeight="1">
      <c r="A581" s="1253">
        <v>41718</v>
      </c>
      <c r="B581" s="1209">
        <v>9245</v>
      </c>
      <c r="C581" s="1210">
        <v>23125</v>
      </c>
      <c r="D581" s="1230">
        <v>23125</v>
      </c>
      <c r="E581" s="1212">
        <f t="shared" si="59"/>
        <v>0</v>
      </c>
      <c r="F581" s="1211">
        <f t="shared" si="60"/>
        <v>-100</v>
      </c>
      <c r="G581" s="1215"/>
      <c r="H581" s="1269"/>
      <c r="I581" s="1291">
        <v>140500</v>
      </c>
    </row>
    <row r="582" spans="1:9" ht="15" customHeight="1">
      <c r="A582" s="1253">
        <v>41719</v>
      </c>
      <c r="B582" s="1209">
        <v>9430</v>
      </c>
      <c r="C582" s="1210">
        <v>23000</v>
      </c>
      <c r="D582" s="1230">
        <v>22950</v>
      </c>
      <c r="E582" s="1212">
        <f t="shared" si="59"/>
        <v>-50</v>
      </c>
      <c r="F582" s="1211">
        <f t="shared" si="60"/>
        <v>-125</v>
      </c>
      <c r="G582" s="1215"/>
      <c r="H582" s="1269"/>
      <c r="I582" s="1291">
        <v>140500</v>
      </c>
    </row>
    <row r="583" spans="1:9" ht="15" customHeight="1">
      <c r="A583" s="1253">
        <v>41722</v>
      </c>
      <c r="B583" s="1209">
        <v>9425</v>
      </c>
      <c r="C583" s="1210">
        <v>22960</v>
      </c>
      <c r="D583" s="1230">
        <v>22960</v>
      </c>
      <c r="E583" s="1212">
        <f t="shared" si="59"/>
        <v>0</v>
      </c>
      <c r="F583" s="1211">
        <f t="shared" si="60"/>
        <v>-40</v>
      </c>
      <c r="G583" s="1215"/>
      <c r="H583" s="1269"/>
      <c r="I583" s="1291">
        <v>140500</v>
      </c>
    </row>
    <row r="584" spans="1:9" ht="15" customHeight="1">
      <c r="A584" s="1253">
        <v>41723</v>
      </c>
      <c r="B584" s="1209">
        <v>9395</v>
      </c>
      <c r="C584" s="1210">
        <v>23230</v>
      </c>
      <c r="D584" s="1230">
        <v>23200</v>
      </c>
      <c r="E584" s="1212">
        <f t="shared" si="59"/>
        <v>-30</v>
      </c>
      <c r="F584" s="1211">
        <f t="shared" si="60"/>
        <v>270</v>
      </c>
      <c r="G584" s="1215"/>
      <c r="H584" s="1269"/>
      <c r="I584" s="1291">
        <v>140500</v>
      </c>
    </row>
    <row r="585" spans="1:9" ht="15" customHeight="1">
      <c r="A585" s="1253">
        <v>41724</v>
      </c>
      <c r="B585" s="1209">
        <v>9360</v>
      </c>
      <c r="C585" s="1210">
        <v>23275</v>
      </c>
      <c r="D585" s="1230">
        <v>23200</v>
      </c>
      <c r="E585" s="1212">
        <f t="shared" si="59"/>
        <v>-75</v>
      </c>
      <c r="F585" s="1211">
        <f t="shared" ref="F585:F601" si="61">C585-C584</f>
        <v>45</v>
      </c>
      <c r="G585" s="1215"/>
      <c r="H585" s="1269"/>
      <c r="I585" s="1291">
        <v>140500</v>
      </c>
    </row>
    <row r="586" spans="1:9" ht="15" customHeight="1">
      <c r="A586" s="1253">
        <v>41725</v>
      </c>
      <c r="B586" s="1209">
        <v>9545</v>
      </c>
      <c r="C586" s="1210">
        <v>23050</v>
      </c>
      <c r="D586" s="1230">
        <v>23100</v>
      </c>
      <c r="E586" s="1212">
        <f t="shared" si="59"/>
        <v>50</v>
      </c>
      <c r="F586" s="1211">
        <f t="shared" si="61"/>
        <v>-225</v>
      </c>
      <c r="G586" s="1215"/>
      <c r="H586" s="1269"/>
      <c r="I586" s="1291">
        <v>140250</v>
      </c>
    </row>
    <row r="587" spans="1:9" ht="15" customHeight="1">
      <c r="A587" s="1253">
        <v>41726</v>
      </c>
      <c r="B587" s="1209">
        <v>9545</v>
      </c>
      <c r="C587" s="1210">
        <v>23050</v>
      </c>
      <c r="D587" s="1230">
        <v>22950</v>
      </c>
      <c r="E587" s="1212">
        <f t="shared" ref="E587:E650" si="62">D587-C587</f>
        <v>-100</v>
      </c>
      <c r="F587" s="1211">
        <f t="shared" si="61"/>
        <v>0</v>
      </c>
      <c r="G587" s="1215"/>
      <c r="H587" s="1269"/>
      <c r="I587" s="1291">
        <v>140000</v>
      </c>
    </row>
    <row r="588" spans="1:9" ht="15" customHeight="1">
      <c r="A588" s="1253">
        <v>41729</v>
      </c>
      <c r="B588" s="1209">
        <v>9555</v>
      </c>
      <c r="C588" s="1210">
        <v>23025</v>
      </c>
      <c r="D588" s="1230">
        <v>22975</v>
      </c>
      <c r="E588" s="1212">
        <f t="shared" si="62"/>
        <v>-50</v>
      </c>
      <c r="F588" s="1211">
        <f t="shared" si="61"/>
        <v>-25</v>
      </c>
      <c r="G588" s="1227">
        <f>AVERAGE(C568:C588)</f>
        <v>23098.333333333332</v>
      </c>
      <c r="H588" s="1274">
        <f>AVERAGE(C526:C588)</f>
        <v>22648.015873015873</v>
      </c>
      <c r="I588" s="1291">
        <v>139000</v>
      </c>
    </row>
    <row r="589" spans="1:9" ht="15" customHeight="1">
      <c r="A589" s="1253">
        <v>41730</v>
      </c>
      <c r="B589" s="1209">
        <v>9555</v>
      </c>
      <c r="C589" s="1210">
        <v>22910</v>
      </c>
      <c r="D589" s="1230">
        <v>22875</v>
      </c>
      <c r="E589" s="1212">
        <f t="shared" si="62"/>
        <v>-35</v>
      </c>
      <c r="F589" s="1211">
        <f t="shared" si="61"/>
        <v>-115</v>
      </c>
      <c r="G589" s="1215"/>
      <c r="H589" s="1269"/>
      <c r="I589" s="1291">
        <v>138500</v>
      </c>
    </row>
    <row r="590" spans="1:9" ht="15" customHeight="1">
      <c r="A590" s="1253">
        <v>41731</v>
      </c>
      <c r="B590" s="1209">
        <v>9555</v>
      </c>
      <c r="C590" s="1210">
        <v>23125</v>
      </c>
      <c r="D590" s="1230">
        <v>23125</v>
      </c>
      <c r="E590" s="1212">
        <f t="shared" si="62"/>
        <v>0</v>
      </c>
      <c r="F590" s="1211">
        <f t="shared" si="61"/>
        <v>215</v>
      </c>
      <c r="G590" s="1215"/>
      <c r="H590" s="1269"/>
      <c r="I590" s="1291">
        <v>138500</v>
      </c>
    </row>
    <row r="591" spans="1:9" ht="15" customHeight="1">
      <c r="A591" s="1253">
        <v>41732</v>
      </c>
      <c r="B591" s="1209">
        <v>9645</v>
      </c>
      <c r="C591" s="1210">
        <v>23100</v>
      </c>
      <c r="D591" s="1230">
        <v>23100</v>
      </c>
      <c r="E591" s="1212">
        <f t="shared" si="62"/>
        <v>0</v>
      </c>
      <c r="F591" s="1211">
        <f t="shared" si="61"/>
        <v>-25</v>
      </c>
      <c r="G591" s="1215"/>
      <c r="H591" s="1269"/>
      <c r="I591" s="1291">
        <v>138500</v>
      </c>
    </row>
    <row r="592" spans="1:9" ht="15" customHeight="1">
      <c r="A592" s="1253">
        <v>41733</v>
      </c>
      <c r="B592" s="1209">
        <v>9645</v>
      </c>
      <c r="C592" s="1210">
        <v>23185</v>
      </c>
      <c r="D592" s="1230">
        <v>23105</v>
      </c>
      <c r="E592" s="1212">
        <f t="shared" si="62"/>
        <v>-80</v>
      </c>
      <c r="F592" s="1211">
        <f t="shared" si="61"/>
        <v>85</v>
      </c>
      <c r="G592" s="1215"/>
      <c r="H592" s="1269"/>
      <c r="I592" s="1291">
        <v>138750</v>
      </c>
    </row>
    <row r="593" spans="1:9" ht="15" customHeight="1">
      <c r="A593" s="1253">
        <v>41736</v>
      </c>
      <c r="B593" s="1209">
        <v>9495</v>
      </c>
      <c r="C593" s="1210">
        <v>23125</v>
      </c>
      <c r="D593" s="1230">
        <v>23025</v>
      </c>
      <c r="E593" s="1212">
        <f t="shared" si="62"/>
        <v>-100</v>
      </c>
      <c r="F593" s="1211">
        <f t="shared" si="61"/>
        <v>-60</v>
      </c>
      <c r="G593" s="1215"/>
      <c r="H593" s="1269"/>
      <c r="I593" s="1293" t="s">
        <v>23</v>
      </c>
    </row>
    <row r="594" spans="1:9" ht="15" customHeight="1">
      <c r="A594" s="1253">
        <v>41737</v>
      </c>
      <c r="B594" s="1209">
        <v>9420</v>
      </c>
      <c r="C594" s="1210">
        <v>23205</v>
      </c>
      <c r="D594" s="1230">
        <v>23180</v>
      </c>
      <c r="E594" s="1212">
        <f t="shared" si="62"/>
        <v>-25</v>
      </c>
      <c r="F594" s="1211">
        <f t="shared" si="61"/>
        <v>80</v>
      </c>
      <c r="G594" s="1215"/>
      <c r="H594" s="1269"/>
      <c r="I594" s="1291">
        <v>139000</v>
      </c>
    </row>
    <row r="595" spans="1:9" ht="15" customHeight="1">
      <c r="A595" s="1253">
        <v>41738</v>
      </c>
      <c r="B595" s="1209">
        <v>9420</v>
      </c>
      <c r="C595" s="1210">
        <v>23350</v>
      </c>
      <c r="D595" s="1230">
        <v>23300</v>
      </c>
      <c r="E595" s="1212">
        <f t="shared" si="62"/>
        <v>-50</v>
      </c>
      <c r="F595" s="1211">
        <f t="shared" si="61"/>
        <v>145</v>
      </c>
      <c r="G595" s="1215"/>
      <c r="H595" s="1269"/>
      <c r="I595" s="1291">
        <v>139000</v>
      </c>
    </row>
    <row r="596" spans="1:9" ht="15" customHeight="1">
      <c r="A596" s="1253">
        <v>41739</v>
      </c>
      <c r="B596" s="1209">
        <v>9440</v>
      </c>
      <c r="C596" s="1210">
        <v>23375</v>
      </c>
      <c r="D596" s="1230">
        <v>23350</v>
      </c>
      <c r="E596" s="1212">
        <f t="shared" si="62"/>
        <v>-25</v>
      </c>
      <c r="F596" s="1211">
        <f t="shared" si="61"/>
        <v>25</v>
      </c>
      <c r="G596" s="1215"/>
      <c r="H596" s="1269"/>
      <c r="I596" s="1291">
        <v>139750</v>
      </c>
    </row>
    <row r="597" spans="1:9" ht="15" customHeight="1">
      <c r="A597" s="1253">
        <v>41740</v>
      </c>
      <c r="B597" s="1209">
        <v>9430</v>
      </c>
      <c r="C597" s="1210">
        <v>23585</v>
      </c>
      <c r="D597" s="1230">
        <v>23575</v>
      </c>
      <c r="E597" s="1212">
        <f t="shared" si="62"/>
        <v>-10</v>
      </c>
      <c r="F597" s="1211">
        <f t="shared" si="61"/>
        <v>210</v>
      </c>
      <c r="G597" s="1215"/>
      <c r="H597" s="1269"/>
      <c r="I597" s="1291">
        <v>140500</v>
      </c>
    </row>
    <row r="598" spans="1:9" ht="15" customHeight="1">
      <c r="A598" s="1253">
        <v>41743</v>
      </c>
      <c r="B598" s="1209">
        <v>9460</v>
      </c>
      <c r="C598" s="1210">
        <v>23495</v>
      </c>
      <c r="D598" s="1230">
        <v>23350</v>
      </c>
      <c r="E598" s="1212">
        <f t="shared" si="62"/>
        <v>-145</v>
      </c>
      <c r="F598" s="1211">
        <f t="shared" si="61"/>
        <v>-90</v>
      </c>
      <c r="G598" s="1215"/>
      <c r="H598" s="1269"/>
      <c r="I598" s="1291">
        <v>140750</v>
      </c>
    </row>
    <row r="599" spans="1:9" ht="15" customHeight="1">
      <c r="A599" s="1253">
        <v>41744</v>
      </c>
      <c r="B599" s="1209">
        <v>9475</v>
      </c>
      <c r="C599" s="1210">
        <v>23475</v>
      </c>
      <c r="D599" s="1230">
        <v>23375</v>
      </c>
      <c r="E599" s="1212">
        <f t="shared" si="62"/>
        <v>-100</v>
      </c>
      <c r="F599" s="1211">
        <f t="shared" si="61"/>
        <v>-20</v>
      </c>
      <c r="G599" s="1215"/>
      <c r="H599" s="1269"/>
      <c r="I599" s="1291">
        <v>140750</v>
      </c>
    </row>
    <row r="600" spans="1:9" ht="15" customHeight="1">
      <c r="A600" s="1253">
        <v>41745</v>
      </c>
      <c r="B600" s="1209">
        <v>9530</v>
      </c>
      <c r="C600" s="1210">
        <v>23500</v>
      </c>
      <c r="D600" s="1230">
        <v>23475</v>
      </c>
      <c r="E600" s="1212">
        <f t="shared" si="62"/>
        <v>-25</v>
      </c>
      <c r="F600" s="1211">
        <f t="shared" si="61"/>
        <v>25</v>
      </c>
      <c r="G600" s="1215"/>
      <c r="H600" s="1269"/>
      <c r="I600" s="1291">
        <v>140500</v>
      </c>
    </row>
    <row r="601" spans="1:9" ht="15" customHeight="1">
      <c r="A601" s="1253">
        <v>41746</v>
      </c>
      <c r="B601" s="1209">
        <v>9515</v>
      </c>
      <c r="C601" s="1210">
        <v>23320</v>
      </c>
      <c r="D601" s="1230">
        <v>23350</v>
      </c>
      <c r="E601" s="1212">
        <f t="shared" si="62"/>
        <v>30</v>
      </c>
      <c r="F601" s="1211">
        <f t="shared" si="61"/>
        <v>-180</v>
      </c>
      <c r="G601" s="1215"/>
      <c r="H601" s="1269"/>
      <c r="I601" s="1291">
        <v>140500</v>
      </c>
    </row>
    <row r="602" spans="1:9" ht="15" customHeight="1">
      <c r="A602" s="1253">
        <v>41747</v>
      </c>
      <c r="B602" s="1209"/>
      <c r="C602" s="1477" t="s">
        <v>116</v>
      </c>
      <c r="D602" s="1230"/>
      <c r="E602" s="1212" t="e">
        <f t="shared" si="62"/>
        <v>#VALUE!</v>
      </c>
      <c r="F602" s="1211"/>
      <c r="G602" s="1215"/>
      <c r="H602" s="1269"/>
      <c r="I602" s="1291">
        <v>140500</v>
      </c>
    </row>
    <row r="603" spans="1:9" ht="15" customHeight="1">
      <c r="A603" s="1253">
        <v>41750</v>
      </c>
      <c r="B603" s="1209"/>
      <c r="C603" s="1477"/>
      <c r="D603" s="1230"/>
      <c r="E603" s="1212">
        <f t="shared" si="62"/>
        <v>0</v>
      </c>
      <c r="F603" s="1211"/>
      <c r="G603" s="1215"/>
      <c r="H603" s="1269"/>
      <c r="I603" s="1291">
        <v>140500</v>
      </c>
    </row>
    <row r="604" spans="1:9" ht="15" customHeight="1">
      <c r="A604" s="1253">
        <v>41751</v>
      </c>
      <c r="B604" s="1209">
        <v>9515</v>
      </c>
      <c r="C604" s="1210">
        <v>23675</v>
      </c>
      <c r="D604" s="1230">
        <v>23550</v>
      </c>
      <c r="E604" s="1212">
        <f t="shared" si="62"/>
        <v>-125</v>
      </c>
      <c r="F604" s="1211">
        <f>C604-C601</f>
        <v>355</v>
      </c>
      <c r="G604" s="1215"/>
      <c r="H604" s="1269"/>
      <c r="I604" s="1291">
        <v>140500</v>
      </c>
    </row>
    <row r="605" spans="1:9" ht="15" customHeight="1">
      <c r="A605" s="1253">
        <v>41752</v>
      </c>
      <c r="B605" s="1209">
        <v>9415</v>
      </c>
      <c r="C605" s="1210">
        <v>23725</v>
      </c>
      <c r="D605" s="1230">
        <v>23650</v>
      </c>
      <c r="E605" s="1212">
        <f t="shared" si="62"/>
        <v>-75</v>
      </c>
      <c r="F605" s="1211">
        <f t="shared" ref="F605:F612" si="63">C605-C604</f>
        <v>50</v>
      </c>
      <c r="G605" s="1215"/>
      <c r="H605" s="1269"/>
      <c r="I605" s="1291">
        <v>140500</v>
      </c>
    </row>
    <row r="606" spans="1:9" ht="15" customHeight="1">
      <c r="A606" s="1253">
        <v>41753</v>
      </c>
      <c r="B606" s="1209">
        <v>9445</v>
      </c>
      <c r="C606" s="1210">
        <v>23905</v>
      </c>
      <c r="D606" s="1230">
        <v>23770</v>
      </c>
      <c r="E606" s="1212">
        <f t="shared" si="62"/>
        <v>-135</v>
      </c>
      <c r="F606" s="1211">
        <f t="shared" si="63"/>
        <v>180</v>
      </c>
      <c r="G606" s="1215"/>
      <c r="H606" s="1269"/>
      <c r="I606" s="1291">
        <v>140750</v>
      </c>
    </row>
    <row r="607" spans="1:9" ht="15" customHeight="1">
      <c r="A607" s="1253">
        <v>41754</v>
      </c>
      <c r="B607" s="1209">
        <v>9450</v>
      </c>
      <c r="C607" s="1210">
        <v>23815</v>
      </c>
      <c r="D607" s="1230">
        <v>23750</v>
      </c>
      <c r="E607" s="1212">
        <f t="shared" si="62"/>
        <v>-65</v>
      </c>
      <c r="F607" s="1211">
        <f t="shared" si="63"/>
        <v>-90</v>
      </c>
      <c r="G607" s="1215"/>
      <c r="H607" s="1269"/>
      <c r="I607" s="1291">
        <v>141750</v>
      </c>
    </row>
    <row r="608" spans="1:9" ht="15" customHeight="1">
      <c r="A608" s="1253">
        <v>41757</v>
      </c>
      <c r="B608" s="1209">
        <v>8845</v>
      </c>
      <c r="C608" s="1210">
        <v>23800</v>
      </c>
      <c r="D608" s="1230">
        <v>23700</v>
      </c>
      <c r="E608" s="1212">
        <f t="shared" si="62"/>
        <v>-100</v>
      </c>
      <c r="F608" s="1211">
        <f t="shared" si="63"/>
        <v>-15</v>
      </c>
      <c r="G608" s="1215"/>
      <c r="H608" s="1269"/>
      <c r="I608" s="1291">
        <v>142250</v>
      </c>
    </row>
    <row r="609" spans="1:9" ht="15" customHeight="1">
      <c r="A609" s="1253">
        <v>41758</v>
      </c>
      <c r="B609" s="1209">
        <v>9380</v>
      </c>
      <c r="C609" s="1210">
        <v>23590</v>
      </c>
      <c r="D609" s="1230">
        <v>23455</v>
      </c>
      <c r="E609" s="1212">
        <f t="shared" si="62"/>
        <v>-135</v>
      </c>
      <c r="F609" s="1211">
        <f t="shared" si="63"/>
        <v>-210</v>
      </c>
      <c r="G609" s="1215"/>
      <c r="H609" s="1269"/>
      <c r="I609" s="1291">
        <v>142250</v>
      </c>
    </row>
    <row r="610" spans="1:9" ht="15" customHeight="1">
      <c r="A610" s="1253">
        <v>41759</v>
      </c>
      <c r="B610" s="1209">
        <v>9355</v>
      </c>
      <c r="C610" s="1210">
        <v>23175</v>
      </c>
      <c r="D610" s="1230">
        <v>23100</v>
      </c>
      <c r="E610" s="1212">
        <f t="shared" si="62"/>
        <v>-75</v>
      </c>
      <c r="F610" s="1211">
        <f t="shared" si="63"/>
        <v>-415</v>
      </c>
      <c r="G610" s="1227">
        <f>AVERAGE(C589:C610)</f>
        <v>23421.75</v>
      </c>
      <c r="H610" s="1274">
        <f>AVERAGE(C526:C610)</f>
        <v>22834.457831325301</v>
      </c>
      <c r="I610" s="1291">
        <v>141750</v>
      </c>
    </row>
    <row r="611" spans="1:9" ht="15" customHeight="1">
      <c r="A611" s="1253">
        <v>41760</v>
      </c>
      <c r="B611" s="1209">
        <v>9540</v>
      </c>
      <c r="C611" s="1210">
        <v>23050</v>
      </c>
      <c r="D611" s="1230">
        <v>23050</v>
      </c>
      <c r="E611" s="1212">
        <f t="shared" si="62"/>
        <v>0</v>
      </c>
      <c r="F611" s="1211">
        <f t="shared" si="63"/>
        <v>-125</v>
      </c>
      <c r="G611" s="1215"/>
      <c r="H611" s="1269"/>
      <c r="I611" s="1294" t="s">
        <v>45</v>
      </c>
    </row>
    <row r="612" spans="1:9" ht="15" customHeight="1">
      <c r="A612" s="1253">
        <v>41761</v>
      </c>
      <c r="B612" s="1209">
        <v>9540</v>
      </c>
      <c r="C612" s="1210">
        <v>23000</v>
      </c>
      <c r="D612" s="1230">
        <v>22900</v>
      </c>
      <c r="E612" s="1212">
        <f t="shared" si="62"/>
        <v>-100</v>
      </c>
      <c r="F612" s="1211">
        <f t="shared" si="63"/>
        <v>-50</v>
      </c>
      <c r="G612" s="1215"/>
      <c r="H612" s="1269"/>
      <c r="I612" s="1294" t="s">
        <v>45</v>
      </c>
    </row>
    <row r="613" spans="1:9" ht="15" customHeight="1">
      <c r="A613" s="1253">
        <v>41764</v>
      </c>
      <c r="B613" s="1209"/>
      <c r="C613" s="1210"/>
      <c r="D613" s="1231" t="s">
        <v>45</v>
      </c>
      <c r="E613" s="1212" t="e">
        <f t="shared" si="62"/>
        <v>#VALUE!</v>
      </c>
      <c r="F613" s="1211"/>
      <c r="G613" s="1215"/>
      <c r="H613" s="1269"/>
      <c r="I613" s="1291">
        <v>141000</v>
      </c>
    </row>
    <row r="614" spans="1:9" ht="15" customHeight="1">
      <c r="A614" s="1253">
        <v>41765</v>
      </c>
      <c r="B614" s="1209">
        <v>9535</v>
      </c>
      <c r="C614" s="1210">
        <v>23205</v>
      </c>
      <c r="D614" s="1230">
        <v>23175</v>
      </c>
      <c r="E614" s="1212">
        <f t="shared" si="62"/>
        <v>-30</v>
      </c>
      <c r="F614" s="1211">
        <f>C614-C612</f>
        <v>205</v>
      </c>
      <c r="G614" s="1215"/>
      <c r="H614" s="1269"/>
      <c r="I614" s="1291">
        <v>140250</v>
      </c>
    </row>
    <row r="615" spans="1:9" ht="15" customHeight="1">
      <c r="A615" s="1253">
        <v>41766</v>
      </c>
      <c r="B615" s="1209">
        <v>9705</v>
      </c>
      <c r="C615" s="1210">
        <v>23250</v>
      </c>
      <c r="D615" s="1230">
        <v>23200</v>
      </c>
      <c r="E615" s="1212">
        <f t="shared" si="62"/>
        <v>-50</v>
      </c>
      <c r="F615" s="1211">
        <f t="shared" ref="F615:F627" si="64">C615-C614</f>
        <v>45</v>
      </c>
      <c r="G615" s="1215"/>
      <c r="H615" s="1269"/>
      <c r="I615" s="1291">
        <v>139750</v>
      </c>
    </row>
    <row r="616" spans="1:9" ht="15" customHeight="1">
      <c r="A616" s="1253">
        <v>41767</v>
      </c>
      <c r="B616" s="1209">
        <v>9705</v>
      </c>
      <c r="C616" s="1210">
        <v>23250</v>
      </c>
      <c r="D616" s="1230">
        <v>23200</v>
      </c>
      <c r="E616" s="1212">
        <f t="shared" si="62"/>
        <v>-50</v>
      </c>
      <c r="F616" s="1211">
        <f t="shared" si="64"/>
        <v>0</v>
      </c>
      <c r="G616" s="1215"/>
      <c r="H616" s="1269"/>
      <c r="I616" s="1291">
        <v>139000</v>
      </c>
    </row>
    <row r="617" spans="1:9" ht="15" customHeight="1">
      <c r="A617" s="1253">
        <v>41768</v>
      </c>
      <c r="B617" s="1209">
        <v>9505</v>
      </c>
      <c r="C617" s="1210">
        <v>23300</v>
      </c>
      <c r="D617" s="1230">
        <v>23150</v>
      </c>
      <c r="E617" s="1212">
        <f t="shared" si="62"/>
        <v>-150</v>
      </c>
      <c r="F617" s="1211">
        <f t="shared" si="64"/>
        <v>50</v>
      </c>
      <c r="G617" s="1215"/>
      <c r="H617" s="1269"/>
      <c r="I617" s="1291">
        <v>139500</v>
      </c>
    </row>
    <row r="618" spans="1:9" ht="15" customHeight="1">
      <c r="A618" s="1253">
        <v>41771</v>
      </c>
      <c r="B618" s="1209">
        <v>9640</v>
      </c>
      <c r="C618" s="1210">
        <v>23375</v>
      </c>
      <c r="D618" s="1230">
        <v>23175</v>
      </c>
      <c r="E618" s="1212">
        <f t="shared" si="62"/>
        <v>-200</v>
      </c>
      <c r="F618" s="1211">
        <f t="shared" si="64"/>
        <v>75</v>
      </c>
      <c r="G618" s="1215"/>
      <c r="H618" s="1269"/>
      <c r="I618" s="1291">
        <v>140500</v>
      </c>
    </row>
    <row r="619" spans="1:9" ht="15" customHeight="1">
      <c r="A619" s="1253">
        <v>41772</v>
      </c>
      <c r="B619" s="1209">
        <v>9620</v>
      </c>
      <c r="C619" s="1210">
        <v>23225</v>
      </c>
      <c r="D619" s="1230">
        <v>23150</v>
      </c>
      <c r="E619" s="1212">
        <f t="shared" si="62"/>
        <v>-75</v>
      </c>
      <c r="F619" s="1211">
        <f t="shared" si="64"/>
        <v>-150</v>
      </c>
      <c r="G619" s="1215"/>
      <c r="H619" s="1269"/>
      <c r="I619" s="1291">
        <v>140500</v>
      </c>
    </row>
    <row r="620" spans="1:9" ht="15" customHeight="1">
      <c r="A620" s="1253">
        <v>41773</v>
      </c>
      <c r="B620" s="1209">
        <v>9620</v>
      </c>
      <c r="C620" s="1210">
        <v>23480</v>
      </c>
      <c r="D620" s="1230">
        <v>23450</v>
      </c>
      <c r="E620" s="1212">
        <f t="shared" si="62"/>
        <v>-30</v>
      </c>
      <c r="F620" s="1211">
        <f t="shared" si="64"/>
        <v>255</v>
      </c>
      <c r="G620" s="1215"/>
      <c r="H620" s="1269"/>
      <c r="I620" s="1291">
        <v>140750</v>
      </c>
    </row>
    <row r="621" spans="1:9" ht="15" customHeight="1">
      <c r="A621" s="1253">
        <v>41774</v>
      </c>
      <c r="B621" s="1209">
        <v>9720</v>
      </c>
      <c r="C621" s="1210">
        <v>23400</v>
      </c>
      <c r="D621" s="1230">
        <v>23300</v>
      </c>
      <c r="E621" s="1212">
        <f t="shared" si="62"/>
        <v>-100</v>
      </c>
      <c r="F621" s="1211">
        <f t="shared" si="64"/>
        <v>-80</v>
      </c>
      <c r="G621" s="1215"/>
      <c r="H621" s="1269"/>
      <c r="I621" s="1291">
        <v>140750</v>
      </c>
    </row>
    <row r="622" spans="1:9" ht="15" customHeight="1">
      <c r="A622" s="1253">
        <v>41775</v>
      </c>
      <c r="B622" s="1209">
        <v>9665</v>
      </c>
      <c r="C622" s="1210">
        <v>23435</v>
      </c>
      <c r="D622" s="1230">
        <v>23350</v>
      </c>
      <c r="E622" s="1212">
        <f t="shared" si="62"/>
        <v>-85</v>
      </c>
      <c r="F622" s="1211">
        <f t="shared" si="64"/>
        <v>35</v>
      </c>
      <c r="G622" s="1215"/>
      <c r="H622" s="1269"/>
      <c r="I622" s="1291">
        <v>140750</v>
      </c>
    </row>
    <row r="623" spans="1:9" ht="15" customHeight="1">
      <c r="A623" s="1253">
        <v>41778</v>
      </c>
      <c r="B623" s="1209">
        <v>9665</v>
      </c>
      <c r="C623" s="1210">
        <v>23555</v>
      </c>
      <c r="D623" s="1230">
        <v>23475</v>
      </c>
      <c r="E623" s="1212">
        <f t="shared" si="62"/>
        <v>-80</v>
      </c>
      <c r="F623" s="1211">
        <f t="shared" si="64"/>
        <v>120</v>
      </c>
      <c r="G623" s="1215"/>
      <c r="H623" s="1269"/>
      <c r="I623" s="1291">
        <v>140250</v>
      </c>
    </row>
    <row r="624" spans="1:9" ht="15" customHeight="1">
      <c r="A624" s="1253">
        <v>41779</v>
      </c>
      <c r="B624" s="1209">
        <v>10640</v>
      </c>
      <c r="C624" s="1210">
        <v>23350</v>
      </c>
      <c r="D624" s="1230">
        <v>23200</v>
      </c>
      <c r="E624" s="1212">
        <f t="shared" si="62"/>
        <v>-150</v>
      </c>
      <c r="F624" s="1211">
        <f t="shared" si="64"/>
        <v>-205</v>
      </c>
      <c r="G624" s="1215"/>
      <c r="H624" s="1269"/>
      <c r="I624" s="1291">
        <v>140250</v>
      </c>
    </row>
    <row r="625" spans="1:9" ht="15" customHeight="1">
      <c r="A625" s="1253">
        <v>41780</v>
      </c>
      <c r="B625" s="1209">
        <v>10740</v>
      </c>
      <c r="C625" s="1210">
        <v>23050</v>
      </c>
      <c r="D625" s="1230">
        <v>23000</v>
      </c>
      <c r="E625" s="1212">
        <f t="shared" si="62"/>
        <v>-50</v>
      </c>
      <c r="F625" s="1211">
        <f t="shared" si="64"/>
        <v>-300</v>
      </c>
      <c r="G625" s="1215"/>
      <c r="H625" s="1269"/>
      <c r="I625" s="1291">
        <v>140250</v>
      </c>
    </row>
    <row r="626" spans="1:9" ht="15" customHeight="1">
      <c r="A626" s="1253">
        <v>41781</v>
      </c>
      <c r="B626" s="1209">
        <v>10760</v>
      </c>
      <c r="C626" s="1210">
        <v>23400</v>
      </c>
      <c r="D626" s="1230">
        <v>23300</v>
      </c>
      <c r="E626" s="1212">
        <f t="shared" si="62"/>
        <v>-100</v>
      </c>
      <c r="F626" s="1211">
        <f t="shared" si="64"/>
        <v>350</v>
      </c>
      <c r="G626" s="1215"/>
      <c r="H626" s="1269"/>
      <c r="I626" s="1291">
        <v>140250</v>
      </c>
    </row>
    <row r="627" spans="1:9" ht="15" customHeight="1">
      <c r="A627" s="1253">
        <v>41782</v>
      </c>
      <c r="B627" s="1209">
        <v>10760</v>
      </c>
      <c r="C627" s="1210">
        <v>23340</v>
      </c>
      <c r="D627" s="1230">
        <v>23300</v>
      </c>
      <c r="E627" s="1212">
        <f t="shared" si="62"/>
        <v>-40</v>
      </c>
      <c r="F627" s="1211">
        <f t="shared" si="64"/>
        <v>-60</v>
      </c>
      <c r="G627" s="1215"/>
      <c r="H627" s="1269"/>
      <c r="I627" s="1291">
        <v>140500</v>
      </c>
    </row>
    <row r="628" spans="1:9" ht="15" customHeight="1">
      <c r="A628" s="1253">
        <v>41785</v>
      </c>
      <c r="B628" s="1209"/>
      <c r="C628" s="1210"/>
      <c r="D628" s="1231" t="s">
        <v>45</v>
      </c>
      <c r="E628" s="1212" t="e">
        <f t="shared" si="62"/>
        <v>#VALUE!</v>
      </c>
      <c r="F628" s="1211"/>
      <c r="G628" s="1215"/>
      <c r="H628" s="1269"/>
      <c r="I628" s="1291">
        <v>140500</v>
      </c>
    </row>
    <row r="629" spans="1:9" ht="15" customHeight="1">
      <c r="A629" s="1253">
        <v>41786</v>
      </c>
      <c r="B629" s="1209">
        <v>10760</v>
      </c>
      <c r="C629" s="1210">
        <v>23375</v>
      </c>
      <c r="D629" s="1230">
        <v>23355</v>
      </c>
      <c r="E629" s="1212">
        <f t="shared" si="62"/>
        <v>-20</v>
      </c>
      <c r="F629" s="1211">
        <f>C629-C627</f>
        <v>35</v>
      </c>
      <c r="G629" s="1215"/>
      <c r="H629" s="1269"/>
      <c r="I629" s="1291">
        <v>140250</v>
      </c>
    </row>
    <row r="630" spans="1:9" ht="15" customHeight="1">
      <c r="A630" s="1253">
        <v>41787</v>
      </c>
      <c r="B630" s="1209">
        <v>10865</v>
      </c>
      <c r="C630" s="1210">
        <v>23355</v>
      </c>
      <c r="D630" s="1230">
        <v>23425</v>
      </c>
      <c r="E630" s="1212">
        <f t="shared" si="62"/>
        <v>70</v>
      </c>
      <c r="F630" s="1211">
        <f t="shared" ref="F630:F641" si="65">C630-C629</f>
        <v>-20</v>
      </c>
      <c r="G630" s="1215"/>
      <c r="H630" s="1269"/>
      <c r="I630" s="1291">
        <v>140250</v>
      </c>
    </row>
    <row r="631" spans="1:9" ht="15" customHeight="1">
      <c r="A631" s="1253">
        <v>41788</v>
      </c>
      <c r="B631" s="1209">
        <v>10915</v>
      </c>
      <c r="C631" s="1210">
        <v>23375</v>
      </c>
      <c r="D631" s="1230">
        <v>23355</v>
      </c>
      <c r="E631" s="1212">
        <f t="shared" si="62"/>
        <v>-20</v>
      </c>
      <c r="F631" s="1211">
        <f t="shared" si="65"/>
        <v>20</v>
      </c>
      <c r="G631" s="1215"/>
      <c r="H631" s="1269"/>
      <c r="I631" s="1291">
        <v>140250</v>
      </c>
    </row>
    <row r="632" spans="1:9" ht="15" customHeight="1">
      <c r="A632" s="1253">
        <v>41789</v>
      </c>
      <c r="B632" s="1209">
        <v>10865</v>
      </c>
      <c r="C632" s="1210">
        <v>23505</v>
      </c>
      <c r="D632" s="1230">
        <v>23480</v>
      </c>
      <c r="E632" s="1212">
        <f t="shared" si="62"/>
        <v>-25</v>
      </c>
      <c r="F632" s="1211">
        <f t="shared" si="65"/>
        <v>130</v>
      </c>
      <c r="G632" s="1227">
        <f>AVERAGE(C611:C632)</f>
        <v>23313.75</v>
      </c>
      <c r="H632" s="1274">
        <f>AVERAGE(C526:C632)</f>
        <v>22927.524271844661</v>
      </c>
      <c r="I632" s="1291">
        <v>140250</v>
      </c>
    </row>
    <row r="633" spans="1:9" ht="15" customHeight="1">
      <c r="A633" s="1253">
        <v>41792</v>
      </c>
      <c r="B633" s="1209">
        <v>10850</v>
      </c>
      <c r="C633" s="1210">
        <v>23425</v>
      </c>
      <c r="D633" s="1230">
        <v>23475</v>
      </c>
      <c r="E633" s="1212">
        <f t="shared" si="62"/>
        <v>50</v>
      </c>
      <c r="F633" s="1211">
        <f t="shared" si="65"/>
        <v>-80</v>
      </c>
      <c r="G633" s="1215"/>
      <c r="H633" s="1269"/>
      <c r="I633" s="1294" t="s">
        <v>45</v>
      </c>
    </row>
    <row r="634" spans="1:9" ht="15" customHeight="1">
      <c r="A634" s="1253">
        <v>41793</v>
      </c>
      <c r="B634" s="1209">
        <v>10785</v>
      </c>
      <c r="C634" s="1210">
        <v>23325</v>
      </c>
      <c r="D634" s="1230">
        <v>23300</v>
      </c>
      <c r="E634" s="1212">
        <f t="shared" si="62"/>
        <v>-25</v>
      </c>
      <c r="F634" s="1211">
        <f t="shared" si="65"/>
        <v>-100</v>
      </c>
      <c r="G634" s="1215"/>
      <c r="H634" s="1269"/>
      <c r="I634" s="1291">
        <v>140500</v>
      </c>
    </row>
    <row r="635" spans="1:9" ht="15" customHeight="1">
      <c r="A635" s="1253">
        <v>41794</v>
      </c>
      <c r="B635" s="1209">
        <v>10915</v>
      </c>
      <c r="C635" s="1210">
        <v>23230</v>
      </c>
      <c r="D635" s="1230">
        <v>23250</v>
      </c>
      <c r="E635" s="1212">
        <f t="shared" si="62"/>
        <v>20</v>
      </c>
      <c r="F635" s="1211">
        <f t="shared" si="65"/>
        <v>-95</v>
      </c>
      <c r="G635" s="1215"/>
      <c r="H635" s="1269"/>
      <c r="I635" s="1291">
        <v>140250</v>
      </c>
    </row>
    <row r="636" spans="1:9" ht="15" customHeight="1">
      <c r="A636" s="1253">
        <v>41795</v>
      </c>
      <c r="B636" s="1209">
        <v>10885</v>
      </c>
      <c r="C636" s="1210">
        <v>23240</v>
      </c>
      <c r="D636" s="1230">
        <v>23280</v>
      </c>
      <c r="E636" s="1212">
        <f t="shared" si="62"/>
        <v>40</v>
      </c>
      <c r="F636" s="1211">
        <f t="shared" si="65"/>
        <v>10</v>
      </c>
      <c r="G636" s="1215"/>
      <c r="H636" s="1269"/>
      <c r="I636" s="1291"/>
    </row>
    <row r="637" spans="1:9" ht="15" customHeight="1">
      <c r="A637" s="1253">
        <v>41796</v>
      </c>
      <c r="B637" s="1209">
        <v>10950</v>
      </c>
      <c r="C637" s="1210">
        <v>23025</v>
      </c>
      <c r="D637" s="1230">
        <v>22975</v>
      </c>
      <c r="E637" s="1212">
        <f t="shared" si="62"/>
        <v>-50</v>
      </c>
      <c r="F637" s="1211">
        <f t="shared" si="65"/>
        <v>-215</v>
      </c>
      <c r="G637" s="1215"/>
      <c r="H637" s="1269"/>
      <c r="I637" s="1291">
        <v>140000</v>
      </c>
    </row>
    <row r="638" spans="1:9" ht="15" customHeight="1">
      <c r="A638" s="1253">
        <v>41799</v>
      </c>
      <c r="B638" s="1209">
        <v>10795</v>
      </c>
      <c r="C638" s="1210">
        <v>23135</v>
      </c>
      <c r="D638" s="1230">
        <v>23150</v>
      </c>
      <c r="E638" s="1212">
        <f t="shared" si="62"/>
        <v>15</v>
      </c>
      <c r="F638" s="1211">
        <f t="shared" si="65"/>
        <v>110</v>
      </c>
      <c r="G638" s="1215"/>
      <c r="H638" s="1269"/>
      <c r="I638" s="1291">
        <v>140000</v>
      </c>
    </row>
    <row r="639" spans="1:9" ht="15" customHeight="1">
      <c r="A639" s="1253">
        <v>41800</v>
      </c>
      <c r="B639" s="1209">
        <v>10770</v>
      </c>
      <c r="C639" s="1210">
        <v>23050</v>
      </c>
      <c r="D639" s="1230">
        <v>23060</v>
      </c>
      <c r="E639" s="1212">
        <f t="shared" si="62"/>
        <v>10</v>
      </c>
      <c r="F639" s="1211">
        <f t="shared" si="65"/>
        <v>-85</v>
      </c>
      <c r="G639" s="1215"/>
      <c r="H639" s="1269"/>
      <c r="I639" s="1291">
        <v>139750</v>
      </c>
    </row>
    <row r="640" spans="1:9" ht="15" customHeight="1">
      <c r="A640" s="1253">
        <v>41801</v>
      </c>
      <c r="B640" s="1209">
        <v>10705</v>
      </c>
      <c r="C640" s="1210">
        <v>22830</v>
      </c>
      <c r="D640" s="1230">
        <v>22800</v>
      </c>
      <c r="E640" s="1212">
        <f t="shared" si="62"/>
        <v>-30</v>
      </c>
      <c r="F640" s="1211">
        <f t="shared" si="65"/>
        <v>-220</v>
      </c>
      <c r="G640" s="1215"/>
      <c r="H640" s="1269"/>
      <c r="I640" s="1291">
        <v>139250</v>
      </c>
    </row>
    <row r="641" spans="1:9" ht="15" customHeight="1">
      <c r="A641" s="1253">
        <v>41802</v>
      </c>
      <c r="B641" s="1209">
        <v>10840</v>
      </c>
      <c r="C641" s="1210">
        <v>22850</v>
      </c>
      <c r="D641" s="1230">
        <v>22800</v>
      </c>
      <c r="E641" s="1212">
        <f t="shared" si="62"/>
        <v>-50</v>
      </c>
      <c r="F641" s="1211">
        <f t="shared" si="65"/>
        <v>20</v>
      </c>
      <c r="G641" s="1215"/>
      <c r="H641" s="1269"/>
      <c r="I641" s="1291">
        <v>139250</v>
      </c>
    </row>
    <row r="642" spans="1:9" ht="15" customHeight="1">
      <c r="A642" s="1253">
        <v>41803</v>
      </c>
      <c r="B642" s="1209">
        <v>10900</v>
      </c>
      <c r="C642" s="1210">
        <v>22610</v>
      </c>
      <c r="D642" s="1230">
        <v>22575</v>
      </c>
      <c r="E642" s="1212">
        <f t="shared" si="62"/>
        <v>-35</v>
      </c>
      <c r="F642" s="1211">
        <f t="shared" ref="F642:F649" si="66">C642-C641</f>
        <v>-240</v>
      </c>
      <c r="G642" s="1215"/>
      <c r="H642" s="1269"/>
      <c r="I642" s="1291">
        <v>139250</v>
      </c>
    </row>
    <row r="643" spans="1:9" ht="15" customHeight="1">
      <c r="A643" s="1253">
        <v>41806</v>
      </c>
      <c r="B643" s="1209">
        <v>10900</v>
      </c>
      <c r="C643" s="1210">
        <v>22655</v>
      </c>
      <c r="D643" s="1230">
        <v>22650</v>
      </c>
      <c r="E643" s="1212">
        <f t="shared" si="62"/>
        <v>-5</v>
      </c>
      <c r="F643" s="1211">
        <f t="shared" si="66"/>
        <v>45</v>
      </c>
      <c r="G643" s="1215"/>
      <c r="H643" s="1269"/>
      <c r="I643" s="1291">
        <v>139250</v>
      </c>
    </row>
    <row r="644" spans="1:9" ht="15" customHeight="1">
      <c r="A644" s="1253">
        <v>41807</v>
      </c>
      <c r="B644" s="1209">
        <v>10880</v>
      </c>
      <c r="C644" s="1210">
        <v>22600</v>
      </c>
      <c r="D644" s="1230">
        <v>22600</v>
      </c>
      <c r="E644" s="1212">
        <f t="shared" si="62"/>
        <v>0</v>
      </c>
      <c r="F644" s="1211">
        <f t="shared" si="66"/>
        <v>-55</v>
      </c>
      <c r="G644" s="1215"/>
      <c r="H644" s="1269"/>
      <c r="I644" s="1291">
        <v>139250</v>
      </c>
    </row>
    <row r="645" spans="1:9" ht="15" customHeight="1">
      <c r="A645" s="1253">
        <v>41808</v>
      </c>
      <c r="B645" s="1209">
        <v>10895</v>
      </c>
      <c r="C645" s="1210">
        <v>22590</v>
      </c>
      <c r="D645" s="1230">
        <v>22580</v>
      </c>
      <c r="E645" s="1212">
        <f t="shared" si="62"/>
        <v>-10</v>
      </c>
      <c r="F645" s="1211">
        <f t="shared" si="66"/>
        <v>-10</v>
      </c>
      <c r="G645" s="1215"/>
      <c r="H645" s="1269"/>
      <c r="I645" s="1291">
        <v>139250</v>
      </c>
    </row>
    <row r="646" spans="1:9" ht="15" customHeight="1">
      <c r="A646" s="1253">
        <v>41809</v>
      </c>
      <c r="B646" s="1209">
        <v>10860</v>
      </c>
      <c r="C646" s="1210">
        <v>22605</v>
      </c>
      <c r="D646" s="1230">
        <v>22630</v>
      </c>
      <c r="E646" s="1212">
        <f t="shared" si="62"/>
        <v>25</v>
      </c>
      <c r="F646" s="1211">
        <f t="shared" si="66"/>
        <v>15</v>
      </c>
      <c r="G646" s="1215"/>
      <c r="H646" s="1269"/>
      <c r="I646" s="1291">
        <v>139250</v>
      </c>
    </row>
    <row r="647" spans="1:9" ht="15" customHeight="1">
      <c r="A647" s="1253">
        <v>41810</v>
      </c>
      <c r="B647" s="1209">
        <v>10845</v>
      </c>
      <c r="C647" s="1210">
        <v>22630</v>
      </c>
      <c r="D647" s="1230">
        <v>22605</v>
      </c>
      <c r="E647" s="1212">
        <f t="shared" si="62"/>
        <v>-25</v>
      </c>
      <c r="F647" s="1211">
        <f t="shared" si="66"/>
        <v>25</v>
      </c>
      <c r="G647" s="1215"/>
      <c r="H647" s="1269"/>
      <c r="I647" s="1291">
        <v>139250</v>
      </c>
    </row>
    <row r="648" spans="1:9" ht="15" customHeight="1">
      <c r="A648" s="1253">
        <v>41813</v>
      </c>
      <c r="B648" s="1209">
        <v>10845</v>
      </c>
      <c r="C648" s="1210">
        <v>22670</v>
      </c>
      <c r="D648" s="1230">
        <v>22675</v>
      </c>
      <c r="E648" s="1212">
        <f t="shared" si="62"/>
        <v>5</v>
      </c>
      <c r="F648" s="1211">
        <f t="shared" si="66"/>
        <v>40</v>
      </c>
      <c r="G648" s="1215"/>
      <c r="H648" s="1269"/>
      <c r="I648" s="1291">
        <v>139250</v>
      </c>
    </row>
    <row r="649" spans="1:9" ht="15" customHeight="1">
      <c r="A649" s="1253">
        <v>41814</v>
      </c>
      <c r="B649" s="1209">
        <v>10845</v>
      </c>
      <c r="C649" s="1210">
        <v>22550</v>
      </c>
      <c r="D649" s="1230">
        <v>22540</v>
      </c>
      <c r="E649" s="1212">
        <f t="shared" si="62"/>
        <v>-10</v>
      </c>
      <c r="F649" s="1211">
        <f t="shared" si="66"/>
        <v>-120</v>
      </c>
      <c r="G649" s="1215"/>
      <c r="H649" s="1269"/>
      <c r="I649" s="1291">
        <v>139250</v>
      </c>
    </row>
    <row r="650" spans="1:9" ht="15" customHeight="1">
      <c r="A650" s="1253">
        <v>41815</v>
      </c>
      <c r="B650" s="1209">
        <v>11100</v>
      </c>
      <c r="C650" s="1210">
        <v>22600</v>
      </c>
      <c r="D650" s="1230">
        <v>22600</v>
      </c>
      <c r="E650" s="1212">
        <f t="shared" si="62"/>
        <v>0</v>
      </c>
      <c r="F650" s="1211">
        <f t="shared" ref="F650:F661" si="67">C650-C649</f>
        <v>50</v>
      </c>
      <c r="G650" s="1215"/>
      <c r="H650" s="1269"/>
      <c r="I650" s="1291">
        <v>139250</v>
      </c>
    </row>
    <row r="651" spans="1:9" ht="15" customHeight="1">
      <c r="A651" s="1253">
        <v>41816</v>
      </c>
      <c r="B651" s="1209">
        <v>11185</v>
      </c>
      <c r="C651" s="1210">
        <v>22425</v>
      </c>
      <c r="D651" s="1230">
        <v>22425</v>
      </c>
      <c r="E651" s="1212">
        <f t="shared" ref="E651:E714" si="68">D651-C651</f>
        <v>0</v>
      </c>
      <c r="F651" s="1211">
        <f t="shared" si="67"/>
        <v>-175</v>
      </c>
      <c r="G651" s="1215"/>
      <c r="H651" s="1269"/>
      <c r="I651" s="1291">
        <v>139250</v>
      </c>
    </row>
    <row r="652" spans="1:9" ht="15" customHeight="1">
      <c r="A652" s="1253">
        <v>41817</v>
      </c>
      <c r="B652" s="1209">
        <v>11285</v>
      </c>
      <c r="C652" s="1210">
        <v>22350</v>
      </c>
      <c r="D652" s="1230">
        <v>22375</v>
      </c>
      <c r="E652" s="1212">
        <f t="shared" si="68"/>
        <v>25</v>
      </c>
      <c r="F652" s="1211">
        <f t="shared" si="67"/>
        <v>-75</v>
      </c>
      <c r="G652" s="1215"/>
      <c r="H652" s="1269"/>
      <c r="I652" s="1291">
        <v>139250</v>
      </c>
    </row>
    <row r="653" spans="1:9" ht="15" customHeight="1">
      <c r="A653" s="1253">
        <v>41820</v>
      </c>
      <c r="B653" s="1209">
        <v>11385</v>
      </c>
      <c r="C653" s="1210">
        <v>21855</v>
      </c>
      <c r="D653" s="1230">
        <v>21900</v>
      </c>
      <c r="E653" s="1212">
        <f t="shared" si="68"/>
        <v>45</v>
      </c>
      <c r="F653" s="1211">
        <f t="shared" si="67"/>
        <v>-495</v>
      </c>
      <c r="G653" s="1227">
        <f>AVERAGE(C633:C653)</f>
        <v>22773.809523809523</v>
      </c>
      <c r="H653" s="1274">
        <f>AVERAGE(C526:C653)</f>
        <v>22901.491935483871</v>
      </c>
      <c r="I653" s="1291">
        <v>139000</v>
      </c>
    </row>
    <row r="654" spans="1:9" ht="15" customHeight="1">
      <c r="A654" s="1253">
        <v>41821</v>
      </c>
      <c r="B654" s="1209">
        <v>11485</v>
      </c>
      <c r="C654" s="1210">
        <v>22580</v>
      </c>
      <c r="D654" s="1230">
        <v>22600</v>
      </c>
      <c r="E654" s="1212">
        <f t="shared" si="68"/>
        <v>20</v>
      </c>
      <c r="F654" s="1211">
        <f t="shared" si="67"/>
        <v>725</v>
      </c>
      <c r="G654" s="1215"/>
      <c r="H654" s="1269"/>
      <c r="I654" s="1291">
        <v>139000</v>
      </c>
    </row>
    <row r="655" spans="1:9" ht="15" customHeight="1">
      <c r="A655" s="1253">
        <v>41822</v>
      </c>
      <c r="B655" s="1209">
        <v>11560</v>
      </c>
      <c r="C655" s="1210">
        <v>22755</v>
      </c>
      <c r="D655" s="1230">
        <v>22765</v>
      </c>
      <c r="E655" s="1212">
        <f t="shared" si="68"/>
        <v>10</v>
      </c>
      <c r="F655" s="1211">
        <f t="shared" si="67"/>
        <v>175</v>
      </c>
      <c r="G655" s="1215"/>
      <c r="H655" s="1269"/>
      <c r="I655" s="1291">
        <v>139000</v>
      </c>
    </row>
    <row r="656" spans="1:9" ht="15" customHeight="1">
      <c r="A656" s="1253">
        <v>41823</v>
      </c>
      <c r="B656" s="1209">
        <v>11715</v>
      </c>
      <c r="C656" s="1210">
        <v>22850</v>
      </c>
      <c r="D656" s="1230">
        <v>22875</v>
      </c>
      <c r="E656" s="1212">
        <f t="shared" si="68"/>
        <v>25</v>
      </c>
      <c r="F656" s="1211">
        <f t="shared" si="67"/>
        <v>95</v>
      </c>
      <c r="G656" s="1215"/>
      <c r="H656" s="1269"/>
      <c r="I656" s="1291">
        <v>139750</v>
      </c>
    </row>
    <row r="657" spans="1:9" ht="15" customHeight="1">
      <c r="A657" s="1253">
        <v>41824</v>
      </c>
      <c r="B657" s="1209">
        <v>11715</v>
      </c>
      <c r="C657" s="1210">
        <v>22780</v>
      </c>
      <c r="D657" s="1230">
        <v>22825</v>
      </c>
      <c r="E657" s="1212">
        <f t="shared" si="68"/>
        <v>45</v>
      </c>
      <c r="F657" s="1211">
        <f t="shared" si="67"/>
        <v>-70</v>
      </c>
      <c r="G657" s="1215"/>
      <c r="H657" s="1269"/>
      <c r="I657" s="1291">
        <v>140000</v>
      </c>
    </row>
    <row r="658" spans="1:9" ht="15" customHeight="1">
      <c r="A658" s="1253">
        <v>41827</v>
      </c>
      <c r="B658" s="1209">
        <v>11825</v>
      </c>
      <c r="C658" s="1210">
        <v>22710</v>
      </c>
      <c r="D658" s="1230">
        <v>22710</v>
      </c>
      <c r="E658" s="1212">
        <f t="shared" si="68"/>
        <v>0</v>
      </c>
      <c r="F658" s="1211">
        <f t="shared" si="67"/>
        <v>-70</v>
      </c>
      <c r="G658" s="1215"/>
      <c r="H658" s="1269"/>
      <c r="I658" s="1291">
        <v>140250</v>
      </c>
    </row>
    <row r="659" spans="1:9" ht="15" customHeight="1">
      <c r="A659" s="1253">
        <v>41828</v>
      </c>
      <c r="B659" s="1209">
        <v>11850</v>
      </c>
      <c r="C659" s="1210">
        <v>22625</v>
      </c>
      <c r="D659" s="1230">
        <v>22625</v>
      </c>
      <c r="E659" s="1212">
        <f t="shared" si="68"/>
        <v>0</v>
      </c>
      <c r="F659" s="1211">
        <f t="shared" si="67"/>
        <v>-85</v>
      </c>
      <c r="G659" s="1215"/>
      <c r="H659" s="1269"/>
      <c r="I659" s="1291">
        <v>140250</v>
      </c>
    </row>
    <row r="660" spans="1:9" ht="15" customHeight="1">
      <c r="A660" s="1253">
        <v>41829</v>
      </c>
      <c r="B660" s="1209">
        <v>11710</v>
      </c>
      <c r="C660" s="1210">
        <v>22205</v>
      </c>
      <c r="D660" s="1230">
        <v>22230</v>
      </c>
      <c r="E660" s="1212">
        <f t="shared" si="68"/>
        <v>25</v>
      </c>
      <c r="F660" s="1211">
        <f t="shared" si="67"/>
        <v>-420</v>
      </c>
      <c r="G660" s="1215"/>
      <c r="H660" s="1269"/>
      <c r="I660" s="1291">
        <v>140250</v>
      </c>
    </row>
    <row r="661" spans="1:9" ht="15" customHeight="1">
      <c r="A661" s="1253">
        <v>41830</v>
      </c>
      <c r="B661" s="1209">
        <v>11545</v>
      </c>
      <c r="C661" s="1210">
        <v>22100</v>
      </c>
      <c r="D661" s="1230">
        <v>22100</v>
      </c>
      <c r="E661" s="1212">
        <f t="shared" si="68"/>
        <v>0</v>
      </c>
      <c r="F661" s="1211">
        <f t="shared" si="67"/>
        <v>-105</v>
      </c>
      <c r="G661" s="1215"/>
      <c r="H661" s="1269"/>
      <c r="I661" s="1291">
        <v>140000</v>
      </c>
    </row>
    <row r="662" spans="1:9" ht="15" customHeight="1">
      <c r="A662" s="1253">
        <v>41831</v>
      </c>
      <c r="B662" s="1209">
        <v>11575</v>
      </c>
      <c r="C662" s="1210">
        <v>22010</v>
      </c>
      <c r="D662" s="1230">
        <v>21975</v>
      </c>
      <c r="E662" s="1212">
        <f t="shared" si="68"/>
        <v>-35</v>
      </c>
      <c r="F662" s="1211">
        <f t="shared" ref="F662:F676" si="69">C662-C661</f>
        <v>-90</v>
      </c>
      <c r="G662" s="1215"/>
      <c r="H662" s="1269"/>
      <c r="I662" s="1291">
        <v>139750</v>
      </c>
    </row>
    <row r="663" spans="1:9" ht="15" customHeight="1">
      <c r="A663" s="1253">
        <v>41834</v>
      </c>
      <c r="B663" s="1209">
        <v>11535</v>
      </c>
      <c r="C663" s="1210">
        <v>22170</v>
      </c>
      <c r="D663" s="1230">
        <v>22200</v>
      </c>
      <c r="E663" s="1212">
        <f t="shared" si="68"/>
        <v>30</v>
      </c>
      <c r="F663" s="1211">
        <f t="shared" si="69"/>
        <v>160</v>
      </c>
      <c r="G663" s="1215"/>
      <c r="H663" s="1269"/>
      <c r="I663" s="1291">
        <v>139250</v>
      </c>
    </row>
    <row r="664" spans="1:9" ht="15" customHeight="1">
      <c r="A664" s="1253">
        <v>41835</v>
      </c>
      <c r="B664" s="1209">
        <v>11535</v>
      </c>
      <c r="C664" s="1210">
        <v>22090</v>
      </c>
      <c r="D664" s="1230">
        <v>22150</v>
      </c>
      <c r="E664" s="1212">
        <f t="shared" si="68"/>
        <v>60</v>
      </c>
      <c r="F664" s="1211">
        <f t="shared" si="69"/>
        <v>-80</v>
      </c>
      <c r="G664" s="1215"/>
      <c r="H664" s="1269"/>
      <c r="I664" s="1291">
        <v>139250</v>
      </c>
    </row>
    <row r="665" spans="1:9" ht="15" customHeight="1">
      <c r="A665" s="1253">
        <v>41836</v>
      </c>
      <c r="B665" s="1209">
        <v>11810</v>
      </c>
      <c r="C665" s="1210">
        <v>22110</v>
      </c>
      <c r="D665" s="1230">
        <v>22175</v>
      </c>
      <c r="E665" s="1212">
        <f t="shared" si="68"/>
        <v>65</v>
      </c>
      <c r="F665" s="1211">
        <f t="shared" si="69"/>
        <v>20</v>
      </c>
      <c r="G665" s="1215"/>
      <c r="H665" s="1269"/>
      <c r="I665" s="1291">
        <v>139250</v>
      </c>
    </row>
    <row r="666" spans="1:9" ht="15" customHeight="1">
      <c r="A666" s="1253">
        <v>41837</v>
      </c>
      <c r="B666" s="1209">
        <v>11775</v>
      </c>
      <c r="C666" s="1210">
        <v>22075</v>
      </c>
      <c r="D666" s="1230">
        <v>22100</v>
      </c>
      <c r="E666" s="1212">
        <f t="shared" si="68"/>
        <v>25</v>
      </c>
      <c r="F666" s="1211">
        <f t="shared" si="69"/>
        <v>-35</v>
      </c>
      <c r="G666" s="1215"/>
      <c r="H666" s="1269"/>
      <c r="I666" s="1291">
        <v>139250</v>
      </c>
    </row>
    <row r="667" spans="1:9" ht="15" customHeight="1">
      <c r="A667" s="1253">
        <v>41838</v>
      </c>
      <c r="B667" s="1209">
        <v>11885</v>
      </c>
      <c r="C667" s="1210">
        <v>22080</v>
      </c>
      <c r="D667" s="1230">
        <v>22080</v>
      </c>
      <c r="E667" s="1212">
        <f t="shared" si="68"/>
        <v>0</v>
      </c>
      <c r="F667" s="1211">
        <f t="shared" si="69"/>
        <v>5</v>
      </c>
      <c r="G667" s="1215"/>
      <c r="H667" s="1269"/>
      <c r="I667" s="1291">
        <v>139000</v>
      </c>
    </row>
    <row r="668" spans="1:9" ht="15" customHeight="1">
      <c r="A668" s="1253">
        <v>41841</v>
      </c>
      <c r="B668" s="1209">
        <v>11895</v>
      </c>
      <c r="C668" s="1210">
        <v>22155</v>
      </c>
      <c r="D668" s="1230">
        <v>22150</v>
      </c>
      <c r="E668" s="1212">
        <f t="shared" si="68"/>
        <v>-5</v>
      </c>
      <c r="F668" s="1211">
        <f t="shared" si="69"/>
        <v>75</v>
      </c>
      <c r="G668" s="1215"/>
      <c r="H668" s="1269"/>
      <c r="I668" s="1291">
        <v>139000</v>
      </c>
    </row>
    <row r="669" spans="1:9" ht="15" customHeight="1">
      <c r="A669" s="1253">
        <v>41842</v>
      </c>
      <c r="B669" s="1209">
        <v>11920</v>
      </c>
      <c r="C669" s="1210">
        <v>22105</v>
      </c>
      <c r="D669" s="1230">
        <v>22160</v>
      </c>
      <c r="E669" s="1212">
        <f t="shared" si="68"/>
        <v>55</v>
      </c>
      <c r="F669" s="1211">
        <f t="shared" si="69"/>
        <v>-50</v>
      </c>
      <c r="G669" s="1215"/>
      <c r="H669" s="1269"/>
      <c r="I669" s="1291">
        <v>139000</v>
      </c>
    </row>
    <row r="670" spans="1:9" ht="15" customHeight="1">
      <c r="A670" s="1253">
        <v>41843</v>
      </c>
      <c r="B670" s="1209">
        <v>11910</v>
      </c>
      <c r="C670" s="1210">
        <v>22125</v>
      </c>
      <c r="D670" s="1230">
        <v>22200</v>
      </c>
      <c r="E670" s="1212">
        <f t="shared" si="68"/>
        <v>75</v>
      </c>
      <c r="F670" s="1211">
        <f t="shared" si="69"/>
        <v>20</v>
      </c>
      <c r="G670" s="1215"/>
      <c r="H670" s="1269"/>
      <c r="I670" s="1291">
        <v>139250</v>
      </c>
    </row>
    <row r="671" spans="1:9" ht="15" customHeight="1">
      <c r="A671" s="1253">
        <v>41844</v>
      </c>
      <c r="B671" s="1209">
        <v>11845</v>
      </c>
      <c r="C671" s="1210">
        <v>22225</v>
      </c>
      <c r="D671" s="1230">
        <v>22325</v>
      </c>
      <c r="E671" s="1212">
        <f t="shared" si="68"/>
        <v>100</v>
      </c>
      <c r="F671" s="1211">
        <f t="shared" si="69"/>
        <v>100</v>
      </c>
      <c r="G671" s="1215"/>
      <c r="H671" s="1269"/>
      <c r="I671" s="1291">
        <v>139750</v>
      </c>
    </row>
    <row r="672" spans="1:9" ht="15" customHeight="1">
      <c r="A672" s="1253">
        <v>41845</v>
      </c>
      <c r="B672" s="1209">
        <v>11775</v>
      </c>
      <c r="C672" s="1210">
        <v>22405</v>
      </c>
      <c r="D672" s="1230">
        <v>22475</v>
      </c>
      <c r="E672" s="1212">
        <f t="shared" si="68"/>
        <v>70</v>
      </c>
      <c r="F672" s="1211">
        <f t="shared" si="69"/>
        <v>180</v>
      </c>
      <c r="G672" s="1215"/>
      <c r="H672" s="1269"/>
      <c r="I672" s="1291">
        <v>140000</v>
      </c>
    </row>
    <row r="673" spans="1:9" ht="15.75" customHeight="1">
      <c r="A673" s="1253">
        <v>41848</v>
      </c>
      <c r="B673" s="1209">
        <v>11775</v>
      </c>
      <c r="C673" s="1210">
        <v>22550</v>
      </c>
      <c r="D673" s="1230">
        <v>22550</v>
      </c>
      <c r="E673" s="1212">
        <f t="shared" si="68"/>
        <v>0</v>
      </c>
      <c r="F673" s="1211">
        <f t="shared" si="69"/>
        <v>145</v>
      </c>
      <c r="G673" s="1215"/>
      <c r="H673" s="1269"/>
      <c r="I673" s="1291">
        <v>140500</v>
      </c>
    </row>
    <row r="674" spans="1:9" ht="15" customHeight="1">
      <c r="A674" s="1253">
        <v>41849</v>
      </c>
      <c r="B674" s="1209">
        <v>11780</v>
      </c>
      <c r="C674" s="1210">
        <v>22600</v>
      </c>
      <c r="D674" s="1230">
        <v>22750</v>
      </c>
      <c r="E674" s="1212">
        <f t="shared" si="68"/>
        <v>150</v>
      </c>
      <c r="F674" s="1211">
        <f t="shared" si="69"/>
        <v>50</v>
      </c>
      <c r="G674" s="1215"/>
      <c r="H674" s="1269"/>
      <c r="I674" s="1291">
        <v>141000</v>
      </c>
    </row>
    <row r="675" spans="1:9" ht="15" customHeight="1">
      <c r="A675" s="1253">
        <v>41850</v>
      </c>
      <c r="B675" s="1209">
        <v>11780</v>
      </c>
      <c r="C675" s="1210">
        <v>22550</v>
      </c>
      <c r="D675" s="1230">
        <v>22600</v>
      </c>
      <c r="E675" s="1212">
        <f t="shared" si="68"/>
        <v>50</v>
      </c>
      <c r="F675" s="1211">
        <f t="shared" si="69"/>
        <v>-50</v>
      </c>
      <c r="G675" s="1215"/>
      <c r="H675" s="1269"/>
      <c r="I675" s="1291">
        <v>141750</v>
      </c>
    </row>
    <row r="676" spans="1:9" ht="15" customHeight="1">
      <c r="A676" s="1253">
        <v>41851</v>
      </c>
      <c r="B676" s="1209">
        <v>11780</v>
      </c>
      <c r="C676" s="1210">
        <v>22950</v>
      </c>
      <c r="D676" s="1230">
        <v>22950</v>
      </c>
      <c r="E676" s="1212">
        <f t="shared" si="68"/>
        <v>0</v>
      </c>
      <c r="F676" s="1211">
        <f t="shared" si="69"/>
        <v>400</v>
      </c>
      <c r="G676" s="1227">
        <f>AVERAGE(C654:C676)</f>
        <v>22382.82608695652</v>
      </c>
      <c r="H676" s="1274">
        <f>AVERAGE(C526:C676)</f>
        <v>22820.340136054423</v>
      </c>
      <c r="I676" s="1291">
        <v>141750</v>
      </c>
    </row>
    <row r="677" spans="1:9" ht="15" customHeight="1">
      <c r="A677" s="1253">
        <v>41852</v>
      </c>
      <c r="B677" s="1209">
        <v>11780</v>
      </c>
      <c r="C677" s="1210">
        <v>22480</v>
      </c>
      <c r="D677" s="1230">
        <v>22470</v>
      </c>
      <c r="E677" s="1212">
        <f t="shared" si="68"/>
        <v>-10</v>
      </c>
      <c r="F677" s="1211">
        <f t="shared" ref="F677:F683" si="70">C677-C676</f>
        <v>-470</v>
      </c>
      <c r="G677" s="1215"/>
      <c r="H677" s="1269"/>
      <c r="I677" s="1291">
        <v>141750</v>
      </c>
    </row>
    <row r="678" spans="1:9" ht="15" customHeight="1">
      <c r="A678" s="1253">
        <v>41855</v>
      </c>
      <c r="B678" s="1209">
        <v>11780</v>
      </c>
      <c r="C678" s="1210">
        <v>22375</v>
      </c>
      <c r="D678" s="1230">
        <v>22430</v>
      </c>
      <c r="E678" s="1212">
        <f t="shared" si="68"/>
        <v>55</v>
      </c>
      <c r="F678" s="1211">
        <f t="shared" si="70"/>
        <v>-105</v>
      </c>
      <c r="G678" s="1215"/>
      <c r="H678" s="1269"/>
      <c r="I678" s="1291">
        <v>141250</v>
      </c>
    </row>
    <row r="679" spans="1:9" ht="15" customHeight="1">
      <c r="A679" s="1253">
        <v>41856</v>
      </c>
      <c r="B679" s="1209">
        <v>11760</v>
      </c>
      <c r="C679" s="1210">
        <v>22380</v>
      </c>
      <c r="D679" s="1230">
        <v>22355</v>
      </c>
      <c r="E679" s="1212">
        <f t="shared" si="68"/>
        <v>-25</v>
      </c>
      <c r="F679" s="1211">
        <f t="shared" si="70"/>
        <v>5</v>
      </c>
      <c r="G679" s="1215"/>
      <c r="H679" s="1269"/>
      <c r="I679" s="1291">
        <v>141000</v>
      </c>
    </row>
    <row r="680" spans="1:9" ht="15" customHeight="1">
      <c r="A680" s="1253">
        <v>41857</v>
      </c>
      <c r="B680" s="1209">
        <v>12490</v>
      </c>
      <c r="C680" s="1210">
        <v>22375</v>
      </c>
      <c r="D680" s="1230">
        <v>22450</v>
      </c>
      <c r="E680" s="1212">
        <f t="shared" si="68"/>
        <v>75</v>
      </c>
      <c r="F680" s="1211">
        <f t="shared" si="70"/>
        <v>-5</v>
      </c>
      <c r="G680" s="1215"/>
      <c r="H680" s="1269"/>
      <c r="I680" s="1291">
        <v>141000</v>
      </c>
    </row>
    <row r="681" spans="1:9" ht="15" customHeight="1">
      <c r="A681" s="1253">
        <v>41858</v>
      </c>
      <c r="B681" s="1209">
        <v>12710</v>
      </c>
      <c r="C681" s="1210">
        <v>22325</v>
      </c>
      <c r="D681" s="1230">
        <v>22300</v>
      </c>
      <c r="E681" s="1212">
        <f t="shared" si="68"/>
        <v>-25</v>
      </c>
      <c r="F681" s="1211">
        <f t="shared" si="70"/>
        <v>-50</v>
      </c>
      <c r="G681" s="1215"/>
      <c r="H681" s="1269"/>
      <c r="I681" s="1291">
        <v>140500</v>
      </c>
    </row>
    <row r="682" spans="1:9" ht="15" customHeight="1">
      <c r="A682" s="1253">
        <v>41859</v>
      </c>
      <c r="B682" s="1209">
        <v>12785</v>
      </c>
      <c r="C682" s="1210">
        <v>22300</v>
      </c>
      <c r="D682" s="1230">
        <v>22375</v>
      </c>
      <c r="E682" s="1212">
        <f t="shared" si="68"/>
        <v>75</v>
      </c>
      <c r="F682" s="1211">
        <f t="shared" si="70"/>
        <v>-25</v>
      </c>
      <c r="G682" s="1215"/>
      <c r="H682" s="1269"/>
      <c r="I682" s="1291">
        <v>140500</v>
      </c>
    </row>
    <row r="683" spans="1:9" ht="15" customHeight="1">
      <c r="A683" s="1253">
        <v>41862</v>
      </c>
      <c r="B683" s="1209">
        <v>12780</v>
      </c>
      <c r="C683" s="1210">
        <v>22320</v>
      </c>
      <c r="D683" s="1230">
        <v>22375</v>
      </c>
      <c r="E683" s="1212">
        <f t="shared" si="68"/>
        <v>55</v>
      </c>
      <c r="F683" s="1211">
        <f t="shared" si="70"/>
        <v>20</v>
      </c>
      <c r="G683" s="1215"/>
      <c r="H683" s="1269"/>
      <c r="I683" s="1291">
        <v>140500</v>
      </c>
    </row>
    <row r="684" spans="1:9" ht="15" customHeight="1">
      <c r="A684" s="1253">
        <v>41863</v>
      </c>
      <c r="B684" s="1209">
        <v>12775</v>
      </c>
      <c r="C684" s="1210">
        <v>22475</v>
      </c>
      <c r="D684" s="1230">
        <v>22525</v>
      </c>
      <c r="E684" s="1212">
        <f t="shared" si="68"/>
        <v>50</v>
      </c>
      <c r="F684" s="1211">
        <f t="shared" ref="F684:F690" si="71">C684-C683</f>
        <v>155</v>
      </c>
      <c r="G684" s="1215"/>
      <c r="H684" s="1269"/>
      <c r="I684" s="1291">
        <v>140500</v>
      </c>
    </row>
    <row r="685" spans="1:9" ht="15" customHeight="1">
      <c r="A685" s="1253">
        <v>41864</v>
      </c>
      <c r="B685" s="1209">
        <v>12755</v>
      </c>
      <c r="C685" s="1210">
        <v>22480</v>
      </c>
      <c r="D685" s="1230">
        <v>22525</v>
      </c>
      <c r="E685" s="1212">
        <f t="shared" si="68"/>
        <v>45</v>
      </c>
      <c r="F685" s="1211">
        <f t="shared" si="71"/>
        <v>5</v>
      </c>
      <c r="G685" s="1215"/>
      <c r="H685" s="1269"/>
      <c r="I685" s="1291">
        <v>140500</v>
      </c>
    </row>
    <row r="686" spans="1:9" ht="15" customHeight="1">
      <c r="A686" s="1253">
        <v>41865</v>
      </c>
      <c r="B686" s="1209">
        <v>12775</v>
      </c>
      <c r="C686" s="1210">
        <v>22400</v>
      </c>
      <c r="D686" s="1230">
        <v>22450</v>
      </c>
      <c r="E686" s="1212">
        <f t="shared" si="68"/>
        <v>50</v>
      </c>
      <c r="F686" s="1211">
        <f t="shared" si="71"/>
        <v>-80</v>
      </c>
      <c r="G686" s="1215"/>
      <c r="H686" s="1269"/>
      <c r="I686" s="1291">
        <v>141000</v>
      </c>
    </row>
    <row r="687" spans="1:9" ht="15" customHeight="1">
      <c r="A687" s="1253">
        <v>41866</v>
      </c>
      <c r="B687" s="1209">
        <v>12790</v>
      </c>
      <c r="C687" s="1210">
        <v>22400</v>
      </c>
      <c r="D687" s="1230">
        <v>22425</v>
      </c>
      <c r="E687" s="1212">
        <f t="shared" si="68"/>
        <v>25</v>
      </c>
      <c r="F687" s="1211">
        <f t="shared" si="71"/>
        <v>0</v>
      </c>
      <c r="G687" s="1215"/>
      <c r="H687" s="1269"/>
      <c r="I687" s="1291">
        <v>141250</v>
      </c>
    </row>
    <row r="688" spans="1:9" ht="15" customHeight="1">
      <c r="A688" s="1253">
        <v>41869</v>
      </c>
      <c r="B688" s="1209">
        <v>12790</v>
      </c>
      <c r="C688" s="1210">
        <v>22425</v>
      </c>
      <c r="D688" s="1230">
        <v>22420</v>
      </c>
      <c r="E688" s="1212">
        <f t="shared" si="68"/>
        <v>-5</v>
      </c>
      <c r="F688" s="1211">
        <f t="shared" si="71"/>
        <v>25</v>
      </c>
      <c r="G688" s="1215"/>
      <c r="H688" s="1269"/>
      <c r="I688" s="1291">
        <v>141250</v>
      </c>
    </row>
    <row r="689" spans="1:9" ht="15" customHeight="1">
      <c r="A689" s="1253">
        <v>41870</v>
      </c>
      <c r="B689" s="1209">
        <v>12910</v>
      </c>
      <c r="C689" s="1210">
        <v>22400</v>
      </c>
      <c r="D689" s="1230">
        <v>22380</v>
      </c>
      <c r="E689" s="1212">
        <f t="shared" si="68"/>
        <v>-20</v>
      </c>
      <c r="F689" s="1211">
        <f t="shared" si="71"/>
        <v>-25</v>
      </c>
      <c r="G689" s="1215"/>
      <c r="H689" s="1269"/>
      <c r="I689" s="1291">
        <v>141250</v>
      </c>
    </row>
    <row r="690" spans="1:9" ht="15" customHeight="1">
      <c r="A690" s="1253">
        <v>41871</v>
      </c>
      <c r="B690" s="1209">
        <v>13485</v>
      </c>
      <c r="C690" s="1210">
        <v>22390</v>
      </c>
      <c r="D690" s="1230">
        <v>22430</v>
      </c>
      <c r="E690" s="1212">
        <f t="shared" si="68"/>
        <v>40</v>
      </c>
      <c r="F690" s="1211">
        <f t="shared" si="71"/>
        <v>-10</v>
      </c>
      <c r="G690" s="1215"/>
      <c r="H690" s="1269"/>
      <c r="I690" s="1291">
        <v>141250</v>
      </c>
    </row>
    <row r="691" spans="1:9" ht="15" customHeight="1">
      <c r="A691" s="1253">
        <v>41872</v>
      </c>
      <c r="B691" s="1209">
        <v>13485</v>
      </c>
      <c r="C691" s="1210">
        <v>22275</v>
      </c>
      <c r="D691" s="1230">
        <v>22350</v>
      </c>
      <c r="E691" s="1212">
        <f t="shared" si="68"/>
        <v>75</v>
      </c>
      <c r="F691" s="1211">
        <f>C691-C690</f>
        <v>-115</v>
      </c>
      <c r="G691" s="1215"/>
      <c r="H691" s="1269"/>
      <c r="I691" s="1291">
        <v>141250</v>
      </c>
    </row>
    <row r="692" spans="1:9" ht="15" customHeight="1">
      <c r="A692" s="1253">
        <v>41873</v>
      </c>
      <c r="B692" s="1209">
        <v>13235</v>
      </c>
      <c r="C692" s="1210">
        <v>22425</v>
      </c>
      <c r="D692" s="1230">
        <v>22425</v>
      </c>
      <c r="E692" s="1212">
        <f t="shared" si="68"/>
        <v>0</v>
      </c>
      <c r="F692" s="1211">
        <f>C692-C691</f>
        <v>150</v>
      </c>
      <c r="G692" s="1215"/>
      <c r="H692" s="1269"/>
      <c r="I692" s="1291">
        <v>141250</v>
      </c>
    </row>
    <row r="693" spans="1:9" ht="15" customHeight="1">
      <c r="A693" s="1253">
        <v>41876</v>
      </c>
      <c r="B693" s="1209"/>
      <c r="C693" s="1473" t="s">
        <v>45</v>
      </c>
      <c r="D693" s="1473"/>
      <c r="E693" s="1212" t="e">
        <f t="shared" si="68"/>
        <v>#VALUE!</v>
      </c>
      <c r="F693" s="1211"/>
      <c r="G693" s="1229"/>
      <c r="H693" s="1269"/>
      <c r="I693" s="1291">
        <v>141000</v>
      </c>
    </row>
    <row r="694" spans="1:9" ht="15" customHeight="1">
      <c r="A694" s="1253">
        <v>41877</v>
      </c>
      <c r="B694" s="1209">
        <v>13235</v>
      </c>
      <c r="C694" s="1210">
        <v>22090</v>
      </c>
      <c r="D694" s="1230">
        <v>22175</v>
      </c>
      <c r="E694" s="1212">
        <f t="shared" si="68"/>
        <v>85</v>
      </c>
      <c r="F694" s="1211">
        <f>C694-C692</f>
        <v>-335</v>
      </c>
      <c r="G694" s="1215"/>
      <c r="H694" s="1269"/>
      <c r="I694" s="1291">
        <v>141000</v>
      </c>
    </row>
    <row r="695" spans="1:9" ht="15" customHeight="1">
      <c r="A695" s="1253">
        <v>41878</v>
      </c>
      <c r="B695" s="1209">
        <v>12985</v>
      </c>
      <c r="C695" s="1210">
        <v>21915</v>
      </c>
      <c r="D695" s="1230">
        <v>22000</v>
      </c>
      <c r="E695" s="1212">
        <f t="shared" si="68"/>
        <v>85</v>
      </c>
      <c r="F695" s="1211">
        <f t="shared" ref="F695:F702" si="72">C695-C694</f>
        <v>-175</v>
      </c>
      <c r="G695" s="1215"/>
      <c r="H695" s="1269"/>
      <c r="I695" s="1291">
        <v>140750</v>
      </c>
    </row>
    <row r="696" spans="1:9" ht="15" customHeight="1">
      <c r="A696" s="1253">
        <v>41879</v>
      </c>
      <c r="B696" s="1209">
        <v>12680</v>
      </c>
      <c r="C696" s="1210">
        <v>21800</v>
      </c>
      <c r="D696" s="1230">
        <v>21805</v>
      </c>
      <c r="E696" s="1212">
        <f t="shared" si="68"/>
        <v>5</v>
      </c>
      <c r="F696" s="1211">
        <f t="shared" si="72"/>
        <v>-115</v>
      </c>
      <c r="G696" s="1215"/>
      <c r="H696" s="1269"/>
      <c r="I696" s="1291">
        <v>140750</v>
      </c>
    </row>
    <row r="697" spans="1:9" ht="15" customHeight="1">
      <c r="A697" s="1253">
        <v>41880</v>
      </c>
      <c r="B697" s="1209">
        <v>12295</v>
      </c>
      <c r="C697" s="1210">
        <v>21850</v>
      </c>
      <c r="D697" s="1230">
        <v>21880</v>
      </c>
      <c r="E697" s="1212">
        <f t="shared" si="68"/>
        <v>30</v>
      </c>
      <c r="F697" s="1211">
        <f t="shared" si="72"/>
        <v>50</v>
      </c>
      <c r="G697" s="1227">
        <f>AVERAGE(C677:C697)</f>
        <v>22294</v>
      </c>
      <c r="H697" s="1274">
        <f>AVERAGE(C526:C697)</f>
        <v>22757.305389221558</v>
      </c>
      <c r="I697" s="1291">
        <v>140250</v>
      </c>
    </row>
    <row r="698" spans="1:9" ht="15" customHeight="1">
      <c r="A698" s="1253">
        <v>41883</v>
      </c>
      <c r="B698" s="1209">
        <v>12445</v>
      </c>
      <c r="C698" s="1210">
        <v>21700</v>
      </c>
      <c r="D698" s="1230">
        <v>21700</v>
      </c>
      <c r="E698" s="1212">
        <f t="shared" si="68"/>
        <v>0</v>
      </c>
      <c r="F698" s="1211">
        <f t="shared" si="72"/>
        <v>-150</v>
      </c>
      <c r="G698" s="1215"/>
      <c r="H698" s="1269"/>
      <c r="I698" s="1291">
        <v>140250</v>
      </c>
    </row>
    <row r="699" spans="1:9" ht="15" customHeight="1">
      <c r="A699" s="1253">
        <v>41884</v>
      </c>
      <c r="B699" s="1209">
        <v>12445</v>
      </c>
      <c r="C699" s="1210">
        <v>21550</v>
      </c>
      <c r="D699" s="1230">
        <v>21560</v>
      </c>
      <c r="E699" s="1212">
        <f t="shared" si="68"/>
        <v>10</v>
      </c>
      <c r="F699" s="1211">
        <f t="shared" si="72"/>
        <v>-150</v>
      </c>
      <c r="G699" s="1215"/>
      <c r="H699" s="1269"/>
      <c r="I699" s="1291">
        <v>140250</v>
      </c>
    </row>
    <row r="700" spans="1:9" ht="15" customHeight="1">
      <c r="A700" s="1253">
        <v>41885</v>
      </c>
      <c r="B700" s="1209">
        <v>12435</v>
      </c>
      <c r="C700" s="1210">
        <v>21395</v>
      </c>
      <c r="D700" s="1230">
        <v>21395</v>
      </c>
      <c r="E700" s="1212">
        <f t="shared" si="68"/>
        <v>0</v>
      </c>
      <c r="F700" s="1211">
        <f t="shared" si="72"/>
        <v>-155</v>
      </c>
      <c r="G700" s="1215"/>
      <c r="H700" s="1269"/>
      <c r="I700" s="1291">
        <v>139750</v>
      </c>
    </row>
    <row r="701" spans="1:9" ht="15" customHeight="1">
      <c r="A701" s="1253">
        <v>41886</v>
      </c>
      <c r="B701" s="1209">
        <v>12435</v>
      </c>
      <c r="C701" s="1210">
        <v>21505</v>
      </c>
      <c r="D701" s="1230">
        <v>21525</v>
      </c>
      <c r="E701" s="1212">
        <f t="shared" si="68"/>
        <v>20</v>
      </c>
      <c r="F701" s="1211">
        <f t="shared" si="72"/>
        <v>110</v>
      </c>
      <c r="G701" s="1215"/>
      <c r="H701" s="1269"/>
      <c r="I701" s="1291">
        <v>139750</v>
      </c>
    </row>
    <row r="702" spans="1:9" ht="15" customHeight="1">
      <c r="A702" s="1253">
        <v>41887</v>
      </c>
      <c r="B702" s="1209">
        <v>12435</v>
      </c>
      <c r="C702" s="1210">
        <v>21500</v>
      </c>
      <c r="D702" s="1230">
        <v>21450</v>
      </c>
      <c r="E702" s="1212">
        <f t="shared" si="68"/>
        <v>-50</v>
      </c>
      <c r="F702" s="1211">
        <f t="shared" si="72"/>
        <v>-5</v>
      </c>
      <c r="G702" s="1215"/>
      <c r="H702" s="1269"/>
      <c r="I702" s="1291">
        <v>139750</v>
      </c>
    </row>
    <row r="703" spans="1:9" ht="15" customHeight="1">
      <c r="A703" s="1253">
        <v>41890</v>
      </c>
      <c r="B703" s="1209">
        <v>12435</v>
      </c>
      <c r="C703" s="1210">
        <v>21300</v>
      </c>
      <c r="D703" s="1230">
        <v>21305</v>
      </c>
      <c r="E703" s="1212">
        <f t="shared" si="68"/>
        <v>5</v>
      </c>
      <c r="F703" s="1211">
        <f t="shared" ref="F703:F713" si="73">C703-C702</f>
        <v>-200</v>
      </c>
      <c r="G703" s="1215"/>
      <c r="H703" s="1269"/>
      <c r="I703" s="1295" t="s">
        <v>49</v>
      </c>
    </row>
    <row r="704" spans="1:9" ht="15" customHeight="1">
      <c r="A704" s="1253">
        <v>41891</v>
      </c>
      <c r="B704" s="1209">
        <v>12350</v>
      </c>
      <c r="C704" s="1210">
        <v>21100</v>
      </c>
      <c r="D704" s="1230">
        <v>21130</v>
      </c>
      <c r="E704" s="1212">
        <f t="shared" si="68"/>
        <v>30</v>
      </c>
      <c r="F704" s="1211">
        <f t="shared" si="73"/>
        <v>-200</v>
      </c>
      <c r="G704" s="1215"/>
      <c r="H704" s="1269"/>
      <c r="I704" s="1291">
        <v>139750</v>
      </c>
    </row>
    <row r="705" spans="1:9" ht="15" customHeight="1">
      <c r="A705" s="1253">
        <v>41892</v>
      </c>
      <c r="B705" s="1209">
        <v>11295</v>
      </c>
      <c r="C705" s="1210">
        <v>21000</v>
      </c>
      <c r="D705" s="1230">
        <v>21050</v>
      </c>
      <c r="E705" s="1212">
        <f t="shared" si="68"/>
        <v>50</v>
      </c>
      <c r="F705" s="1211">
        <f t="shared" si="73"/>
        <v>-100</v>
      </c>
      <c r="G705" s="1215"/>
      <c r="H705" s="1269"/>
      <c r="I705" s="1291">
        <v>139750</v>
      </c>
    </row>
    <row r="706" spans="1:9" ht="15" customHeight="1">
      <c r="A706" s="1253">
        <v>41893</v>
      </c>
      <c r="B706" s="1209">
        <v>10210</v>
      </c>
      <c r="C706" s="1210">
        <v>21175</v>
      </c>
      <c r="D706" s="1230">
        <v>21200</v>
      </c>
      <c r="E706" s="1212">
        <f t="shared" si="68"/>
        <v>25</v>
      </c>
      <c r="F706" s="1211">
        <f t="shared" si="73"/>
        <v>175</v>
      </c>
      <c r="G706" s="1215"/>
      <c r="H706" s="1269"/>
      <c r="I706" s="1291">
        <v>139250</v>
      </c>
    </row>
    <row r="707" spans="1:9" ht="15" customHeight="1">
      <c r="A707" s="1253">
        <v>41894</v>
      </c>
      <c r="B707" s="1209">
        <v>9830</v>
      </c>
      <c r="C707" s="1210">
        <v>21180</v>
      </c>
      <c r="D707" s="1230">
        <v>21220</v>
      </c>
      <c r="E707" s="1212">
        <f t="shared" si="68"/>
        <v>40</v>
      </c>
      <c r="F707" s="1211">
        <f t="shared" si="73"/>
        <v>5</v>
      </c>
      <c r="G707" s="1215"/>
      <c r="H707" s="1269"/>
      <c r="I707" s="1291">
        <v>139250</v>
      </c>
    </row>
    <row r="708" spans="1:9" ht="15" customHeight="1">
      <c r="A708" s="1253">
        <v>41897</v>
      </c>
      <c r="B708" s="1209">
        <v>9915</v>
      </c>
      <c r="C708" s="1210">
        <v>21150</v>
      </c>
      <c r="D708" s="1230">
        <v>21150</v>
      </c>
      <c r="E708" s="1212">
        <f t="shared" si="68"/>
        <v>0</v>
      </c>
      <c r="F708" s="1211">
        <f t="shared" si="73"/>
        <v>-30</v>
      </c>
      <c r="G708" s="1215"/>
      <c r="H708" s="1269"/>
      <c r="I708" s="1291">
        <v>139250</v>
      </c>
    </row>
    <row r="709" spans="1:9" ht="15" customHeight="1">
      <c r="A709" s="1253">
        <v>41898</v>
      </c>
      <c r="B709" s="1209">
        <v>9890</v>
      </c>
      <c r="C709" s="1210">
        <v>21050</v>
      </c>
      <c r="D709" s="1230">
        <v>21010</v>
      </c>
      <c r="E709" s="1212">
        <f t="shared" si="68"/>
        <v>-40</v>
      </c>
      <c r="F709" s="1211">
        <f t="shared" si="73"/>
        <v>-100</v>
      </c>
      <c r="G709" s="1215"/>
      <c r="H709" s="1269"/>
      <c r="I709" s="1291">
        <v>139500</v>
      </c>
    </row>
    <row r="710" spans="1:9" ht="15" customHeight="1">
      <c r="A710" s="1253">
        <v>41899</v>
      </c>
      <c r="B710" s="1209">
        <v>9890</v>
      </c>
      <c r="C710" s="1210">
        <v>21055</v>
      </c>
      <c r="D710" s="1230">
        <v>21100</v>
      </c>
      <c r="E710" s="1212">
        <f t="shared" si="68"/>
        <v>45</v>
      </c>
      <c r="F710" s="1211">
        <f t="shared" si="73"/>
        <v>5</v>
      </c>
      <c r="G710" s="1215"/>
      <c r="H710" s="1269"/>
      <c r="I710" s="1291">
        <v>139500</v>
      </c>
    </row>
    <row r="711" spans="1:9" ht="15" customHeight="1">
      <c r="A711" s="1253">
        <v>41900</v>
      </c>
      <c r="B711" s="1209">
        <v>9885</v>
      </c>
      <c r="C711" s="1210">
        <v>21205</v>
      </c>
      <c r="D711" s="1230">
        <v>21250</v>
      </c>
      <c r="E711" s="1212">
        <f t="shared" si="68"/>
        <v>45</v>
      </c>
      <c r="F711" s="1211">
        <f t="shared" si="73"/>
        <v>150</v>
      </c>
      <c r="G711" s="1215"/>
      <c r="H711" s="1269"/>
      <c r="I711" s="1291">
        <v>139500</v>
      </c>
    </row>
    <row r="712" spans="1:9" ht="15" customHeight="1">
      <c r="A712" s="1253">
        <v>41901</v>
      </c>
      <c r="B712" s="1209">
        <v>9845</v>
      </c>
      <c r="C712" s="1210">
        <v>21200</v>
      </c>
      <c r="D712" s="1230">
        <v>21225</v>
      </c>
      <c r="E712" s="1212">
        <f t="shared" si="68"/>
        <v>25</v>
      </c>
      <c r="F712" s="1211">
        <f t="shared" si="73"/>
        <v>-5</v>
      </c>
      <c r="G712" s="1215"/>
      <c r="H712" s="1269"/>
      <c r="I712" s="1291">
        <v>139500</v>
      </c>
    </row>
    <row r="713" spans="1:9" ht="15" customHeight="1">
      <c r="A713" s="1253">
        <v>41904</v>
      </c>
      <c r="B713" s="1209">
        <v>9845</v>
      </c>
      <c r="C713" s="1210">
        <v>21200</v>
      </c>
      <c r="D713" s="1230">
        <v>21175</v>
      </c>
      <c r="E713" s="1212">
        <f t="shared" si="68"/>
        <v>-25</v>
      </c>
      <c r="F713" s="1211">
        <f t="shared" si="73"/>
        <v>0</v>
      </c>
      <c r="G713" s="1215"/>
      <c r="H713" s="1269"/>
      <c r="I713" s="1291">
        <v>140250</v>
      </c>
    </row>
    <row r="714" spans="1:9" ht="15" customHeight="1">
      <c r="A714" s="1253">
        <v>41905</v>
      </c>
      <c r="B714" s="1209">
        <v>9605</v>
      </c>
      <c r="C714" s="1210">
        <v>21160</v>
      </c>
      <c r="D714" s="1230">
        <v>21200</v>
      </c>
      <c r="E714" s="1212">
        <f t="shared" si="68"/>
        <v>40</v>
      </c>
      <c r="F714" s="1211">
        <f t="shared" ref="F714:F731" si="74">C714-C713</f>
        <v>-40</v>
      </c>
      <c r="G714" s="1215"/>
      <c r="H714" s="1269"/>
      <c r="I714" s="1291">
        <v>140250</v>
      </c>
    </row>
    <row r="715" spans="1:9" ht="15" customHeight="1">
      <c r="A715" s="1253">
        <v>41906</v>
      </c>
      <c r="B715" s="1209">
        <v>9590</v>
      </c>
      <c r="C715" s="1210">
        <v>21300</v>
      </c>
      <c r="D715" s="1230">
        <v>21275</v>
      </c>
      <c r="E715" s="1212">
        <f t="shared" ref="E715:E778" si="75">D715-C715</f>
        <v>-25</v>
      </c>
      <c r="F715" s="1211">
        <f t="shared" si="74"/>
        <v>140</v>
      </c>
      <c r="G715" s="1215"/>
      <c r="H715" s="1269"/>
      <c r="I715" s="1291">
        <v>140000</v>
      </c>
    </row>
    <row r="716" spans="1:9" ht="15" customHeight="1">
      <c r="A716" s="1253">
        <v>41907</v>
      </c>
      <c r="B716" s="1209">
        <v>9580</v>
      </c>
      <c r="C716" s="1210">
        <v>20700</v>
      </c>
      <c r="D716" s="1230">
        <v>20755</v>
      </c>
      <c r="E716" s="1212">
        <f t="shared" si="75"/>
        <v>55</v>
      </c>
      <c r="F716" s="1211">
        <f t="shared" si="74"/>
        <v>-600</v>
      </c>
      <c r="G716" s="1215"/>
      <c r="H716" s="1269"/>
      <c r="I716" s="1291">
        <v>140000</v>
      </c>
    </row>
    <row r="717" spans="1:9" ht="15" customHeight="1">
      <c r="A717" s="1253">
        <v>41908</v>
      </c>
      <c r="B717" s="1209">
        <v>9370</v>
      </c>
      <c r="C717" s="1210">
        <v>20450</v>
      </c>
      <c r="D717" s="1230">
        <v>20550</v>
      </c>
      <c r="E717" s="1212">
        <f t="shared" si="75"/>
        <v>100</v>
      </c>
      <c r="F717" s="1211">
        <f t="shared" si="74"/>
        <v>-250</v>
      </c>
      <c r="G717" s="1215"/>
      <c r="H717" s="1269"/>
      <c r="I717" s="1291">
        <v>139500</v>
      </c>
    </row>
    <row r="718" spans="1:9" ht="15" customHeight="1">
      <c r="A718" s="1253">
        <v>41911</v>
      </c>
      <c r="B718" s="1209">
        <v>9370</v>
      </c>
      <c r="C718" s="1210">
        <v>20535</v>
      </c>
      <c r="D718" s="1230">
        <v>20600</v>
      </c>
      <c r="E718" s="1212">
        <f t="shared" si="75"/>
        <v>65</v>
      </c>
      <c r="F718" s="1211">
        <f t="shared" si="74"/>
        <v>85</v>
      </c>
      <c r="G718" s="1215"/>
      <c r="H718" s="1269"/>
      <c r="I718" s="1291">
        <v>139500</v>
      </c>
    </row>
    <row r="719" spans="1:9" ht="15" customHeight="1">
      <c r="A719" s="1253">
        <v>41912</v>
      </c>
      <c r="B719" s="1209">
        <v>8595</v>
      </c>
      <c r="C719" s="1210">
        <v>20330</v>
      </c>
      <c r="D719" s="1230">
        <v>20350</v>
      </c>
      <c r="E719" s="1212">
        <f t="shared" si="75"/>
        <v>20</v>
      </c>
      <c r="F719" s="1211">
        <f t="shared" si="74"/>
        <v>-205</v>
      </c>
      <c r="G719" s="1227">
        <f>AVERAGE(C698:C719)</f>
        <v>21124.545454545456</v>
      </c>
      <c r="H719" s="1274">
        <f>AVERAGE(C526:C719)</f>
        <v>22567.248677248677</v>
      </c>
      <c r="I719" s="1291">
        <v>139500</v>
      </c>
    </row>
    <row r="720" spans="1:9" ht="15" customHeight="1">
      <c r="A720" s="1253">
        <v>41913</v>
      </c>
      <c r="B720" s="1209">
        <v>8380</v>
      </c>
      <c r="C720" s="1210">
        <v>20200</v>
      </c>
      <c r="D720" s="1230">
        <v>20250</v>
      </c>
      <c r="E720" s="1212">
        <f t="shared" si="75"/>
        <v>50</v>
      </c>
      <c r="F720" s="1211">
        <f t="shared" si="74"/>
        <v>-130</v>
      </c>
      <c r="G720" s="1215"/>
      <c r="H720" s="1269"/>
      <c r="I720" s="1467" t="s">
        <v>49</v>
      </c>
    </row>
    <row r="721" spans="1:10" ht="15" customHeight="1">
      <c r="A721" s="1253">
        <v>41914</v>
      </c>
      <c r="B721" s="1209">
        <v>8535</v>
      </c>
      <c r="C721" s="1210">
        <v>20425</v>
      </c>
      <c r="D721" s="1230">
        <v>20475</v>
      </c>
      <c r="E721" s="1212">
        <f t="shared" si="75"/>
        <v>50</v>
      </c>
      <c r="F721" s="1211">
        <f t="shared" si="74"/>
        <v>225</v>
      </c>
      <c r="G721" s="1215"/>
      <c r="H721" s="1269"/>
      <c r="I721" s="1467"/>
    </row>
    <row r="722" spans="1:10" ht="15" customHeight="1">
      <c r="A722" s="1253">
        <v>41915</v>
      </c>
      <c r="B722" s="1209">
        <v>9270</v>
      </c>
      <c r="C722" s="1210">
        <v>20395</v>
      </c>
      <c r="D722" s="1230">
        <v>20450</v>
      </c>
      <c r="E722" s="1212">
        <f t="shared" si="75"/>
        <v>55</v>
      </c>
      <c r="F722" s="1211">
        <f t="shared" si="74"/>
        <v>-30</v>
      </c>
      <c r="G722" s="1215"/>
      <c r="H722" s="1269"/>
      <c r="I722" s="1467"/>
      <c r="J722" s="303"/>
    </row>
    <row r="723" spans="1:10" ht="15" customHeight="1">
      <c r="A723" s="1253">
        <v>41918</v>
      </c>
      <c r="B723" s="1209">
        <v>9270</v>
      </c>
      <c r="C723" s="1210">
        <v>20465</v>
      </c>
      <c r="D723" s="1230">
        <v>20475</v>
      </c>
      <c r="E723" s="1212">
        <f t="shared" si="75"/>
        <v>10</v>
      </c>
      <c r="F723" s="1211">
        <f t="shared" si="74"/>
        <v>70</v>
      </c>
      <c r="G723" s="1215"/>
      <c r="H723" s="1269"/>
      <c r="I723" s="1467"/>
    </row>
    <row r="724" spans="1:10" ht="15" customHeight="1">
      <c r="A724" s="1253">
        <v>41919</v>
      </c>
      <c r="B724" s="1209">
        <v>9270</v>
      </c>
      <c r="C724" s="1210">
        <v>20275</v>
      </c>
      <c r="D724" s="1230">
        <v>20300</v>
      </c>
      <c r="E724" s="1212">
        <f t="shared" si="75"/>
        <v>25</v>
      </c>
      <c r="F724" s="1211">
        <f t="shared" si="74"/>
        <v>-190</v>
      </c>
      <c r="G724" s="1215"/>
      <c r="H724" s="1269"/>
      <c r="I724" s="1467"/>
    </row>
    <row r="725" spans="1:10" ht="15" customHeight="1">
      <c r="A725" s="1253">
        <v>41920</v>
      </c>
      <c r="B725" s="1209">
        <v>9130</v>
      </c>
      <c r="C725" s="1210">
        <v>20220</v>
      </c>
      <c r="D725" s="1230">
        <v>20300</v>
      </c>
      <c r="E725" s="1212">
        <f t="shared" si="75"/>
        <v>80</v>
      </c>
      <c r="F725" s="1211">
        <f t="shared" si="74"/>
        <v>-55</v>
      </c>
      <c r="G725" s="1215"/>
      <c r="H725" s="1269"/>
      <c r="I725" s="1467"/>
    </row>
    <row r="726" spans="1:10" ht="15" customHeight="1">
      <c r="A726" s="1253">
        <v>41921</v>
      </c>
      <c r="B726" s="1209">
        <v>9225</v>
      </c>
      <c r="C726" s="1210">
        <v>20225</v>
      </c>
      <c r="D726" s="1230">
        <v>20180</v>
      </c>
      <c r="E726" s="1212">
        <f t="shared" si="75"/>
        <v>-45</v>
      </c>
      <c r="F726" s="1211">
        <f t="shared" si="74"/>
        <v>5</v>
      </c>
      <c r="G726" s="1215"/>
      <c r="H726" s="1269"/>
      <c r="I726" s="1291">
        <v>139000</v>
      </c>
    </row>
    <row r="727" spans="1:10" ht="15" customHeight="1">
      <c r="A727" s="1253">
        <v>41922</v>
      </c>
      <c r="B727" s="1209">
        <v>9205</v>
      </c>
      <c r="C727" s="1210">
        <v>20100</v>
      </c>
      <c r="D727" s="1230">
        <v>20080</v>
      </c>
      <c r="E727" s="1212">
        <f t="shared" si="75"/>
        <v>-20</v>
      </c>
      <c r="F727" s="1211">
        <f t="shared" si="74"/>
        <v>-125</v>
      </c>
      <c r="G727" s="1215"/>
      <c r="H727" s="1269"/>
      <c r="I727" s="1291">
        <v>138750</v>
      </c>
    </row>
    <row r="728" spans="1:10" ht="15" customHeight="1">
      <c r="A728" s="1253">
        <v>41925</v>
      </c>
      <c r="B728" s="1209">
        <v>9115</v>
      </c>
      <c r="C728" s="1210">
        <v>20170</v>
      </c>
      <c r="D728" s="1230">
        <v>20200</v>
      </c>
      <c r="E728" s="1212">
        <f t="shared" si="75"/>
        <v>30</v>
      </c>
      <c r="F728" s="1211">
        <f t="shared" si="74"/>
        <v>70</v>
      </c>
      <c r="G728" s="1215"/>
      <c r="H728" s="1269"/>
      <c r="I728" s="1291">
        <v>138750</v>
      </c>
    </row>
    <row r="729" spans="1:10" ht="15" customHeight="1">
      <c r="A729" s="1253">
        <v>41926</v>
      </c>
      <c r="B729" s="1209">
        <v>9060</v>
      </c>
      <c r="C729" s="1210">
        <v>20155</v>
      </c>
      <c r="D729" s="1230">
        <v>20220</v>
      </c>
      <c r="E729" s="1212">
        <f t="shared" si="75"/>
        <v>65</v>
      </c>
      <c r="F729" s="1211">
        <f t="shared" si="74"/>
        <v>-15</v>
      </c>
      <c r="G729" s="1215"/>
      <c r="H729" s="1269"/>
      <c r="I729" s="1291">
        <v>138750</v>
      </c>
    </row>
    <row r="730" spans="1:10" ht="15" customHeight="1">
      <c r="A730" s="1253">
        <v>41927</v>
      </c>
      <c r="B730" s="1209">
        <v>9155</v>
      </c>
      <c r="C730" s="1210">
        <v>19725</v>
      </c>
      <c r="D730" s="1230">
        <v>19705</v>
      </c>
      <c r="E730" s="1212">
        <f t="shared" si="75"/>
        <v>-20</v>
      </c>
      <c r="F730" s="1211">
        <f t="shared" si="74"/>
        <v>-430</v>
      </c>
      <c r="G730" s="1215"/>
      <c r="H730" s="1269"/>
      <c r="I730" s="1291">
        <v>138000</v>
      </c>
    </row>
    <row r="731" spans="1:10" ht="15" customHeight="1">
      <c r="A731" s="1253">
        <v>41928</v>
      </c>
      <c r="B731" s="1209">
        <v>9155</v>
      </c>
      <c r="C731" s="1210">
        <v>19300</v>
      </c>
      <c r="D731" s="1230">
        <v>19350</v>
      </c>
      <c r="E731" s="1212">
        <f t="shared" si="75"/>
        <v>50</v>
      </c>
      <c r="F731" s="1211">
        <f t="shared" si="74"/>
        <v>-425</v>
      </c>
      <c r="G731" s="1215"/>
      <c r="H731" s="1269"/>
      <c r="I731" s="1291">
        <v>138000</v>
      </c>
    </row>
    <row r="732" spans="1:10" ht="15" customHeight="1">
      <c r="A732" s="1253">
        <v>41929</v>
      </c>
      <c r="B732" s="1209">
        <v>9180</v>
      </c>
      <c r="C732" s="1210">
        <v>19305</v>
      </c>
      <c r="D732" s="1230">
        <v>19355</v>
      </c>
      <c r="E732" s="1212">
        <f t="shared" si="75"/>
        <v>50</v>
      </c>
      <c r="F732" s="1211">
        <f t="shared" ref="F732:F741" si="76">C732-C731</f>
        <v>5</v>
      </c>
      <c r="G732" s="1215"/>
      <c r="H732" s="1269"/>
      <c r="I732" s="1291">
        <v>137250</v>
      </c>
    </row>
    <row r="733" spans="1:10" ht="15" customHeight="1">
      <c r="A733" s="1253">
        <v>41932</v>
      </c>
      <c r="B733" s="1209">
        <v>9155</v>
      </c>
      <c r="C733" s="1210">
        <v>19400</v>
      </c>
      <c r="D733" s="1230">
        <v>19450</v>
      </c>
      <c r="E733" s="1212">
        <f t="shared" si="75"/>
        <v>50</v>
      </c>
      <c r="F733" s="1211">
        <f t="shared" si="76"/>
        <v>95</v>
      </c>
      <c r="G733" s="1215"/>
      <c r="H733" s="1269"/>
      <c r="I733" s="1291">
        <v>137000</v>
      </c>
    </row>
    <row r="734" spans="1:10" ht="15" customHeight="1">
      <c r="A734" s="1253">
        <v>41933</v>
      </c>
      <c r="B734" s="1209">
        <v>9155</v>
      </c>
      <c r="C734" s="1210">
        <v>19500</v>
      </c>
      <c r="D734" s="1230">
        <v>19500</v>
      </c>
      <c r="E734" s="1212">
        <f t="shared" si="75"/>
        <v>0</v>
      </c>
      <c r="F734" s="1211">
        <f t="shared" si="76"/>
        <v>100</v>
      </c>
      <c r="G734" s="1215"/>
      <c r="H734" s="1269"/>
      <c r="I734" s="1291">
        <v>137000</v>
      </c>
    </row>
    <row r="735" spans="1:10" ht="15" customHeight="1">
      <c r="A735" s="1253">
        <v>41934</v>
      </c>
      <c r="B735" s="1209">
        <v>9155</v>
      </c>
      <c r="C735" s="1210">
        <v>19600</v>
      </c>
      <c r="D735" s="1230">
        <v>19550</v>
      </c>
      <c r="E735" s="1212">
        <f t="shared" si="75"/>
        <v>-50</v>
      </c>
      <c r="F735" s="1211">
        <f t="shared" si="76"/>
        <v>100</v>
      </c>
      <c r="G735" s="1215"/>
      <c r="H735" s="1269"/>
      <c r="I735" s="1291">
        <v>137000</v>
      </c>
    </row>
    <row r="736" spans="1:10" ht="15" customHeight="1">
      <c r="A736" s="1253">
        <v>41935</v>
      </c>
      <c r="B736" s="1209">
        <v>9155</v>
      </c>
      <c r="C736" s="1210">
        <v>19530</v>
      </c>
      <c r="D736" s="1230">
        <v>19580</v>
      </c>
      <c r="E736" s="1212">
        <f t="shared" si="75"/>
        <v>50</v>
      </c>
      <c r="F736" s="1211">
        <f t="shared" si="76"/>
        <v>-70</v>
      </c>
      <c r="G736" s="1215"/>
      <c r="H736" s="1269"/>
      <c r="I736" s="1291">
        <v>137000</v>
      </c>
    </row>
    <row r="737" spans="1:9" ht="15" customHeight="1">
      <c r="A737" s="1253">
        <v>41936</v>
      </c>
      <c r="B737" s="1209">
        <v>9105</v>
      </c>
      <c r="C737" s="1210">
        <v>19415</v>
      </c>
      <c r="D737" s="1230">
        <v>19450</v>
      </c>
      <c r="E737" s="1212">
        <f t="shared" si="75"/>
        <v>35</v>
      </c>
      <c r="F737" s="1211">
        <f t="shared" si="76"/>
        <v>-115</v>
      </c>
      <c r="G737" s="1215"/>
      <c r="H737" s="1269"/>
      <c r="I737" s="1291">
        <v>137000</v>
      </c>
    </row>
    <row r="738" spans="1:9" ht="15" customHeight="1">
      <c r="A738" s="1253">
        <v>41939</v>
      </c>
      <c r="B738" s="1209">
        <v>9105</v>
      </c>
      <c r="C738" s="1210">
        <v>19545</v>
      </c>
      <c r="D738" s="1230">
        <v>19600</v>
      </c>
      <c r="E738" s="1212">
        <f t="shared" si="75"/>
        <v>55</v>
      </c>
      <c r="F738" s="1211">
        <f t="shared" si="76"/>
        <v>130</v>
      </c>
      <c r="G738" s="1215"/>
      <c r="H738" s="1269"/>
      <c r="I738" s="1291">
        <v>136500</v>
      </c>
    </row>
    <row r="739" spans="1:9" ht="15" customHeight="1">
      <c r="A739" s="1253">
        <v>41940</v>
      </c>
      <c r="B739" s="1209">
        <v>9140</v>
      </c>
      <c r="C739" s="1210">
        <v>19755</v>
      </c>
      <c r="D739" s="1230">
        <v>19760</v>
      </c>
      <c r="E739" s="1212">
        <f t="shared" si="75"/>
        <v>5</v>
      </c>
      <c r="F739" s="1211">
        <f t="shared" si="76"/>
        <v>210</v>
      </c>
      <c r="G739" s="1215"/>
      <c r="H739" s="1269"/>
      <c r="I739" s="1291">
        <v>136250</v>
      </c>
    </row>
    <row r="740" spans="1:9" ht="15" customHeight="1">
      <c r="A740" s="1253">
        <v>41941</v>
      </c>
      <c r="B740" s="1209">
        <v>9115</v>
      </c>
      <c r="C740" s="1210">
        <v>20150</v>
      </c>
      <c r="D740" s="1230">
        <v>20170</v>
      </c>
      <c r="E740" s="1212">
        <f t="shared" si="75"/>
        <v>20</v>
      </c>
      <c r="F740" s="1211">
        <f t="shared" si="76"/>
        <v>395</v>
      </c>
      <c r="G740" s="1215"/>
      <c r="H740" s="1269"/>
      <c r="I740" s="1291">
        <v>136250</v>
      </c>
    </row>
    <row r="741" spans="1:9" ht="15" customHeight="1">
      <c r="A741" s="1253">
        <v>41942</v>
      </c>
      <c r="B741" s="1209">
        <v>9260</v>
      </c>
      <c r="C741" s="1210">
        <v>19930</v>
      </c>
      <c r="D741" s="1230">
        <v>20000</v>
      </c>
      <c r="E741" s="1212">
        <f t="shared" si="75"/>
        <v>70</v>
      </c>
      <c r="F741" s="1211">
        <f t="shared" si="76"/>
        <v>-220</v>
      </c>
      <c r="G741" s="1215"/>
      <c r="H741" s="1269"/>
      <c r="I741" s="1291">
        <v>136750</v>
      </c>
    </row>
    <row r="742" spans="1:9" ht="15" customHeight="1">
      <c r="A742" s="1253">
        <v>41943</v>
      </c>
      <c r="B742" s="1209">
        <v>9235</v>
      </c>
      <c r="C742" s="1210">
        <v>20125</v>
      </c>
      <c r="D742" s="1230">
        <v>20105</v>
      </c>
      <c r="E742" s="1212">
        <f t="shared" si="75"/>
        <v>-20</v>
      </c>
      <c r="F742" s="1211">
        <f t="shared" ref="F742:F753" si="77">C742-C741</f>
        <v>195</v>
      </c>
      <c r="G742" s="1227">
        <f>AVERAGE(C720:C742)</f>
        <v>19909.130434782608</v>
      </c>
      <c r="H742" s="1274">
        <f>AVERAGE(C526:C742)</f>
        <v>22278.867924528302</v>
      </c>
      <c r="I742" s="1291">
        <v>136750</v>
      </c>
    </row>
    <row r="743" spans="1:9" ht="15" customHeight="1">
      <c r="A743" s="1253">
        <v>41946</v>
      </c>
      <c r="B743" s="1209">
        <v>10385</v>
      </c>
      <c r="C743" s="1210">
        <v>19850</v>
      </c>
      <c r="D743" s="1230">
        <v>19850</v>
      </c>
      <c r="E743" s="1212">
        <f t="shared" si="75"/>
        <v>0</v>
      </c>
      <c r="F743" s="1211">
        <f t="shared" si="77"/>
        <v>-275</v>
      </c>
      <c r="G743" s="1215"/>
      <c r="H743" s="1269"/>
      <c r="I743" s="1291">
        <v>136500</v>
      </c>
    </row>
    <row r="744" spans="1:9" ht="15" customHeight="1">
      <c r="A744" s="1253">
        <v>41947</v>
      </c>
      <c r="B744" s="1209">
        <v>10315</v>
      </c>
      <c r="C744" s="1210">
        <v>19605</v>
      </c>
      <c r="D744" s="1230">
        <v>19605</v>
      </c>
      <c r="E744" s="1212">
        <f t="shared" si="75"/>
        <v>0</v>
      </c>
      <c r="F744" s="1211">
        <f t="shared" si="77"/>
        <v>-245</v>
      </c>
      <c r="G744" s="1215"/>
      <c r="H744" s="1269"/>
      <c r="I744" s="1291">
        <v>136500</v>
      </c>
    </row>
    <row r="745" spans="1:9" ht="15" customHeight="1">
      <c r="A745" s="1253">
        <v>41948</v>
      </c>
      <c r="B745" s="1209">
        <v>10270</v>
      </c>
      <c r="C745" s="1210">
        <v>19540</v>
      </c>
      <c r="D745" s="1230">
        <v>19560</v>
      </c>
      <c r="E745" s="1212">
        <f t="shared" si="75"/>
        <v>20</v>
      </c>
      <c r="F745" s="1211">
        <f t="shared" si="77"/>
        <v>-65</v>
      </c>
      <c r="G745" s="1215"/>
      <c r="H745" s="1269"/>
      <c r="I745" s="1291">
        <v>136000</v>
      </c>
    </row>
    <row r="746" spans="1:9" ht="15" customHeight="1">
      <c r="A746" s="1253">
        <v>41949</v>
      </c>
      <c r="B746" s="1209">
        <v>10270</v>
      </c>
      <c r="C746" s="1210">
        <v>19850</v>
      </c>
      <c r="D746" s="1230">
        <v>19830</v>
      </c>
      <c r="E746" s="1212">
        <f t="shared" si="75"/>
        <v>-20</v>
      </c>
      <c r="F746" s="1211">
        <f t="shared" si="77"/>
        <v>310</v>
      </c>
      <c r="G746" s="1215"/>
      <c r="H746" s="1269"/>
      <c r="I746" s="1291">
        <v>136000</v>
      </c>
    </row>
    <row r="747" spans="1:9" ht="15" customHeight="1">
      <c r="A747" s="1253">
        <v>41950</v>
      </c>
      <c r="B747" s="1209">
        <v>10245</v>
      </c>
      <c r="C747" s="1210">
        <v>20025</v>
      </c>
      <c r="D747" s="1230">
        <v>20005</v>
      </c>
      <c r="E747" s="1212">
        <f t="shared" si="75"/>
        <v>-20</v>
      </c>
      <c r="F747" s="1211">
        <f t="shared" si="77"/>
        <v>175</v>
      </c>
      <c r="G747" s="1215"/>
      <c r="H747" s="1269"/>
      <c r="I747" s="1291">
        <v>136000</v>
      </c>
    </row>
    <row r="748" spans="1:9" ht="15" customHeight="1">
      <c r="A748" s="1253">
        <v>41953</v>
      </c>
      <c r="B748" s="1209">
        <v>10145</v>
      </c>
      <c r="C748" s="1210">
        <v>20050</v>
      </c>
      <c r="D748" s="1230">
        <v>20040</v>
      </c>
      <c r="E748" s="1212">
        <f t="shared" si="75"/>
        <v>-10</v>
      </c>
      <c r="F748" s="1211">
        <f t="shared" si="77"/>
        <v>25</v>
      </c>
      <c r="G748" s="1215"/>
      <c r="H748" s="1269"/>
      <c r="I748" s="1291">
        <v>136000</v>
      </c>
    </row>
    <row r="749" spans="1:9" ht="15" customHeight="1">
      <c r="A749" s="1253">
        <v>41954</v>
      </c>
      <c r="B749" s="1209">
        <v>9995</v>
      </c>
      <c r="C749" s="1210">
        <v>19925</v>
      </c>
      <c r="D749" s="1230">
        <v>19975</v>
      </c>
      <c r="E749" s="1212">
        <f t="shared" si="75"/>
        <v>50</v>
      </c>
      <c r="F749" s="1211">
        <f t="shared" si="77"/>
        <v>-125</v>
      </c>
      <c r="G749" s="1215"/>
      <c r="H749" s="1269"/>
      <c r="I749" s="1291">
        <v>136000</v>
      </c>
    </row>
    <row r="750" spans="1:9" ht="15" customHeight="1">
      <c r="A750" s="1253">
        <v>41955</v>
      </c>
      <c r="B750" s="1209">
        <v>9905</v>
      </c>
      <c r="C750" s="1210">
        <v>20150</v>
      </c>
      <c r="D750" s="1230">
        <v>20125</v>
      </c>
      <c r="E750" s="1212">
        <f t="shared" si="75"/>
        <v>-25</v>
      </c>
      <c r="F750" s="1211">
        <f t="shared" si="77"/>
        <v>225</v>
      </c>
      <c r="G750" s="1215"/>
      <c r="H750" s="1269"/>
      <c r="I750" s="1291">
        <v>136000</v>
      </c>
    </row>
    <row r="751" spans="1:9" ht="15" customHeight="1">
      <c r="A751" s="1253">
        <v>41956</v>
      </c>
      <c r="B751" s="1209">
        <v>10115</v>
      </c>
      <c r="C751" s="1210">
        <v>20030</v>
      </c>
      <c r="D751" s="1230">
        <v>20130</v>
      </c>
      <c r="E751" s="1212">
        <f t="shared" si="75"/>
        <v>100</v>
      </c>
      <c r="F751" s="1211">
        <f t="shared" si="77"/>
        <v>-120</v>
      </c>
      <c r="G751" s="1215"/>
      <c r="H751" s="1269"/>
      <c r="I751" s="1291">
        <v>136000</v>
      </c>
    </row>
    <row r="752" spans="1:9" ht="15" customHeight="1">
      <c r="A752" s="1253">
        <v>41957</v>
      </c>
      <c r="B752" s="1209">
        <v>10275</v>
      </c>
      <c r="C752" s="1210">
        <v>19825</v>
      </c>
      <c r="D752" s="1230">
        <v>19820</v>
      </c>
      <c r="E752" s="1212">
        <f t="shared" si="75"/>
        <v>-5</v>
      </c>
      <c r="F752" s="1211">
        <f t="shared" si="77"/>
        <v>-205</v>
      </c>
      <c r="G752" s="1215"/>
      <c r="H752" s="1269"/>
      <c r="I752" s="1291">
        <v>135750</v>
      </c>
    </row>
    <row r="753" spans="1:9" ht="15" customHeight="1">
      <c r="A753" s="1253">
        <v>41960</v>
      </c>
      <c r="B753" s="1209">
        <v>10595</v>
      </c>
      <c r="C753" s="1210">
        <v>19610</v>
      </c>
      <c r="D753" s="1230">
        <v>19730</v>
      </c>
      <c r="E753" s="1212">
        <f t="shared" si="75"/>
        <v>120</v>
      </c>
      <c r="F753" s="1211">
        <f t="shared" si="77"/>
        <v>-215</v>
      </c>
      <c r="G753" s="1215"/>
      <c r="H753" s="1269"/>
      <c r="I753" s="1291">
        <v>135750</v>
      </c>
    </row>
    <row r="754" spans="1:9" ht="15" customHeight="1">
      <c r="A754" s="1253">
        <v>41961</v>
      </c>
      <c r="B754" s="1209">
        <v>11175</v>
      </c>
      <c r="C754" s="1210">
        <v>19575</v>
      </c>
      <c r="D754" s="1230">
        <v>19575</v>
      </c>
      <c r="E754" s="1212">
        <f t="shared" si="75"/>
        <v>0</v>
      </c>
      <c r="F754" s="1211">
        <f t="shared" ref="F754:F759" si="78">C754-C753</f>
        <v>-35</v>
      </c>
      <c r="G754" s="1215"/>
      <c r="H754" s="1269"/>
      <c r="I754" s="1291">
        <v>135750</v>
      </c>
    </row>
    <row r="755" spans="1:9" ht="15" customHeight="1">
      <c r="A755" s="1253">
        <v>41962</v>
      </c>
      <c r="B755" s="1209">
        <v>11180</v>
      </c>
      <c r="C755" s="1210">
        <v>19705</v>
      </c>
      <c r="D755" s="1230">
        <v>19705</v>
      </c>
      <c r="E755" s="1212">
        <f t="shared" si="75"/>
        <v>0</v>
      </c>
      <c r="F755" s="1211">
        <f t="shared" si="78"/>
        <v>130</v>
      </c>
      <c r="G755" s="1215"/>
      <c r="H755" s="1269"/>
      <c r="I755" s="1291">
        <v>135250</v>
      </c>
    </row>
    <row r="756" spans="1:9" ht="15" customHeight="1">
      <c r="A756" s="1253">
        <v>41963</v>
      </c>
      <c r="B756" s="1209">
        <v>11645</v>
      </c>
      <c r="C756" s="1210">
        <v>19775</v>
      </c>
      <c r="D756" s="1230">
        <v>19800</v>
      </c>
      <c r="E756" s="1212">
        <f t="shared" si="75"/>
        <v>25</v>
      </c>
      <c r="F756" s="1211">
        <f t="shared" si="78"/>
        <v>70</v>
      </c>
      <c r="G756" s="1215"/>
      <c r="H756" s="1269"/>
      <c r="I756" s="1291">
        <v>134750</v>
      </c>
    </row>
    <row r="757" spans="1:9" ht="15" customHeight="1">
      <c r="A757" s="1253">
        <v>41964</v>
      </c>
      <c r="B757" s="1209">
        <v>11580</v>
      </c>
      <c r="C757" s="1210">
        <v>20250</v>
      </c>
      <c r="D757" s="1230">
        <v>20155</v>
      </c>
      <c r="E757" s="1212">
        <f t="shared" si="75"/>
        <v>-95</v>
      </c>
      <c r="F757" s="1211">
        <f t="shared" si="78"/>
        <v>475</v>
      </c>
      <c r="G757" s="1215"/>
      <c r="H757" s="1269"/>
      <c r="I757" s="1291">
        <v>134750</v>
      </c>
    </row>
    <row r="758" spans="1:9" ht="15" customHeight="1">
      <c r="A758" s="1253">
        <v>41967</v>
      </c>
      <c r="B758" s="1209">
        <v>11715</v>
      </c>
      <c r="C758" s="1210">
        <v>20480</v>
      </c>
      <c r="D758" s="1230">
        <v>20500</v>
      </c>
      <c r="E758" s="1212">
        <f t="shared" si="75"/>
        <v>20</v>
      </c>
      <c r="F758" s="1211">
        <f t="shared" si="78"/>
        <v>230</v>
      </c>
      <c r="G758" s="1215"/>
      <c r="H758" s="1269"/>
      <c r="I758" s="1291">
        <v>135250</v>
      </c>
    </row>
    <row r="759" spans="1:9" ht="15" customHeight="1">
      <c r="A759" s="1253">
        <v>41968</v>
      </c>
      <c r="B759" s="1209">
        <v>11865</v>
      </c>
      <c r="C759" s="1210">
        <v>20210</v>
      </c>
      <c r="D759" s="1230">
        <v>20275</v>
      </c>
      <c r="E759" s="1212">
        <f t="shared" si="75"/>
        <v>65</v>
      </c>
      <c r="F759" s="1211">
        <f t="shared" si="78"/>
        <v>-270</v>
      </c>
      <c r="G759" s="1215"/>
      <c r="H759" s="1269"/>
      <c r="I759" s="1291">
        <v>135250</v>
      </c>
    </row>
    <row r="760" spans="1:9" ht="15" customHeight="1">
      <c r="A760" s="1253">
        <v>41969</v>
      </c>
      <c r="B760" s="1209">
        <v>12010</v>
      </c>
      <c r="C760" s="1210">
        <v>20375</v>
      </c>
      <c r="D760" s="1230">
        <v>20325</v>
      </c>
      <c r="E760" s="1212">
        <f t="shared" si="75"/>
        <v>-50</v>
      </c>
      <c r="F760" s="1211">
        <f t="shared" ref="F760:F777" si="79">C760-C759</f>
        <v>165</v>
      </c>
      <c r="G760" s="1215"/>
      <c r="H760" s="1269"/>
      <c r="I760" s="1291">
        <v>135250</v>
      </c>
    </row>
    <row r="761" spans="1:9" ht="15" customHeight="1">
      <c r="A761" s="1253">
        <v>41970</v>
      </c>
      <c r="B761" s="1209">
        <v>11760</v>
      </c>
      <c r="C761" s="1210">
        <v>20375</v>
      </c>
      <c r="D761" s="1230">
        <v>20355</v>
      </c>
      <c r="E761" s="1212">
        <f t="shared" si="75"/>
        <v>-20</v>
      </c>
      <c r="F761" s="1211">
        <f t="shared" si="79"/>
        <v>0</v>
      </c>
      <c r="G761" s="1215"/>
      <c r="H761" s="1269"/>
      <c r="I761" s="1291">
        <v>135250</v>
      </c>
    </row>
    <row r="762" spans="1:9" ht="15" customHeight="1">
      <c r="A762" s="1253">
        <v>41971</v>
      </c>
      <c r="B762" s="1209">
        <v>11850</v>
      </c>
      <c r="C762" s="1210">
        <v>20175</v>
      </c>
      <c r="D762" s="1230">
        <v>20225</v>
      </c>
      <c r="E762" s="1212">
        <f t="shared" si="75"/>
        <v>50</v>
      </c>
      <c r="F762" s="1211">
        <f t="shared" si="79"/>
        <v>-200</v>
      </c>
      <c r="G762" s="1227">
        <f>AVERAGE(C743:C762)</f>
        <v>19969</v>
      </c>
      <c r="H762" s="1274">
        <f>AVERAGE(C526:C762)</f>
        <v>22079.741379310344</v>
      </c>
      <c r="I762" s="1291">
        <v>135250</v>
      </c>
    </row>
    <row r="763" spans="1:9" ht="15" customHeight="1">
      <c r="A763" s="1253">
        <v>41974</v>
      </c>
      <c r="B763" s="1209">
        <v>11700</v>
      </c>
      <c r="C763" s="1210">
        <v>20135</v>
      </c>
      <c r="D763" s="1230">
        <v>20200</v>
      </c>
      <c r="E763" s="1212">
        <f t="shared" si="75"/>
        <v>65</v>
      </c>
      <c r="F763" s="1211">
        <f t="shared" si="79"/>
        <v>-40</v>
      </c>
      <c r="G763" s="1215"/>
      <c r="H763" s="1269"/>
      <c r="I763" s="1291">
        <v>135000</v>
      </c>
    </row>
    <row r="764" spans="1:9" ht="15" customHeight="1">
      <c r="A764" s="1253">
        <v>41975</v>
      </c>
      <c r="B764" s="1209">
        <v>11525</v>
      </c>
      <c r="C764" s="1210">
        <v>20250</v>
      </c>
      <c r="D764" s="1230">
        <v>20250</v>
      </c>
      <c r="E764" s="1212">
        <f t="shared" si="75"/>
        <v>0</v>
      </c>
      <c r="F764" s="1211">
        <f t="shared" si="79"/>
        <v>115</v>
      </c>
      <c r="G764" s="1215"/>
      <c r="H764" s="1269"/>
      <c r="I764" s="1291">
        <v>135000</v>
      </c>
    </row>
    <row r="765" spans="1:9" ht="15" customHeight="1">
      <c r="A765" s="1253">
        <v>41976</v>
      </c>
      <c r="B765" s="1209">
        <v>11550</v>
      </c>
      <c r="C765" s="1210">
        <v>20455</v>
      </c>
      <c r="D765" s="1230">
        <v>20450</v>
      </c>
      <c r="E765" s="1212">
        <f t="shared" si="75"/>
        <v>-5</v>
      </c>
      <c r="F765" s="1211">
        <f t="shared" si="79"/>
        <v>205</v>
      </c>
      <c r="G765" s="1215"/>
      <c r="H765" s="1269"/>
      <c r="I765" s="1291">
        <v>134750</v>
      </c>
    </row>
    <row r="766" spans="1:9" ht="15" customHeight="1">
      <c r="A766" s="1253">
        <v>41977</v>
      </c>
      <c r="B766" s="1209">
        <v>11495</v>
      </c>
      <c r="C766" s="1210">
        <v>20415</v>
      </c>
      <c r="D766" s="1230">
        <v>20410</v>
      </c>
      <c r="E766" s="1212">
        <f t="shared" si="75"/>
        <v>-5</v>
      </c>
      <c r="F766" s="1211">
        <f t="shared" si="79"/>
        <v>-40</v>
      </c>
      <c r="G766" s="1215"/>
      <c r="H766" s="1269"/>
      <c r="I766" s="1291">
        <v>134250</v>
      </c>
    </row>
    <row r="767" spans="1:9" ht="15" customHeight="1">
      <c r="A767" s="1253">
        <v>41978</v>
      </c>
      <c r="B767" s="1209">
        <v>11515</v>
      </c>
      <c r="C767" s="1210">
        <v>20260</v>
      </c>
      <c r="D767" s="1230">
        <v>20450</v>
      </c>
      <c r="E767" s="1212">
        <f t="shared" si="75"/>
        <v>190</v>
      </c>
      <c r="F767" s="1211">
        <f t="shared" si="79"/>
        <v>-155</v>
      </c>
      <c r="G767" s="1215"/>
      <c r="H767" s="1269"/>
      <c r="I767" s="1291">
        <v>134250</v>
      </c>
    </row>
    <row r="768" spans="1:9" ht="15" customHeight="1">
      <c r="A768" s="1253">
        <v>41981</v>
      </c>
      <c r="B768" s="1209">
        <v>11070</v>
      </c>
      <c r="C768" s="1210">
        <v>20305</v>
      </c>
      <c r="D768" s="1230">
        <v>20205</v>
      </c>
      <c r="E768" s="1212">
        <f t="shared" si="75"/>
        <v>-100</v>
      </c>
      <c r="F768" s="1211">
        <f t="shared" si="79"/>
        <v>45</v>
      </c>
      <c r="G768" s="1215"/>
      <c r="H768" s="1269"/>
      <c r="I768" s="1291">
        <v>134250</v>
      </c>
    </row>
    <row r="769" spans="1:9" ht="15" customHeight="1">
      <c r="A769" s="1253">
        <v>41982</v>
      </c>
      <c r="B769" s="1209">
        <v>11045</v>
      </c>
      <c r="C769" s="1210">
        <v>20390</v>
      </c>
      <c r="D769" s="1230">
        <v>20425</v>
      </c>
      <c r="E769" s="1212">
        <f t="shared" si="75"/>
        <v>35</v>
      </c>
      <c r="F769" s="1211">
        <f t="shared" si="79"/>
        <v>85</v>
      </c>
      <c r="G769" s="1215"/>
      <c r="H769" s="1269"/>
      <c r="I769" s="1291">
        <v>133250</v>
      </c>
    </row>
    <row r="770" spans="1:9" ht="15" customHeight="1">
      <c r="A770" s="1253">
        <v>41983</v>
      </c>
      <c r="B770" s="1209">
        <v>11145</v>
      </c>
      <c r="C770" s="1210">
        <v>20470</v>
      </c>
      <c r="D770" s="1230">
        <v>20490</v>
      </c>
      <c r="E770" s="1212">
        <f t="shared" si="75"/>
        <v>20</v>
      </c>
      <c r="F770" s="1211">
        <f t="shared" si="79"/>
        <v>80</v>
      </c>
      <c r="G770" s="1215"/>
      <c r="H770" s="1269"/>
      <c r="I770" s="1291">
        <v>133250</v>
      </c>
    </row>
    <row r="771" spans="1:9" ht="15" customHeight="1">
      <c r="A771" s="1253">
        <v>41984</v>
      </c>
      <c r="B771" s="1209">
        <v>11245</v>
      </c>
      <c r="C771" s="1210">
        <v>20370</v>
      </c>
      <c r="D771" s="1230">
        <v>20375</v>
      </c>
      <c r="E771" s="1212">
        <f t="shared" si="75"/>
        <v>5</v>
      </c>
      <c r="F771" s="1211">
        <f t="shared" si="79"/>
        <v>-100</v>
      </c>
      <c r="G771" s="1215"/>
      <c r="H771" s="1269"/>
      <c r="I771" s="1291">
        <v>133250</v>
      </c>
    </row>
    <row r="772" spans="1:9" ht="15" customHeight="1">
      <c r="A772" s="1253">
        <v>41985</v>
      </c>
      <c r="B772" s="1209">
        <v>11270</v>
      </c>
      <c r="C772" s="1210">
        <v>20425</v>
      </c>
      <c r="D772" s="1230">
        <v>20400</v>
      </c>
      <c r="E772" s="1212">
        <f t="shared" si="75"/>
        <v>-25</v>
      </c>
      <c r="F772" s="1211">
        <f t="shared" si="79"/>
        <v>55</v>
      </c>
      <c r="G772" s="1215"/>
      <c r="H772" s="1269"/>
      <c r="I772" s="1291">
        <v>133000</v>
      </c>
    </row>
    <row r="773" spans="1:9" ht="15" customHeight="1">
      <c r="A773" s="1253">
        <v>41988</v>
      </c>
      <c r="B773" s="1209">
        <v>11245</v>
      </c>
      <c r="C773" s="1210">
        <v>20380</v>
      </c>
      <c r="D773" s="1230">
        <v>20475</v>
      </c>
      <c r="E773" s="1212">
        <f t="shared" si="75"/>
        <v>95</v>
      </c>
      <c r="F773" s="1211">
        <f t="shared" si="79"/>
        <v>-45</v>
      </c>
      <c r="G773" s="1215"/>
      <c r="H773" s="1269"/>
      <c r="I773" s="1291">
        <v>133000</v>
      </c>
    </row>
    <row r="774" spans="1:9" ht="15" customHeight="1">
      <c r="A774" s="1253">
        <v>41989</v>
      </c>
      <c r="B774" s="1209">
        <v>12190</v>
      </c>
      <c r="C774" s="1210">
        <v>20355</v>
      </c>
      <c r="D774" s="1230">
        <v>20330</v>
      </c>
      <c r="E774" s="1212">
        <f t="shared" si="75"/>
        <v>-25</v>
      </c>
      <c r="F774" s="1211">
        <f t="shared" si="79"/>
        <v>-25</v>
      </c>
      <c r="G774" s="1215"/>
      <c r="H774" s="1269"/>
      <c r="I774" s="1291">
        <v>132250</v>
      </c>
    </row>
    <row r="775" spans="1:9" ht="15" customHeight="1">
      <c r="A775" s="1253">
        <v>41990</v>
      </c>
      <c r="B775" s="1209">
        <v>12190</v>
      </c>
      <c r="C775" s="1210">
        <v>19460</v>
      </c>
      <c r="D775" s="1230">
        <v>19500</v>
      </c>
      <c r="E775" s="1212">
        <f t="shared" si="75"/>
        <v>40</v>
      </c>
      <c r="F775" s="1211">
        <f t="shared" si="79"/>
        <v>-895</v>
      </c>
      <c r="G775" s="1215"/>
      <c r="H775" s="1269"/>
      <c r="I775" s="1291">
        <v>132250</v>
      </c>
    </row>
    <row r="776" spans="1:9" ht="15" customHeight="1">
      <c r="A776" s="1253">
        <v>41991</v>
      </c>
      <c r="B776" s="1209">
        <v>12190</v>
      </c>
      <c r="C776" s="1210">
        <v>19200</v>
      </c>
      <c r="D776" s="1230">
        <v>19225</v>
      </c>
      <c r="E776" s="1212">
        <f t="shared" si="75"/>
        <v>25</v>
      </c>
      <c r="F776" s="1211">
        <f t="shared" si="79"/>
        <v>-260</v>
      </c>
      <c r="G776" s="1215"/>
      <c r="H776" s="1269"/>
      <c r="I776" s="1291">
        <v>131250</v>
      </c>
    </row>
    <row r="777" spans="1:9" ht="15" customHeight="1">
      <c r="A777" s="1253">
        <v>41992</v>
      </c>
      <c r="B777" s="1209">
        <v>12180</v>
      </c>
      <c r="C777" s="1210">
        <v>19400</v>
      </c>
      <c r="D777" s="1230">
        <v>19375</v>
      </c>
      <c r="E777" s="1212">
        <f t="shared" si="75"/>
        <v>-25</v>
      </c>
      <c r="F777" s="1211">
        <f t="shared" si="79"/>
        <v>200</v>
      </c>
      <c r="G777" s="1215"/>
      <c r="H777" s="1269"/>
      <c r="I777" s="1291">
        <v>130250</v>
      </c>
    </row>
    <row r="778" spans="1:9" ht="15" customHeight="1">
      <c r="A778" s="1253">
        <v>41995</v>
      </c>
      <c r="B778" s="1209">
        <v>12130</v>
      </c>
      <c r="C778" s="1210">
        <v>19100</v>
      </c>
      <c r="D778" s="1230">
        <v>19075</v>
      </c>
      <c r="E778" s="1212">
        <f t="shared" si="75"/>
        <v>-25</v>
      </c>
      <c r="F778" s="1211">
        <f>C778-C777</f>
        <v>-300</v>
      </c>
      <c r="G778" s="1215"/>
      <c r="H778" s="1269"/>
      <c r="I778" s="1291">
        <v>129750</v>
      </c>
    </row>
    <row r="779" spans="1:9" ht="15" customHeight="1">
      <c r="A779" s="1253">
        <v>41996</v>
      </c>
      <c r="B779" s="1209">
        <v>12145</v>
      </c>
      <c r="C779" s="1210">
        <v>18530</v>
      </c>
      <c r="D779" s="1230">
        <v>18500</v>
      </c>
      <c r="E779" s="1212">
        <f t="shared" ref="E779:E780" si="80">D779-C779</f>
        <v>-30</v>
      </c>
      <c r="F779" s="1211">
        <f>C779-C778</f>
        <v>-570</v>
      </c>
      <c r="G779" s="1215"/>
      <c r="H779" s="1269"/>
      <c r="I779" s="1291">
        <v>130000</v>
      </c>
    </row>
    <row r="780" spans="1:9" ht="15" customHeight="1">
      <c r="A780" s="1253">
        <v>41997</v>
      </c>
      <c r="B780" s="1209">
        <v>12145</v>
      </c>
      <c r="C780" s="1210">
        <v>18795</v>
      </c>
      <c r="D780" s="1230">
        <v>18750</v>
      </c>
      <c r="E780" s="1212">
        <f t="shared" si="80"/>
        <v>-45</v>
      </c>
      <c r="F780" s="1211">
        <f>C780-C779</f>
        <v>265</v>
      </c>
      <c r="G780" s="1215"/>
      <c r="H780" s="1269"/>
      <c r="I780" s="1291">
        <v>128250</v>
      </c>
    </row>
    <row r="781" spans="1:9" ht="15" customHeight="1">
      <c r="A781" s="1253">
        <v>41998</v>
      </c>
      <c r="B781" s="1438" t="s">
        <v>48</v>
      </c>
      <c r="C781" s="1438"/>
      <c r="D781" s="1438"/>
      <c r="E781" s="1438"/>
      <c r="F781" s="1438"/>
      <c r="G781" s="1215"/>
      <c r="H781" s="1269"/>
      <c r="I781" s="1291">
        <v>124750</v>
      </c>
    </row>
    <row r="782" spans="1:9" ht="15" customHeight="1">
      <c r="A782" s="1253">
        <v>41999</v>
      </c>
      <c r="B782" s="1438"/>
      <c r="C782" s="1438"/>
      <c r="D782" s="1438"/>
      <c r="E782" s="1438"/>
      <c r="F782" s="1438"/>
      <c r="G782" s="1215"/>
      <c r="H782" s="1269"/>
      <c r="I782" s="1291">
        <v>128000</v>
      </c>
    </row>
    <row r="783" spans="1:9" ht="15" customHeight="1">
      <c r="A783" s="1253">
        <v>42002</v>
      </c>
      <c r="B783" s="1209">
        <v>12120</v>
      </c>
      <c r="C783" s="1210">
        <v>19145</v>
      </c>
      <c r="D783" s="1230">
        <v>19150</v>
      </c>
      <c r="E783" s="1212">
        <f t="shared" ref="E783:E846" si="81">D783-C783</f>
        <v>5</v>
      </c>
      <c r="F783" s="1211">
        <f>C783-C780</f>
        <v>350</v>
      </c>
      <c r="G783" s="1215"/>
      <c r="H783" s="1269"/>
      <c r="I783" s="1291">
        <v>127000</v>
      </c>
    </row>
    <row r="784" spans="1:9" ht="15" customHeight="1">
      <c r="A784" s="1253">
        <v>42003</v>
      </c>
      <c r="B784" s="1209">
        <v>12045</v>
      </c>
      <c r="C784" s="1210">
        <v>19000</v>
      </c>
      <c r="D784" s="1230">
        <v>19000</v>
      </c>
      <c r="E784" s="1212">
        <f t="shared" si="81"/>
        <v>0</v>
      </c>
      <c r="F784" s="1211">
        <f t="shared" ref="F784:F789" si="82">C784-C783</f>
        <v>-145</v>
      </c>
      <c r="G784" s="1215"/>
      <c r="H784" s="1269"/>
      <c r="I784" s="1291">
        <v>127000</v>
      </c>
    </row>
    <row r="785" spans="1:9" ht="15" customHeight="1">
      <c r="A785" s="1253">
        <v>42004</v>
      </c>
      <c r="B785" s="1209">
        <v>12045</v>
      </c>
      <c r="C785" s="1210">
        <v>19500</v>
      </c>
      <c r="D785" s="1230">
        <v>19400</v>
      </c>
      <c r="E785" s="1212">
        <f t="shared" si="81"/>
        <v>-100</v>
      </c>
      <c r="F785" s="1211">
        <f t="shared" si="82"/>
        <v>500</v>
      </c>
      <c r="G785" s="1227">
        <f>AVERAGE(C763:C785)</f>
        <v>19825.714285714286</v>
      </c>
      <c r="H785" s="1274">
        <f>AVERAGE(C526:C785)</f>
        <v>21892.648221343872</v>
      </c>
      <c r="I785" s="1291">
        <v>127500</v>
      </c>
    </row>
    <row r="786" spans="1:9" ht="15" customHeight="1">
      <c r="A786" s="1253">
        <v>42006</v>
      </c>
      <c r="B786" s="1209">
        <v>12135</v>
      </c>
      <c r="C786" s="1210">
        <v>19400</v>
      </c>
      <c r="D786" s="1230">
        <v>19325</v>
      </c>
      <c r="E786" s="1212">
        <f t="shared" si="81"/>
        <v>-75</v>
      </c>
      <c r="F786" s="1211">
        <f t="shared" si="82"/>
        <v>-100</v>
      </c>
      <c r="G786" s="1215"/>
      <c r="H786" s="1269"/>
      <c r="I786" s="1291">
        <v>129000</v>
      </c>
    </row>
    <row r="787" spans="1:9" ht="15" customHeight="1">
      <c r="A787" s="1253">
        <v>42009</v>
      </c>
      <c r="B787" s="1209">
        <v>12110</v>
      </c>
      <c r="C787" s="1210">
        <v>19650</v>
      </c>
      <c r="D787" s="1230">
        <v>19600</v>
      </c>
      <c r="E787" s="1212">
        <f t="shared" si="81"/>
        <v>-50</v>
      </c>
      <c r="F787" s="1211">
        <f t="shared" si="82"/>
        <v>250</v>
      </c>
      <c r="G787" s="1215"/>
      <c r="H787" s="1269"/>
      <c r="I787" s="1291">
        <v>129000</v>
      </c>
    </row>
    <row r="788" spans="1:9" ht="15" customHeight="1">
      <c r="A788" s="1253">
        <v>42010</v>
      </c>
      <c r="B788" s="1209">
        <v>12110</v>
      </c>
      <c r="C788" s="1210">
        <v>19560</v>
      </c>
      <c r="D788" s="1230">
        <v>19630</v>
      </c>
      <c r="E788" s="1212">
        <f t="shared" si="81"/>
        <v>70</v>
      </c>
      <c r="F788" s="1211">
        <f t="shared" si="82"/>
        <v>-90</v>
      </c>
      <c r="G788" s="1215"/>
      <c r="H788" s="1269"/>
      <c r="I788" s="1291">
        <v>129000</v>
      </c>
    </row>
    <row r="789" spans="1:9" ht="15" customHeight="1">
      <c r="A789" s="1253">
        <v>42011</v>
      </c>
      <c r="B789" s="1209">
        <v>12120</v>
      </c>
      <c r="C789" s="1210">
        <v>19680</v>
      </c>
      <c r="D789" s="1230">
        <v>19670</v>
      </c>
      <c r="E789" s="1212">
        <f t="shared" si="81"/>
        <v>-10</v>
      </c>
      <c r="F789" s="1211">
        <f t="shared" si="82"/>
        <v>120</v>
      </c>
      <c r="G789" s="1215"/>
      <c r="H789" s="1269"/>
      <c r="I789" s="1291">
        <v>128750</v>
      </c>
    </row>
    <row r="790" spans="1:9" ht="15" customHeight="1">
      <c r="A790" s="1253">
        <v>42012</v>
      </c>
      <c r="B790" s="1209">
        <v>12165</v>
      </c>
      <c r="C790" s="1210">
        <v>19750</v>
      </c>
      <c r="D790" s="1230">
        <v>19750</v>
      </c>
      <c r="E790" s="1212">
        <f t="shared" si="81"/>
        <v>0</v>
      </c>
      <c r="F790" s="1211">
        <f t="shared" ref="F790:F795" si="83">C790-C789</f>
        <v>70</v>
      </c>
      <c r="G790" s="1215"/>
      <c r="H790" s="1269"/>
      <c r="I790" s="1291">
        <v>128750</v>
      </c>
    </row>
    <row r="791" spans="1:9" ht="15" customHeight="1">
      <c r="A791" s="1253">
        <v>42013</v>
      </c>
      <c r="B791" s="1209">
        <v>12135</v>
      </c>
      <c r="C791" s="1210">
        <v>19650</v>
      </c>
      <c r="D791" s="1230">
        <v>19700</v>
      </c>
      <c r="E791" s="1212">
        <f t="shared" si="81"/>
        <v>50</v>
      </c>
      <c r="F791" s="1211">
        <f t="shared" si="83"/>
        <v>-100</v>
      </c>
      <c r="G791" s="1215"/>
      <c r="H791" s="1269"/>
      <c r="I791" s="1291">
        <v>128250</v>
      </c>
    </row>
    <row r="792" spans="1:9" ht="15" customHeight="1">
      <c r="A792" s="1253">
        <v>42016</v>
      </c>
      <c r="B792" s="1209">
        <v>12110</v>
      </c>
      <c r="C792" s="1210">
        <v>19525</v>
      </c>
      <c r="D792" s="1230">
        <v>19510</v>
      </c>
      <c r="E792" s="1212">
        <f t="shared" si="81"/>
        <v>-15</v>
      </c>
      <c r="F792" s="1211">
        <f t="shared" si="83"/>
        <v>-125</v>
      </c>
      <c r="G792" s="1215"/>
      <c r="H792" s="1269"/>
      <c r="I792" s="1291">
        <v>128000</v>
      </c>
    </row>
    <row r="793" spans="1:9" ht="15" customHeight="1">
      <c r="A793" s="1253">
        <v>42017</v>
      </c>
      <c r="B793" s="1209">
        <v>12085</v>
      </c>
      <c r="C793" s="1210">
        <v>19555</v>
      </c>
      <c r="D793" s="1230">
        <v>19600</v>
      </c>
      <c r="E793" s="1212">
        <f t="shared" si="81"/>
        <v>45</v>
      </c>
      <c r="F793" s="1211">
        <f t="shared" si="83"/>
        <v>30</v>
      </c>
      <c r="G793" s="1215"/>
      <c r="H793" s="1269"/>
      <c r="I793" s="1291">
        <v>128000</v>
      </c>
    </row>
    <row r="794" spans="1:9" ht="15" customHeight="1">
      <c r="A794" s="1253">
        <v>42018</v>
      </c>
      <c r="B794" s="1209">
        <v>12110</v>
      </c>
      <c r="C794" s="1210">
        <v>19400</v>
      </c>
      <c r="D794" s="1230">
        <v>19425</v>
      </c>
      <c r="E794" s="1212">
        <f t="shared" si="81"/>
        <v>25</v>
      </c>
      <c r="F794" s="1211">
        <f t="shared" si="83"/>
        <v>-155</v>
      </c>
      <c r="G794" s="1215"/>
      <c r="H794" s="1269"/>
      <c r="I794" s="1291">
        <v>127500</v>
      </c>
    </row>
    <row r="795" spans="1:9" ht="15" customHeight="1">
      <c r="A795" s="1253">
        <v>42019</v>
      </c>
      <c r="B795" s="1209">
        <v>12110</v>
      </c>
      <c r="C795" s="1210">
        <v>19460</v>
      </c>
      <c r="D795" s="1230">
        <v>19525</v>
      </c>
      <c r="E795" s="1212">
        <f t="shared" si="81"/>
        <v>65</v>
      </c>
      <c r="F795" s="1211">
        <f t="shared" si="83"/>
        <v>60</v>
      </c>
      <c r="G795" s="1215"/>
      <c r="H795" s="1269"/>
      <c r="I795" s="1291">
        <v>127250</v>
      </c>
    </row>
    <row r="796" spans="1:9" ht="15" customHeight="1">
      <c r="A796" s="1253">
        <v>42020</v>
      </c>
      <c r="B796" s="1209">
        <v>12110</v>
      </c>
      <c r="C796" s="1210">
        <v>19325</v>
      </c>
      <c r="D796" s="1230">
        <v>19335</v>
      </c>
      <c r="E796" s="1212">
        <f t="shared" si="81"/>
        <v>10</v>
      </c>
      <c r="F796" s="1211">
        <f t="shared" ref="F796:F802" si="84">C796-C795</f>
        <v>-135</v>
      </c>
      <c r="G796" s="1215"/>
      <c r="H796" s="1269"/>
      <c r="I796" s="1291">
        <v>126500</v>
      </c>
    </row>
    <row r="797" spans="1:9" ht="15" customHeight="1">
      <c r="A797" s="1253">
        <v>42023</v>
      </c>
      <c r="B797" s="1209">
        <v>12110</v>
      </c>
      <c r="C797" s="1210">
        <v>19280</v>
      </c>
      <c r="D797" s="1230">
        <v>19310</v>
      </c>
      <c r="E797" s="1212">
        <f t="shared" si="81"/>
        <v>30</v>
      </c>
      <c r="F797" s="1211">
        <f t="shared" si="84"/>
        <v>-45</v>
      </c>
      <c r="G797" s="1215"/>
      <c r="H797" s="1269"/>
      <c r="I797" s="1291">
        <v>126500</v>
      </c>
    </row>
    <row r="798" spans="1:9" ht="15" customHeight="1">
      <c r="A798" s="1253">
        <v>42024</v>
      </c>
      <c r="B798" s="1209">
        <v>12070</v>
      </c>
      <c r="C798" s="1210">
        <v>19425</v>
      </c>
      <c r="D798" s="1230">
        <v>19395</v>
      </c>
      <c r="E798" s="1212">
        <f t="shared" si="81"/>
        <v>-30</v>
      </c>
      <c r="F798" s="1211">
        <f t="shared" si="84"/>
        <v>145</v>
      </c>
      <c r="G798" s="1215"/>
      <c r="H798" s="1269"/>
      <c r="I798" s="1291">
        <v>127250</v>
      </c>
    </row>
    <row r="799" spans="1:9" ht="15" customHeight="1">
      <c r="A799" s="1253">
        <v>42025</v>
      </c>
      <c r="B799" s="1209">
        <v>11985</v>
      </c>
      <c r="C799" s="1210">
        <v>19125</v>
      </c>
      <c r="D799" s="1230">
        <v>19275</v>
      </c>
      <c r="E799" s="1212">
        <f t="shared" si="81"/>
        <v>150</v>
      </c>
      <c r="F799" s="1211">
        <f t="shared" si="84"/>
        <v>-300</v>
      </c>
      <c r="G799" s="1215"/>
      <c r="H799" s="1269"/>
      <c r="I799" s="1291">
        <v>127250</v>
      </c>
    </row>
    <row r="800" spans="1:9" ht="15" customHeight="1">
      <c r="A800" s="1253">
        <v>42026</v>
      </c>
      <c r="B800" s="1209">
        <v>11975</v>
      </c>
      <c r="C800" s="1210">
        <v>19580</v>
      </c>
      <c r="D800" s="1230">
        <v>19480</v>
      </c>
      <c r="E800" s="1212">
        <f t="shared" si="81"/>
        <v>-100</v>
      </c>
      <c r="F800" s="1211">
        <f t="shared" si="84"/>
        <v>455</v>
      </c>
      <c r="G800" s="1215"/>
      <c r="H800" s="1269"/>
      <c r="I800" s="1291">
        <v>127250</v>
      </c>
    </row>
    <row r="801" spans="1:9" ht="15" customHeight="1">
      <c r="A801" s="1253">
        <v>42027</v>
      </c>
      <c r="B801" s="1209">
        <v>11990</v>
      </c>
      <c r="C801" s="1210">
        <v>19510</v>
      </c>
      <c r="D801" s="1230">
        <v>19525</v>
      </c>
      <c r="E801" s="1212">
        <f t="shared" si="81"/>
        <v>15</v>
      </c>
      <c r="F801" s="1211">
        <f t="shared" si="84"/>
        <v>-70</v>
      </c>
      <c r="G801" s="1215"/>
      <c r="H801" s="1269"/>
      <c r="I801" s="1291">
        <v>127750</v>
      </c>
    </row>
    <row r="802" spans="1:9" ht="15" customHeight="1">
      <c r="A802" s="1253">
        <v>42030</v>
      </c>
      <c r="B802" s="1209">
        <v>11950</v>
      </c>
      <c r="C802" s="1210">
        <v>19500</v>
      </c>
      <c r="D802" s="1230">
        <v>19475</v>
      </c>
      <c r="E802" s="1212">
        <f t="shared" si="81"/>
        <v>-25</v>
      </c>
      <c r="F802" s="1211">
        <f t="shared" si="84"/>
        <v>-10</v>
      </c>
      <c r="G802" s="1215"/>
      <c r="H802" s="1269"/>
      <c r="I802" s="1291">
        <v>128000</v>
      </c>
    </row>
    <row r="803" spans="1:9" ht="15" customHeight="1">
      <c r="A803" s="1253">
        <v>42031</v>
      </c>
      <c r="B803" s="1209">
        <v>11955</v>
      </c>
      <c r="C803" s="1210">
        <v>19575</v>
      </c>
      <c r="D803" s="1230">
        <v>19600</v>
      </c>
      <c r="E803" s="1212">
        <f t="shared" si="81"/>
        <v>25</v>
      </c>
      <c r="F803" s="1211">
        <f t="shared" ref="F803:F809" si="85">C803-C802</f>
        <v>75</v>
      </c>
      <c r="G803" s="1215"/>
      <c r="H803" s="1269"/>
      <c r="I803" s="1291">
        <v>128000</v>
      </c>
    </row>
    <row r="804" spans="1:9" ht="15" customHeight="1">
      <c r="A804" s="1253">
        <v>42032</v>
      </c>
      <c r="B804" s="1209">
        <v>11865</v>
      </c>
      <c r="C804" s="1210">
        <v>19450</v>
      </c>
      <c r="D804" s="1230">
        <v>19450</v>
      </c>
      <c r="E804" s="1212">
        <f t="shared" si="81"/>
        <v>0</v>
      </c>
      <c r="F804" s="1211">
        <f t="shared" si="85"/>
        <v>-125</v>
      </c>
      <c r="G804" s="1215"/>
      <c r="H804" s="1269"/>
      <c r="I804" s="1291">
        <v>128000</v>
      </c>
    </row>
    <row r="805" spans="1:9" ht="15" customHeight="1">
      <c r="A805" s="1253">
        <v>42033</v>
      </c>
      <c r="B805" s="1209">
        <v>11860</v>
      </c>
      <c r="C805" s="1210">
        <v>19075</v>
      </c>
      <c r="D805" s="1230">
        <v>19125</v>
      </c>
      <c r="E805" s="1212">
        <f t="shared" si="81"/>
        <v>50</v>
      </c>
      <c r="F805" s="1211">
        <f t="shared" si="85"/>
        <v>-375</v>
      </c>
      <c r="G805" s="1215"/>
      <c r="H805" s="1269"/>
      <c r="I805" s="1291">
        <v>128250</v>
      </c>
    </row>
    <row r="806" spans="1:9" ht="15" customHeight="1">
      <c r="A806" s="1253">
        <v>42034</v>
      </c>
      <c r="B806" s="1209">
        <v>11810</v>
      </c>
      <c r="C806" s="1210">
        <v>19250</v>
      </c>
      <c r="D806" s="1230">
        <v>19200</v>
      </c>
      <c r="E806" s="1212">
        <f t="shared" si="81"/>
        <v>-50</v>
      </c>
      <c r="F806" s="1211">
        <f t="shared" si="85"/>
        <v>175</v>
      </c>
      <c r="G806" s="1227">
        <f>AVERAGE(C786:C806)</f>
        <v>19463.095238095237</v>
      </c>
      <c r="H806" s="1274">
        <f>AVERAGE(C786:C806)</f>
        <v>19463.095238095237</v>
      </c>
      <c r="I806" s="1291">
        <v>127750</v>
      </c>
    </row>
    <row r="807" spans="1:9" ht="15" customHeight="1">
      <c r="A807" s="1253">
        <v>42037</v>
      </c>
      <c r="B807" s="1209">
        <v>11840</v>
      </c>
      <c r="C807" s="1210">
        <v>18975</v>
      </c>
      <c r="D807" s="1230">
        <v>19025</v>
      </c>
      <c r="E807" s="1212">
        <f t="shared" si="81"/>
        <v>50</v>
      </c>
      <c r="F807" s="1211">
        <f t="shared" si="85"/>
        <v>-275</v>
      </c>
      <c r="G807" s="1215"/>
      <c r="H807" s="1269"/>
      <c r="I807" s="1291">
        <v>127000</v>
      </c>
    </row>
    <row r="808" spans="1:9" ht="15" customHeight="1">
      <c r="A808" s="1253">
        <v>42038</v>
      </c>
      <c r="B808" s="1209">
        <v>11840</v>
      </c>
      <c r="C808" s="1210">
        <v>18950</v>
      </c>
      <c r="D808" s="1230">
        <v>19000</v>
      </c>
      <c r="E808" s="1212">
        <f t="shared" si="81"/>
        <v>50</v>
      </c>
      <c r="F808" s="1211">
        <f t="shared" si="85"/>
        <v>-25</v>
      </c>
      <c r="G808" s="1215"/>
      <c r="H808" s="1269"/>
      <c r="I808" s="1291">
        <v>126750</v>
      </c>
    </row>
    <row r="809" spans="1:9" ht="15" customHeight="1">
      <c r="A809" s="1253">
        <v>42039</v>
      </c>
      <c r="B809" s="1209">
        <v>11840</v>
      </c>
      <c r="C809" s="1210">
        <v>18950</v>
      </c>
      <c r="D809" s="1230">
        <v>18950</v>
      </c>
      <c r="E809" s="1212">
        <f t="shared" si="81"/>
        <v>0</v>
      </c>
      <c r="F809" s="1211">
        <f t="shared" si="85"/>
        <v>0</v>
      </c>
      <c r="G809" s="1215"/>
      <c r="H809" s="1269"/>
      <c r="I809" s="1291">
        <v>126750</v>
      </c>
    </row>
    <row r="810" spans="1:9" ht="15" customHeight="1">
      <c r="A810" s="1253">
        <v>42040</v>
      </c>
      <c r="B810" s="1209">
        <v>11830</v>
      </c>
      <c r="C810" s="1210">
        <v>18900</v>
      </c>
      <c r="D810" s="1230">
        <v>18920</v>
      </c>
      <c r="E810" s="1212">
        <f t="shared" si="81"/>
        <v>20</v>
      </c>
      <c r="F810" s="1211">
        <f t="shared" ref="F810:F816" si="86">C810-C809</f>
        <v>-50</v>
      </c>
      <c r="G810" s="1215"/>
      <c r="H810" s="1269"/>
      <c r="I810" s="1291">
        <v>126750</v>
      </c>
    </row>
    <row r="811" spans="1:9" ht="15" customHeight="1">
      <c r="A811" s="1253">
        <v>42041</v>
      </c>
      <c r="B811" s="1209">
        <v>11850</v>
      </c>
      <c r="C811" s="1210">
        <v>18875</v>
      </c>
      <c r="D811" s="1230">
        <v>18835</v>
      </c>
      <c r="E811" s="1212">
        <f t="shared" si="81"/>
        <v>-40</v>
      </c>
      <c r="F811" s="1211">
        <f t="shared" si="86"/>
        <v>-25</v>
      </c>
      <c r="G811" s="1215"/>
      <c r="H811" s="1269"/>
      <c r="I811" s="1291">
        <v>126750</v>
      </c>
    </row>
    <row r="812" spans="1:9" ht="15" customHeight="1">
      <c r="A812" s="1253">
        <v>42044</v>
      </c>
      <c r="B812" s="1209">
        <v>11850</v>
      </c>
      <c r="C812" s="1210">
        <v>18515</v>
      </c>
      <c r="D812" s="1230">
        <v>18475</v>
      </c>
      <c r="E812" s="1212">
        <f t="shared" si="81"/>
        <v>-40</v>
      </c>
      <c r="F812" s="1211">
        <f t="shared" si="86"/>
        <v>-360</v>
      </c>
      <c r="G812" s="1215"/>
      <c r="H812" s="1269"/>
      <c r="I812" s="1291">
        <v>126750</v>
      </c>
    </row>
    <row r="813" spans="1:9" ht="15" customHeight="1">
      <c r="A813" s="1253">
        <v>42045</v>
      </c>
      <c r="B813" s="1209">
        <v>11840</v>
      </c>
      <c r="C813" s="1210">
        <v>18225</v>
      </c>
      <c r="D813" s="1230">
        <v>18250</v>
      </c>
      <c r="E813" s="1212">
        <f t="shared" si="81"/>
        <v>25</v>
      </c>
      <c r="F813" s="1211">
        <f t="shared" si="86"/>
        <v>-290</v>
      </c>
      <c r="G813" s="1215"/>
      <c r="H813" s="1269"/>
      <c r="I813" s="1291">
        <v>126500</v>
      </c>
    </row>
    <row r="814" spans="1:9" ht="15" customHeight="1">
      <c r="A814" s="1253">
        <v>42046</v>
      </c>
      <c r="B814" s="1209">
        <v>11865</v>
      </c>
      <c r="C814" s="1210">
        <v>17830</v>
      </c>
      <c r="D814" s="1230">
        <v>17925</v>
      </c>
      <c r="E814" s="1212">
        <f t="shared" si="81"/>
        <v>95</v>
      </c>
      <c r="F814" s="1211">
        <f t="shared" si="86"/>
        <v>-395</v>
      </c>
      <c r="G814" s="1215"/>
      <c r="H814" s="1269"/>
      <c r="I814" s="1291">
        <v>126500</v>
      </c>
    </row>
    <row r="815" spans="1:9" ht="15" customHeight="1">
      <c r="A815" s="1253">
        <v>42047</v>
      </c>
      <c r="B815" s="1209">
        <v>11910</v>
      </c>
      <c r="C815" s="1210">
        <v>17900</v>
      </c>
      <c r="D815" s="1230">
        <v>17925</v>
      </c>
      <c r="E815" s="1212">
        <f t="shared" si="81"/>
        <v>25</v>
      </c>
      <c r="F815" s="1211">
        <f t="shared" si="86"/>
        <v>70</v>
      </c>
      <c r="G815" s="1215"/>
      <c r="H815" s="1269"/>
      <c r="I815" s="1291">
        <v>126000</v>
      </c>
    </row>
    <row r="816" spans="1:9" ht="15" customHeight="1">
      <c r="A816" s="1253">
        <v>42048</v>
      </c>
      <c r="B816" s="1209">
        <v>11500</v>
      </c>
      <c r="C816" s="1210">
        <v>18250</v>
      </c>
      <c r="D816" s="1230">
        <v>18300</v>
      </c>
      <c r="E816" s="1212">
        <f t="shared" si="81"/>
        <v>50</v>
      </c>
      <c r="F816" s="1211">
        <f t="shared" si="86"/>
        <v>350</v>
      </c>
      <c r="G816" s="1215"/>
      <c r="H816" s="1269"/>
      <c r="I816" s="1291">
        <v>126000</v>
      </c>
    </row>
    <row r="817" spans="1:9" ht="15" customHeight="1">
      <c r="A817" s="1253">
        <v>42051</v>
      </c>
      <c r="B817" s="1209">
        <v>11460</v>
      </c>
      <c r="C817" s="1210">
        <v>18020</v>
      </c>
      <c r="D817" s="1230">
        <v>18075</v>
      </c>
      <c r="E817" s="1212">
        <f t="shared" si="81"/>
        <v>55</v>
      </c>
      <c r="F817" s="1211">
        <f>C817-C816</f>
        <v>-230</v>
      </c>
      <c r="G817" s="1215"/>
      <c r="H817" s="1269"/>
      <c r="I817" s="1291">
        <v>126000</v>
      </c>
    </row>
    <row r="818" spans="1:9" ht="15" customHeight="1">
      <c r="A818" s="1253">
        <v>42052</v>
      </c>
      <c r="B818" s="1209">
        <v>11405</v>
      </c>
      <c r="C818" s="1210">
        <v>18005</v>
      </c>
      <c r="D818" s="1230">
        <v>18000</v>
      </c>
      <c r="E818" s="1212">
        <f t="shared" si="81"/>
        <v>-5</v>
      </c>
      <c r="F818" s="1211">
        <f t="shared" ref="F818:F823" si="87">C818-C817</f>
        <v>-15</v>
      </c>
      <c r="G818" s="1215"/>
      <c r="H818" s="1269"/>
      <c r="I818" s="1291">
        <v>126000</v>
      </c>
    </row>
    <row r="819" spans="1:9" ht="15" customHeight="1">
      <c r="A819" s="1253">
        <v>42053</v>
      </c>
      <c r="B819" s="1209">
        <v>11445</v>
      </c>
      <c r="C819" s="1210">
        <v>18020</v>
      </c>
      <c r="D819" s="1230">
        <v>18075</v>
      </c>
      <c r="E819" s="1212">
        <f t="shared" si="81"/>
        <v>55</v>
      </c>
      <c r="F819" s="1211">
        <f t="shared" si="87"/>
        <v>15</v>
      </c>
      <c r="G819" s="1215"/>
      <c r="H819" s="1269"/>
      <c r="I819" s="1447" t="s">
        <v>56</v>
      </c>
    </row>
    <row r="820" spans="1:9" ht="15" customHeight="1">
      <c r="A820" s="1253">
        <v>42054</v>
      </c>
      <c r="B820" s="1209">
        <v>11440</v>
      </c>
      <c r="C820" s="1210">
        <v>18185</v>
      </c>
      <c r="D820" s="1230">
        <v>18225</v>
      </c>
      <c r="E820" s="1212">
        <f t="shared" si="81"/>
        <v>40</v>
      </c>
      <c r="F820" s="1211">
        <f t="shared" si="87"/>
        <v>165</v>
      </c>
      <c r="G820" s="1215"/>
      <c r="H820" s="1269"/>
      <c r="I820" s="1447"/>
    </row>
    <row r="821" spans="1:9" ht="14.25" customHeight="1">
      <c r="A821" s="1253">
        <v>42055</v>
      </c>
      <c r="B821" s="1209">
        <v>11440</v>
      </c>
      <c r="C821" s="1210">
        <v>18100</v>
      </c>
      <c r="D821" s="1230">
        <v>18100</v>
      </c>
      <c r="E821" s="1212">
        <f t="shared" si="81"/>
        <v>0</v>
      </c>
      <c r="F821" s="1211">
        <f t="shared" si="87"/>
        <v>-85</v>
      </c>
      <c r="G821" s="1215"/>
      <c r="H821" s="1269"/>
      <c r="I821" s="1447"/>
    </row>
    <row r="822" spans="1:9" ht="15" customHeight="1">
      <c r="A822" s="1253">
        <v>42058</v>
      </c>
      <c r="B822" s="1209">
        <v>11420</v>
      </c>
      <c r="C822" s="1210">
        <v>17955</v>
      </c>
      <c r="D822" s="1230">
        <v>17975</v>
      </c>
      <c r="E822" s="1212">
        <f t="shared" si="81"/>
        <v>20</v>
      </c>
      <c r="F822" s="1211">
        <f t="shared" si="87"/>
        <v>-145</v>
      </c>
      <c r="G822" s="1215"/>
      <c r="H822" s="1269"/>
      <c r="I822" s="1447"/>
    </row>
    <row r="823" spans="1:9" ht="15" customHeight="1">
      <c r="A823" s="1253">
        <v>42059</v>
      </c>
      <c r="B823" s="1209">
        <v>11420</v>
      </c>
      <c r="C823" s="1210">
        <v>18095</v>
      </c>
      <c r="D823" s="1230">
        <v>18125</v>
      </c>
      <c r="E823" s="1212">
        <f t="shared" si="81"/>
        <v>30</v>
      </c>
      <c r="F823" s="1211">
        <f t="shared" si="87"/>
        <v>140</v>
      </c>
      <c r="G823" s="1215"/>
      <c r="H823" s="1269"/>
      <c r="I823" s="1447"/>
    </row>
    <row r="824" spans="1:9" ht="15" customHeight="1">
      <c r="A824" s="1253">
        <v>42060</v>
      </c>
      <c r="B824" s="1209">
        <v>11040</v>
      </c>
      <c r="C824" s="1210">
        <v>18070</v>
      </c>
      <c r="D824" s="1230">
        <v>18120</v>
      </c>
      <c r="E824" s="1212">
        <f t="shared" si="81"/>
        <v>50</v>
      </c>
      <c r="F824" s="1211">
        <f t="shared" ref="F824:F835" si="88">C824-C823</f>
        <v>-25</v>
      </c>
      <c r="G824" s="1215"/>
      <c r="H824" s="1269"/>
      <c r="I824" s="1291">
        <v>126000</v>
      </c>
    </row>
    <row r="825" spans="1:9" ht="15" customHeight="1">
      <c r="A825" s="1253">
        <v>42061</v>
      </c>
      <c r="B825" s="1209">
        <v>10905</v>
      </c>
      <c r="C825" s="1210">
        <v>18100</v>
      </c>
      <c r="D825" s="1230">
        <v>18080</v>
      </c>
      <c r="E825" s="1212">
        <f t="shared" si="81"/>
        <v>-20</v>
      </c>
      <c r="F825" s="1211">
        <f t="shared" si="88"/>
        <v>30</v>
      </c>
      <c r="G825" s="1215"/>
      <c r="H825" s="1269"/>
      <c r="I825" s="1291">
        <v>126000</v>
      </c>
    </row>
    <row r="826" spans="1:9" ht="15" customHeight="1">
      <c r="A826" s="1253">
        <v>42062</v>
      </c>
      <c r="B826" s="1209">
        <v>10880</v>
      </c>
      <c r="C826" s="1210">
        <v>17920</v>
      </c>
      <c r="D826" s="1230">
        <v>17950</v>
      </c>
      <c r="E826" s="1212">
        <f t="shared" si="81"/>
        <v>30</v>
      </c>
      <c r="F826" s="1211">
        <f t="shared" si="88"/>
        <v>-180</v>
      </c>
      <c r="G826" s="1227">
        <f>AVERAGE(C807:C826)</f>
        <v>18292</v>
      </c>
      <c r="H826" s="1274">
        <f>AVERAGE(C786:C826)</f>
        <v>18891.829268292684</v>
      </c>
      <c r="I826" s="1291">
        <v>126000</v>
      </c>
    </row>
    <row r="827" spans="1:9" ht="15" customHeight="1">
      <c r="A827" s="1253">
        <v>42065</v>
      </c>
      <c r="B827" s="1209">
        <v>10875</v>
      </c>
      <c r="C827" s="1210">
        <v>17650</v>
      </c>
      <c r="D827" s="1230">
        <v>17750</v>
      </c>
      <c r="E827" s="1212">
        <f t="shared" si="81"/>
        <v>100</v>
      </c>
      <c r="F827" s="1211">
        <f t="shared" si="88"/>
        <v>-270</v>
      </c>
      <c r="G827" s="1215"/>
      <c r="H827" s="1269"/>
      <c r="I827" s="1291">
        <v>126000</v>
      </c>
    </row>
    <row r="828" spans="1:9" ht="15" customHeight="1">
      <c r="A828" s="1253">
        <v>42066</v>
      </c>
      <c r="B828" s="1209">
        <v>10770</v>
      </c>
      <c r="C828" s="1210">
        <v>17775</v>
      </c>
      <c r="D828" s="1230">
        <v>17800</v>
      </c>
      <c r="E828" s="1212">
        <f t="shared" si="81"/>
        <v>25</v>
      </c>
      <c r="F828" s="1211">
        <f t="shared" si="88"/>
        <v>125</v>
      </c>
      <c r="G828" s="1215"/>
      <c r="H828" s="1269"/>
      <c r="I828" s="1291">
        <v>125750</v>
      </c>
    </row>
    <row r="829" spans="1:9" ht="15" customHeight="1">
      <c r="A829" s="1253">
        <v>42067</v>
      </c>
      <c r="B829" s="1209">
        <v>10820</v>
      </c>
      <c r="C829" s="1210">
        <v>17930</v>
      </c>
      <c r="D829" s="1230">
        <v>17950</v>
      </c>
      <c r="E829" s="1212">
        <f t="shared" si="81"/>
        <v>20</v>
      </c>
      <c r="F829" s="1211">
        <f t="shared" si="88"/>
        <v>155</v>
      </c>
      <c r="G829" s="1215"/>
      <c r="H829" s="1269"/>
      <c r="I829" s="1291">
        <v>125000</v>
      </c>
    </row>
    <row r="830" spans="1:9" ht="15" customHeight="1">
      <c r="A830" s="1253">
        <v>42068</v>
      </c>
      <c r="B830" s="1209">
        <v>10655</v>
      </c>
      <c r="C830" s="1210">
        <v>17900</v>
      </c>
      <c r="D830" s="1230">
        <v>18000</v>
      </c>
      <c r="E830" s="1212">
        <f t="shared" si="81"/>
        <v>100</v>
      </c>
      <c r="F830" s="1211">
        <f t="shared" si="88"/>
        <v>-30</v>
      </c>
      <c r="G830" s="1215"/>
      <c r="H830" s="1269"/>
      <c r="I830" s="1291">
        <v>125000</v>
      </c>
    </row>
    <row r="831" spans="1:9" ht="15" customHeight="1">
      <c r="A831" s="1253">
        <v>42069</v>
      </c>
      <c r="B831" s="1209">
        <v>10630</v>
      </c>
      <c r="C831" s="1210">
        <v>18075</v>
      </c>
      <c r="D831" s="1230">
        <v>18150</v>
      </c>
      <c r="E831" s="1212">
        <f t="shared" si="81"/>
        <v>75</v>
      </c>
      <c r="F831" s="1211">
        <f t="shared" si="88"/>
        <v>175</v>
      </c>
      <c r="G831" s="1215"/>
      <c r="H831" s="1269"/>
      <c r="I831" s="1291">
        <v>125000</v>
      </c>
    </row>
    <row r="832" spans="1:9" ht="15" customHeight="1">
      <c r="A832" s="1253">
        <v>42072</v>
      </c>
      <c r="B832" s="1209">
        <v>10610</v>
      </c>
      <c r="C832" s="1210">
        <v>18030</v>
      </c>
      <c r="D832" s="1230">
        <v>18080</v>
      </c>
      <c r="E832" s="1212">
        <f t="shared" si="81"/>
        <v>50</v>
      </c>
      <c r="F832" s="1211">
        <f t="shared" si="88"/>
        <v>-45</v>
      </c>
      <c r="G832" s="1215"/>
      <c r="H832" s="1269"/>
      <c r="I832" s="1291">
        <v>124750</v>
      </c>
    </row>
    <row r="833" spans="1:9" ht="15" customHeight="1">
      <c r="A833" s="1253">
        <v>42073</v>
      </c>
      <c r="B833" s="1209">
        <v>10675</v>
      </c>
      <c r="C833" s="1210">
        <v>17850</v>
      </c>
      <c r="D833" s="1230">
        <v>17850</v>
      </c>
      <c r="E833" s="1212">
        <f t="shared" si="81"/>
        <v>0</v>
      </c>
      <c r="F833" s="1211">
        <f t="shared" si="88"/>
        <v>-180</v>
      </c>
      <c r="G833" s="1215"/>
      <c r="H833" s="1269"/>
      <c r="I833" s="1291">
        <v>124250</v>
      </c>
    </row>
    <row r="834" spans="1:9" ht="15" customHeight="1">
      <c r="A834" s="1253">
        <v>42074</v>
      </c>
      <c r="B834" s="1209">
        <v>10605</v>
      </c>
      <c r="C834" s="1210">
        <v>17725</v>
      </c>
      <c r="D834" s="1230">
        <v>17725</v>
      </c>
      <c r="E834" s="1212">
        <f t="shared" si="81"/>
        <v>0</v>
      </c>
      <c r="F834" s="1211">
        <f t="shared" si="88"/>
        <v>-125</v>
      </c>
      <c r="G834" s="1215"/>
      <c r="H834" s="1269"/>
      <c r="I834" s="1291">
        <v>124250</v>
      </c>
    </row>
    <row r="835" spans="1:9" ht="15" customHeight="1">
      <c r="A835" s="1253">
        <v>42075</v>
      </c>
      <c r="B835" s="1209">
        <v>10615</v>
      </c>
      <c r="C835" s="1210">
        <v>17405</v>
      </c>
      <c r="D835" s="1230">
        <v>17500</v>
      </c>
      <c r="E835" s="1212">
        <f t="shared" si="81"/>
        <v>95</v>
      </c>
      <c r="F835" s="1211">
        <f t="shared" si="88"/>
        <v>-320</v>
      </c>
      <c r="G835" s="1215"/>
      <c r="H835" s="1269"/>
      <c r="I835" s="1291">
        <v>123500</v>
      </c>
    </row>
    <row r="836" spans="1:9" ht="15" customHeight="1">
      <c r="A836" s="1253">
        <v>42076</v>
      </c>
      <c r="B836" s="1209">
        <v>10560</v>
      </c>
      <c r="C836" s="1210">
        <v>17405</v>
      </c>
      <c r="D836" s="1230">
        <v>17450</v>
      </c>
      <c r="E836" s="1212">
        <f t="shared" si="81"/>
        <v>45</v>
      </c>
      <c r="F836" s="1211">
        <f t="shared" ref="F836:F847" si="89">C836-C835</f>
        <v>0</v>
      </c>
      <c r="G836" s="1215"/>
      <c r="H836" s="1269"/>
      <c r="I836" s="1291">
        <v>123500</v>
      </c>
    </row>
    <row r="837" spans="1:9" ht="15" customHeight="1">
      <c r="A837" s="1253">
        <v>42079</v>
      </c>
      <c r="B837" s="1209">
        <v>10310</v>
      </c>
      <c r="C837" s="1210">
        <v>17350</v>
      </c>
      <c r="D837" s="1230">
        <v>17400</v>
      </c>
      <c r="E837" s="1212">
        <f t="shared" si="81"/>
        <v>50</v>
      </c>
      <c r="F837" s="1211">
        <f t="shared" si="89"/>
        <v>-55</v>
      </c>
      <c r="G837" s="1215"/>
      <c r="H837" s="1269"/>
      <c r="I837" s="1291">
        <v>123250</v>
      </c>
    </row>
    <row r="838" spans="1:9" ht="15" customHeight="1">
      <c r="A838" s="1253">
        <v>42080</v>
      </c>
      <c r="B838" s="1209">
        <v>10280</v>
      </c>
      <c r="C838" s="1210">
        <v>17360</v>
      </c>
      <c r="D838" s="1230">
        <v>17450</v>
      </c>
      <c r="E838" s="1212">
        <f t="shared" si="81"/>
        <v>90</v>
      </c>
      <c r="F838" s="1211">
        <f t="shared" si="89"/>
        <v>10</v>
      </c>
      <c r="G838" s="1215"/>
      <c r="H838" s="1269"/>
      <c r="I838" s="1291">
        <v>122500</v>
      </c>
    </row>
    <row r="839" spans="1:9" ht="15" customHeight="1">
      <c r="A839" s="1253">
        <v>42081</v>
      </c>
      <c r="B839" s="1209">
        <v>10180</v>
      </c>
      <c r="C839" s="1210">
        <v>17120</v>
      </c>
      <c r="D839" s="1230">
        <v>17175</v>
      </c>
      <c r="E839" s="1212">
        <f t="shared" si="81"/>
        <v>55</v>
      </c>
      <c r="F839" s="1211">
        <f t="shared" si="89"/>
        <v>-240</v>
      </c>
      <c r="G839" s="1215"/>
      <c r="H839" s="1269"/>
      <c r="I839" s="1291">
        <v>122500</v>
      </c>
    </row>
    <row r="840" spans="1:9" ht="15" customHeight="1">
      <c r="A840" s="1253">
        <v>42082</v>
      </c>
      <c r="B840" s="1209">
        <v>10180</v>
      </c>
      <c r="C840" s="1210">
        <v>16805</v>
      </c>
      <c r="D840" s="1230">
        <v>16875</v>
      </c>
      <c r="E840" s="1212">
        <f t="shared" si="81"/>
        <v>70</v>
      </c>
      <c r="F840" s="1211">
        <f t="shared" si="89"/>
        <v>-315</v>
      </c>
      <c r="G840" s="1215"/>
      <c r="H840" s="1269"/>
      <c r="I840" s="1291">
        <v>121500</v>
      </c>
    </row>
    <row r="841" spans="1:9" ht="15" customHeight="1">
      <c r="A841" s="1253">
        <v>42083</v>
      </c>
      <c r="B841" s="1209">
        <v>10175</v>
      </c>
      <c r="C841" s="1210">
        <v>16930</v>
      </c>
      <c r="D841" s="1230">
        <v>17100</v>
      </c>
      <c r="E841" s="1212">
        <f t="shared" si="81"/>
        <v>170</v>
      </c>
      <c r="F841" s="1211">
        <f t="shared" si="89"/>
        <v>125</v>
      </c>
      <c r="G841" s="1215"/>
      <c r="H841" s="1269"/>
      <c r="I841" s="1291">
        <v>120500</v>
      </c>
    </row>
    <row r="842" spans="1:9" ht="15" customHeight="1">
      <c r="A842" s="1253">
        <v>42086</v>
      </c>
      <c r="B842" s="1209">
        <v>10175</v>
      </c>
      <c r="C842" s="1210">
        <v>17500</v>
      </c>
      <c r="D842" s="1230">
        <v>17525</v>
      </c>
      <c r="E842" s="1212">
        <f t="shared" si="81"/>
        <v>25</v>
      </c>
      <c r="F842" s="1211">
        <f t="shared" si="89"/>
        <v>570</v>
      </c>
      <c r="G842" s="1215"/>
      <c r="H842" s="1269"/>
      <c r="I842" s="1291">
        <v>120250</v>
      </c>
    </row>
    <row r="843" spans="1:9" ht="15" customHeight="1">
      <c r="A843" s="1253">
        <v>42087</v>
      </c>
      <c r="B843" s="1209">
        <v>10165</v>
      </c>
      <c r="C843" s="1210">
        <v>17525</v>
      </c>
      <c r="D843" s="1230">
        <v>17525</v>
      </c>
      <c r="E843" s="1212">
        <f t="shared" si="81"/>
        <v>0</v>
      </c>
      <c r="F843" s="1211">
        <f t="shared" si="89"/>
        <v>25</v>
      </c>
      <c r="G843" s="1215"/>
      <c r="H843" s="1269"/>
      <c r="I843" s="1291">
        <v>120250</v>
      </c>
    </row>
    <row r="844" spans="1:9" ht="15" customHeight="1">
      <c r="A844" s="1253">
        <v>42088</v>
      </c>
      <c r="B844" s="1209">
        <v>10095</v>
      </c>
      <c r="C844" s="1210">
        <v>17400</v>
      </c>
      <c r="D844" s="1230">
        <v>17450</v>
      </c>
      <c r="E844" s="1212">
        <f t="shared" si="81"/>
        <v>50</v>
      </c>
      <c r="F844" s="1211">
        <f t="shared" si="89"/>
        <v>-125</v>
      </c>
      <c r="G844" s="1215"/>
      <c r="H844" s="1269"/>
      <c r="I844" s="1291">
        <v>120250</v>
      </c>
    </row>
    <row r="845" spans="1:9" ht="15" customHeight="1">
      <c r="A845" s="1253">
        <v>42089</v>
      </c>
      <c r="B845" s="1209">
        <v>9975</v>
      </c>
      <c r="C845" s="1210">
        <v>17265</v>
      </c>
      <c r="D845" s="1230">
        <v>17450</v>
      </c>
      <c r="E845" s="1212">
        <f t="shared" si="81"/>
        <v>185</v>
      </c>
      <c r="F845" s="1211">
        <f t="shared" si="89"/>
        <v>-135</v>
      </c>
      <c r="G845" s="1215"/>
      <c r="H845" s="1269"/>
      <c r="I845" s="1291">
        <v>120250</v>
      </c>
    </row>
    <row r="846" spans="1:9" ht="15" customHeight="1">
      <c r="A846" s="1253">
        <v>42090</v>
      </c>
      <c r="B846" s="1209">
        <v>9965</v>
      </c>
      <c r="C846" s="1210">
        <v>17300</v>
      </c>
      <c r="D846" s="1230">
        <v>17200</v>
      </c>
      <c r="E846" s="1212">
        <f t="shared" si="81"/>
        <v>-100</v>
      </c>
      <c r="F846" s="1211">
        <f t="shared" si="89"/>
        <v>35</v>
      </c>
      <c r="G846" s="1215"/>
      <c r="H846" s="1269"/>
      <c r="I846" s="1291">
        <v>120250</v>
      </c>
    </row>
    <row r="847" spans="1:9" ht="15" customHeight="1">
      <c r="A847" s="1253">
        <v>42093</v>
      </c>
      <c r="B847" s="1209">
        <v>9955</v>
      </c>
      <c r="C847" s="1210">
        <v>17100</v>
      </c>
      <c r="D847" s="1230">
        <v>17225</v>
      </c>
      <c r="E847" s="1212">
        <f t="shared" ref="E847:E850" si="90">D847-C847</f>
        <v>125</v>
      </c>
      <c r="F847" s="1211">
        <f t="shared" si="89"/>
        <v>-200</v>
      </c>
      <c r="G847" s="1215"/>
      <c r="H847" s="1269"/>
      <c r="I847" s="1291">
        <v>120250</v>
      </c>
    </row>
    <row r="848" spans="1:9" ht="15" customHeight="1">
      <c r="A848" s="1253">
        <v>42094</v>
      </c>
      <c r="B848" s="1209">
        <v>9930</v>
      </c>
      <c r="C848" s="1210">
        <v>16730</v>
      </c>
      <c r="D848" s="1230">
        <v>16775</v>
      </c>
      <c r="E848" s="1212">
        <f t="shared" si="90"/>
        <v>45</v>
      </c>
      <c r="F848" s="1211">
        <f>C848-C847</f>
        <v>-370</v>
      </c>
      <c r="G848" s="1227">
        <f>AVERAGE(C827:C848)</f>
        <v>17460.454545454544</v>
      </c>
      <c r="H848" s="1274">
        <f>AVERAGE(C786:C848)</f>
        <v>18391.984126984127</v>
      </c>
      <c r="I848" s="1291">
        <v>120250</v>
      </c>
    </row>
    <row r="849" spans="1:9" ht="15" customHeight="1">
      <c r="A849" s="1253">
        <v>42095</v>
      </c>
      <c r="B849" s="1209">
        <v>9930</v>
      </c>
      <c r="C849" s="1210">
        <v>16400</v>
      </c>
      <c r="D849" s="1230">
        <v>16400</v>
      </c>
      <c r="E849" s="1212">
        <f t="shared" si="90"/>
        <v>0</v>
      </c>
      <c r="F849" s="1211">
        <f>C849-C848</f>
        <v>-330</v>
      </c>
      <c r="G849" s="1215"/>
      <c r="H849" s="1269"/>
      <c r="I849" s="1291">
        <v>117750</v>
      </c>
    </row>
    <row r="850" spans="1:9" ht="15" customHeight="1">
      <c r="A850" s="1253">
        <v>42096</v>
      </c>
      <c r="B850" s="1209">
        <v>9915</v>
      </c>
      <c r="C850" s="1210">
        <v>16570</v>
      </c>
      <c r="D850" s="1230">
        <v>16655</v>
      </c>
      <c r="E850" s="1212">
        <f t="shared" si="90"/>
        <v>85</v>
      </c>
      <c r="F850" s="1211">
        <f>C850-C849</f>
        <v>170</v>
      </c>
      <c r="G850" s="1215"/>
      <c r="H850" s="1269"/>
      <c r="I850" s="1291">
        <v>117750</v>
      </c>
    </row>
    <row r="851" spans="1:9" ht="15" customHeight="1">
      <c r="A851" s="1253">
        <v>42097</v>
      </c>
      <c r="B851" s="1438" t="s">
        <v>48</v>
      </c>
      <c r="C851" s="1438"/>
      <c r="D851" s="1438"/>
      <c r="E851" s="1438"/>
      <c r="F851" s="1438"/>
      <c r="G851" s="1215"/>
      <c r="H851" s="1269"/>
      <c r="I851" s="1291">
        <v>118750</v>
      </c>
    </row>
    <row r="852" spans="1:9" ht="15" customHeight="1">
      <c r="A852" s="1253">
        <v>42100</v>
      </c>
      <c r="B852" s="1438"/>
      <c r="C852" s="1438"/>
      <c r="D852" s="1438"/>
      <c r="E852" s="1438"/>
      <c r="F852" s="1438"/>
      <c r="G852" s="1215"/>
      <c r="H852" s="1269"/>
      <c r="I852" s="1296" t="s">
        <v>49</v>
      </c>
    </row>
    <row r="853" spans="1:9" ht="15" customHeight="1">
      <c r="A853" s="1253">
        <v>42101</v>
      </c>
      <c r="B853" s="1209">
        <v>9855</v>
      </c>
      <c r="C853" s="1210">
        <v>16775</v>
      </c>
      <c r="D853" s="1230">
        <v>16800</v>
      </c>
      <c r="E853" s="1212">
        <f t="shared" ref="E853:E916" si="91">D853-C853</f>
        <v>25</v>
      </c>
      <c r="F853" s="1211">
        <f>C853-C850</f>
        <v>205</v>
      </c>
      <c r="G853" s="1215"/>
      <c r="H853" s="1269"/>
      <c r="I853" s="1291">
        <v>117500</v>
      </c>
    </row>
    <row r="854" spans="1:9" ht="15" customHeight="1">
      <c r="A854" s="1253">
        <v>42102</v>
      </c>
      <c r="B854" s="1209">
        <v>9830</v>
      </c>
      <c r="C854" s="1210">
        <v>16725</v>
      </c>
      <c r="D854" s="1230">
        <v>16800</v>
      </c>
      <c r="E854" s="1212">
        <f t="shared" si="91"/>
        <v>75</v>
      </c>
      <c r="F854" s="1211">
        <f t="shared" ref="F854:F864" si="92">C854-C853</f>
        <v>-50</v>
      </c>
      <c r="G854" s="1215"/>
      <c r="H854" s="1269"/>
      <c r="I854" s="1291">
        <v>117500</v>
      </c>
    </row>
    <row r="855" spans="1:9" ht="15" customHeight="1">
      <c r="A855" s="1253">
        <v>42103</v>
      </c>
      <c r="B855" s="1209">
        <v>9830</v>
      </c>
      <c r="C855" s="1210">
        <v>16650</v>
      </c>
      <c r="D855" s="1230">
        <v>16685</v>
      </c>
      <c r="E855" s="1212">
        <f t="shared" si="91"/>
        <v>35</v>
      </c>
      <c r="F855" s="1211">
        <f t="shared" si="92"/>
        <v>-75</v>
      </c>
      <c r="G855" s="1215"/>
      <c r="H855" s="1269"/>
      <c r="I855" s="1291">
        <v>116500</v>
      </c>
    </row>
    <row r="856" spans="1:9" ht="15" customHeight="1">
      <c r="A856" s="1253">
        <v>42104</v>
      </c>
      <c r="B856" s="1209">
        <v>9780</v>
      </c>
      <c r="C856" s="1210">
        <v>16505</v>
      </c>
      <c r="D856" s="1230">
        <v>16560</v>
      </c>
      <c r="E856" s="1212">
        <f t="shared" si="91"/>
        <v>55</v>
      </c>
      <c r="F856" s="1211">
        <f t="shared" si="92"/>
        <v>-145</v>
      </c>
      <c r="G856" s="1215"/>
      <c r="H856" s="1269"/>
      <c r="I856" s="1291">
        <v>116000</v>
      </c>
    </row>
    <row r="857" spans="1:9" ht="15" customHeight="1">
      <c r="A857" s="1253">
        <v>42107</v>
      </c>
      <c r="B857" s="1209">
        <v>9735</v>
      </c>
      <c r="C857" s="1210">
        <v>16410</v>
      </c>
      <c r="D857" s="1230">
        <v>16500</v>
      </c>
      <c r="E857" s="1212">
        <f t="shared" si="91"/>
        <v>90</v>
      </c>
      <c r="F857" s="1211">
        <f t="shared" si="92"/>
        <v>-95</v>
      </c>
      <c r="G857" s="1215"/>
      <c r="H857" s="1269"/>
      <c r="I857" s="1291">
        <v>115750</v>
      </c>
    </row>
    <row r="858" spans="1:9" ht="15" customHeight="1">
      <c r="A858" s="1253">
        <v>42108</v>
      </c>
      <c r="B858" s="1209">
        <v>9715</v>
      </c>
      <c r="C858" s="1210">
        <v>16150</v>
      </c>
      <c r="D858" s="1230">
        <v>16200</v>
      </c>
      <c r="E858" s="1212">
        <f t="shared" si="91"/>
        <v>50</v>
      </c>
      <c r="F858" s="1211">
        <f t="shared" si="92"/>
        <v>-260</v>
      </c>
      <c r="G858" s="1215"/>
      <c r="H858" s="1269"/>
      <c r="I858" s="1291">
        <v>115250</v>
      </c>
    </row>
    <row r="859" spans="1:9" ht="15" customHeight="1">
      <c r="A859" s="1253">
        <v>42109</v>
      </c>
      <c r="B859" s="1209">
        <v>9695</v>
      </c>
      <c r="C859" s="1210">
        <v>15875</v>
      </c>
      <c r="D859" s="1230">
        <v>15925</v>
      </c>
      <c r="E859" s="1212">
        <f t="shared" si="91"/>
        <v>50</v>
      </c>
      <c r="F859" s="1211">
        <f t="shared" si="92"/>
        <v>-275</v>
      </c>
      <c r="G859" s="1215"/>
      <c r="H859" s="1269"/>
      <c r="I859" s="1291">
        <v>113500</v>
      </c>
    </row>
    <row r="860" spans="1:9" ht="15" customHeight="1">
      <c r="A860" s="1253">
        <v>42110</v>
      </c>
      <c r="B860" s="1209">
        <v>9680</v>
      </c>
      <c r="C860" s="1210">
        <v>15760</v>
      </c>
      <c r="D860" s="1230">
        <v>15800</v>
      </c>
      <c r="E860" s="1212">
        <f t="shared" si="91"/>
        <v>40</v>
      </c>
      <c r="F860" s="1211">
        <f t="shared" si="92"/>
        <v>-115</v>
      </c>
      <c r="G860" s="1215"/>
      <c r="H860" s="1269"/>
      <c r="I860" s="1291">
        <v>112500</v>
      </c>
    </row>
    <row r="861" spans="1:9" ht="15" customHeight="1">
      <c r="A861" s="1253">
        <v>42111</v>
      </c>
      <c r="B861" s="1209">
        <v>9655</v>
      </c>
      <c r="C861" s="1210">
        <v>14765</v>
      </c>
      <c r="D861" s="1230">
        <v>14760</v>
      </c>
      <c r="E861" s="1212">
        <f t="shared" si="91"/>
        <v>-5</v>
      </c>
      <c r="F861" s="1211">
        <f t="shared" si="92"/>
        <v>-995</v>
      </c>
      <c r="G861" s="1215"/>
      <c r="H861" s="1269"/>
      <c r="I861" s="1291">
        <v>111750</v>
      </c>
    </row>
    <row r="862" spans="1:9" ht="15" customHeight="1">
      <c r="A862" s="1253">
        <v>42114</v>
      </c>
      <c r="B862" s="1209">
        <v>9655</v>
      </c>
      <c r="C862" s="1210">
        <v>15010</v>
      </c>
      <c r="D862" s="1230">
        <v>15100</v>
      </c>
      <c r="E862" s="1212">
        <f t="shared" si="91"/>
        <v>90</v>
      </c>
      <c r="F862" s="1211">
        <f t="shared" si="92"/>
        <v>245</v>
      </c>
      <c r="G862" s="1215"/>
      <c r="H862" s="1269"/>
      <c r="I862" s="1291">
        <v>111000</v>
      </c>
    </row>
    <row r="863" spans="1:9" ht="15" customHeight="1">
      <c r="A863" s="1253">
        <v>42115</v>
      </c>
      <c r="B863" s="1209">
        <v>9425</v>
      </c>
      <c r="C863" s="1210">
        <v>15375</v>
      </c>
      <c r="D863" s="1230">
        <v>15400</v>
      </c>
      <c r="E863" s="1212">
        <f t="shared" si="91"/>
        <v>25</v>
      </c>
      <c r="F863" s="1211">
        <f t="shared" si="92"/>
        <v>365</v>
      </c>
      <c r="G863" s="1215"/>
      <c r="H863" s="1269"/>
      <c r="I863" s="1291">
        <v>111000</v>
      </c>
    </row>
    <row r="864" spans="1:9" ht="15" customHeight="1">
      <c r="A864" s="1253">
        <v>42116</v>
      </c>
      <c r="B864" s="1209">
        <v>9375</v>
      </c>
      <c r="C864" s="1210">
        <v>15530</v>
      </c>
      <c r="D864" s="1230">
        <v>15625</v>
      </c>
      <c r="E864" s="1212">
        <f t="shared" si="91"/>
        <v>95</v>
      </c>
      <c r="F864" s="1211">
        <f t="shared" si="92"/>
        <v>155</v>
      </c>
      <c r="G864" s="1215"/>
      <c r="H864" s="1269"/>
      <c r="I864" s="1291">
        <v>111250</v>
      </c>
    </row>
    <row r="865" spans="1:9" ht="15" customHeight="1">
      <c r="A865" s="1253">
        <v>42117</v>
      </c>
      <c r="B865" s="1209">
        <v>9375</v>
      </c>
      <c r="C865" s="1210">
        <v>15505</v>
      </c>
      <c r="D865" s="1230">
        <v>15500</v>
      </c>
      <c r="E865" s="1212">
        <f t="shared" si="91"/>
        <v>-5</v>
      </c>
      <c r="F865" s="1211">
        <f t="shared" ref="F865:F871" si="93">C865-C864</f>
        <v>-25</v>
      </c>
      <c r="G865" s="1215"/>
      <c r="H865" s="1269"/>
      <c r="I865" s="1291">
        <v>111500</v>
      </c>
    </row>
    <row r="866" spans="1:9" ht="15" customHeight="1">
      <c r="A866" s="1253">
        <v>42118</v>
      </c>
      <c r="B866" s="1209">
        <v>9375</v>
      </c>
      <c r="C866" s="1210">
        <v>15650</v>
      </c>
      <c r="D866" s="1230">
        <v>15650</v>
      </c>
      <c r="E866" s="1212">
        <f t="shared" si="91"/>
        <v>0</v>
      </c>
      <c r="F866" s="1211">
        <f t="shared" si="93"/>
        <v>145</v>
      </c>
      <c r="G866" s="1215"/>
      <c r="H866" s="1269"/>
      <c r="I866" s="1291">
        <v>112000</v>
      </c>
    </row>
    <row r="867" spans="1:9" ht="15" customHeight="1">
      <c r="A867" s="1253">
        <v>42121</v>
      </c>
      <c r="B867" s="1209">
        <v>9370</v>
      </c>
      <c r="C867" s="1210">
        <v>16050</v>
      </c>
      <c r="D867" s="1230">
        <v>16055</v>
      </c>
      <c r="E867" s="1212">
        <f t="shared" si="91"/>
        <v>5</v>
      </c>
      <c r="F867" s="1211">
        <f t="shared" si="93"/>
        <v>400</v>
      </c>
      <c r="G867" s="1215"/>
      <c r="H867" s="1269"/>
      <c r="I867" s="1291">
        <v>112750</v>
      </c>
    </row>
    <row r="868" spans="1:9" ht="15" customHeight="1">
      <c r="A868" s="1253">
        <v>42122</v>
      </c>
      <c r="B868" s="1209">
        <v>9195</v>
      </c>
      <c r="C868" s="1210">
        <v>16275</v>
      </c>
      <c r="D868" s="1230">
        <v>16200</v>
      </c>
      <c r="E868" s="1212">
        <f t="shared" si="91"/>
        <v>-75</v>
      </c>
      <c r="F868" s="1211">
        <f t="shared" si="93"/>
        <v>225</v>
      </c>
      <c r="G868" s="1215"/>
      <c r="H868" s="1269"/>
      <c r="I868" s="1291">
        <v>115750</v>
      </c>
    </row>
    <row r="869" spans="1:9" ht="15" customHeight="1">
      <c r="A869" s="1253">
        <v>42123</v>
      </c>
      <c r="B869" s="1209">
        <v>9175</v>
      </c>
      <c r="C869" s="1210">
        <v>15705</v>
      </c>
      <c r="D869" s="1230">
        <v>15775</v>
      </c>
      <c r="E869" s="1212">
        <f t="shared" si="91"/>
        <v>70</v>
      </c>
      <c r="F869" s="1211">
        <f t="shared" si="93"/>
        <v>-570</v>
      </c>
      <c r="G869" s="1215"/>
      <c r="H869" s="1269"/>
      <c r="I869" s="1291">
        <v>115750</v>
      </c>
    </row>
    <row r="870" spans="1:9" ht="15" customHeight="1">
      <c r="A870" s="1253">
        <v>42124</v>
      </c>
      <c r="B870" s="1209">
        <v>9165</v>
      </c>
      <c r="C870" s="1210">
        <v>16025</v>
      </c>
      <c r="D870" s="1230">
        <v>16025</v>
      </c>
      <c r="E870" s="1212">
        <f t="shared" si="91"/>
        <v>0</v>
      </c>
      <c r="F870" s="1211">
        <f t="shared" si="93"/>
        <v>320</v>
      </c>
      <c r="G870" s="1227">
        <f>AVERAGE(C849:C870)</f>
        <v>15985.5</v>
      </c>
      <c r="H870" s="1274">
        <f>AVERAGE(C786:C870)</f>
        <v>17812.108433734938</v>
      </c>
      <c r="I870" s="1297" t="s">
        <v>58</v>
      </c>
    </row>
    <row r="871" spans="1:9" ht="15" customHeight="1">
      <c r="A871" s="1253">
        <v>42125</v>
      </c>
      <c r="B871" s="1209">
        <v>9070</v>
      </c>
      <c r="C871" s="1210">
        <v>16200</v>
      </c>
      <c r="D871" s="1230">
        <v>16225</v>
      </c>
      <c r="E871" s="1212">
        <f t="shared" si="91"/>
        <v>25</v>
      </c>
      <c r="F871" s="1211">
        <f t="shared" si="93"/>
        <v>175</v>
      </c>
      <c r="G871" s="1215"/>
      <c r="H871" s="1269"/>
      <c r="I871" s="1297" t="s">
        <v>58</v>
      </c>
    </row>
    <row r="872" spans="1:9" ht="15" customHeight="1">
      <c r="A872" s="1253">
        <v>42128</v>
      </c>
      <c r="B872" s="1434" t="s">
        <v>48</v>
      </c>
      <c r="C872" s="1434"/>
      <c r="D872" s="1434"/>
      <c r="E872" s="1434"/>
      <c r="F872" s="1434"/>
      <c r="G872" s="1215"/>
      <c r="H872" s="1269"/>
      <c r="I872" s="1291">
        <v>116500</v>
      </c>
    </row>
    <row r="873" spans="1:9" ht="15" customHeight="1">
      <c r="A873" s="1253">
        <v>42129</v>
      </c>
      <c r="B873" s="1209">
        <v>9070</v>
      </c>
      <c r="C873" s="1210">
        <v>16010</v>
      </c>
      <c r="D873" s="1230">
        <v>16050</v>
      </c>
      <c r="E873" s="1212">
        <f t="shared" si="91"/>
        <v>40</v>
      </c>
      <c r="F873" s="1211">
        <f>C873-C871</f>
        <v>-190</v>
      </c>
      <c r="G873" s="1215"/>
      <c r="H873" s="1269"/>
      <c r="I873" s="1291">
        <v>116500</v>
      </c>
    </row>
    <row r="874" spans="1:9" ht="15" customHeight="1">
      <c r="A874" s="1253">
        <v>42130</v>
      </c>
      <c r="B874" s="1209">
        <v>8715</v>
      </c>
      <c r="C874" s="1210">
        <v>16020</v>
      </c>
      <c r="D874" s="1230">
        <v>16010</v>
      </c>
      <c r="E874" s="1212">
        <f t="shared" si="91"/>
        <v>-10</v>
      </c>
      <c r="F874" s="1211">
        <f t="shared" ref="F874:F880" si="94">C874-C873</f>
        <v>10</v>
      </c>
      <c r="G874" s="1215"/>
      <c r="H874" s="1269"/>
      <c r="I874" s="1291">
        <v>120750</v>
      </c>
    </row>
    <row r="875" spans="1:9" ht="15" customHeight="1">
      <c r="A875" s="1253">
        <v>42131</v>
      </c>
      <c r="B875" s="1209">
        <v>8790</v>
      </c>
      <c r="C875" s="1210">
        <v>16055</v>
      </c>
      <c r="D875" s="1230">
        <v>16100</v>
      </c>
      <c r="E875" s="1212">
        <f t="shared" si="91"/>
        <v>45</v>
      </c>
      <c r="F875" s="1211">
        <f t="shared" si="94"/>
        <v>35</v>
      </c>
      <c r="G875" s="1215"/>
      <c r="H875" s="1269"/>
      <c r="I875" s="1291">
        <v>122500</v>
      </c>
    </row>
    <row r="876" spans="1:9" ht="15" customHeight="1">
      <c r="A876" s="1253">
        <v>42132</v>
      </c>
      <c r="B876" s="1209">
        <v>8790</v>
      </c>
      <c r="C876" s="1210">
        <v>15950</v>
      </c>
      <c r="D876" s="1230">
        <v>15960</v>
      </c>
      <c r="E876" s="1212">
        <f t="shared" si="91"/>
        <v>10</v>
      </c>
      <c r="F876" s="1211">
        <f t="shared" si="94"/>
        <v>-105</v>
      </c>
      <c r="G876" s="1215"/>
      <c r="H876" s="1269"/>
      <c r="I876" s="1291">
        <v>121000</v>
      </c>
    </row>
    <row r="877" spans="1:9" ht="15" customHeight="1">
      <c r="A877" s="1253">
        <v>42135</v>
      </c>
      <c r="B877" s="1209">
        <v>8715</v>
      </c>
      <c r="C877" s="1210">
        <v>15655</v>
      </c>
      <c r="D877" s="1230">
        <v>15700</v>
      </c>
      <c r="E877" s="1212">
        <f t="shared" si="91"/>
        <v>45</v>
      </c>
      <c r="F877" s="1211">
        <f t="shared" si="94"/>
        <v>-295</v>
      </c>
      <c r="G877" s="1215"/>
      <c r="H877" s="1269"/>
      <c r="I877" s="1291">
        <v>121000</v>
      </c>
    </row>
    <row r="878" spans="1:9" ht="15" customHeight="1">
      <c r="A878" s="1253">
        <v>42136</v>
      </c>
      <c r="B878" s="1209">
        <v>8590</v>
      </c>
      <c r="C878" s="1210">
        <v>15950</v>
      </c>
      <c r="D878" s="1230">
        <v>15950</v>
      </c>
      <c r="E878" s="1212">
        <f t="shared" si="91"/>
        <v>0</v>
      </c>
      <c r="F878" s="1211">
        <f t="shared" si="94"/>
        <v>295</v>
      </c>
      <c r="G878" s="1215"/>
      <c r="H878" s="1269"/>
      <c r="I878" s="1291">
        <v>121000</v>
      </c>
    </row>
    <row r="879" spans="1:9" ht="15" customHeight="1">
      <c r="A879" s="1253">
        <v>42137</v>
      </c>
      <c r="B879" s="1209">
        <v>8590</v>
      </c>
      <c r="C879" s="1210">
        <v>15950</v>
      </c>
      <c r="D879" s="1230">
        <v>15805</v>
      </c>
      <c r="E879" s="1212">
        <f t="shared" si="91"/>
        <v>-145</v>
      </c>
      <c r="F879" s="1211">
        <f t="shared" si="94"/>
        <v>0</v>
      </c>
      <c r="G879" s="1215"/>
      <c r="H879" s="1269"/>
      <c r="I879" s="1291">
        <v>120000</v>
      </c>
    </row>
    <row r="880" spans="1:9" ht="15" customHeight="1">
      <c r="A880" s="1253">
        <v>42138</v>
      </c>
      <c r="B880" s="1209">
        <v>8545</v>
      </c>
      <c r="C880" s="1210">
        <v>15730</v>
      </c>
      <c r="D880" s="1230">
        <v>15755</v>
      </c>
      <c r="E880" s="1212">
        <f t="shared" si="91"/>
        <v>25</v>
      </c>
      <c r="F880" s="1211">
        <f t="shared" si="94"/>
        <v>-220</v>
      </c>
      <c r="G880" s="1215"/>
      <c r="H880" s="1269"/>
      <c r="I880" s="1291">
        <v>119500</v>
      </c>
    </row>
    <row r="881" spans="1:9" ht="15" customHeight="1">
      <c r="A881" s="1253">
        <v>42139</v>
      </c>
      <c r="B881" s="1209">
        <v>8565</v>
      </c>
      <c r="C881" s="1210">
        <v>15800</v>
      </c>
      <c r="D881" s="1230">
        <v>15725</v>
      </c>
      <c r="E881" s="1212">
        <f t="shared" si="91"/>
        <v>-75</v>
      </c>
      <c r="F881" s="1211">
        <f>C881-C880</f>
        <v>70</v>
      </c>
      <c r="G881" s="1215"/>
      <c r="H881" s="1269"/>
      <c r="I881" s="1291">
        <v>118750</v>
      </c>
    </row>
    <row r="882" spans="1:9" ht="15" customHeight="1">
      <c r="A882" s="1253">
        <v>42142</v>
      </c>
      <c r="B882" s="1209">
        <v>8540</v>
      </c>
      <c r="C882" s="1210">
        <v>16005</v>
      </c>
      <c r="D882" s="1230">
        <v>16050</v>
      </c>
      <c r="E882" s="1212">
        <f t="shared" si="91"/>
        <v>45</v>
      </c>
      <c r="F882" s="1211">
        <f>C882-C881</f>
        <v>205</v>
      </c>
      <c r="G882" s="1215"/>
      <c r="H882" s="1269"/>
      <c r="I882" s="1291">
        <v>119000</v>
      </c>
    </row>
    <row r="883" spans="1:9" ht="15" customHeight="1">
      <c r="A883" s="1253">
        <v>42143</v>
      </c>
      <c r="B883" s="1209">
        <v>8385</v>
      </c>
      <c r="C883" s="1210">
        <v>15800</v>
      </c>
      <c r="D883" s="1230">
        <v>15800</v>
      </c>
      <c r="E883" s="1212">
        <f t="shared" si="91"/>
        <v>0</v>
      </c>
      <c r="F883" s="1211">
        <f>C883-C882</f>
        <v>-205</v>
      </c>
      <c r="G883" s="1215"/>
      <c r="H883" s="1269"/>
      <c r="I883" s="1291">
        <v>118500</v>
      </c>
    </row>
    <row r="884" spans="1:9" ht="15" customHeight="1">
      <c r="A884" s="1253">
        <v>42144</v>
      </c>
      <c r="B884" s="1209">
        <v>8355</v>
      </c>
      <c r="C884" s="1210">
        <v>15950</v>
      </c>
      <c r="D884" s="1230">
        <v>15950</v>
      </c>
      <c r="E884" s="1212">
        <f t="shared" si="91"/>
        <v>0</v>
      </c>
      <c r="F884" s="1211">
        <f>C884-C883</f>
        <v>150</v>
      </c>
      <c r="G884" s="1215"/>
      <c r="H884" s="1269"/>
      <c r="I884" s="1291">
        <v>117500</v>
      </c>
    </row>
    <row r="885" spans="1:9" ht="15" customHeight="1">
      <c r="A885" s="1253">
        <v>42145</v>
      </c>
      <c r="B885" s="1209">
        <v>8225</v>
      </c>
      <c r="C885" s="1210">
        <v>15900</v>
      </c>
      <c r="D885" s="1230">
        <v>15950</v>
      </c>
      <c r="E885" s="1212">
        <f t="shared" si="91"/>
        <v>50</v>
      </c>
      <c r="F885" s="1211">
        <f>C885-C884</f>
        <v>-50</v>
      </c>
      <c r="G885" s="1215"/>
      <c r="H885" s="1269"/>
      <c r="I885" s="1291">
        <v>117500</v>
      </c>
    </row>
    <row r="886" spans="1:9" ht="15" customHeight="1">
      <c r="A886" s="1253">
        <v>42146</v>
      </c>
      <c r="B886" s="1209"/>
      <c r="C886" s="1210">
        <v>15820</v>
      </c>
      <c r="D886" s="1230">
        <v>15825</v>
      </c>
      <c r="E886" s="1212">
        <f t="shared" si="91"/>
        <v>5</v>
      </c>
      <c r="F886" s="1211">
        <f t="shared" ref="F886" si="95">C886-C885</f>
        <v>-80</v>
      </c>
      <c r="G886" s="1215"/>
      <c r="H886" s="1269"/>
      <c r="I886" s="1291">
        <v>117250</v>
      </c>
    </row>
    <row r="887" spans="1:9" ht="15" customHeight="1">
      <c r="A887" s="1253">
        <v>42149</v>
      </c>
      <c r="B887" s="1469" t="s">
        <v>55</v>
      </c>
      <c r="C887" s="1469"/>
      <c r="D887" s="1469"/>
      <c r="E887" s="1469"/>
      <c r="F887" s="1469"/>
      <c r="G887" s="1215"/>
      <c r="H887" s="1269"/>
      <c r="I887" s="1291"/>
    </row>
    <row r="888" spans="1:9" ht="15" customHeight="1">
      <c r="A888" s="1253">
        <v>42150</v>
      </c>
      <c r="B888" s="1209">
        <v>8265</v>
      </c>
      <c r="C888" s="1210">
        <v>15675</v>
      </c>
      <c r="D888" s="1230">
        <v>15705</v>
      </c>
      <c r="E888" s="1212">
        <f t="shared" si="91"/>
        <v>30</v>
      </c>
      <c r="F888" s="1211">
        <f>C888-C886</f>
        <v>-145</v>
      </c>
      <c r="G888" s="1215"/>
      <c r="H888" s="1269"/>
      <c r="I888" s="1291">
        <v>117250</v>
      </c>
    </row>
    <row r="889" spans="1:9" ht="15" customHeight="1">
      <c r="A889" s="1253">
        <v>42151</v>
      </c>
      <c r="B889" s="1209">
        <v>7630</v>
      </c>
      <c r="C889" s="1210">
        <v>15345</v>
      </c>
      <c r="D889" s="1230">
        <v>15400</v>
      </c>
      <c r="E889" s="1212">
        <f t="shared" si="91"/>
        <v>55</v>
      </c>
      <c r="F889" s="1211">
        <f t="shared" ref="F889:F914" si="96">C889-C888</f>
        <v>-330</v>
      </c>
      <c r="G889" s="1215"/>
      <c r="H889" s="1269"/>
      <c r="I889" s="1291">
        <v>116500</v>
      </c>
    </row>
    <row r="890" spans="1:9" ht="15" customHeight="1">
      <c r="A890" s="1253">
        <v>42152</v>
      </c>
      <c r="B890" s="1209">
        <v>7620</v>
      </c>
      <c r="C890" s="1210">
        <v>15455</v>
      </c>
      <c r="D890" s="1230">
        <v>15525</v>
      </c>
      <c r="E890" s="1212">
        <f t="shared" si="91"/>
        <v>70</v>
      </c>
      <c r="F890" s="1211">
        <f t="shared" si="96"/>
        <v>110</v>
      </c>
      <c r="G890" s="1215"/>
      <c r="H890" s="1269"/>
      <c r="I890" s="1291">
        <v>116250</v>
      </c>
    </row>
    <row r="891" spans="1:9" ht="15" customHeight="1">
      <c r="A891" s="1253">
        <v>42153</v>
      </c>
      <c r="B891" s="1209">
        <v>7570</v>
      </c>
      <c r="C891" s="1210">
        <v>15450</v>
      </c>
      <c r="D891" s="1230">
        <v>15475</v>
      </c>
      <c r="E891" s="1212">
        <f t="shared" si="91"/>
        <v>25</v>
      </c>
      <c r="F891" s="1211">
        <f t="shared" si="96"/>
        <v>-5</v>
      </c>
      <c r="G891" s="1227">
        <f>AVERAGE(C871:C891)</f>
        <v>15827.368421052632</v>
      </c>
      <c r="H891" s="1274">
        <f>AVERAGE(C786:C891)</f>
        <v>17442.401960784315</v>
      </c>
      <c r="I891" s="1291">
        <v>115750</v>
      </c>
    </row>
    <row r="892" spans="1:9" ht="15" customHeight="1">
      <c r="A892" s="1253">
        <v>42156</v>
      </c>
      <c r="B892" s="1209">
        <v>7315</v>
      </c>
      <c r="C892" s="1210">
        <v>15400</v>
      </c>
      <c r="D892" s="1230">
        <v>15425</v>
      </c>
      <c r="E892" s="1212">
        <f t="shared" si="91"/>
        <v>25</v>
      </c>
      <c r="F892" s="1211">
        <f t="shared" si="96"/>
        <v>-50</v>
      </c>
      <c r="G892" s="1215"/>
      <c r="H892" s="1269"/>
      <c r="I892" s="1291">
        <v>115250</v>
      </c>
    </row>
    <row r="893" spans="1:9" ht="15" customHeight="1">
      <c r="A893" s="1253">
        <v>42157</v>
      </c>
      <c r="B893" s="1209">
        <v>7315</v>
      </c>
      <c r="C893" s="1210">
        <v>15530</v>
      </c>
      <c r="D893" s="1230">
        <v>15550</v>
      </c>
      <c r="E893" s="1212">
        <f t="shared" si="91"/>
        <v>20</v>
      </c>
      <c r="F893" s="1211">
        <f t="shared" si="96"/>
        <v>130</v>
      </c>
      <c r="G893" s="1215"/>
      <c r="H893" s="1269"/>
      <c r="I893" s="1291">
        <v>115250</v>
      </c>
    </row>
    <row r="894" spans="1:9" ht="15" customHeight="1">
      <c r="A894" s="1253">
        <v>42158</v>
      </c>
      <c r="B894" s="1209">
        <v>7265</v>
      </c>
      <c r="C894" s="1210">
        <v>15450</v>
      </c>
      <c r="D894" s="1230">
        <v>15475</v>
      </c>
      <c r="E894" s="1212">
        <f t="shared" si="91"/>
        <v>25</v>
      </c>
      <c r="F894" s="1211">
        <f t="shared" si="96"/>
        <v>-80</v>
      </c>
      <c r="G894" s="1215"/>
      <c r="H894" s="1269"/>
      <c r="I894" s="1291">
        <v>115250</v>
      </c>
    </row>
    <row r="895" spans="1:9" ht="15" customHeight="1">
      <c r="A895" s="1253">
        <v>42159</v>
      </c>
      <c r="B895" s="1209">
        <v>7255</v>
      </c>
      <c r="C895" s="1210">
        <v>15435</v>
      </c>
      <c r="D895" s="1230">
        <v>15475</v>
      </c>
      <c r="E895" s="1212">
        <f t="shared" si="91"/>
        <v>40</v>
      </c>
      <c r="F895" s="1211">
        <f t="shared" si="96"/>
        <v>-15</v>
      </c>
      <c r="G895" s="1215"/>
      <c r="H895" s="1269"/>
      <c r="I895" s="1291">
        <v>114250</v>
      </c>
    </row>
    <row r="896" spans="1:9" ht="15" customHeight="1">
      <c r="A896" s="1253">
        <v>42160</v>
      </c>
      <c r="B896" s="1209">
        <v>7330</v>
      </c>
      <c r="C896" s="1210">
        <v>15250</v>
      </c>
      <c r="D896" s="1230">
        <v>15255</v>
      </c>
      <c r="E896" s="1212">
        <f t="shared" si="91"/>
        <v>5</v>
      </c>
      <c r="F896" s="1211">
        <f t="shared" si="96"/>
        <v>-185</v>
      </c>
      <c r="G896" s="1215"/>
      <c r="H896" s="1269"/>
      <c r="I896" s="1291">
        <v>114250</v>
      </c>
    </row>
    <row r="897" spans="1:9" ht="15" customHeight="1">
      <c r="A897" s="1253">
        <v>42163</v>
      </c>
      <c r="B897" s="1209">
        <v>7330</v>
      </c>
      <c r="C897" s="1210">
        <v>15300</v>
      </c>
      <c r="D897" s="1230">
        <v>15380</v>
      </c>
      <c r="E897" s="1212">
        <f t="shared" si="91"/>
        <v>80</v>
      </c>
      <c r="F897" s="1211">
        <f t="shared" si="96"/>
        <v>50</v>
      </c>
      <c r="G897" s="1215"/>
      <c r="H897" s="1269"/>
      <c r="I897" s="1291">
        <v>114250</v>
      </c>
    </row>
    <row r="898" spans="1:9" ht="15" customHeight="1">
      <c r="A898" s="1253">
        <v>42164</v>
      </c>
      <c r="B898" s="1209">
        <v>7365</v>
      </c>
      <c r="C898" s="1210">
        <v>15420</v>
      </c>
      <c r="D898" s="1230">
        <v>15425</v>
      </c>
      <c r="E898" s="1212">
        <f t="shared" si="91"/>
        <v>5</v>
      </c>
      <c r="F898" s="1211">
        <f t="shared" si="96"/>
        <v>120</v>
      </c>
      <c r="G898" s="1215"/>
      <c r="H898" s="1269"/>
      <c r="I898" s="1291">
        <v>114250</v>
      </c>
    </row>
    <row r="899" spans="1:9" ht="15" customHeight="1">
      <c r="A899" s="1253">
        <v>42165</v>
      </c>
      <c r="B899" s="1209">
        <v>7365</v>
      </c>
      <c r="C899" s="1210">
        <v>15350</v>
      </c>
      <c r="D899" s="1230">
        <v>15355</v>
      </c>
      <c r="E899" s="1212">
        <f t="shared" si="91"/>
        <v>5</v>
      </c>
      <c r="F899" s="1211">
        <f t="shared" si="96"/>
        <v>-70</v>
      </c>
      <c r="G899" s="1215"/>
      <c r="H899" s="1269"/>
      <c r="I899" s="1291">
        <v>114250</v>
      </c>
    </row>
    <row r="900" spans="1:9" ht="15" customHeight="1">
      <c r="A900" s="1253">
        <v>42166</v>
      </c>
      <c r="B900" s="1209">
        <v>7395</v>
      </c>
      <c r="C900" s="1210">
        <v>15100</v>
      </c>
      <c r="D900" s="1230">
        <v>15100</v>
      </c>
      <c r="E900" s="1212">
        <f t="shared" si="91"/>
        <v>0</v>
      </c>
      <c r="F900" s="1211">
        <f t="shared" si="96"/>
        <v>-250</v>
      </c>
      <c r="G900" s="1215"/>
      <c r="H900" s="1269"/>
      <c r="I900" s="1291">
        <v>114500</v>
      </c>
    </row>
    <row r="901" spans="1:9" ht="15" customHeight="1">
      <c r="A901" s="1253">
        <v>42167</v>
      </c>
      <c r="B901" s="1209">
        <v>7375</v>
      </c>
      <c r="C901" s="1210">
        <v>14900</v>
      </c>
      <c r="D901" s="1230">
        <v>14905</v>
      </c>
      <c r="E901" s="1212">
        <f t="shared" si="91"/>
        <v>5</v>
      </c>
      <c r="F901" s="1211">
        <f t="shared" si="96"/>
        <v>-200</v>
      </c>
      <c r="G901" s="1215"/>
      <c r="H901" s="1269"/>
      <c r="I901" s="1291">
        <v>114500</v>
      </c>
    </row>
    <row r="902" spans="1:9" ht="15" customHeight="1">
      <c r="A902" s="1253">
        <v>42170</v>
      </c>
      <c r="B902" s="1209">
        <v>7345</v>
      </c>
      <c r="C902" s="1210">
        <v>14430</v>
      </c>
      <c r="D902" s="1230">
        <v>14425</v>
      </c>
      <c r="E902" s="1212">
        <f t="shared" si="91"/>
        <v>-5</v>
      </c>
      <c r="F902" s="1211">
        <f t="shared" si="96"/>
        <v>-470</v>
      </c>
      <c r="G902" s="1215"/>
      <c r="H902" s="1269"/>
      <c r="I902" s="1291">
        <v>114250</v>
      </c>
    </row>
    <row r="903" spans="1:9" ht="15" customHeight="1">
      <c r="A903" s="1253">
        <v>42171</v>
      </c>
      <c r="B903" s="1209">
        <v>7205</v>
      </c>
      <c r="C903" s="1210">
        <v>14530</v>
      </c>
      <c r="D903" s="1230">
        <v>14650</v>
      </c>
      <c r="E903" s="1212">
        <f t="shared" si="91"/>
        <v>120</v>
      </c>
      <c r="F903" s="1211">
        <f t="shared" si="96"/>
        <v>100</v>
      </c>
      <c r="G903" s="1215"/>
      <c r="H903" s="1269"/>
      <c r="I903" s="1291">
        <v>113750</v>
      </c>
    </row>
    <row r="904" spans="1:9" ht="15" customHeight="1">
      <c r="A904" s="1253">
        <v>42172</v>
      </c>
      <c r="B904" s="1209">
        <v>6715</v>
      </c>
      <c r="C904" s="1210">
        <v>14625</v>
      </c>
      <c r="D904" s="1230">
        <v>14675</v>
      </c>
      <c r="E904" s="1212">
        <f t="shared" si="91"/>
        <v>50</v>
      </c>
      <c r="F904" s="1211">
        <f t="shared" si="96"/>
        <v>95</v>
      </c>
      <c r="G904" s="1215"/>
      <c r="H904" s="1269"/>
      <c r="I904" s="1291">
        <v>113250</v>
      </c>
    </row>
    <row r="905" spans="1:9" ht="15" customHeight="1">
      <c r="A905" s="1253">
        <v>42173</v>
      </c>
      <c r="B905" s="1209">
        <v>6715</v>
      </c>
      <c r="C905" s="1210">
        <v>15025</v>
      </c>
      <c r="D905" s="1230">
        <v>15050</v>
      </c>
      <c r="E905" s="1212">
        <f t="shared" si="91"/>
        <v>25</v>
      </c>
      <c r="F905" s="1211">
        <f t="shared" si="96"/>
        <v>400</v>
      </c>
      <c r="G905" s="1215"/>
      <c r="H905" s="1269"/>
      <c r="I905" s="1291">
        <v>113000</v>
      </c>
    </row>
    <row r="906" spans="1:9" ht="15" customHeight="1">
      <c r="A906" s="1253">
        <v>42174</v>
      </c>
      <c r="B906" s="1209">
        <v>6700</v>
      </c>
      <c r="C906" s="1210">
        <v>15180</v>
      </c>
      <c r="D906" s="1230">
        <v>15205</v>
      </c>
      <c r="E906" s="1212">
        <f t="shared" si="91"/>
        <v>25</v>
      </c>
      <c r="F906" s="1211">
        <f t="shared" si="96"/>
        <v>155</v>
      </c>
      <c r="G906" s="1215"/>
      <c r="H906" s="1269"/>
      <c r="I906" s="1291">
        <v>113750</v>
      </c>
    </row>
    <row r="907" spans="1:9" ht="15" customHeight="1">
      <c r="A907" s="1253">
        <v>42177</v>
      </c>
      <c r="B907" s="1209">
        <v>6675</v>
      </c>
      <c r="C907" s="1210">
        <v>15175</v>
      </c>
      <c r="D907" s="1230">
        <v>15200</v>
      </c>
      <c r="E907" s="1212">
        <f t="shared" si="91"/>
        <v>25</v>
      </c>
      <c r="F907" s="1211">
        <f t="shared" si="96"/>
        <v>-5</v>
      </c>
      <c r="G907" s="1215"/>
      <c r="H907" s="1269"/>
      <c r="I907" s="1297" t="s">
        <v>117</v>
      </c>
    </row>
    <row r="908" spans="1:9" ht="15" customHeight="1">
      <c r="A908" s="1253">
        <v>42178</v>
      </c>
      <c r="B908" s="1209">
        <v>6670</v>
      </c>
      <c r="C908" s="1210">
        <v>15180</v>
      </c>
      <c r="D908" s="1230">
        <v>15210</v>
      </c>
      <c r="E908" s="1212">
        <f t="shared" si="91"/>
        <v>30</v>
      </c>
      <c r="F908" s="1211">
        <f t="shared" si="96"/>
        <v>5</v>
      </c>
      <c r="G908" s="1215"/>
      <c r="H908" s="1269"/>
      <c r="I908" s="1291">
        <v>114000</v>
      </c>
    </row>
    <row r="909" spans="1:9" ht="15" customHeight="1">
      <c r="A909" s="1253">
        <v>42179</v>
      </c>
      <c r="B909" s="1209">
        <v>6795</v>
      </c>
      <c r="C909" s="1210">
        <v>15200</v>
      </c>
      <c r="D909" s="1230">
        <v>15250</v>
      </c>
      <c r="E909" s="1212">
        <f t="shared" si="91"/>
        <v>50</v>
      </c>
      <c r="F909" s="1211">
        <f t="shared" si="96"/>
        <v>20</v>
      </c>
      <c r="G909" s="1215"/>
      <c r="H909" s="1269"/>
      <c r="I909" s="1291">
        <v>114250</v>
      </c>
    </row>
    <row r="910" spans="1:9" ht="15" customHeight="1">
      <c r="A910" s="1253">
        <v>42180</v>
      </c>
      <c r="B910" s="1209">
        <v>6805</v>
      </c>
      <c r="C910" s="1210">
        <v>14750</v>
      </c>
      <c r="D910" s="1230">
        <v>14775</v>
      </c>
      <c r="E910" s="1212">
        <f t="shared" si="91"/>
        <v>25</v>
      </c>
      <c r="F910" s="1211">
        <f t="shared" si="96"/>
        <v>-450</v>
      </c>
      <c r="G910" s="1215"/>
      <c r="H910" s="1269"/>
      <c r="I910" s="1291">
        <v>114000</v>
      </c>
    </row>
    <row r="911" spans="1:9" ht="15" customHeight="1">
      <c r="A911" s="1253">
        <v>42181</v>
      </c>
      <c r="B911" s="1209">
        <v>6810</v>
      </c>
      <c r="C911" s="1210">
        <v>14750</v>
      </c>
      <c r="D911" s="1230">
        <v>14775</v>
      </c>
      <c r="E911" s="1212">
        <f t="shared" si="91"/>
        <v>25</v>
      </c>
      <c r="F911" s="1211">
        <f t="shared" si="96"/>
        <v>0</v>
      </c>
      <c r="G911" s="1215"/>
      <c r="H911" s="1269"/>
      <c r="I911" s="1291">
        <v>114000</v>
      </c>
    </row>
    <row r="912" spans="1:9" ht="15" customHeight="1">
      <c r="A912" s="1253">
        <v>42184</v>
      </c>
      <c r="B912" s="1209">
        <v>7110</v>
      </c>
      <c r="C912" s="1210">
        <v>14375</v>
      </c>
      <c r="D912" s="1230">
        <v>14400</v>
      </c>
      <c r="E912" s="1212">
        <f t="shared" si="91"/>
        <v>25</v>
      </c>
      <c r="F912" s="1211">
        <f t="shared" si="96"/>
        <v>-375</v>
      </c>
      <c r="G912" s="1215"/>
      <c r="H912" s="1269"/>
      <c r="I912" s="1291">
        <v>113750</v>
      </c>
    </row>
    <row r="913" spans="1:9" ht="15" customHeight="1">
      <c r="A913" s="1253">
        <v>42185</v>
      </c>
      <c r="B913" s="1209">
        <v>7635</v>
      </c>
      <c r="C913" s="1210">
        <v>13980</v>
      </c>
      <c r="D913" s="1230">
        <v>13955</v>
      </c>
      <c r="E913" s="1212">
        <f t="shared" si="91"/>
        <v>-25</v>
      </c>
      <c r="F913" s="1211">
        <f t="shared" si="96"/>
        <v>-395</v>
      </c>
      <c r="G913" s="1227">
        <f>AVERAGE(C892:C913)</f>
        <v>15015.227272727272</v>
      </c>
      <c r="H913" s="1274">
        <f>AVERAGE(C786:C913)</f>
        <v>17011.774193548386</v>
      </c>
      <c r="I913" s="1291">
        <v>113000</v>
      </c>
    </row>
    <row r="914" spans="1:9" ht="15" customHeight="1">
      <c r="A914" s="1253">
        <v>42186</v>
      </c>
      <c r="B914" s="1209">
        <v>7635</v>
      </c>
      <c r="C914" s="1210">
        <v>14260</v>
      </c>
      <c r="D914" s="1230">
        <v>14250</v>
      </c>
      <c r="E914" s="1212">
        <f t="shared" si="91"/>
        <v>-10</v>
      </c>
      <c r="F914" s="1211">
        <f t="shared" si="96"/>
        <v>280</v>
      </c>
      <c r="G914" s="1215"/>
      <c r="H914" s="1269"/>
      <c r="I914" s="1291">
        <v>113000</v>
      </c>
    </row>
    <row r="915" spans="1:9" ht="15" customHeight="1">
      <c r="A915" s="1253">
        <v>42187</v>
      </c>
      <c r="B915" s="1209">
        <v>7635</v>
      </c>
      <c r="C915" s="1210">
        <v>14545</v>
      </c>
      <c r="D915" s="1230">
        <v>14500</v>
      </c>
      <c r="E915" s="1212">
        <f t="shared" si="91"/>
        <v>-45</v>
      </c>
      <c r="F915" s="1211">
        <f t="shared" ref="F915:F923" si="97">C915-C914</f>
        <v>285</v>
      </c>
      <c r="G915" s="1215"/>
      <c r="H915" s="1269"/>
      <c r="I915" s="1291">
        <v>113000</v>
      </c>
    </row>
    <row r="916" spans="1:9" ht="15" customHeight="1">
      <c r="A916" s="1253">
        <v>42188</v>
      </c>
      <c r="B916" s="1209">
        <v>7595</v>
      </c>
      <c r="C916" s="1210">
        <v>14175</v>
      </c>
      <c r="D916" s="1230">
        <v>14175</v>
      </c>
      <c r="E916" s="1212">
        <f t="shared" si="91"/>
        <v>0</v>
      </c>
      <c r="F916" s="1211">
        <f t="shared" si="97"/>
        <v>-370</v>
      </c>
      <c r="G916" s="1215"/>
      <c r="H916" s="1269"/>
      <c r="I916" s="1291">
        <v>113500</v>
      </c>
    </row>
    <row r="917" spans="1:9" ht="15" customHeight="1">
      <c r="A917" s="1253">
        <v>42191</v>
      </c>
      <c r="B917" s="1209">
        <v>7590</v>
      </c>
      <c r="C917" s="1210">
        <v>14350</v>
      </c>
      <c r="D917" s="1230">
        <v>14300</v>
      </c>
      <c r="E917" s="1212">
        <f t="shared" ref="E917:E980" si="98">D917-C917</f>
        <v>-50</v>
      </c>
      <c r="F917" s="1211">
        <f t="shared" si="97"/>
        <v>175</v>
      </c>
      <c r="G917" s="1215"/>
      <c r="H917" s="1269"/>
      <c r="I917" s="1291">
        <v>113000</v>
      </c>
    </row>
    <row r="918" spans="1:9" ht="15" customHeight="1">
      <c r="A918" s="1253">
        <v>42192</v>
      </c>
      <c r="B918" s="1209">
        <v>7575</v>
      </c>
      <c r="C918" s="1210">
        <v>14225</v>
      </c>
      <c r="D918" s="1230">
        <v>14150</v>
      </c>
      <c r="E918" s="1212">
        <f t="shared" si="98"/>
        <v>-75</v>
      </c>
      <c r="F918" s="1211">
        <f t="shared" si="97"/>
        <v>-125</v>
      </c>
      <c r="G918" s="1215"/>
      <c r="H918" s="1269"/>
      <c r="I918" s="1291">
        <v>113000</v>
      </c>
    </row>
    <row r="919" spans="1:9" ht="15" customHeight="1">
      <c r="A919" s="1253">
        <v>42193</v>
      </c>
      <c r="B919" s="1209">
        <v>7345</v>
      </c>
      <c r="C919" s="1210">
        <v>14100</v>
      </c>
      <c r="D919" s="1230">
        <v>14075</v>
      </c>
      <c r="E919" s="1212">
        <f t="shared" si="98"/>
        <v>-25</v>
      </c>
      <c r="F919" s="1211">
        <f t="shared" si="97"/>
        <v>-125</v>
      </c>
      <c r="G919" s="1215"/>
      <c r="H919" s="1269"/>
      <c r="I919" s="1291">
        <v>112250</v>
      </c>
    </row>
    <row r="920" spans="1:9" ht="15" customHeight="1">
      <c r="A920" s="1253">
        <v>42194</v>
      </c>
      <c r="B920" s="1209">
        <v>7320</v>
      </c>
      <c r="C920" s="1210">
        <v>14355</v>
      </c>
      <c r="D920" s="1230">
        <v>14335</v>
      </c>
      <c r="E920" s="1212">
        <f t="shared" si="98"/>
        <v>-20</v>
      </c>
      <c r="F920" s="1211">
        <f t="shared" si="97"/>
        <v>255</v>
      </c>
      <c r="G920" s="1215"/>
      <c r="H920" s="1269"/>
      <c r="I920" s="1291">
        <v>112250</v>
      </c>
    </row>
    <row r="921" spans="1:9" ht="15" customHeight="1">
      <c r="A921" s="1253">
        <v>42195</v>
      </c>
      <c r="B921" s="1209">
        <v>7080</v>
      </c>
      <c r="C921" s="1210">
        <v>14005</v>
      </c>
      <c r="D921" s="1230">
        <v>14000</v>
      </c>
      <c r="E921" s="1212">
        <f t="shared" si="98"/>
        <v>-5</v>
      </c>
      <c r="F921" s="1211">
        <f t="shared" si="97"/>
        <v>-350</v>
      </c>
      <c r="G921" s="1215"/>
      <c r="H921" s="1269"/>
      <c r="I921" s="1291">
        <v>112750</v>
      </c>
    </row>
    <row r="922" spans="1:9" ht="15" customHeight="1">
      <c r="A922" s="1253">
        <v>42198</v>
      </c>
      <c r="B922" s="1209">
        <v>7185</v>
      </c>
      <c r="C922" s="1210">
        <v>14205</v>
      </c>
      <c r="D922" s="1230">
        <v>14205</v>
      </c>
      <c r="E922" s="1212">
        <f t="shared" si="98"/>
        <v>0</v>
      </c>
      <c r="F922" s="1211">
        <f t="shared" si="97"/>
        <v>200</v>
      </c>
      <c r="G922" s="1215"/>
      <c r="H922" s="1269"/>
      <c r="I922" s="1291">
        <v>112250</v>
      </c>
    </row>
    <row r="923" spans="1:9" ht="15" customHeight="1">
      <c r="A923" s="1253">
        <v>42199</v>
      </c>
      <c r="B923" s="1209">
        <v>7240</v>
      </c>
      <c r="C923" s="1210">
        <v>14575</v>
      </c>
      <c r="D923" s="1230">
        <v>14575</v>
      </c>
      <c r="E923" s="1212">
        <f t="shared" si="98"/>
        <v>0</v>
      </c>
      <c r="F923" s="1211">
        <f t="shared" si="97"/>
        <v>370</v>
      </c>
      <c r="G923" s="1215"/>
      <c r="H923" s="1269"/>
      <c r="I923" s="1291">
        <v>112250</v>
      </c>
    </row>
    <row r="924" spans="1:9" ht="15" customHeight="1">
      <c r="A924" s="1253">
        <v>42200</v>
      </c>
      <c r="B924" s="1209">
        <v>7245</v>
      </c>
      <c r="C924" s="1210">
        <v>14750</v>
      </c>
      <c r="D924" s="1230">
        <v>14725</v>
      </c>
      <c r="E924" s="1212">
        <f t="shared" si="98"/>
        <v>-25</v>
      </c>
      <c r="F924" s="1211">
        <f t="shared" ref="F924:F930" si="99">C924-C923</f>
        <v>175</v>
      </c>
      <c r="G924" s="1215"/>
      <c r="H924" s="1269"/>
      <c r="I924" s="1291">
        <v>112250</v>
      </c>
    </row>
    <row r="925" spans="1:9" ht="15" customHeight="1">
      <c r="A925" s="1253">
        <v>42201</v>
      </c>
      <c r="B925" s="1209">
        <v>7325</v>
      </c>
      <c r="C925" s="1210">
        <v>14805</v>
      </c>
      <c r="D925" s="1230">
        <v>14825</v>
      </c>
      <c r="E925" s="1212">
        <f t="shared" si="98"/>
        <v>20</v>
      </c>
      <c r="F925" s="1211">
        <f t="shared" si="99"/>
        <v>55</v>
      </c>
      <c r="G925" s="1215"/>
      <c r="H925" s="1269"/>
      <c r="I925" s="1291">
        <v>112250</v>
      </c>
    </row>
    <row r="926" spans="1:9" ht="15" customHeight="1">
      <c r="A926" s="1253">
        <v>42202</v>
      </c>
      <c r="B926" s="1209">
        <v>7325</v>
      </c>
      <c r="C926" s="1210">
        <v>15675</v>
      </c>
      <c r="D926" s="1230">
        <v>15700</v>
      </c>
      <c r="E926" s="1212">
        <f t="shared" si="98"/>
        <v>25</v>
      </c>
      <c r="F926" s="1211">
        <f t="shared" si="99"/>
        <v>870</v>
      </c>
      <c r="G926" s="1215"/>
      <c r="H926" s="1269"/>
      <c r="I926" s="1291">
        <v>112250</v>
      </c>
    </row>
    <row r="927" spans="1:9" ht="15" customHeight="1">
      <c r="A927" s="1253">
        <v>42205</v>
      </c>
      <c r="B927" s="1209">
        <v>7325</v>
      </c>
      <c r="C927" s="1210">
        <v>15485</v>
      </c>
      <c r="D927" s="1230">
        <v>15500</v>
      </c>
      <c r="E927" s="1212">
        <f t="shared" si="98"/>
        <v>15</v>
      </c>
      <c r="F927" s="1211">
        <f t="shared" si="99"/>
        <v>-190</v>
      </c>
      <c r="G927" s="1215"/>
      <c r="H927" s="1269"/>
      <c r="I927" s="1291">
        <v>112250</v>
      </c>
    </row>
    <row r="928" spans="1:9" ht="15" customHeight="1">
      <c r="A928" s="1253">
        <v>42206</v>
      </c>
      <c r="B928" s="1209">
        <v>7325</v>
      </c>
      <c r="C928" s="1210">
        <v>15455</v>
      </c>
      <c r="D928" s="1230">
        <v>15450</v>
      </c>
      <c r="E928" s="1212">
        <f t="shared" si="98"/>
        <v>-5</v>
      </c>
      <c r="F928" s="1211">
        <f t="shared" si="99"/>
        <v>-30</v>
      </c>
      <c r="G928" s="1215"/>
      <c r="H928" s="1269"/>
      <c r="I928" s="1291">
        <v>112250</v>
      </c>
    </row>
    <row r="929" spans="1:9" ht="15" customHeight="1">
      <c r="A929" s="1253">
        <v>42207</v>
      </c>
      <c r="B929" s="1209">
        <v>7315</v>
      </c>
      <c r="C929" s="1210">
        <v>14850</v>
      </c>
      <c r="D929" s="1230">
        <v>14825</v>
      </c>
      <c r="E929" s="1212">
        <f t="shared" si="98"/>
        <v>-25</v>
      </c>
      <c r="F929" s="1211">
        <f t="shared" si="99"/>
        <v>-605</v>
      </c>
      <c r="G929" s="1215"/>
      <c r="H929" s="1269"/>
      <c r="I929" s="1291">
        <v>112250</v>
      </c>
    </row>
    <row r="930" spans="1:9" ht="15" customHeight="1">
      <c r="A930" s="1253">
        <v>42208</v>
      </c>
      <c r="B930" s="1209">
        <v>7175</v>
      </c>
      <c r="C930" s="1210">
        <v>14905</v>
      </c>
      <c r="D930" s="1230">
        <v>14925</v>
      </c>
      <c r="E930" s="1212">
        <f t="shared" si="98"/>
        <v>20</v>
      </c>
      <c r="F930" s="1211">
        <f t="shared" si="99"/>
        <v>55</v>
      </c>
      <c r="G930" s="1215"/>
      <c r="H930" s="1269"/>
      <c r="I930" s="1291">
        <v>111250</v>
      </c>
    </row>
    <row r="931" spans="1:9" ht="15" customHeight="1">
      <c r="A931" s="1253">
        <v>42209</v>
      </c>
      <c r="B931" s="1209">
        <v>7135</v>
      </c>
      <c r="C931" s="1210">
        <v>14900</v>
      </c>
      <c r="D931" s="1230">
        <v>14875</v>
      </c>
      <c r="E931" s="1212">
        <f t="shared" si="98"/>
        <v>-25</v>
      </c>
      <c r="F931" s="1211">
        <f t="shared" ref="F931:F956" si="100">C931-C930</f>
        <v>-5</v>
      </c>
      <c r="G931" s="1215"/>
      <c r="H931" s="1269"/>
      <c r="I931" s="1291">
        <v>111000</v>
      </c>
    </row>
    <row r="932" spans="1:9" ht="15" customHeight="1">
      <c r="A932" s="1253">
        <v>42212</v>
      </c>
      <c r="B932" s="1209">
        <v>7175</v>
      </c>
      <c r="C932" s="1210">
        <v>15400</v>
      </c>
      <c r="D932" s="1230">
        <v>15310</v>
      </c>
      <c r="E932" s="1212">
        <f t="shared" si="98"/>
        <v>-90</v>
      </c>
      <c r="F932" s="1211">
        <f t="shared" si="100"/>
        <v>500</v>
      </c>
      <c r="G932" s="1215"/>
      <c r="H932" s="1269"/>
      <c r="I932" s="1291">
        <v>111250</v>
      </c>
    </row>
    <row r="933" spans="1:9" ht="15" customHeight="1">
      <c r="A933" s="1253">
        <v>42213</v>
      </c>
      <c r="B933" s="1209">
        <v>6990</v>
      </c>
      <c r="C933" s="1210">
        <v>16275</v>
      </c>
      <c r="D933" s="1230">
        <v>16100</v>
      </c>
      <c r="E933" s="1212">
        <f t="shared" si="98"/>
        <v>-175</v>
      </c>
      <c r="F933" s="1211">
        <f t="shared" si="100"/>
        <v>875</v>
      </c>
      <c r="G933" s="1215"/>
      <c r="H933" s="1269"/>
      <c r="I933" s="1291">
        <v>110500</v>
      </c>
    </row>
    <row r="934" spans="1:9" ht="15" customHeight="1">
      <c r="A934" s="1253">
        <v>42214</v>
      </c>
      <c r="B934" s="1209">
        <v>6990</v>
      </c>
      <c r="C934" s="1210">
        <v>16275</v>
      </c>
      <c r="D934" s="1230">
        <v>16225</v>
      </c>
      <c r="E934" s="1212">
        <f t="shared" si="98"/>
        <v>-50</v>
      </c>
      <c r="F934" s="1211">
        <f t="shared" si="100"/>
        <v>0</v>
      </c>
      <c r="G934" s="1215"/>
      <c r="H934" s="1269"/>
      <c r="I934" s="1291">
        <v>111000</v>
      </c>
    </row>
    <row r="935" spans="1:9" ht="15" customHeight="1">
      <c r="A935" s="1253">
        <v>42215</v>
      </c>
      <c r="B935" s="1209">
        <v>6995</v>
      </c>
      <c r="C935" s="1210">
        <v>16195</v>
      </c>
      <c r="D935" s="1230">
        <v>15975</v>
      </c>
      <c r="E935" s="1212">
        <f t="shared" si="98"/>
        <v>-220</v>
      </c>
      <c r="F935" s="1211">
        <f t="shared" si="100"/>
        <v>-80</v>
      </c>
      <c r="G935" s="1215"/>
      <c r="H935" s="1269"/>
      <c r="I935" s="1291">
        <v>111000</v>
      </c>
    </row>
    <row r="936" spans="1:9" ht="15" customHeight="1">
      <c r="A936" s="1253">
        <v>42216</v>
      </c>
      <c r="B936" s="1209">
        <v>7040</v>
      </c>
      <c r="C936" s="1210">
        <v>16360</v>
      </c>
      <c r="D936" s="1230">
        <v>16250</v>
      </c>
      <c r="E936" s="1212">
        <f t="shared" si="98"/>
        <v>-110</v>
      </c>
      <c r="F936" s="1211">
        <f t="shared" si="100"/>
        <v>165</v>
      </c>
      <c r="G936" s="1227">
        <f>AVERAGE(C914:C936)</f>
        <v>14961.95652173913</v>
      </c>
      <c r="H936" s="1274">
        <f>AVERAGE(C786:C936)</f>
        <v>16691.054421768709</v>
      </c>
      <c r="I936" s="1291">
        <v>111000</v>
      </c>
    </row>
    <row r="937" spans="1:9" ht="15" customHeight="1">
      <c r="A937" s="1253">
        <v>42219</v>
      </c>
      <c r="B937" s="1209">
        <v>6640</v>
      </c>
      <c r="C937" s="1210">
        <v>16000</v>
      </c>
      <c r="D937" s="1230">
        <v>15950</v>
      </c>
      <c r="E937" s="1212">
        <f t="shared" si="98"/>
        <v>-50</v>
      </c>
      <c r="F937" s="1211">
        <f t="shared" si="100"/>
        <v>-360</v>
      </c>
      <c r="G937" s="1215"/>
      <c r="H937" s="1269"/>
      <c r="I937" s="1291">
        <v>110500</v>
      </c>
    </row>
    <row r="938" spans="1:9" ht="15" customHeight="1">
      <c r="A938" s="1253">
        <v>42220</v>
      </c>
      <c r="B938" s="1209">
        <v>6540</v>
      </c>
      <c r="C938" s="1210">
        <v>16150</v>
      </c>
      <c r="D938" s="1230">
        <v>16100</v>
      </c>
      <c r="E938" s="1212">
        <f t="shared" si="98"/>
        <v>-50</v>
      </c>
      <c r="F938" s="1211">
        <f t="shared" si="100"/>
        <v>150</v>
      </c>
      <c r="G938" s="1215"/>
      <c r="H938" s="1269"/>
      <c r="I938" s="1291">
        <v>110250</v>
      </c>
    </row>
    <row r="939" spans="1:9" ht="15" customHeight="1">
      <c r="A939" s="1253">
        <v>42221</v>
      </c>
      <c r="B939" s="1209">
        <v>6660</v>
      </c>
      <c r="C939" s="1210">
        <v>15300</v>
      </c>
      <c r="D939" s="1230">
        <v>15275</v>
      </c>
      <c r="E939" s="1212">
        <f t="shared" si="98"/>
        <v>-25</v>
      </c>
      <c r="F939" s="1211">
        <f t="shared" si="100"/>
        <v>-850</v>
      </c>
      <c r="G939" s="1215"/>
      <c r="H939" s="1269"/>
      <c r="I939" s="1291">
        <v>110000</v>
      </c>
    </row>
    <row r="940" spans="1:9" ht="15" customHeight="1">
      <c r="A940" s="1253">
        <v>42222</v>
      </c>
      <c r="B940" s="1209">
        <v>6565</v>
      </c>
      <c r="C940" s="1210">
        <v>15500</v>
      </c>
      <c r="D940" s="1230">
        <v>15505</v>
      </c>
      <c r="E940" s="1212">
        <f t="shared" si="98"/>
        <v>5</v>
      </c>
      <c r="F940" s="1211">
        <f t="shared" si="100"/>
        <v>200</v>
      </c>
      <c r="G940" s="1215"/>
      <c r="H940" s="1269"/>
      <c r="I940" s="1291">
        <v>109500</v>
      </c>
    </row>
    <row r="941" spans="1:9" ht="15" customHeight="1">
      <c r="A941" s="1253">
        <v>42223</v>
      </c>
      <c r="B941" s="1209">
        <v>6630</v>
      </c>
      <c r="C941" s="1210">
        <v>15275</v>
      </c>
      <c r="D941" s="1230">
        <v>15300</v>
      </c>
      <c r="E941" s="1212">
        <f t="shared" si="98"/>
        <v>25</v>
      </c>
      <c r="F941" s="1211">
        <f t="shared" si="100"/>
        <v>-225</v>
      </c>
      <c r="G941" s="1215"/>
      <c r="H941" s="1269"/>
      <c r="I941" s="1291">
        <v>109500</v>
      </c>
    </row>
    <row r="942" spans="1:9" ht="15" customHeight="1">
      <c r="A942" s="1253">
        <v>42226</v>
      </c>
      <c r="B942" s="1209">
        <v>6630</v>
      </c>
      <c r="C942" s="1210">
        <v>15175</v>
      </c>
      <c r="D942" s="1230">
        <v>15150</v>
      </c>
      <c r="E942" s="1212">
        <f t="shared" si="98"/>
        <v>-25</v>
      </c>
      <c r="F942" s="1211">
        <f t="shared" si="100"/>
        <v>-100</v>
      </c>
      <c r="G942" s="1215"/>
      <c r="H942" s="1269"/>
      <c r="I942" s="1291">
        <v>109000</v>
      </c>
    </row>
    <row r="943" spans="1:9" ht="15" customHeight="1">
      <c r="A943" s="1253">
        <v>42227</v>
      </c>
      <c r="B943" s="1209">
        <v>6630</v>
      </c>
      <c r="C943" s="1210">
        <v>15360</v>
      </c>
      <c r="D943" s="1230">
        <v>15400</v>
      </c>
      <c r="E943" s="1212">
        <f t="shared" si="98"/>
        <v>40</v>
      </c>
      <c r="F943" s="1211">
        <f t="shared" si="100"/>
        <v>185</v>
      </c>
      <c r="G943" s="1215"/>
      <c r="H943" s="1269"/>
      <c r="I943" s="1291">
        <v>109000</v>
      </c>
    </row>
    <row r="944" spans="1:9" ht="15" customHeight="1">
      <c r="A944" s="1253">
        <v>42228</v>
      </c>
      <c r="B944" s="1209">
        <v>6300</v>
      </c>
      <c r="C944" s="1210">
        <v>15165</v>
      </c>
      <c r="D944" s="1230">
        <v>15130</v>
      </c>
      <c r="E944" s="1212">
        <f t="shared" si="98"/>
        <v>-35</v>
      </c>
      <c r="F944" s="1211">
        <f t="shared" si="100"/>
        <v>-195</v>
      </c>
      <c r="G944" s="1215"/>
      <c r="H944" s="1269"/>
      <c r="I944" s="1291">
        <v>109000</v>
      </c>
    </row>
    <row r="945" spans="1:9" ht="15" customHeight="1">
      <c r="A945" s="1253">
        <v>42229</v>
      </c>
      <c r="B945" s="1209">
        <v>6345</v>
      </c>
      <c r="C945" s="1210">
        <v>15150</v>
      </c>
      <c r="D945" s="1230">
        <v>15075</v>
      </c>
      <c r="E945" s="1212">
        <f t="shared" si="98"/>
        <v>-75</v>
      </c>
      <c r="F945" s="1211">
        <f t="shared" si="100"/>
        <v>-15</v>
      </c>
      <c r="G945" s="1215"/>
      <c r="H945" s="1269"/>
      <c r="I945" s="1291">
        <v>108250</v>
      </c>
    </row>
    <row r="946" spans="1:9" ht="15" customHeight="1">
      <c r="A946" s="1253">
        <v>42230</v>
      </c>
      <c r="B946" s="1209">
        <v>6345</v>
      </c>
      <c r="C946" s="1210">
        <v>15505</v>
      </c>
      <c r="D946" s="1230">
        <v>15505</v>
      </c>
      <c r="E946" s="1212">
        <f t="shared" si="98"/>
        <v>0</v>
      </c>
      <c r="F946" s="1211">
        <f t="shared" si="100"/>
        <v>355</v>
      </c>
      <c r="G946" s="1215"/>
      <c r="H946" s="1269"/>
      <c r="I946" s="1291">
        <v>108000</v>
      </c>
    </row>
    <row r="947" spans="1:9" ht="15" customHeight="1">
      <c r="A947" s="1253">
        <v>42233</v>
      </c>
      <c r="B947" s="1209">
        <v>6345</v>
      </c>
      <c r="C947" s="1210">
        <v>15650</v>
      </c>
      <c r="D947" s="1230">
        <v>15450</v>
      </c>
      <c r="E947" s="1212">
        <f t="shared" si="98"/>
        <v>-200</v>
      </c>
      <c r="F947" s="1211">
        <f t="shared" si="100"/>
        <v>145</v>
      </c>
      <c r="G947" s="1215"/>
      <c r="H947" s="1269"/>
      <c r="I947" s="1291">
        <v>108000</v>
      </c>
    </row>
    <row r="948" spans="1:9" ht="15" customHeight="1">
      <c r="A948" s="1253">
        <v>42234</v>
      </c>
      <c r="B948" s="1209">
        <v>6285</v>
      </c>
      <c r="C948" s="1210">
        <v>16250</v>
      </c>
      <c r="D948" s="1230">
        <v>15600</v>
      </c>
      <c r="E948" s="1212">
        <f t="shared" si="98"/>
        <v>-650</v>
      </c>
      <c r="F948" s="1211">
        <f t="shared" si="100"/>
        <v>600</v>
      </c>
      <c r="G948" s="1215"/>
      <c r="H948" s="1269"/>
      <c r="I948" s="1291">
        <v>107750</v>
      </c>
    </row>
    <row r="949" spans="1:9" ht="15" customHeight="1">
      <c r="A949" s="1253">
        <v>42235</v>
      </c>
      <c r="B949" s="1209">
        <v>6985</v>
      </c>
      <c r="C949" s="1210">
        <v>15700</v>
      </c>
      <c r="D949" s="1230">
        <v>15400</v>
      </c>
      <c r="E949" s="1212">
        <f t="shared" si="98"/>
        <v>-300</v>
      </c>
      <c r="F949" s="1211">
        <f t="shared" si="100"/>
        <v>-550</v>
      </c>
      <c r="G949" s="1215"/>
      <c r="H949" s="1269"/>
      <c r="I949" s="1291">
        <v>107250</v>
      </c>
    </row>
    <row r="950" spans="1:9" ht="15" customHeight="1">
      <c r="A950" s="1253">
        <v>42236</v>
      </c>
      <c r="B950" s="1209">
        <v>7165</v>
      </c>
      <c r="C950" s="1210">
        <v>15750</v>
      </c>
      <c r="D950" s="1230">
        <v>15550</v>
      </c>
      <c r="E950" s="1212">
        <f t="shared" si="98"/>
        <v>-200</v>
      </c>
      <c r="F950" s="1211">
        <f t="shared" si="100"/>
        <v>50</v>
      </c>
      <c r="G950" s="1215"/>
      <c r="H950" s="1269"/>
      <c r="I950" s="1291">
        <v>107250</v>
      </c>
    </row>
    <row r="951" spans="1:9" ht="15" customHeight="1">
      <c r="A951" s="1253">
        <v>42237</v>
      </c>
      <c r="B951" s="1209">
        <v>7355</v>
      </c>
      <c r="C951" s="1210">
        <v>15190</v>
      </c>
      <c r="D951" s="1230">
        <v>15000</v>
      </c>
      <c r="E951" s="1212">
        <f t="shared" si="98"/>
        <v>-190</v>
      </c>
      <c r="F951" s="1211">
        <f t="shared" si="100"/>
        <v>-560</v>
      </c>
      <c r="G951" s="1215"/>
      <c r="H951" s="1269"/>
      <c r="I951" s="1291">
        <v>106750</v>
      </c>
    </row>
    <row r="952" spans="1:9" ht="15" customHeight="1">
      <c r="A952" s="1253">
        <v>42240</v>
      </c>
      <c r="B952" s="1209">
        <v>7590</v>
      </c>
      <c r="C952" s="1210">
        <v>14595</v>
      </c>
      <c r="D952" s="1230">
        <v>14450</v>
      </c>
      <c r="E952" s="1212">
        <f t="shared" si="98"/>
        <v>-145</v>
      </c>
      <c r="F952" s="1211">
        <f t="shared" si="100"/>
        <v>-595</v>
      </c>
      <c r="G952" s="1215"/>
      <c r="H952" s="1269"/>
      <c r="I952" s="1291">
        <v>106000</v>
      </c>
    </row>
    <row r="953" spans="1:9" ht="15" customHeight="1">
      <c r="A953" s="1253">
        <v>42241</v>
      </c>
      <c r="B953" s="1209">
        <v>7490</v>
      </c>
      <c r="C953" s="1210">
        <v>14500</v>
      </c>
      <c r="D953" s="1230">
        <v>14350</v>
      </c>
      <c r="E953" s="1212">
        <f t="shared" si="98"/>
        <v>-150</v>
      </c>
      <c r="F953" s="1211">
        <f t="shared" si="100"/>
        <v>-95</v>
      </c>
      <c r="G953" s="1215"/>
      <c r="H953" s="1269"/>
      <c r="I953" s="1291">
        <v>104500</v>
      </c>
    </row>
    <row r="954" spans="1:9" ht="15" customHeight="1">
      <c r="A954" s="1253">
        <v>42242</v>
      </c>
      <c r="B954" s="1209">
        <v>7420</v>
      </c>
      <c r="C954" s="1210">
        <v>14100</v>
      </c>
      <c r="D954" s="1230">
        <v>14000</v>
      </c>
      <c r="E954" s="1212">
        <f t="shared" si="98"/>
        <v>-100</v>
      </c>
      <c r="F954" s="1211">
        <f t="shared" si="100"/>
        <v>-400</v>
      </c>
      <c r="G954" s="1215"/>
      <c r="H954" s="1269"/>
      <c r="I954" s="1291">
        <v>103750</v>
      </c>
    </row>
    <row r="955" spans="1:9" ht="15" customHeight="1">
      <c r="A955" s="1253">
        <v>42243</v>
      </c>
      <c r="B955" s="1209">
        <v>7310</v>
      </c>
      <c r="C955" s="1210">
        <v>13895</v>
      </c>
      <c r="D955" s="1230">
        <v>13850</v>
      </c>
      <c r="E955" s="1212">
        <f t="shared" si="98"/>
        <v>-45</v>
      </c>
      <c r="F955" s="1211">
        <f t="shared" si="100"/>
        <v>-205</v>
      </c>
      <c r="G955" s="1215"/>
      <c r="H955" s="1269"/>
      <c r="I955" s="1291">
        <v>102500</v>
      </c>
    </row>
    <row r="956" spans="1:9" ht="15" customHeight="1">
      <c r="A956" s="1253">
        <v>42244</v>
      </c>
      <c r="B956" s="1209">
        <v>6980</v>
      </c>
      <c r="C956" s="1210">
        <v>14360</v>
      </c>
      <c r="D956" s="1230">
        <v>14250</v>
      </c>
      <c r="E956" s="1212">
        <f t="shared" si="98"/>
        <v>-110</v>
      </c>
      <c r="F956" s="1211">
        <f t="shared" si="100"/>
        <v>465</v>
      </c>
      <c r="G956" s="1215"/>
      <c r="H956" s="1269"/>
      <c r="I956" s="1291">
        <v>102500</v>
      </c>
    </row>
    <row r="957" spans="1:9" ht="15" customHeight="1">
      <c r="A957" s="1253">
        <v>42247</v>
      </c>
      <c r="B957" s="1469" t="s">
        <v>55</v>
      </c>
      <c r="C957" s="1469"/>
      <c r="D957" s="1469"/>
      <c r="E957" s="1469"/>
      <c r="F957" s="1469"/>
      <c r="G957" s="1227">
        <f>AVERAGE(C937:C956)</f>
        <v>15228.5</v>
      </c>
      <c r="H957" s="1274">
        <f>AVERAGE(C786:C956)</f>
        <v>16515.898203592813</v>
      </c>
      <c r="I957" s="1291">
        <v>102000</v>
      </c>
    </row>
    <row r="958" spans="1:9" ht="15" customHeight="1">
      <c r="A958" s="1253">
        <v>42248</v>
      </c>
      <c r="B958" s="1209">
        <v>6730</v>
      </c>
      <c r="C958" s="1210">
        <v>14850</v>
      </c>
      <c r="D958" s="1230">
        <v>14255</v>
      </c>
      <c r="E958" s="1212">
        <f t="shared" si="98"/>
        <v>-595</v>
      </c>
      <c r="F958" s="1211">
        <f>C958-C956</f>
        <v>490</v>
      </c>
      <c r="G958" s="1215"/>
      <c r="H958" s="1269"/>
      <c r="I958" s="1291">
        <v>101250</v>
      </c>
    </row>
    <row r="959" spans="1:9" ht="15" customHeight="1">
      <c r="A959" s="1253">
        <v>42249</v>
      </c>
      <c r="B959" s="1209">
        <v>5820</v>
      </c>
      <c r="C959" s="1210">
        <v>15625</v>
      </c>
      <c r="D959" s="1230">
        <v>15050</v>
      </c>
      <c r="E959" s="1212">
        <f t="shared" si="98"/>
        <v>-575</v>
      </c>
      <c r="F959" s="1211">
        <f t="shared" ref="F959:F1013" si="101">C959-C958</f>
        <v>775</v>
      </c>
      <c r="G959" s="1215"/>
      <c r="H959" s="1269"/>
      <c r="I959" s="1291">
        <v>101250</v>
      </c>
    </row>
    <row r="960" spans="1:9" ht="15" customHeight="1">
      <c r="A960" s="1253">
        <v>42250</v>
      </c>
      <c r="B960" s="1209">
        <v>5810</v>
      </c>
      <c r="C960" s="1210">
        <v>15600</v>
      </c>
      <c r="D960" s="1230">
        <v>15250</v>
      </c>
      <c r="E960" s="1212">
        <f t="shared" si="98"/>
        <v>-350</v>
      </c>
      <c r="F960" s="1211">
        <f t="shared" si="101"/>
        <v>-25</v>
      </c>
      <c r="G960" s="1215"/>
      <c r="H960" s="1269"/>
      <c r="I960" s="1466" t="s">
        <v>54</v>
      </c>
    </row>
    <row r="961" spans="1:9" ht="15" customHeight="1">
      <c r="A961" s="1253">
        <v>42251</v>
      </c>
      <c r="B961" s="1209">
        <v>5830</v>
      </c>
      <c r="C961" s="1210">
        <v>15595</v>
      </c>
      <c r="D961" s="1230">
        <v>15175</v>
      </c>
      <c r="E961" s="1212">
        <f t="shared" si="98"/>
        <v>-420</v>
      </c>
      <c r="F961" s="1211">
        <f t="shared" si="101"/>
        <v>-5</v>
      </c>
      <c r="G961" s="1215"/>
      <c r="H961" s="1269"/>
      <c r="I961" s="1466"/>
    </row>
    <row r="962" spans="1:9" ht="15" customHeight="1">
      <c r="A962" s="1253">
        <v>42254</v>
      </c>
      <c r="B962" s="1209">
        <v>5795</v>
      </c>
      <c r="C962" s="1210">
        <v>15250</v>
      </c>
      <c r="D962" s="1230">
        <v>15000</v>
      </c>
      <c r="E962" s="1212">
        <f t="shared" si="98"/>
        <v>-250</v>
      </c>
      <c r="F962" s="1211">
        <f t="shared" si="101"/>
        <v>-345</v>
      </c>
      <c r="G962" s="1215"/>
      <c r="H962" s="1269"/>
      <c r="I962" s="1291">
        <v>101250</v>
      </c>
    </row>
    <row r="963" spans="1:9" ht="15" customHeight="1">
      <c r="A963" s="1253">
        <v>42255</v>
      </c>
      <c r="B963" s="1209">
        <v>5735</v>
      </c>
      <c r="C963" s="1210">
        <v>15500</v>
      </c>
      <c r="D963" s="1230">
        <v>15225</v>
      </c>
      <c r="E963" s="1212">
        <f t="shared" si="98"/>
        <v>-275</v>
      </c>
      <c r="F963" s="1211">
        <f t="shared" si="101"/>
        <v>250</v>
      </c>
      <c r="G963" s="1215"/>
      <c r="H963" s="1269"/>
      <c r="I963" s="1291">
        <v>101000</v>
      </c>
    </row>
    <row r="964" spans="1:9" ht="15" customHeight="1">
      <c r="A964" s="1253">
        <v>42256</v>
      </c>
      <c r="B964" s="1209">
        <v>5900</v>
      </c>
      <c r="C964" s="1210">
        <v>15500</v>
      </c>
      <c r="D964" s="1230">
        <v>15055</v>
      </c>
      <c r="E964" s="1212">
        <f t="shared" si="98"/>
        <v>-445</v>
      </c>
      <c r="F964" s="1211">
        <f t="shared" si="101"/>
        <v>0</v>
      </c>
      <c r="G964" s="1215"/>
      <c r="H964" s="1269"/>
      <c r="I964" s="1291">
        <v>101000</v>
      </c>
    </row>
    <row r="965" spans="1:9" ht="15" customHeight="1">
      <c r="A965" s="1253">
        <v>42257</v>
      </c>
      <c r="B965" s="1209">
        <v>5625</v>
      </c>
      <c r="C965" s="1210">
        <v>15655</v>
      </c>
      <c r="D965" s="1230">
        <v>15300</v>
      </c>
      <c r="E965" s="1212">
        <f t="shared" si="98"/>
        <v>-355</v>
      </c>
      <c r="F965" s="1211">
        <f t="shared" si="101"/>
        <v>155</v>
      </c>
      <c r="G965" s="1215"/>
      <c r="H965" s="1269"/>
      <c r="I965" s="1291">
        <v>100750</v>
      </c>
    </row>
    <row r="966" spans="1:9" ht="15" customHeight="1">
      <c r="A966" s="1253">
        <v>42258</v>
      </c>
      <c r="B966" s="1209">
        <v>5540</v>
      </c>
      <c r="C966" s="1210">
        <v>15855</v>
      </c>
      <c r="D966" s="1230">
        <v>15500</v>
      </c>
      <c r="E966" s="1212">
        <f t="shared" si="98"/>
        <v>-355</v>
      </c>
      <c r="F966" s="1211">
        <f t="shared" si="101"/>
        <v>200</v>
      </c>
      <c r="G966" s="1215"/>
      <c r="H966" s="1269"/>
      <c r="I966" s="1291">
        <v>100750</v>
      </c>
    </row>
    <row r="967" spans="1:9" ht="15" customHeight="1">
      <c r="A967" s="1253">
        <v>42261</v>
      </c>
      <c r="B967" s="1209">
        <v>5540</v>
      </c>
      <c r="C967" s="1210">
        <v>16045</v>
      </c>
      <c r="D967" s="1230">
        <v>15550</v>
      </c>
      <c r="E967" s="1212">
        <f t="shared" si="98"/>
        <v>-495</v>
      </c>
      <c r="F967" s="1211">
        <f t="shared" si="101"/>
        <v>190</v>
      </c>
      <c r="G967" s="1215"/>
      <c r="H967" s="1269"/>
      <c r="I967" s="1291">
        <v>100750</v>
      </c>
    </row>
    <row r="968" spans="1:9" ht="15" customHeight="1">
      <c r="A968" s="1253">
        <v>42262</v>
      </c>
      <c r="B968" s="1209">
        <v>5105</v>
      </c>
      <c r="C968" s="1210">
        <v>15650</v>
      </c>
      <c r="D968" s="1230">
        <v>15500</v>
      </c>
      <c r="E968" s="1212">
        <f t="shared" si="98"/>
        <v>-150</v>
      </c>
      <c r="F968" s="1211">
        <f t="shared" si="101"/>
        <v>-395</v>
      </c>
      <c r="G968" s="1215"/>
      <c r="H968" s="1269"/>
      <c r="I968" s="1291">
        <v>100750</v>
      </c>
    </row>
    <row r="969" spans="1:9" ht="15" customHeight="1">
      <c r="A969" s="1253">
        <v>42263</v>
      </c>
      <c r="B969" s="1209">
        <v>5070</v>
      </c>
      <c r="C969" s="1210">
        <v>15880</v>
      </c>
      <c r="D969" s="1230">
        <v>15660</v>
      </c>
      <c r="E969" s="1212">
        <f t="shared" si="98"/>
        <v>-220</v>
      </c>
      <c r="F969" s="1211">
        <f t="shared" si="101"/>
        <v>230</v>
      </c>
      <c r="G969" s="1215"/>
      <c r="H969" s="1269"/>
      <c r="I969" s="1291">
        <v>100750</v>
      </c>
    </row>
    <row r="970" spans="1:9" ht="15" customHeight="1">
      <c r="A970" s="1253">
        <v>42264</v>
      </c>
      <c r="B970" s="1209">
        <v>5070</v>
      </c>
      <c r="C970" s="1210">
        <v>15600</v>
      </c>
      <c r="D970" s="1230">
        <v>15450</v>
      </c>
      <c r="E970" s="1212">
        <f t="shared" si="98"/>
        <v>-150</v>
      </c>
      <c r="F970" s="1211">
        <f t="shared" si="101"/>
        <v>-280</v>
      </c>
      <c r="G970" s="1215"/>
      <c r="H970" s="1269"/>
      <c r="I970" s="1291">
        <v>100750</v>
      </c>
    </row>
    <row r="971" spans="1:9" ht="15" customHeight="1">
      <c r="A971" s="1253">
        <v>42265</v>
      </c>
      <c r="B971" s="1209">
        <v>5140</v>
      </c>
      <c r="C971" s="1210">
        <v>15050</v>
      </c>
      <c r="D971" s="1230">
        <v>15100</v>
      </c>
      <c r="E971" s="1212">
        <f t="shared" si="98"/>
        <v>50</v>
      </c>
      <c r="F971" s="1211">
        <f t="shared" si="101"/>
        <v>-550</v>
      </c>
      <c r="G971" s="1215"/>
      <c r="H971" s="1269"/>
      <c r="I971" s="1291">
        <v>100750</v>
      </c>
    </row>
    <row r="972" spans="1:9" ht="15" customHeight="1">
      <c r="A972" s="1253">
        <v>42268</v>
      </c>
      <c r="B972" s="1209">
        <v>5105</v>
      </c>
      <c r="C972" s="1210">
        <v>15350</v>
      </c>
      <c r="D972" s="1230">
        <v>15250</v>
      </c>
      <c r="E972" s="1212">
        <f t="shared" si="98"/>
        <v>-100</v>
      </c>
      <c r="F972" s="1211">
        <f t="shared" si="101"/>
        <v>300</v>
      </c>
      <c r="G972" s="1215"/>
      <c r="H972" s="1269"/>
      <c r="I972" s="1291">
        <v>100500</v>
      </c>
    </row>
    <row r="973" spans="1:9" ht="15" customHeight="1">
      <c r="A973" s="1253">
        <v>42269</v>
      </c>
      <c r="B973" s="1209">
        <v>5155</v>
      </c>
      <c r="C973" s="1210">
        <v>15050</v>
      </c>
      <c r="D973" s="1230">
        <v>14930</v>
      </c>
      <c r="E973" s="1212">
        <f t="shared" si="98"/>
        <v>-120</v>
      </c>
      <c r="F973" s="1211">
        <f t="shared" si="101"/>
        <v>-300</v>
      </c>
      <c r="G973" s="1215"/>
      <c r="H973" s="1269"/>
      <c r="I973" s="1291">
        <v>100250</v>
      </c>
    </row>
    <row r="974" spans="1:9" ht="15" customHeight="1">
      <c r="A974" s="1253">
        <v>42270</v>
      </c>
      <c r="B974" s="1209">
        <v>5125</v>
      </c>
      <c r="C974" s="1210">
        <v>15100</v>
      </c>
      <c r="D974" s="1230">
        <v>14925</v>
      </c>
      <c r="E974" s="1212">
        <f t="shared" si="98"/>
        <v>-175</v>
      </c>
      <c r="F974" s="1211">
        <f t="shared" si="101"/>
        <v>50</v>
      </c>
      <c r="G974" s="1215"/>
      <c r="H974" s="1269"/>
      <c r="I974" s="1291">
        <v>100000</v>
      </c>
    </row>
    <row r="975" spans="1:9" ht="15" customHeight="1">
      <c r="A975" s="1253">
        <v>42271</v>
      </c>
      <c r="B975" s="1209">
        <v>5125</v>
      </c>
      <c r="C975" s="1210">
        <v>15350</v>
      </c>
      <c r="D975" s="1230">
        <v>15205</v>
      </c>
      <c r="E975" s="1212">
        <f t="shared" si="98"/>
        <v>-145</v>
      </c>
      <c r="F975" s="1211">
        <f t="shared" si="101"/>
        <v>250</v>
      </c>
      <c r="G975" s="1215"/>
      <c r="H975" s="1269"/>
      <c r="I975" s="1291">
        <v>99500</v>
      </c>
    </row>
    <row r="976" spans="1:9" ht="15" customHeight="1">
      <c r="A976" s="1253">
        <v>42272</v>
      </c>
      <c r="B976" s="1209">
        <v>5100</v>
      </c>
      <c r="C976" s="1210">
        <v>15325</v>
      </c>
      <c r="D976" s="1230">
        <v>15100</v>
      </c>
      <c r="E976" s="1212">
        <f t="shared" si="98"/>
        <v>-225</v>
      </c>
      <c r="F976" s="1211">
        <f t="shared" si="101"/>
        <v>-25</v>
      </c>
      <c r="G976" s="1215"/>
      <c r="H976" s="1269"/>
      <c r="I976" s="1464" t="s">
        <v>48</v>
      </c>
    </row>
    <row r="977" spans="1:9" ht="15" customHeight="1">
      <c r="A977" s="1253">
        <v>42275</v>
      </c>
      <c r="B977" s="1209">
        <v>4900</v>
      </c>
      <c r="C977" s="1210">
        <v>15400</v>
      </c>
      <c r="D977" s="1230">
        <v>15085</v>
      </c>
      <c r="E977" s="1212">
        <f t="shared" si="98"/>
        <v>-315</v>
      </c>
      <c r="F977" s="1211">
        <f t="shared" si="101"/>
        <v>75</v>
      </c>
      <c r="G977" s="1215"/>
      <c r="H977" s="1269"/>
      <c r="I977" s="1464"/>
    </row>
    <row r="978" spans="1:9" ht="15" customHeight="1">
      <c r="A978" s="1253">
        <v>42276</v>
      </c>
      <c r="B978" s="1209">
        <v>4890</v>
      </c>
      <c r="C978" s="1210">
        <v>15800</v>
      </c>
      <c r="D978" s="1230">
        <v>15510</v>
      </c>
      <c r="E978" s="1212">
        <f t="shared" si="98"/>
        <v>-290</v>
      </c>
      <c r="F978" s="1211">
        <f t="shared" si="101"/>
        <v>400</v>
      </c>
      <c r="G978" s="1215"/>
      <c r="H978" s="1269"/>
      <c r="I978" s="1291">
        <v>98500</v>
      </c>
    </row>
    <row r="979" spans="1:9" ht="15" customHeight="1">
      <c r="A979" s="1253">
        <v>42277</v>
      </c>
      <c r="B979" s="1209">
        <v>4825</v>
      </c>
      <c r="C979" s="1210">
        <v>15560</v>
      </c>
      <c r="D979" s="1230">
        <v>10105</v>
      </c>
      <c r="E979" s="1212">
        <f t="shared" si="98"/>
        <v>-5455</v>
      </c>
      <c r="F979" s="1211">
        <f t="shared" si="101"/>
        <v>-240</v>
      </c>
      <c r="G979" s="1227">
        <f>AVERAGE(C958:C979)</f>
        <v>15481.363636363636</v>
      </c>
      <c r="H979" s="1274">
        <f>AVERAGE(C786:C979)</f>
        <v>16395.476190476191</v>
      </c>
      <c r="I979" s="1291">
        <v>98000</v>
      </c>
    </row>
    <row r="980" spans="1:9" ht="15" customHeight="1">
      <c r="A980" s="1253">
        <v>42278</v>
      </c>
      <c r="B980" s="1209">
        <v>4800</v>
      </c>
      <c r="C980" s="1210">
        <v>15675</v>
      </c>
      <c r="D980" s="1230">
        <v>15500</v>
      </c>
      <c r="E980" s="1212">
        <f t="shared" si="98"/>
        <v>-175</v>
      </c>
      <c r="F980" s="1211">
        <f t="shared" si="101"/>
        <v>115</v>
      </c>
      <c r="G980" s="1215"/>
      <c r="H980" s="1269"/>
      <c r="I980" s="1464" t="s">
        <v>48</v>
      </c>
    </row>
    <row r="981" spans="1:9" ht="15" customHeight="1">
      <c r="A981" s="1253">
        <v>42279</v>
      </c>
      <c r="B981" s="1209">
        <v>4705</v>
      </c>
      <c r="C981" s="1210">
        <v>15700</v>
      </c>
      <c r="D981" s="1230">
        <v>15475</v>
      </c>
      <c r="E981" s="1212">
        <f t="shared" ref="E981:E1044" si="102">D981-C981</f>
        <v>-225</v>
      </c>
      <c r="F981" s="1211">
        <f t="shared" si="101"/>
        <v>25</v>
      </c>
      <c r="G981" s="1215"/>
      <c r="H981" s="1269"/>
      <c r="I981" s="1464"/>
    </row>
    <row r="982" spans="1:9" ht="15" customHeight="1">
      <c r="A982" s="1253">
        <v>42282</v>
      </c>
      <c r="B982" s="1209">
        <v>4675</v>
      </c>
      <c r="C982" s="1210">
        <v>15680</v>
      </c>
      <c r="D982" s="1230">
        <v>15525</v>
      </c>
      <c r="E982" s="1212">
        <f t="shared" si="102"/>
        <v>-155</v>
      </c>
      <c r="F982" s="1211">
        <f t="shared" si="101"/>
        <v>-20</v>
      </c>
      <c r="G982" s="1215"/>
      <c r="H982" s="1269"/>
      <c r="I982" s="1464"/>
    </row>
    <row r="983" spans="1:9" ht="15" customHeight="1">
      <c r="A983" s="1253">
        <v>42283</v>
      </c>
      <c r="B983" s="1209">
        <v>4610</v>
      </c>
      <c r="C983" s="1210">
        <v>15875</v>
      </c>
      <c r="D983" s="1230">
        <v>15575</v>
      </c>
      <c r="E983" s="1212">
        <f t="shared" si="102"/>
        <v>-300</v>
      </c>
      <c r="F983" s="1211">
        <f t="shared" si="101"/>
        <v>195</v>
      </c>
      <c r="G983" s="1215"/>
      <c r="H983" s="1269"/>
      <c r="I983" s="1464"/>
    </row>
    <row r="984" spans="1:9" ht="15" customHeight="1">
      <c r="A984" s="1253">
        <v>42284</v>
      </c>
      <c r="B984" s="1209">
        <v>4650</v>
      </c>
      <c r="C984" s="1210">
        <v>16275</v>
      </c>
      <c r="D984" s="1230">
        <v>16000</v>
      </c>
      <c r="E984" s="1212">
        <f t="shared" si="102"/>
        <v>-275</v>
      </c>
      <c r="F984" s="1211">
        <f t="shared" si="101"/>
        <v>400</v>
      </c>
      <c r="G984" s="1215"/>
      <c r="H984" s="1269"/>
      <c r="I984" s="1464"/>
    </row>
    <row r="985" spans="1:9" ht="15" customHeight="1">
      <c r="A985" s="1253">
        <v>42285</v>
      </c>
      <c r="B985" s="1209">
        <v>4665</v>
      </c>
      <c r="C985" s="1210">
        <v>16000</v>
      </c>
      <c r="D985" s="1230">
        <v>15860</v>
      </c>
      <c r="E985" s="1212">
        <f t="shared" si="102"/>
        <v>-140</v>
      </c>
      <c r="F985" s="1211">
        <f t="shared" si="101"/>
        <v>-275</v>
      </c>
      <c r="G985" s="1215"/>
      <c r="H985" s="1269"/>
      <c r="I985" s="1464"/>
    </row>
    <row r="986" spans="1:9" ht="15" customHeight="1">
      <c r="A986" s="1253">
        <v>42286</v>
      </c>
      <c r="B986" s="1209">
        <v>4605</v>
      </c>
      <c r="C986" s="1210">
        <v>16325</v>
      </c>
      <c r="D986" s="1230">
        <v>16115</v>
      </c>
      <c r="E986" s="1212">
        <f t="shared" si="102"/>
        <v>-210</v>
      </c>
      <c r="F986" s="1211">
        <f t="shared" si="101"/>
        <v>325</v>
      </c>
      <c r="G986" s="1215"/>
      <c r="H986" s="1269"/>
      <c r="I986" s="1291">
        <v>97500</v>
      </c>
    </row>
    <row r="987" spans="1:9" ht="15" customHeight="1">
      <c r="A987" s="1253">
        <v>42289</v>
      </c>
      <c r="B987" s="1209">
        <v>4580</v>
      </c>
      <c r="C987" s="1210">
        <v>16125</v>
      </c>
      <c r="D987" s="1230">
        <v>16150</v>
      </c>
      <c r="E987" s="1212">
        <f t="shared" si="102"/>
        <v>25</v>
      </c>
      <c r="F987" s="1211">
        <f t="shared" si="101"/>
        <v>-200</v>
      </c>
      <c r="G987" s="1215"/>
      <c r="H987" s="1269"/>
      <c r="I987" s="1291">
        <v>97500</v>
      </c>
    </row>
    <row r="988" spans="1:9" ht="15" customHeight="1">
      <c r="A988" s="1253">
        <v>42290</v>
      </c>
      <c r="B988" s="1209">
        <v>4470</v>
      </c>
      <c r="C988" s="1210">
        <v>16155</v>
      </c>
      <c r="D988" s="1230">
        <v>15955</v>
      </c>
      <c r="E988" s="1212">
        <f t="shared" si="102"/>
        <v>-200</v>
      </c>
      <c r="F988" s="1211">
        <f t="shared" si="101"/>
        <v>30</v>
      </c>
      <c r="G988" s="1215"/>
      <c r="H988" s="1269"/>
      <c r="I988" s="1291">
        <v>97500</v>
      </c>
    </row>
    <row r="989" spans="1:9" ht="15" customHeight="1">
      <c r="A989" s="1253">
        <v>42291</v>
      </c>
      <c r="B989" s="1209">
        <v>4470</v>
      </c>
      <c r="C989" s="1210">
        <v>15900</v>
      </c>
      <c r="D989" s="1230">
        <v>15900</v>
      </c>
      <c r="E989" s="1212">
        <f t="shared" si="102"/>
        <v>0</v>
      </c>
      <c r="F989" s="1211">
        <f t="shared" si="101"/>
        <v>-255</v>
      </c>
      <c r="G989" s="1215"/>
      <c r="H989" s="1269"/>
      <c r="I989" s="1291">
        <v>97000</v>
      </c>
    </row>
    <row r="990" spans="1:9" ht="15" customHeight="1">
      <c r="A990" s="1253">
        <v>42292</v>
      </c>
      <c r="B990" s="1209">
        <v>4470</v>
      </c>
      <c r="C990" s="1210">
        <v>16245</v>
      </c>
      <c r="D990" s="1230">
        <v>16200</v>
      </c>
      <c r="E990" s="1212">
        <f t="shared" si="102"/>
        <v>-45</v>
      </c>
      <c r="F990" s="1211">
        <f t="shared" si="101"/>
        <v>345</v>
      </c>
      <c r="G990" s="1215"/>
      <c r="H990" s="1269"/>
      <c r="I990" s="1291">
        <v>97500</v>
      </c>
    </row>
    <row r="991" spans="1:9" ht="15" customHeight="1">
      <c r="A991" s="1253">
        <v>42293</v>
      </c>
      <c r="B991" s="1209">
        <v>4460</v>
      </c>
      <c r="C991" s="1210">
        <v>16100</v>
      </c>
      <c r="D991" s="1230">
        <v>16025</v>
      </c>
      <c r="E991" s="1212">
        <f t="shared" si="102"/>
        <v>-75</v>
      </c>
      <c r="F991" s="1211">
        <f t="shared" si="101"/>
        <v>-145</v>
      </c>
      <c r="G991" s="1215"/>
      <c r="H991" s="1269"/>
      <c r="I991" s="1291">
        <v>97750</v>
      </c>
    </row>
    <row r="992" spans="1:9" ht="15" customHeight="1">
      <c r="A992" s="1253">
        <v>42296</v>
      </c>
      <c r="B992" s="1209">
        <v>4460</v>
      </c>
      <c r="C992" s="1210">
        <v>16000</v>
      </c>
      <c r="D992" s="1230">
        <v>15950</v>
      </c>
      <c r="E992" s="1212">
        <f t="shared" si="102"/>
        <v>-50</v>
      </c>
      <c r="F992" s="1211">
        <f t="shared" si="101"/>
        <v>-100</v>
      </c>
      <c r="G992" s="1215"/>
      <c r="H992" s="1269"/>
      <c r="I992" s="1291">
        <v>97750</v>
      </c>
    </row>
    <row r="993" spans="1:9" ht="15" customHeight="1">
      <c r="A993" s="1253">
        <v>42297</v>
      </c>
      <c r="B993" s="1209">
        <v>4585</v>
      </c>
      <c r="C993" s="1210">
        <v>15975</v>
      </c>
      <c r="D993" s="1230">
        <v>15950</v>
      </c>
      <c r="E993" s="1212">
        <f t="shared" si="102"/>
        <v>-25</v>
      </c>
      <c r="F993" s="1211">
        <f t="shared" si="101"/>
        <v>-25</v>
      </c>
      <c r="G993" s="1215"/>
      <c r="H993" s="1269"/>
      <c r="I993" s="1291">
        <v>97250</v>
      </c>
    </row>
    <row r="994" spans="1:9" ht="15" customHeight="1">
      <c r="A994" s="1253">
        <v>42298</v>
      </c>
      <c r="B994" s="1209">
        <v>4455</v>
      </c>
      <c r="C994" s="1210">
        <v>16025</v>
      </c>
      <c r="D994" s="1230">
        <v>15975</v>
      </c>
      <c r="E994" s="1212">
        <f t="shared" si="102"/>
        <v>-50</v>
      </c>
      <c r="F994" s="1211">
        <f t="shared" si="101"/>
        <v>50</v>
      </c>
      <c r="G994" s="1215"/>
      <c r="H994" s="1269"/>
      <c r="I994" s="1291">
        <v>97250</v>
      </c>
    </row>
    <row r="995" spans="1:9" ht="15" customHeight="1">
      <c r="A995" s="1253">
        <v>42299</v>
      </c>
      <c r="B995" s="1209">
        <v>4490</v>
      </c>
      <c r="C995" s="1210">
        <v>15975</v>
      </c>
      <c r="D995" s="1230">
        <v>15900</v>
      </c>
      <c r="E995" s="1212">
        <f t="shared" si="102"/>
        <v>-75</v>
      </c>
      <c r="F995" s="1211">
        <f t="shared" si="101"/>
        <v>-50</v>
      </c>
      <c r="G995" s="1215"/>
      <c r="H995" s="1269"/>
      <c r="I995" s="1291">
        <v>97250</v>
      </c>
    </row>
    <row r="996" spans="1:9" ht="15" customHeight="1">
      <c r="A996" s="1253">
        <v>42300</v>
      </c>
      <c r="B996" s="1209">
        <v>4540</v>
      </c>
      <c r="C996" s="1210">
        <v>16075</v>
      </c>
      <c r="D996" s="1230">
        <v>15925</v>
      </c>
      <c r="E996" s="1212">
        <f t="shared" si="102"/>
        <v>-150</v>
      </c>
      <c r="F996" s="1211">
        <f t="shared" si="101"/>
        <v>100</v>
      </c>
      <c r="G996" s="1215"/>
      <c r="H996" s="1269"/>
      <c r="I996" s="1291">
        <v>96750</v>
      </c>
    </row>
    <row r="997" spans="1:9" ht="15" customHeight="1">
      <c r="A997" s="1253">
        <v>42303</v>
      </c>
      <c r="B997" s="1209">
        <v>4540</v>
      </c>
      <c r="C997" s="1210">
        <v>15700</v>
      </c>
      <c r="D997" s="1230">
        <v>15525</v>
      </c>
      <c r="E997" s="1212">
        <f t="shared" si="102"/>
        <v>-175</v>
      </c>
      <c r="F997" s="1211">
        <f t="shared" si="101"/>
        <v>-375</v>
      </c>
      <c r="G997" s="1215"/>
      <c r="H997" s="1269"/>
      <c r="I997" s="1291">
        <v>96750</v>
      </c>
    </row>
    <row r="998" spans="1:9" ht="15" customHeight="1">
      <c r="A998" s="1253">
        <v>42304</v>
      </c>
      <c r="B998" s="1209">
        <v>4510</v>
      </c>
      <c r="C998" s="1210">
        <v>15545</v>
      </c>
      <c r="D998" s="1230">
        <v>15425</v>
      </c>
      <c r="E998" s="1212">
        <f t="shared" si="102"/>
        <v>-120</v>
      </c>
      <c r="F998" s="1211">
        <f t="shared" si="101"/>
        <v>-155</v>
      </c>
      <c r="G998" s="1215"/>
      <c r="H998" s="1269"/>
      <c r="I998" s="1291">
        <v>96500</v>
      </c>
    </row>
    <row r="999" spans="1:9" ht="15" customHeight="1">
      <c r="A999" s="1253">
        <v>42305</v>
      </c>
      <c r="B999" s="1209">
        <v>5010</v>
      </c>
      <c r="C999" s="1210">
        <v>15280</v>
      </c>
      <c r="D999" s="1230">
        <v>15350</v>
      </c>
      <c r="E999" s="1212">
        <f t="shared" si="102"/>
        <v>70</v>
      </c>
      <c r="F999" s="1211">
        <f t="shared" si="101"/>
        <v>-265</v>
      </c>
      <c r="G999" s="1215"/>
      <c r="H999" s="1269"/>
      <c r="I999" s="1291">
        <v>96000</v>
      </c>
    </row>
    <row r="1000" spans="1:9" ht="15" customHeight="1">
      <c r="A1000" s="1253">
        <v>42306</v>
      </c>
      <c r="B1000" s="1209">
        <v>5000</v>
      </c>
      <c r="C1000" s="1210">
        <v>15005</v>
      </c>
      <c r="D1000" s="1230">
        <v>15060</v>
      </c>
      <c r="E1000" s="1212">
        <f t="shared" si="102"/>
        <v>55</v>
      </c>
      <c r="F1000" s="1211">
        <f t="shared" si="101"/>
        <v>-275</v>
      </c>
      <c r="G1000" s="1215"/>
      <c r="H1000" s="1269"/>
      <c r="I1000" s="1291">
        <v>95500</v>
      </c>
    </row>
    <row r="1001" spans="1:9" ht="15" customHeight="1">
      <c r="A1001" s="1253">
        <v>42307</v>
      </c>
      <c r="B1001" s="1209">
        <v>4990</v>
      </c>
      <c r="C1001" s="1210">
        <v>15025</v>
      </c>
      <c r="D1001" s="1230">
        <v>15025</v>
      </c>
      <c r="E1001" s="1212">
        <f t="shared" si="102"/>
        <v>0</v>
      </c>
      <c r="F1001" s="1211">
        <f t="shared" si="101"/>
        <v>20</v>
      </c>
      <c r="G1001" s="1227">
        <f>AVERAGE(C980:C1001)</f>
        <v>15848.181818181818</v>
      </c>
      <c r="H1001" s="1274">
        <f>AVERAGE(C786:C1001)</f>
        <v>16338.412322274882</v>
      </c>
      <c r="I1001" s="1291">
        <v>95000</v>
      </c>
    </row>
    <row r="1002" spans="1:9" ht="15" customHeight="1">
      <c r="A1002" s="1253">
        <v>42310</v>
      </c>
      <c r="B1002" s="1209">
        <v>5015</v>
      </c>
      <c r="C1002" s="1210">
        <v>14925</v>
      </c>
      <c r="D1002" s="1230">
        <v>14850</v>
      </c>
      <c r="E1002" s="1212">
        <f t="shared" si="102"/>
        <v>-75</v>
      </c>
      <c r="F1002" s="1211">
        <f t="shared" si="101"/>
        <v>-100</v>
      </c>
      <c r="G1002" s="1215"/>
      <c r="H1002" s="1269"/>
      <c r="I1002" s="1291">
        <v>95000</v>
      </c>
    </row>
    <row r="1003" spans="1:9" ht="15" customHeight="1">
      <c r="A1003" s="1253">
        <v>42311</v>
      </c>
      <c r="B1003" s="1209">
        <v>4895</v>
      </c>
      <c r="C1003" s="1210">
        <v>14995</v>
      </c>
      <c r="D1003" s="1230">
        <v>15000</v>
      </c>
      <c r="E1003" s="1212">
        <f t="shared" si="102"/>
        <v>5</v>
      </c>
      <c r="F1003" s="1211">
        <f t="shared" si="101"/>
        <v>70</v>
      </c>
      <c r="G1003" s="1215"/>
      <c r="H1003" s="1269"/>
      <c r="I1003" s="1291">
        <v>94000</v>
      </c>
    </row>
    <row r="1004" spans="1:9" ht="15" customHeight="1">
      <c r="A1004" s="1253">
        <v>42312</v>
      </c>
      <c r="B1004" s="1209">
        <v>5290</v>
      </c>
      <c r="C1004" s="1210">
        <v>14880</v>
      </c>
      <c r="D1004" s="1230">
        <v>14825</v>
      </c>
      <c r="E1004" s="1212">
        <f t="shared" si="102"/>
        <v>-55</v>
      </c>
      <c r="F1004" s="1211">
        <f t="shared" si="101"/>
        <v>-115</v>
      </c>
      <c r="G1004" s="1215"/>
      <c r="H1004" s="1269"/>
      <c r="I1004" s="1291">
        <v>93000</v>
      </c>
    </row>
    <row r="1005" spans="1:9" ht="15" customHeight="1">
      <c r="A1005" s="1253">
        <v>42313</v>
      </c>
      <c r="B1005" s="1209">
        <v>5200</v>
      </c>
      <c r="C1005" s="1210">
        <v>14750</v>
      </c>
      <c r="D1005" s="1230">
        <v>14625</v>
      </c>
      <c r="E1005" s="1212">
        <f t="shared" si="102"/>
        <v>-125</v>
      </c>
      <c r="F1005" s="1211">
        <f t="shared" si="101"/>
        <v>-130</v>
      </c>
      <c r="G1005" s="1215"/>
      <c r="H1005" s="1269"/>
      <c r="I1005" s="1291">
        <v>92750</v>
      </c>
    </row>
    <row r="1006" spans="1:9" ht="15" customHeight="1">
      <c r="A1006" s="1253">
        <v>42314</v>
      </c>
      <c r="B1006" s="1209">
        <v>5140</v>
      </c>
      <c r="C1006" s="1210">
        <v>14710</v>
      </c>
      <c r="D1006" s="1230">
        <v>14575</v>
      </c>
      <c r="E1006" s="1212">
        <f t="shared" si="102"/>
        <v>-135</v>
      </c>
      <c r="F1006" s="1211">
        <f t="shared" si="101"/>
        <v>-40</v>
      </c>
      <c r="G1006" s="1215"/>
      <c r="H1006" s="1269"/>
      <c r="I1006" s="1291">
        <v>92500</v>
      </c>
    </row>
    <row r="1007" spans="1:9" ht="15" customHeight="1">
      <c r="A1007" s="1253">
        <v>42317</v>
      </c>
      <c r="B1007" s="1209">
        <v>5645</v>
      </c>
      <c r="C1007" s="1210">
        <v>14555</v>
      </c>
      <c r="D1007" s="1230">
        <v>14535</v>
      </c>
      <c r="E1007" s="1212">
        <f t="shared" si="102"/>
        <v>-20</v>
      </c>
      <c r="F1007" s="1211">
        <f t="shared" si="101"/>
        <v>-155</v>
      </c>
      <c r="G1007" s="1215"/>
      <c r="H1007" s="1269"/>
      <c r="I1007" s="1291">
        <v>92000</v>
      </c>
    </row>
    <row r="1008" spans="1:9" ht="15" customHeight="1">
      <c r="A1008" s="1253">
        <v>42318</v>
      </c>
      <c r="B1008" s="1209">
        <v>5390</v>
      </c>
      <c r="C1008" s="1210">
        <v>14595</v>
      </c>
      <c r="D1008" s="1230">
        <v>14575</v>
      </c>
      <c r="E1008" s="1212">
        <f t="shared" si="102"/>
        <v>-20</v>
      </c>
      <c r="F1008" s="1211">
        <f t="shared" si="101"/>
        <v>40</v>
      </c>
      <c r="G1008" s="1215"/>
      <c r="H1008" s="1269"/>
      <c r="I1008" s="1291">
        <v>91750</v>
      </c>
    </row>
    <row r="1009" spans="1:9" ht="15" customHeight="1">
      <c r="A1009" s="1253">
        <v>42319</v>
      </c>
      <c r="B1009" s="1209">
        <v>5390</v>
      </c>
      <c r="C1009" s="1210">
        <v>14750</v>
      </c>
      <c r="D1009" s="1230">
        <v>14700</v>
      </c>
      <c r="E1009" s="1212">
        <f t="shared" si="102"/>
        <v>-50</v>
      </c>
      <c r="F1009" s="1211">
        <f t="shared" si="101"/>
        <v>155</v>
      </c>
      <c r="G1009" s="1215"/>
      <c r="H1009" s="1269"/>
      <c r="I1009" s="1291">
        <v>91500</v>
      </c>
    </row>
    <row r="1010" spans="1:9" ht="15" customHeight="1">
      <c r="A1010" s="1253">
        <v>42320</v>
      </c>
      <c r="B1010" s="1209">
        <v>5455</v>
      </c>
      <c r="C1010" s="1210">
        <v>14655</v>
      </c>
      <c r="D1010" s="1230">
        <v>14655</v>
      </c>
      <c r="E1010" s="1212">
        <f t="shared" si="102"/>
        <v>0</v>
      </c>
      <c r="F1010" s="1211">
        <f t="shared" si="101"/>
        <v>-95</v>
      </c>
      <c r="G1010" s="1215"/>
      <c r="H1010" s="1269"/>
      <c r="I1010" s="1291">
        <v>91000</v>
      </c>
    </row>
    <row r="1011" spans="1:9" ht="15" customHeight="1">
      <c r="A1011" s="1253">
        <v>42321</v>
      </c>
      <c r="B1011" s="1209">
        <v>5415</v>
      </c>
      <c r="C1011" s="1210">
        <v>14775</v>
      </c>
      <c r="D1011" s="1230">
        <v>14705</v>
      </c>
      <c r="E1011" s="1212">
        <f t="shared" si="102"/>
        <v>-70</v>
      </c>
      <c r="F1011" s="1211">
        <f t="shared" si="101"/>
        <v>120</v>
      </c>
      <c r="G1011" s="1215"/>
      <c r="H1011" s="1269"/>
      <c r="I1011" s="1291">
        <v>90500</v>
      </c>
    </row>
    <row r="1012" spans="1:9" ht="15" customHeight="1">
      <c r="A1012" s="1253">
        <v>42324</v>
      </c>
      <c r="B1012" s="1209">
        <v>5470</v>
      </c>
      <c r="C1012" s="1210">
        <v>14845</v>
      </c>
      <c r="D1012" s="1230">
        <v>14655</v>
      </c>
      <c r="E1012" s="1212">
        <f t="shared" si="102"/>
        <v>-190</v>
      </c>
      <c r="F1012" s="1211">
        <f t="shared" si="101"/>
        <v>70</v>
      </c>
      <c r="G1012" s="1215"/>
      <c r="H1012" s="1269"/>
      <c r="I1012" s="1291">
        <v>90250</v>
      </c>
    </row>
    <row r="1013" spans="1:9" ht="15" customHeight="1">
      <c r="A1013" s="1253">
        <v>42325</v>
      </c>
      <c r="B1013" s="1209">
        <v>5465</v>
      </c>
      <c r="C1013" s="1210">
        <v>14800</v>
      </c>
      <c r="D1013" s="1230">
        <v>14725</v>
      </c>
      <c r="E1013" s="1212">
        <f t="shared" si="102"/>
        <v>-75</v>
      </c>
      <c r="F1013" s="1211">
        <f t="shared" si="101"/>
        <v>-45</v>
      </c>
      <c r="G1013" s="1215"/>
      <c r="H1013" s="1269"/>
      <c r="I1013" s="1291">
        <v>89750</v>
      </c>
    </row>
    <row r="1014" spans="1:9" ht="15" customHeight="1">
      <c r="A1014" s="1253">
        <v>42326</v>
      </c>
      <c r="B1014" s="1209">
        <v>5295</v>
      </c>
      <c r="C1014" s="1210">
        <v>14660</v>
      </c>
      <c r="D1014" s="1230">
        <v>14675</v>
      </c>
      <c r="E1014" s="1212">
        <f t="shared" si="102"/>
        <v>15</v>
      </c>
      <c r="F1014" s="1211">
        <f t="shared" ref="F1014:F1021" si="103">C1014-C1013</f>
        <v>-140</v>
      </c>
      <c r="G1014" s="1215"/>
      <c r="H1014" s="1269"/>
      <c r="I1014" s="1291">
        <v>89750</v>
      </c>
    </row>
    <row r="1015" spans="1:9" ht="15" customHeight="1">
      <c r="A1015" s="1253">
        <v>42327</v>
      </c>
      <c r="B1015" s="1209">
        <v>5295</v>
      </c>
      <c r="C1015" s="1210">
        <v>14600</v>
      </c>
      <c r="D1015" s="1230">
        <v>14505</v>
      </c>
      <c r="E1015" s="1212">
        <f t="shared" si="102"/>
        <v>-95</v>
      </c>
      <c r="F1015" s="1211">
        <f t="shared" si="103"/>
        <v>-60</v>
      </c>
      <c r="G1015" s="1215"/>
      <c r="H1015" s="1269"/>
      <c r="I1015" s="1291">
        <v>69500</v>
      </c>
    </row>
    <row r="1016" spans="1:9" ht="15" customHeight="1">
      <c r="A1016" s="1253">
        <v>42328</v>
      </c>
      <c r="B1016" s="1209">
        <v>5260</v>
      </c>
      <c r="C1016" s="1210">
        <v>14795</v>
      </c>
      <c r="D1016" s="1230">
        <v>14750</v>
      </c>
      <c r="E1016" s="1212">
        <f t="shared" si="102"/>
        <v>-45</v>
      </c>
      <c r="F1016" s="1211">
        <f t="shared" si="103"/>
        <v>195</v>
      </c>
      <c r="G1016" s="1215"/>
      <c r="H1016" s="1269"/>
      <c r="I1016" s="1291">
        <v>68650</v>
      </c>
    </row>
    <row r="1017" spans="1:9" ht="15" customHeight="1">
      <c r="A1017" s="1253">
        <v>42331</v>
      </c>
      <c r="B1017" s="1209">
        <v>5265</v>
      </c>
      <c r="C1017" s="1210">
        <v>14525</v>
      </c>
      <c r="D1017" s="1230">
        <v>14500</v>
      </c>
      <c r="E1017" s="1212">
        <f t="shared" si="102"/>
        <v>-25</v>
      </c>
      <c r="F1017" s="1211">
        <f t="shared" si="103"/>
        <v>-270</v>
      </c>
      <c r="G1017" s="1215"/>
      <c r="H1017" s="1269"/>
      <c r="I1017" s="1291">
        <v>87000</v>
      </c>
    </row>
    <row r="1018" spans="1:9" ht="15" customHeight="1">
      <c r="A1018" s="1253">
        <v>42332</v>
      </c>
      <c r="B1018" s="1209">
        <v>5250</v>
      </c>
      <c r="C1018" s="1210">
        <v>14230</v>
      </c>
      <c r="D1018" s="1230">
        <v>14205</v>
      </c>
      <c r="E1018" s="1212">
        <f t="shared" si="102"/>
        <v>-25</v>
      </c>
      <c r="F1018" s="1211">
        <f t="shared" si="103"/>
        <v>-295</v>
      </c>
      <c r="G1018" s="1215"/>
      <c r="H1018" s="1269"/>
      <c r="I1018" s="1291">
        <v>85500</v>
      </c>
    </row>
    <row r="1019" spans="1:9" ht="15" customHeight="1">
      <c r="A1019" s="1253">
        <v>42333</v>
      </c>
      <c r="B1019" s="1209">
        <v>5215</v>
      </c>
      <c r="C1019" s="1210">
        <v>14595</v>
      </c>
      <c r="D1019" s="1230">
        <v>14550</v>
      </c>
      <c r="E1019" s="1212">
        <f t="shared" si="102"/>
        <v>-45</v>
      </c>
      <c r="F1019" s="1211">
        <f t="shared" si="103"/>
        <v>365</v>
      </c>
      <c r="G1019" s="1215"/>
      <c r="H1019" s="1269"/>
      <c r="I1019" s="1291">
        <v>85500</v>
      </c>
    </row>
    <row r="1020" spans="1:9" ht="15" customHeight="1">
      <c r="A1020" s="1253">
        <v>42334</v>
      </c>
      <c r="B1020" s="1209">
        <v>5230</v>
      </c>
      <c r="C1020" s="1210">
        <v>14955</v>
      </c>
      <c r="D1020" s="1230">
        <v>14910</v>
      </c>
      <c r="E1020" s="1212">
        <f t="shared" si="102"/>
        <v>-45</v>
      </c>
      <c r="F1020" s="1211">
        <f t="shared" si="103"/>
        <v>360</v>
      </c>
      <c r="G1020" s="1215"/>
      <c r="H1020" s="1269"/>
      <c r="I1020" s="1291">
        <v>85500</v>
      </c>
    </row>
    <row r="1021" spans="1:9" ht="15" customHeight="1">
      <c r="A1021" s="1253">
        <v>42335</v>
      </c>
      <c r="B1021" s="1209">
        <v>5235</v>
      </c>
      <c r="C1021" s="1210">
        <v>15015</v>
      </c>
      <c r="D1021" s="1230">
        <v>14975</v>
      </c>
      <c r="E1021" s="1212">
        <f t="shared" si="102"/>
        <v>-40</v>
      </c>
      <c r="F1021" s="1211">
        <f t="shared" si="103"/>
        <v>60</v>
      </c>
      <c r="G1021" s="1215"/>
      <c r="H1021" s="1269"/>
      <c r="I1021" s="1291">
        <v>86000</v>
      </c>
    </row>
    <row r="1022" spans="1:9" ht="15" customHeight="1">
      <c r="A1022" s="1253">
        <v>42338</v>
      </c>
      <c r="B1022" s="1209">
        <v>5205</v>
      </c>
      <c r="C1022" s="1210">
        <v>14985</v>
      </c>
      <c r="D1022" s="1230">
        <v>14900</v>
      </c>
      <c r="E1022" s="1212">
        <f t="shared" si="102"/>
        <v>-85</v>
      </c>
      <c r="F1022" s="1211">
        <f>C1022-C1021</f>
        <v>-30</v>
      </c>
      <c r="G1022" s="1227">
        <f>AVERAGE(C1002:C1022)</f>
        <v>14742.619047619048</v>
      </c>
      <c r="H1022" s="1274">
        <f>AVERAGE(C786:C1022)</f>
        <v>16193.965517241379</v>
      </c>
      <c r="I1022" s="1291">
        <v>85500</v>
      </c>
    </row>
    <row r="1023" spans="1:9" ht="15" customHeight="1">
      <c r="A1023" s="1253">
        <v>42339</v>
      </c>
      <c r="B1023" s="1209">
        <v>5180</v>
      </c>
      <c r="C1023" s="1210">
        <v>15175</v>
      </c>
      <c r="D1023" s="1230">
        <v>15075</v>
      </c>
      <c r="E1023" s="1212">
        <f t="shared" si="102"/>
        <v>-100</v>
      </c>
      <c r="F1023" s="1211">
        <f>C1023-C1022</f>
        <v>190</v>
      </c>
      <c r="G1023" s="1215"/>
      <c r="H1023" s="1269"/>
      <c r="I1023" s="1291">
        <v>85000</v>
      </c>
    </row>
    <row r="1024" spans="1:9" ht="15" customHeight="1">
      <c r="A1024" s="1253">
        <v>42340</v>
      </c>
      <c r="B1024" s="1209">
        <v>5225</v>
      </c>
      <c r="C1024" s="1210">
        <v>15200</v>
      </c>
      <c r="D1024" s="1230">
        <v>15175</v>
      </c>
      <c r="E1024" s="1212">
        <f t="shared" si="102"/>
        <v>-25</v>
      </c>
      <c r="F1024" s="1211">
        <f t="shared" ref="F1024:F1032" si="104">C1024-C1023</f>
        <v>25</v>
      </c>
      <c r="G1024" s="1215"/>
      <c r="H1024" s="1269"/>
      <c r="I1024" s="1291">
        <v>84750</v>
      </c>
    </row>
    <row r="1025" spans="1:9" ht="15" customHeight="1">
      <c r="A1025" s="1253">
        <v>42341</v>
      </c>
      <c r="B1025" s="1209">
        <v>5260</v>
      </c>
      <c r="C1025" s="1210">
        <v>14775</v>
      </c>
      <c r="D1025" s="1230">
        <v>14655</v>
      </c>
      <c r="E1025" s="1212">
        <f t="shared" si="102"/>
        <v>-120</v>
      </c>
      <c r="F1025" s="1211">
        <f t="shared" si="104"/>
        <v>-425</v>
      </c>
      <c r="G1025" s="1215"/>
      <c r="H1025" s="1269"/>
      <c r="I1025" s="1291">
        <v>84500</v>
      </c>
    </row>
    <row r="1026" spans="1:9" ht="15" customHeight="1">
      <c r="A1026" s="1253">
        <v>42342</v>
      </c>
      <c r="B1026" s="1209">
        <v>5270</v>
      </c>
      <c r="C1026" s="1210">
        <v>14860</v>
      </c>
      <c r="D1026" s="1230">
        <v>14830</v>
      </c>
      <c r="E1026" s="1212">
        <f t="shared" si="102"/>
        <v>-30</v>
      </c>
      <c r="F1026" s="1211">
        <f t="shared" si="104"/>
        <v>85</v>
      </c>
      <c r="G1026" s="1215"/>
      <c r="H1026" s="1269"/>
      <c r="I1026" s="1291">
        <v>84250</v>
      </c>
    </row>
    <row r="1027" spans="1:9" ht="15" customHeight="1">
      <c r="A1027" s="1253">
        <v>42345</v>
      </c>
      <c r="B1027" s="1209">
        <v>5785</v>
      </c>
      <c r="C1027" s="1210">
        <v>14880</v>
      </c>
      <c r="D1027" s="1230">
        <v>14850</v>
      </c>
      <c r="E1027" s="1212">
        <f t="shared" si="102"/>
        <v>-30</v>
      </c>
      <c r="F1027" s="1211">
        <f t="shared" si="104"/>
        <v>20</v>
      </c>
      <c r="G1027" s="1215"/>
      <c r="H1027" s="1269"/>
      <c r="I1027" s="1291">
        <v>84250</v>
      </c>
    </row>
    <row r="1028" spans="1:9" ht="15" customHeight="1">
      <c r="A1028" s="1253">
        <v>42346</v>
      </c>
      <c r="B1028" s="1209">
        <v>5695</v>
      </c>
      <c r="C1028" s="1210">
        <v>14505</v>
      </c>
      <c r="D1028" s="1230">
        <v>14500</v>
      </c>
      <c r="E1028" s="1212">
        <f t="shared" si="102"/>
        <v>-5</v>
      </c>
      <c r="F1028" s="1211">
        <f t="shared" si="104"/>
        <v>-375</v>
      </c>
      <c r="G1028" s="1215"/>
      <c r="H1028" s="1269"/>
      <c r="I1028" s="1291">
        <v>84250</v>
      </c>
    </row>
    <row r="1029" spans="1:9" ht="15" customHeight="1">
      <c r="A1029" s="1253">
        <v>42347</v>
      </c>
      <c r="B1029" s="1209">
        <v>5705</v>
      </c>
      <c r="C1029" s="1210">
        <v>14600</v>
      </c>
      <c r="D1029" s="1230">
        <v>14650</v>
      </c>
      <c r="E1029" s="1212">
        <f t="shared" si="102"/>
        <v>50</v>
      </c>
      <c r="F1029" s="1211">
        <f t="shared" si="104"/>
        <v>95</v>
      </c>
      <c r="G1029" s="1215"/>
      <c r="H1029" s="1269"/>
      <c r="I1029" s="1291">
        <v>84000</v>
      </c>
    </row>
    <row r="1030" spans="1:9" ht="15" customHeight="1">
      <c r="A1030" s="1253">
        <v>42348</v>
      </c>
      <c r="B1030" s="1209">
        <v>5750</v>
      </c>
      <c r="C1030" s="1210">
        <v>14450</v>
      </c>
      <c r="D1030" s="1230">
        <v>14410</v>
      </c>
      <c r="E1030" s="1212">
        <f t="shared" si="102"/>
        <v>-40</v>
      </c>
      <c r="F1030" s="1211">
        <f t="shared" si="104"/>
        <v>-150</v>
      </c>
      <c r="G1030" s="1215"/>
      <c r="H1030" s="1269"/>
      <c r="I1030" s="1291">
        <v>84500</v>
      </c>
    </row>
    <row r="1031" spans="1:9" ht="15" customHeight="1">
      <c r="A1031" s="1253">
        <v>42349</v>
      </c>
      <c r="B1031" s="1209">
        <v>5765</v>
      </c>
      <c r="C1031" s="1210">
        <v>14600</v>
      </c>
      <c r="D1031" s="1230">
        <v>14600</v>
      </c>
      <c r="E1031" s="1212">
        <f t="shared" si="102"/>
        <v>0</v>
      </c>
      <c r="F1031" s="1211">
        <f t="shared" si="104"/>
        <v>150</v>
      </c>
      <c r="G1031" s="1215"/>
      <c r="H1031" s="1269"/>
      <c r="I1031" s="1291">
        <v>84500</v>
      </c>
    </row>
    <row r="1032" spans="1:9" ht="15" customHeight="1">
      <c r="A1032" s="1253">
        <v>42352</v>
      </c>
      <c r="B1032" s="1209">
        <v>5805</v>
      </c>
      <c r="C1032" s="1210">
        <v>14580</v>
      </c>
      <c r="D1032" s="1230">
        <v>14550</v>
      </c>
      <c r="E1032" s="1212">
        <f t="shared" si="102"/>
        <v>-30</v>
      </c>
      <c r="F1032" s="1211">
        <f t="shared" si="104"/>
        <v>-20</v>
      </c>
      <c r="G1032" s="1215"/>
      <c r="H1032" s="1269"/>
      <c r="I1032" s="1291">
        <v>86250</v>
      </c>
    </row>
    <row r="1033" spans="1:9" ht="15" customHeight="1">
      <c r="A1033" s="1253">
        <v>42353</v>
      </c>
      <c r="B1033" s="1209">
        <v>5750</v>
      </c>
      <c r="C1033" s="1210">
        <v>14600</v>
      </c>
      <c r="D1033" s="1230">
        <v>14605</v>
      </c>
      <c r="E1033" s="1212">
        <f t="shared" si="102"/>
        <v>5</v>
      </c>
      <c r="F1033" s="1211">
        <f t="shared" ref="F1033:F1044" si="105">C1033-C1032</f>
        <v>20</v>
      </c>
      <c r="G1033" s="1215"/>
      <c r="H1033" s="1269"/>
      <c r="I1033" s="1466" t="s">
        <v>55</v>
      </c>
    </row>
    <row r="1034" spans="1:9" ht="15" customHeight="1">
      <c r="A1034" s="1253">
        <v>42354</v>
      </c>
      <c r="B1034" s="1209">
        <v>6095</v>
      </c>
      <c r="C1034" s="1210">
        <v>14755</v>
      </c>
      <c r="D1034" s="1230">
        <v>14650</v>
      </c>
      <c r="E1034" s="1212">
        <f t="shared" si="102"/>
        <v>-105</v>
      </c>
      <c r="F1034" s="1211">
        <f t="shared" si="105"/>
        <v>155</v>
      </c>
      <c r="G1034" s="1215"/>
      <c r="H1034" s="1269"/>
      <c r="I1034" s="1466"/>
    </row>
    <row r="1035" spans="1:9" ht="15" customHeight="1">
      <c r="A1035" s="1253">
        <v>42355</v>
      </c>
      <c r="B1035" s="1209">
        <v>6115</v>
      </c>
      <c r="C1035" s="1210">
        <v>14660</v>
      </c>
      <c r="D1035" s="1230">
        <v>14605</v>
      </c>
      <c r="E1035" s="1212">
        <f t="shared" si="102"/>
        <v>-55</v>
      </c>
      <c r="F1035" s="1211">
        <f t="shared" si="105"/>
        <v>-95</v>
      </c>
      <c r="G1035" s="1215"/>
      <c r="H1035" s="1269"/>
      <c r="I1035" s="1466"/>
    </row>
    <row r="1036" spans="1:9" ht="15" customHeight="1">
      <c r="A1036" s="1253">
        <v>42356</v>
      </c>
      <c r="B1036" s="1209">
        <v>6015</v>
      </c>
      <c r="C1036" s="1210">
        <v>14675</v>
      </c>
      <c r="D1036" s="1230">
        <v>14640</v>
      </c>
      <c r="E1036" s="1212">
        <f t="shared" si="102"/>
        <v>-35</v>
      </c>
      <c r="F1036" s="1211">
        <f t="shared" si="105"/>
        <v>15</v>
      </c>
      <c r="G1036" s="1215"/>
      <c r="H1036" s="1269"/>
      <c r="I1036" s="1291">
        <v>90250</v>
      </c>
    </row>
    <row r="1037" spans="1:9" ht="15" customHeight="1">
      <c r="A1037" s="1253">
        <v>42359</v>
      </c>
      <c r="B1037" s="1209">
        <v>6085</v>
      </c>
      <c r="C1037" s="1210">
        <v>14560</v>
      </c>
      <c r="D1037" s="1230">
        <v>14600</v>
      </c>
      <c r="E1037" s="1212">
        <f t="shared" si="102"/>
        <v>40</v>
      </c>
      <c r="F1037" s="1211">
        <f t="shared" si="105"/>
        <v>-115</v>
      </c>
      <c r="G1037" s="1215"/>
      <c r="H1037" s="1269"/>
      <c r="I1037" s="1291">
        <v>95750</v>
      </c>
    </row>
    <row r="1038" spans="1:9" ht="15" customHeight="1">
      <c r="A1038" s="1253">
        <v>42360</v>
      </c>
      <c r="B1038" s="1209">
        <v>5990</v>
      </c>
      <c r="C1038" s="1210">
        <v>14650</v>
      </c>
      <c r="D1038" s="1230">
        <v>14580</v>
      </c>
      <c r="E1038" s="1212">
        <f t="shared" si="102"/>
        <v>-70</v>
      </c>
      <c r="F1038" s="1211">
        <f t="shared" si="105"/>
        <v>90</v>
      </c>
      <c r="G1038" s="1215"/>
      <c r="H1038" s="1269"/>
      <c r="I1038" s="1291">
        <v>99250</v>
      </c>
    </row>
    <row r="1039" spans="1:9" ht="15" customHeight="1">
      <c r="A1039" s="1253">
        <v>42361</v>
      </c>
      <c r="B1039" s="1209">
        <v>6015</v>
      </c>
      <c r="C1039" s="1210">
        <v>14725</v>
      </c>
      <c r="D1039" s="1230">
        <v>14675</v>
      </c>
      <c r="E1039" s="1212">
        <f t="shared" si="102"/>
        <v>-50</v>
      </c>
      <c r="F1039" s="1211">
        <f t="shared" si="105"/>
        <v>75</v>
      </c>
      <c r="G1039" s="1215"/>
      <c r="H1039" s="1269"/>
      <c r="I1039" s="1291">
        <v>99000</v>
      </c>
    </row>
    <row r="1040" spans="1:9" ht="15" customHeight="1">
      <c r="A1040" s="1253">
        <v>42362</v>
      </c>
      <c r="B1040" s="1209">
        <v>6675</v>
      </c>
      <c r="C1040" s="1210">
        <v>14650</v>
      </c>
      <c r="D1040" s="1230">
        <v>14625</v>
      </c>
      <c r="E1040" s="1212">
        <f t="shared" si="102"/>
        <v>-25</v>
      </c>
      <c r="F1040" s="1211">
        <f t="shared" si="105"/>
        <v>-75</v>
      </c>
      <c r="G1040" s="1215"/>
      <c r="H1040" s="1269"/>
      <c r="I1040" s="1291">
        <v>96500</v>
      </c>
    </row>
    <row r="1041" spans="1:9" ht="15" customHeight="1">
      <c r="A1041" s="1253">
        <v>42366</v>
      </c>
      <c r="B1041" s="1434" t="s">
        <v>48</v>
      </c>
      <c r="C1041" s="1434"/>
      <c r="D1041" s="1434"/>
      <c r="E1041" s="1434"/>
      <c r="F1041" s="1434"/>
      <c r="G1041" s="1215"/>
      <c r="H1041" s="1269"/>
      <c r="I1041" s="1291">
        <v>96000</v>
      </c>
    </row>
    <row r="1042" spans="1:9" ht="15" customHeight="1">
      <c r="A1042" s="1253">
        <v>42367</v>
      </c>
      <c r="B1042" s="1209">
        <v>6495</v>
      </c>
      <c r="C1042" s="1210">
        <v>14595</v>
      </c>
      <c r="D1042" s="1230">
        <v>14505</v>
      </c>
      <c r="E1042" s="1212">
        <f t="shared" si="102"/>
        <v>-90</v>
      </c>
      <c r="F1042" s="1211">
        <f>C1042-C1040</f>
        <v>-55</v>
      </c>
      <c r="G1042" s="1215"/>
      <c r="H1042" s="1269"/>
      <c r="I1042" s="1291">
        <v>94500</v>
      </c>
    </row>
    <row r="1043" spans="1:9" ht="15" customHeight="1">
      <c r="A1043" s="1253">
        <v>42368</v>
      </c>
      <c r="B1043" s="1209">
        <v>6140</v>
      </c>
      <c r="C1043" s="1210">
        <v>14655</v>
      </c>
      <c r="D1043" s="1230">
        <v>14650</v>
      </c>
      <c r="E1043" s="1212">
        <f t="shared" si="102"/>
        <v>-5</v>
      </c>
      <c r="F1043" s="1211">
        <f t="shared" si="105"/>
        <v>60</v>
      </c>
      <c r="G1043" s="1215"/>
      <c r="H1043" s="1269"/>
      <c r="I1043" s="1291">
        <v>93750</v>
      </c>
    </row>
    <row r="1044" spans="1:9" ht="15" customHeight="1">
      <c r="A1044" s="1253">
        <v>42369</v>
      </c>
      <c r="B1044" s="1209">
        <v>6140</v>
      </c>
      <c r="C1044" s="1210">
        <v>14600</v>
      </c>
      <c r="D1044" s="1230">
        <v>14525</v>
      </c>
      <c r="E1044" s="1212">
        <f t="shared" si="102"/>
        <v>-75</v>
      </c>
      <c r="F1044" s="1211">
        <f t="shared" si="105"/>
        <v>-55</v>
      </c>
      <c r="G1044" s="1227">
        <f>AVERAGE(C1023:C1044)</f>
        <v>14702.380952380952</v>
      </c>
      <c r="H1044" s="1274">
        <f>AVERAGE(C786:C1044)</f>
        <v>16070.158102766798</v>
      </c>
      <c r="I1044" s="1291">
        <v>93750</v>
      </c>
    </row>
    <row r="1045" spans="1:9" ht="15" customHeight="1">
      <c r="A1045" s="1253">
        <v>42373</v>
      </c>
      <c r="B1045" s="1209">
        <v>6410</v>
      </c>
      <c r="C1045" s="1210">
        <v>14560</v>
      </c>
      <c r="D1045" s="1230">
        <v>14455</v>
      </c>
      <c r="E1045" s="1212">
        <f t="shared" ref="E1045:E1103" si="106">D1045-C1045</f>
        <v>-105</v>
      </c>
      <c r="F1045" s="1211">
        <f t="shared" ref="F1045:F1064" si="107">C1045-C1044</f>
        <v>-40</v>
      </c>
      <c r="G1045" s="1215"/>
      <c r="H1045" s="1269"/>
      <c r="I1045" s="1291">
        <v>93750</v>
      </c>
    </row>
    <row r="1046" spans="1:9" ht="15" customHeight="1">
      <c r="A1046" s="1253">
        <v>42374</v>
      </c>
      <c r="B1046" s="1209">
        <v>6145</v>
      </c>
      <c r="C1046" s="1210">
        <v>14350</v>
      </c>
      <c r="D1046" s="1230">
        <v>14270</v>
      </c>
      <c r="E1046" s="1212">
        <f t="shared" si="106"/>
        <v>-80</v>
      </c>
      <c r="F1046" s="1211">
        <f t="shared" si="107"/>
        <v>-210</v>
      </c>
      <c r="G1046" s="1215"/>
      <c r="H1046" s="1269"/>
      <c r="I1046" s="1291">
        <v>93750</v>
      </c>
    </row>
    <row r="1047" spans="1:9" ht="15" customHeight="1">
      <c r="A1047" s="1253">
        <v>42375</v>
      </c>
      <c r="B1047" s="1209">
        <v>6125</v>
      </c>
      <c r="C1047" s="1210">
        <v>14050</v>
      </c>
      <c r="D1047" s="1230">
        <v>13960</v>
      </c>
      <c r="E1047" s="1212">
        <f t="shared" si="106"/>
        <v>-90</v>
      </c>
      <c r="F1047" s="1211">
        <f t="shared" si="107"/>
        <v>-300</v>
      </c>
      <c r="G1047" s="1215"/>
      <c r="H1047" s="1269"/>
      <c r="I1047" s="1291">
        <v>93750</v>
      </c>
    </row>
    <row r="1048" spans="1:9" ht="15" customHeight="1">
      <c r="A1048" s="1253">
        <v>42376</v>
      </c>
      <c r="B1048" s="1209">
        <v>6245</v>
      </c>
      <c r="C1048" s="1210">
        <v>13850</v>
      </c>
      <c r="D1048" s="1230">
        <v>13825</v>
      </c>
      <c r="E1048" s="1212">
        <f t="shared" si="106"/>
        <v>-25</v>
      </c>
      <c r="F1048" s="1211">
        <f t="shared" si="107"/>
        <v>-200</v>
      </c>
      <c r="G1048" s="1215"/>
      <c r="H1048" s="1269"/>
      <c r="I1048" s="1291">
        <v>94750</v>
      </c>
    </row>
    <row r="1049" spans="1:9" ht="15" customHeight="1">
      <c r="A1049" s="1253">
        <v>42377</v>
      </c>
      <c r="B1049" s="1209">
        <v>6295</v>
      </c>
      <c r="C1049" s="1210">
        <v>13950</v>
      </c>
      <c r="D1049" s="1230">
        <v>13905</v>
      </c>
      <c r="E1049" s="1212">
        <f t="shared" si="106"/>
        <v>-45</v>
      </c>
      <c r="F1049" s="1211">
        <f t="shared" si="107"/>
        <v>100</v>
      </c>
      <c r="G1049" s="1215"/>
      <c r="H1049" s="1269"/>
      <c r="I1049" s="1291">
        <v>95250</v>
      </c>
    </row>
    <row r="1050" spans="1:9" ht="15" customHeight="1">
      <c r="A1050" s="1253">
        <v>42380</v>
      </c>
      <c r="B1050" s="1209">
        <v>6295</v>
      </c>
      <c r="C1050" s="1210">
        <v>13580</v>
      </c>
      <c r="D1050" s="1230">
        <v>13620</v>
      </c>
      <c r="E1050" s="1212">
        <f t="shared" si="106"/>
        <v>40</v>
      </c>
      <c r="F1050" s="1211">
        <f t="shared" si="107"/>
        <v>-370</v>
      </c>
      <c r="G1050" s="1215"/>
      <c r="H1050" s="1269"/>
      <c r="I1050" s="1291">
        <v>95750</v>
      </c>
    </row>
    <row r="1051" spans="1:9" ht="15" customHeight="1">
      <c r="A1051" s="1253">
        <v>42381</v>
      </c>
      <c r="B1051" s="1209">
        <v>6115</v>
      </c>
      <c r="C1051" s="1210">
        <v>13500</v>
      </c>
      <c r="D1051" s="1230">
        <v>13500</v>
      </c>
      <c r="E1051" s="1212">
        <f t="shared" si="106"/>
        <v>0</v>
      </c>
      <c r="F1051" s="1211">
        <f t="shared" si="107"/>
        <v>-80</v>
      </c>
      <c r="G1051" s="1215"/>
      <c r="H1051" s="1269"/>
      <c r="I1051" s="1291">
        <v>96750</v>
      </c>
    </row>
    <row r="1052" spans="1:9" ht="15" customHeight="1">
      <c r="A1052" s="1253">
        <v>42382</v>
      </c>
      <c r="B1052" s="1209">
        <v>6090</v>
      </c>
      <c r="C1052" s="1210">
        <v>13310</v>
      </c>
      <c r="D1052" s="1230">
        <v>13300</v>
      </c>
      <c r="E1052" s="1212">
        <f t="shared" si="106"/>
        <v>-10</v>
      </c>
      <c r="F1052" s="1211">
        <f t="shared" si="107"/>
        <v>-190</v>
      </c>
      <c r="G1052" s="1215"/>
      <c r="H1052" s="1269"/>
      <c r="I1052" s="1291">
        <v>96500</v>
      </c>
    </row>
    <row r="1053" spans="1:9" ht="15" customHeight="1">
      <c r="A1053" s="1253">
        <v>42383</v>
      </c>
      <c r="B1053" s="1209">
        <v>6145</v>
      </c>
      <c r="C1053" s="1210">
        <v>13255</v>
      </c>
      <c r="D1053" s="1230">
        <v>13255</v>
      </c>
      <c r="E1053" s="1212">
        <f t="shared" si="106"/>
        <v>0</v>
      </c>
      <c r="F1053" s="1211">
        <f t="shared" si="107"/>
        <v>-55</v>
      </c>
      <c r="G1053" s="1215"/>
      <c r="H1053" s="1269"/>
      <c r="I1053" s="1291">
        <v>95750</v>
      </c>
    </row>
    <row r="1054" spans="1:9" ht="15" customHeight="1">
      <c r="A1054" s="1253">
        <v>42384</v>
      </c>
      <c r="B1054" s="1209">
        <v>6145</v>
      </c>
      <c r="C1054" s="1210">
        <v>13375</v>
      </c>
      <c r="D1054" s="1230">
        <v>13400</v>
      </c>
      <c r="E1054" s="1212">
        <f t="shared" si="106"/>
        <v>25</v>
      </c>
      <c r="F1054" s="1211">
        <f t="shared" si="107"/>
        <v>120</v>
      </c>
      <c r="G1054" s="1215"/>
      <c r="H1054" s="1269"/>
      <c r="I1054" s="1291">
        <v>95750</v>
      </c>
    </row>
    <row r="1055" spans="1:9" ht="15" customHeight="1">
      <c r="A1055" s="1253">
        <v>42387</v>
      </c>
      <c r="B1055" s="1209">
        <v>6160</v>
      </c>
      <c r="C1055" s="1210">
        <v>13235</v>
      </c>
      <c r="D1055" s="1230">
        <v>13225</v>
      </c>
      <c r="E1055" s="1212">
        <f t="shared" si="106"/>
        <v>-10</v>
      </c>
      <c r="F1055" s="1211">
        <f t="shared" si="107"/>
        <v>-140</v>
      </c>
      <c r="G1055" s="1215"/>
      <c r="H1055" s="1269"/>
      <c r="I1055" s="1291">
        <v>96000</v>
      </c>
    </row>
    <row r="1056" spans="1:9" ht="15" customHeight="1">
      <c r="A1056" s="1253">
        <v>42388</v>
      </c>
      <c r="B1056" s="1209">
        <v>6165</v>
      </c>
      <c r="C1056" s="1210">
        <v>13330</v>
      </c>
      <c r="D1056" s="1230">
        <v>13340</v>
      </c>
      <c r="E1056" s="1212">
        <f t="shared" si="106"/>
        <v>10</v>
      </c>
      <c r="F1056" s="1211">
        <f t="shared" si="107"/>
        <v>95</v>
      </c>
      <c r="G1056" s="1215"/>
      <c r="H1056" s="1269"/>
      <c r="I1056" s="1291">
        <v>96000</v>
      </c>
    </row>
    <row r="1057" spans="1:9" ht="15" customHeight="1">
      <c r="A1057" s="1253">
        <v>42389</v>
      </c>
      <c r="B1057" s="1209">
        <v>6160</v>
      </c>
      <c r="C1057" s="1210">
        <v>13550</v>
      </c>
      <c r="D1057" s="1230">
        <v>13450</v>
      </c>
      <c r="E1057" s="1212">
        <f t="shared" si="106"/>
        <v>-100</v>
      </c>
      <c r="F1057" s="1211">
        <f t="shared" si="107"/>
        <v>220</v>
      </c>
      <c r="G1057" s="1215"/>
      <c r="H1057" s="1269"/>
      <c r="I1057" s="1291">
        <v>96250</v>
      </c>
    </row>
    <row r="1058" spans="1:9" ht="15" customHeight="1">
      <c r="A1058" s="1253">
        <v>42390</v>
      </c>
      <c r="B1058" s="1209">
        <v>5980</v>
      </c>
      <c r="C1058" s="1210">
        <v>13400</v>
      </c>
      <c r="D1058" s="1230">
        <v>13350</v>
      </c>
      <c r="E1058" s="1212">
        <f t="shared" si="106"/>
        <v>-50</v>
      </c>
      <c r="F1058" s="1211">
        <f t="shared" si="107"/>
        <v>-150</v>
      </c>
      <c r="G1058" s="1215"/>
      <c r="H1058" s="1269"/>
      <c r="I1058" s="1291">
        <v>97250</v>
      </c>
    </row>
    <row r="1059" spans="1:9" ht="15" customHeight="1">
      <c r="A1059" s="1253">
        <v>42391</v>
      </c>
      <c r="B1059" s="1209">
        <v>5980</v>
      </c>
      <c r="C1059" s="1210">
        <v>13625</v>
      </c>
      <c r="D1059" s="1230">
        <v>13560</v>
      </c>
      <c r="E1059" s="1212">
        <f t="shared" si="106"/>
        <v>-65</v>
      </c>
      <c r="F1059" s="1211">
        <f t="shared" si="107"/>
        <v>225</v>
      </c>
      <c r="G1059" s="1215"/>
      <c r="H1059" s="1269"/>
      <c r="I1059" s="1291">
        <v>98250</v>
      </c>
    </row>
    <row r="1060" spans="1:9" ht="15" customHeight="1">
      <c r="A1060" s="1253">
        <v>42394</v>
      </c>
      <c r="B1060" s="1209">
        <v>5945</v>
      </c>
      <c r="C1060" s="1210">
        <v>13750</v>
      </c>
      <c r="D1060" s="1230">
        <v>13600</v>
      </c>
      <c r="E1060" s="1212">
        <f t="shared" si="106"/>
        <v>-150</v>
      </c>
      <c r="F1060" s="1211">
        <f t="shared" si="107"/>
        <v>125</v>
      </c>
      <c r="G1060" s="1215"/>
      <c r="H1060" s="1269"/>
      <c r="I1060" s="1291">
        <v>99750</v>
      </c>
    </row>
    <row r="1061" spans="1:9" ht="15" customHeight="1">
      <c r="A1061" s="1253">
        <v>42395</v>
      </c>
      <c r="B1061" s="1209">
        <v>5815</v>
      </c>
      <c r="C1061" s="1210">
        <v>13950</v>
      </c>
      <c r="D1061" s="1230">
        <v>13900</v>
      </c>
      <c r="E1061" s="1212">
        <f t="shared" si="106"/>
        <v>-50</v>
      </c>
      <c r="F1061" s="1211">
        <f t="shared" si="107"/>
        <v>200</v>
      </c>
      <c r="G1061" s="1215"/>
      <c r="H1061" s="1269"/>
      <c r="I1061" s="1291">
        <v>101500</v>
      </c>
    </row>
    <row r="1062" spans="1:9" ht="15" customHeight="1">
      <c r="A1062" s="1253">
        <v>42396</v>
      </c>
      <c r="B1062" s="1209">
        <v>5680</v>
      </c>
      <c r="C1062" s="1210">
        <v>14100</v>
      </c>
      <c r="D1062" s="1230">
        <v>14075</v>
      </c>
      <c r="E1062" s="1212">
        <f t="shared" si="106"/>
        <v>-25</v>
      </c>
      <c r="F1062" s="1211">
        <f t="shared" si="107"/>
        <v>150</v>
      </c>
      <c r="G1062" s="1215"/>
      <c r="H1062" s="1269"/>
      <c r="I1062" s="1291">
        <v>104000</v>
      </c>
    </row>
    <row r="1063" spans="1:9" ht="15" customHeight="1">
      <c r="A1063" s="1253">
        <v>42397</v>
      </c>
      <c r="B1063" s="1209">
        <v>5650</v>
      </c>
      <c r="C1063" s="1210">
        <v>13950</v>
      </c>
      <c r="D1063" s="1230">
        <v>14005</v>
      </c>
      <c r="E1063" s="1212">
        <f t="shared" si="106"/>
        <v>55</v>
      </c>
      <c r="F1063" s="1211">
        <f t="shared" si="107"/>
        <v>-150</v>
      </c>
      <c r="G1063" s="1215"/>
      <c r="H1063" s="1269"/>
      <c r="I1063" s="1291">
        <v>105250</v>
      </c>
    </row>
    <row r="1064" spans="1:9" ht="15" customHeight="1">
      <c r="A1064" s="1253">
        <v>42398</v>
      </c>
      <c r="B1064" s="1209">
        <v>5625</v>
      </c>
      <c r="C1064" s="1210">
        <v>14875</v>
      </c>
      <c r="D1064" s="1230">
        <v>14800</v>
      </c>
      <c r="E1064" s="1212">
        <f t="shared" si="106"/>
        <v>-75</v>
      </c>
      <c r="F1064" s="1211">
        <f t="shared" si="107"/>
        <v>925</v>
      </c>
      <c r="G1064" s="1227">
        <f>AVERAGE(C1045:C1064)</f>
        <v>13777.25</v>
      </c>
      <c r="H1064" s="1274">
        <f>AVERAGE(C1045:C1064)</f>
        <v>13777.25</v>
      </c>
      <c r="I1064" s="1291">
        <v>104000</v>
      </c>
    </row>
    <row r="1065" spans="1:9" ht="15" customHeight="1">
      <c r="A1065" s="1253">
        <v>42401</v>
      </c>
      <c r="B1065" s="1209">
        <v>5470</v>
      </c>
      <c r="C1065" s="1210">
        <v>14860</v>
      </c>
      <c r="D1065" s="1230">
        <v>14830</v>
      </c>
      <c r="E1065" s="1212">
        <f t="shared" si="106"/>
        <v>-30</v>
      </c>
      <c r="F1065" s="1211">
        <f t="shared" ref="F1065:F1085" si="108">C1065-C1064</f>
        <v>-15</v>
      </c>
      <c r="G1065" s="1215"/>
      <c r="H1065" s="1269"/>
      <c r="I1065" s="1291">
        <v>104000</v>
      </c>
    </row>
    <row r="1066" spans="1:9" ht="15" customHeight="1">
      <c r="A1066" s="1253">
        <v>42402</v>
      </c>
      <c r="B1066" s="1209">
        <v>5425</v>
      </c>
      <c r="C1066" s="1210">
        <v>14945</v>
      </c>
      <c r="D1066" s="1230">
        <v>14910</v>
      </c>
      <c r="E1066" s="1212">
        <f t="shared" si="106"/>
        <v>-35</v>
      </c>
      <c r="F1066" s="1211">
        <f t="shared" si="108"/>
        <v>85</v>
      </c>
      <c r="G1066" s="1215"/>
      <c r="H1066" s="1269"/>
      <c r="I1066" s="1291">
        <v>104000</v>
      </c>
    </row>
    <row r="1067" spans="1:9" ht="15" customHeight="1">
      <c r="A1067" s="1253">
        <v>42403</v>
      </c>
      <c r="B1067" s="1209">
        <v>5380</v>
      </c>
      <c r="C1067" s="1210">
        <v>14845</v>
      </c>
      <c r="D1067" s="1230">
        <v>14800</v>
      </c>
      <c r="E1067" s="1212">
        <f t="shared" si="106"/>
        <v>-45</v>
      </c>
      <c r="F1067" s="1211">
        <f t="shared" si="108"/>
        <v>-100</v>
      </c>
      <c r="G1067" s="1215"/>
      <c r="H1067" s="1269"/>
      <c r="I1067" s="1291">
        <v>104000</v>
      </c>
    </row>
    <row r="1068" spans="1:9" ht="15" customHeight="1">
      <c r="A1068" s="1253">
        <v>42404</v>
      </c>
      <c r="B1068" s="1209">
        <v>5200</v>
      </c>
      <c r="C1068" s="1210">
        <v>15170</v>
      </c>
      <c r="D1068" s="1230">
        <v>15100</v>
      </c>
      <c r="E1068" s="1212">
        <f t="shared" si="106"/>
        <v>-70</v>
      </c>
      <c r="F1068" s="1211">
        <f t="shared" si="108"/>
        <v>325</v>
      </c>
      <c r="G1068" s="1215"/>
      <c r="H1068" s="1269"/>
      <c r="I1068" s="1291">
        <v>104000</v>
      </c>
    </row>
    <row r="1069" spans="1:9" ht="15" customHeight="1">
      <c r="A1069" s="1253">
        <v>42405</v>
      </c>
      <c r="B1069" s="1209">
        <v>4620</v>
      </c>
      <c r="C1069" s="1210">
        <v>15225</v>
      </c>
      <c r="D1069" s="1230">
        <v>15100</v>
      </c>
      <c r="E1069" s="1212">
        <f t="shared" si="106"/>
        <v>-125</v>
      </c>
      <c r="F1069" s="1211">
        <f t="shared" si="108"/>
        <v>55</v>
      </c>
      <c r="G1069" s="1215"/>
      <c r="H1069" s="1269"/>
      <c r="I1069" s="1478" t="s">
        <v>48</v>
      </c>
    </row>
    <row r="1070" spans="1:9" ht="15" customHeight="1">
      <c r="A1070" s="1253">
        <v>42408</v>
      </c>
      <c r="B1070" s="1209">
        <v>4515</v>
      </c>
      <c r="C1070" s="1210">
        <v>15675</v>
      </c>
      <c r="D1070" s="1230">
        <v>15555</v>
      </c>
      <c r="E1070" s="1212">
        <f t="shared" si="106"/>
        <v>-120</v>
      </c>
      <c r="F1070" s="1211">
        <f t="shared" si="108"/>
        <v>450</v>
      </c>
      <c r="G1070" s="1215"/>
      <c r="H1070" s="1269"/>
      <c r="I1070" s="1478"/>
    </row>
    <row r="1071" spans="1:9" ht="15" customHeight="1">
      <c r="A1071" s="1253">
        <v>42409</v>
      </c>
      <c r="B1071" s="1209">
        <v>4515</v>
      </c>
      <c r="C1071" s="1210">
        <v>15775</v>
      </c>
      <c r="D1071" s="1230">
        <v>15675</v>
      </c>
      <c r="E1071" s="1212">
        <f t="shared" si="106"/>
        <v>-100</v>
      </c>
      <c r="F1071" s="1211">
        <f t="shared" si="108"/>
        <v>100</v>
      </c>
      <c r="G1071" s="1215"/>
      <c r="H1071" s="1269"/>
      <c r="I1071" s="1478"/>
    </row>
    <row r="1072" spans="1:9" ht="15" customHeight="1">
      <c r="A1072" s="1253">
        <v>42410</v>
      </c>
      <c r="B1072" s="1209">
        <v>4515</v>
      </c>
      <c r="C1072" s="1210">
        <v>15855</v>
      </c>
      <c r="D1072" s="1230">
        <v>15825</v>
      </c>
      <c r="E1072" s="1212">
        <f t="shared" si="106"/>
        <v>-30</v>
      </c>
      <c r="F1072" s="1211">
        <f t="shared" si="108"/>
        <v>80</v>
      </c>
      <c r="G1072" s="1215"/>
      <c r="H1072" s="1269"/>
      <c r="I1072" s="1478"/>
    </row>
    <row r="1073" spans="1:9" ht="15" customHeight="1">
      <c r="A1073" s="1253">
        <v>42411</v>
      </c>
      <c r="B1073" s="1209">
        <v>4420</v>
      </c>
      <c r="C1073" s="1210">
        <v>15600</v>
      </c>
      <c r="D1073" s="1230">
        <v>15405</v>
      </c>
      <c r="E1073" s="1212">
        <f t="shared" si="106"/>
        <v>-195</v>
      </c>
      <c r="F1073" s="1211">
        <f t="shared" si="108"/>
        <v>-255</v>
      </c>
      <c r="G1073" s="1215"/>
      <c r="H1073" s="1269"/>
      <c r="I1073" s="1478"/>
    </row>
    <row r="1074" spans="1:9" ht="15" customHeight="1">
      <c r="A1074" s="1253">
        <v>42412</v>
      </c>
      <c r="B1074" s="1209">
        <v>4295</v>
      </c>
      <c r="C1074" s="1210">
        <v>15300</v>
      </c>
      <c r="D1074" s="1230">
        <v>15280</v>
      </c>
      <c r="E1074" s="1212">
        <f t="shared" si="106"/>
        <v>-20</v>
      </c>
      <c r="F1074" s="1211">
        <f t="shared" si="108"/>
        <v>-300</v>
      </c>
      <c r="G1074" s="1215"/>
      <c r="H1074" s="1269"/>
      <c r="I1074" s="1478"/>
    </row>
    <row r="1075" spans="1:9" ht="15" customHeight="1">
      <c r="A1075" s="1253">
        <v>42415</v>
      </c>
      <c r="B1075" s="1209">
        <v>4265</v>
      </c>
      <c r="C1075" s="1210">
        <v>15400</v>
      </c>
      <c r="D1075" s="1230">
        <v>15325</v>
      </c>
      <c r="E1075" s="1212">
        <f t="shared" si="106"/>
        <v>-75</v>
      </c>
      <c r="F1075" s="1211">
        <f t="shared" si="108"/>
        <v>100</v>
      </c>
      <c r="G1075" s="1215"/>
      <c r="H1075" s="1269"/>
      <c r="I1075" s="1291">
        <v>104000</v>
      </c>
    </row>
    <row r="1076" spans="1:9" ht="15" customHeight="1">
      <c r="A1076" s="1253">
        <v>42416</v>
      </c>
      <c r="B1076" s="1209">
        <v>4085</v>
      </c>
      <c r="C1076" s="1210">
        <v>15405</v>
      </c>
      <c r="D1076" s="1230">
        <v>15325</v>
      </c>
      <c r="E1076" s="1212">
        <f t="shared" si="106"/>
        <v>-80</v>
      </c>
      <c r="F1076" s="1211">
        <f t="shared" si="108"/>
        <v>5</v>
      </c>
      <c r="G1076" s="1215"/>
      <c r="H1076" s="1269"/>
      <c r="I1076" s="1291">
        <v>103750</v>
      </c>
    </row>
    <row r="1077" spans="1:9" ht="15" customHeight="1">
      <c r="A1077" s="1253">
        <v>42417</v>
      </c>
      <c r="B1077" s="1209">
        <v>4095</v>
      </c>
      <c r="C1077" s="1210">
        <v>15850</v>
      </c>
      <c r="D1077" s="1230">
        <v>15800</v>
      </c>
      <c r="E1077" s="1212">
        <f t="shared" si="106"/>
        <v>-50</v>
      </c>
      <c r="F1077" s="1211">
        <f t="shared" si="108"/>
        <v>445</v>
      </c>
      <c r="G1077" s="1215"/>
      <c r="H1077" s="1269"/>
      <c r="I1077" s="1291">
        <v>103500</v>
      </c>
    </row>
    <row r="1078" spans="1:9" ht="15" customHeight="1">
      <c r="A1078" s="1253">
        <v>42418</v>
      </c>
      <c r="B1078" s="1209">
        <v>4085</v>
      </c>
      <c r="C1078" s="1210">
        <v>15840</v>
      </c>
      <c r="D1078" s="1230">
        <v>15750</v>
      </c>
      <c r="E1078" s="1212">
        <f t="shared" si="106"/>
        <v>-90</v>
      </c>
      <c r="F1078" s="1211">
        <f t="shared" si="108"/>
        <v>-10</v>
      </c>
      <c r="G1078" s="1215"/>
      <c r="H1078" s="1269"/>
      <c r="I1078" s="1291">
        <v>103000</v>
      </c>
    </row>
    <row r="1079" spans="1:9" ht="15" customHeight="1">
      <c r="A1079" s="1253">
        <v>42419</v>
      </c>
      <c r="B1079" s="1209">
        <v>4065</v>
      </c>
      <c r="C1079" s="1210">
        <v>15950</v>
      </c>
      <c r="D1079" s="1230">
        <v>15775</v>
      </c>
      <c r="E1079" s="1212">
        <f t="shared" si="106"/>
        <v>-175</v>
      </c>
      <c r="F1079" s="1211">
        <f t="shared" si="108"/>
        <v>110</v>
      </c>
      <c r="G1079" s="1215"/>
      <c r="H1079" s="1269"/>
      <c r="I1079" s="1291">
        <v>102500</v>
      </c>
    </row>
    <row r="1080" spans="1:9" ht="15" customHeight="1">
      <c r="A1080" s="1253">
        <v>42422</v>
      </c>
      <c r="B1080" s="1209">
        <v>4120</v>
      </c>
      <c r="C1080" s="1210">
        <v>15980</v>
      </c>
      <c r="D1080" s="1230">
        <v>15900</v>
      </c>
      <c r="E1080" s="1212">
        <f t="shared" si="106"/>
        <v>-80</v>
      </c>
      <c r="F1080" s="1211">
        <f t="shared" si="108"/>
        <v>30</v>
      </c>
      <c r="G1080" s="1215"/>
      <c r="H1080" s="1269"/>
      <c r="I1080" s="1291">
        <v>103000</v>
      </c>
    </row>
    <row r="1081" spans="1:9" ht="15" customHeight="1">
      <c r="A1081" s="1253">
        <v>42423</v>
      </c>
      <c r="B1081" s="1209">
        <v>3850</v>
      </c>
      <c r="C1081" s="1210">
        <v>16275</v>
      </c>
      <c r="D1081" s="1230">
        <v>16100</v>
      </c>
      <c r="E1081" s="1212">
        <f t="shared" si="106"/>
        <v>-175</v>
      </c>
      <c r="F1081" s="1211">
        <f t="shared" si="108"/>
        <v>295</v>
      </c>
      <c r="G1081" s="1215"/>
      <c r="H1081" s="1269"/>
      <c r="I1081" s="1291">
        <v>104750</v>
      </c>
    </row>
    <row r="1082" spans="1:9" ht="15" customHeight="1">
      <c r="A1082" s="1253">
        <v>42424</v>
      </c>
      <c r="B1082" s="1209">
        <v>3850</v>
      </c>
      <c r="C1082" s="1210">
        <v>16145</v>
      </c>
      <c r="D1082" s="1230">
        <v>16000</v>
      </c>
      <c r="E1082" s="1212">
        <f t="shared" si="106"/>
        <v>-145</v>
      </c>
      <c r="F1082" s="1211">
        <f t="shared" si="108"/>
        <v>-130</v>
      </c>
      <c r="G1082" s="1215"/>
      <c r="H1082" s="1269"/>
      <c r="I1082" s="1291">
        <v>106750</v>
      </c>
    </row>
    <row r="1083" spans="1:9" ht="15" customHeight="1">
      <c r="A1083" s="1253">
        <v>42425</v>
      </c>
      <c r="B1083" s="1209">
        <v>3850</v>
      </c>
      <c r="C1083" s="1210">
        <v>16225</v>
      </c>
      <c r="D1083" s="1230">
        <v>16050</v>
      </c>
      <c r="E1083" s="1212">
        <f t="shared" si="106"/>
        <v>-175</v>
      </c>
      <c r="F1083" s="1211">
        <f t="shared" si="108"/>
        <v>80</v>
      </c>
      <c r="G1083" s="1215"/>
      <c r="H1083" s="1269"/>
      <c r="I1083" s="1291">
        <v>107000</v>
      </c>
    </row>
    <row r="1084" spans="1:9" ht="15" customHeight="1">
      <c r="A1084" s="1253">
        <v>42426</v>
      </c>
      <c r="B1084" s="1209">
        <v>3850</v>
      </c>
      <c r="C1084" s="1210">
        <v>16125</v>
      </c>
      <c r="D1084" s="1230">
        <v>15875</v>
      </c>
      <c r="E1084" s="1212">
        <f t="shared" si="106"/>
        <v>-250</v>
      </c>
      <c r="F1084" s="1211">
        <f t="shared" si="108"/>
        <v>-100</v>
      </c>
      <c r="G1084" s="1215"/>
      <c r="H1084" s="1269"/>
      <c r="I1084" s="1291">
        <v>107500</v>
      </c>
    </row>
    <row r="1085" spans="1:9" ht="15" customHeight="1">
      <c r="A1085" s="1253">
        <v>42429</v>
      </c>
      <c r="B1085" s="1209">
        <v>3855</v>
      </c>
      <c r="C1085" s="1210">
        <v>16295</v>
      </c>
      <c r="D1085" s="1230">
        <v>15975</v>
      </c>
      <c r="E1085" s="1212">
        <f t="shared" si="106"/>
        <v>-320</v>
      </c>
      <c r="F1085" s="1211">
        <f t="shared" si="108"/>
        <v>170</v>
      </c>
      <c r="G1085" s="1227">
        <f>AVERAGE(C1065:C1085)</f>
        <v>15654.285714285714</v>
      </c>
      <c r="H1085" s="1274">
        <f>AVERAGE(C1045:C1085)</f>
        <v>14738.658536585366</v>
      </c>
      <c r="I1085" s="1291">
        <v>107000</v>
      </c>
    </row>
    <row r="1086" spans="1:9" ht="15" customHeight="1">
      <c r="A1086" s="1253">
        <v>42430</v>
      </c>
      <c r="B1086" s="1209">
        <v>3655</v>
      </c>
      <c r="C1086" s="1210">
        <v>16160</v>
      </c>
      <c r="D1086" s="1230">
        <v>15905</v>
      </c>
      <c r="E1086" s="1212">
        <f t="shared" si="106"/>
        <v>-255</v>
      </c>
      <c r="F1086" s="1211">
        <f t="shared" ref="F1086:F1103" si="109">C1086-C1085</f>
        <v>-135</v>
      </c>
      <c r="G1086" s="1215"/>
      <c r="H1086" s="1269"/>
      <c r="I1086" s="1291">
        <v>105750</v>
      </c>
    </row>
    <row r="1087" spans="1:9" ht="15" customHeight="1">
      <c r="A1087" s="1253">
        <v>42431</v>
      </c>
      <c r="B1087" s="1209">
        <v>3675</v>
      </c>
      <c r="C1087" s="1210">
        <v>16300</v>
      </c>
      <c r="D1087" s="1230">
        <v>16150</v>
      </c>
      <c r="E1087" s="1212">
        <f t="shared" si="106"/>
        <v>-150</v>
      </c>
      <c r="F1087" s="1211">
        <f t="shared" si="109"/>
        <v>140</v>
      </c>
      <c r="G1087" s="1215"/>
      <c r="H1087" s="1269"/>
      <c r="I1087" s="1291">
        <v>105750</v>
      </c>
    </row>
    <row r="1088" spans="1:9" ht="15" customHeight="1">
      <c r="A1088" s="1253">
        <v>42432</v>
      </c>
      <c r="B1088" s="1209">
        <v>3705</v>
      </c>
      <c r="C1088" s="1210">
        <v>16600</v>
      </c>
      <c r="D1088" s="1230">
        <v>16460</v>
      </c>
      <c r="E1088" s="1212">
        <f t="shared" si="106"/>
        <v>-140</v>
      </c>
      <c r="F1088" s="1211">
        <f t="shared" si="109"/>
        <v>300</v>
      </c>
      <c r="G1088" s="1215"/>
      <c r="H1088" s="1269"/>
      <c r="I1088" s="1291">
        <v>113500</v>
      </c>
    </row>
    <row r="1089" spans="1:9" ht="15" customHeight="1">
      <c r="A1089" s="1253">
        <v>42433</v>
      </c>
      <c r="B1089" s="1209">
        <v>3705</v>
      </c>
      <c r="C1089" s="1210">
        <v>16950</v>
      </c>
      <c r="D1089" s="1230">
        <v>16850</v>
      </c>
      <c r="E1089" s="1212">
        <f t="shared" si="106"/>
        <v>-100</v>
      </c>
      <c r="F1089" s="1211">
        <f t="shared" si="109"/>
        <v>350</v>
      </c>
      <c r="G1089" s="1215"/>
      <c r="H1089" s="1269"/>
      <c r="I1089" s="1291">
        <v>113750</v>
      </c>
    </row>
    <row r="1090" spans="1:9" ht="15" customHeight="1">
      <c r="A1090" s="1253">
        <v>42436</v>
      </c>
      <c r="B1090" s="1209">
        <v>3745</v>
      </c>
      <c r="C1090" s="1210">
        <v>17350</v>
      </c>
      <c r="D1090" s="1230">
        <v>17225</v>
      </c>
      <c r="E1090" s="1212">
        <f t="shared" si="106"/>
        <v>-125</v>
      </c>
      <c r="F1090" s="1211">
        <f t="shared" si="109"/>
        <v>400</v>
      </c>
      <c r="G1090" s="1215"/>
      <c r="H1090" s="1269"/>
      <c r="I1090" s="1291">
        <v>113750</v>
      </c>
    </row>
    <row r="1091" spans="1:9" ht="15" customHeight="1">
      <c r="A1091" s="1253">
        <v>42437</v>
      </c>
      <c r="B1091" s="1209">
        <v>3720</v>
      </c>
      <c r="C1091" s="1210">
        <v>17085</v>
      </c>
      <c r="D1091" s="1230">
        <v>16975</v>
      </c>
      <c r="E1091" s="1212">
        <f t="shared" si="106"/>
        <v>-110</v>
      </c>
      <c r="F1091" s="1211">
        <f t="shared" si="109"/>
        <v>-265</v>
      </c>
      <c r="G1091" s="1215"/>
      <c r="H1091" s="1269"/>
      <c r="I1091" s="1291">
        <v>113000</v>
      </c>
    </row>
    <row r="1092" spans="1:9" ht="15" customHeight="1">
      <c r="A1092" s="1253">
        <v>42438</v>
      </c>
      <c r="B1092" s="1209">
        <v>3720</v>
      </c>
      <c r="C1092" s="1210">
        <v>16850</v>
      </c>
      <c r="D1092" s="1230">
        <v>16630</v>
      </c>
      <c r="E1092" s="1212">
        <f t="shared" si="106"/>
        <v>-220</v>
      </c>
      <c r="F1092" s="1211">
        <f t="shared" si="109"/>
        <v>-235</v>
      </c>
      <c r="G1092" s="1215"/>
      <c r="H1092" s="1269"/>
      <c r="I1092" s="1291">
        <v>111750</v>
      </c>
    </row>
    <row r="1093" spans="1:9" ht="15" customHeight="1">
      <c r="A1093" s="1253">
        <v>42439</v>
      </c>
      <c r="B1093" s="1209">
        <v>3770</v>
      </c>
      <c r="C1093" s="1210">
        <v>16975</v>
      </c>
      <c r="D1093" s="1230">
        <v>16800</v>
      </c>
      <c r="E1093" s="1212">
        <f t="shared" si="106"/>
        <v>-175</v>
      </c>
      <c r="F1093" s="1211">
        <f t="shared" si="109"/>
        <v>125</v>
      </c>
      <c r="G1093" s="1215"/>
      <c r="H1093" s="1269"/>
      <c r="I1093" s="1291">
        <v>111500</v>
      </c>
    </row>
    <row r="1094" spans="1:9" ht="15" customHeight="1">
      <c r="A1094" s="1253">
        <v>42440</v>
      </c>
      <c r="B1094" s="1209">
        <v>3905</v>
      </c>
      <c r="C1094" s="1210">
        <v>17075</v>
      </c>
      <c r="D1094" s="1230">
        <v>16925</v>
      </c>
      <c r="E1094" s="1212">
        <f t="shared" si="106"/>
        <v>-150</v>
      </c>
      <c r="F1094" s="1211">
        <f t="shared" si="109"/>
        <v>100</v>
      </c>
      <c r="G1094" s="1215"/>
      <c r="H1094" s="1269"/>
      <c r="I1094" s="1291">
        <v>111000</v>
      </c>
    </row>
    <row r="1095" spans="1:9" ht="15" customHeight="1">
      <c r="A1095" s="1253">
        <v>42443</v>
      </c>
      <c r="B1095" s="1209">
        <v>3950</v>
      </c>
      <c r="C1095" s="1210">
        <v>17175</v>
      </c>
      <c r="D1095" s="1230">
        <v>17000</v>
      </c>
      <c r="E1095" s="1212">
        <f t="shared" si="106"/>
        <v>-175</v>
      </c>
      <c r="F1095" s="1211">
        <f t="shared" si="109"/>
        <v>100</v>
      </c>
      <c r="G1095" s="1215"/>
      <c r="H1095" s="1269"/>
      <c r="I1095" s="1291">
        <v>111000</v>
      </c>
    </row>
    <row r="1096" spans="1:9" ht="15" customHeight="1">
      <c r="A1096" s="1253">
        <v>42444</v>
      </c>
      <c r="B1096" s="1209">
        <v>3935</v>
      </c>
      <c r="C1096" s="1210">
        <v>16755</v>
      </c>
      <c r="D1096" s="1230">
        <v>16705</v>
      </c>
      <c r="E1096" s="1212">
        <f t="shared" si="106"/>
        <v>-50</v>
      </c>
      <c r="F1096" s="1211">
        <f t="shared" si="109"/>
        <v>-420</v>
      </c>
      <c r="G1096" s="1215"/>
      <c r="H1096" s="1269"/>
      <c r="I1096" s="1291">
        <v>111000</v>
      </c>
    </row>
    <row r="1097" spans="1:9" ht="15" customHeight="1">
      <c r="A1097" s="1253">
        <v>42445</v>
      </c>
      <c r="B1097" s="1209">
        <v>4100</v>
      </c>
      <c r="C1097" s="1210">
        <v>16910</v>
      </c>
      <c r="D1097" s="1230">
        <v>16780</v>
      </c>
      <c r="E1097" s="1212">
        <f t="shared" si="106"/>
        <v>-130</v>
      </c>
      <c r="F1097" s="1211">
        <f t="shared" si="109"/>
        <v>155</v>
      </c>
      <c r="G1097" s="1215"/>
      <c r="H1097" s="1269"/>
      <c r="I1097" s="1291">
        <v>110750</v>
      </c>
    </row>
    <row r="1098" spans="1:9" ht="15" customHeight="1">
      <c r="A1098" s="1253">
        <v>42446</v>
      </c>
      <c r="B1098" s="1209">
        <v>4305</v>
      </c>
      <c r="C1098" s="1210">
        <v>17025</v>
      </c>
      <c r="D1098" s="1230">
        <v>16900</v>
      </c>
      <c r="E1098" s="1212">
        <f t="shared" si="106"/>
        <v>-125</v>
      </c>
      <c r="F1098" s="1211">
        <f t="shared" si="109"/>
        <v>115</v>
      </c>
      <c r="G1098" s="1215"/>
      <c r="H1098" s="1269"/>
      <c r="I1098" s="1291">
        <v>110750</v>
      </c>
    </row>
    <row r="1099" spans="1:9" ht="15" customHeight="1">
      <c r="A1099" s="1253">
        <v>42447</v>
      </c>
      <c r="B1099" s="1209">
        <v>4340</v>
      </c>
      <c r="C1099" s="1210">
        <v>17155</v>
      </c>
      <c r="D1099" s="1230">
        <v>17020</v>
      </c>
      <c r="E1099" s="1212">
        <f t="shared" si="106"/>
        <v>-135</v>
      </c>
      <c r="F1099" s="1211">
        <f t="shared" si="109"/>
        <v>130</v>
      </c>
      <c r="G1099" s="1215"/>
      <c r="H1099" s="1269"/>
      <c r="I1099" s="1291">
        <v>112750</v>
      </c>
    </row>
    <row r="1100" spans="1:9" ht="15" customHeight="1">
      <c r="A1100" s="1253">
        <v>42450</v>
      </c>
      <c r="B1100" s="1209">
        <v>4330</v>
      </c>
      <c r="C1100" s="1210">
        <v>17000</v>
      </c>
      <c r="D1100" s="1230">
        <v>16950</v>
      </c>
      <c r="E1100" s="1212">
        <f t="shared" si="106"/>
        <v>-50</v>
      </c>
      <c r="F1100" s="1211">
        <f t="shared" si="109"/>
        <v>-155</v>
      </c>
      <c r="G1100" s="1215"/>
      <c r="H1100" s="1269"/>
      <c r="I1100" s="1291">
        <v>111500</v>
      </c>
    </row>
    <row r="1101" spans="1:9" ht="15" customHeight="1">
      <c r="A1101" s="1253">
        <v>42451</v>
      </c>
      <c r="B1101" s="1209">
        <v>4370</v>
      </c>
      <c r="C1101" s="1210">
        <v>17100</v>
      </c>
      <c r="D1101" s="1230">
        <v>17000</v>
      </c>
      <c r="E1101" s="1212">
        <f t="shared" si="106"/>
        <v>-100</v>
      </c>
      <c r="F1101" s="1211">
        <f t="shared" si="109"/>
        <v>100</v>
      </c>
      <c r="G1101" s="1215"/>
      <c r="H1101" s="1269"/>
      <c r="I1101" s="1291">
        <v>111250</v>
      </c>
    </row>
    <row r="1102" spans="1:9" ht="15" customHeight="1">
      <c r="A1102" s="1253">
        <v>42452</v>
      </c>
      <c r="B1102" s="1209">
        <v>4400</v>
      </c>
      <c r="C1102" s="1210">
        <v>17575</v>
      </c>
      <c r="D1102" s="1230">
        <v>17400</v>
      </c>
      <c r="E1102" s="1212">
        <f t="shared" si="106"/>
        <v>-175</v>
      </c>
      <c r="F1102" s="1211">
        <f t="shared" si="109"/>
        <v>475</v>
      </c>
      <c r="G1102" s="1215"/>
      <c r="H1102" s="1269"/>
      <c r="I1102" s="1291">
        <v>111250</v>
      </c>
    </row>
    <row r="1103" spans="1:9" ht="15" customHeight="1">
      <c r="A1103" s="1253">
        <v>42453</v>
      </c>
      <c r="B1103" s="1209">
        <v>4415</v>
      </c>
      <c r="C1103" s="1210">
        <v>17625</v>
      </c>
      <c r="D1103" s="1230">
        <v>17500</v>
      </c>
      <c r="E1103" s="1212">
        <f t="shared" si="106"/>
        <v>-125</v>
      </c>
      <c r="F1103" s="1211">
        <f t="shared" si="109"/>
        <v>50</v>
      </c>
      <c r="G1103" s="1215"/>
      <c r="H1103" s="1269"/>
      <c r="I1103" s="1291">
        <v>111250</v>
      </c>
    </row>
    <row r="1104" spans="1:9" ht="15" customHeight="1">
      <c r="A1104" s="1253">
        <v>42454</v>
      </c>
      <c r="B1104" s="1438" t="s">
        <v>118</v>
      </c>
      <c r="C1104" s="1438"/>
      <c r="D1104" s="1438"/>
      <c r="E1104" s="1438"/>
      <c r="F1104" s="1438"/>
      <c r="G1104" s="1215"/>
      <c r="H1104" s="1269"/>
      <c r="I1104" s="1291">
        <v>111500</v>
      </c>
    </row>
    <row r="1105" spans="1:9" ht="15" customHeight="1">
      <c r="A1105" s="1253">
        <v>42457</v>
      </c>
      <c r="B1105" s="1438"/>
      <c r="C1105" s="1438"/>
      <c r="D1105" s="1438"/>
      <c r="E1105" s="1438"/>
      <c r="F1105" s="1438"/>
      <c r="G1105" s="1215"/>
      <c r="H1105" s="1269"/>
      <c r="I1105" s="1291">
        <v>111750</v>
      </c>
    </row>
    <row r="1106" spans="1:9" ht="15" customHeight="1">
      <c r="A1106" s="1253">
        <v>42458</v>
      </c>
      <c r="B1106" s="1209">
        <v>4585</v>
      </c>
      <c r="C1106" s="1210">
        <v>17375</v>
      </c>
      <c r="D1106" s="1230">
        <v>17225</v>
      </c>
      <c r="E1106" s="1212">
        <f t="shared" ref="E1106:E1169" si="110">D1106-C1106</f>
        <v>-150</v>
      </c>
      <c r="F1106" s="1211">
        <f>C1106-C1103</f>
        <v>-250</v>
      </c>
      <c r="G1106" s="1215"/>
      <c r="H1106" s="1269"/>
      <c r="I1106" s="1291">
        <v>110750</v>
      </c>
    </row>
    <row r="1107" spans="1:9" ht="15" customHeight="1">
      <c r="A1107" s="1253">
        <v>42459</v>
      </c>
      <c r="B1107" s="1209">
        <v>4840</v>
      </c>
      <c r="C1107" s="1210">
        <v>16975</v>
      </c>
      <c r="D1107" s="1230">
        <v>17000</v>
      </c>
      <c r="E1107" s="1212">
        <f t="shared" si="110"/>
        <v>25</v>
      </c>
      <c r="F1107" s="1211">
        <f t="shared" ref="F1107:F1129" si="111">C1107-C1106</f>
        <v>-400</v>
      </c>
      <c r="G1107" s="1215"/>
      <c r="H1107" s="1269"/>
      <c r="I1107" s="1291">
        <v>109500</v>
      </c>
    </row>
    <row r="1108" spans="1:9" ht="15" customHeight="1">
      <c r="A1108" s="1253">
        <v>42460</v>
      </c>
      <c r="B1108" s="1209">
        <v>4800</v>
      </c>
      <c r="C1108" s="1210">
        <v>16900</v>
      </c>
      <c r="D1108" s="1230">
        <v>16875</v>
      </c>
      <c r="E1108" s="1212">
        <f t="shared" si="110"/>
        <v>-25</v>
      </c>
      <c r="F1108" s="1211">
        <f t="shared" si="111"/>
        <v>-75</v>
      </c>
      <c r="G1108" s="1227">
        <f>AVERAGE(C1086:C1108)</f>
        <v>16995.952380952382</v>
      </c>
      <c r="H1108" s="1274">
        <f>AVERAGE(C1045:C1108)</f>
        <v>15503.225806451614</v>
      </c>
      <c r="I1108" s="1291">
        <v>108000</v>
      </c>
    </row>
    <row r="1109" spans="1:9" ht="15" customHeight="1">
      <c r="A1109" s="1253">
        <v>42461</v>
      </c>
      <c r="B1109" s="1209">
        <v>4810</v>
      </c>
      <c r="C1109" s="1210">
        <v>16805</v>
      </c>
      <c r="D1109" s="1230">
        <v>16725</v>
      </c>
      <c r="E1109" s="1212">
        <f t="shared" si="110"/>
        <v>-80</v>
      </c>
      <c r="F1109" s="1211">
        <f t="shared" si="111"/>
        <v>-95</v>
      </c>
      <c r="G1109" s="1215"/>
      <c r="H1109" s="1269"/>
      <c r="I1109" s="1291">
        <v>107750</v>
      </c>
    </row>
    <row r="1110" spans="1:9" ht="15" customHeight="1">
      <c r="A1110" s="1253">
        <v>42464</v>
      </c>
      <c r="B1110" s="1209">
        <v>4830</v>
      </c>
      <c r="C1110" s="1210">
        <v>16705</v>
      </c>
      <c r="D1110" s="1230">
        <v>16700</v>
      </c>
      <c r="E1110" s="1212">
        <f t="shared" si="110"/>
        <v>-5</v>
      </c>
      <c r="F1110" s="1211">
        <f t="shared" si="111"/>
        <v>-100</v>
      </c>
      <c r="G1110" s="1215"/>
      <c r="H1110" s="1269"/>
      <c r="I1110" s="1291">
        <v>107750</v>
      </c>
    </row>
    <row r="1111" spans="1:9" ht="15" customHeight="1">
      <c r="A1111" s="1253">
        <v>42465</v>
      </c>
      <c r="B1111" s="1209">
        <v>4825</v>
      </c>
      <c r="C1111" s="1210">
        <v>16625</v>
      </c>
      <c r="D1111" s="1230">
        <v>16505</v>
      </c>
      <c r="E1111" s="1212">
        <f t="shared" si="110"/>
        <v>-120</v>
      </c>
      <c r="F1111" s="1211">
        <f t="shared" si="111"/>
        <v>-80</v>
      </c>
      <c r="G1111" s="1215"/>
      <c r="H1111" s="1269"/>
      <c r="I1111" s="1291">
        <v>108000</v>
      </c>
    </row>
    <row r="1112" spans="1:9" ht="15" customHeight="1">
      <c r="A1112" s="1253">
        <v>42466</v>
      </c>
      <c r="B1112" s="1209">
        <v>4875</v>
      </c>
      <c r="C1112" s="1210">
        <v>16385</v>
      </c>
      <c r="D1112" s="1230">
        <v>16355</v>
      </c>
      <c r="E1112" s="1212">
        <f t="shared" si="110"/>
        <v>-30</v>
      </c>
      <c r="F1112" s="1211">
        <f t="shared" si="111"/>
        <v>-240</v>
      </c>
      <c r="G1112" s="1215"/>
      <c r="H1112" s="1269"/>
      <c r="I1112" s="1291">
        <v>108000</v>
      </c>
    </row>
    <row r="1113" spans="1:9" ht="15" customHeight="1">
      <c r="A1113" s="1253">
        <v>42467</v>
      </c>
      <c r="B1113" s="1209">
        <v>4875</v>
      </c>
      <c r="C1113" s="1210">
        <v>16550</v>
      </c>
      <c r="D1113" s="1230">
        <v>16525</v>
      </c>
      <c r="E1113" s="1212">
        <f t="shared" si="110"/>
        <v>-25</v>
      </c>
      <c r="F1113" s="1211">
        <f t="shared" si="111"/>
        <v>165</v>
      </c>
      <c r="G1113" s="1215"/>
      <c r="H1113" s="1269"/>
      <c r="I1113" s="1291">
        <v>108250</v>
      </c>
    </row>
    <row r="1114" spans="1:9" ht="15" customHeight="1">
      <c r="A1114" s="1253">
        <v>42468</v>
      </c>
      <c r="B1114" s="1209">
        <v>4795</v>
      </c>
      <c r="C1114" s="1210">
        <v>16825</v>
      </c>
      <c r="D1114" s="1230">
        <v>16725</v>
      </c>
      <c r="E1114" s="1212">
        <f t="shared" si="110"/>
        <v>-100</v>
      </c>
      <c r="F1114" s="1211">
        <f t="shared" si="111"/>
        <v>275</v>
      </c>
      <c r="G1114" s="1215"/>
      <c r="H1114" s="1269"/>
      <c r="I1114" s="1291">
        <v>108500</v>
      </c>
    </row>
    <row r="1115" spans="1:9" ht="15" customHeight="1">
      <c r="A1115" s="1253">
        <v>42471</v>
      </c>
      <c r="B1115" s="1209">
        <v>4855</v>
      </c>
      <c r="C1115" s="1210">
        <v>17025</v>
      </c>
      <c r="D1115" s="1230">
        <v>16975</v>
      </c>
      <c r="E1115" s="1212">
        <f t="shared" si="110"/>
        <v>-50</v>
      </c>
      <c r="F1115" s="1211">
        <f t="shared" si="111"/>
        <v>200</v>
      </c>
      <c r="G1115" s="1215"/>
      <c r="H1115" s="1269"/>
      <c r="I1115" s="1291">
        <v>110250</v>
      </c>
    </row>
    <row r="1116" spans="1:9" ht="15" customHeight="1">
      <c r="A1116" s="1253">
        <v>42472</v>
      </c>
      <c r="B1116" s="1209">
        <v>4915</v>
      </c>
      <c r="C1116" s="1210">
        <v>16950</v>
      </c>
      <c r="D1116" s="1230">
        <v>16880</v>
      </c>
      <c r="E1116" s="1212">
        <f t="shared" si="110"/>
        <v>-70</v>
      </c>
      <c r="F1116" s="1211">
        <f t="shared" si="111"/>
        <v>-75</v>
      </c>
      <c r="G1116" s="1215"/>
      <c r="H1116" s="1269"/>
      <c r="I1116" s="1291">
        <v>110250</v>
      </c>
    </row>
    <row r="1117" spans="1:9" ht="15" customHeight="1">
      <c r="A1117" s="1253">
        <v>42473</v>
      </c>
      <c r="B1117" s="1209">
        <v>4840</v>
      </c>
      <c r="C1117" s="1210">
        <v>17195</v>
      </c>
      <c r="D1117" s="1230">
        <v>17055</v>
      </c>
      <c r="E1117" s="1212">
        <f t="shared" si="110"/>
        <v>-140</v>
      </c>
      <c r="F1117" s="1211">
        <f t="shared" si="111"/>
        <v>245</v>
      </c>
      <c r="G1117" s="1215"/>
      <c r="H1117" s="1269"/>
      <c r="I1117" s="1291">
        <v>112000</v>
      </c>
    </row>
    <row r="1118" spans="1:9" ht="15" customHeight="1">
      <c r="A1118" s="1253">
        <v>42474</v>
      </c>
      <c r="B1118" s="1209">
        <v>4730</v>
      </c>
      <c r="C1118" s="1210">
        <v>17200</v>
      </c>
      <c r="D1118" s="1230">
        <v>17175</v>
      </c>
      <c r="E1118" s="1212">
        <f t="shared" si="110"/>
        <v>-25</v>
      </c>
      <c r="F1118" s="1211">
        <f t="shared" si="111"/>
        <v>5</v>
      </c>
      <c r="G1118" s="1215"/>
      <c r="H1118" s="1269"/>
      <c r="I1118" s="1291">
        <v>113250</v>
      </c>
    </row>
    <row r="1119" spans="1:9" ht="15" customHeight="1">
      <c r="A1119" s="1253">
        <v>42475</v>
      </c>
      <c r="B1119" s="1209">
        <v>4660</v>
      </c>
      <c r="C1119" s="1210">
        <v>17250</v>
      </c>
      <c r="D1119" s="1230">
        <v>17160</v>
      </c>
      <c r="E1119" s="1212">
        <f t="shared" si="110"/>
        <v>-90</v>
      </c>
      <c r="F1119" s="1211">
        <f t="shared" si="111"/>
        <v>50</v>
      </c>
      <c r="G1119" s="1215"/>
      <c r="H1119" s="1269"/>
      <c r="I1119" s="1291">
        <v>112750</v>
      </c>
    </row>
    <row r="1120" spans="1:9" ht="15" customHeight="1">
      <c r="A1120" s="1253">
        <v>42478</v>
      </c>
      <c r="B1120" s="1209">
        <v>4640</v>
      </c>
      <c r="C1120" s="1210">
        <v>17150</v>
      </c>
      <c r="D1120" s="1230">
        <v>17200</v>
      </c>
      <c r="E1120" s="1212">
        <f t="shared" si="110"/>
        <v>50</v>
      </c>
      <c r="F1120" s="1211">
        <f t="shared" si="111"/>
        <v>-100</v>
      </c>
      <c r="G1120" s="1215"/>
      <c r="H1120" s="1269"/>
      <c r="I1120" s="1291">
        <v>112750</v>
      </c>
    </row>
    <row r="1121" spans="1:9" ht="15" customHeight="1">
      <c r="A1121" s="1253">
        <v>42479</v>
      </c>
      <c r="B1121" s="1209">
        <v>4700</v>
      </c>
      <c r="C1121" s="1210">
        <v>17100</v>
      </c>
      <c r="D1121" s="1230">
        <v>17035</v>
      </c>
      <c r="E1121" s="1212">
        <f t="shared" si="110"/>
        <v>-65</v>
      </c>
      <c r="F1121" s="1211">
        <f t="shared" si="111"/>
        <v>-50</v>
      </c>
      <c r="G1121" s="1215"/>
      <c r="H1121" s="1269"/>
      <c r="I1121" s="1291">
        <v>111250</v>
      </c>
    </row>
    <row r="1122" spans="1:9" ht="15" customHeight="1">
      <c r="A1122" s="1253">
        <v>42480</v>
      </c>
      <c r="B1122" s="1209">
        <v>4770</v>
      </c>
      <c r="C1122" s="1210">
        <v>17330</v>
      </c>
      <c r="D1122" s="1230">
        <v>17255</v>
      </c>
      <c r="E1122" s="1212">
        <f t="shared" si="110"/>
        <v>-75</v>
      </c>
      <c r="F1122" s="1211">
        <f t="shared" si="111"/>
        <v>230</v>
      </c>
      <c r="G1122" s="1215"/>
      <c r="H1122" s="1269"/>
      <c r="I1122" s="1291">
        <v>112000</v>
      </c>
    </row>
    <row r="1123" spans="1:9" ht="15" customHeight="1">
      <c r="A1123" s="1253">
        <v>42481</v>
      </c>
      <c r="B1123" s="1209">
        <v>4830</v>
      </c>
      <c r="C1123" s="1210">
        <v>17475</v>
      </c>
      <c r="D1123" s="1230">
        <v>17410</v>
      </c>
      <c r="E1123" s="1212">
        <f t="shared" si="110"/>
        <v>-65</v>
      </c>
      <c r="F1123" s="1211">
        <f t="shared" si="111"/>
        <v>145</v>
      </c>
      <c r="G1123" s="1215"/>
      <c r="H1123" s="1269"/>
      <c r="I1123" s="1291">
        <v>111750</v>
      </c>
    </row>
    <row r="1124" spans="1:9" ht="15" customHeight="1">
      <c r="A1124" s="1253">
        <v>42482</v>
      </c>
      <c r="B1124" s="1209">
        <v>4765</v>
      </c>
      <c r="C1124" s="1210">
        <v>17350</v>
      </c>
      <c r="D1124" s="1230">
        <v>17325</v>
      </c>
      <c r="E1124" s="1212">
        <f t="shared" si="110"/>
        <v>-25</v>
      </c>
      <c r="F1124" s="1211">
        <f t="shared" si="111"/>
        <v>-125</v>
      </c>
      <c r="G1124" s="1215"/>
      <c r="H1124" s="1269"/>
      <c r="I1124" s="1291">
        <v>111500</v>
      </c>
    </row>
    <row r="1125" spans="1:9" ht="15" customHeight="1">
      <c r="A1125" s="1253">
        <v>42485</v>
      </c>
      <c r="B1125" s="1209">
        <v>4715</v>
      </c>
      <c r="C1125" s="1210">
        <v>17355</v>
      </c>
      <c r="D1125" s="1230">
        <v>17275</v>
      </c>
      <c r="E1125" s="1212">
        <f t="shared" si="110"/>
        <v>-80</v>
      </c>
      <c r="F1125" s="1211">
        <f t="shared" si="111"/>
        <v>5</v>
      </c>
      <c r="G1125" s="1215"/>
      <c r="H1125" s="1269"/>
      <c r="I1125" s="1291">
        <v>111500</v>
      </c>
    </row>
    <row r="1126" spans="1:9" ht="15" customHeight="1">
      <c r="A1126" s="1253">
        <v>42486</v>
      </c>
      <c r="B1126" s="1209">
        <v>4735</v>
      </c>
      <c r="C1126" s="1210">
        <v>17375</v>
      </c>
      <c r="D1126" s="1230">
        <v>17255</v>
      </c>
      <c r="E1126" s="1212">
        <f t="shared" si="110"/>
        <v>-120</v>
      </c>
      <c r="F1126" s="1211">
        <f t="shared" si="111"/>
        <v>20</v>
      </c>
      <c r="G1126" s="1215"/>
      <c r="H1126" s="1269"/>
      <c r="I1126" s="1291">
        <v>111500</v>
      </c>
    </row>
    <row r="1127" spans="1:9" ht="15" customHeight="1">
      <c r="A1127" s="1253">
        <v>42487</v>
      </c>
      <c r="B1127" s="1209">
        <v>4850</v>
      </c>
      <c r="C1127" s="1210">
        <v>17250</v>
      </c>
      <c r="D1127" s="1230">
        <v>17175</v>
      </c>
      <c r="E1127" s="1212">
        <f t="shared" si="110"/>
        <v>-75</v>
      </c>
      <c r="F1127" s="1211">
        <f t="shared" si="111"/>
        <v>-125</v>
      </c>
      <c r="G1127" s="1215"/>
      <c r="H1127" s="1269"/>
      <c r="I1127" s="1291">
        <v>111000</v>
      </c>
    </row>
    <row r="1128" spans="1:9" ht="15" customHeight="1">
      <c r="A1128" s="1253">
        <v>42488</v>
      </c>
      <c r="B1128" s="1209">
        <v>4855</v>
      </c>
      <c r="C1128" s="1210">
        <v>17100</v>
      </c>
      <c r="D1128" s="1230">
        <v>17000</v>
      </c>
      <c r="E1128" s="1212">
        <f t="shared" si="110"/>
        <v>-100</v>
      </c>
      <c r="F1128" s="1211">
        <f t="shared" si="111"/>
        <v>-150</v>
      </c>
      <c r="G1128" s="1215"/>
      <c r="H1128" s="1269"/>
      <c r="I1128" s="1291">
        <v>110250</v>
      </c>
    </row>
    <row r="1129" spans="1:9" ht="15" customHeight="1">
      <c r="A1129" s="1253">
        <v>42489</v>
      </c>
      <c r="B1129" s="1209">
        <v>5575</v>
      </c>
      <c r="C1129" s="1210">
        <v>17420</v>
      </c>
      <c r="D1129" s="1230">
        <v>17300</v>
      </c>
      <c r="E1129" s="1212">
        <f t="shared" si="110"/>
        <v>-120</v>
      </c>
      <c r="F1129" s="1211">
        <f t="shared" si="111"/>
        <v>320</v>
      </c>
      <c r="G1129" s="1227">
        <f>AVERAGE(C1109:C1129)</f>
        <v>17067.619047619046</v>
      </c>
      <c r="H1129" s="1274">
        <f>AVERAGE(C1045:C1129)</f>
        <v>15899.036144578313</v>
      </c>
      <c r="I1129" s="1291">
        <v>110500</v>
      </c>
    </row>
    <row r="1130" spans="1:9" ht="15" customHeight="1">
      <c r="A1130" s="1253">
        <v>42492</v>
      </c>
      <c r="B1130" s="1434" t="s">
        <v>118</v>
      </c>
      <c r="C1130" s="1434"/>
      <c r="D1130" s="1434"/>
      <c r="E1130" s="1434"/>
      <c r="F1130" s="1434"/>
      <c r="G1130" s="1215"/>
      <c r="H1130" s="1269"/>
      <c r="I1130" s="1291" t="s">
        <v>48</v>
      </c>
    </row>
    <row r="1131" spans="1:9" ht="15" customHeight="1">
      <c r="A1131" s="1253">
        <v>42493</v>
      </c>
      <c r="B1131" s="1209">
        <v>5690</v>
      </c>
      <c r="C1131" s="1210">
        <v>17325</v>
      </c>
      <c r="D1131" s="1230">
        <v>17285</v>
      </c>
      <c r="E1131" s="1212">
        <f t="shared" si="110"/>
        <v>-40</v>
      </c>
      <c r="F1131" s="1211">
        <f>C1131-C1129</f>
        <v>-95</v>
      </c>
      <c r="G1131" s="1215"/>
      <c r="H1131" s="1269"/>
      <c r="I1131" s="1291">
        <v>111000</v>
      </c>
    </row>
    <row r="1132" spans="1:9" ht="15" customHeight="1">
      <c r="A1132" s="1253">
        <v>42494</v>
      </c>
      <c r="B1132" s="1209">
        <v>5735</v>
      </c>
      <c r="C1132" s="1210">
        <v>17350</v>
      </c>
      <c r="D1132" s="1230">
        <v>17280</v>
      </c>
      <c r="E1132" s="1212">
        <f t="shared" si="110"/>
        <v>-70</v>
      </c>
      <c r="F1132" s="1211">
        <f t="shared" ref="F1132:F1137" si="112">C1132-C1131</f>
        <v>25</v>
      </c>
      <c r="G1132" s="1215"/>
      <c r="H1132" s="1269"/>
      <c r="I1132" s="1291">
        <v>112130</v>
      </c>
    </row>
    <row r="1133" spans="1:9" ht="15" customHeight="1">
      <c r="A1133" s="1253">
        <v>42495</v>
      </c>
      <c r="B1133" s="1209">
        <v>5860</v>
      </c>
      <c r="C1133" s="1210">
        <v>17420</v>
      </c>
      <c r="D1133" s="1230">
        <v>17350</v>
      </c>
      <c r="E1133" s="1212">
        <f t="shared" si="110"/>
        <v>-70</v>
      </c>
      <c r="F1133" s="1211">
        <f t="shared" si="112"/>
        <v>70</v>
      </c>
      <c r="G1133" s="1215"/>
      <c r="H1133" s="1269"/>
      <c r="I1133" s="1291">
        <v>111200</v>
      </c>
    </row>
    <row r="1134" spans="1:9" ht="15" customHeight="1">
      <c r="A1134" s="1253">
        <v>42496</v>
      </c>
      <c r="B1134" s="1209">
        <v>5950</v>
      </c>
      <c r="C1134" s="1210">
        <v>17400</v>
      </c>
      <c r="D1134" s="1230">
        <v>17305</v>
      </c>
      <c r="E1134" s="1212">
        <f t="shared" si="110"/>
        <v>-95</v>
      </c>
      <c r="F1134" s="1211">
        <f t="shared" si="112"/>
        <v>-20</v>
      </c>
      <c r="G1134" s="1215"/>
      <c r="H1134" s="1269"/>
      <c r="I1134" s="1291">
        <v>112500</v>
      </c>
    </row>
    <row r="1135" spans="1:9" ht="15" customHeight="1">
      <c r="A1135" s="1253">
        <v>42499</v>
      </c>
      <c r="B1135" s="1209">
        <v>5875</v>
      </c>
      <c r="C1135" s="1210">
        <v>17425</v>
      </c>
      <c r="D1135" s="1230">
        <v>17330</v>
      </c>
      <c r="E1135" s="1212">
        <f t="shared" si="110"/>
        <v>-95</v>
      </c>
      <c r="F1135" s="1211">
        <f t="shared" si="112"/>
        <v>25</v>
      </c>
      <c r="G1135" s="1215"/>
      <c r="H1135" s="1269"/>
      <c r="I1135" s="1291">
        <v>112250</v>
      </c>
    </row>
    <row r="1136" spans="1:9" ht="15" customHeight="1">
      <c r="A1136" s="1253">
        <v>42500</v>
      </c>
      <c r="B1136" s="1209">
        <v>6050</v>
      </c>
      <c r="C1136" s="1210">
        <v>17250</v>
      </c>
      <c r="D1136" s="1230">
        <v>17175</v>
      </c>
      <c r="E1136" s="1212">
        <f t="shared" si="110"/>
        <v>-75</v>
      </c>
      <c r="F1136" s="1211">
        <f t="shared" si="112"/>
        <v>-175</v>
      </c>
      <c r="G1136" s="1215"/>
      <c r="H1136" s="1269"/>
      <c r="I1136" s="1291">
        <v>110500</v>
      </c>
    </row>
    <row r="1137" spans="1:9" ht="15" customHeight="1">
      <c r="A1137" s="1253">
        <v>42501</v>
      </c>
      <c r="B1137" s="1209">
        <v>6160</v>
      </c>
      <c r="C1137" s="1210">
        <v>17350</v>
      </c>
      <c r="D1137" s="1230">
        <v>17300</v>
      </c>
      <c r="E1137" s="1212">
        <f t="shared" si="110"/>
        <v>-50</v>
      </c>
      <c r="F1137" s="1211">
        <f t="shared" si="112"/>
        <v>100</v>
      </c>
      <c r="G1137" s="1215"/>
      <c r="H1137" s="1269"/>
      <c r="I1137" s="1291">
        <v>110750</v>
      </c>
    </row>
    <row r="1138" spans="1:9" ht="15" customHeight="1">
      <c r="A1138" s="1253">
        <v>42502</v>
      </c>
      <c r="B1138" s="1209">
        <v>6325</v>
      </c>
      <c r="C1138" s="1210">
        <v>17350</v>
      </c>
      <c r="D1138" s="1230">
        <v>17250</v>
      </c>
      <c r="E1138" s="1212">
        <f t="shared" si="110"/>
        <v>-100</v>
      </c>
      <c r="F1138" s="1211">
        <f t="shared" ref="F1138:F1174" si="113">C1138-C1137</f>
        <v>0</v>
      </c>
      <c r="G1138" s="1215"/>
      <c r="H1138" s="1269"/>
      <c r="I1138" s="1291">
        <v>111500</v>
      </c>
    </row>
    <row r="1139" spans="1:9" ht="15" customHeight="1">
      <c r="A1139" s="1253">
        <v>42503</v>
      </c>
      <c r="B1139" s="1209">
        <v>6425</v>
      </c>
      <c r="C1139" s="1210">
        <v>16800</v>
      </c>
      <c r="D1139" s="1230">
        <v>16800</v>
      </c>
      <c r="E1139" s="1212">
        <f t="shared" si="110"/>
        <v>0</v>
      </c>
      <c r="F1139" s="1211">
        <f t="shared" si="113"/>
        <v>-550</v>
      </c>
      <c r="G1139" s="1215"/>
      <c r="H1139" s="1269"/>
      <c r="I1139" s="1291">
        <v>110750</v>
      </c>
    </row>
    <row r="1140" spans="1:9" ht="15" customHeight="1">
      <c r="A1140" s="1253">
        <v>42506</v>
      </c>
      <c r="B1140" s="1209">
        <v>6520</v>
      </c>
      <c r="C1140" s="1210">
        <v>16900</v>
      </c>
      <c r="D1140" s="1230">
        <v>16900</v>
      </c>
      <c r="E1140" s="1212">
        <f t="shared" si="110"/>
        <v>0</v>
      </c>
      <c r="F1140" s="1211">
        <f t="shared" si="113"/>
        <v>100</v>
      </c>
      <c r="G1140" s="1215"/>
      <c r="H1140" s="1269"/>
      <c r="I1140" s="1291">
        <v>110250</v>
      </c>
    </row>
    <row r="1141" spans="1:9" ht="15" customHeight="1">
      <c r="A1141" s="1253">
        <v>42507</v>
      </c>
      <c r="B1141" s="1209">
        <v>6510</v>
      </c>
      <c r="C1141" s="1210">
        <v>16975</v>
      </c>
      <c r="D1141" s="1230">
        <v>16925</v>
      </c>
      <c r="E1141" s="1212">
        <f t="shared" si="110"/>
        <v>-50</v>
      </c>
      <c r="F1141" s="1211">
        <f t="shared" si="113"/>
        <v>75</v>
      </c>
      <c r="G1141" s="1215"/>
      <c r="H1141" s="1269"/>
      <c r="I1141" s="1291">
        <v>110000</v>
      </c>
    </row>
    <row r="1142" spans="1:9" ht="15" customHeight="1">
      <c r="A1142" s="1253">
        <v>42508</v>
      </c>
      <c r="B1142" s="1209">
        <v>6615</v>
      </c>
      <c r="C1142" s="1210">
        <v>16825</v>
      </c>
      <c r="D1142" s="1230">
        <v>16830</v>
      </c>
      <c r="E1142" s="1212">
        <f t="shared" si="110"/>
        <v>5</v>
      </c>
      <c r="F1142" s="1211">
        <f t="shared" si="113"/>
        <v>-150</v>
      </c>
      <c r="G1142" s="1215"/>
      <c r="H1142" s="1269"/>
      <c r="I1142" s="1291">
        <v>110000</v>
      </c>
    </row>
    <row r="1143" spans="1:9" ht="15" customHeight="1">
      <c r="A1143" s="1253">
        <v>42509</v>
      </c>
      <c r="B1143" s="1209">
        <v>6635</v>
      </c>
      <c r="C1143" s="1210">
        <v>16705</v>
      </c>
      <c r="D1143" s="1230">
        <v>16700</v>
      </c>
      <c r="E1143" s="1212">
        <f t="shared" si="110"/>
        <v>-5</v>
      </c>
      <c r="F1143" s="1211">
        <f t="shared" si="113"/>
        <v>-120</v>
      </c>
      <c r="G1143" s="1215"/>
      <c r="H1143" s="1269"/>
      <c r="I1143" s="1291">
        <v>109000</v>
      </c>
    </row>
    <row r="1144" spans="1:9" ht="15" customHeight="1">
      <c r="A1144" s="1253">
        <v>42510</v>
      </c>
      <c r="B1144" s="1209">
        <v>6735</v>
      </c>
      <c r="C1144" s="1210">
        <v>16470</v>
      </c>
      <c r="D1144" s="1230">
        <v>16400</v>
      </c>
      <c r="E1144" s="1212">
        <f t="shared" si="110"/>
        <v>-70</v>
      </c>
      <c r="F1144" s="1211">
        <f t="shared" si="113"/>
        <v>-235</v>
      </c>
      <c r="G1144" s="1215"/>
      <c r="H1144" s="1269"/>
      <c r="I1144" s="1291">
        <v>108750</v>
      </c>
    </row>
    <row r="1145" spans="1:9" ht="15" customHeight="1">
      <c r="A1145" s="1253">
        <v>42513</v>
      </c>
      <c r="B1145" s="1209">
        <v>6810</v>
      </c>
      <c r="C1145" s="1210">
        <v>15925</v>
      </c>
      <c r="D1145" s="1230">
        <v>15900</v>
      </c>
      <c r="E1145" s="1212">
        <f t="shared" si="110"/>
        <v>-25</v>
      </c>
      <c r="F1145" s="1211">
        <f t="shared" si="113"/>
        <v>-545</v>
      </c>
      <c r="G1145" s="1215"/>
      <c r="H1145" s="1269"/>
      <c r="I1145" s="1291">
        <v>108250</v>
      </c>
    </row>
    <row r="1146" spans="1:9" ht="15" customHeight="1">
      <c r="A1146" s="1253">
        <v>42514</v>
      </c>
      <c r="B1146" s="1209">
        <v>6885</v>
      </c>
      <c r="C1146" s="1210">
        <v>15770</v>
      </c>
      <c r="D1146" s="1230">
        <v>15705</v>
      </c>
      <c r="E1146" s="1212">
        <f t="shared" si="110"/>
        <v>-65</v>
      </c>
      <c r="F1146" s="1211">
        <f t="shared" si="113"/>
        <v>-155</v>
      </c>
      <c r="G1146" s="1215"/>
      <c r="H1146" s="1269"/>
      <c r="I1146" s="1291">
        <v>107750</v>
      </c>
    </row>
    <row r="1147" spans="1:9" ht="15" customHeight="1">
      <c r="A1147" s="1253">
        <v>42515</v>
      </c>
      <c r="B1147" s="1209">
        <v>6980</v>
      </c>
      <c r="C1147" s="1210">
        <v>15500</v>
      </c>
      <c r="D1147" s="1230">
        <v>15455</v>
      </c>
      <c r="E1147" s="1212">
        <f t="shared" si="110"/>
        <v>-45</v>
      </c>
      <c r="F1147" s="1211">
        <f t="shared" si="113"/>
        <v>-270</v>
      </c>
      <c r="G1147" s="1215"/>
      <c r="H1147" s="1269"/>
      <c r="I1147" s="1291">
        <v>107250</v>
      </c>
    </row>
    <row r="1148" spans="1:9" ht="15" customHeight="1">
      <c r="A1148" s="1253">
        <v>42516</v>
      </c>
      <c r="B1148" s="1209">
        <v>7045</v>
      </c>
      <c r="C1148" s="1210">
        <v>15725</v>
      </c>
      <c r="D1148" s="1230">
        <v>15695</v>
      </c>
      <c r="E1148" s="1212">
        <f t="shared" si="110"/>
        <v>-30</v>
      </c>
      <c r="F1148" s="1211">
        <f t="shared" si="113"/>
        <v>225</v>
      </c>
      <c r="G1148" s="1215"/>
      <c r="H1148" s="1269"/>
      <c r="I1148" s="1291">
        <v>107250</v>
      </c>
    </row>
    <row r="1149" spans="1:9" ht="15" customHeight="1">
      <c r="A1149" s="1253">
        <v>42517</v>
      </c>
      <c r="B1149" s="1209">
        <v>7115</v>
      </c>
      <c r="C1149" s="1210">
        <v>16250</v>
      </c>
      <c r="D1149" s="1230">
        <v>16200</v>
      </c>
      <c r="E1149" s="1212">
        <f t="shared" si="110"/>
        <v>-50</v>
      </c>
      <c r="F1149" s="1211">
        <f t="shared" si="113"/>
        <v>525</v>
      </c>
      <c r="G1149" s="1215"/>
      <c r="H1149" s="1269"/>
      <c r="I1149" s="1291">
        <v>107750</v>
      </c>
    </row>
    <row r="1150" spans="1:9" ht="15" customHeight="1">
      <c r="A1150" s="1253">
        <v>42520</v>
      </c>
      <c r="B1150" s="1434" t="s">
        <v>118</v>
      </c>
      <c r="C1150" s="1434"/>
      <c r="D1150" s="1434"/>
      <c r="E1150" s="1434"/>
      <c r="F1150" s="1434"/>
      <c r="G1150" s="1215"/>
      <c r="H1150" s="1269"/>
      <c r="I1150" s="1291">
        <v>108250</v>
      </c>
    </row>
    <row r="1151" spans="1:9" ht="15" customHeight="1">
      <c r="A1151" s="1253">
        <v>42521</v>
      </c>
      <c r="B1151" s="1209">
        <v>7195</v>
      </c>
      <c r="C1151" s="1210">
        <v>16200</v>
      </c>
      <c r="D1151" s="1230">
        <v>16250</v>
      </c>
      <c r="E1151" s="1212">
        <f t="shared" si="110"/>
        <v>50</v>
      </c>
      <c r="F1151" s="1211">
        <f t="shared" si="113"/>
        <v>16200</v>
      </c>
      <c r="G1151" s="1227">
        <f>AVERAGE(C1131:C1151)</f>
        <v>16745.75</v>
      </c>
      <c r="H1151" s="1274">
        <f>AVERAGE(C1045:C1151)</f>
        <v>16063.446601941747</v>
      </c>
      <c r="I1151" s="1291">
        <v>108750</v>
      </c>
    </row>
    <row r="1152" spans="1:9" ht="15" customHeight="1">
      <c r="A1152" s="1253">
        <v>42522</v>
      </c>
      <c r="B1152" s="1209">
        <v>7235</v>
      </c>
      <c r="C1152" s="1210">
        <v>15905</v>
      </c>
      <c r="D1152" s="1230">
        <v>15900</v>
      </c>
      <c r="E1152" s="1212">
        <f t="shared" si="110"/>
        <v>-5</v>
      </c>
      <c r="F1152" s="1211">
        <f t="shared" si="113"/>
        <v>-295</v>
      </c>
      <c r="G1152" s="1215"/>
      <c r="H1152" s="1269"/>
      <c r="I1152" s="1291">
        <v>108750</v>
      </c>
    </row>
    <row r="1153" spans="1:9" ht="15" customHeight="1">
      <c r="A1153" s="1253">
        <v>42523</v>
      </c>
      <c r="B1153" s="1209">
        <v>7370</v>
      </c>
      <c r="C1153" s="1210">
        <v>16230</v>
      </c>
      <c r="D1153" s="1230">
        <v>16225</v>
      </c>
      <c r="E1153" s="1212">
        <f t="shared" si="110"/>
        <v>-5</v>
      </c>
      <c r="F1153" s="1211">
        <f t="shared" si="113"/>
        <v>325</v>
      </c>
      <c r="G1153" s="1215"/>
      <c r="H1153" s="1269"/>
      <c r="I1153" s="1291">
        <v>108250</v>
      </c>
    </row>
    <row r="1154" spans="1:9" ht="15" customHeight="1">
      <c r="A1154" s="1253">
        <v>42524</v>
      </c>
      <c r="B1154" s="1209">
        <v>7155</v>
      </c>
      <c r="C1154" s="1210">
        <v>16545</v>
      </c>
      <c r="D1154" s="1230">
        <v>16525</v>
      </c>
      <c r="E1154" s="1212">
        <f t="shared" si="110"/>
        <v>-20</v>
      </c>
      <c r="F1154" s="1211">
        <f t="shared" si="113"/>
        <v>315</v>
      </c>
      <c r="G1154" s="1215"/>
      <c r="H1154" s="1269"/>
      <c r="I1154" s="1291">
        <v>108250</v>
      </c>
    </row>
    <row r="1155" spans="1:9" ht="15" customHeight="1">
      <c r="A1155" s="1253">
        <v>42527</v>
      </c>
      <c r="B1155" s="1209">
        <v>7130</v>
      </c>
      <c r="C1155" s="1210">
        <v>16850</v>
      </c>
      <c r="D1155" s="1230">
        <v>16800</v>
      </c>
      <c r="E1155" s="1212">
        <f t="shared" si="110"/>
        <v>-50</v>
      </c>
      <c r="F1155" s="1211">
        <f t="shared" si="113"/>
        <v>305</v>
      </c>
      <c r="G1155" s="1215"/>
      <c r="H1155" s="1269"/>
      <c r="I1155" s="1291">
        <v>108750</v>
      </c>
    </row>
    <row r="1156" spans="1:9" ht="15" customHeight="1">
      <c r="A1156" s="1253">
        <v>42528</v>
      </c>
      <c r="B1156" s="1209">
        <v>6720</v>
      </c>
      <c r="C1156" s="1210">
        <v>16975</v>
      </c>
      <c r="D1156" s="1230">
        <v>16950</v>
      </c>
      <c r="E1156" s="1212">
        <f t="shared" si="110"/>
        <v>-25</v>
      </c>
      <c r="F1156" s="1211">
        <f t="shared" si="113"/>
        <v>125</v>
      </c>
      <c r="G1156" s="1215"/>
      <c r="H1156" s="1269"/>
      <c r="I1156" s="1291">
        <v>109250</v>
      </c>
    </row>
    <row r="1157" spans="1:9" ht="15" customHeight="1">
      <c r="A1157" s="1253">
        <v>42529</v>
      </c>
      <c r="B1157" s="1209">
        <v>6730</v>
      </c>
      <c r="C1157" s="1210">
        <v>17150</v>
      </c>
      <c r="D1157" s="1230">
        <v>17100</v>
      </c>
      <c r="E1157" s="1212">
        <f t="shared" si="110"/>
        <v>-50</v>
      </c>
      <c r="F1157" s="1211">
        <f t="shared" si="113"/>
        <v>175</v>
      </c>
      <c r="G1157" s="1215"/>
      <c r="H1157" s="1269"/>
      <c r="I1157" s="1291">
        <v>109250</v>
      </c>
    </row>
    <row r="1158" spans="1:9" ht="15" customHeight="1">
      <c r="A1158" s="1253">
        <v>42530</v>
      </c>
      <c r="B1158" s="1209">
        <v>6665</v>
      </c>
      <c r="C1158" s="1210">
        <v>17300</v>
      </c>
      <c r="D1158" s="1230">
        <v>17200</v>
      </c>
      <c r="E1158" s="1212">
        <f t="shared" si="110"/>
        <v>-100</v>
      </c>
      <c r="F1158" s="1211">
        <f t="shared" si="113"/>
        <v>150</v>
      </c>
      <c r="G1158" s="1215"/>
      <c r="H1158" s="1269"/>
      <c r="I1158" s="1466" t="s">
        <v>55</v>
      </c>
    </row>
    <row r="1159" spans="1:9" ht="15" customHeight="1">
      <c r="A1159" s="1253">
        <v>42531</v>
      </c>
      <c r="B1159" s="1209">
        <v>6575</v>
      </c>
      <c r="C1159" s="1210">
        <v>17225</v>
      </c>
      <c r="D1159" s="1230">
        <v>17200</v>
      </c>
      <c r="E1159" s="1212">
        <f t="shared" si="110"/>
        <v>-25</v>
      </c>
      <c r="F1159" s="1211">
        <f t="shared" si="113"/>
        <v>-75</v>
      </c>
      <c r="G1159" s="1215"/>
      <c r="H1159" s="1269"/>
      <c r="I1159" s="1466"/>
    </row>
    <row r="1160" spans="1:9" ht="15" customHeight="1">
      <c r="A1160" s="1253">
        <v>42534</v>
      </c>
      <c r="B1160" s="1209">
        <v>6555</v>
      </c>
      <c r="C1160" s="1210">
        <v>17085</v>
      </c>
      <c r="D1160" s="1230">
        <v>17100</v>
      </c>
      <c r="E1160" s="1212">
        <f t="shared" si="110"/>
        <v>15</v>
      </c>
      <c r="F1160" s="1211">
        <f t="shared" si="113"/>
        <v>-140</v>
      </c>
      <c r="G1160" s="1215"/>
      <c r="H1160" s="1269"/>
      <c r="I1160" s="1291">
        <v>109250</v>
      </c>
    </row>
    <row r="1161" spans="1:9" ht="15" customHeight="1">
      <c r="A1161" s="1253">
        <v>42535</v>
      </c>
      <c r="B1161" s="1209">
        <v>6435</v>
      </c>
      <c r="C1161" s="1210">
        <v>17150</v>
      </c>
      <c r="D1161" s="1230">
        <v>17050</v>
      </c>
      <c r="E1161" s="1212">
        <f t="shared" si="110"/>
        <v>-100</v>
      </c>
      <c r="F1161" s="1211">
        <f t="shared" si="113"/>
        <v>65</v>
      </c>
      <c r="G1161" s="1215"/>
      <c r="H1161" s="1269"/>
      <c r="I1161" s="1291">
        <v>109250</v>
      </c>
    </row>
    <row r="1162" spans="1:9" ht="15" customHeight="1">
      <c r="A1162" s="1253">
        <v>42536</v>
      </c>
      <c r="B1162" s="1209">
        <v>6305</v>
      </c>
      <c r="C1162" s="1210">
        <v>17250</v>
      </c>
      <c r="D1162" s="1230">
        <v>17250</v>
      </c>
      <c r="E1162" s="1212">
        <f t="shared" si="110"/>
        <v>0</v>
      </c>
      <c r="F1162" s="1211">
        <f t="shared" si="113"/>
        <v>100</v>
      </c>
      <c r="G1162" s="1215"/>
      <c r="H1162" s="1269"/>
      <c r="I1162" s="1291">
        <v>110500</v>
      </c>
    </row>
    <row r="1163" spans="1:9" ht="15" customHeight="1">
      <c r="A1163" s="1253">
        <v>42537</v>
      </c>
      <c r="B1163" s="1209">
        <v>6300</v>
      </c>
      <c r="C1163" s="1210">
        <v>17145</v>
      </c>
      <c r="D1163" s="1230">
        <v>17150</v>
      </c>
      <c r="E1163" s="1212">
        <f t="shared" si="110"/>
        <v>5</v>
      </c>
      <c r="F1163" s="1211">
        <f t="shared" si="113"/>
        <v>-105</v>
      </c>
      <c r="G1163" s="1215"/>
      <c r="H1163" s="1269"/>
      <c r="I1163" s="1291">
        <v>111250</v>
      </c>
    </row>
    <row r="1164" spans="1:9" ht="15" customHeight="1">
      <c r="A1164" s="1253">
        <v>42538</v>
      </c>
      <c r="B1164" s="1209">
        <v>6360</v>
      </c>
      <c r="C1164" s="1210">
        <v>17265</v>
      </c>
      <c r="D1164" s="1230">
        <v>17200</v>
      </c>
      <c r="E1164" s="1212">
        <f t="shared" si="110"/>
        <v>-65</v>
      </c>
      <c r="F1164" s="1211">
        <f t="shared" si="113"/>
        <v>120</v>
      </c>
      <c r="G1164" s="1215"/>
      <c r="H1164" s="1269"/>
      <c r="I1164" s="1291">
        <v>111750</v>
      </c>
    </row>
    <row r="1165" spans="1:9" ht="15" customHeight="1">
      <c r="A1165" s="1253">
        <v>42541</v>
      </c>
      <c r="B1165" s="1209">
        <v>6360</v>
      </c>
      <c r="C1165" s="1210">
        <v>17005</v>
      </c>
      <c r="D1165" s="1230">
        <v>17025</v>
      </c>
      <c r="E1165" s="1212">
        <f t="shared" si="110"/>
        <v>20</v>
      </c>
      <c r="F1165" s="1211">
        <f t="shared" si="113"/>
        <v>-260</v>
      </c>
      <c r="G1165" s="1215"/>
      <c r="H1165" s="1269"/>
      <c r="I1165" s="1291">
        <v>111750</v>
      </c>
    </row>
    <row r="1166" spans="1:9" ht="15" customHeight="1">
      <c r="A1166" s="1253">
        <v>42542</v>
      </c>
      <c r="B1166" s="1209">
        <v>6275</v>
      </c>
      <c r="C1166" s="1210">
        <v>17035</v>
      </c>
      <c r="D1166" s="1230">
        <v>16950</v>
      </c>
      <c r="E1166" s="1212">
        <f t="shared" si="110"/>
        <v>-85</v>
      </c>
      <c r="F1166" s="1211">
        <f t="shared" si="113"/>
        <v>30</v>
      </c>
      <c r="G1166" s="1215"/>
      <c r="H1166" s="1269"/>
      <c r="I1166" s="1291">
        <v>111250</v>
      </c>
    </row>
    <row r="1167" spans="1:9" ht="15" customHeight="1">
      <c r="A1167" s="1253">
        <v>42543</v>
      </c>
      <c r="B1167" s="1209">
        <v>6285</v>
      </c>
      <c r="C1167" s="1210">
        <v>17150</v>
      </c>
      <c r="D1167" s="1230">
        <v>17175</v>
      </c>
      <c r="E1167" s="1212">
        <f t="shared" si="110"/>
        <v>25</v>
      </c>
      <c r="F1167" s="1211">
        <f t="shared" si="113"/>
        <v>115</v>
      </c>
      <c r="G1167" s="1215"/>
      <c r="H1167" s="1269"/>
      <c r="I1167" s="1291">
        <v>110500</v>
      </c>
    </row>
    <row r="1168" spans="1:9" ht="15" customHeight="1">
      <c r="A1168" s="1253">
        <v>42544</v>
      </c>
      <c r="B1168" s="1209">
        <v>6245</v>
      </c>
      <c r="C1168" s="1210">
        <v>17170</v>
      </c>
      <c r="D1168" s="1230">
        <v>17175</v>
      </c>
      <c r="E1168" s="1212">
        <f t="shared" si="110"/>
        <v>5</v>
      </c>
      <c r="F1168" s="1211">
        <f t="shared" si="113"/>
        <v>20</v>
      </c>
      <c r="G1168" s="1215"/>
      <c r="H1168" s="1269"/>
      <c r="I1168" s="1291">
        <v>110250</v>
      </c>
    </row>
    <row r="1169" spans="1:9" ht="15" customHeight="1">
      <c r="A1169" s="1253">
        <v>42545</v>
      </c>
      <c r="B1169" s="1209">
        <v>6180</v>
      </c>
      <c r="C1169" s="1210">
        <v>17060</v>
      </c>
      <c r="D1169" s="1230">
        <v>17050</v>
      </c>
      <c r="E1169" s="1212">
        <f t="shared" si="110"/>
        <v>-10</v>
      </c>
      <c r="F1169" s="1211">
        <f t="shared" si="113"/>
        <v>-110</v>
      </c>
      <c r="G1169" s="1215"/>
      <c r="H1169" s="1269"/>
      <c r="I1169" s="1291">
        <v>110250</v>
      </c>
    </row>
    <row r="1170" spans="1:9" ht="15" customHeight="1">
      <c r="A1170" s="1253">
        <v>42548</v>
      </c>
      <c r="B1170" s="1209">
        <v>6105</v>
      </c>
      <c r="C1170" s="1210">
        <v>17005</v>
      </c>
      <c r="D1170" s="1230">
        <v>16980</v>
      </c>
      <c r="E1170" s="1212">
        <f t="shared" ref="E1170:E1233" si="114">D1170-C1170</f>
        <v>-25</v>
      </c>
      <c r="F1170" s="1211">
        <f t="shared" si="113"/>
        <v>-55</v>
      </c>
      <c r="G1170" s="1215"/>
      <c r="H1170" s="1269"/>
      <c r="I1170" s="1291">
        <v>110750</v>
      </c>
    </row>
    <row r="1171" spans="1:9" ht="15" customHeight="1">
      <c r="A1171" s="1253">
        <v>42549</v>
      </c>
      <c r="B1171" s="1209">
        <v>6085</v>
      </c>
      <c r="C1171" s="1210">
        <v>17070</v>
      </c>
      <c r="D1171" s="1230">
        <v>17075</v>
      </c>
      <c r="E1171" s="1212">
        <f t="shared" si="114"/>
        <v>5</v>
      </c>
      <c r="F1171" s="1211">
        <f t="shared" si="113"/>
        <v>65</v>
      </c>
      <c r="G1171" s="1215"/>
      <c r="H1171" s="1269"/>
      <c r="I1171" s="1291">
        <v>111500</v>
      </c>
    </row>
    <row r="1172" spans="1:9" ht="15" customHeight="1">
      <c r="A1172" s="1253">
        <v>42550</v>
      </c>
      <c r="B1172" s="1209">
        <v>6060</v>
      </c>
      <c r="C1172" s="1210">
        <v>17050</v>
      </c>
      <c r="D1172" s="1230">
        <v>17050</v>
      </c>
      <c r="E1172" s="1212">
        <f t="shared" si="114"/>
        <v>0</v>
      </c>
      <c r="F1172" s="1211">
        <f t="shared" si="113"/>
        <v>-20</v>
      </c>
      <c r="G1172" s="1215"/>
      <c r="H1172" s="1269"/>
      <c r="I1172" s="1291">
        <v>111000</v>
      </c>
    </row>
    <row r="1173" spans="1:9" ht="15" customHeight="1">
      <c r="A1173" s="1253">
        <v>42551</v>
      </c>
      <c r="B1173" s="1209">
        <v>5985</v>
      </c>
      <c r="C1173" s="1210">
        <v>17055</v>
      </c>
      <c r="D1173" s="1230">
        <v>17050</v>
      </c>
      <c r="E1173" s="1212">
        <f t="shared" si="114"/>
        <v>-5</v>
      </c>
      <c r="F1173" s="1211">
        <f t="shared" si="113"/>
        <v>5</v>
      </c>
      <c r="G1173" s="1227">
        <f>AVERAGE(C1152:C1173)</f>
        <v>16985.227272727272</v>
      </c>
      <c r="H1173" s="1274">
        <f>AVERAGE(C1045:C1173)</f>
        <v>16225.68</v>
      </c>
      <c r="I1173" s="1291">
        <v>111000</v>
      </c>
    </row>
    <row r="1174" spans="1:9" ht="15" customHeight="1">
      <c r="A1174" s="1253">
        <v>42552</v>
      </c>
      <c r="B1174" s="1209">
        <v>5985</v>
      </c>
      <c r="C1174" s="1210">
        <v>17420</v>
      </c>
      <c r="D1174" s="1230">
        <v>17305</v>
      </c>
      <c r="E1174" s="1212">
        <f t="shared" si="114"/>
        <v>-115</v>
      </c>
      <c r="F1174" s="1211">
        <f t="shared" si="113"/>
        <v>365</v>
      </c>
      <c r="G1174" s="1215"/>
      <c r="H1174" s="1269"/>
      <c r="I1174" s="1291">
        <v>111750</v>
      </c>
    </row>
    <row r="1175" spans="1:9" ht="15" customHeight="1">
      <c r="A1175" s="1253">
        <v>42555</v>
      </c>
      <c r="B1175" s="1209">
        <v>6050</v>
      </c>
      <c r="C1175" s="1210">
        <v>17970</v>
      </c>
      <c r="D1175" s="1230">
        <v>17850</v>
      </c>
      <c r="E1175" s="1212">
        <f t="shared" si="114"/>
        <v>-120</v>
      </c>
      <c r="F1175" s="1211">
        <f t="shared" ref="F1175:F1184" si="115">C1175-C1174</f>
        <v>550</v>
      </c>
      <c r="G1175" s="1215"/>
      <c r="H1175" s="1269"/>
      <c r="I1175" s="1291">
        <v>121000</v>
      </c>
    </row>
    <row r="1176" spans="1:9" ht="15" customHeight="1">
      <c r="A1176" s="1253">
        <v>42556</v>
      </c>
      <c r="B1176" s="1209">
        <v>6050</v>
      </c>
      <c r="C1176" s="1210">
        <v>18145</v>
      </c>
      <c r="D1176" s="1230">
        <v>18100</v>
      </c>
      <c r="E1176" s="1212">
        <f t="shared" si="114"/>
        <v>-45</v>
      </c>
      <c r="F1176" s="1211">
        <f t="shared" si="115"/>
        <v>175</v>
      </c>
      <c r="G1176" s="1215"/>
      <c r="H1176" s="1269"/>
      <c r="I1176" s="1291">
        <v>120500</v>
      </c>
    </row>
    <row r="1177" spans="1:9" ht="15" customHeight="1">
      <c r="A1177" s="1253">
        <v>42557</v>
      </c>
      <c r="B1177" s="1209">
        <v>6050</v>
      </c>
      <c r="C1177" s="1210">
        <v>17550</v>
      </c>
      <c r="D1177" s="1230">
        <v>17450</v>
      </c>
      <c r="E1177" s="1212">
        <f t="shared" si="114"/>
        <v>-100</v>
      </c>
      <c r="F1177" s="1211">
        <f t="shared" si="115"/>
        <v>-595</v>
      </c>
      <c r="G1177" s="1215"/>
      <c r="H1177" s="1269"/>
      <c r="I1177" s="1291">
        <v>116250</v>
      </c>
    </row>
    <row r="1178" spans="1:9" ht="15" customHeight="1">
      <c r="A1178" s="1253">
        <v>42558</v>
      </c>
      <c r="B1178" s="1209">
        <v>6050</v>
      </c>
      <c r="C1178" s="1210">
        <v>17750</v>
      </c>
      <c r="D1178" s="1230">
        <v>17700</v>
      </c>
      <c r="E1178" s="1212">
        <f t="shared" si="114"/>
        <v>-50</v>
      </c>
      <c r="F1178" s="1211">
        <f t="shared" si="115"/>
        <v>200</v>
      </c>
      <c r="G1178" s="1215"/>
      <c r="H1178" s="1269"/>
      <c r="I1178" s="1291">
        <v>118000</v>
      </c>
    </row>
    <row r="1179" spans="1:9" ht="15" customHeight="1">
      <c r="A1179" s="1253">
        <v>42559</v>
      </c>
      <c r="B1179" s="1209">
        <v>6050</v>
      </c>
      <c r="C1179" s="1210">
        <v>17725</v>
      </c>
      <c r="D1179" s="1230">
        <v>17700</v>
      </c>
      <c r="E1179" s="1212">
        <f t="shared" si="114"/>
        <v>-25</v>
      </c>
      <c r="F1179" s="1211">
        <f t="shared" si="115"/>
        <v>-25</v>
      </c>
      <c r="G1179" s="1215"/>
      <c r="H1179" s="1269"/>
      <c r="I1179" s="1291">
        <v>115250</v>
      </c>
    </row>
    <row r="1180" spans="1:9" ht="15" customHeight="1">
      <c r="A1180" s="1253">
        <v>42562</v>
      </c>
      <c r="B1180" s="1209">
        <v>6045</v>
      </c>
      <c r="C1180" s="1210">
        <v>17750</v>
      </c>
      <c r="D1180" s="1230">
        <v>17750</v>
      </c>
      <c r="E1180" s="1212">
        <f t="shared" si="114"/>
        <v>0</v>
      </c>
      <c r="F1180" s="1211">
        <f t="shared" si="115"/>
        <v>25</v>
      </c>
      <c r="G1180" s="1215"/>
      <c r="H1180" s="1269"/>
      <c r="I1180" s="1291">
        <v>118250</v>
      </c>
    </row>
    <row r="1181" spans="1:9" ht="15" customHeight="1">
      <c r="A1181" s="1253">
        <v>42563</v>
      </c>
      <c r="B1181" s="1209">
        <v>6045</v>
      </c>
      <c r="C1181" s="1210">
        <v>17835</v>
      </c>
      <c r="D1181" s="1230">
        <v>17900</v>
      </c>
      <c r="E1181" s="1212">
        <f t="shared" si="114"/>
        <v>65</v>
      </c>
      <c r="F1181" s="1211">
        <f t="shared" si="115"/>
        <v>85</v>
      </c>
      <c r="G1181" s="1215"/>
      <c r="H1181" s="1269"/>
      <c r="I1181" s="1291">
        <v>117750</v>
      </c>
    </row>
    <row r="1182" spans="1:9" ht="15" customHeight="1">
      <c r="A1182" s="1253">
        <v>42564</v>
      </c>
      <c r="B1182" s="1209">
        <v>6045</v>
      </c>
      <c r="C1182" s="1210">
        <v>17995</v>
      </c>
      <c r="D1182" s="1230">
        <v>17950</v>
      </c>
      <c r="E1182" s="1212">
        <f t="shared" si="114"/>
        <v>-45</v>
      </c>
      <c r="F1182" s="1211">
        <f t="shared" si="115"/>
        <v>160</v>
      </c>
      <c r="G1182" s="1215"/>
      <c r="H1182" s="1269"/>
      <c r="I1182" s="1291">
        <v>119750</v>
      </c>
    </row>
    <row r="1183" spans="1:9" ht="15" customHeight="1">
      <c r="A1183" s="1253">
        <v>42565</v>
      </c>
      <c r="B1183" s="1209">
        <v>6015</v>
      </c>
      <c r="C1183" s="1210">
        <v>18000</v>
      </c>
      <c r="D1183" s="1230">
        <v>18000</v>
      </c>
      <c r="E1183" s="1212">
        <f t="shared" si="114"/>
        <v>0</v>
      </c>
      <c r="F1183" s="1211">
        <f t="shared" si="115"/>
        <v>5</v>
      </c>
      <c r="G1183" s="1215"/>
      <c r="H1183" s="1269"/>
      <c r="I1183" s="1291">
        <v>118250</v>
      </c>
    </row>
    <row r="1184" spans="1:9" ht="15" customHeight="1">
      <c r="A1184" s="1253">
        <v>42566</v>
      </c>
      <c r="B1184" s="1209">
        <v>5995</v>
      </c>
      <c r="C1184" s="1210">
        <v>18200</v>
      </c>
      <c r="D1184" s="1230">
        <v>18250</v>
      </c>
      <c r="E1184" s="1212">
        <f t="shared" si="114"/>
        <v>50</v>
      </c>
      <c r="F1184" s="1211">
        <f t="shared" si="115"/>
        <v>200</v>
      </c>
      <c r="G1184" s="1215"/>
      <c r="H1184" s="1269"/>
      <c r="I1184" s="1291">
        <v>118250</v>
      </c>
    </row>
    <row r="1185" spans="1:9" ht="15" customHeight="1">
      <c r="A1185" s="1253">
        <v>42569</v>
      </c>
      <c r="B1185" s="1209">
        <v>5970</v>
      </c>
      <c r="C1185" s="1210">
        <v>17950</v>
      </c>
      <c r="D1185" s="1230">
        <v>17900</v>
      </c>
      <c r="E1185" s="1212">
        <f t="shared" si="114"/>
        <v>-50</v>
      </c>
      <c r="F1185" s="1211">
        <f t="shared" ref="F1185:F1190" si="116">C1185-C1184</f>
        <v>-250</v>
      </c>
      <c r="G1185" s="1215"/>
      <c r="H1185" s="1269"/>
      <c r="I1185" s="1291">
        <v>118250</v>
      </c>
    </row>
    <row r="1186" spans="1:9" ht="15" customHeight="1">
      <c r="A1186" s="1253">
        <v>42570</v>
      </c>
      <c r="B1186" s="1209">
        <v>5870</v>
      </c>
      <c r="C1186" s="1210">
        <v>17850</v>
      </c>
      <c r="D1186" s="1230">
        <v>17825</v>
      </c>
      <c r="E1186" s="1212">
        <f t="shared" si="114"/>
        <v>-25</v>
      </c>
      <c r="F1186" s="1211">
        <f t="shared" si="116"/>
        <v>-100</v>
      </c>
      <c r="G1186" s="1215"/>
      <c r="H1186" s="1269"/>
      <c r="I1186" s="1291">
        <v>177750</v>
      </c>
    </row>
    <row r="1187" spans="1:9" ht="15" customHeight="1">
      <c r="A1187" s="1253">
        <v>42571</v>
      </c>
      <c r="B1187" s="1209">
        <v>5985</v>
      </c>
      <c r="C1187" s="1210">
        <v>17675</v>
      </c>
      <c r="D1187" s="1230">
        <v>17655</v>
      </c>
      <c r="E1187" s="1212">
        <f t="shared" si="114"/>
        <v>-20</v>
      </c>
      <c r="F1187" s="1211">
        <f t="shared" si="116"/>
        <v>-175</v>
      </c>
      <c r="G1187" s="1215"/>
      <c r="H1187" s="1269"/>
      <c r="I1187" s="1291">
        <v>177750</v>
      </c>
    </row>
    <row r="1188" spans="1:9" ht="15" customHeight="1">
      <c r="A1188" s="1253">
        <v>42572</v>
      </c>
      <c r="B1188" s="1209">
        <v>6020</v>
      </c>
      <c r="C1188" s="1210">
        <v>17835</v>
      </c>
      <c r="D1188" s="1230">
        <v>17875</v>
      </c>
      <c r="E1188" s="1212">
        <f t="shared" si="114"/>
        <v>40</v>
      </c>
      <c r="F1188" s="1211">
        <f t="shared" si="116"/>
        <v>160</v>
      </c>
      <c r="G1188" s="1215"/>
      <c r="H1188" s="1269"/>
      <c r="I1188" s="1291">
        <v>117750</v>
      </c>
    </row>
    <row r="1189" spans="1:9" ht="15" customHeight="1">
      <c r="A1189" s="1253">
        <v>42573</v>
      </c>
      <c r="B1189" s="1209">
        <v>6020</v>
      </c>
      <c r="C1189" s="1210">
        <v>17800</v>
      </c>
      <c r="D1189" s="1230">
        <v>17850</v>
      </c>
      <c r="E1189" s="1212">
        <f t="shared" si="114"/>
        <v>50</v>
      </c>
      <c r="F1189" s="1211">
        <f t="shared" si="116"/>
        <v>-35</v>
      </c>
      <c r="G1189" s="1215"/>
      <c r="H1189" s="1269"/>
      <c r="I1189" s="1291">
        <v>118250</v>
      </c>
    </row>
    <row r="1190" spans="1:9" ht="15" customHeight="1">
      <c r="A1190" s="1253">
        <v>42576</v>
      </c>
      <c r="B1190" s="1209">
        <v>5970</v>
      </c>
      <c r="C1190" s="1210">
        <v>17775</v>
      </c>
      <c r="D1190" s="1230">
        <v>17730</v>
      </c>
      <c r="E1190" s="1212">
        <f t="shared" si="114"/>
        <v>-45</v>
      </c>
      <c r="F1190" s="1211">
        <f t="shared" si="116"/>
        <v>-25</v>
      </c>
      <c r="G1190" s="1215"/>
      <c r="H1190" s="1269"/>
      <c r="I1190" s="1291">
        <v>117750</v>
      </c>
    </row>
    <row r="1191" spans="1:9" ht="15" customHeight="1">
      <c r="A1191" s="1253">
        <v>42577</v>
      </c>
      <c r="B1191" s="1209">
        <v>5710</v>
      </c>
      <c r="C1191" s="1210">
        <v>17775</v>
      </c>
      <c r="D1191" s="1230">
        <v>17800</v>
      </c>
      <c r="E1191" s="1212">
        <f t="shared" si="114"/>
        <v>25</v>
      </c>
      <c r="F1191" s="1211">
        <f>C1191-C1190</f>
        <v>0</v>
      </c>
      <c r="G1191" s="1215"/>
      <c r="H1191" s="1269"/>
      <c r="I1191" s="1291">
        <v>12500</v>
      </c>
    </row>
    <row r="1192" spans="1:9" ht="15" customHeight="1">
      <c r="A1192" s="1253">
        <v>42578</v>
      </c>
      <c r="B1192" s="1209">
        <v>5710</v>
      </c>
      <c r="C1192" s="1210">
        <v>17795</v>
      </c>
      <c r="D1192" s="1230">
        <v>17800</v>
      </c>
      <c r="E1192" s="1212">
        <f t="shared" si="114"/>
        <v>5</v>
      </c>
      <c r="F1192" s="1211">
        <f>C1192-C1191</f>
        <v>20</v>
      </c>
      <c r="G1192" s="1215"/>
      <c r="H1192" s="1269"/>
      <c r="I1192" s="1291">
        <v>120750</v>
      </c>
    </row>
    <row r="1193" spans="1:9" ht="15" customHeight="1">
      <c r="A1193" s="1253">
        <v>42579</v>
      </c>
      <c r="B1193" s="1209">
        <v>5710</v>
      </c>
      <c r="C1193" s="1210">
        <v>17850</v>
      </c>
      <c r="D1193" s="1230">
        <v>17825</v>
      </c>
      <c r="E1193" s="1212">
        <f t="shared" si="114"/>
        <v>-25</v>
      </c>
      <c r="F1193" s="1211">
        <f>C1193-C1192</f>
        <v>55</v>
      </c>
      <c r="G1193" s="1215"/>
      <c r="H1193" s="1269"/>
      <c r="I1193" s="1291">
        <v>121250</v>
      </c>
    </row>
    <row r="1194" spans="1:9" ht="15" customHeight="1">
      <c r="A1194" s="1253">
        <v>42580</v>
      </c>
      <c r="B1194" s="1209">
        <v>5690</v>
      </c>
      <c r="C1194" s="1210">
        <v>17850</v>
      </c>
      <c r="D1194" s="1230">
        <v>17770</v>
      </c>
      <c r="E1194" s="1212">
        <f t="shared" si="114"/>
        <v>-80</v>
      </c>
      <c r="F1194" s="1211">
        <f>C1194-C1193</f>
        <v>0</v>
      </c>
      <c r="G1194" s="1227">
        <f>AVERAGE(C1174:C1194)</f>
        <v>17833.095238095237</v>
      </c>
      <c r="H1194" s="1274">
        <f>AVERAGE(C1045:C1194)</f>
        <v>16456.883561643837</v>
      </c>
      <c r="I1194" s="1291">
        <v>120750</v>
      </c>
    </row>
    <row r="1195" spans="1:9" ht="15" customHeight="1">
      <c r="A1195" s="1253">
        <v>42583</v>
      </c>
      <c r="B1195" s="1209">
        <v>5540</v>
      </c>
      <c r="C1195" s="1210">
        <v>17995</v>
      </c>
      <c r="D1195" s="1230">
        <v>18000</v>
      </c>
      <c r="E1195" s="1212">
        <f t="shared" si="114"/>
        <v>5</v>
      </c>
      <c r="F1195" s="1211">
        <f t="shared" ref="F1195:F1214" si="117">C1195-C1194</f>
        <v>145</v>
      </c>
      <c r="G1195" s="1215"/>
      <c r="H1195" s="1269"/>
      <c r="I1195" s="1291">
        <v>120250</v>
      </c>
    </row>
    <row r="1196" spans="1:9" ht="15" customHeight="1">
      <c r="A1196" s="1253">
        <v>42584</v>
      </c>
      <c r="B1196" s="1209">
        <v>5530</v>
      </c>
      <c r="C1196" s="1210">
        <v>17985</v>
      </c>
      <c r="D1196" s="1230">
        <v>17975</v>
      </c>
      <c r="E1196" s="1212">
        <f t="shared" si="114"/>
        <v>-10</v>
      </c>
      <c r="F1196" s="1211">
        <f t="shared" si="117"/>
        <v>-10</v>
      </c>
      <c r="G1196" s="1215"/>
      <c r="H1196" s="1269"/>
      <c r="I1196" s="1291">
        <v>120250</v>
      </c>
    </row>
    <row r="1197" spans="1:9" ht="15" customHeight="1">
      <c r="A1197" s="1253">
        <v>42585</v>
      </c>
      <c r="B1197" s="1209">
        <v>5480</v>
      </c>
      <c r="C1197" s="1210">
        <v>18040</v>
      </c>
      <c r="D1197" s="1230">
        <v>17980</v>
      </c>
      <c r="E1197" s="1212">
        <f t="shared" si="114"/>
        <v>-60</v>
      </c>
      <c r="F1197" s="1211">
        <f t="shared" si="117"/>
        <v>55</v>
      </c>
      <c r="G1197" s="1215"/>
      <c r="H1197" s="1269"/>
      <c r="I1197" s="1291">
        <v>120250</v>
      </c>
    </row>
    <row r="1198" spans="1:9" ht="15" customHeight="1">
      <c r="A1198" s="1253">
        <v>42586</v>
      </c>
      <c r="B1198" s="1209">
        <v>5475</v>
      </c>
      <c r="C1198" s="1210">
        <v>17935</v>
      </c>
      <c r="D1198" s="1230">
        <v>17940</v>
      </c>
      <c r="E1198" s="1212">
        <f t="shared" si="114"/>
        <v>5</v>
      </c>
      <c r="F1198" s="1211">
        <f t="shared" si="117"/>
        <v>-105</v>
      </c>
      <c r="G1198" s="1215"/>
      <c r="H1198" s="1269"/>
      <c r="I1198" s="1291">
        <v>119750</v>
      </c>
    </row>
    <row r="1199" spans="1:9" ht="15" customHeight="1">
      <c r="A1199" s="1253">
        <v>42587</v>
      </c>
      <c r="B1199" s="1209">
        <v>5450</v>
      </c>
      <c r="C1199" s="1210">
        <v>18410</v>
      </c>
      <c r="D1199" s="1230">
        <v>18310</v>
      </c>
      <c r="E1199" s="1212">
        <f t="shared" si="114"/>
        <v>-100</v>
      </c>
      <c r="F1199" s="1211">
        <f t="shared" si="117"/>
        <v>475</v>
      </c>
      <c r="G1199" s="1215"/>
      <c r="H1199" s="1269"/>
      <c r="I1199" s="1291">
        <v>120250</v>
      </c>
    </row>
    <row r="1200" spans="1:9" ht="15" customHeight="1">
      <c r="A1200" s="1253">
        <v>42590</v>
      </c>
      <c r="B1200" s="1209">
        <v>5270</v>
      </c>
      <c r="C1200" s="1210">
        <v>18155</v>
      </c>
      <c r="D1200" s="1230">
        <v>18200</v>
      </c>
      <c r="E1200" s="1212">
        <f t="shared" si="114"/>
        <v>45</v>
      </c>
      <c r="F1200" s="1211">
        <f t="shared" si="117"/>
        <v>-255</v>
      </c>
      <c r="G1200" s="1215"/>
      <c r="H1200" s="1269"/>
      <c r="I1200" s="1291">
        <v>121250</v>
      </c>
    </row>
    <row r="1201" spans="1:9" ht="15" customHeight="1">
      <c r="A1201" s="1253">
        <v>42591</v>
      </c>
      <c r="B1201" s="1209">
        <v>5060</v>
      </c>
      <c r="C1201" s="1210">
        <v>18325</v>
      </c>
      <c r="D1201" s="1230">
        <v>18260</v>
      </c>
      <c r="E1201" s="1212">
        <f t="shared" si="114"/>
        <v>-65</v>
      </c>
      <c r="F1201" s="1211">
        <f t="shared" si="117"/>
        <v>170</v>
      </c>
      <c r="G1201" s="1215"/>
      <c r="H1201" s="1269"/>
      <c r="I1201" s="1291">
        <v>121750</v>
      </c>
    </row>
    <row r="1202" spans="1:9" ht="15" customHeight="1">
      <c r="A1202" s="1253">
        <v>42592</v>
      </c>
      <c r="B1202" s="1209">
        <v>5060</v>
      </c>
      <c r="C1202" s="1210">
        <v>18650</v>
      </c>
      <c r="D1202" s="1230">
        <v>18650</v>
      </c>
      <c r="E1202" s="1212">
        <f t="shared" si="114"/>
        <v>0</v>
      </c>
      <c r="F1202" s="1211">
        <f t="shared" si="117"/>
        <v>325</v>
      </c>
      <c r="G1202" s="1215"/>
      <c r="H1202" s="1269"/>
      <c r="I1202" s="1291">
        <v>124250</v>
      </c>
    </row>
    <row r="1203" spans="1:9" ht="15" customHeight="1">
      <c r="A1203" s="1253">
        <v>42593</v>
      </c>
      <c r="B1203" s="1209">
        <v>5070</v>
      </c>
      <c r="C1203" s="1210">
        <v>18325</v>
      </c>
      <c r="D1203" s="1230">
        <v>18290</v>
      </c>
      <c r="E1203" s="1212">
        <f t="shared" si="114"/>
        <v>-35</v>
      </c>
      <c r="F1203" s="1211">
        <f t="shared" si="117"/>
        <v>-325</v>
      </c>
      <c r="G1203" s="1215"/>
      <c r="H1203" s="1269"/>
      <c r="I1203" s="1291">
        <v>124250</v>
      </c>
    </row>
    <row r="1204" spans="1:9" ht="15" customHeight="1">
      <c r="A1204" s="1253">
        <v>42594</v>
      </c>
      <c r="B1204" s="1209">
        <v>5065</v>
      </c>
      <c r="C1204" s="1210">
        <v>18200</v>
      </c>
      <c r="D1204" s="1230">
        <v>18180</v>
      </c>
      <c r="E1204" s="1212">
        <f t="shared" si="114"/>
        <v>-20</v>
      </c>
      <c r="F1204" s="1211">
        <f t="shared" si="117"/>
        <v>-125</v>
      </c>
      <c r="G1204" s="1215"/>
      <c r="H1204" s="1269"/>
      <c r="I1204" s="1291">
        <v>123750</v>
      </c>
    </row>
    <row r="1205" spans="1:9" ht="15" customHeight="1">
      <c r="A1205" s="1253">
        <v>42597</v>
      </c>
      <c r="B1205" s="1209">
        <v>5035</v>
      </c>
      <c r="C1205" s="1210">
        <v>17960</v>
      </c>
      <c r="D1205" s="1230">
        <v>18185</v>
      </c>
      <c r="E1205" s="1212">
        <f t="shared" si="114"/>
        <v>225</v>
      </c>
      <c r="F1205" s="1211">
        <f t="shared" si="117"/>
        <v>-240</v>
      </c>
      <c r="G1205" s="1215"/>
      <c r="H1205" s="1269"/>
      <c r="I1205" s="1291">
        <v>123750</v>
      </c>
    </row>
    <row r="1206" spans="1:9" ht="15" customHeight="1">
      <c r="A1206" s="1253">
        <v>42598</v>
      </c>
      <c r="B1206" s="1209">
        <v>4945</v>
      </c>
      <c r="C1206" s="1210">
        <v>18245</v>
      </c>
      <c r="D1206" s="1230">
        <v>18270</v>
      </c>
      <c r="E1206" s="1212">
        <f t="shared" si="114"/>
        <v>25</v>
      </c>
      <c r="F1206" s="1211">
        <f t="shared" si="117"/>
        <v>285</v>
      </c>
      <c r="G1206" s="1215"/>
      <c r="H1206" s="1269"/>
      <c r="I1206" s="1291">
        <v>123750</v>
      </c>
    </row>
    <row r="1207" spans="1:9" ht="15" customHeight="1">
      <c r="A1207" s="1253">
        <v>42599</v>
      </c>
      <c r="B1207" s="1209">
        <v>4920</v>
      </c>
      <c r="C1207" s="1210">
        <v>18385</v>
      </c>
      <c r="D1207" s="1230">
        <v>18335</v>
      </c>
      <c r="E1207" s="1212">
        <f t="shared" si="114"/>
        <v>-50</v>
      </c>
      <c r="F1207" s="1211">
        <f t="shared" si="117"/>
        <v>140</v>
      </c>
      <c r="G1207" s="1215"/>
      <c r="H1207" s="1269"/>
      <c r="I1207" s="1291">
        <v>123750</v>
      </c>
    </row>
    <row r="1208" spans="1:9" ht="15" customHeight="1">
      <c r="A1208" s="1253">
        <v>42600</v>
      </c>
      <c r="B1208" s="1209">
        <v>4895</v>
      </c>
      <c r="C1208" s="1210">
        <v>18425</v>
      </c>
      <c r="D1208" s="1230">
        <v>18375</v>
      </c>
      <c r="E1208" s="1212">
        <f t="shared" si="114"/>
        <v>-50</v>
      </c>
      <c r="F1208" s="1211">
        <f t="shared" si="117"/>
        <v>40</v>
      </c>
      <c r="G1208" s="1215"/>
      <c r="H1208" s="1269"/>
      <c r="I1208" s="1291">
        <v>123250</v>
      </c>
    </row>
    <row r="1209" spans="1:9" ht="15" customHeight="1">
      <c r="A1209" s="1253">
        <v>42601</v>
      </c>
      <c r="B1209" s="1209">
        <v>4725</v>
      </c>
      <c r="C1209" s="1210">
        <v>18475</v>
      </c>
      <c r="D1209" s="1230">
        <v>18425</v>
      </c>
      <c r="E1209" s="1212">
        <f t="shared" si="114"/>
        <v>-50</v>
      </c>
      <c r="F1209" s="1211">
        <f t="shared" si="117"/>
        <v>50</v>
      </c>
      <c r="G1209" s="1215"/>
      <c r="H1209" s="1269"/>
      <c r="I1209" s="1291">
        <v>123250</v>
      </c>
    </row>
    <row r="1210" spans="1:9" ht="15" customHeight="1">
      <c r="A1210" s="1253">
        <v>42604</v>
      </c>
      <c r="B1210" s="1209">
        <v>4630</v>
      </c>
      <c r="C1210" s="1210">
        <v>18545</v>
      </c>
      <c r="D1210" s="1230">
        <v>18550</v>
      </c>
      <c r="E1210" s="1212">
        <f t="shared" si="114"/>
        <v>5</v>
      </c>
      <c r="F1210" s="1211">
        <f t="shared" si="117"/>
        <v>70</v>
      </c>
      <c r="G1210" s="1215"/>
      <c r="H1210" s="1269"/>
      <c r="I1210" s="1291">
        <v>123250</v>
      </c>
    </row>
    <row r="1211" spans="1:9" ht="15" customHeight="1">
      <c r="A1211" s="1253">
        <v>42605</v>
      </c>
      <c r="B1211" s="1209">
        <v>4630</v>
      </c>
      <c r="C1211" s="1210">
        <v>18575</v>
      </c>
      <c r="D1211" s="1230">
        <v>18540</v>
      </c>
      <c r="E1211" s="1212">
        <f t="shared" si="114"/>
        <v>-35</v>
      </c>
      <c r="F1211" s="1211">
        <f t="shared" si="117"/>
        <v>30</v>
      </c>
      <c r="G1211" s="1215"/>
      <c r="H1211" s="1269"/>
      <c r="I1211" s="1291">
        <v>123250</v>
      </c>
    </row>
    <row r="1212" spans="1:9" ht="15" customHeight="1">
      <c r="A1212" s="1253">
        <v>42606</v>
      </c>
      <c r="B1212" s="1209">
        <v>4570</v>
      </c>
      <c r="C1212" s="1210">
        <v>18940</v>
      </c>
      <c r="D1212" s="1230">
        <v>18875</v>
      </c>
      <c r="E1212" s="1212">
        <f t="shared" si="114"/>
        <v>-65</v>
      </c>
      <c r="F1212" s="1211">
        <f t="shared" si="117"/>
        <v>365</v>
      </c>
      <c r="G1212" s="1215"/>
      <c r="H1212" s="1269"/>
      <c r="I1212" s="1291">
        <v>124250</v>
      </c>
    </row>
    <row r="1213" spans="1:9" ht="15" customHeight="1">
      <c r="A1213" s="1253">
        <v>42607</v>
      </c>
      <c r="B1213" s="1209">
        <v>4530</v>
      </c>
      <c r="C1213" s="1210">
        <v>18900</v>
      </c>
      <c r="D1213" s="1230">
        <v>18855</v>
      </c>
      <c r="E1213" s="1212">
        <f t="shared" si="114"/>
        <v>-45</v>
      </c>
      <c r="F1213" s="1211">
        <f t="shared" si="117"/>
        <v>-40</v>
      </c>
      <c r="G1213" s="1215"/>
      <c r="H1213" s="1269"/>
      <c r="I1213" s="1291">
        <v>124250</v>
      </c>
    </row>
    <row r="1214" spans="1:9" ht="15" customHeight="1">
      <c r="A1214" s="1253">
        <v>42608</v>
      </c>
      <c r="B1214" s="1209">
        <v>4530</v>
      </c>
      <c r="C1214" s="1210">
        <v>18920</v>
      </c>
      <c r="D1214" s="1230">
        <v>18930</v>
      </c>
      <c r="E1214" s="1212">
        <f t="shared" si="114"/>
        <v>10</v>
      </c>
      <c r="F1214" s="1211">
        <f t="shared" si="117"/>
        <v>20</v>
      </c>
      <c r="G1214" s="1215"/>
      <c r="H1214" s="1269"/>
      <c r="I1214" s="1291">
        <v>123750</v>
      </c>
    </row>
    <row r="1215" spans="1:9" ht="15" customHeight="1">
      <c r="A1215" s="1253">
        <v>42611</v>
      </c>
      <c r="B1215" s="1434" t="s">
        <v>118</v>
      </c>
      <c r="C1215" s="1434"/>
      <c r="D1215" s="1434"/>
      <c r="E1215" s="1434"/>
      <c r="F1215" s="1434"/>
      <c r="G1215" s="1215"/>
      <c r="H1215" s="1269"/>
      <c r="I1215" s="1291">
        <v>123750</v>
      </c>
    </row>
    <row r="1216" spans="1:9" ht="15" customHeight="1">
      <c r="A1216" s="1253">
        <v>42612</v>
      </c>
      <c r="B1216" s="1209">
        <v>4485</v>
      </c>
      <c r="C1216" s="1210">
        <v>18825</v>
      </c>
      <c r="D1216" s="1230">
        <v>18790</v>
      </c>
      <c r="E1216" s="1212">
        <f t="shared" si="114"/>
        <v>-35</v>
      </c>
      <c r="F1216" s="1211">
        <f>C1216-C1214</f>
        <v>-95</v>
      </c>
      <c r="G1216" s="1215"/>
      <c r="H1216" s="1269"/>
      <c r="I1216" s="1291">
        <v>123750</v>
      </c>
    </row>
    <row r="1217" spans="1:9" ht="15" customHeight="1">
      <c r="A1217" s="1253">
        <v>42613</v>
      </c>
      <c r="B1217" s="1209">
        <v>4460</v>
      </c>
      <c r="C1217" s="1210">
        <v>18880</v>
      </c>
      <c r="D1217" s="1230">
        <v>18805</v>
      </c>
      <c r="E1217" s="1212">
        <f t="shared" si="114"/>
        <v>-75</v>
      </c>
      <c r="F1217" s="1211">
        <f t="shared" ref="F1217:F1260" si="118">C1217-C1216</f>
        <v>55</v>
      </c>
      <c r="G1217" s="1227">
        <f>AVERAGE(C1195:C1217)</f>
        <v>18413.409090909092</v>
      </c>
      <c r="H1217" s="1274">
        <f>AVERAGE(C1045:C1217)</f>
        <v>16713.095238095237</v>
      </c>
      <c r="I1217" s="1291">
        <v>124000</v>
      </c>
    </row>
    <row r="1218" spans="1:9" ht="15" customHeight="1">
      <c r="A1218" s="1253">
        <v>42614</v>
      </c>
      <c r="B1218" s="1209">
        <v>4460</v>
      </c>
      <c r="C1218" s="1210">
        <v>19145</v>
      </c>
      <c r="D1218" s="1230">
        <v>19100</v>
      </c>
      <c r="E1218" s="1212">
        <f t="shared" si="114"/>
        <v>-45</v>
      </c>
      <c r="F1218" s="1211">
        <f t="shared" si="118"/>
        <v>265</v>
      </c>
      <c r="G1218" s="1215"/>
      <c r="H1218" s="1269"/>
      <c r="I1218" s="1291">
        <v>124000</v>
      </c>
    </row>
    <row r="1219" spans="1:9" ht="15" customHeight="1">
      <c r="A1219" s="1253">
        <v>42615</v>
      </c>
      <c r="B1219" s="1209">
        <v>4460</v>
      </c>
      <c r="C1219" s="1210">
        <v>19300</v>
      </c>
      <c r="D1219" s="1230">
        <v>19230</v>
      </c>
      <c r="E1219" s="1212">
        <f t="shared" si="114"/>
        <v>-70</v>
      </c>
      <c r="F1219" s="1211">
        <f t="shared" si="118"/>
        <v>155</v>
      </c>
      <c r="G1219" s="1215"/>
      <c r="H1219" s="1269"/>
      <c r="I1219" s="1291">
        <v>125000</v>
      </c>
    </row>
    <row r="1220" spans="1:9" ht="15" customHeight="1">
      <c r="A1220" s="1253">
        <v>42618</v>
      </c>
      <c r="B1220" s="1209">
        <v>4460</v>
      </c>
      <c r="C1220" s="1210">
        <v>19595</v>
      </c>
      <c r="D1220" s="1230">
        <v>19500</v>
      </c>
      <c r="E1220" s="1212">
        <f t="shared" si="114"/>
        <v>-95</v>
      </c>
      <c r="F1220" s="1211">
        <f t="shared" si="118"/>
        <v>295</v>
      </c>
      <c r="G1220" s="1215"/>
      <c r="H1220" s="1269"/>
      <c r="I1220" s="1291">
        <v>127250</v>
      </c>
    </row>
    <row r="1221" spans="1:9" ht="15" customHeight="1">
      <c r="A1221" s="1253">
        <v>42619</v>
      </c>
      <c r="B1221" s="1209">
        <v>4410</v>
      </c>
      <c r="C1221" s="1210">
        <v>19900</v>
      </c>
      <c r="D1221" s="1230">
        <v>19625</v>
      </c>
      <c r="E1221" s="1212">
        <f t="shared" si="114"/>
        <v>-275</v>
      </c>
      <c r="F1221" s="1211">
        <f t="shared" si="118"/>
        <v>305</v>
      </c>
      <c r="G1221" s="1215"/>
      <c r="H1221" s="1269"/>
      <c r="I1221" s="1291">
        <v>127250</v>
      </c>
    </row>
    <row r="1222" spans="1:9" ht="15" customHeight="1">
      <c r="A1222" s="1253">
        <v>42620</v>
      </c>
      <c r="B1222" s="1209">
        <v>4390</v>
      </c>
      <c r="C1222" s="1210">
        <v>19675</v>
      </c>
      <c r="D1222" s="1230">
        <v>19550</v>
      </c>
      <c r="E1222" s="1212">
        <f t="shared" si="114"/>
        <v>-125</v>
      </c>
      <c r="F1222" s="1211">
        <f t="shared" si="118"/>
        <v>-225</v>
      </c>
      <c r="G1222" s="1215"/>
      <c r="H1222" s="1269"/>
      <c r="I1222" s="1291">
        <v>127250</v>
      </c>
    </row>
    <row r="1223" spans="1:9" ht="15" customHeight="1">
      <c r="A1223" s="1253">
        <v>42621</v>
      </c>
      <c r="B1223" s="1209">
        <v>4390</v>
      </c>
      <c r="C1223" s="1210">
        <v>19675</v>
      </c>
      <c r="D1223" s="1230">
        <v>19525</v>
      </c>
      <c r="E1223" s="1212">
        <f t="shared" si="114"/>
        <v>-150</v>
      </c>
      <c r="F1223" s="1211">
        <f t="shared" si="118"/>
        <v>0</v>
      </c>
      <c r="G1223" s="1215"/>
      <c r="H1223" s="1269"/>
      <c r="I1223" s="1291">
        <v>127250</v>
      </c>
    </row>
    <row r="1224" spans="1:9" ht="15" customHeight="1">
      <c r="A1224" s="1253">
        <v>42622</v>
      </c>
      <c r="B1224" s="1209">
        <v>4290</v>
      </c>
      <c r="C1224" s="1210">
        <v>19600</v>
      </c>
      <c r="D1224" s="1230">
        <v>19500</v>
      </c>
      <c r="E1224" s="1212">
        <f t="shared" si="114"/>
        <v>-100</v>
      </c>
      <c r="F1224" s="1211">
        <f t="shared" si="118"/>
        <v>-75</v>
      </c>
      <c r="G1224" s="1215"/>
      <c r="H1224" s="1269"/>
      <c r="I1224" s="1291">
        <v>127250</v>
      </c>
    </row>
    <row r="1225" spans="1:9" ht="15" customHeight="1">
      <c r="A1225" s="1253">
        <v>42625</v>
      </c>
      <c r="B1225" s="1209">
        <v>4215</v>
      </c>
      <c r="C1225" s="1210">
        <v>19205</v>
      </c>
      <c r="D1225" s="1230">
        <v>19175</v>
      </c>
      <c r="E1225" s="1212">
        <f t="shared" si="114"/>
        <v>-30</v>
      </c>
      <c r="F1225" s="1211">
        <f t="shared" si="118"/>
        <v>-395</v>
      </c>
      <c r="G1225" s="1215"/>
      <c r="H1225" s="1269"/>
      <c r="I1225" s="1291">
        <v>126250</v>
      </c>
    </row>
    <row r="1226" spans="1:9" ht="15" customHeight="1">
      <c r="A1226" s="1253">
        <v>42626</v>
      </c>
      <c r="B1226" s="1209">
        <v>4215</v>
      </c>
      <c r="C1226" s="1210">
        <v>19275</v>
      </c>
      <c r="D1226" s="1230">
        <v>19250</v>
      </c>
      <c r="E1226" s="1212">
        <f t="shared" si="114"/>
        <v>-25</v>
      </c>
      <c r="F1226" s="1211">
        <f t="shared" si="118"/>
        <v>70</v>
      </c>
      <c r="G1226" s="1215"/>
      <c r="H1226" s="1269"/>
      <c r="I1226" s="1291">
        <v>126250</v>
      </c>
    </row>
    <row r="1227" spans="1:9" ht="15" customHeight="1">
      <c r="A1227" s="1253">
        <v>42627</v>
      </c>
      <c r="B1227" s="1209">
        <v>3965</v>
      </c>
      <c r="C1227" s="1210">
        <v>19270</v>
      </c>
      <c r="D1227" s="1230">
        <v>19250</v>
      </c>
      <c r="E1227" s="1212">
        <f t="shared" si="114"/>
        <v>-20</v>
      </c>
      <c r="F1227" s="1211">
        <f t="shared" si="118"/>
        <v>-5</v>
      </c>
      <c r="G1227" s="1215"/>
      <c r="H1227" s="1269"/>
      <c r="I1227" s="1291">
        <v>124250</v>
      </c>
    </row>
    <row r="1228" spans="1:9" ht="15" customHeight="1">
      <c r="A1228" s="1253">
        <v>42628</v>
      </c>
      <c r="B1228" s="1209">
        <v>3930</v>
      </c>
      <c r="C1228" s="1210">
        <v>19400</v>
      </c>
      <c r="D1228" s="1230">
        <v>19280</v>
      </c>
      <c r="E1228" s="1212">
        <f t="shared" si="114"/>
        <v>-120</v>
      </c>
      <c r="F1228" s="1211">
        <f t="shared" si="118"/>
        <v>130</v>
      </c>
      <c r="G1228" s="1215"/>
      <c r="H1228" s="1269"/>
      <c r="I1228" s="1470" t="s">
        <v>48</v>
      </c>
    </row>
    <row r="1229" spans="1:9" ht="15" customHeight="1">
      <c r="A1229" s="1253">
        <v>42629</v>
      </c>
      <c r="B1229" s="1209">
        <v>3835</v>
      </c>
      <c r="C1229" s="1210">
        <v>19125</v>
      </c>
      <c r="D1229" s="1230">
        <v>19125</v>
      </c>
      <c r="E1229" s="1212">
        <f t="shared" si="114"/>
        <v>0</v>
      </c>
      <c r="F1229" s="1211">
        <f t="shared" si="118"/>
        <v>-275</v>
      </c>
      <c r="G1229" s="1215"/>
      <c r="H1229" s="1269"/>
      <c r="I1229" s="1470"/>
    </row>
    <row r="1230" spans="1:9" ht="15" customHeight="1">
      <c r="A1230" s="1253">
        <v>42632</v>
      </c>
      <c r="B1230" s="1209">
        <v>3825</v>
      </c>
      <c r="C1230" s="1210">
        <v>19395</v>
      </c>
      <c r="D1230" s="1230">
        <v>19405</v>
      </c>
      <c r="E1230" s="1212">
        <f t="shared" si="114"/>
        <v>10</v>
      </c>
      <c r="F1230" s="1211">
        <f t="shared" si="118"/>
        <v>270</v>
      </c>
      <c r="G1230" s="1215"/>
      <c r="H1230" s="1269"/>
      <c r="I1230" s="1291">
        <v>124750</v>
      </c>
    </row>
    <row r="1231" spans="1:9" ht="15" customHeight="1">
      <c r="A1231" s="1253">
        <v>42633</v>
      </c>
      <c r="B1231" s="1209">
        <v>3750</v>
      </c>
      <c r="C1231" s="1210">
        <v>19500</v>
      </c>
      <c r="D1231" s="1230">
        <v>19460</v>
      </c>
      <c r="E1231" s="1212">
        <f t="shared" si="114"/>
        <v>-40</v>
      </c>
      <c r="F1231" s="1211">
        <f t="shared" si="118"/>
        <v>105</v>
      </c>
      <c r="G1231" s="1215"/>
      <c r="H1231" s="1269"/>
      <c r="I1231" s="1291">
        <v>125250</v>
      </c>
    </row>
    <row r="1232" spans="1:9" ht="15" customHeight="1">
      <c r="A1232" s="1253">
        <v>42634</v>
      </c>
      <c r="B1232" s="1209">
        <v>3745</v>
      </c>
      <c r="C1232" s="1210">
        <v>19470</v>
      </c>
      <c r="D1232" s="1230">
        <v>19410</v>
      </c>
      <c r="E1232" s="1212">
        <f t="shared" si="114"/>
        <v>-60</v>
      </c>
      <c r="F1232" s="1211">
        <f t="shared" si="118"/>
        <v>-30</v>
      </c>
      <c r="G1232" s="1215"/>
      <c r="H1232" s="1269"/>
      <c r="I1232" s="1291">
        <v>125250</v>
      </c>
    </row>
    <row r="1233" spans="1:9" ht="15" customHeight="1">
      <c r="A1233" s="1253">
        <v>42635</v>
      </c>
      <c r="B1233" s="1209">
        <v>3745</v>
      </c>
      <c r="C1233" s="1210">
        <v>19600</v>
      </c>
      <c r="D1233" s="1230">
        <v>19500</v>
      </c>
      <c r="E1233" s="1212">
        <f t="shared" si="114"/>
        <v>-100</v>
      </c>
      <c r="F1233" s="1211">
        <f t="shared" si="118"/>
        <v>130</v>
      </c>
      <c r="G1233" s="1215"/>
      <c r="H1233" s="1269"/>
      <c r="I1233" s="1291">
        <v>125250</v>
      </c>
    </row>
    <row r="1234" spans="1:9" ht="15" customHeight="1">
      <c r="A1234" s="1253">
        <v>42636</v>
      </c>
      <c r="B1234" s="1209">
        <v>3715</v>
      </c>
      <c r="C1234" s="1210">
        <v>19725</v>
      </c>
      <c r="D1234" s="1230">
        <v>19630</v>
      </c>
      <c r="E1234" s="1212">
        <f t="shared" ref="E1234:E1297" si="119">D1234-C1234</f>
        <v>-95</v>
      </c>
      <c r="F1234" s="1211">
        <f t="shared" si="118"/>
        <v>125</v>
      </c>
      <c r="G1234" s="1215"/>
      <c r="H1234" s="1269"/>
      <c r="I1234" s="1291">
        <v>126250</v>
      </c>
    </row>
    <row r="1235" spans="1:9" ht="15" customHeight="1">
      <c r="A1235" s="1253">
        <v>42639</v>
      </c>
      <c r="B1235" s="1209">
        <v>3715</v>
      </c>
      <c r="C1235" s="1210">
        <v>19800</v>
      </c>
      <c r="D1235" s="1230">
        <v>19725</v>
      </c>
      <c r="E1235" s="1212">
        <f t="shared" si="119"/>
        <v>-75</v>
      </c>
      <c r="F1235" s="1211">
        <f t="shared" si="118"/>
        <v>75</v>
      </c>
      <c r="G1235" s="1215"/>
      <c r="H1235" s="1269"/>
      <c r="I1235" s="1291">
        <v>128250</v>
      </c>
    </row>
    <row r="1236" spans="1:9" ht="15" customHeight="1">
      <c r="A1236" s="1253">
        <v>42640</v>
      </c>
      <c r="B1236" s="1209">
        <v>3650</v>
      </c>
      <c r="C1236" s="1210">
        <v>19975</v>
      </c>
      <c r="D1236" s="1230">
        <v>19825</v>
      </c>
      <c r="E1236" s="1212">
        <f t="shared" si="119"/>
        <v>-150</v>
      </c>
      <c r="F1236" s="1211">
        <f t="shared" si="118"/>
        <v>175</v>
      </c>
      <c r="G1236" s="1215"/>
      <c r="H1236" s="1269"/>
      <c r="I1236" s="1291">
        <v>127250</v>
      </c>
    </row>
    <row r="1237" spans="1:9" ht="15" customHeight="1">
      <c r="A1237" s="1253">
        <v>42641</v>
      </c>
      <c r="B1237" s="1209">
        <v>3460</v>
      </c>
      <c r="C1237" s="1210">
        <v>19950</v>
      </c>
      <c r="D1237" s="1230">
        <v>19850</v>
      </c>
      <c r="E1237" s="1212">
        <f t="shared" si="119"/>
        <v>-100</v>
      </c>
      <c r="F1237" s="1211">
        <f t="shared" si="118"/>
        <v>-25</v>
      </c>
      <c r="G1237" s="1215"/>
      <c r="H1237" s="1269"/>
      <c r="I1237" s="1291">
        <v>127250</v>
      </c>
    </row>
    <row r="1238" spans="1:9" ht="15" customHeight="1">
      <c r="A1238" s="1253">
        <v>42642</v>
      </c>
      <c r="B1238" s="1209">
        <v>3460</v>
      </c>
      <c r="C1238" s="1210">
        <v>20100</v>
      </c>
      <c r="D1238" s="1230">
        <v>19910</v>
      </c>
      <c r="E1238" s="1212">
        <f t="shared" si="119"/>
        <v>-190</v>
      </c>
      <c r="F1238" s="1211">
        <f t="shared" si="118"/>
        <v>150</v>
      </c>
      <c r="G1238" s="1215"/>
      <c r="H1238" s="1269"/>
      <c r="I1238" s="1291">
        <v>129250</v>
      </c>
    </row>
    <row r="1239" spans="1:9" ht="15" customHeight="1">
      <c r="A1239" s="1253">
        <v>42643</v>
      </c>
      <c r="B1239" s="1209">
        <v>3460</v>
      </c>
      <c r="C1239" s="1210">
        <v>20295</v>
      </c>
      <c r="D1239" s="1230">
        <v>20100</v>
      </c>
      <c r="E1239" s="1212">
        <f t="shared" si="119"/>
        <v>-195</v>
      </c>
      <c r="F1239" s="1211">
        <f t="shared" si="118"/>
        <v>195</v>
      </c>
      <c r="G1239" s="1227">
        <f>AVERAGE(C1218:C1239)</f>
        <v>19589.772727272728</v>
      </c>
      <c r="H1239" s="1274">
        <f>AVERAGE(C1045:C1239)</f>
        <v>17046.184210526317</v>
      </c>
      <c r="I1239" s="1291">
        <v>129250</v>
      </c>
    </row>
    <row r="1240" spans="1:9" ht="15" customHeight="1">
      <c r="A1240" s="1253">
        <v>42646</v>
      </c>
      <c r="B1240" s="1209">
        <v>3510</v>
      </c>
      <c r="C1240" s="1210">
        <v>20275</v>
      </c>
      <c r="D1240" s="1230">
        <v>20000</v>
      </c>
      <c r="E1240" s="1212">
        <f t="shared" si="119"/>
        <v>-275</v>
      </c>
      <c r="F1240" s="1211">
        <f t="shared" si="118"/>
        <v>-20</v>
      </c>
      <c r="G1240" s="1215"/>
      <c r="H1240" s="1269"/>
      <c r="I1240" s="1471" t="s">
        <v>50</v>
      </c>
    </row>
    <row r="1241" spans="1:9" ht="15" customHeight="1">
      <c r="A1241" s="1253">
        <v>42647</v>
      </c>
      <c r="B1241" s="1209">
        <v>3570</v>
      </c>
      <c r="C1241" s="1210">
        <v>20200</v>
      </c>
      <c r="D1241" s="1230">
        <v>19955</v>
      </c>
      <c r="E1241" s="1212">
        <f t="shared" si="119"/>
        <v>-245</v>
      </c>
      <c r="F1241" s="1211">
        <f t="shared" si="118"/>
        <v>-75</v>
      </c>
      <c r="G1241" s="1215"/>
      <c r="H1241" s="1269"/>
      <c r="I1241" s="1471"/>
    </row>
    <row r="1242" spans="1:9" ht="15" customHeight="1">
      <c r="A1242" s="1253">
        <v>42648</v>
      </c>
      <c r="B1242" s="1209">
        <v>3475</v>
      </c>
      <c r="C1242" s="1210">
        <v>19930</v>
      </c>
      <c r="D1242" s="1230">
        <v>19810</v>
      </c>
      <c r="E1242" s="1212">
        <f t="shared" si="119"/>
        <v>-120</v>
      </c>
      <c r="F1242" s="1211">
        <f t="shared" si="118"/>
        <v>-270</v>
      </c>
      <c r="G1242" s="1215"/>
      <c r="H1242" s="1269"/>
      <c r="I1242" s="1471"/>
    </row>
    <row r="1243" spans="1:9" ht="15" customHeight="1">
      <c r="A1243" s="1253">
        <v>42649</v>
      </c>
      <c r="B1243" s="1209">
        <v>3475</v>
      </c>
      <c r="C1243" s="1210">
        <v>20200</v>
      </c>
      <c r="D1243" s="1230">
        <v>20050</v>
      </c>
      <c r="E1243" s="1212">
        <f t="shared" si="119"/>
        <v>-150</v>
      </c>
      <c r="F1243" s="1211">
        <f t="shared" si="118"/>
        <v>270</v>
      </c>
      <c r="G1243" s="1215"/>
      <c r="H1243" s="1269"/>
      <c r="I1243" s="1471"/>
    </row>
    <row r="1244" spans="1:9" ht="15" customHeight="1">
      <c r="A1244" s="1253">
        <v>42650</v>
      </c>
      <c r="B1244" s="1209">
        <v>3445</v>
      </c>
      <c r="C1244" s="1210">
        <v>20175</v>
      </c>
      <c r="D1244" s="1230">
        <v>20025</v>
      </c>
      <c r="E1244" s="1212">
        <f t="shared" si="119"/>
        <v>-150</v>
      </c>
      <c r="F1244" s="1211">
        <f t="shared" si="118"/>
        <v>-25</v>
      </c>
      <c r="G1244" s="1215"/>
      <c r="H1244" s="1269"/>
      <c r="I1244" s="1471"/>
    </row>
    <row r="1245" spans="1:9" ht="15" customHeight="1">
      <c r="A1245" s="1253">
        <v>42653</v>
      </c>
      <c r="B1245" s="1209">
        <v>3420</v>
      </c>
      <c r="C1245" s="1210">
        <v>20120</v>
      </c>
      <c r="D1245" s="1230">
        <v>20075</v>
      </c>
      <c r="E1245" s="1212">
        <f t="shared" si="119"/>
        <v>-45</v>
      </c>
      <c r="F1245" s="1211">
        <f t="shared" si="118"/>
        <v>-55</v>
      </c>
      <c r="G1245" s="1215"/>
      <c r="H1245" s="1269"/>
      <c r="I1245" s="1291">
        <v>128750</v>
      </c>
    </row>
    <row r="1246" spans="1:9" ht="15" customHeight="1">
      <c r="A1246" s="1253">
        <v>42654</v>
      </c>
      <c r="B1246" s="1209">
        <v>3400</v>
      </c>
      <c r="C1246" s="1210">
        <v>20005</v>
      </c>
      <c r="D1246" s="1230">
        <v>19900</v>
      </c>
      <c r="E1246" s="1212">
        <f t="shared" si="119"/>
        <v>-105</v>
      </c>
      <c r="F1246" s="1211">
        <f t="shared" si="118"/>
        <v>-115</v>
      </c>
      <c r="G1246" s="1215"/>
      <c r="H1246" s="1269"/>
      <c r="I1246" s="1291">
        <v>129250</v>
      </c>
    </row>
    <row r="1247" spans="1:9" ht="15" customHeight="1">
      <c r="A1247" s="1253">
        <v>42655</v>
      </c>
      <c r="B1247" s="1209">
        <v>3370</v>
      </c>
      <c r="C1247" s="1210">
        <v>20000</v>
      </c>
      <c r="D1247" s="1230">
        <v>19925</v>
      </c>
      <c r="E1247" s="1212">
        <f t="shared" si="119"/>
        <v>-75</v>
      </c>
      <c r="F1247" s="1211">
        <f t="shared" si="118"/>
        <v>-5</v>
      </c>
      <c r="G1247" s="1215"/>
      <c r="H1247" s="1269"/>
      <c r="I1247" s="1291">
        <v>129250</v>
      </c>
    </row>
    <row r="1248" spans="1:9" ht="15" customHeight="1">
      <c r="A1248" s="1253">
        <v>42656</v>
      </c>
      <c r="B1248" s="1209">
        <v>3370</v>
      </c>
      <c r="C1248" s="1210">
        <v>19700</v>
      </c>
      <c r="D1248" s="1230">
        <v>19600</v>
      </c>
      <c r="E1248" s="1212">
        <f t="shared" si="119"/>
        <v>-100</v>
      </c>
      <c r="F1248" s="1211">
        <f t="shared" si="118"/>
        <v>-300</v>
      </c>
      <c r="G1248" s="1215"/>
      <c r="H1248" s="1269"/>
      <c r="I1248" s="1291">
        <v>129250</v>
      </c>
    </row>
    <row r="1249" spans="1:9" ht="15" customHeight="1">
      <c r="A1249" s="1253">
        <v>42657</v>
      </c>
      <c r="B1249" s="1209">
        <v>3320</v>
      </c>
      <c r="C1249" s="1210">
        <v>19575</v>
      </c>
      <c r="D1249" s="1230">
        <v>19520</v>
      </c>
      <c r="E1249" s="1212">
        <f t="shared" si="119"/>
        <v>-55</v>
      </c>
      <c r="F1249" s="1211">
        <f t="shared" si="118"/>
        <v>-125</v>
      </c>
      <c r="G1249" s="1215"/>
      <c r="H1249" s="1269"/>
      <c r="I1249" s="1291">
        <v>128750</v>
      </c>
    </row>
    <row r="1250" spans="1:9" ht="15" customHeight="1">
      <c r="A1250" s="1253">
        <v>42660</v>
      </c>
      <c r="B1250" s="1209">
        <v>3250</v>
      </c>
      <c r="C1250" s="1210">
        <v>19510</v>
      </c>
      <c r="D1250" s="1230">
        <v>19505</v>
      </c>
      <c r="E1250" s="1212">
        <f t="shared" si="119"/>
        <v>-5</v>
      </c>
      <c r="F1250" s="1211">
        <f t="shared" si="118"/>
        <v>-65</v>
      </c>
      <c r="G1250" s="1215"/>
      <c r="H1250" s="1269"/>
      <c r="I1250" s="1291">
        <v>128250</v>
      </c>
    </row>
    <row r="1251" spans="1:9" ht="15" customHeight="1">
      <c r="A1251" s="1253">
        <v>42661</v>
      </c>
      <c r="B1251" s="1209">
        <v>3030</v>
      </c>
      <c r="C1251" s="1210">
        <v>19855</v>
      </c>
      <c r="D1251" s="1230">
        <v>19800</v>
      </c>
      <c r="E1251" s="1212">
        <f t="shared" si="119"/>
        <v>-55</v>
      </c>
      <c r="F1251" s="1211">
        <f t="shared" si="118"/>
        <v>345</v>
      </c>
      <c r="G1251" s="1215"/>
      <c r="H1251" s="1269"/>
      <c r="I1251" s="1291">
        <v>128250</v>
      </c>
    </row>
    <row r="1252" spans="1:9" ht="15" customHeight="1">
      <c r="A1252" s="1253">
        <v>42662</v>
      </c>
      <c r="B1252" s="1209">
        <v>2955</v>
      </c>
      <c r="C1252" s="1210">
        <v>20000</v>
      </c>
      <c r="D1252" s="1230">
        <v>19900</v>
      </c>
      <c r="E1252" s="1212">
        <f t="shared" si="119"/>
        <v>-100</v>
      </c>
      <c r="F1252" s="1211">
        <f t="shared" si="118"/>
        <v>145</v>
      </c>
      <c r="G1252" s="1215"/>
      <c r="H1252" s="1269"/>
      <c r="I1252" s="1291">
        <v>128750</v>
      </c>
    </row>
    <row r="1253" spans="1:9" ht="15" customHeight="1">
      <c r="A1253" s="1253">
        <v>42663</v>
      </c>
      <c r="B1253" s="1209">
        <v>2960</v>
      </c>
      <c r="C1253" s="1210">
        <v>20025</v>
      </c>
      <c r="D1253" s="1230">
        <v>19855</v>
      </c>
      <c r="E1253" s="1212">
        <f t="shared" si="119"/>
        <v>-170</v>
      </c>
      <c r="F1253" s="1211">
        <f t="shared" si="118"/>
        <v>25</v>
      </c>
      <c r="G1253" s="1215"/>
      <c r="H1253" s="1269"/>
      <c r="I1253" s="1291">
        <v>130250</v>
      </c>
    </row>
    <row r="1254" spans="1:9" ht="15" customHeight="1">
      <c r="A1254" s="1253">
        <v>42664</v>
      </c>
      <c r="B1254" s="1209">
        <v>2960</v>
      </c>
      <c r="C1254" s="1210">
        <v>20150</v>
      </c>
      <c r="D1254" s="1230">
        <v>19875</v>
      </c>
      <c r="E1254" s="1212">
        <f t="shared" si="119"/>
        <v>-275</v>
      </c>
      <c r="F1254" s="1211">
        <f t="shared" si="118"/>
        <v>125</v>
      </c>
      <c r="G1254" s="1215"/>
      <c r="H1254" s="1269"/>
      <c r="I1254" s="1291">
        <v>130250</v>
      </c>
    </row>
    <row r="1255" spans="1:9" ht="15" customHeight="1">
      <c r="A1255" s="1253">
        <v>42667</v>
      </c>
      <c r="B1255" s="1209">
        <v>2960</v>
      </c>
      <c r="C1255" s="1210">
        <v>20245</v>
      </c>
      <c r="D1255" s="1230">
        <v>20050</v>
      </c>
      <c r="E1255" s="1212">
        <f t="shared" si="119"/>
        <v>-195</v>
      </c>
      <c r="F1255" s="1211">
        <f t="shared" si="118"/>
        <v>95</v>
      </c>
      <c r="G1255" s="1215"/>
      <c r="H1255" s="1269"/>
      <c r="I1255" s="1291">
        <v>131250</v>
      </c>
    </row>
    <row r="1256" spans="1:9" ht="15" customHeight="1">
      <c r="A1256" s="1253">
        <v>42668</v>
      </c>
      <c r="B1256" s="1209">
        <v>2935</v>
      </c>
      <c r="C1256" s="1210">
        <v>20490</v>
      </c>
      <c r="D1256" s="1230">
        <v>20175</v>
      </c>
      <c r="E1256" s="1212">
        <f t="shared" si="119"/>
        <v>-315</v>
      </c>
      <c r="F1256" s="1211">
        <f t="shared" si="118"/>
        <v>245</v>
      </c>
      <c r="G1256" s="1215"/>
      <c r="H1256" s="1269"/>
      <c r="I1256" s="1291">
        <v>133750</v>
      </c>
    </row>
    <row r="1257" spans="1:9" ht="15" customHeight="1">
      <c r="A1257" s="1253">
        <v>42669</v>
      </c>
      <c r="B1257" s="1209">
        <v>2930</v>
      </c>
      <c r="C1257" s="1210">
        <v>20700</v>
      </c>
      <c r="D1257" s="1230">
        <v>20350</v>
      </c>
      <c r="E1257" s="1212">
        <f t="shared" si="119"/>
        <v>-350</v>
      </c>
      <c r="F1257" s="1211">
        <f t="shared" si="118"/>
        <v>210</v>
      </c>
      <c r="G1257" s="1215"/>
      <c r="H1257" s="1269"/>
      <c r="I1257" s="1291">
        <v>133750</v>
      </c>
    </row>
    <row r="1258" spans="1:9" ht="15" customHeight="1">
      <c r="A1258" s="1253">
        <v>42670</v>
      </c>
      <c r="B1258" s="1209">
        <v>2905</v>
      </c>
      <c r="C1258" s="1210">
        <v>20800</v>
      </c>
      <c r="D1258" s="1230">
        <v>20495</v>
      </c>
      <c r="E1258" s="1212">
        <f t="shared" si="119"/>
        <v>-305</v>
      </c>
      <c r="F1258" s="1211">
        <f t="shared" si="118"/>
        <v>100</v>
      </c>
      <c r="G1258" s="1215"/>
      <c r="H1258" s="1269"/>
      <c r="I1258" s="1291">
        <v>132750</v>
      </c>
    </row>
    <row r="1259" spans="1:9" ht="15" customHeight="1">
      <c r="A1259" s="1253">
        <v>42671</v>
      </c>
      <c r="B1259" s="1209">
        <v>2895</v>
      </c>
      <c r="C1259" s="1210">
        <v>20875</v>
      </c>
      <c r="D1259" s="1230">
        <v>20600</v>
      </c>
      <c r="E1259" s="1212">
        <f t="shared" si="119"/>
        <v>-275</v>
      </c>
      <c r="F1259" s="1211">
        <f t="shared" si="118"/>
        <v>75</v>
      </c>
      <c r="G1259" s="1215"/>
      <c r="H1259" s="1269"/>
      <c r="I1259" s="1291">
        <v>133750</v>
      </c>
    </row>
    <row r="1260" spans="1:9" ht="15" customHeight="1">
      <c r="A1260" s="1253">
        <v>42674</v>
      </c>
      <c r="B1260" s="1209">
        <v>2895</v>
      </c>
      <c r="C1260" s="1210">
        <v>21000</v>
      </c>
      <c r="D1260" s="1230">
        <v>20725</v>
      </c>
      <c r="E1260" s="1212">
        <f t="shared" si="119"/>
        <v>-275</v>
      </c>
      <c r="F1260" s="1211">
        <f t="shared" si="118"/>
        <v>125</v>
      </c>
      <c r="G1260" s="1227">
        <f>AVERAGE(C1240:C1260)</f>
        <v>20182.380952380954</v>
      </c>
      <c r="H1260" s="1274">
        <f>AVERAGE(C1045:C1260)</f>
        <v>17358.317535545022</v>
      </c>
      <c r="I1260" s="1291">
        <v>133750</v>
      </c>
    </row>
    <row r="1261" spans="1:9" ht="15" customHeight="1">
      <c r="A1261" s="1253">
        <v>42675</v>
      </c>
      <c r="B1261" s="1209">
        <v>2895</v>
      </c>
      <c r="C1261" s="1210">
        <v>20990</v>
      </c>
      <c r="D1261" s="1230">
        <v>20790</v>
      </c>
      <c r="E1261" s="1212">
        <f t="shared" si="119"/>
        <v>-200</v>
      </c>
      <c r="F1261" s="1211">
        <f t="shared" ref="F1261:F1270" si="120">C1261-C1260</f>
        <v>-10</v>
      </c>
      <c r="G1261" s="1215"/>
      <c r="H1261" s="1269"/>
      <c r="I1261" s="1291">
        <v>134750</v>
      </c>
    </row>
    <row r="1262" spans="1:9" ht="15" customHeight="1">
      <c r="A1262" s="1253">
        <v>42676</v>
      </c>
      <c r="B1262" s="1209">
        <v>2895</v>
      </c>
      <c r="C1262" s="1210">
        <v>20905</v>
      </c>
      <c r="D1262" s="1230">
        <v>20750</v>
      </c>
      <c r="E1262" s="1212">
        <f t="shared" si="119"/>
        <v>-155</v>
      </c>
      <c r="F1262" s="1211">
        <f t="shared" si="120"/>
        <v>-85</v>
      </c>
      <c r="G1262" s="1215"/>
      <c r="H1262" s="1269"/>
      <c r="I1262" s="1291">
        <v>137250</v>
      </c>
    </row>
    <row r="1263" spans="1:9" ht="15" customHeight="1">
      <c r="A1263" s="1253">
        <v>42677</v>
      </c>
      <c r="B1263" s="1209">
        <v>2945</v>
      </c>
      <c r="C1263" s="1210">
        <v>21225</v>
      </c>
      <c r="D1263" s="1230">
        <v>20900</v>
      </c>
      <c r="E1263" s="1212">
        <f t="shared" si="119"/>
        <v>-325</v>
      </c>
      <c r="F1263" s="1211">
        <f t="shared" si="120"/>
        <v>320</v>
      </c>
      <c r="G1263" s="1215"/>
      <c r="H1263" s="1269"/>
      <c r="I1263" s="1291">
        <v>137250</v>
      </c>
    </row>
    <row r="1264" spans="1:9" ht="15" customHeight="1">
      <c r="A1264" s="1253">
        <v>42678</v>
      </c>
      <c r="B1264" s="1209">
        <v>2955</v>
      </c>
      <c r="C1264" s="1210">
        <v>21405</v>
      </c>
      <c r="D1264" s="1230">
        <v>21250</v>
      </c>
      <c r="E1264" s="1212">
        <f t="shared" si="119"/>
        <v>-155</v>
      </c>
      <c r="F1264" s="1211">
        <f t="shared" si="120"/>
        <v>180</v>
      </c>
      <c r="G1264" s="1215"/>
      <c r="H1264" s="1269"/>
      <c r="I1264" s="1291">
        <v>138750</v>
      </c>
    </row>
    <row r="1265" spans="1:9" ht="15" customHeight="1">
      <c r="A1265" s="1253">
        <v>42681</v>
      </c>
      <c r="B1265" s="1209">
        <v>2930</v>
      </c>
      <c r="C1265" s="1210">
        <v>21655</v>
      </c>
      <c r="D1265" s="1230">
        <v>21500</v>
      </c>
      <c r="E1265" s="1212">
        <f t="shared" si="119"/>
        <v>-155</v>
      </c>
      <c r="F1265" s="1211">
        <f t="shared" si="120"/>
        <v>250</v>
      </c>
      <c r="G1265" s="1215"/>
      <c r="H1265" s="1269"/>
      <c r="I1265" s="1291">
        <v>144750</v>
      </c>
    </row>
    <row r="1266" spans="1:9" ht="15" customHeight="1">
      <c r="A1266" s="1253">
        <v>42682</v>
      </c>
      <c r="B1266" s="1209">
        <v>2930</v>
      </c>
      <c r="C1266" s="1210">
        <v>21945</v>
      </c>
      <c r="D1266" s="1230">
        <v>21750</v>
      </c>
      <c r="E1266" s="1212">
        <f t="shared" si="119"/>
        <v>-195</v>
      </c>
      <c r="F1266" s="1211">
        <f t="shared" si="120"/>
        <v>290</v>
      </c>
      <c r="G1266" s="1215"/>
      <c r="H1266" s="1269"/>
      <c r="I1266" s="1291">
        <v>152250</v>
      </c>
    </row>
    <row r="1267" spans="1:9" ht="15" customHeight="1">
      <c r="A1267" s="1253">
        <v>42683</v>
      </c>
      <c r="B1267" s="1209">
        <v>3035</v>
      </c>
      <c r="C1267" s="1210">
        <v>21700</v>
      </c>
      <c r="D1267" s="1230">
        <v>21575</v>
      </c>
      <c r="E1267" s="1212">
        <f t="shared" si="119"/>
        <v>-125</v>
      </c>
      <c r="F1267" s="1211">
        <f t="shared" si="120"/>
        <v>-245</v>
      </c>
      <c r="G1267" s="1215"/>
      <c r="H1267" s="1269"/>
      <c r="I1267" s="1291">
        <v>151250</v>
      </c>
    </row>
    <row r="1268" spans="1:9" ht="15" customHeight="1">
      <c r="A1268" s="1253">
        <v>42684</v>
      </c>
      <c r="B1268" s="1209">
        <v>3100</v>
      </c>
      <c r="C1268" s="1210">
        <v>21905</v>
      </c>
      <c r="D1268" s="1230">
        <v>21700</v>
      </c>
      <c r="E1268" s="1212">
        <f t="shared" si="119"/>
        <v>-205</v>
      </c>
      <c r="F1268" s="1211">
        <f t="shared" si="120"/>
        <v>205</v>
      </c>
      <c r="G1268" s="1215"/>
      <c r="H1268" s="1269"/>
      <c r="I1268" s="1291">
        <v>151250</v>
      </c>
    </row>
    <row r="1269" spans="1:9" ht="15" customHeight="1">
      <c r="A1269" s="1253">
        <v>42685</v>
      </c>
      <c r="B1269" s="1209">
        <v>3100</v>
      </c>
      <c r="C1269" s="1210">
        <v>21750</v>
      </c>
      <c r="D1269" s="1230">
        <v>21560</v>
      </c>
      <c r="E1269" s="1212">
        <f t="shared" si="119"/>
        <v>-190</v>
      </c>
      <c r="F1269" s="1211">
        <f t="shared" si="120"/>
        <v>-155</v>
      </c>
      <c r="G1269" s="1229"/>
      <c r="H1269" s="1269"/>
      <c r="I1269" s="1291">
        <v>151750</v>
      </c>
    </row>
    <row r="1270" spans="1:9" ht="15" customHeight="1">
      <c r="A1270" s="1253">
        <v>42688</v>
      </c>
      <c r="B1270" s="1209">
        <v>3140</v>
      </c>
      <c r="C1270" s="1210">
        <v>21375</v>
      </c>
      <c r="D1270" s="1230">
        <v>21275</v>
      </c>
      <c r="E1270" s="1212">
        <f t="shared" si="119"/>
        <v>-100</v>
      </c>
      <c r="F1270" s="1211">
        <f t="shared" si="120"/>
        <v>-375</v>
      </c>
      <c r="G1270" s="1215"/>
      <c r="H1270" s="1269"/>
      <c r="I1270" s="1291">
        <f>(147500+149000)/2</f>
        <v>148250</v>
      </c>
    </row>
    <row r="1271" spans="1:9" ht="15" customHeight="1">
      <c r="A1271" s="1253">
        <v>42689</v>
      </c>
      <c r="B1271" s="1209">
        <v>3155</v>
      </c>
      <c r="C1271" s="1210">
        <v>20500</v>
      </c>
      <c r="D1271" s="1230">
        <v>20400</v>
      </c>
      <c r="E1271" s="1212">
        <f t="shared" si="119"/>
        <v>-100</v>
      </c>
      <c r="F1271" s="1211">
        <f t="shared" ref="F1271:F1283" si="121">C1271-C1270</f>
        <v>-875</v>
      </c>
      <c r="G1271" s="1215"/>
      <c r="H1271" s="1269"/>
      <c r="I1271" s="1291">
        <v>151250</v>
      </c>
    </row>
    <row r="1272" spans="1:9" ht="15" customHeight="1">
      <c r="A1272" s="1253">
        <v>42690</v>
      </c>
      <c r="B1272" s="1209">
        <v>3150</v>
      </c>
      <c r="C1272" s="1210">
        <v>20305</v>
      </c>
      <c r="D1272" s="1230">
        <v>20055</v>
      </c>
      <c r="E1272" s="1212">
        <f t="shared" si="119"/>
        <v>-250</v>
      </c>
      <c r="F1272" s="1211">
        <f t="shared" si="121"/>
        <v>-195</v>
      </c>
      <c r="G1272" s="1215"/>
      <c r="H1272" s="1269"/>
      <c r="I1272" s="1291">
        <v>147250</v>
      </c>
    </row>
    <row r="1273" spans="1:9" ht="15" customHeight="1">
      <c r="A1273" s="1253">
        <v>42691</v>
      </c>
      <c r="B1273" s="1209">
        <v>3190</v>
      </c>
      <c r="C1273" s="1210">
        <v>20335</v>
      </c>
      <c r="D1273" s="1230">
        <v>20250</v>
      </c>
      <c r="E1273" s="1212">
        <f t="shared" si="119"/>
        <v>-85</v>
      </c>
      <c r="F1273" s="1211">
        <f t="shared" si="121"/>
        <v>30</v>
      </c>
      <c r="G1273" s="1215"/>
      <c r="H1273" s="1269"/>
      <c r="I1273" s="1291">
        <v>144750</v>
      </c>
    </row>
    <row r="1274" spans="1:9" ht="15" customHeight="1">
      <c r="A1274" s="1253">
        <v>42692</v>
      </c>
      <c r="B1274" s="1209">
        <v>3115</v>
      </c>
      <c r="C1274" s="1210">
        <v>20405</v>
      </c>
      <c r="D1274" s="1230">
        <v>20150</v>
      </c>
      <c r="E1274" s="1212">
        <f t="shared" si="119"/>
        <v>-255</v>
      </c>
      <c r="F1274" s="1211">
        <f t="shared" si="121"/>
        <v>70</v>
      </c>
      <c r="G1274" s="1215"/>
      <c r="H1274" s="1269"/>
      <c r="I1274" s="1291">
        <v>142120</v>
      </c>
    </row>
    <row r="1275" spans="1:9" ht="15" customHeight="1">
      <c r="A1275" s="1253">
        <v>42695</v>
      </c>
      <c r="B1275" s="1209">
        <v>3085</v>
      </c>
      <c r="C1275" s="1210">
        <v>21000</v>
      </c>
      <c r="D1275" s="1230">
        <v>20775</v>
      </c>
      <c r="E1275" s="1212">
        <f t="shared" si="119"/>
        <v>-225</v>
      </c>
      <c r="F1275" s="1211">
        <f t="shared" si="121"/>
        <v>595</v>
      </c>
      <c r="G1275" s="1215"/>
      <c r="H1275" s="1269"/>
      <c r="I1275" s="1291">
        <v>144250</v>
      </c>
    </row>
    <row r="1276" spans="1:9" ht="15" customHeight="1">
      <c r="A1276" s="1253">
        <v>42696</v>
      </c>
      <c r="B1276" s="1209">
        <v>3010</v>
      </c>
      <c r="C1276" s="1210">
        <v>21450</v>
      </c>
      <c r="D1276" s="1230">
        <v>21150</v>
      </c>
      <c r="E1276" s="1212">
        <f t="shared" si="119"/>
        <v>-300</v>
      </c>
      <c r="F1276" s="1211">
        <f t="shared" si="121"/>
        <v>450</v>
      </c>
      <c r="G1276" s="1215"/>
      <c r="H1276" s="1269"/>
      <c r="I1276" s="1291">
        <v>146750</v>
      </c>
    </row>
    <row r="1277" spans="1:9" ht="15" customHeight="1">
      <c r="A1277" s="1253">
        <v>42697</v>
      </c>
      <c r="B1277" s="1209">
        <v>3070</v>
      </c>
      <c r="C1277" s="1210">
        <v>21485</v>
      </c>
      <c r="D1277" s="1230">
        <v>21210</v>
      </c>
      <c r="E1277" s="1212">
        <f t="shared" si="119"/>
        <v>-275</v>
      </c>
      <c r="F1277" s="1211">
        <f t="shared" si="121"/>
        <v>35</v>
      </c>
      <c r="G1277" s="1215"/>
      <c r="H1277" s="1269"/>
      <c r="I1277" s="1291">
        <v>146750</v>
      </c>
    </row>
    <row r="1278" spans="1:9" ht="15" customHeight="1">
      <c r="A1278" s="1253">
        <v>42698</v>
      </c>
      <c r="B1278" s="1209">
        <v>3015</v>
      </c>
      <c r="C1278" s="1210">
        <v>21610</v>
      </c>
      <c r="D1278" s="1230">
        <v>21400</v>
      </c>
      <c r="E1278" s="1212">
        <f t="shared" si="119"/>
        <v>-210</v>
      </c>
      <c r="F1278" s="1211">
        <f t="shared" si="121"/>
        <v>125</v>
      </c>
      <c r="G1278" s="1215"/>
      <c r="H1278" s="1269"/>
      <c r="I1278" s="1291">
        <v>148500</v>
      </c>
    </row>
    <row r="1279" spans="1:9" ht="15" customHeight="1">
      <c r="A1279" s="1253">
        <v>42699</v>
      </c>
      <c r="B1279" s="1209">
        <v>3095</v>
      </c>
      <c r="C1279" s="1210">
        <v>21275</v>
      </c>
      <c r="D1279" s="1230">
        <v>20975</v>
      </c>
      <c r="E1279" s="1212">
        <f t="shared" si="119"/>
        <v>-300</v>
      </c>
      <c r="F1279" s="1211">
        <f t="shared" si="121"/>
        <v>-335</v>
      </c>
      <c r="G1279" s="1215"/>
      <c r="H1279" s="1269"/>
      <c r="I1279" s="1291">
        <v>146500</v>
      </c>
    </row>
    <row r="1280" spans="1:9" ht="15" customHeight="1">
      <c r="A1280" s="1253">
        <v>42702</v>
      </c>
      <c r="B1280" s="1209">
        <v>3070</v>
      </c>
      <c r="C1280" s="1210">
        <v>21350</v>
      </c>
      <c r="D1280" s="1230">
        <v>21055</v>
      </c>
      <c r="E1280" s="1212">
        <f t="shared" si="119"/>
        <v>-295</v>
      </c>
      <c r="F1280" s="1211">
        <f t="shared" si="121"/>
        <v>75</v>
      </c>
      <c r="G1280" s="1215"/>
      <c r="H1280" s="1269"/>
      <c r="I1280" s="1291">
        <v>146500</v>
      </c>
    </row>
    <row r="1281" spans="1:9" ht="15" customHeight="1">
      <c r="A1281" s="1253">
        <v>42703</v>
      </c>
      <c r="B1281" s="1209">
        <v>3130</v>
      </c>
      <c r="C1281" s="1210">
        <v>21250</v>
      </c>
      <c r="D1281" s="1230">
        <v>21150</v>
      </c>
      <c r="E1281" s="1212">
        <f t="shared" si="119"/>
        <v>-100</v>
      </c>
      <c r="F1281" s="1211">
        <f t="shared" si="121"/>
        <v>-100</v>
      </c>
      <c r="G1281" s="1215"/>
      <c r="H1281" s="1269"/>
      <c r="I1281" s="1291">
        <v>148000</v>
      </c>
    </row>
    <row r="1282" spans="1:9" ht="15" customHeight="1">
      <c r="A1282" s="1253">
        <v>42704</v>
      </c>
      <c r="B1282" s="1209">
        <v>3105</v>
      </c>
      <c r="C1282" s="1210">
        <v>21350</v>
      </c>
      <c r="D1282" s="1230">
        <v>20975</v>
      </c>
      <c r="E1282" s="1212">
        <f t="shared" si="119"/>
        <v>-375</v>
      </c>
      <c r="F1282" s="1211">
        <f t="shared" si="121"/>
        <v>100</v>
      </c>
      <c r="G1282" s="1227">
        <f>AVERAGE(C1261:C1282)</f>
        <v>21235</v>
      </c>
      <c r="H1282" s="1274">
        <f>AVERAGE(C1045:C1282)</f>
        <v>17724.356223175964</v>
      </c>
      <c r="I1282" s="1291">
        <v>144500</v>
      </c>
    </row>
    <row r="1283" spans="1:9" ht="15" customHeight="1">
      <c r="A1283" s="1253">
        <v>42705</v>
      </c>
      <c r="B1283" s="1209">
        <v>3105</v>
      </c>
      <c r="C1283" s="1210">
        <v>21400</v>
      </c>
      <c r="D1283" s="1230">
        <v>21025</v>
      </c>
      <c r="E1283" s="1212">
        <f t="shared" si="119"/>
        <v>-375</v>
      </c>
      <c r="F1283" s="1211">
        <f t="shared" si="121"/>
        <v>50</v>
      </c>
      <c r="G1283" s="1215"/>
      <c r="H1283" s="1269"/>
      <c r="I1283" s="1291">
        <v>144500</v>
      </c>
    </row>
    <row r="1284" spans="1:9" ht="15" customHeight="1">
      <c r="A1284" s="1253">
        <v>42706</v>
      </c>
      <c r="B1284" s="1209">
        <v>3210</v>
      </c>
      <c r="C1284" s="1210">
        <v>21355</v>
      </c>
      <c r="D1284" s="1230">
        <v>21100</v>
      </c>
      <c r="E1284" s="1212">
        <f t="shared" si="119"/>
        <v>-255</v>
      </c>
      <c r="F1284" s="1211">
        <f t="shared" ref="F1284:F1299" si="122">C1284-C1283</f>
        <v>-45</v>
      </c>
      <c r="G1284" s="1215"/>
      <c r="H1284" s="1269"/>
      <c r="I1284" s="1291">
        <v>145000</v>
      </c>
    </row>
    <row r="1285" spans="1:9" ht="15" customHeight="1">
      <c r="A1285" s="1253">
        <v>42709</v>
      </c>
      <c r="B1285" s="1209">
        <v>3185</v>
      </c>
      <c r="C1285" s="1210">
        <v>21500</v>
      </c>
      <c r="D1285" s="1230">
        <v>21295</v>
      </c>
      <c r="E1285" s="1212">
        <f t="shared" si="119"/>
        <v>-205</v>
      </c>
      <c r="F1285" s="1211">
        <f t="shared" si="122"/>
        <v>145</v>
      </c>
      <c r="G1285" s="1215"/>
      <c r="H1285" s="1269"/>
      <c r="I1285" s="1291">
        <v>145000</v>
      </c>
    </row>
    <row r="1286" spans="1:9" ht="15" customHeight="1">
      <c r="A1286" s="1253">
        <v>42710</v>
      </c>
      <c r="B1286" s="1209">
        <v>3185</v>
      </c>
      <c r="C1286" s="1210">
        <v>21425</v>
      </c>
      <c r="D1286" s="1230">
        <v>21100</v>
      </c>
      <c r="E1286" s="1212">
        <f t="shared" si="119"/>
        <v>-325</v>
      </c>
      <c r="F1286" s="1211">
        <f t="shared" si="122"/>
        <v>-75</v>
      </c>
      <c r="G1286" s="1215"/>
      <c r="H1286" s="1269"/>
      <c r="I1286" s="1291">
        <v>145500</v>
      </c>
    </row>
    <row r="1287" spans="1:9" ht="15" customHeight="1">
      <c r="A1287" s="1253">
        <v>42711</v>
      </c>
      <c r="B1287" s="1209">
        <v>3185</v>
      </c>
      <c r="C1287" s="1210">
        <v>21425</v>
      </c>
      <c r="D1287" s="1230">
        <v>21200</v>
      </c>
      <c r="E1287" s="1212">
        <f t="shared" si="119"/>
        <v>-225</v>
      </c>
      <c r="F1287" s="1211">
        <f t="shared" si="122"/>
        <v>0</v>
      </c>
      <c r="G1287" s="1215"/>
      <c r="H1287" s="1269"/>
      <c r="I1287" s="1291">
        <v>145500</v>
      </c>
    </row>
    <row r="1288" spans="1:9" ht="15" customHeight="1">
      <c r="A1288" s="1253">
        <v>42712</v>
      </c>
      <c r="B1288" s="1209">
        <v>3350</v>
      </c>
      <c r="C1288" s="1210">
        <v>21395</v>
      </c>
      <c r="D1288" s="1230">
        <v>21250</v>
      </c>
      <c r="E1288" s="1212">
        <f t="shared" si="119"/>
        <v>-145</v>
      </c>
      <c r="F1288" s="1211">
        <f t="shared" si="122"/>
        <v>-30</v>
      </c>
      <c r="G1288" s="1215"/>
      <c r="H1288" s="1269"/>
      <c r="I1288" s="1291">
        <v>145500</v>
      </c>
    </row>
    <row r="1289" spans="1:9" ht="15" customHeight="1">
      <c r="A1289" s="1253">
        <v>42713</v>
      </c>
      <c r="B1289" s="1209">
        <v>3235</v>
      </c>
      <c r="C1289" s="1210">
        <v>21300</v>
      </c>
      <c r="D1289" s="1230">
        <v>21050</v>
      </c>
      <c r="E1289" s="1212">
        <f t="shared" si="119"/>
        <v>-250</v>
      </c>
      <c r="F1289" s="1211">
        <f t="shared" si="122"/>
        <v>-95</v>
      </c>
      <c r="G1289" s="1215"/>
      <c r="H1289" s="1269"/>
      <c r="I1289" s="1291">
        <v>146000</v>
      </c>
    </row>
    <row r="1290" spans="1:9" ht="15" customHeight="1">
      <c r="A1290" s="1253">
        <v>42716</v>
      </c>
      <c r="B1290" s="1209">
        <v>3340</v>
      </c>
      <c r="C1290" s="1210">
        <v>21100</v>
      </c>
      <c r="D1290" s="1230">
        <v>20925</v>
      </c>
      <c r="E1290" s="1212">
        <f t="shared" si="119"/>
        <v>-175</v>
      </c>
      <c r="F1290" s="1211">
        <f t="shared" si="122"/>
        <v>-200</v>
      </c>
      <c r="G1290" s="1215"/>
      <c r="H1290" s="1269"/>
      <c r="I1290" s="1291">
        <v>145000</v>
      </c>
    </row>
    <row r="1291" spans="1:9" ht="15" customHeight="1">
      <c r="A1291" s="1253">
        <v>42717</v>
      </c>
      <c r="B1291" s="1209">
        <v>3375</v>
      </c>
      <c r="C1291" s="1210">
        <v>21500</v>
      </c>
      <c r="D1291" s="1230">
        <v>21400</v>
      </c>
      <c r="E1291" s="1212">
        <f t="shared" si="119"/>
        <v>-100</v>
      </c>
      <c r="F1291" s="1211">
        <f t="shared" si="122"/>
        <v>400</v>
      </c>
      <c r="G1291" s="1215"/>
      <c r="H1291" s="1269"/>
      <c r="I1291" s="1291">
        <v>146000</v>
      </c>
    </row>
    <row r="1292" spans="1:9" ht="15" customHeight="1">
      <c r="A1292" s="1253">
        <v>42718</v>
      </c>
      <c r="B1292" s="1209">
        <v>3375</v>
      </c>
      <c r="C1292" s="1210">
        <v>21550</v>
      </c>
      <c r="D1292" s="1230">
        <v>21300</v>
      </c>
      <c r="E1292" s="1212">
        <f t="shared" si="119"/>
        <v>-250</v>
      </c>
      <c r="F1292" s="1211">
        <f t="shared" si="122"/>
        <v>50</v>
      </c>
      <c r="G1292" s="1215"/>
      <c r="H1292" s="1269"/>
      <c r="I1292" s="1291">
        <v>148000</v>
      </c>
    </row>
    <row r="1293" spans="1:9" ht="15" customHeight="1">
      <c r="A1293" s="1253">
        <v>42719</v>
      </c>
      <c r="B1293" s="1209">
        <v>3415</v>
      </c>
      <c r="C1293" s="1210">
        <v>21255</v>
      </c>
      <c r="D1293" s="1230">
        <v>21100</v>
      </c>
      <c r="E1293" s="1212">
        <f t="shared" si="119"/>
        <v>-155</v>
      </c>
      <c r="F1293" s="1211">
        <f t="shared" si="122"/>
        <v>-295</v>
      </c>
      <c r="G1293" s="1215"/>
      <c r="H1293" s="1269"/>
      <c r="I1293" s="1291">
        <v>150000</v>
      </c>
    </row>
    <row r="1294" spans="1:9" ht="15" customHeight="1">
      <c r="A1294" s="1253">
        <v>42720</v>
      </c>
      <c r="B1294" s="1209">
        <v>3415</v>
      </c>
      <c r="C1294" s="1210">
        <v>21350</v>
      </c>
      <c r="D1294" s="1230">
        <v>21170</v>
      </c>
      <c r="E1294" s="1212">
        <f t="shared" si="119"/>
        <v>-180</v>
      </c>
      <c r="F1294" s="1211">
        <f t="shared" si="122"/>
        <v>95</v>
      </c>
      <c r="G1294" s="1215"/>
      <c r="H1294" s="1269"/>
      <c r="I1294" s="1291">
        <v>150000</v>
      </c>
    </row>
    <row r="1295" spans="1:9" ht="15" customHeight="1">
      <c r="A1295" s="1253">
        <v>42723</v>
      </c>
      <c r="B1295" s="1209">
        <v>3330</v>
      </c>
      <c r="C1295" s="1210">
        <v>21225</v>
      </c>
      <c r="D1295" s="1230">
        <v>21075</v>
      </c>
      <c r="E1295" s="1212">
        <f t="shared" si="119"/>
        <v>-150</v>
      </c>
      <c r="F1295" s="1211">
        <f t="shared" si="122"/>
        <v>-125</v>
      </c>
      <c r="G1295" s="1215"/>
      <c r="H1295" s="1269"/>
      <c r="I1295" s="1291">
        <v>149000</v>
      </c>
    </row>
    <row r="1296" spans="1:9" ht="15" customHeight="1">
      <c r="A1296" s="1253">
        <v>42724</v>
      </c>
      <c r="B1296" s="1209">
        <v>3490</v>
      </c>
      <c r="C1296" s="1210">
        <v>21185</v>
      </c>
      <c r="D1296" s="1230">
        <v>20975</v>
      </c>
      <c r="E1296" s="1212">
        <f t="shared" si="119"/>
        <v>-210</v>
      </c>
      <c r="F1296" s="1211">
        <f t="shared" si="122"/>
        <v>-40</v>
      </c>
      <c r="G1296" s="1215"/>
      <c r="H1296" s="1269"/>
      <c r="I1296" s="1291">
        <v>147000</v>
      </c>
    </row>
    <row r="1297" spans="1:9" ht="15" customHeight="1">
      <c r="A1297" s="1253">
        <v>42725</v>
      </c>
      <c r="B1297" s="1209">
        <v>3600</v>
      </c>
      <c r="C1297" s="1210">
        <v>21100</v>
      </c>
      <c r="D1297" s="1230">
        <v>20905</v>
      </c>
      <c r="E1297" s="1212">
        <f t="shared" si="119"/>
        <v>-195</v>
      </c>
      <c r="F1297" s="1211">
        <f t="shared" si="122"/>
        <v>-85</v>
      </c>
      <c r="G1297" s="1215"/>
      <c r="H1297" s="1269"/>
      <c r="I1297" s="1291">
        <v>147000</v>
      </c>
    </row>
    <row r="1298" spans="1:9" ht="15" customHeight="1">
      <c r="A1298" s="1253">
        <v>42726</v>
      </c>
      <c r="B1298" s="1209">
        <v>3715</v>
      </c>
      <c r="C1298" s="1210">
        <v>21060</v>
      </c>
      <c r="D1298" s="1230">
        <v>20900</v>
      </c>
      <c r="E1298" s="1212">
        <f t="shared" ref="E1298:E1299" si="123">D1298-C1298</f>
        <v>-160</v>
      </c>
      <c r="F1298" s="1211">
        <f t="shared" si="122"/>
        <v>-40</v>
      </c>
      <c r="G1298" s="1215"/>
      <c r="H1298" s="1269"/>
      <c r="I1298" s="1291">
        <v>147000</v>
      </c>
    </row>
    <row r="1299" spans="1:9" ht="15" customHeight="1">
      <c r="A1299" s="1253">
        <v>42727</v>
      </c>
      <c r="B1299" s="1209">
        <v>3660</v>
      </c>
      <c r="C1299" s="1210">
        <v>21250</v>
      </c>
      <c r="D1299" s="1230">
        <v>21050</v>
      </c>
      <c r="E1299" s="1212">
        <f t="shared" si="123"/>
        <v>-200</v>
      </c>
      <c r="F1299" s="1211">
        <f t="shared" si="122"/>
        <v>190</v>
      </c>
      <c r="G1299" s="1215"/>
      <c r="H1299" s="1269"/>
      <c r="I1299" s="1291">
        <v>147000</v>
      </c>
    </row>
    <row r="1300" spans="1:9" ht="15" customHeight="1">
      <c r="A1300" s="1253">
        <v>42730</v>
      </c>
      <c r="B1300" s="1438" t="s">
        <v>118</v>
      </c>
      <c r="C1300" s="1438"/>
      <c r="D1300" s="1438"/>
      <c r="E1300" s="1438"/>
      <c r="F1300" s="1438"/>
      <c r="G1300" s="1215"/>
      <c r="H1300" s="1269"/>
      <c r="I1300" s="1291">
        <v>147000</v>
      </c>
    </row>
    <row r="1301" spans="1:9" ht="15" customHeight="1">
      <c r="A1301" s="1253">
        <v>42731</v>
      </c>
      <c r="B1301" s="1438"/>
      <c r="C1301" s="1438"/>
      <c r="D1301" s="1438"/>
      <c r="E1301" s="1438"/>
      <c r="F1301" s="1438"/>
      <c r="G1301" s="1215"/>
      <c r="H1301" s="1269"/>
      <c r="I1301" s="1291">
        <v>147000</v>
      </c>
    </row>
    <row r="1302" spans="1:9" ht="15" customHeight="1">
      <c r="A1302" s="1253">
        <v>42732</v>
      </c>
      <c r="B1302" s="1209">
        <v>3660</v>
      </c>
      <c r="C1302" s="1210">
        <v>21100</v>
      </c>
      <c r="D1302" s="1230">
        <v>20950</v>
      </c>
      <c r="E1302" s="1212">
        <f t="shared" ref="E1302:E1365" si="124">D1302-C1302</f>
        <v>-150</v>
      </c>
      <c r="F1302" s="1211">
        <f>C1302-C1299</f>
        <v>-150</v>
      </c>
      <c r="G1302" s="1215"/>
      <c r="H1302" s="1269"/>
      <c r="I1302" s="1291">
        <v>147750</v>
      </c>
    </row>
    <row r="1303" spans="1:9" ht="15" customHeight="1">
      <c r="A1303" s="1253">
        <v>42733</v>
      </c>
      <c r="B1303" s="1209">
        <v>3745</v>
      </c>
      <c r="C1303" s="1210">
        <v>21150</v>
      </c>
      <c r="D1303" s="1230">
        <v>21000</v>
      </c>
      <c r="E1303" s="1212">
        <f t="shared" si="124"/>
        <v>-150</v>
      </c>
      <c r="F1303" s="1211">
        <f t="shared" ref="F1303:F1357" si="125">C1303-C1302</f>
        <v>50</v>
      </c>
      <c r="G1303" s="1215"/>
      <c r="H1303" s="1269"/>
      <c r="I1303" s="1291">
        <v>148000</v>
      </c>
    </row>
    <row r="1304" spans="1:9" ht="15" customHeight="1">
      <c r="A1304" s="1253">
        <v>42734</v>
      </c>
      <c r="B1304" s="1209">
        <v>3745</v>
      </c>
      <c r="C1304" s="1210">
        <v>21100</v>
      </c>
      <c r="D1304" s="1230">
        <v>20395</v>
      </c>
      <c r="E1304" s="1212">
        <f t="shared" si="124"/>
        <v>-705</v>
      </c>
      <c r="F1304" s="1211">
        <f t="shared" si="125"/>
        <v>-50</v>
      </c>
      <c r="G1304" s="1227">
        <f>AVERAGE(C1283:C1304)</f>
        <v>21286.25</v>
      </c>
      <c r="H1304" s="1274">
        <f>AVERAGE(C1045:C1304)</f>
        <v>18005.92885375494</v>
      </c>
      <c r="I1304" s="1291">
        <v>148000</v>
      </c>
    </row>
    <row r="1305" spans="1:9" ht="15" customHeight="1">
      <c r="A1305" s="1253">
        <v>42738</v>
      </c>
      <c r="B1305" s="1209">
        <v>3750</v>
      </c>
      <c r="C1305" s="1210">
        <v>21300</v>
      </c>
      <c r="D1305" s="1230">
        <v>21080</v>
      </c>
      <c r="E1305" s="1212">
        <f t="shared" si="124"/>
        <v>-220</v>
      </c>
      <c r="F1305" s="1211">
        <f t="shared" si="125"/>
        <v>200</v>
      </c>
      <c r="G1305" s="1215"/>
      <c r="H1305" s="1269"/>
      <c r="I1305" s="1291">
        <v>149000</v>
      </c>
    </row>
    <row r="1306" spans="1:9" ht="15" customHeight="1">
      <c r="A1306" s="1253">
        <v>42739</v>
      </c>
      <c r="B1306" s="1209">
        <v>3805</v>
      </c>
      <c r="C1306" s="1210">
        <v>21180</v>
      </c>
      <c r="D1306" s="1230">
        <v>21060</v>
      </c>
      <c r="E1306" s="1212">
        <f t="shared" si="124"/>
        <v>-120</v>
      </c>
      <c r="F1306" s="1211">
        <f t="shared" si="125"/>
        <v>-120</v>
      </c>
      <c r="G1306" s="1215"/>
      <c r="H1306" s="1269"/>
      <c r="I1306" s="1291">
        <v>149000</v>
      </c>
    </row>
    <row r="1307" spans="1:9" ht="15" customHeight="1">
      <c r="A1307" s="1253">
        <v>42740</v>
      </c>
      <c r="B1307" s="1209">
        <v>3805</v>
      </c>
      <c r="C1307" s="1210">
        <v>21250</v>
      </c>
      <c r="D1307" s="1230">
        <v>21100</v>
      </c>
      <c r="E1307" s="1212">
        <f t="shared" si="124"/>
        <v>-150</v>
      </c>
      <c r="F1307" s="1211">
        <f t="shared" si="125"/>
        <v>70</v>
      </c>
      <c r="G1307" s="1215"/>
      <c r="H1307" s="1269"/>
      <c r="I1307" s="1291">
        <v>150000</v>
      </c>
    </row>
    <row r="1308" spans="1:9" ht="15" customHeight="1">
      <c r="A1308" s="1253">
        <v>42741</v>
      </c>
      <c r="B1308" s="1209">
        <v>3880</v>
      </c>
      <c r="C1308" s="1210">
        <v>21175</v>
      </c>
      <c r="D1308" s="1230">
        <v>21050</v>
      </c>
      <c r="E1308" s="1212">
        <f t="shared" si="124"/>
        <v>-125</v>
      </c>
      <c r="F1308" s="1211">
        <f t="shared" si="125"/>
        <v>-75</v>
      </c>
      <c r="G1308" s="1215"/>
      <c r="H1308" s="1269"/>
      <c r="I1308" s="1291">
        <v>153000</v>
      </c>
    </row>
    <row r="1309" spans="1:9" ht="15" customHeight="1">
      <c r="A1309" s="1253">
        <v>42744</v>
      </c>
      <c r="B1309" s="1209">
        <v>3885</v>
      </c>
      <c r="C1309" s="1210">
        <v>21150</v>
      </c>
      <c r="D1309" s="1230">
        <v>21100</v>
      </c>
      <c r="E1309" s="1212">
        <f t="shared" si="124"/>
        <v>-50</v>
      </c>
      <c r="F1309" s="1211">
        <f t="shared" si="125"/>
        <v>-25</v>
      </c>
      <c r="G1309" s="1215"/>
      <c r="H1309" s="1269"/>
      <c r="I1309" s="1291">
        <v>153000</v>
      </c>
    </row>
    <row r="1310" spans="1:9" ht="15" customHeight="1">
      <c r="A1310" s="1253">
        <v>42745</v>
      </c>
      <c r="B1310" s="1209">
        <v>3815</v>
      </c>
      <c r="C1310" s="1210">
        <v>21280</v>
      </c>
      <c r="D1310" s="1230">
        <v>21225</v>
      </c>
      <c r="E1310" s="1212">
        <f t="shared" si="124"/>
        <v>-55</v>
      </c>
      <c r="F1310" s="1211">
        <f t="shared" si="125"/>
        <v>130</v>
      </c>
      <c r="G1310" s="1215"/>
      <c r="H1310" s="1269"/>
      <c r="I1310" s="1291">
        <v>153000</v>
      </c>
    </row>
    <row r="1311" spans="1:9" ht="15" customHeight="1">
      <c r="A1311" s="1253">
        <v>42746</v>
      </c>
      <c r="B1311" s="1209">
        <v>3815</v>
      </c>
      <c r="C1311" s="1210">
        <v>21150</v>
      </c>
      <c r="D1311" s="1230">
        <v>21150</v>
      </c>
      <c r="E1311" s="1212">
        <f t="shared" si="124"/>
        <v>0</v>
      </c>
      <c r="F1311" s="1211">
        <f t="shared" si="125"/>
        <v>-130</v>
      </c>
      <c r="G1311" s="1215"/>
      <c r="H1311" s="1269"/>
      <c r="I1311" s="1291">
        <v>153500</v>
      </c>
    </row>
    <row r="1312" spans="1:9" ht="15" customHeight="1">
      <c r="A1312" s="1253">
        <v>42747</v>
      </c>
      <c r="B1312" s="1209">
        <v>3825</v>
      </c>
      <c r="C1312" s="1210">
        <v>21105</v>
      </c>
      <c r="D1312" s="1230">
        <v>21050</v>
      </c>
      <c r="E1312" s="1212">
        <f t="shared" si="124"/>
        <v>-55</v>
      </c>
      <c r="F1312" s="1211">
        <f t="shared" si="125"/>
        <v>-45</v>
      </c>
      <c r="G1312" s="1215"/>
      <c r="H1312" s="1269"/>
      <c r="I1312" s="1291">
        <v>152500</v>
      </c>
    </row>
    <row r="1313" spans="1:9" ht="15" customHeight="1">
      <c r="A1313" s="1253">
        <v>42748</v>
      </c>
      <c r="B1313" s="1209">
        <v>3850</v>
      </c>
      <c r="C1313" s="1210">
        <v>21175</v>
      </c>
      <c r="D1313" s="1230">
        <v>21125</v>
      </c>
      <c r="E1313" s="1212">
        <f t="shared" si="124"/>
        <v>-50</v>
      </c>
      <c r="F1313" s="1211">
        <f t="shared" si="125"/>
        <v>70</v>
      </c>
      <c r="G1313" s="1215"/>
      <c r="H1313" s="1269"/>
      <c r="I1313" s="1291">
        <v>151000</v>
      </c>
    </row>
    <row r="1314" spans="1:9" ht="15" customHeight="1">
      <c r="A1314" s="1253">
        <v>42751</v>
      </c>
      <c r="B1314" s="1209">
        <v>3935</v>
      </c>
      <c r="C1314" s="1210">
        <v>21125</v>
      </c>
      <c r="D1314" s="1230">
        <v>21130</v>
      </c>
      <c r="E1314" s="1212">
        <f t="shared" si="124"/>
        <v>5</v>
      </c>
      <c r="F1314" s="1211">
        <f t="shared" si="125"/>
        <v>-50</v>
      </c>
      <c r="G1314" s="1215"/>
      <c r="H1314" s="1269"/>
      <c r="I1314" s="1291">
        <v>151000</v>
      </c>
    </row>
    <row r="1315" spans="1:9" ht="15" customHeight="1">
      <c r="A1315" s="1253">
        <v>42752</v>
      </c>
      <c r="B1315" s="1209">
        <v>3985</v>
      </c>
      <c r="C1315" s="1210">
        <v>21015</v>
      </c>
      <c r="D1315" s="1230">
        <v>21030</v>
      </c>
      <c r="E1315" s="1212">
        <f t="shared" si="124"/>
        <v>15</v>
      </c>
      <c r="F1315" s="1211">
        <f t="shared" si="125"/>
        <v>-110</v>
      </c>
      <c r="G1315" s="1215"/>
      <c r="H1315" s="1269"/>
      <c r="I1315" s="1291">
        <v>151500</v>
      </c>
    </row>
    <row r="1316" spans="1:9" ht="15" customHeight="1">
      <c r="A1316" s="1253">
        <v>42753</v>
      </c>
      <c r="B1316" s="1209">
        <v>4160</v>
      </c>
      <c r="C1316" s="1210">
        <v>21125</v>
      </c>
      <c r="D1316" s="1230">
        <v>21100</v>
      </c>
      <c r="E1316" s="1212">
        <f t="shared" si="124"/>
        <v>-25</v>
      </c>
      <c r="F1316" s="1211">
        <f t="shared" si="125"/>
        <v>110</v>
      </c>
      <c r="G1316" s="1215"/>
      <c r="H1316" s="1269"/>
      <c r="I1316" s="1291">
        <v>150000</v>
      </c>
    </row>
    <row r="1317" spans="1:9" ht="15" customHeight="1">
      <c r="A1317" s="1253">
        <v>42754</v>
      </c>
      <c r="B1317" s="1209">
        <v>4200</v>
      </c>
      <c r="C1317" s="1210">
        <v>21075</v>
      </c>
      <c r="D1317" s="1230">
        <v>21035</v>
      </c>
      <c r="E1317" s="1212">
        <f t="shared" si="124"/>
        <v>-40</v>
      </c>
      <c r="F1317" s="1211">
        <f t="shared" si="125"/>
        <v>-50</v>
      </c>
      <c r="G1317" s="1215"/>
      <c r="H1317" s="1269"/>
      <c r="I1317" s="1291">
        <v>150000</v>
      </c>
    </row>
    <row r="1318" spans="1:9" ht="15" customHeight="1">
      <c r="A1318" s="1253">
        <v>42755</v>
      </c>
      <c r="B1318" s="1209">
        <v>4180</v>
      </c>
      <c r="C1318" s="1210">
        <v>20200</v>
      </c>
      <c r="D1318" s="1230">
        <v>20200</v>
      </c>
      <c r="E1318" s="1212">
        <f t="shared" si="124"/>
        <v>0</v>
      </c>
      <c r="F1318" s="1211">
        <f t="shared" si="125"/>
        <v>-875</v>
      </c>
      <c r="G1318" s="1215"/>
      <c r="H1318" s="1269"/>
      <c r="I1318" s="1291">
        <v>149000</v>
      </c>
    </row>
    <row r="1319" spans="1:9" ht="15" customHeight="1">
      <c r="A1319" s="1253">
        <v>42758</v>
      </c>
      <c r="B1319" s="1209">
        <v>4655</v>
      </c>
      <c r="C1319" s="1210">
        <v>19875</v>
      </c>
      <c r="D1319" s="1230">
        <v>19950</v>
      </c>
      <c r="E1319" s="1212">
        <f t="shared" si="124"/>
        <v>75</v>
      </c>
      <c r="F1319" s="1211">
        <f t="shared" si="125"/>
        <v>-325</v>
      </c>
      <c r="G1319" s="1215"/>
      <c r="H1319" s="1269"/>
      <c r="I1319" s="1291">
        <v>148500</v>
      </c>
    </row>
    <row r="1320" spans="1:9" ht="15" customHeight="1">
      <c r="A1320" s="1253">
        <v>42759</v>
      </c>
      <c r="B1320" s="1209">
        <v>4605</v>
      </c>
      <c r="C1320" s="1210">
        <v>20180</v>
      </c>
      <c r="D1320" s="1230">
        <v>20225</v>
      </c>
      <c r="E1320" s="1212">
        <f t="shared" si="124"/>
        <v>45</v>
      </c>
      <c r="F1320" s="1211">
        <f t="shared" si="125"/>
        <v>305</v>
      </c>
      <c r="G1320" s="1215"/>
      <c r="H1320" s="1269"/>
      <c r="I1320" s="1291">
        <v>149000</v>
      </c>
    </row>
    <row r="1321" spans="1:9" ht="15" customHeight="1">
      <c r="A1321" s="1253">
        <v>42760</v>
      </c>
      <c r="B1321" s="1209">
        <v>5055</v>
      </c>
      <c r="C1321" s="1210">
        <v>20450</v>
      </c>
      <c r="D1321" s="1230">
        <v>20475</v>
      </c>
      <c r="E1321" s="1212">
        <f t="shared" si="124"/>
        <v>25</v>
      </c>
      <c r="F1321" s="1211">
        <f t="shared" si="125"/>
        <v>270</v>
      </c>
      <c r="G1321" s="1215"/>
      <c r="H1321" s="1269"/>
      <c r="I1321" s="1291">
        <v>149000</v>
      </c>
    </row>
    <row r="1322" spans="1:9" ht="15" customHeight="1">
      <c r="A1322" s="1253">
        <v>42761</v>
      </c>
      <c r="B1322" s="1209">
        <v>5155</v>
      </c>
      <c r="C1322" s="1210">
        <v>20180</v>
      </c>
      <c r="D1322" s="1230">
        <v>20215</v>
      </c>
      <c r="E1322" s="1212">
        <f t="shared" si="124"/>
        <v>35</v>
      </c>
      <c r="F1322" s="1211">
        <f t="shared" si="125"/>
        <v>-270</v>
      </c>
      <c r="G1322" s="1215"/>
      <c r="H1322" s="1269"/>
      <c r="I1322" s="1291">
        <v>148500</v>
      </c>
    </row>
    <row r="1323" spans="1:9" ht="15" customHeight="1">
      <c r="A1323" s="1253">
        <v>42762</v>
      </c>
      <c r="B1323" s="1209">
        <v>5450</v>
      </c>
      <c r="C1323" s="1210">
        <v>19975</v>
      </c>
      <c r="D1323" s="1230">
        <v>19985</v>
      </c>
      <c r="E1323" s="1212">
        <f t="shared" si="124"/>
        <v>10</v>
      </c>
      <c r="F1323" s="1211">
        <f t="shared" si="125"/>
        <v>-205</v>
      </c>
      <c r="G1323" s="1215"/>
      <c r="H1323" s="1269"/>
      <c r="I1323" s="1471" t="s">
        <v>50</v>
      </c>
    </row>
    <row r="1324" spans="1:9" ht="15" customHeight="1">
      <c r="A1324" s="1253">
        <v>42765</v>
      </c>
      <c r="B1324" s="1209">
        <v>5805</v>
      </c>
      <c r="C1324" s="1210">
        <v>19700</v>
      </c>
      <c r="D1324" s="1230">
        <v>19725</v>
      </c>
      <c r="E1324" s="1212">
        <f t="shared" si="124"/>
        <v>25</v>
      </c>
      <c r="F1324" s="1211">
        <f t="shared" si="125"/>
        <v>-275</v>
      </c>
      <c r="G1324" s="1215"/>
      <c r="H1324" s="1269"/>
      <c r="I1324" s="1471"/>
    </row>
    <row r="1325" spans="1:9" ht="15" customHeight="1">
      <c r="A1325" s="1253">
        <v>42766</v>
      </c>
      <c r="B1325" s="1209">
        <v>5805</v>
      </c>
      <c r="C1325" s="1210">
        <v>20080</v>
      </c>
      <c r="D1325" s="1230">
        <v>20075</v>
      </c>
      <c r="E1325" s="1212">
        <f t="shared" si="124"/>
        <v>-5</v>
      </c>
      <c r="F1325" s="1211">
        <f t="shared" si="125"/>
        <v>380</v>
      </c>
      <c r="G1325" s="1227">
        <f>AVERAGE(C1305:C1325)</f>
        <v>20749.761904761905</v>
      </c>
      <c r="H1325" s="1274">
        <f>AVERAGE(C1305:C1325)</f>
        <v>20749.761904761905</v>
      </c>
      <c r="I1325" s="1471"/>
    </row>
    <row r="1326" spans="1:9" ht="15" customHeight="1">
      <c r="A1326" s="1253">
        <v>42767</v>
      </c>
      <c r="B1326" s="1209">
        <v>5805</v>
      </c>
      <c r="C1326" s="1210">
        <v>19825</v>
      </c>
      <c r="D1326" s="1230">
        <v>19875</v>
      </c>
      <c r="E1326" s="1212">
        <f t="shared" si="124"/>
        <v>50</v>
      </c>
      <c r="F1326" s="1211">
        <f t="shared" si="125"/>
        <v>-255</v>
      </c>
      <c r="G1326" s="1215"/>
      <c r="H1326" s="1269"/>
      <c r="I1326" s="1437" t="s">
        <v>50</v>
      </c>
    </row>
    <row r="1327" spans="1:9" ht="15" customHeight="1">
      <c r="A1327" s="1253">
        <v>42768</v>
      </c>
      <c r="B1327" s="1209">
        <v>5825</v>
      </c>
      <c r="C1327" s="1210">
        <v>19855</v>
      </c>
      <c r="D1327" s="1230">
        <v>19950</v>
      </c>
      <c r="E1327" s="1212">
        <f t="shared" si="124"/>
        <v>95</v>
      </c>
      <c r="F1327" s="1211">
        <f t="shared" si="125"/>
        <v>30</v>
      </c>
      <c r="G1327" s="1215"/>
      <c r="H1327" s="1269"/>
      <c r="I1327" s="1437"/>
    </row>
    <row r="1328" spans="1:9" ht="15" customHeight="1">
      <c r="A1328" s="1253">
        <v>42769</v>
      </c>
      <c r="B1328" s="1209">
        <v>5805</v>
      </c>
      <c r="C1328" s="1210">
        <v>19795</v>
      </c>
      <c r="D1328" s="1230">
        <v>19725</v>
      </c>
      <c r="E1328" s="1212">
        <f t="shared" si="124"/>
        <v>-70</v>
      </c>
      <c r="F1328" s="1211">
        <f t="shared" si="125"/>
        <v>-60</v>
      </c>
      <c r="G1328" s="1215"/>
      <c r="H1328" s="1269"/>
      <c r="I1328" s="1291">
        <v>148500</v>
      </c>
    </row>
    <row r="1329" spans="1:9" ht="15" customHeight="1">
      <c r="A1329" s="1253">
        <v>42772</v>
      </c>
      <c r="B1329" s="1209">
        <v>5805</v>
      </c>
      <c r="C1329" s="1210">
        <v>19055</v>
      </c>
      <c r="D1329" s="1230">
        <v>19105</v>
      </c>
      <c r="E1329" s="1212">
        <f t="shared" si="124"/>
        <v>50</v>
      </c>
      <c r="F1329" s="1211">
        <f t="shared" si="125"/>
        <v>-740</v>
      </c>
      <c r="G1329" s="1215"/>
      <c r="H1329" s="1269"/>
      <c r="I1329" s="1291">
        <v>147500</v>
      </c>
    </row>
    <row r="1330" spans="1:9" ht="15" customHeight="1">
      <c r="A1330" s="1253">
        <v>42773</v>
      </c>
      <c r="B1330" s="1209">
        <v>5830</v>
      </c>
      <c r="C1330" s="1210">
        <v>18775</v>
      </c>
      <c r="D1330" s="1230">
        <v>18770</v>
      </c>
      <c r="E1330" s="1212">
        <f t="shared" si="124"/>
        <v>-5</v>
      </c>
      <c r="F1330" s="1211">
        <f t="shared" si="125"/>
        <v>-280</v>
      </c>
      <c r="G1330" s="1215"/>
      <c r="H1330" s="1269"/>
      <c r="I1330" s="1291">
        <v>147000</v>
      </c>
    </row>
    <row r="1331" spans="1:9" ht="15" customHeight="1">
      <c r="A1331" s="1253">
        <v>42774</v>
      </c>
      <c r="B1331" s="1209">
        <v>5860</v>
      </c>
      <c r="C1331" s="1210">
        <v>18760</v>
      </c>
      <c r="D1331" s="1230">
        <v>18760</v>
      </c>
      <c r="E1331" s="1212">
        <f t="shared" si="124"/>
        <v>0</v>
      </c>
      <c r="F1331" s="1211">
        <f t="shared" si="125"/>
        <v>-15</v>
      </c>
      <c r="G1331" s="1215"/>
      <c r="H1331" s="1269"/>
      <c r="I1331" s="1291">
        <v>146000</v>
      </c>
    </row>
    <row r="1332" spans="1:9" ht="15" customHeight="1">
      <c r="A1332" s="1253">
        <v>42775</v>
      </c>
      <c r="B1332" s="1209">
        <v>5860</v>
      </c>
      <c r="C1332" s="1210">
        <v>19250</v>
      </c>
      <c r="D1332" s="1230">
        <v>19250</v>
      </c>
      <c r="E1332" s="1212">
        <f t="shared" si="124"/>
        <v>0</v>
      </c>
      <c r="F1332" s="1211">
        <f t="shared" si="125"/>
        <v>490</v>
      </c>
      <c r="G1332" s="1215"/>
      <c r="H1332" s="1269"/>
      <c r="I1332" s="1291">
        <v>146500</v>
      </c>
    </row>
    <row r="1333" spans="1:9" ht="15" customHeight="1">
      <c r="A1333" s="1253">
        <v>42776</v>
      </c>
      <c r="B1333" s="1209">
        <v>5910</v>
      </c>
      <c r="C1333" s="1210">
        <v>19210</v>
      </c>
      <c r="D1333" s="1230">
        <v>19250</v>
      </c>
      <c r="E1333" s="1212">
        <f t="shared" si="124"/>
        <v>40</v>
      </c>
      <c r="F1333" s="1211">
        <f t="shared" si="125"/>
        <v>-40</v>
      </c>
      <c r="G1333" s="1215"/>
      <c r="H1333" s="1269"/>
      <c r="I1333" s="1291">
        <v>146500</v>
      </c>
    </row>
    <row r="1334" spans="1:9" ht="15" customHeight="1">
      <c r="A1334" s="1253">
        <v>42779</v>
      </c>
      <c r="B1334" s="1209">
        <v>5880</v>
      </c>
      <c r="C1334" s="1210">
        <v>19660</v>
      </c>
      <c r="D1334" s="1230">
        <v>19700</v>
      </c>
      <c r="E1334" s="1212">
        <f t="shared" si="124"/>
        <v>40</v>
      </c>
      <c r="F1334" s="1211">
        <f t="shared" si="125"/>
        <v>450</v>
      </c>
      <c r="G1334" s="1215"/>
      <c r="H1334" s="1269"/>
      <c r="I1334" s="1291">
        <v>150000</v>
      </c>
    </row>
    <row r="1335" spans="1:9" ht="15" customHeight="1">
      <c r="A1335" s="1253">
        <v>42780</v>
      </c>
      <c r="B1335" s="1209">
        <v>5880</v>
      </c>
      <c r="C1335" s="1210">
        <v>19825</v>
      </c>
      <c r="D1335" s="1230">
        <v>19850</v>
      </c>
      <c r="E1335" s="1212">
        <f t="shared" si="124"/>
        <v>25</v>
      </c>
      <c r="F1335" s="1211">
        <f t="shared" si="125"/>
        <v>165</v>
      </c>
      <c r="G1335" s="1215"/>
      <c r="H1335" s="1269"/>
      <c r="I1335" s="1291">
        <v>150000</v>
      </c>
    </row>
    <row r="1336" spans="1:9" ht="15" customHeight="1">
      <c r="A1336" s="1253">
        <v>42781</v>
      </c>
      <c r="B1336" s="1209">
        <v>5930</v>
      </c>
      <c r="C1336" s="1210">
        <v>19955</v>
      </c>
      <c r="D1336" s="1230">
        <v>20000</v>
      </c>
      <c r="E1336" s="1212">
        <f t="shared" si="124"/>
        <v>45</v>
      </c>
      <c r="F1336" s="1211">
        <f t="shared" si="125"/>
        <v>130</v>
      </c>
      <c r="G1336" s="1215"/>
      <c r="H1336" s="1269"/>
      <c r="I1336" s="1291">
        <v>149000</v>
      </c>
    </row>
    <row r="1337" spans="1:9" ht="15" customHeight="1">
      <c r="A1337" s="1253">
        <v>42782</v>
      </c>
      <c r="B1337" s="1209">
        <v>5945</v>
      </c>
      <c r="C1337" s="1210">
        <v>19905</v>
      </c>
      <c r="D1337" s="1230">
        <v>19950</v>
      </c>
      <c r="E1337" s="1212">
        <f t="shared" si="124"/>
        <v>45</v>
      </c>
      <c r="F1337" s="1211">
        <f t="shared" si="125"/>
        <v>-50</v>
      </c>
      <c r="G1337" s="1215"/>
      <c r="H1337" s="1269"/>
      <c r="I1337" s="1291">
        <v>149000</v>
      </c>
    </row>
    <row r="1338" spans="1:9" ht="15" customHeight="1">
      <c r="A1338" s="1253">
        <v>42783</v>
      </c>
      <c r="B1338" s="1209">
        <v>5995</v>
      </c>
      <c r="C1338" s="1210">
        <v>19755</v>
      </c>
      <c r="D1338" s="1230">
        <v>19805</v>
      </c>
      <c r="E1338" s="1212">
        <f t="shared" si="124"/>
        <v>50</v>
      </c>
      <c r="F1338" s="1211">
        <f t="shared" si="125"/>
        <v>-150</v>
      </c>
      <c r="G1338" s="1215"/>
      <c r="H1338" s="1269"/>
      <c r="I1338" s="1291">
        <v>148500</v>
      </c>
    </row>
    <row r="1339" spans="1:9" ht="15" customHeight="1">
      <c r="A1339" s="1253">
        <v>42786</v>
      </c>
      <c r="B1339" s="1209">
        <v>5770</v>
      </c>
      <c r="C1339" s="1210">
        <v>19735</v>
      </c>
      <c r="D1339" s="1230">
        <v>19725</v>
      </c>
      <c r="E1339" s="1212">
        <f t="shared" si="124"/>
        <v>-10</v>
      </c>
      <c r="F1339" s="1211">
        <f t="shared" si="125"/>
        <v>-20</v>
      </c>
      <c r="G1339" s="1215"/>
      <c r="H1339" s="1269"/>
      <c r="I1339" s="1291">
        <v>148000</v>
      </c>
    </row>
    <row r="1340" spans="1:9" ht="15" customHeight="1">
      <c r="A1340" s="1253">
        <v>42787</v>
      </c>
      <c r="B1340" s="1209">
        <v>5820</v>
      </c>
      <c r="C1340" s="1210">
        <v>19900</v>
      </c>
      <c r="D1340" s="1230">
        <v>19880</v>
      </c>
      <c r="E1340" s="1212">
        <f t="shared" si="124"/>
        <v>-20</v>
      </c>
      <c r="F1340" s="1211">
        <f t="shared" si="125"/>
        <v>165</v>
      </c>
      <c r="G1340" s="1215"/>
      <c r="H1340" s="1269"/>
      <c r="I1340" s="1291">
        <v>148500</v>
      </c>
    </row>
    <row r="1341" spans="1:9" ht="15" customHeight="1">
      <c r="A1341" s="1253">
        <v>42788</v>
      </c>
      <c r="B1341" s="1209">
        <v>5820</v>
      </c>
      <c r="C1341" s="1210">
        <v>19660</v>
      </c>
      <c r="D1341" s="1230">
        <v>19675</v>
      </c>
      <c r="E1341" s="1212">
        <f t="shared" si="124"/>
        <v>15</v>
      </c>
      <c r="F1341" s="1211">
        <f t="shared" si="125"/>
        <v>-240</v>
      </c>
      <c r="G1341" s="1215"/>
      <c r="H1341" s="1269"/>
      <c r="I1341" s="1291">
        <v>148500</v>
      </c>
    </row>
    <row r="1342" spans="1:9" ht="15" customHeight="1">
      <c r="A1342" s="1253">
        <v>42789</v>
      </c>
      <c r="B1342" s="1209">
        <v>5820</v>
      </c>
      <c r="C1342" s="1210">
        <v>19150</v>
      </c>
      <c r="D1342" s="1230">
        <v>19105</v>
      </c>
      <c r="E1342" s="1212">
        <f t="shared" si="124"/>
        <v>-45</v>
      </c>
      <c r="F1342" s="1211">
        <f t="shared" si="125"/>
        <v>-510</v>
      </c>
      <c r="G1342" s="1215"/>
      <c r="H1342" s="1269"/>
      <c r="I1342" s="1291">
        <v>148000</v>
      </c>
    </row>
    <row r="1343" spans="1:9" ht="15" customHeight="1">
      <c r="A1343" s="1253">
        <v>42790</v>
      </c>
      <c r="B1343" s="1209">
        <v>5735</v>
      </c>
      <c r="C1343" s="1210">
        <v>19250</v>
      </c>
      <c r="D1343" s="1230">
        <v>19245</v>
      </c>
      <c r="E1343" s="1212">
        <f t="shared" si="124"/>
        <v>-5</v>
      </c>
      <c r="F1343" s="1211">
        <f t="shared" si="125"/>
        <v>100</v>
      </c>
      <c r="G1343" s="1215"/>
      <c r="H1343" s="1269"/>
      <c r="I1343" s="1291">
        <v>145500</v>
      </c>
    </row>
    <row r="1344" spans="1:9" ht="15" customHeight="1">
      <c r="A1344" s="1253">
        <v>42793</v>
      </c>
      <c r="B1344" s="1209">
        <v>5575</v>
      </c>
      <c r="C1344" s="1210">
        <v>19310</v>
      </c>
      <c r="D1344" s="1230">
        <v>19300</v>
      </c>
      <c r="E1344" s="1212">
        <f t="shared" si="124"/>
        <v>-10</v>
      </c>
      <c r="F1344" s="1211">
        <f t="shared" si="125"/>
        <v>60</v>
      </c>
      <c r="G1344" s="1215"/>
      <c r="H1344" s="1269"/>
      <c r="I1344" s="1291">
        <v>147000</v>
      </c>
    </row>
    <row r="1345" spans="1:9" ht="15" customHeight="1">
      <c r="A1345" s="1253">
        <v>42794</v>
      </c>
      <c r="B1345" s="1209">
        <v>5550</v>
      </c>
      <c r="C1345" s="1210">
        <v>19200</v>
      </c>
      <c r="D1345" s="1230">
        <v>19185</v>
      </c>
      <c r="E1345" s="1212">
        <f t="shared" si="124"/>
        <v>-15</v>
      </c>
      <c r="F1345" s="1211">
        <f t="shared" si="125"/>
        <v>-110</v>
      </c>
      <c r="G1345" s="1227">
        <f>AVERAGE(C1326:C1345)</f>
        <v>19491.5</v>
      </c>
      <c r="H1345" s="1274">
        <f>AVERAGE(C1305:C1345)</f>
        <v>20135.975609756097</v>
      </c>
      <c r="I1345" s="1291">
        <v>146500</v>
      </c>
    </row>
    <row r="1346" spans="1:9" ht="15" customHeight="1">
      <c r="A1346" s="1253">
        <v>42795</v>
      </c>
      <c r="B1346" s="1209">
        <v>5560</v>
      </c>
      <c r="C1346" s="1210">
        <v>19375</v>
      </c>
      <c r="D1346" s="1230">
        <v>19350</v>
      </c>
      <c r="E1346" s="1212">
        <f t="shared" si="124"/>
        <v>-25</v>
      </c>
      <c r="F1346" s="1211">
        <f t="shared" si="125"/>
        <v>175</v>
      </c>
      <c r="G1346" s="1215"/>
      <c r="H1346" s="1269"/>
      <c r="I1346" s="1291">
        <v>146500</v>
      </c>
    </row>
    <row r="1347" spans="1:9" ht="15" customHeight="1">
      <c r="A1347" s="1253">
        <v>42796</v>
      </c>
      <c r="B1347" s="1209">
        <v>5650</v>
      </c>
      <c r="C1347" s="1210">
        <v>19330</v>
      </c>
      <c r="D1347" s="1230">
        <v>19350</v>
      </c>
      <c r="E1347" s="1212">
        <f t="shared" si="124"/>
        <v>20</v>
      </c>
      <c r="F1347" s="1211">
        <f t="shared" si="125"/>
        <v>-45</v>
      </c>
      <c r="G1347" s="1215"/>
      <c r="H1347" s="1269"/>
      <c r="I1347" s="1291">
        <v>147000</v>
      </c>
    </row>
    <row r="1348" spans="1:9" ht="15" customHeight="1">
      <c r="A1348" s="1253">
        <v>42797</v>
      </c>
      <c r="B1348" s="1209">
        <v>5425</v>
      </c>
      <c r="C1348" s="1210">
        <v>19425</v>
      </c>
      <c r="D1348" s="1230">
        <v>19450</v>
      </c>
      <c r="E1348" s="1212">
        <f t="shared" si="124"/>
        <v>25</v>
      </c>
      <c r="F1348" s="1211">
        <f t="shared" si="125"/>
        <v>95</v>
      </c>
      <c r="G1348" s="1215"/>
      <c r="H1348" s="1269"/>
      <c r="I1348" s="1291">
        <v>146000</v>
      </c>
    </row>
    <row r="1349" spans="1:9" ht="15" customHeight="1">
      <c r="A1349" s="1253">
        <v>42800</v>
      </c>
      <c r="B1349" s="1209">
        <v>5415</v>
      </c>
      <c r="C1349" s="1210">
        <v>19215</v>
      </c>
      <c r="D1349" s="1230">
        <v>19280</v>
      </c>
      <c r="E1349" s="1212">
        <f t="shared" si="124"/>
        <v>65</v>
      </c>
      <c r="F1349" s="1211">
        <f t="shared" si="125"/>
        <v>-210</v>
      </c>
      <c r="G1349" s="1215"/>
      <c r="H1349" s="1269"/>
      <c r="I1349" s="1291">
        <v>146000</v>
      </c>
    </row>
    <row r="1350" spans="1:9" ht="15" customHeight="1">
      <c r="A1350" s="1253">
        <v>42801</v>
      </c>
      <c r="B1350" s="1209">
        <v>5320</v>
      </c>
      <c r="C1350" s="1210">
        <v>19345</v>
      </c>
      <c r="D1350" s="1230">
        <v>19335</v>
      </c>
      <c r="E1350" s="1212">
        <f t="shared" si="124"/>
        <v>-10</v>
      </c>
      <c r="F1350" s="1211">
        <f t="shared" si="125"/>
        <v>130</v>
      </c>
      <c r="G1350" s="1215"/>
      <c r="H1350" s="1269"/>
      <c r="I1350" s="1291">
        <v>145000</v>
      </c>
    </row>
    <row r="1351" spans="1:9" ht="15" customHeight="1">
      <c r="A1351" s="1253">
        <v>42802</v>
      </c>
      <c r="B1351" s="1209">
        <v>5030</v>
      </c>
      <c r="C1351" s="1210">
        <v>19430</v>
      </c>
      <c r="D1351" s="1230">
        <v>19425</v>
      </c>
      <c r="E1351" s="1212">
        <f t="shared" si="124"/>
        <v>-5</v>
      </c>
      <c r="F1351" s="1211">
        <f t="shared" si="125"/>
        <v>85</v>
      </c>
      <c r="G1351" s="1215"/>
      <c r="H1351" s="1269"/>
      <c r="I1351" s="1291">
        <v>144000</v>
      </c>
    </row>
    <row r="1352" spans="1:9" ht="15" customHeight="1">
      <c r="A1352" s="1253">
        <v>42803</v>
      </c>
      <c r="B1352" s="1209">
        <v>4845</v>
      </c>
      <c r="C1352" s="1210">
        <v>19225</v>
      </c>
      <c r="D1352" s="1230">
        <v>19225</v>
      </c>
      <c r="E1352" s="1212">
        <f t="shared" si="124"/>
        <v>0</v>
      </c>
      <c r="F1352" s="1211">
        <f t="shared" si="125"/>
        <v>-205</v>
      </c>
      <c r="G1352" s="1215"/>
      <c r="H1352" s="1269"/>
      <c r="I1352" s="1291">
        <v>143500</v>
      </c>
    </row>
    <row r="1353" spans="1:9" ht="15" customHeight="1">
      <c r="A1353" s="1253">
        <v>42804</v>
      </c>
      <c r="B1353" s="1209">
        <v>4765</v>
      </c>
      <c r="C1353" s="1210">
        <v>19300</v>
      </c>
      <c r="D1353" s="1230">
        <v>19300</v>
      </c>
      <c r="E1353" s="1212">
        <f t="shared" si="124"/>
        <v>0</v>
      </c>
      <c r="F1353" s="1211">
        <f t="shared" si="125"/>
        <v>75</v>
      </c>
      <c r="G1353" s="1215"/>
      <c r="H1353" s="1269"/>
      <c r="I1353" s="1291">
        <v>143500</v>
      </c>
    </row>
    <row r="1354" spans="1:9" ht="15" customHeight="1">
      <c r="A1354" s="1253">
        <v>42807</v>
      </c>
      <c r="B1354" s="1209">
        <v>4640</v>
      </c>
      <c r="C1354" s="1210">
        <v>19305</v>
      </c>
      <c r="D1354" s="1230">
        <v>19250</v>
      </c>
      <c r="E1354" s="1212">
        <f t="shared" si="124"/>
        <v>-55</v>
      </c>
      <c r="F1354" s="1211">
        <f t="shared" si="125"/>
        <v>5</v>
      </c>
      <c r="G1354" s="1215"/>
      <c r="H1354" s="1269"/>
      <c r="I1354" s="1291">
        <v>143500</v>
      </c>
    </row>
    <row r="1355" spans="1:9" ht="15" customHeight="1">
      <c r="A1355" s="1253">
        <v>42808</v>
      </c>
      <c r="B1355" s="1209">
        <v>4585</v>
      </c>
      <c r="C1355" s="1210">
        <v>19700</v>
      </c>
      <c r="D1355" s="1230">
        <v>19605</v>
      </c>
      <c r="E1355" s="1212">
        <f t="shared" si="124"/>
        <v>-95</v>
      </c>
      <c r="F1355" s="1211">
        <f t="shared" si="125"/>
        <v>395</v>
      </c>
      <c r="G1355" s="1215"/>
      <c r="H1355" s="1269"/>
      <c r="I1355" s="1291">
        <v>144000</v>
      </c>
    </row>
    <row r="1356" spans="1:9" ht="15" customHeight="1">
      <c r="A1356" s="1253">
        <v>42809</v>
      </c>
      <c r="B1356" s="1209">
        <v>4530</v>
      </c>
      <c r="C1356" s="1210">
        <v>20070</v>
      </c>
      <c r="D1356" s="1230">
        <v>19975</v>
      </c>
      <c r="E1356" s="1212">
        <f t="shared" si="124"/>
        <v>-95</v>
      </c>
      <c r="F1356" s="1211">
        <f t="shared" si="125"/>
        <v>370</v>
      </c>
      <c r="G1356" s="1215"/>
      <c r="H1356" s="1269"/>
      <c r="I1356" s="1291">
        <v>144000</v>
      </c>
    </row>
    <row r="1357" spans="1:9" ht="15" customHeight="1">
      <c r="A1357" s="1253">
        <v>42810</v>
      </c>
      <c r="B1357" s="1209">
        <v>4535</v>
      </c>
      <c r="C1357" s="1210">
        <v>20175</v>
      </c>
      <c r="D1357" s="1230">
        <v>20110</v>
      </c>
      <c r="E1357" s="1212">
        <f t="shared" si="124"/>
        <v>-65</v>
      </c>
      <c r="F1357" s="1211">
        <f t="shared" si="125"/>
        <v>105</v>
      </c>
      <c r="G1357" s="1215"/>
      <c r="H1357" s="1269"/>
      <c r="I1357" s="1291">
        <v>146000</v>
      </c>
    </row>
    <row r="1358" spans="1:9" ht="15" customHeight="1">
      <c r="A1358" s="1253">
        <v>42811</v>
      </c>
      <c r="B1358" s="1209">
        <v>4535</v>
      </c>
      <c r="C1358" s="1210">
        <v>20450</v>
      </c>
      <c r="D1358" s="1230">
        <v>20355</v>
      </c>
      <c r="E1358" s="1212">
        <f t="shared" si="124"/>
        <v>-95</v>
      </c>
      <c r="F1358" s="1211">
        <f t="shared" ref="F1358:F1377" si="126">C1358-C1357</f>
        <v>275</v>
      </c>
      <c r="G1358" s="1215"/>
      <c r="H1358" s="1269"/>
      <c r="I1358" s="1291">
        <v>146000</v>
      </c>
    </row>
    <row r="1359" spans="1:9" ht="15" customHeight="1">
      <c r="A1359" s="1253">
        <v>42814</v>
      </c>
      <c r="B1359" s="1209">
        <v>4225</v>
      </c>
      <c r="C1359" s="1210">
        <v>20530</v>
      </c>
      <c r="D1359" s="1230">
        <v>20380</v>
      </c>
      <c r="E1359" s="1212">
        <f t="shared" si="124"/>
        <v>-150</v>
      </c>
      <c r="F1359" s="1211">
        <f t="shared" si="126"/>
        <v>80</v>
      </c>
      <c r="G1359" s="1215"/>
      <c r="H1359" s="1269"/>
      <c r="I1359" s="1291">
        <v>146000</v>
      </c>
    </row>
    <row r="1360" spans="1:9" ht="15" customHeight="1">
      <c r="A1360" s="1253">
        <v>42815</v>
      </c>
      <c r="B1360" s="1209">
        <v>3965</v>
      </c>
      <c r="C1360" s="1210">
        <v>20575</v>
      </c>
      <c r="D1360" s="1230">
        <v>20475</v>
      </c>
      <c r="E1360" s="1212">
        <f t="shared" si="124"/>
        <v>-100</v>
      </c>
      <c r="F1360" s="1211">
        <f t="shared" si="126"/>
        <v>45</v>
      </c>
      <c r="G1360" s="1215"/>
      <c r="H1360" s="1269"/>
      <c r="I1360" s="1291">
        <v>146000</v>
      </c>
    </row>
    <row r="1361" spans="1:9" ht="15" customHeight="1">
      <c r="A1361" s="1253">
        <v>42816</v>
      </c>
      <c r="B1361" s="1209">
        <v>3915</v>
      </c>
      <c r="C1361" s="1210">
        <v>20475</v>
      </c>
      <c r="D1361" s="1230">
        <v>20375</v>
      </c>
      <c r="E1361" s="1212">
        <f t="shared" si="124"/>
        <v>-100</v>
      </c>
      <c r="F1361" s="1211">
        <f t="shared" si="126"/>
        <v>-100</v>
      </c>
      <c r="G1361" s="1215"/>
      <c r="H1361" s="1269"/>
      <c r="I1361" s="1291">
        <v>145000</v>
      </c>
    </row>
    <row r="1362" spans="1:9" ht="15" customHeight="1">
      <c r="A1362" s="1253">
        <v>42817</v>
      </c>
      <c r="B1362" s="1209">
        <v>3740</v>
      </c>
      <c r="C1362" s="1210">
        <v>20375</v>
      </c>
      <c r="D1362" s="1230">
        <v>20375</v>
      </c>
      <c r="E1362" s="1212">
        <f t="shared" si="124"/>
        <v>0</v>
      </c>
      <c r="F1362" s="1211">
        <f t="shared" si="126"/>
        <v>-100</v>
      </c>
      <c r="G1362" s="1215"/>
      <c r="H1362" s="1269"/>
      <c r="I1362" s="1291">
        <v>145000</v>
      </c>
    </row>
    <row r="1363" spans="1:9" ht="15" customHeight="1">
      <c r="A1363" s="1253">
        <v>42818</v>
      </c>
      <c r="B1363" s="1209">
        <v>3715</v>
      </c>
      <c r="C1363" s="1210">
        <v>20100</v>
      </c>
      <c r="D1363" s="1230">
        <v>20110</v>
      </c>
      <c r="E1363" s="1212">
        <f t="shared" si="124"/>
        <v>10</v>
      </c>
      <c r="F1363" s="1211">
        <f t="shared" si="126"/>
        <v>-275</v>
      </c>
      <c r="G1363" s="1215"/>
      <c r="H1363" s="1269"/>
      <c r="I1363" s="1291">
        <v>145000</v>
      </c>
    </row>
    <row r="1364" spans="1:9" ht="15" customHeight="1">
      <c r="A1364" s="1253">
        <v>42821</v>
      </c>
      <c r="B1364" s="1209">
        <v>3715</v>
      </c>
      <c r="C1364" s="1210">
        <v>19550</v>
      </c>
      <c r="D1364" s="1230">
        <v>19535</v>
      </c>
      <c r="E1364" s="1212">
        <f t="shared" si="124"/>
        <v>-15</v>
      </c>
      <c r="F1364" s="1211">
        <f t="shared" si="126"/>
        <v>-550</v>
      </c>
      <c r="G1364" s="1215"/>
      <c r="H1364" s="1269"/>
      <c r="I1364" s="1291">
        <v>143000</v>
      </c>
    </row>
    <row r="1365" spans="1:9" ht="15" customHeight="1">
      <c r="A1365" s="1253">
        <v>42822</v>
      </c>
      <c r="B1365" s="1209">
        <v>3715</v>
      </c>
      <c r="C1365" s="1210">
        <v>19925</v>
      </c>
      <c r="D1365" s="1230">
        <v>19900</v>
      </c>
      <c r="E1365" s="1212">
        <f t="shared" si="124"/>
        <v>-25</v>
      </c>
      <c r="F1365" s="1211">
        <f t="shared" si="126"/>
        <v>375</v>
      </c>
      <c r="G1365" s="1215"/>
      <c r="H1365" s="1269"/>
      <c r="I1365" s="1291">
        <v>143000</v>
      </c>
    </row>
    <row r="1366" spans="1:9" ht="15" customHeight="1">
      <c r="A1366" s="1253">
        <v>42823</v>
      </c>
      <c r="B1366" s="1209">
        <v>3565</v>
      </c>
      <c r="C1366" s="1210">
        <v>20075</v>
      </c>
      <c r="D1366" s="1230">
        <v>20000</v>
      </c>
      <c r="E1366" s="1212">
        <f t="shared" ref="E1366:E1377" si="127">D1366-C1366</f>
        <v>-75</v>
      </c>
      <c r="F1366" s="1211">
        <f t="shared" si="126"/>
        <v>150</v>
      </c>
      <c r="G1366" s="1215"/>
      <c r="H1366" s="1269"/>
      <c r="I1366" s="1291">
        <v>143000</v>
      </c>
    </row>
    <row r="1367" spans="1:9" ht="15" customHeight="1">
      <c r="A1367" s="1253">
        <v>42824</v>
      </c>
      <c r="B1367" s="1209">
        <v>3540</v>
      </c>
      <c r="C1367" s="1210">
        <v>20075</v>
      </c>
      <c r="D1367" s="1230">
        <v>20050</v>
      </c>
      <c r="E1367" s="1212">
        <f t="shared" si="127"/>
        <v>-25</v>
      </c>
      <c r="F1367" s="1211">
        <f t="shared" si="126"/>
        <v>0</v>
      </c>
      <c r="G1367" s="1215"/>
      <c r="H1367" s="1269"/>
      <c r="I1367" s="1291">
        <v>143000</v>
      </c>
    </row>
    <row r="1368" spans="1:9" ht="15" customHeight="1">
      <c r="A1368" s="1253">
        <v>42825</v>
      </c>
      <c r="B1368" s="1209">
        <v>3465</v>
      </c>
      <c r="C1368" s="1210">
        <v>20100</v>
      </c>
      <c r="D1368" s="1230">
        <v>20000</v>
      </c>
      <c r="E1368" s="1212">
        <f t="shared" si="127"/>
        <v>-100</v>
      </c>
      <c r="F1368" s="1211">
        <f t="shared" si="126"/>
        <v>25</v>
      </c>
      <c r="G1368" s="1227">
        <f>AVERAGE(C1346:C1368)</f>
        <v>19831.521739130436</v>
      </c>
      <c r="H1368" s="1274">
        <f>AVERAGE(C1305:C1368)</f>
        <v>20026.5625</v>
      </c>
      <c r="I1368" s="1291">
        <v>143000</v>
      </c>
    </row>
    <row r="1369" spans="1:9" ht="15" customHeight="1">
      <c r="A1369" s="1253">
        <v>42828</v>
      </c>
      <c r="B1369" s="1209">
        <v>3510</v>
      </c>
      <c r="C1369" s="1210">
        <v>20225</v>
      </c>
      <c r="D1369" s="1230">
        <v>20130</v>
      </c>
      <c r="E1369" s="1212">
        <f t="shared" si="127"/>
        <v>-95</v>
      </c>
      <c r="F1369" s="1211">
        <f t="shared" si="126"/>
        <v>125</v>
      </c>
      <c r="G1369" s="1215"/>
      <c r="H1369" s="1269"/>
      <c r="I1369" s="1447" t="s">
        <v>56</v>
      </c>
    </row>
    <row r="1370" spans="1:9" ht="15" customHeight="1">
      <c r="A1370" s="1253">
        <v>42829</v>
      </c>
      <c r="B1370" s="1209">
        <v>3510</v>
      </c>
      <c r="C1370" s="1210">
        <v>20035</v>
      </c>
      <c r="D1370" s="1230">
        <v>20075</v>
      </c>
      <c r="E1370" s="1212">
        <f t="shared" si="127"/>
        <v>40</v>
      </c>
      <c r="F1370" s="1211">
        <f t="shared" si="126"/>
        <v>-190</v>
      </c>
      <c r="G1370" s="1215"/>
      <c r="H1370" s="1269"/>
      <c r="I1370" s="1447"/>
    </row>
    <row r="1371" spans="1:9" ht="15" customHeight="1">
      <c r="A1371" s="1253">
        <v>42830</v>
      </c>
      <c r="B1371" s="1209">
        <v>3475</v>
      </c>
      <c r="C1371" s="1210">
        <v>20195</v>
      </c>
      <c r="D1371" s="1230">
        <v>20180</v>
      </c>
      <c r="E1371" s="1212">
        <f t="shared" si="127"/>
        <v>-15</v>
      </c>
      <c r="F1371" s="1211">
        <f t="shared" si="126"/>
        <v>160</v>
      </c>
      <c r="G1371" s="1215"/>
      <c r="H1371" s="1269"/>
      <c r="I1371" s="1291">
        <v>142500</v>
      </c>
    </row>
    <row r="1372" spans="1:9" ht="15" customHeight="1">
      <c r="A1372" s="1253">
        <v>42831</v>
      </c>
      <c r="B1372" s="1209">
        <v>3475</v>
      </c>
      <c r="C1372" s="1210">
        <v>20350</v>
      </c>
      <c r="D1372" s="1230">
        <v>20350</v>
      </c>
      <c r="E1372" s="1212">
        <f t="shared" si="127"/>
        <v>0</v>
      </c>
      <c r="F1372" s="1211">
        <f t="shared" si="126"/>
        <v>155</v>
      </c>
      <c r="G1372" s="1215"/>
      <c r="H1372" s="1269"/>
      <c r="I1372" s="1291">
        <v>143500</v>
      </c>
    </row>
    <row r="1373" spans="1:9" ht="15" customHeight="1">
      <c r="A1373" s="1253">
        <v>42832</v>
      </c>
      <c r="B1373" s="1209">
        <v>3475</v>
      </c>
      <c r="C1373" s="1210">
        <v>20375</v>
      </c>
      <c r="D1373" s="1230">
        <v>20325</v>
      </c>
      <c r="E1373" s="1212">
        <f t="shared" si="127"/>
        <v>-50</v>
      </c>
      <c r="F1373" s="1211">
        <f t="shared" si="126"/>
        <v>25</v>
      </c>
      <c r="G1373" s="1215"/>
      <c r="H1373" s="1269"/>
      <c r="I1373" s="1291">
        <v>144750</v>
      </c>
    </row>
    <row r="1374" spans="1:9" ht="15" customHeight="1">
      <c r="A1374" s="1253">
        <v>42835</v>
      </c>
      <c r="B1374" s="1209">
        <v>3330</v>
      </c>
      <c r="C1374" s="1210">
        <v>20400</v>
      </c>
      <c r="D1374" s="1230">
        <v>20350</v>
      </c>
      <c r="E1374" s="1212">
        <f t="shared" si="127"/>
        <v>-50</v>
      </c>
      <c r="F1374" s="1211">
        <f t="shared" si="126"/>
        <v>25</v>
      </c>
      <c r="G1374" s="1215"/>
      <c r="H1374" s="1269"/>
      <c r="I1374" s="1291">
        <v>145000</v>
      </c>
    </row>
    <row r="1375" spans="1:9" ht="15" customHeight="1">
      <c r="A1375" s="1253">
        <v>42836</v>
      </c>
      <c r="B1375" s="1209">
        <v>3330</v>
      </c>
      <c r="C1375" s="1210">
        <v>20125</v>
      </c>
      <c r="D1375" s="1230">
        <v>20005</v>
      </c>
      <c r="E1375" s="1212">
        <f t="shared" si="127"/>
        <v>-120</v>
      </c>
      <c r="F1375" s="1211">
        <f t="shared" si="126"/>
        <v>-275</v>
      </c>
      <c r="G1375" s="1215"/>
      <c r="H1375" s="1269"/>
      <c r="I1375" s="1291">
        <v>143000</v>
      </c>
    </row>
    <row r="1376" spans="1:9" ht="15" customHeight="1">
      <c r="A1376" s="1253">
        <v>42837</v>
      </c>
      <c r="B1376" s="1209">
        <v>3330</v>
      </c>
      <c r="C1376" s="1210">
        <v>20075</v>
      </c>
      <c r="D1376" s="1230">
        <v>20025</v>
      </c>
      <c r="E1376" s="1212">
        <f t="shared" si="127"/>
        <v>-50</v>
      </c>
      <c r="F1376" s="1211">
        <f t="shared" si="126"/>
        <v>-50</v>
      </c>
      <c r="G1376" s="1215"/>
      <c r="H1376" s="1269"/>
      <c r="I1376" s="1291">
        <v>141500</v>
      </c>
    </row>
    <row r="1377" spans="1:9" ht="15" customHeight="1">
      <c r="A1377" s="1253">
        <v>42838</v>
      </c>
      <c r="B1377" s="1209">
        <v>3345</v>
      </c>
      <c r="C1377" s="1210">
        <v>19750</v>
      </c>
      <c r="D1377" s="1230">
        <v>19700</v>
      </c>
      <c r="E1377" s="1212">
        <f t="shared" si="127"/>
        <v>-50</v>
      </c>
      <c r="F1377" s="1211">
        <f t="shared" si="126"/>
        <v>-325</v>
      </c>
      <c r="G1377" s="1215"/>
      <c r="H1377" s="1269"/>
      <c r="I1377" s="1291">
        <v>141500</v>
      </c>
    </row>
    <row r="1378" spans="1:9" ht="15" customHeight="1">
      <c r="A1378" s="1253">
        <v>42839</v>
      </c>
      <c r="B1378" s="1438" t="s">
        <v>118</v>
      </c>
      <c r="C1378" s="1438"/>
      <c r="D1378" s="1438"/>
      <c r="E1378" s="1438"/>
      <c r="F1378" s="1438"/>
      <c r="G1378" s="1215"/>
      <c r="H1378" s="1269"/>
      <c r="I1378" s="1291"/>
    </row>
    <row r="1379" spans="1:9" ht="15" customHeight="1">
      <c r="A1379" s="1253">
        <v>42842</v>
      </c>
      <c r="B1379" s="1438"/>
      <c r="C1379" s="1438"/>
      <c r="D1379" s="1438"/>
      <c r="E1379" s="1438"/>
      <c r="F1379" s="1438"/>
      <c r="G1379" s="1215"/>
      <c r="H1379" s="1269"/>
      <c r="I1379" s="1291">
        <v>142000</v>
      </c>
    </row>
    <row r="1380" spans="1:9" ht="15" customHeight="1">
      <c r="A1380" s="1253">
        <v>42843</v>
      </c>
      <c r="B1380" s="1209">
        <v>3275</v>
      </c>
      <c r="C1380" s="1210">
        <v>19885</v>
      </c>
      <c r="D1380" s="1230">
        <v>19850</v>
      </c>
      <c r="E1380" s="1212">
        <f t="shared" ref="E1380:E1443" si="128">D1380-C1380</f>
        <v>-35</v>
      </c>
      <c r="F1380" s="1211">
        <f>C1380-C1377</f>
        <v>135</v>
      </c>
      <c r="G1380" s="1215"/>
      <c r="H1380" s="1269"/>
      <c r="I1380" s="1291">
        <v>142000</v>
      </c>
    </row>
    <row r="1381" spans="1:9" ht="15" customHeight="1">
      <c r="A1381" s="1253">
        <v>42844</v>
      </c>
      <c r="B1381" s="1209">
        <v>3195</v>
      </c>
      <c r="C1381" s="1210">
        <v>19875</v>
      </c>
      <c r="D1381" s="1230">
        <v>19925</v>
      </c>
      <c r="E1381" s="1212">
        <f t="shared" si="128"/>
        <v>50</v>
      </c>
      <c r="F1381" s="1211">
        <f t="shared" ref="F1381:F1408" si="129">C1381-C1380</f>
        <v>-10</v>
      </c>
      <c r="G1381" s="1215"/>
      <c r="H1381" s="1269"/>
      <c r="I1381" s="1291">
        <v>141000</v>
      </c>
    </row>
    <row r="1382" spans="1:9" ht="15" customHeight="1">
      <c r="A1382" s="1253">
        <v>42845</v>
      </c>
      <c r="B1382" s="1209">
        <v>3195</v>
      </c>
      <c r="C1382" s="1210">
        <v>19905</v>
      </c>
      <c r="D1382" s="1230">
        <v>19900</v>
      </c>
      <c r="E1382" s="1212">
        <f t="shared" si="128"/>
        <v>-5</v>
      </c>
      <c r="F1382" s="1211">
        <f t="shared" si="129"/>
        <v>30</v>
      </c>
      <c r="G1382" s="1215"/>
      <c r="H1382" s="1269"/>
      <c r="I1382" s="1291">
        <v>141000</v>
      </c>
    </row>
    <row r="1383" spans="1:9" ht="15" customHeight="1">
      <c r="A1383" s="1253">
        <v>42846</v>
      </c>
      <c r="B1383" s="1209">
        <v>3195</v>
      </c>
      <c r="C1383" s="1210">
        <v>19900</v>
      </c>
      <c r="D1383" s="1230">
        <v>19900</v>
      </c>
      <c r="E1383" s="1212">
        <f t="shared" si="128"/>
        <v>0</v>
      </c>
      <c r="F1383" s="1211">
        <f t="shared" si="129"/>
        <v>-5</v>
      </c>
      <c r="G1383" s="1215"/>
      <c r="H1383" s="1269"/>
      <c r="I1383" s="1291">
        <v>141000</v>
      </c>
    </row>
    <row r="1384" spans="1:9" ht="15" customHeight="1">
      <c r="A1384" s="1253">
        <v>42849</v>
      </c>
      <c r="B1384" s="1209">
        <v>3170</v>
      </c>
      <c r="C1384" s="1210">
        <v>19600</v>
      </c>
      <c r="D1384" s="1230">
        <v>19550</v>
      </c>
      <c r="E1384" s="1212">
        <f t="shared" si="128"/>
        <v>-50</v>
      </c>
      <c r="F1384" s="1211">
        <f t="shared" si="129"/>
        <v>-300</v>
      </c>
      <c r="G1384" s="1215"/>
      <c r="H1384" s="1269"/>
      <c r="I1384" s="1291">
        <v>138500</v>
      </c>
    </row>
    <row r="1385" spans="1:9" ht="15" customHeight="1">
      <c r="A1385" s="1253">
        <v>42850</v>
      </c>
      <c r="B1385" s="1209">
        <v>3095</v>
      </c>
      <c r="C1385" s="1210">
        <v>19525</v>
      </c>
      <c r="D1385" s="1230">
        <v>19625</v>
      </c>
      <c r="E1385" s="1212">
        <f t="shared" si="128"/>
        <v>100</v>
      </c>
      <c r="F1385" s="1211">
        <f t="shared" si="129"/>
        <v>-75</v>
      </c>
      <c r="G1385" s="1215"/>
      <c r="H1385" s="1269"/>
      <c r="I1385" s="1291">
        <v>138500</v>
      </c>
    </row>
    <row r="1386" spans="1:9" ht="15" customHeight="1">
      <c r="A1386" s="1253">
        <v>42851</v>
      </c>
      <c r="B1386" s="1209">
        <v>3040</v>
      </c>
      <c r="C1386" s="1210">
        <v>19850</v>
      </c>
      <c r="D1386" s="1230">
        <v>19785</v>
      </c>
      <c r="E1386" s="1212">
        <f t="shared" si="128"/>
        <v>-65</v>
      </c>
      <c r="F1386" s="1211">
        <f t="shared" si="129"/>
        <v>325</v>
      </c>
      <c r="G1386" s="1215"/>
      <c r="H1386" s="1269"/>
      <c r="I1386" s="1291">
        <v>138500</v>
      </c>
    </row>
    <row r="1387" spans="1:9" ht="15" customHeight="1">
      <c r="A1387" s="1253">
        <v>42852</v>
      </c>
      <c r="B1387" s="1209">
        <v>3020</v>
      </c>
      <c r="C1387" s="1210">
        <v>19925</v>
      </c>
      <c r="D1387" s="1230">
        <v>19825</v>
      </c>
      <c r="E1387" s="1212">
        <f t="shared" si="128"/>
        <v>-100</v>
      </c>
      <c r="F1387" s="1211">
        <f t="shared" si="129"/>
        <v>75</v>
      </c>
      <c r="G1387" s="1215"/>
      <c r="H1387" s="1269"/>
      <c r="I1387" s="1291">
        <v>139500</v>
      </c>
    </row>
    <row r="1388" spans="1:9" ht="15" customHeight="1">
      <c r="A1388" s="1253">
        <v>42853</v>
      </c>
      <c r="B1388" s="1209">
        <v>3015</v>
      </c>
      <c r="C1388" s="1210">
        <v>19850</v>
      </c>
      <c r="D1388" s="1230">
        <v>19780</v>
      </c>
      <c r="E1388" s="1212">
        <f t="shared" si="128"/>
        <v>-70</v>
      </c>
      <c r="F1388" s="1211">
        <f t="shared" si="129"/>
        <v>-75</v>
      </c>
      <c r="G1388" s="1227">
        <f>AVERAGE(C1369:C1388)</f>
        <v>19991.388888888891</v>
      </c>
      <c r="H1388" s="1274">
        <f>AVERAGE(C1305:C1388)</f>
        <v>20018.841463414636</v>
      </c>
      <c r="I1388" s="1291">
        <v>141000</v>
      </c>
    </row>
    <row r="1389" spans="1:9" ht="15" customHeight="1">
      <c r="A1389" s="1253">
        <v>42856</v>
      </c>
      <c r="B1389" s="1438" t="s">
        <v>118</v>
      </c>
      <c r="C1389" s="1438"/>
      <c r="D1389" s="1438"/>
      <c r="E1389" s="1438"/>
      <c r="F1389" s="1438"/>
      <c r="G1389" s="1215"/>
      <c r="H1389" s="1269"/>
      <c r="I1389" s="1283"/>
    </row>
    <row r="1390" spans="1:9" ht="15" customHeight="1">
      <c r="A1390" s="1253">
        <v>42857</v>
      </c>
      <c r="B1390" s="1221">
        <v>2865</v>
      </c>
      <c r="C1390" s="1210">
        <v>20100</v>
      </c>
      <c r="D1390" s="1230">
        <v>19975</v>
      </c>
      <c r="E1390" s="1212">
        <f t="shared" si="128"/>
        <v>-125</v>
      </c>
      <c r="F1390" s="1211">
        <f>C1390-C1388</f>
        <v>250</v>
      </c>
      <c r="G1390" s="1215"/>
      <c r="H1390" s="1269"/>
      <c r="I1390" s="1283"/>
    </row>
    <row r="1391" spans="1:9" ht="15" customHeight="1">
      <c r="A1391" s="1253">
        <v>42858</v>
      </c>
      <c r="B1391" s="1209">
        <v>2665</v>
      </c>
      <c r="C1391" s="1210">
        <v>19850</v>
      </c>
      <c r="D1391" s="1230">
        <v>19875</v>
      </c>
      <c r="E1391" s="1212">
        <f t="shared" si="128"/>
        <v>25</v>
      </c>
      <c r="F1391" s="1211">
        <f t="shared" si="129"/>
        <v>-250</v>
      </c>
      <c r="G1391" s="1215"/>
      <c r="H1391" s="1269"/>
      <c r="I1391" s="1283"/>
    </row>
    <row r="1392" spans="1:9" ht="15" customHeight="1">
      <c r="A1392" s="1253">
        <v>42859</v>
      </c>
      <c r="B1392" s="1209">
        <v>2630</v>
      </c>
      <c r="C1392" s="1210">
        <v>20000</v>
      </c>
      <c r="D1392" s="1230">
        <v>19950</v>
      </c>
      <c r="E1392" s="1212">
        <f t="shared" si="128"/>
        <v>-50</v>
      </c>
      <c r="F1392" s="1211">
        <f t="shared" si="129"/>
        <v>150</v>
      </c>
      <c r="G1392" s="1215"/>
      <c r="H1392" s="1269"/>
      <c r="I1392" s="1283"/>
    </row>
    <row r="1393" spans="1:9" ht="15" customHeight="1">
      <c r="A1393" s="1253">
        <v>42860</v>
      </c>
      <c r="B1393" s="1209">
        <v>2490</v>
      </c>
      <c r="C1393" s="1210">
        <v>19930</v>
      </c>
      <c r="D1393" s="1230">
        <v>19830</v>
      </c>
      <c r="E1393" s="1212">
        <f t="shared" si="128"/>
        <v>-100</v>
      </c>
      <c r="F1393" s="1211">
        <f t="shared" si="129"/>
        <v>-70</v>
      </c>
      <c r="G1393" s="1215"/>
      <c r="H1393" s="1269"/>
      <c r="I1393" s="1291">
        <v>141000</v>
      </c>
    </row>
    <row r="1394" spans="1:9" ht="15" customHeight="1">
      <c r="A1394" s="1253">
        <v>42863</v>
      </c>
      <c r="B1394" s="1209">
        <v>2375</v>
      </c>
      <c r="C1394" s="1210">
        <v>19850</v>
      </c>
      <c r="D1394" s="1230">
        <v>19800</v>
      </c>
      <c r="E1394" s="1212">
        <f t="shared" si="128"/>
        <v>-50</v>
      </c>
      <c r="F1394" s="1211">
        <f t="shared" si="129"/>
        <v>-80</v>
      </c>
      <c r="G1394" s="1215"/>
      <c r="H1394" s="1269"/>
      <c r="I1394" s="1291"/>
    </row>
    <row r="1395" spans="1:9" ht="15" customHeight="1">
      <c r="A1395" s="1253">
        <v>42864</v>
      </c>
      <c r="B1395" s="1209">
        <v>2290</v>
      </c>
      <c r="C1395" s="1210">
        <v>19900</v>
      </c>
      <c r="D1395" s="1230">
        <v>19800</v>
      </c>
      <c r="E1395" s="1212">
        <f t="shared" si="128"/>
        <v>-100</v>
      </c>
      <c r="F1395" s="1211">
        <f t="shared" si="129"/>
        <v>50</v>
      </c>
      <c r="G1395" s="1215"/>
      <c r="H1395" s="1269"/>
      <c r="I1395" s="1291">
        <v>140000</v>
      </c>
    </row>
    <row r="1396" spans="1:9" ht="15" customHeight="1">
      <c r="A1396" s="1253">
        <v>42865</v>
      </c>
      <c r="B1396" s="1209">
        <v>2290</v>
      </c>
      <c r="C1396" s="1210">
        <v>19840</v>
      </c>
      <c r="D1396" s="1230">
        <v>19750</v>
      </c>
      <c r="E1396" s="1212">
        <f t="shared" si="128"/>
        <v>-90</v>
      </c>
      <c r="F1396" s="1211">
        <f t="shared" si="129"/>
        <v>-60</v>
      </c>
      <c r="G1396" s="1215"/>
      <c r="H1396" s="1269"/>
      <c r="I1396" s="1291">
        <v>140500</v>
      </c>
    </row>
    <row r="1397" spans="1:9" ht="15" customHeight="1">
      <c r="A1397" s="1253">
        <v>42866</v>
      </c>
      <c r="B1397" s="1209">
        <v>2290</v>
      </c>
      <c r="C1397" s="1210">
        <v>20100</v>
      </c>
      <c r="D1397" s="1230">
        <v>19950</v>
      </c>
      <c r="E1397" s="1212">
        <f t="shared" si="128"/>
        <v>-150</v>
      </c>
      <c r="F1397" s="1211">
        <f t="shared" si="129"/>
        <v>260</v>
      </c>
      <c r="G1397" s="1215"/>
      <c r="H1397" s="1269"/>
      <c r="I1397" s="1291">
        <v>140000</v>
      </c>
    </row>
    <row r="1398" spans="1:9" ht="15" customHeight="1">
      <c r="A1398" s="1253">
        <v>42867</v>
      </c>
      <c r="B1398" s="1209">
        <v>2320</v>
      </c>
      <c r="C1398" s="1210">
        <v>19910</v>
      </c>
      <c r="D1398" s="1230">
        <v>19800</v>
      </c>
      <c r="E1398" s="1212">
        <f t="shared" si="128"/>
        <v>-110</v>
      </c>
      <c r="F1398" s="1211">
        <f t="shared" si="129"/>
        <v>-190</v>
      </c>
      <c r="G1398" s="1215"/>
      <c r="H1398" s="1269"/>
      <c r="I1398" s="1291">
        <v>140500</v>
      </c>
    </row>
    <row r="1399" spans="1:9" ht="15" customHeight="1">
      <c r="A1399" s="1253">
        <v>42870</v>
      </c>
      <c r="B1399" s="1209">
        <v>2300</v>
      </c>
      <c r="C1399" s="1210">
        <v>20100</v>
      </c>
      <c r="D1399" s="1230">
        <v>19900</v>
      </c>
      <c r="E1399" s="1212">
        <f t="shared" si="128"/>
        <v>-200</v>
      </c>
      <c r="F1399" s="1211">
        <f t="shared" si="129"/>
        <v>190</v>
      </c>
      <c r="G1399" s="1215"/>
      <c r="H1399" s="1269"/>
      <c r="I1399" s="1291">
        <v>140000</v>
      </c>
    </row>
    <row r="1400" spans="1:9" ht="15" customHeight="1">
      <c r="A1400" s="1253">
        <v>42871</v>
      </c>
      <c r="B1400" s="1209">
        <v>2300</v>
      </c>
      <c r="C1400" s="1210">
        <v>19905</v>
      </c>
      <c r="D1400" s="1230">
        <v>19810</v>
      </c>
      <c r="E1400" s="1212">
        <f t="shared" si="128"/>
        <v>-95</v>
      </c>
      <c r="F1400" s="1211">
        <f t="shared" si="129"/>
        <v>-195</v>
      </c>
      <c r="G1400" s="1215"/>
      <c r="H1400" s="1269"/>
      <c r="I1400" s="1291">
        <v>139500</v>
      </c>
    </row>
    <row r="1401" spans="1:9" ht="15" customHeight="1">
      <c r="A1401" s="1253">
        <v>42872</v>
      </c>
      <c r="B1401" s="1209">
        <v>2215</v>
      </c>
      <c r="C1401" s="1210">
        <v>20055</v>
      </c>
      <c r="D1401" s="1230">
        <v>19975</v>
      </c>
      <c r="E1401" s="1212">
        <f t="shared" si="128"/>
        <v>-80</v>
      </c>
      <c r="F1401" s="1211">
        <f t="shared" si="129"/>
        <v>150</v>
      </c>
      <c r="G1401" s="1215"/>
      <c r="H1401" s="1269"/>
      <c r="I1401" s="1291">
        <v>140000</v>
      </c>
    </row>
    <row r="1402" spans="1:9" ht="15" customHeight="1">
      <c r="A1402" s="1253">
        <v>42873</v>
      </c>
      <c r="B1402" s="1209">
        <v>2045</v>
      </c>
      <c r="C1402" s="1210">
        <v>20650</v>
      </c>
      <c r="D1402" s="1230">
        <v>20475</v>
      </c>
      <c r="E1402" s="1212">
        <f t="shared" si="128"/>
        <v>-175</v>
      </c>
      <c r="F1402" s="1211">
        <f t="shared" si="129"/>
        <v>595</v>
      </c>
      <c r="G1402" s="1215"/>
      <c r="H1402" s="1269"/>
      <c r="I1402" s="1291">
        <v>141000</v>
      </c>
    </row>
    <row r="1403" spans="1:9" ht="15" customHeight="1">
      <c r="A1403" s="1253">
        <v>42874</v>
      </c>
      <c r="B1403" s="1209">
        <v>2020</v>
      </c>
      <c r="C1403" s="1210">
        <v>20550</v>
      </c>
      <c r="D1403" s="1230">
        <v>20335</v>
      </c>
      <c r="E1403" s="1212">
        <f t="shared" si="128"/>
        <v>-215</v>
      </c>
      <c r="F1403" s="1211">
        <f t="shared" si="129"/>
        <v>-100</v>
      </c>
      <c r="G1403" s="1215"/>
      <c r="H1403" s="1269"/>
      <c r="I1403" s="1291">
        <v>141750</v>
      </c>
    </row>
    <row r="1404" spans="1:9" ht="15" customHeight="1">
      <c r="A1404" s="1253">
        <v>42877</v>
      </c>
      <c r="B1404" s="1209">
        <v>1970</v>
      </c>
      <c r="C1404" s="1210">
        <v>20805</v>
      </c>
      <c r="D1404" s="1230">
        <v>20600</v>
      </c>
      <c r="E1404" s="1212">
        <f t="shared" si="128"/>
        <v>-205</v>
      </c>
      <c r="F1404" s="1211">
        <f t="shared" si="129"/>
        <v>255</v>
      </c>
      <c r="G1404" s="1215"/>
      <c r="H1404" s="1269"/>
      <c r="I1404" s="1291">
        <v>143000</v>
      </c>
    </row>
    <row r="1405" spans="1:9" ht="15" customHeight="1">
      <c r="A1405" s="1253">
        <v>42878</v>
      </c>
      <c r="B1405" s="1209">
        <v>2030</v>
      </c>
      <c r="C1405" s="1210">
        <v>20700</v>
      </c>
      <c r="D1405" s="1230">
        <v>20525</v>
      </c>
      <c r="E1405" s="1212">
        <f t="shared" si="128"/>
        <v>-175</v>
      </c>
      <c r="F1405" s="1211">
        <f t="shared" si="129"/>
        <v>-105</v>
      </c>
      <c r="G1405" s="1215"/>
      <c r="H1405" s="1269"/>
      <c r="I1405" s="1291">
        <v>143000</v>
      </c>
    </row>
    <row r="1406" spans="1:9" ht="15" customHeight="1">
      <c r="A1406" s="1253">
        <v>42879</v>
      </c>
      <c r="B1406" s="1209">
        <v>2060</v>
      </c>
      <c r="C1406" s="1210">
        <v>20520</v>
      </c>
      <c r="D1406" s="1230">
        <v>20305</v>
      </c>
      <c r="E1406" s="1212">
        <f t="shared" si="128"/>
        <v>-215</v>
      </c>
      <c r="F1406" s="1211">
        <f t="shared" si="129"/>
        <v>-180</v>
      </c>
      <c r="G1406" s="1215"/>
      <c r="H1406" s="1269"/>
      <c r="I1406" s="1291">
        <v>142000</v>
      </c>
    </row>
    <row r="1407" spans="1:9" ht="15" customHeight="1">
      <c r="A1407" s="1253">
        <v>42880</v>
      </c>
      <c r="B1407" s="1209">
        <v>2060</v>
      </c>
      <c r="C1407" s="1210">
        <v>20610</v>
      </c>
      <c r="D1407" s="1230">
        <v>20425</v>
      </c>
      <c r="E1407" s="1212">
        <f t="shared" si="128"/>
        <v>-185</v>
      </c>
      <c r="F1407" s="1211">
        <f t="shared" si="129"/>
        <v>90</v>
      </c>
      <c r="G1407" s="1215"/>
      <c r="H1407" s="1269"/>
      <c r="I1407" s="1291">
        <v>142000</v>
      </c>
    </row>
    <row r="1408" spans="1:9" ht="15" customHeight="1">
      <c r="A1408" s="1253">
        <v>42881</v>
      </c>
      <c r="B1408" s="1209">
        <v>2015</v>
      </c>
      <c r="C1408" s="1210">
        <v>20500</v>
      </c>
      <c r="D1408" s="1230">
        <v>20355</v>
      </c>
      <c r="E1408" s="1212">
        <f t="shared" si="128"/>
        <v>-145</v>
      </c>
      <c r="F1408" s="1211">
        <f t="shared" si="129"/>
        <v>-110</v>
      </c>
      <c r="G1408" s="1215"/>
      <c r="H1408" s="1269"/>
      <c r="I1408" s="1291">
        <v>142000</v>
      </c>
    </row>
    <row r="1409" spans="1:9" ht="15" customHeight="1">
      <c r="A1409" s="1253">
        <v>42884</v>
      </c>
      <c r="B1409" s="1438" t="s">
        <v>118</v>
      </c>
      <c r="C1409" s="1438"/>
      <c r="D1409" s="1438"/>
      <c r="E1409" s="1438"/>
      <c r="F1409" s="1438"/>
      <c r="G1409" s="1215"/>
      <c r="H1409" s="1269"/>
      <c r="I1409" s="1291"/>
    </row>
    <row r="1410" spans="1:9" ht="15" customHeight="1">
      <c r="A1410" s="1253">
        <v>42885</v>
      </c>
      <c r="B1410" s="1209">
        <v>1950</v>
      </c>
      <c r="C1410" s="1210">
        <v>20575</v>
      </c>
      <c r="D1410" s="1230">
        <v>20425</v>
      </c>
      <c r="E1410" s="1212">
        <f t="shared" si="128"/>
        <v>-150</v>
      </c>
      <c r="F1410" s="1211">
        <f>C1410-C1408</f>
        <v>75</v>
      </c>
      <c r="G1410" s="1215"/>
      <c r="H1410" s="1269"/>
      <c r="I1410" s="1291">
        <v>142000</v>
      </c>
    </row>
    <row r="1411" spans="1:9" ht="15" customHeight="1">
      <c r="A1411" s="1253">
        <v>42886</v>
      </c>
      <c r="B1411" s="1209">
        <v>1980</v>
      </c>
      <c r="C1411" s="1210">
        <v>20400</v>
      </c>
      <c r="D1411" s="1230">
        <v>20280</v>
      </c>
      <c r="E1411" s="1212">
        <f t="shared" si="128"/>
        <v>-120</v>
      </c>
      <c r="F1411" s="1211">
        <f>C1411-C1410</f>
        <v>-175</v>
      </c>
      <c r="G1411" s="1227">
        <f>AVERAGE(C1389:C1411)</f>
        <v>20230.952380952382</v>
      </c>
      <c r="H1411" s="1274">
        <f>AVERAGE(C1305:C1411)</f>
        <v>20062.087378640776</v>
      </c>
      <c r="I1411" s="1291">
        <v>142000</v>
      </c>
    </row>
    <row r="1412" spans="1:9" ht="15" customHeight="1">
      <c r="A1412" s="1253">
        <v>42887</v>
      </c>
      <c r="B1412" s="1209">
        <v>1910</v>
      </c>
      <c r="C1412" s="1210">
        <v>20475</v>
      </c>
      <c r="D1412" s="1230">
        <v>20425</v>
      </c>
      <c r="E1412" s="1212">
        <f t="shared" si="128"/>
        <v>-50</v>
      </c>
      <c r="F1412" s="1211">
        <f>C1412-C1411</f>
        <v>75</v>
      </c>
      <c r="G1412" s="1215"/>
      <c r="H1412" s="1269"/>
      <c r="I1412" s="1291">
        <v>141500</v>
      </c>
    </row>
    <row r="1413" spans="1:9" ht="15" customHeight="1">
      <c r="A1413" s="1253">
        <v>42888</v>
      </c>
      <c r="B1413" s="1209">
        <v>1910</v>
      </c>
      <c r="C1413" s="1210">
        <v>20405</v>
      </c>
      <c r="D1413" s="1230">
        <v>20250</v>
      </c>
      <c r="E1413" s="1212">
        <f t="shared" si="128"/>
        <v>-155</v>
      </c>
      <c r="F1413" s="1211">
        <f>C1413-C1412</f>
        <v>-70</v>
      </c>
      <c r="G1413" s="1215"/>
      <c r="H1413" s="1269"/>
      <c r="I1413" s="1291">
        <v>141500</v>
      </c>
    </row>
    <row r="1414" spans="1:9" ht="15" customHeight="1">
      <c r="A1414" s="1253">
        <v>42891</v>
      </c>
      <c r="B1414" s="1209">
        <v>1910</v>
      </c>
      <c r="C1414" s="1210">
        <v>20245</v>
      </c>
      <c r="D1414" s="1230">
        <v>20150</v>
      </c>
      <c r="E1414" s="1212">
        <f t="shared" si="128"/>
        <v>-95</v>
      </c>
      <c r="F1414" s="1211">
        <f>C1414-C1413</f>
        <v>-160</v>
      </c>
      <c r="G1414" s="1215"/>
      <c r="H1414" s="1269"/>
      <c r="I1414" s="1291">
        <v>142920</v>
      </c>
    </row>
    <row r="1415" spans="1:9" ht="15" customHeight="1">
      <c r="A1415" s="1253">
        <v>42892</v>
      </c>
      <c r="B1415" s="1209">
        <v>1910</v>
      </c>
      <c r="C1415" s="1210">
        <v>20100</v>
      </c>
      <c r="D1415" s="1230">
        <v>20000</v>
      </c>
      <c r="E1415" s="1212">
        <f t="shared" si="128"/>
        <v>-100</v>
      </c>
      <c r="F1415" s="1211">
        <f t="shared" ref="F1415:F1473" si="130">C1415-C1414</f>
        <v>-145</v>
      </c>
      <c r="G1415" s="1215"/>
      <c r="H1415" s="1269"/>
      <c r="I1415" s="1291">
        <v>140500</v>
      </c>
    </row>
    <row r="1416" spans="1:9" ht="15" customHeight="1">
      <c r="A1416" s="1253">
        <v>42893</v>
      </c>
      <c r="B1416" s="1209">
        <v>1910</v>
      </c>
      <c r="C1416" s="1210">
        <v>19735</v>
      </c>
      <c r="D1416" s="1230">
        <v>19645</v>
      </c>
      <c r="E1416" s="1212">
        <f t="shared" si="128"/>
        <v>-90</v>
      </c>
      <c r="F1416" s="1211">
        <f t="shared" si="130"/>
        <v>-365</v>
      </c>
      <c r="G1416" s="1215"/>
      <c r="H1416" s="1269"/>
      <c r="I1416" s="1291">
        <v>140500</v>
      </c>
    </row>
    <row r="1417" spans="1:9" ht="15" customHeight="1">
      <c r="A1417" s="1253">
        <v>42894</v>
      </c>
      <c r="B1417" s="1209">
        <v>2025</v>
      </c>
      <c r="C1417" s="1210">
        <v>19350</v>
      </c>
      <c r="D1417" s="1230">
        <v>19175</v>
      </c>
      <c r="E1417" s="1212">
        <f t="shared" si="128"/>
        <v>-175</v>
      </c>
      <c r="F1417" s="1211">
        <f t="shared" si="130"/>
        <v>-385</v>
      </c>
      <c r="G1417" s="1215"/>
      <c r="H1417" s="1269"/>
      <c r="I1417" s="1291">
        <v>140000</v>
      </c>
    </row>
    <row r="1418" spans="1:9" ht="15" customHeight="1">
      <c r="A1418" s="1253">
        <v>42895</v>
      </c>
      <c r="B1418" s="1209">
        <v>1910</v>
      </c>
      <c r="C1418" s="1210">
        <v>19150</v>
      </c>
      <c r="D1418" s="1230">
        <v>18975</v>
      </c>
      <c r="E1418" s="1212">
        <f t="shared" si="128"/>
        <v>-175</v>
      </c>
      <c r="F1418" s="1211">
        <f t="shared" si="130"/>
        <v>-200</v>
      </c>
      <c r="G1418" s="1215"/>
      <c r="H1418" s="1269"/>
      <c r="I1418" s="1291">
        <v>139500</v>
      </c>
    </row>
    <row r="1419" spans="1:9" ht="15" customHeight="1">
      <c r="A1419" s="1253">
        <v>42898</v>
      </c>
      <c r="B1419" s="1209">
        <v>1910</v>
      </c>
      <c r="C1419" s="1210">
        <v>19175</v>
      </c>
      <c r="D1419" s="1230">
        <v>18955</v>
      </c>
      <c r="E1419" s="1212">
        <f t="shared" si="128"/>
        <v>-220</v>
      </c>
      <c r="F1419" s="1211">
        <f t="shared" si="130"/>
        <v>25</v>
      </c>
      <c r="G1419" s="1215"/>
      <c r="H1419" s="1269"/>
      <c r="I1419" s="1291">
        <v>139500</v>
      </c>
    </row>
    <row r="1420" spans="1:9" ht="15" customHeight="1">
      <c r="A1420" s="1253">
        <v>42899</v>
      </c>
      <c r="B1420" s="1209">
        <v>1910</v>
      </c>
      <c r="C1420" s="1210">
        <v>19250</v>
      </c>
      <c r="D1420" s="1230">
        <v>19150</v>
      </c>
      <c r="E1420" s="1212">
        <f t="shared" si="128"/>
        <v>-100</v>
      </c>
      <c r="F1420" s="1211">
        <f t="shared" si="130"/>
        <v>75</v>
      </c>
      <c r="G1420" s="1215"/>
      <c r="H1420" s="1269"/>
      <c r="I1420" s="1291">
        <v>140250</v>
      </c>
    </row>
    <row r="1421" spans="1:9" ht="15" customHeight="1">
      <c r="A1421" s="1253">
        <v>42900</v>
      </c>
      <c r="B1421" s="1209">
        <v>1920</v>
      </c>
      <c r="C1421" s="1210">
        <v>19400</v>
      </c>
      <c r="D1421" s="1230">
        <v>19280</v>
      </c>
      <c r="E1421" s="1212">
        <f t="shared" si="128"/>
        <v>-120</v>
      </c>
      <c r="F1421" s="1211">
        <f t="shared" si="130"/>
        <v>150</v>
      </c>
      <c r="G1421" s="1215"/>
      <c r="H1421" s="1269"/>
      <c r="I1421" s="1291">
        <v>142000</v>
      </c>
    </row>
    <row r="1422" spans="1:9" ht="15" customHeight="1">
      <c r="A1422" s="1253">
        <v>42901</v>
      </c>
      <c r="B1422" s="1209">
        <v>1915</v>
      </c>
      <c r="C1422" s="1210">
        <v>19500</v>
      </c>
      <c r="D1422" s="1230">
        <v>19230</v>
      </c>
      <c r="E1422" s="1212">
        <f t="shared" si="128"/>
        <v>-270</v>
      </c>
      <c r="F1422" s="1211">
        <f t="shared" si="130"/>
        <v>100</v>
      </c>
      <c r="G1422" s="1215"/>
      <c r="H1422" s="1269"/>
      <c r="I1422" s="1291">
        <v>142500</v>
      </c>
    </row>
    <row r="1423" spans="1:9" ht="15" customHeight="1">
      <c r="A1423" s="1253">
        <v>42902</v>
      </c>
      <c r="B1423" s="1209">
        <v>1890</v>
      </c>
      <c r="C1423" s="1210">
        <v>19650</v>
      </c>
      <c r="D1423" s="1230">
        <v>19410</v>
      </c>
      <c r="E1423" s="1212">
        <f t="shared" si="128"/>
        <v>-240</v>
      </c>
      <c r="F1423" s="1211">
        <f t="shared" si="130"/>
        <v>150</v>
      </c>
      <c r="G1423" s="1215"/>
      <c r="H1423" s="1269"/>
      <c r="I1423" s="1291">
        <v>142500</v>
      </c>
    </row>
    <row r="1424" spans="1:9" ht="15" customHeight="1">
      <c r="A1424" s="1253">
        <v>42905</v>
      </c>
      <c r="B1424" s="1209">
        <v>1765</v>
      </c>
      <c r="C1424" s="1210">
        <v>19815</v>
      </c>
      <c r="D1424" s="1230">
        <v>19700</v>
      </c>
      <c r="E1424" s="1212">
        <f t="shared" si="128"/>
        <v>-115</v>
      </c>
      <c r="F1424" s="1211">
        <f t="shared" si="130"/>
        <v>165</v>
      </c>
      <c r="G1424" s="1215"/>
      <c r="H1424" s="1269"/>
      <c r="I1424" s="1291">
        <v>142500</v>
      </c>
    </row>
    <row r="1425" spans="1:9" ht="15" customHeight="1">
      <c r="A1425" s="1253">
        <v>42906</v>
      </c>
      <c r="B1425" s="1209">
        <v>1720</v>
      </c>
      <c r="C1425" s="1210">
        <v>19775</v>
      </c>
      <c r="D1425" s="1230">
        <v>19675</v>
      </c>
      <c r="E1425" s="1212">
        <f t="shared" si="128"/>
        <v>-100</v>
      </c>
      <c r="F1425" s="1211">
        <f t="shared" si="130"/>
        <v>-40</v>
      </c>
      <c r="G1425" s="1215"/>
      <c r="H1425" s="1269"/>
      <c r="I1425" s="1291">
        <v>142000</v>
      </c>
    </row>
    <row r="1426" spans="1:9" ht="15" customHeight="1">
      <c r="A1426" s="1253">
        <v>42907</v>
      </c>
      <c r="B1426" s="1209">
        <v>1730</v>
      </c>
      <c r="C1426" s="1210">
        <v>19725</v>
      </c>
      <c r="D1426" s="1230">
        <v>19525</v>
      </c>
      <c r="E1426" s="1212">
        <f t="shared" si="128"/>
        <v>-200</v>
      </c>
      <c r="F1426" s="1211">
        <f t="shared" si="130"/>
        <v>-50</v>
      </c>
      <c r="G1426" s="1215"/>
      <c r="H1426" s="1269"/>
      <c r="I1426" s="1291">
        <v>141500</v>
      </c>
    </row>
    <row r="1427" spans="1:9" ht="15" customHeight="1">
      <c r="A1427" s="1253">
        <v>42908</v>
      </c>
      <c r="B1427" s="1209">
        <v>1780</v>
      </c>
      <c r="C1427" s="1210">
        <v>19695</v>
      </c>
      <c r="D1427" s="1230">
        <v>19550</v>
      </c>
      <c r="E1427" s="1212">
        <f t="shared" si="128"/>
        <v>-145</v>
      </c>
      <c r="F1427" s="1211">
        <f t="shared" si="130"/>
        <v>-30</v>
      </c>
      <c r="G1427" s="1215"/>
      <c r="H1427" s="1269"/>
      <c r="I1427" s="1291">
        <v>142000</v>
      </c>
    </row>
    <row r="1428" spans="1:9" ht="15" customHeight="1">
      <c r="A1428" s="1253">
        <v>42909</v>
      </c>
      <c r="B1428" s="1209">
        <v>1790</v>
      </c>
      <c r="C1428" s="1210">
        <v>19495</v>
      </c>
      <c r="D1428" s="1230">
        <v>19325</v>
      </c>
      <c r="E1428" s="1212">
        <f t="shared" si="128"/>
        <v>-170</v>
      </c>
      <c r="F1428" s="1211">
        <f t="shared" si="130"/>
        <v>-200</v>
      </c>
      <c r="G1428" s="1215"/>
      <c r="H1428" s="1269"/>
      <c r="I1428" s="1291">
        <v>141500</v>
      </c>
    </row>
    <row r="1429" spans="1:9" ht="15" customHeight="1">
      <c r="A1429" s="1253">
        <v>42912</v>
      </c>
      <c r="B1429" s="1209">
        <v>1750</v>
      </c>
      <c r="C1429" s="1210">
        <v>19445</v>
      </c>
      <c r="D1429" s="1230">
        <v>19275</v>
      </c>
      <c r="E1429" s="1212">
        <f t="shared" si="128"/>
        <v>-170</v>
      </c>
      <c r="F1429" s="1211">
        <f t="shared" si="130"/>
        <v>-50</v>
      </c>
      <c r="G1429" s="1215"/>
      <c r="H1429" s="1269"/>
      <c r="I1429" s="1291">
        <v>142000</v>
      </c>
    </row>
    <row r="1430" spans="1:9" ht="15" customHeight="1">
      <c r="A1430" s="1253">
        <v>42913</v>
      </c>
      <c r="B1430" s="1209">
        <v>1750</v>
      </c>
      <c r="C1430" s="1210">
        <v>19330</v>
      </c>
      <c r="D1430" s="1230">
        <v>19250</v>
      </c>
      <c r="E1430" s="1212">
        <f t="shared" si="128"/>
        <v>-80</v>
      </c>
      <c r="F1430" s="1211">
        <f t="shared" si="130"/>
        <v>-115</v>
      </c>
      <c r="G1430" s="1215"/>
      <c r="H1430" s="1269"/>
      <c r="I1430" s="1291">
        <v>141000</v>
      </c>
    </row>
    <row r="1431" spans="1:9" ht="15" customHeight="1">
      <c r="A1431" s="1253">
        <v>42914</v>
      </c>
      <c r="B1431" s="1209">
        <v>1750</v>
      </c>
      <c r="C1431" s="1210">
        <v>19450</v>
      </c>
      <c r="D1431" s="1230">
        <v>19285</v>
      </c>
      <c r="E1431" s="1212">
        <f t="shared" si="128"/>
        <v>-165</v>
      </c>
      <c r="F1431" s="1211">
        <f t="shared" si="130"/>
        <v>120</v>
      </c>
      <c r="G1431" s="1215"/>
      <c r="H1431" s="1269"/>
      <c r="I1431" s="1291">
        <v>141500</v>
      </c>
    </row>
    <row r="1432" spans="1:9" ht="15" customHeight="1">
      <c r="A1432" s="1253">
        <v>42915</v>
      </c>
      <c r="B1432" s="1209">
        <v>1750</v>
      </c>
      <c r="C1432" s="1210">
        <v>20075</v>
      </c>
      <c r="D1432" s="1230">
        <v>19850</v>
      </c>
      <c r="E1432" s="1212">
        <f t="shared" si="128"/>
        <v>-225</v>
      </c>
      <c r="F1432" s="1211">
        <f t="shared" si="130"/>
        <v>625</v>
      </c>
      <c r="G1432" s="1215"/>
      <c r="H1432" s="1269"/>
      <c r="I1432" s="1291">
        <v>142000</v>
      </c>
    </row>
    <row r="1433" spans="1:9" ht="15" customHeight="1">
      <c r="A1433" s="1253">
        <v>42916</v>
      </c>
      <c r="B1433" s="1209">
        <v>1690</v>
      </c>
      <c r="C1433" s="1210">
        <v>20200</v>
      </c>
      <c r="D1433" s="1230">
        <v>19950</v>
      </c>
      <c r="E1433" s="1212">
        <f t="shared" si="128"/>
        <v>-250</v>
      </c>
      <c r="F1433" s="1211">
        <f t="shared" si="130"/>
        <v>125</v>
      </c>
      <c r="G1433" s="1227">
        <f>AVERAGE(C1412:C1433)</f>
        <v>19701.81818181818</v>
      </c>
      <c r="H1433" s="1274">
        <f>AVERAGE(C1305:C1433)</f>
        <v>19998.68</v>
      </c>
      <c r="I1433" s="1291">
        <v>142500</v>
      </c>
    </row>
    <row r="1434" spans="1:9" ht="15" customHeight="1">
      <c r="A1434" s="1253">
        <v>42919</v>
      </c>
      <c r="B1434" s="1209">
        <v>1690</v>
      </c>
      <c r="C1434" s="1210">
        <v>20300</v>
      </c>
      <c r="D1434" s="1230">
        <v>20025</v>
      </c>
      <c r="E1434" s="1212">
        <f t="shared" si="128"/>
        <v>-275</v>
      </c>
      <c r="F1434" s="1211">
        <f t="shared" si="130"/>
        <v>100</v>
      </c>
      <c r="G1434" s="1215"/>
      <c r="H1434" s="1269"/>
      <c r="I1434" s="1291">
        <v>143000</v>
      </c>
    </row>
    <row r="1435" spans="1:9" ht="15" customHeight="1">
      <c r="A1435" s="1253">
        <v>42920</v>
      </c>
      <c r="B1435" s="1209">
        <v>1665</v>
      </c>
      <c r="C1435" s="1210">
        <v>20300</v>
      </c>
      <c r="D1435" s="1230">
        <v>19955</v>
      </c>
      <c r="E1435" s="1212">
        <f t="shared" si="128"/>
        <v>-345</v>
      </c>
      <c r="F1435" s="1211">
        <f t="shared" si="130"/>
        <v>0</v>
      </c>
      <c r="G1435" s="1215"/>
      <c r="H1435" s="1269"/>
      <c r="I1435" s="1291">
        <v>142500</v>
      </c>
    </row>
    <row r="1436" spans="1:9" ht="15" customHeight="1">
      <c r="A1436" s="1253">
        <v>42921</v>
      </c>
      <c r="B1436" s="1209">
        <v>1635</v>
      </c>
      <c r="C1436" s="1210">
        <v>20200</v>
      </c>
      <c r="D1436" s="1230">
        <v>19950</v>
      </c>
      <c r="E1436" s="1212">
        <f t="shared" si="128"/>
        <v>-250</v>
      </c>
      <c r="F1436" s="1211">
        <f t="shared" si="130"/>
        <v>-100</v>
      </c>
      <c r="G1436" s="1215"/>
      <c r="H1436" s="1269"/>
      <c r="I1436" s="1291">
        <v>142500</v>
      </c>
    </row>
    <row r="1437" spans="1:9" ht="15" customHeight="1">
      <c r="A1437" s="1253">
        <v>42922</v>
      </c>
      <c r="B1437" s="1209">
        <v>1655</v>
      </c>
      <c r="C1437" s="1210">
        <v>20025</v>
      </c>
      <c r="D1437" s="1230">
        <v>19850</v>
      </c>
      <c r="E1437" s="1212">
        <f t="shared" si="128"/>
        <v>-175</v>
      </c>
      <c r="F1437" s="1211">
        <f t="shared" si="130"/>
        <v>-175</v>
      </c>
      <c r="G1437" s="1215"/>
      <c r="H1437" s="1269"/>
      <c r="I1437" s="1291">
        <v>142000</v>
      </c>
    </row>
    <row r="1438" spans="1:9" ht="15" customHeight="1">
      <c r="A1438" s="1253">
        <v>42923</v>
      </c>
      <c r="B1438" s="1209">
        <v>1800</v>
      </c>
      <c r="C1438" s="1210">
        <v>20050</v>
      </c>
      <c r="D1438" s="1230">
        <v>19860</v>
      </c>
      <c r="E1438" s="1212">
        <f t="shared" si="128"/>
        <v>-190</v>
      </c>
      <c r="F1438" s="1211">
        <f t="shared" si="130"/>
        <v>25</v>
      </c>
      <c r="G1438" s="1215"/>
      <c r="H1438" s="1269"/>
      <c r="I1438" s="1291">
        <v>142000</v>
      </c>
    </row>
    <row r="1439" spans="1:9" ht="15" customHeight="1">
      <c r="A1439" s="1253">
        <v>42926</v>
      </c>
      <c r="B1439" s="1209">
        <v>1900</v>
      </c>
      <c r="C1439" s="1210">
        <v>19900</v>
      </c>
      <c r="D1439" s="1230">
        <v>19700</v>
      </c>
      <c r="E1439" s="1212">
        <f t="shared" si="128"/>
        <v>-200</v>
      </c>
      <c r="F1439" s="1211">
        <f t="shared" si="130"/>
        <v>-150</v>
      </c>
      <c r="G1439" s="1215"/>
      <c r="H1439" s="1269"/>
      <c r="I1439" s="1291">
        <v>142000</v>
      </c>
    </row>
    <row r="1440" spans="1:9" ht="15" customHeight="1">
      <c r="A1440" s="1253">
        <v>42927</v>
      </c>
      <c r="B1440" s="1209">
        <v>1850</v>
      </c>
      <c r="C1440" s="1210">
        <v>19925</v>
      </c>
      <c r="D1440" s="1230">
        <v>19850</v>
      </c>
      <c r="E1440" s="1212">
        <f t="shared" si="128"/>
        <v>-75</v>
      </c>
      <c r="F1440" s="1211">
        <f t="shared" si="130"/>
        <v>25</v>
      </c>
      <c r="G1440" s="1215"/>
      <c r="H1440" s="1269"/>
      <c r="I1440" s="1291">
        <v>142000</v>
      </c>
    </row>
    <row r="1441" spans="1:9" ht="15" customHeight="1">
      <c r="A1441" s="1253">
        <v>42928</v>
      </c>
      <c r="B1441" s="1209">
        <v>1870</v>
      </c>
      <c r="C1441" s="1210">
        <v>20005</v>
      </c>
      <c r="D1441" s="1230">
        <v>19875</v>
      </c>
      <c r="E1441" s="1212">
        <f t="shared" si="128"/>
        <v>-130</v>
      </c>
      <c r="F1441" s="1211">
        <f t="shared" si="130"/>
        <v>80</v>
      </c>
      <c r="G1441" s="1215"/>
      <c r="H1441" s="1269"/>
      <c r="I1441" s="1291">
        <v>142500</v>
      </c>
    </row>
    <row r="1442" spans="1:9" ht="15" customHeight="1">
      <c r="A1442" s="1253">
        <v>42929</v>
      </c>
      <c r="B1442" s="1209">
        <v>1900</v>
      </c>
      <c r="C1442" s="1210">
        <v>20000</v>
      </c>
      <c r="D1442" s="1230">
        <v>19880</v>
      </c>
      <c r="E1442" s="1212">
        <f t="shared" si="128"/>
        <v>-120</v>
      </c>
      <c r="F1442" s="1211">
        <f t="shared" si="130"/>
        <v>-5</v>
      </c>
      <c r="G1442" s="1215"/>
      <c r="H1442" s="1269"/>
      <c r="I1442" s="1291">
        <v>143500</v>
      </c>
    </row>
    <row r="1443" spans="1:9" ht="15" customHeight="1">
      <c r="A1443" s="1253">
        <v>42930</v>
      </c>
      <c r="B1443" s="1209">
        <v>1935</v>
      </c>
      <c r="C1443" s="1210">
        <v>20000</v>
      </c>
      <c r="D1443" s="1230">
        <v>19850</v>
      </c>
      <c r="E1443" s="1212">
        <f t="shared" si="128"/>
        <v>-150</v>
      </c>
      <c r="F1443" s="1211">
        <f t="shared" si="130"/>
        <v>0</v>
      </c>
      <c r="G1443" s="1215"/>
      <c r="H1443" s="1269"/>
      <c r="I1443" s="1291">
        <v>143000</v>
      </c>
    </row>
    <row r="1444" spans="1:9" ht="15" customHeight="1">
      <c r="A1444" s="1253">
        <v>42933</v>
      </c>
      <c r="B1444" s="1209">
        <v>1935</v>
      </c>
      <c r="C1444" s="1210">
        <v>20040</v>
      </c>
      <c r="D1444" s="1230">
        <v>19980</v>
      </c>
      <c r="E1444" s="1212">
        <f t="shared" ref="E1444:E1507" si="131">D1444-C1444</f>
        <v>-60</v>
      </c>
      <c r="F1444" s="1211">
        <f t="shared" si="130"/>
        <v>40</v>
      </c>
      <c r="G1444" s="1215"/>
      <c r="H1444" s="1269"/>
      <c r="I1444" s="1291">
        <v>143000</v>
      </c>
    </row>
    <row r="1445" spans="1:9" ht="15" customHeight="1">
      <c r="A1445" s="1253">
        <v>42934</v>
      </c>
      <c r="B1445" s="1209">
        <v>1930</v>
      </c>
      <c r="C1445" s="1210">
        <v>20080</v>
      </c>
      <c r="D1445" s="1230">
        <v>19975</v>
      </c>
      <c r="E1445" s="1212">
        <f t="shared" si="131"/>
        <v>-105</v>
      </c>
      <c r="F1445" s="1211">
        <f t="shared" si="130"/>
        <v>40</v>
      </c>
      <c r="G1445" s="1215"/>
      <c r="H1445" s="1269"/>
      <c r="I1445" s="1291">
        <v>143000</v>
      </c>
    </row>
    <row r="1446" spans="1:9" ht="15" customHeight="1">
      <c r="A1446" s="1253">
        <v>42935</v>
      </c>
      <c r="B1446" s="1209">
        <v>1960</v>
      </c>
      <c r="C1446" s="1210">
        <v>20250</v>
      </c>
      <c r="D1446" s="1230">
        <v>20065</v>
      </c>
      <c r="E1446" s="1212">
        <f t="shared" si="131"/>
        <v>-185</v>
      </c>
      <c r="F1446" s="1211">
        <f t="shared" si="130"/>
        <v>170</v>
      </c>
      <c r="G1446" s="1215"/>
      <c r="H1446" s="1269"/>
      <c r="I1446" s="1291">
        <v>144500</v>
      </c>
    </row>
    <row r="1447" spans="1:9" ht="15" customHeight="1">
      <c r="A1447" s="1253">
        <v>42936</v>
      </c>
      <c r="B1447" s="1209">
        <v>2120</v>
      </c>
      <c r="C1447" s="1210">
        <v>20250</v>
      </c>
      <c r="D1447" s="1230">
        <v>20110</v>
      </c>
      <c r="E1447" s="1212">
        <f t="shared" si="131"/>
        <v>-140</v>
      </c>
      <c r="F1447" s="1211">
        <f t="shared" si="130"/>
        <v>0</v>
      </c>
      <c r="G1447" s="1215"/>
      <c r="H1447" s="1269"/>
      <c r="I1447" s="1291">
        <v>144500</v>
      </c>
    </row>
    <row r="1448" spans="1:9" ht="15" customHeight="1">
      <c r="A1448" s="1253">
        <v>42937</v>
      </c>
      <c r="B1448" s="1209">
        <v>2160</v>
      </c>
      <c r="C1448" s="1210">
        <v>20325</v>
      </c>
      <c r="D1448" s="1230">
        <v>20175</v>
      </c>
      <c r="E1448" s="1212">
        <f t="shared" si="131"/>
        <v>-150</v>
      </c>
      <c r="F1448" s="1211">
        <f t="shared" si="130"/>
        <v>75</v>
      </c>
      <c r="G1448" s="1215"/>
      <c r="H1448" s="1269"/>
      <c r="I1448" s="1291">
        <v>144500</v>
      </c>
    </row>
    <row r="1449" spans="1:9" ht="15" customHeight="1">
      <c r="A1449" s="1253">
        <v>42940</v>
      </c>
      <c r="B1449" s="1209">
        <v>2155</v>
      </c>
      <c r="C1449" s="1210">
        <v>20445</v>
      </c>
      <c r="D1449" s="1230">
        <v>20225</v>
      </c>
      <c r="E1449" s="1212">
        <f t="shared" si="131"/>
        <v>-220</v>
      </c>
      <c r="F1449" s="1211">
        <f t="shared" si="130"/>
        <v>120</v>
      </c>
      <c r="G1449" s="1215"/>
      <c r="H1449" s="1269"/>
      <c r="I1449" s="1291">
        <v>145000</v>
      </c>
    </row>
    <row r="1450" spans="1:9" ht="15" customHeight="1">
      <c r="A1450" s="1253">
        <v>42941</v>
      </c>
      <c r="B1450" s="1209">
        <v>2155</v>
      </c>
      <c r="C1450" s="1210">
        <v>20450</v>
      </c>
      <c r="D1450" s="1230">
        <v>20275</v>
      </c>
      <c r="E1450" s="1212">
        <f t="shared" si="131"/>
        <v>-175</v>
      </c>
      <c r="F1450" s="1211">
        <f t="shared" si="130"/>
        <v>5</v>
      </c>
      <c r="G1450" s="1215"/>
      <c r="H1450" s="1269"/>
      <c r="I1450" s="1291">
        <v>145500</v>
      </c>
    </row>
    <row r="1451" spans="1:9" ht="15" customHeight="1">
      <c r="A1451" s="1253">
        <v>42942</v>
      </c>
      <c r="B1451" s="1209">
        <v>2125</v>
      </c>
      <c r="C1451" s="1210">
        <v>20575</v>
      </c>
      <c r="D1451" s="1230">
        <v>20350</v>
      </c>
      <c r="E1451" s="1212">
        <f t="shared" si="131"/>
        <v>-225</v>
      </c>
      <c r="F1451" s="1211">
        <f t="shared" si="130"/>
        <v>125</v>
      </c>
      <c r="G1451" s="1215"/>
      <c r="H1451" s="1269"/>
      <c r="I1451" s="1291">
        <v>146000</v>
      </c>
    </row>
    <row r="1452" spans="1:9" ht="15" customHeight="1">
      <c r="A1452" s="1253">
        <v>42943</v>
      </c>
      <c r="B1452" s="1209">
        <v>2095</v>
      </c>
      <c r="C1452" s="1210">
        <v>20855</v>
      </c>
      <c r="D1452" s="1230">
        <v>20630</v>
      </c>
      <c r="E1452" s="1212">
        <f t="shared" si="131"/>
        <v>-225</v>
      </c>
      <c r="F1452" s="1211">
        <f t="shared" si="130"/>
        <v>280</v>
      </c>
      <c r="G1452" s="1215"/>
      <c r="H1452" s="1269"/>
      <c r="I1452" s="1291">
        <v>148000</v>
      </c>
    </row>
    <row r="1453" spans="1:9" ht="15" customHeight="1">
      <c r="A1453" s="1253">
        <v>42944</v>
      </c>
      <c r="B1453" s="1209">
        <v>1985</v>
      </c>
      <c r="C1453" s="1210">
        <v>20825</v>
      </c>
      <c r="D1453" s="1230">
        <v>20675</v>
      </c>
      <c r="E1453" s="1212">
        <f t="shared" si="131"/>
        <v>-150</v>
      </c>
      <c r="F1453" s="1211">
        <f t="shared" si="130"/>
        <v>-30</v>
      </c>
      <c r="G1453" s="1215"/>
      <c r="H1453" s="1269"/>
      <c r="I1453" s="1291">
        <v>149000</v>
      </c>
    </row>
    <row r="1454" spans="1:9" ht="15" customHeight="1">
      <c r="A1454" s="1253">
        <v>42947</v>
      </c>
      <c r="B1454" s="1209">
        <v>1985</v>
      </c>
      <c r="C1454" s="1210">
        <v>20930</v>
      </c>
      <c r="D1454" s="1230">
        <v>20810</v>
      </c>
      <c r="E1454" s="1212">
        <f t="shared" si="131"/>
        <v>-120</v>
      </c>
      <c r="F1454" s="1211">
        <f t="shared" si="130"/>
        <v>105</v>
      </c>
      <c r="G1454" s="1227">
        <f>AVERAGE(C1434:C1454)</f>
        <v>20272.857142857141</v>
      </c>
      <c r="H1454" s="1274">
        <f>AVERAGE(C1305:C1454)</f>
        <v>20038.116438356163</v>
      </c>
      <c r="I1454" s="1291">
        <v>149000</v>
      </c>
    </row>
    <row r="1455" spans="1:9" ht="15" customHeight="1">
      <c r="A1455" s="1253">
        <v>42948</v>
      </c>
      <c r="B1455" s="1209">
        <v>1985</v>
      </c>
      <c r="C1455" s="1210">
        <v>20700</v>
      </c>
      <c r="D1455" s="1230">
        <v>20480</v>
      </c>
      <c r="E1455" s="1212">
        <f t="shared" si="131"/>
        <v>-220</v>
      </c>
      <c r="F1455" s="1211">
        <f t="shared" si="130"/>
        <v>-230</v>
      </c>
      <c r="G1455" s="1215"/>
      <c r="H1455" s="1269"/>
      <c r="I1455" s="1291">
        <v>148500</v>
      </c>
    </row>
    <row r="1456" spans="1:9" ht="15" customHeight="1">
      <c r="A1456" s="1253">
        <v>42949</v>
      </c>
      <c r="B1456" s="1209">
        <v>1910</v>
      </c>
      <c r="C1456" s="1210">
        <v>20625</v>
      </c>
      <c r="D1456" s="1230">
        <v>20500</v>
      </c>
      <c r="E1456" s="1212">
        <f t="shared" si="131"/>
        <v>-125</v>
      </c>
      <c r="F1456" s="1211">
        <f t="shared" si="130"/>
        <v>-75</v>
      </c>
      <c r="G1456" s="1215"/>
      <c r="H1456" s="1269"/>
      <c r="I1456" s="1291"/>
    </row>
    <row r="1457" spans="1:9" ht="15" customHeight="1">
      <c r="A1457" s="1253">
        <v>42950</v>
      </c>
      <c r="B1457" s="1209">
        <v>1910</v>
      </c>
      <c r="C1457" s="1210">
        <v>20730</v>
      </c>
      <c r="D1457" s="1230">
        <v>20605</v>
      </c>
      <c r="E1457" s="1212">
        <f t="shared" si="131"/>
        <v>-125</v>
      </c>
      <c r="F1457" s="1211">
        <f t="shared" si="130"/>
        <v>105</v>
      </c>
      <c r="G1457" s="1215"/>
      <c r="H1457" s="1269"/>
      <c r="I1457" s="1291">
        <v>147000</v>
      </c>
    </row>
    <row r="1458" spans="1:9" ht="15" customHeight="1">
      <c r="A1458" s="1253">
        <v>42951</v>
      </c>
      <c r="B1458" s="1209">
        <v>2030</v>
      </c>
      <c r="C1458" s="1210">
        <v>20865</v>
      </c>
      <c r="D1458" s="1230">
        <v>20725</v>
      </c>
      <c r="E1458" s="1212">
        <f t="shared" si="131"/>
        <v>-140</v>
      </c>
      <c r="F1458" s="1211">
        <f t="shared" si="130"/>
        <v>135</v>
      </c>
      <c r="G1458" s="1215"/>
      <c r="H1458" s="1269"/>
      <c r="I1458" s="1291">
        <v>148000</v>
      </c>
    </row>
    <row r="1459" spans="1:9" ht="15" customHeight="1">
      <c r="A1459" s="1253">
        <v>42954</v>
      </c>
      <c r="B1459" s="1209">
        <v>2100</v>
      </c>
      <c r="C1459" s="1210">
        <v>20760</v>
      </c>
      <c r="D1459" s="1230">
        <v>20555</v>
      </c>
      <c r="E1459" s="1212">
        <f t="shared" si="131"/>
        <v>-205</v>
      </c>
      <c r="F1459" s="1211">
        <f t="shared" si="130"/>
        <v>-105</v>
      </c>
      <c r="G1459" s="1215"/>
      <c r="H1459" s="1269"/>
      <c r="I1459" s="1291">
        <v>147500</v>
      </c>
    </row>
    <row r="1460" spans="1:9" ht="15" customHeight="1">
      <c r="A1460" s="1253">
        <v>42955</v>
      </c>
      <c r="B1460" s="1209">
        <v>1650</v>
      </c>
      <c r="C1460" s="1210">
        <v>20650</v>
      </c>
      <c r="D1460" s="1230">
        <v>20510</v>
      </c>
      <c r="E1460" s="1212">
        <f t="shared" si="131"/>
        <v>-140</v>
      </c>
      <c r="F1460" s="1211">
        <f t="shared" si="130"/>
        <v>-110</v>
      </c>
      <c r="G1460" s="1215"/>
      <c r="H1460" s="1269"/>
      <c r="I1460" s="1291">
        <v>147500</v>
      </c>
    </row>
    <row r="1461" spans="1:9" ht="15" customHeight="1">
      <c r="A1461" s="1253">
        <v>42956</v>
      </c>
      <c r="B1461" s="1209">
        <v>1700</v>
      </c>
      <c r="C1461" s="1210">
        <v>20475</v>
      </c>
      <c r="D1461" s="1230">
        <v>20375</v>
      </c>
      <c r="E1461" s="1212">
        <f t="shared" si="131"/>
        <v>-100</v>
      </c>
      <c r="F1461" s="1211">
        <f t="shared" si="130"/>
        <v>-175</v>
      </c>
      <c r="G1461" s="1215"/>
      <c r="H1461" s="1269"/>
      <c r="I1461" s="1291">
        <v>147500</v>
      </c>
    </row>
    <row r="1462" spans="1:9" ht="15" customHeight="1">
      <c r="A1462" s="1253">
        <v>42957</v>
      </c>
      <c r="B1462" s="1209">
        <v>1700</v>
      </c>
      <c r="C1462" s="1210">
        <v>20350</v>
      </c>
      <c r="D1462" s="1230">
        <v>20275</v>
      </c>
      <c r="E1462" s="1212">
        <f t="shared" si="131"/>
        <v>-75</v>
      </c>
      <c r="F1462" s="1211">
        <f t="shared" si="130"/>
        <v>-125</v>
      </c>
      <c r="G1462" s="1215"/>
      <c r="H1462" s="1269"/>
      <c r="I1462" s="1291">
        <v>147500</v>
      </c>
    </row>
    <row r="1463" spans="1:9" ht="15" customHeight="1">
      <c r="A1463" s="1253">
        <v>42958</v>
      </c>
      <c r="B1463" s="1209">
        <v>1730</v>
      </c>
      <c r="C1463" s="1210">
        <v>20450</v>
      </c>
      <c r="D1463" s="1230">
        <v>20330</v>
      </c>
      <c r="E1463" s="1212">
        <f t="shared" si="131"/>
        <v>-120</v>
      </c>
      <c r="F1463" s="1211">
        <f t="shared" si="130"/>
        <v>100</v>
      </c>
      <c r="G1463" s="1215"/>
      <c r="H1463" s="1269"/>
      <c r="I1463" s="1291">
        <v>146500</v>
      </c>
    </row>
    <row r="1464" spans="1:9" ht="15" customHeight="1">
      <c r="A1464" s="1253">
        <v>42961</v>
      </c>
      <c r="B1464" s="1209">
        <v>1730</v>
      </c>
      <c r="C1464" s="1210">
        <v>20525</v>
      </c>
      <c r="D1464" s="1230">
        <v>20330</v>
      </c>
      <c r="E1464" s="1212">
        <f t="shared" si="131"/>
        <v>-195</v>
      </c>
      <c r="F1464" s="1211">
        <f t="shared" si="130"/>
        <v>75</v>
      </c>
      <c r="G1464" s="1215"/>
      <c r="H1464" s="1269"/>
      <c r="I1464" s="1291"/>
    </row>
    <row r="1465" spans="1:9" ht="15" customHeight="1">
      <c r="A1465" s="1253">
        <v>42962</v>
      </c>
      <c r="B1465" s="1209">
        <v>1750</v>
      </c>
      <c r="C1465" s="1210">
        <v>20445</v>
      </c>
      <c r="D1465" s="1230">
        <v>20250</v>
      </c>
      <c r="E1465" s="1212">
        <f t="shared" si="131"/>
        <v>-195</v>
      </c>
      <c r="F1465" s="1211">
        <f t="shared" si="130"/>
        <v>-80</v>
      </c>
      <c r="G1465" s="1215"/>
      <c r="H1465" s="1269"/>
      <c r="I1465" s="1291">
        <v>145000</v>
      </c>
    </row>
    <row r="1466" spans="1:9" ht="15" customHeight="1">
      <c r="A1466" s="1253">
        <v>42963</v>
      </c>
      <c r="B1466" s="1209">
        <v>1760</v>
      </c>
      <c r="C1466" s="1210">
        <v>20125</v>
      </c>
      <c r="D1466" s="1230">
        <v>20000</v>
      </c>
      <c r="E1466" s="1212">
        <f t="shared" si="131"/>
        <v>-125</v>
      </c>
      <c r="F1466" s="1211">
        <f t="shared" si="130"/>
        <v>-320</v>
      </c>
      <c r="G1466" s="1215"/>
      <c r="H1466" s="1269"/>
      <c r="I1466" s="1291">
        <v>144500</v>
      </c>
    </row>
    <row r="1467" spans="1:9" ht="15" customHeight="1">
      <c r="A1467" s="1253">
        <v>42964</v>
      </c>
      <c r="B1467" s="1209">
        <v>1860</v>
      </c>
      <c r="C1467" s="1210">
        <v>20300</v>
      </c>
      <c r="D1467" s="1230">
        <v>20150</v>
      </c>
      <c r="E1467" s="1212">
        <f t="shared" si="131"/>
        <v>-150</v>
      </c>
      <c r="F1467" s="1211">
        <f t="shared" si="130"/>
        <v>175</v>
      </c>
      <c r="G1467" s="1215"/>
      <c r="H1467" s="1269"/>
      <c r="I1467" s="1291">
        <v>145500</v>
      </c>
    </row>
    <row r="1468" spans="1:9" ht="15" customHeight="1">
      <c r="A1468" s="1253">
        <v>42965</v>
      </c>
      <c r="B1468" s="1209">
        <v>1945</v>
      </c>
      <c r="C1468" s="1210">
        <v>20375</v>
      </c>
      <c r="D1468" s="1230">
        <v>20300</v>
      </c>
      <c r="E1468" s="1212">
        <f t="shared" si="131"/>
        <v>-75</v>
      </c>
      <c r="F1468" s="1211">
        <f t="shared" si="130"/>
        <v>75</v>
      </c>
      <c r="G1468" s="1215"/>
      <c r="H1468" s="1269"/>
      <c r="I1468" s="1291">
        <v>145000</v>
      </c>
    </row>
    <row r="1469" spans="1:9" ht="15" customHeight="1">
      <c r="A1469" s="1253">
        <v>42968</v>
      </c>
      <c r="B1469" s="1209">
        <v>1945</v>
      </c>
      <c r="C1469" s="1210">
        <v>20575</v>
      </c>
      <c r="D1469" s="1230">
        <v>20400</v>
      </c>
      <c r="E1469" s="1212">
        <f t="shared" si="131"/>
        <v>-175</v>
      </c>
      <c r="F1469" s="1211">
        <f t="shared" si="130"/>
        <v>200</v>
      </c>
      <c r="G1469" s="1215"/>
      <c r="H1469" s="1269"/>
      <c r="I1469" s="1291">
        <v>145000</v>
      </c>
    </row>
    <row r="1470" spans="1:9" ht="15" customHeight="1">
      <c r="A1470" s="1253">
        <v>42969</v>
      </c>
      <c r="B1470" s="1209">
        <v>1905</v>
      </c>
      <c r="C1470" s="1210">
        <v>20675</v>
      </c>
      <c r="D1470" s="1230">
        <v>20490</v>
      </c>
      <c r="E1470" s="1212">
        <f t="shared" si="131"/>
        <v>-185</v>
      </c>
      <c r="F1470" s="1211">
        <f t="shared" si="130"/>
        <v>100</v>
      </c>
      <c r="G1470" s="1215"/>
      <c r="H1470" s="1269"/>
      <c r="I1470" s="1291">
        <v>145000</v>
      </c>
    </row>
    <row r="1471" spans="1:9" ht="15" customHeight="1">
      <c r="A1471" s="1253">
        <v>42970</v>
      </c>
      <c r="B1471" s="1209">
        <v>1905</v>
      </c>
      <c r="C1471" s="1210">
        <v>20575</v>
      </c>
      <c r="D1471" s="1230">
        <v>20390</v>
      </c>
      <c r="E1471" s="1212">
        <f t="shared" si="131"/>
        <v>-185</v>
      </c>
      <c r="F1471" s="1211">
        <f t="shared" si="130"/>
        <v>-100</v>
      </c>
      <c r="G1471" s="1215"/>
      <c r="H1471" s="1269"/>
      <c r="I1471" s="1291">
        <v>143250</v>
      </c>
    </row>
    <row r="1472" spans="1:9" ht="15" customHeight="1">
      <c r="A1472" s="1253">
        <v>42971</v>
      </c>
      <c r="B1472" s="1209">
        <v>1950</v>
      </c>
      <c r="C1472" s="1210">
        <v>20645</v>
      </c>
      <c r="D1472" s="1230">
        <v>20500</v>
      </c>
      <c r="E1472" s="1212">
        <f t="shared" si="131"/>
        <v>-145</v>
      </c>
      <c r="F1472" s="1211">
        <f t="shared" si="130"/>
        <v>70</v>
      </c>
      <c r="G1472" s="1215"/>
      <c r="H1472" s="1269"/>
      <c r="I1472" s="1291">
        <v>144500</v>
      </c>
    </row>
    <row r="1473" spans="1:9" ht="15" customHeight="1">
      <c r="A1473" s="1253">
        <v>42972</v>
      </c>
      <c r="B1473" s="1209">
        <v>1950</v>
      </c>
      <c r="C1473" s="1210">
        <v>20675</v>
      </c>
      <c r="D1473" s="1230">
        <v>20480</v>
      </c>
      <c r="E1473" s="1212">
        <f t="shared" si="131"/>
        <v>-195</v>
      </c>
      <c r="F1473" s="1211">
        <f t="shared" si="130"/>
        <v>30</v>
      </c>
      <c r="G1473" s="1215"/>
      <c r="H1473" s="1269"/>
      <c r="I1473" s="1291">
        <v>144500</v>
      </c>
    </row>
    <row r="1474" spans="1:9" ht="15" customHeight="1">
      <c r="A1474" s="1253">
        <v>42975</v>
      </c>
      <c r="B1474" s="1434" t="s">
        <v>118</v>
      </c>
      <c r="C1474" s="1434"/>
      <c r="D1474" s="1434"/>
      <c r="E1474" s="1434"/>
      <c r="F1474" s="1434"/>
      <c r="G1474" s="1215"/>
      <c r="H1474" s="1269"/>
      <c r="I1474" s="1291"/>
    </row>
    <row r="1475" spans="1:9" ht="15" customHeight="1">
      <c r="A1475" s="1253">
        <v>42976</v>
      </c>
      <c r="B1475" s="1209">
        <v>1975</v>
      </c>
      <c r="C1475" s="1210">
        <v>20600</v>
      </c>
      <c r="D1475" s="1230">
        <v>20380</v>
      </c>
      <c r="E1475" s="1212">
        <f t="shared" si="131"/>
        <v>-220</v>
      </c>
      <c r="F1475" s="1211">
        <f>C1475-C1473</f>
        <v>-75</v>
      </c>
      <c r="G1475" s="1215"/>
      <c r="H1475" s="1269"/>
      <c r="I1475" s="1291">
        <v>145250</v>
      </c>
    </row>
    <row r="1476" spans="1:9" ht="15" customHeight="1">
      <c r="A1476" s="1253">
        <v>42977</v>
      </c>
      <c r="B1476" s="1209">
        <v>1890</v>
      </c>
      <c r="C1476" s="1210">
        <v>20540</v>
      </c>
      <c r="D1476" s="1230">
        <v>20350</v>
      </c>
      <c r="E1476" s="1212">
        <f t="shared" si="131"/>
        <v>-190</v>
      </c>
      <c r="F1476" s="1211">
        <f t="shared" ref="F1476:F1480" si="132">C1476-C1475</f>
        <v>-60</v>
      </c>
      <c r="G1476" s="1215"/>
      <c r="H1476" s="1269"/>
      <c r="I1476" s="1291">
        <v>144500</v>
      </c>
    </row>
    <row r="1477" spans="1:9" ht="15" customHeight="1">
      <c r="A1477" s="1253">
        <v>42978</v>
      </c>
      <c r="B1477" s="1209">
        <v>1910</v>
      </c>
      <c r="C1477" s="1210">
        <v>20880</v>
      </c>
      <c r="D1477" s="1230">
        <v>20660</v>
      </c>
      <c r="E1477" s="1212">
        <f t="shared" si="131"/>
        <v>-220</v>
      </c>
      <c r="F1477" s="1211">
        <f t="shared" si="132"/>
        <v>340</v>
      </c>
      <c r="G1477" s="1227">
        <f>AVERAGE(C1455:C1477)</f>
        <v>20570</v>
      </c>
      <c r="H1477" s="1274">
        <f>AVERAGE(C1305:C1477)</f>
        <v>20107.767857142859</v>
      </c>
      <c r="I1477" s="1291">
        <v>145500</v>
      </c>
    </row>
    <row r="1478" spans="1:9" ht="15" customHeight="1">
      <c r="A1478" s="1253">
        <v>42979</v>
      </c>
      <c r="B1478" s="1209">
        <v>1910</v>
      </c>
      <c r="C1478" s="1210">
        <v>21000</v>
      </c>
      <c r="D1478" s="1230">
        <v>20800</v>
      </c>
      <c r="E1478" s="1212">
        <f t="shared" si="131"/>
        <v>-200</v>
      </c>
      <c r="F1478" s="1211">
        <f t="shared" si="132"/>
        <v>120</v>
      </c>
      <c r="G1478" s="1215"/>
      <c r="H1478" s="1269"/>
      <c r="I1478" s="1291">
        <v>145000</v>
      </c>
    </row>
    <row r="1479" spans="1:9" ht="15" customHeight="1">
      <c r="A1479" s="1253">
        <v>42982</v>
      </c>
      <c r="B1479" s="1209">
        <v>1910</v>
      </c>
      <c r="C1479" s="1210">
        <v>20950</v>
      </c>
      <c r="D1479" s="1230">
        <v>20750</v>
      </c>
      <c r="E1479" s="1212">
        <f t="shared" si="131"/>
        <v>-200</v>
      </c>
      <c r="F1479" s="1211">
        <f t="shared" si="132"/>
        <v>-50</v>
      </c>
      <c r="G1479" s="1215"/>
      <c r="H1479" s="1269"/>
      <c r="I1479" s="1291">
        <v>145250</v>
      </c>
    </row>
    <row r="1480" spans="1:9" ht="15" customHeight="1">
      <c r="A1480" s="1253">
        <v>42983</v>
      </c>
      <c r="B1480" s="1209">
        <v>1910</v>
      </c>
      <c r="C1480" s="1210">
        <v>20950</v>
      </c>
      <c r="D1480" s="1230">
        <v>20770</v>
      </c>
      <c r="E1480" s="1212">
        <f t="shared" si="131"/>
        <v>-180</v>
      </c>
      <c r="F1480" s="1211">
        <f t="shared" si="132"/>
        <v>0</v>
      </c>
      <c r="G1480" s="1215"/>
      <c r="H1480" s="1269"/>
      <c r="I1480" s="1291">
        <v>144500</v>
      </c>
    </row>
    <row r="1481" spans="1:9" ht="15" customHeight="1">
      <c r="A1481" s="1253">
        <v>42984</v>
      </c>
      <c r="B1481" s="1209">
        <v>1910</v>
      </c>
      <c r="C1481" s="1210">
        <v>20855</v>
      </c>
      <c r="D1481" s="1230">
        <v>20675</v>
      </c>
      <c r="E1481" s="1212">
        <f t="shared" si="131"/>
        <v>-180</v>
      </c>
      <c r="F1481" s="1211">
        <f>C1481-C1480</f>
        <v>-95</v>
      </c>
      <c r="G1481" s="1215"/>
      <c r="H1481" s="1269"/>
      <c r="I1481" s="1291">
        <v>144000</v>
      </c>
    </row>
    <row r="1482" spans="1:9" ht="15" customHeight="1">
      <c r="A1482" s="1253">
        <v>42985</v>
      </c>
      <c r="B1482" s="1209">
        <v>1940</v>
      </c>
      <c r="C1482" s="1210">
        <v>20845</v>
      </c>
      <c r="D1482" s="1230">
        <v>20690</v>
      </c>
      <c r="E1482" s="1212">
        <f t="shared" si="131"/>
        <v>-155</v>
      </c>
      <c r="F1482" s="1211">
        <f>C1482-C1481</f>
        <v>-10</v>
      </c>
      <c r="G1482" s="1215"/>
      <c r="H1482" s="1269"/>
      <c r="I1482" s="1291">
        <v>143500</v>
      </c>
    </row>
    <row r="1483" spans="1:9" ht="15" customHeight="1">
      <c r="A1483" s="1253">
        <v>42986</v>
      </c>
      <c r="B1483" s="1209">
        <v>1915</v>
      </c>
      <c r="C1483" s="1210">
        <v>20775</v>
      </c>
      <c r="D1483" s="1230">
        <v>20700</v>
      </c>
      <c r="E1483" s="1212">
        <f t="shared" si="131"/>
        <v>-75</v>
      </c>
      <c r="F1483" s="1211">
        <f>C1483-C1482</f>
        <v>-70</v>
      </c>
      <c r="G1483" s="1215"/>
      <c r="H1483" s="1269"/>
      <c r="I1483" s="1291">
        <v>143500</v>
      </c>
    </row>
    <row r="1484" spans="1:9" ht="15" customHeight="1">
      <c r="A1484" s="1253">
        <v>42989</v>
      </c>
      <c r="B1484" s="1209">
        <v>1895</v>
      </c>
      <c r="C1484" s="1210">
        <v>20875</v>
      </c>
      <c r="D1484" s="1230">
        <v>20700</v>
      </c>
      <c r="E1484" s="1212">
        <f t="shared" si="131"/>
        <v>-175</v>
      </c>
      <c r="F1484" s="1211">
        <f>C1484-C1483</f>
        <v>100</v>
      </c>
      <c r="G1484" s="1215"/>
      <c r="H1484" s="1269"/>
      <c r="I1484" s="1291">
        <v>143000</v>
      </c>
    </row>
    <row r="1485" spans="1:9" ht="15" customHeight="1">
      <c r="A1485" s="1253">
        <v>42990</v>
      </c>
      <c r="B1485" s="1209">
        <v>1945</v>
      </c>
      <c r="C1485" s="1210">
        <v>20820</v>
      </c>
      <c r="D1485" s="1230">
        <v>20680</v>
      </c>
      <c r="E1485" s="1212">
        <f t="shared" si="131"/>
        <v>-140</v>
      </c>
      <c r="F1485" s="1211">
        <f t="shared" ref="F1485:F1548" si="133">C1485-C1484</f>
        <v>-55</v>
      </c>
      <c r="G1485" s="1215"/>
      <c r="H1485" s="1269"/>
      <c r="I1485" s="1291"/>
    </row>
    <row r="1486" spans="1:9" ht="15" customHeight="1">
      <c r="A1486" s="1253">
        <v>42991</v>
      </c>
      <c r="B1486" s="1209">
        <v>2015</v>
      </c>
      <c r="C1486" s="1210">
        <v>20800</v>
      </c>
      <c r="D1486" s="1230">
        <v>20700</v>
      </c>
      <c r="E1486" s="1212">
        <f t="shared" si="131"/>
        <v>-100</v>
      </c>
      <c r="F1486" s="1211">
        <f t="shared" si="133"/>
        <v>-20</v>
      </c>
      <c r="G1486" s="1215"/>
      <c r="H1486" s="1269"/>
      <c r="I1486" s="1291">
        <v>143500</v>
      </c>
    </row>
    <row r="1487" spans="1:9" ht="15" customHeight="1">
      <c r="A1487" s="1253">
        <v>42992</v>
      </c>
      <c r="B1487" s="1209">
        <v>1955</v>
      </c>
      <c r="C1487" s="1210">
        <v>20750</v>
      </c>
      <c r="D1487" s="1230">
        <v>20555</v>
      </c>
      <c r="E1487" s="1212">
        <f t="shared" si="131"/>
        <v>-195</v>
      </c>
      <c r="F1487" s="1211">
        <f t="shared" si="133"/>
        <v>-50</v>
      </c>
      <c r="G1487" s="1215"/>
      <c r="H1487" s="1269"/>
      <c r="I1487" s="1291">
        <v>143500</v>
      </c>
    </row>
    <row r="1488" spans="1:9" ht="15" customHeight="1">
      <c r="A1488" s="1253">
        <v>42993</v>
      </c>
      <c r="B1488" s="1209">
        <v>1955</v>
      </c>
      <c r="C1488" s="1210">
        <v>20675</v>
      </c>
      <c r="D1488" s="1230">
        <v>20550</v>
      </c>
      <c r="E1488" s="1212">
        <f t="shared" si="131"/>
        <v>-125</v>
      </c>
      <c r="F1488" s="1211">
        <f t="shared" si="133"/>
        <v>-75</v>
      </c>
      <c r="G1488" s="1215"/>
      <c r="H1488" s="1269"/>
      <c r="I1488" s="1291">
        <v>142500</v>
      </c>
    </row>
    <row r="1489" spans="1:9" ht="15" customHeight="1">
      <c r="A1489" s="1253">
        <v>42996</v>
      </c>
      <c r="B1489" s="1209">
        <v>1930</v>
      </c>
      <c r="C1489" s="1210">
        <v>20825</v>
      </c>
      <c r="D1489" s="1230">
        <v>20675</v>
      </c>
      <c r="E1489" s="1212">
        <f t="shared" si="131"/>
        <v>-150</v>
      </c>
      <c r="F1489" s="1211">
        <f t="shared" si="133"/>
        <v>150</v>
      </c>
      <c r="G1489" s="1215"/>
      <c r="H1489" s="1269"/>
      <c r="I1489" s="1291">
        <v>142500</v>
      </c>
    </row>
    <row r="1490" spans="1:9" ht="15" customHeight="1">
      <c r="A1490" s="1253">
        <v>42997</v>
      </c>
      <c r="B1490" s="1209">
        <v>1930</v>
      </c>
      <c r="C1490" s="1210">
        <v>20925</v>
      </c>
      <c r="D1490" s="1230">
        <v>20725</v>
      </c>
      <c r="E1490" s="1212">
        <f t="shared" si="131"/>
        <v>-200</v>
      </c>
      <c r="F1490" s="1211">
        <f t="shared" si="133"/>
        <v>100</v>
      </c>
      <c r="G1490" s="1215"/>
      <c r="H1490" s="1269"/>
      <c r="I1490" s="1291">
        <v>143000</v>
      </c>
    </row>
    <row r="1491" spans="1:9" ht="15" customHeight="1">
      <c r="A1491" s="1253">
        <v>42998</v>
      </c>
      <c r="B1491" s="1209">
        <v>2035</v>
      </c>
      <c r="C1491" s="1210">
        <v>20855</v>
      </c>
      <c r="D1491" s="1230">
        <v>20730</v>
      </c>
      <c r="E1491" s="1212">
        <f t="shared" si="131"/>
        <v>-125</v>
      </c>
      <c r="F1491" s="1211">
        <f t="shared" si="133"/>
        <v>-70</v>
      </c>
      <c r="G1491" s="1215"/>
      <c r="H1491" s="1269"/>
      <c r="I1491" s="1291">
        <v>144000</v>
      </c>
    </row>
    <row r="1492" spans="1:9" ht="15" customHeight="1">
      <c r="A1492" s="1253">
        <v>42999</v>
      </c>
      <c r="B1492" s="1209">
        <v>1975</v>
      </c>
      <c r="C1492" s="1210">
        <v>20750</v>
      </c>
      <c r="D1492" s="1230">
        <v>20580</v>
      </c>
      <c r="E1492" s="1212">
        <f t="shared" si="131"/>
        <v>-170</v>
      </c>
      <c r="F1492" s="1211">
        <f t="shared" si="133"/>
        <v>-105</v>
      </c>
      <c r="G1492" s="1215"/>
      <c r="H1492" s="1269"/>
      <c r="I1492" s="1291">
        <v>144000</v>
      </c>
    </row>
    <row r="1493" spans="1:9" ht="15" customHeight="1">
      <c r="A1493" s="1253">
        <v>43000</v>
      </c>
      <c r="B1493" s="1209">
        <v>2070</v>
      </c>
      <c r="C1493" s="1210">
        <v>20845</v>
      </c>
      <c r="D1493" s="1230">
        <v>20625</v>
      </c>
      <c r="E1493" s="1212">
        <f t="shared" si="131"/>
        <v>-220</v>
      </c>
      <c r="F1493" s="1211">
        <f t="shared" si="133"/>
        <v>95</v>
      </c>
      <c r="G1493" s="1215"/>
      <c r="H1493" s="1269"/>
      <c r="I1493" s="1291">
        <v>142500</v>
      </c>
    </row>
    <row r="1494" spans="1:9" ht="15" customHeight="1">
      <c r="A1494" s="1253">
        <v>43003</v>
      </c>
      <c r="B1494" s="1209">
        <v>2070</v>
      </c>
      <c r="C1494" s="1210">
        <v>20825</v>
      </c>
      <c r="D1494" s="1230">
        <v>20600</v>
      </c>
      <c r="E1494" s="1212">
        <f t="shared" si="131"/>
        <v>-225</v>
      </c>
      <c r="F1494" s="1211">
        <f t="shared" si="133"/>
        <v>-20</v>
      </c>
      <c r="G1494" s="1215"/>
      <c r="H1494" s="1269"/>
      <c r="I1494" s="1291">
        <v>143500</v>
      </c>
    </row>
    <row r="1495" spans="1:9" ht="15" customHeight="1">
      <c r="A1495" s="1253">
        <v>43004</v>
      </c>
      <c r="B1495" s="1209">
        <v>2070</v>
      </c>
      <c r="C1495" s="1210">
        <v>20900</v>
      </c>
      <c r="D1495" s="1230">
        <v>20635</v>
      </c>
      <c r="E1495" s="1212">
        <f t="shared" si="131"/>
        <v>-265</v>
      </c>
      <c r="F1495" s="1211">
        <f t="shared" si="133"/>
        <v>75</v>
      </c>
      <c r="G1495" s="1215"/>
      <c r="H1495" s="1269"/>
      <c r="I1495" s="1291">
        <v>144250</v>
      </c>
    </row>
    <row r="1496" spans="1:9" ht="15" customHeight="1">
      <c r="A1496" s="1253">
        <v>43005</v>
      </c>
      <c r="B1496" s="1209">
        <v>2070</v>
      </c>
      <c r="C1496" s="1210">
        <v>20850</v>
      </c>
      <c r="D1496" s="1230">
        <v>20655</v>
      </c>
      <c r="E1496" s="1212">
        <f t="shared" si="131"/>
        <v>-195</v>
      </c>
      <c r="F1496" s="1211">
        <f t="shared" si="133"/>
        <v>-50</v>
      </c>
      <c r="G1496" s="1215"/>
      <c r="H1496" s="1269"/>
      <c r="I1496" s="1291">
        <v>144500</v>
      </c>
    </row>
    <row r="1497" spans="1:9" ht="15" customHeight="1">
      <c r="A1497" s="1253">
        <v>43006</v>
      </c>
      <c r="B1497" s="1209">
        <v>2070</v>
      </c>
      <c r="C1497" s="1210">
        <v>20900</v>
      </c>
      <c r="D1497" s="1230">
        <v>20750</v>
      </c>
      <c r="E1497" s="1212">
        <f t="shared" si="131"/>
        <v>-150</v>
      </c>
      <c r="F1497" s="1211">
        <f t="shared" si="133"/>
        <v>50</v>
      </c>
      <c r="G1497" s="1218"/>
      <c r="H1497" s="1269"/>
      <c r="I1497" s="1291">
        <v>144500</v>
      </c>
    </row>
    <row r="1498" spans="1:9" ht="15" customHeight="1">
      <c r="A1498" s="1253">
        <v>43007</v>
      </c>
      <c r="B1498" s="1209">
        <v>2070</v>
      </c>
      <c r="C1498" s="1210">
        <v>20995</v>
      </c>
      <c r="D1498" s="1230">
        <v>20750</v>
      </c>
      <c r="E1498" s="1212">
        <f t="shared" si="131"/>
        <v>-245</v>
      </c>
      <c r="F1498" s="1211">
        <f t="shared" si="133"/>
        <v>95</v>
      </c>
      <c r="G1498" s="1234">
        <f>AVERAGE(C1478:C1498)</f>
        <v>20855.476190476191</v>
      </c>
      <c r="H1498" s="1274">
        <f>AVERAGE(C1305:C1498)</f>
        <v>20190.846560846559</v>
      </c>
      <c r="I1498" s="1291">
        <v>144500</v>
      </c>
    </row>
    <row r="1499" spans="1:9" ht="15" customHeight="1">
      <c r="A1499" s="1253">
        <v>43010</v>
      </c>
      <c r="B1499" s="1209">
        <v>2070</v>
      </c>
      <c r="C1499" s="1210">
        <v>20875</v>
      </c>
      <c r="D1499" s="1230">
        <v>20710</v>
      </c>
      <c r="E1499" s="1212">
        <f t="shared" si="131"/>
        <v>-165</v>
      </c>
      <c r="F1499" s="1211">
        <f t="shared" si="133"/>
        <v>-120</v>
      </c>
      <c r="G1499" s="1215"/>
      <c r="H1499" s="1276"/>
      <c r="I1499" s="1291"/>
    </row>
    <row r="1500" spans="1:9" ht="15" customHeight="1">
      <c r="A1500" s="1253">
        <v>43011</v>
      </c>
      <c r="B1500" s="1209">
        <v>2045</v>
      </c>
      <c r="C1500" s="1210">
        <v>20950</v>
      </c>
      <c r="D1500" s="1230">
        <v>20700</v>
      </c>
      <c r="E1500" s="1212">
        <f t="shared" si="131"/>
        <v>-250</v>
      </c>
      <c r="F1500" s="1211">
        <f t="shared" si="133"/>
        <v>75</v>
      </c>
      <c r="G1500" s="1215"/>
      <c r="H1500" s="1276"/>
      <c r="I1500" s="1291"/>
    </row>
    <row r="1501" spans="1:9" ht="15" customHeight="1">
      <c r="A1501" s="1253">
        <v>43012</v>
      </c>
      <c r="B1501" s="1209">
        <v>2070</v>
      </c>
      <c r="C1501" s="1210">
        <v>20950</v>
      </c>
      <c r="D1501" s="1230">
        <v>20775</v>
      </c>
      <c r="E1501" s="1212">
        <f t="shared" si="131"/>
        <v>-175</v>
      </c>
      <c r="F1501" s="1211">
        <f t="shared" si="133"/>
        <v>0</v>
      </c>
      <c r="G1501" s="1215"/>
      <c r="H1501" s="1276"/>
      <c r="I1501" s="1291"/>
    </row>
    <row r="1502" spans="1:9" ht="15" customHeight="1">
      <c r="A1502" s="1253">
        <v>43013</v>
      </c>
      <c r="B1502" s="1209">
        <v>1970</v>
      </c>
      <c r="C1502" s="1210">
        <v>21245</v>
      </c>
      <c r="D1502" s="1230">
        <v>20975</v>
      </c>
      <c r="E1502" s="1212">
        <f t="shared" si="131"/>
        <v>-270</v>
      </c>
      <c r="F1502" s="1211">
        <f t="shared" si="133"/>
        <v>295</v>
      </c>
      <c r="G1502" s="1215"/>
      <c r="H1502" s="1269"/>
      <c r="I1502" s="1291"/>
    </row>
    <row r="1503" spans="1:9" ht="15" customHeight="1">
      <c r="A1503" s="1253">
        <v>43014</v>
      </c>
      <c r="B1503" s="1209">
        <v>1970</v>
      </c>
      <c r="C1503" s="1210">
        <v>21085</v>
      </c>
      <c r="D1503" s="1230">
        <v>20925</v>
      </c>
      <c r="E1503" s="1212">
        <f t="shared" si="131"/>
        <v>-160</v>
      </c>
      <c r="F1503" s="1211">
        <f t="shared" si="133"/>
        <v>-160</v>
      </c>
      <c r="G1503" s="1215"/>
      <c r="H1503" s="1269"/>
      <c r="I1503" s="1291"/>
    </row>
    <row r="1504" spans="1:9" ht="15" customHeight="1">
      <c r="A1504" s="1253">
        <v>43017</v>
      </c>
      <c r="B1504" s="1209">
        <v>1970</v>
      </c>
      <c r="C1504" s="1210">
        <v>20950</v>
      </c>
      <c r="D1504" s="1230">
        <v>20785</v>
      </c>
      <c r="E1504" s="1212">
        <f t="shared" si="131"/>
        <v>-165</v>
      </c>
      <c r="F1504" s="1211">
        <f t="shared" si="133"/>
        <v>-135</v>
      </c>
      <c r="G1504" s="1215"/>
      <c r="H1504" s="1269"/>
      <c r="I1504" s="1291">
        <v>145500</v>
      </c>
    </row>
    <row r="1505" spans="1:9" ht="15" customHeight="1">
      <c r="A1505" s="1253">
        <v>43018</v>
      </c>
      <c r="B1505" s="1209">
        <v>1995</v>
      </c>
      <c r="C1505" s="1210">
        <v>21100</v>
      </c>
      <c r="D1505" s="1230">
        <v>20840</v>
      </c>
      <c r="E1505" s="1212">
        <f t="shared" si="131"/>
        <v>-260</v>
      </c>
      <c r="F1505" s="1211">
        <f t="shared" si="133"/>
        <v>150</v>
      </c>
      <c r="G1505" s="1215"/>
      <c r="H1505" s="1269"/>
      <c r="I1505" s="1291">
        <v>145000</v>
      </c>
    </row>
    <row r="1506" spans="1:9" ht="15" customHeight="1">
      <c r="A1506" s="1253">
        <v>43019</v>
      </c>
      <c r="B1506" s="1209">
        <v>1995</v>
      </c>
      <c r="C1506" s="1210">
        <v>20810</v>
      </c>
      <c r="D1506" s="1230">
        <v>20700</v>
      </c>
      <c r="E1506" s="1212">
        <f t="shared" si="131"/>
        <v>-110</v>
      </c>
      <c r="F1506" s="1211">
        <f t="shared" si="133"/>
        <v>-290</v>
      </c>
      <c r="G1506" s="1215"/>
      <c r="H1506" s="1269"/>
      <c r="I1506" s="1291">
        <v>144500</v>
      </c>
    </row>
    <row r="1507" spans="1:9" ht="15" customHeight="1">
      <c r="A1507" s="1253">
        <v>43020</v>
      </c>
      <c r="B1507" s="1209">
        <v>2045</v>
      </c>
      <c r="C1507" s="1210">
        <v>20900</v>
      </c>
      <c r="D1507" s="1230">
        <v>20755</v>
      </c>
      <c r="E1507" s="1212">
        <f t="shared" si="131"/>
        <v>-145</v>
      </c>
      <c r="F1507" s="1211">
        <f t="shared" si="133"/>
        <v>90</v>
      </c>
      <c r="G1507" s="1215"/>
      <c r="H1507" s="1269"/>
      <c r="I1507" s="1291">
        <v>143500</v>
      </c>
    </row>
    <row r="1508" spans="1:9" ht="15" customHeight="1">
      <c r="A1508" s="1253">
        <v>43021</v>
      </c>
      <c r="B1508" s="1209">
        <v>2090</v>
      </c>
      <c r="C1508" s="1210">
        <v>20925</v>
      </c>
      <c r="D1508" s="1230">
        <v>20705</v>
      </c>
      <c r="E1508" s="1212">
        <f t="shared" ref="E1508:E1558" si="134">D1508-C1508</f>
        <v>-220</v>
      </c>
      <c r="F1508" s="1211">
        <f t="shared" si="133"/>
        <v>25</v>
      </c>
      <c r="G1508" s="1215"/>
      <c r="H1508" s="1269"/>
      <c r="I1508" s="1291">
        <v>144000</v>
      </c>
    </row>
    <row r="1509" spans="1:9" ht="15" customHeight="1">
      <c r="A1509" s="1253">
        <v>43024</v>
      </c>
      <c r="B1509" s="1209">
        <v>2090</v>
      </c>
      <c r="C1509" s="1210">
        <v>20825</v>
      </c>
      <c r="D1509" s="1230">
        <v>20700</v>
      </c>
      <c r="E1509" s="1212">
        <f t="shared" si="134"/>
        <v>-125</v>
      </c>
      <c r="F1509" s="1211">
        <f t="shared" si="133"/>
        <v>-100</v>
      </c>
      <c r="G1509" s="1215"/>
      <c r="H1509" s="1269"/>
      <c r="I1509" s="1291">
        <v>144750</v>
      </c>
    </row>
    <row r="1510" spans="1:9" ht="15" customHeight="1">
      <c r="A1510" s="1253">
        <v>43025</v>
      </c>
      <c r="B1510" s="1209">
        <v>2040</v>
      </c>
      <c r="C1510" s="1210">
        <v>20775</v>
      </c>
      <c r="D1510" s="1230">
        <v>20600</v>
      </c>
      <c r="E1510" s="1212">
        <f t="shared" si="134"/>
        <v>-175</v>
      </c>
      <c r="F1510" s="1211">
        <f t="shared" si="133"/>
        <v>-50</v>
      </c>
      <c r="G1510" s="1215"/>
      <c r="H1510" s="1269"/>
      <c r="I1510" s="1291">
        <v>144750</v>
      </c>
    </row>
    <row r="1511" spans="1:9" ht="15" customHeight="1">
      <c r="A1511" s="1253">
        <v>43026</v>
      </c>
      <c r="B1511" s="1209">
        <v>2110</v>
      </c>
      <c r="C1511" s="1210">
        <v>20050</v>
      </c>
      <c r="D1511" s="1230">
        <v>19930</v>
      </c>
      <c r="E1511" s="1212">
        <f t="shared" si="134"/>
        <v>-120</v>
      </c>
      <c r="F1511" s="1211">
        <f t="shared" si="133"/>
        <v>-725</v>
      </c>
      <c r="G1511" s="1215"/>
      <c r="H1511" s="1269"/>
      <c r="I1511" s="1291">
        <v>144750</v>
      </c>
    </row>
    <row r="1512" spans="1:9" ht="15" customHeight="1">
      <c r="A1512" s="1253">
        <v>43027</v>
      </c>
      <c r="B1512" s="1209">
        <v>2110</v>
      </c>
      <c r="C1512" s="1210">
        <v>20100</v>
      </c>
      <c r="D1512" s="1230">
        <v>19950</v>
      </c>
      <c r="E1512" s="1212">
        <f t="shared" si="134"/>
        <v>-150</v>
      </c>
      <c r="F1512" s="1211">
        <f t="shared" si="133"/>
        <v>50</v>
      </c>
      <c r="G1512" s="1215"/>
      <c r="H1512" s="1269"/>
      <c r="I1512" s="1291">
        <v>143750</v>
      </c>
    </row>
    <row r="1513" spans="1:9" ht="15" customHeight="1">
      <c r="A1513" s="1253">
        <v>43028</v>
      </c>
      <c r="B1513" s="1209">
        <v>2110</v>
      </c>
      <c r="C1513" s="1210">
        <v>19925</v>
      </c>
      <c r="D1513" s="1230">
        <v>19800</v>
      </c>
      <c r="E1513" s="1212">
        <f t="shared" si="134"/>
        <v>-125</v>
      </c>
      <c r="F1513" s="1211">
        <f t="shared" si="133"/>
        <v>-175</v>
      </c>
      <c r="G1513" s="1215"/>
      <c r="H1513" s="1269"/>
      <c r="I1513" s="1291">
        <v>143500</v>
      </c>
    </row>
    <row r="1514" spans="1:9" ht="15" customHeight="1">
      <c r="A1514" s="1253">
        <v>43031</v>
      </c>
      <c r="B1514" s="1209">
        <v>2110</v>
      </c>
      <c r="C1514" s="1210">
        <v>19750</v>
      </c>
      <c r="D1514" s="1230">
        <v>19600</v>
      </c>
      <c r="E1514" s="1212">
        <f t="shared" si="134"/>
        <v>-150</v>
      </c>
      <c r="F1514" s="1211">
        <f t="shared" si="133"/>
        <v>-175</v>
      </c>
      <c r="G1514" s="1215"/>
      <c r="H1514" s="1269"/>
      <c r="I1514" s="1291">
        <v>142750</v>
      </c>
    </row>
    <row r="1515" spans="1:9" ht="15" customHeight="1">
      <c r="A1515" s="1253">
        <v>43032</v>
      </c>
      <c r="B1515" s="1209">
        <v>2110</v>
      </c>
      <c r="C1515" s="1210">
        <v>19835</v>
      </c>
      <c r="D1515" s="1230">
        <v>19725</v>
      </c>
      <c r="E1515" s="1212">
        <f t="shared" si="134"/>
        <v>-110</v>
      </c>
      <c r="F1515" s="1211">
        <f t="shared" si="133"/>
        <v>85</v>
      </c>
      <c r="G1515" s="1215"/>
      <c r="H1515" s="1269"/>
      <c r="I1515" s="1291">
        <v>143250</v>
      </c>
    </row>
    <row r="1516" spans="1:9" ht="15" customHeight="1">
      <c r="A1516" s="1253">
        <v>43033</v>
      </c>
      <c r="B1516" s="1209">
        <v>2095</v>
      </c>
      <c r="C1516" s="1210">
        <v>19850</v>
      </c>
      <c r="D1516" s="1230">
        <v>19725</v>
      </c>
      <c r="E1516" s="1212">
        <f t="shared" si="134"/>
        <v>-125</v>
      </c>
      <c r="F1516" s="1211">
        <f t="shared" si="133"/>
        <v>15</v>
      </c>
      <c r="G1516" s="1215"/>
      <c r="H1516" s="1269"/>
      <c r="I1516" s="1291">
        <v>144000</v>
      </c>
    </row>
    <row r="1517" spans="1:9" ht="15" customHeight="1">
      <c r="A1517" s="1253">
        <v>43034</v>
      </c>
      <c r="B1517" s="1209">
        <v>2095</v>
      </c>
      <c r="C1517" s="1210">
        <v>20200</v>
      </c>
      <c r="D1517" s="1230">
        <v>19920</v>
      </c>
      <c r="E1517" s="1212">
        <f t="shared" si="134"/>
        <v>-280</v>
      </c>
      <c r="F1517" s="1211">
        <f t="shared" si="133"/>
        <v>350</v>
      </c>
      <c r="G1517" s="1215"/>
      <c r="H1517" s="1269"/>
      <c r="I1517" s="1291">
        <v>144000</v>
      </c>
    </row>
    <row r="1518" spans="1:9" ht="15" customHeight="1">
      <c r="A1518" s="1253">
        <v>43035</v>
      </c>
      <c r="B1518" s="1209">
        <v>2095</v>
      </c>
      <c r="C1518" s="1210">
        <v>19800</v>
      </c>
      <c r="D1518" s="1230">
        <v>19650</v>
      </c>
      <c r="E1518" s="1212">
        <f t="shared" si="134"/>
        <v>-150</v>
      </c>
      <c r="F1518" s="1211">
        <f t="shared" si="133"/>
        <v>-400</v>
      </c>
      <c r="G1518" s="1215"/>
      <c r="H1518" s="1269"/>
      <c r="I1518" s="1291">
        <v>143250</v>
      </c>
    </row>
    <row r="1519" spans="1:9" ht="15" customHeight="1">
      <c r="A1519" s="1253">
        <v>43038</v>
      </c>
      <c r="B1519" s="1209">
        <v>2095</v>
      </c>
      <c r="C1519" s="1210">
        <v>19910</v>
      </c>
      <c r="D1519" s="1230">
        <v>19755</v>
      </c>
      <c r="E1519" s="1212">
        <f t="shared" si="134"/>
        <v>-155</v>
      </c>
      <c r="F1519" s="1211">
        <f t="shared" si="133"/>
        <v>110</v>
      </c>
      <c r="G1519" s="1215"/>
      <c r="H1519" s="1269"/>
      <c r="I1519" s="1291">
        <v>143250</v>
      </c>
    </row>
    <row r="1520" spans="1:9" ht="15" customHeight="1">
      <c r="A1520" s="1253">
        <v>43039</v>
      </c>
      <c r="B1520" s="1209">
        <v>2095</v>
      </c>
      <c r="C1520" s="1210">
        <v>19505</v>
      </c>
      <c r="D1520" s="1230">
        <v>19300</v>
      </c>
      <c r="E1520" s="1212">
        <f t="shared" si="134"/>
        <v>-205</v>
      </c>
      <c r="F1520" s="1211">
        <f t="shared" si="133"/>
        <v>-405</v>
      </c>
      <c r="G1520" s="1227">
        <f>AVERAGE(C1499:C1520)</f>
        <v>20468.863636363636</v>
      </c>
      <c r="H1520" s="1274">
        <f>AVERAGE(C1305:C1520)</f>
        <v>20219.83412322275</v>
      </c>
      <c r="I1520" s="1291">
        <v>142500</v>
      </c>
    </row>
    <row r="1521" spans="1:9" ht="15" customHeight="1">
      <c r="A1521" s="1253">
        <v>43040</v>
      </c>
      <c r="B1521" s="1209">
        <v>2095</v>
      </c>
      <c r="C1521" s="1210">
        <v>19700</v>
      </c>
      <c r="D1521" s="1230">
        <v>19600</v>
      </c>
      <c r="E1521" s="1212">
        <f t="shared" si="134"/>
        <v>-100</v>
      </c>
      <c r="F1521" s="1211">
        <f t="shared" si="133"/>
        <v>195</v>
      </c>
      <c r="G1521" s="1215"/>
      <c r="H1521" s="1269"/>
      <c r="I1521" s="1291">
        <v>143000</v>
      </c>
    </row>
    <row r="1522" spans="1:9" ht="15" customHeight="1">
      <c r="A1522" s="1253">
        <v>43041</v>
      </c>
      <c r="B1522" s="1209">
        <v>2090</v>
      </c>
      <c r="C1522" s="1210">
        <v>19500</v>
      </c>
      <c r="D1522" s="1230">
        <v>19375</v>
      </c>
      <c r="E1522" s="1212">
        <f t="shared" si="134"/>
        <v>-125</v>
      </c>
      <c r="F1522" s="1211">
        <f t="shared" si="133"/>
        <v>-200</v>
      </c>
      <c r="G1522" s="1215"/>
      <c r="H1522" s="1269"/>
      <c r="I1522" s="1291">
        <v>143250</v>
      </c>
    </row>
    <row r="1523" spans="1:9" ht="15" customHeight="1">
      <c r="A1523" s="1253">
        <v>43042</v>
      </c>
      <c r="B1523" s="1209">
        <v>2070</v>
      </c>
      <c r="C1523" s="1210">
        <v>19700</v>
      </c>
      <c r="D1523" s="1230">
        <v>19410</v>
      </c>
      <c r="E1523" s="1212">
        <f t="shared" si="134"/>
        <v>-290</v>
      </c>
      <c r="F1523" s="1211">
        <f t="shared" si="133"/>
        <v>200</v>
      </c>
      <c r="G1523" s="1215"/>
      <c r="H1523" s="1269"/>
      <c r="I1523" s="1291">
        <v>143250</v>
      </c>
    </row>
    <row r="1524" spans="1:9" ht="15" customHeight="1">
      <c r="A1524" s="1253">
        <v>43045</v>
      </c>
      <c r="B1524" s="1209">
        <v>2070</v>
      </c>
      <c r="C1524" s="1210">
        <v>19600</v>
      </c>
      <c r="D1524" s="1230">
        <v>19500</v>
      </c>
      <c r="E1524" s="1212">
        <f t="shared" si="134"/>
        <v>-100</v>
      </c>
      <c r="F1524" s="1211">
        <f t="shared" si="133"/>
        <v>-100</v>
      </c>
      <c r="G1524" s="1215"/>
      <c r="H1524" s="1269"/>
      <c r="I1524" s="1291">
        <v>143250</v>
      </c>
    </row>
    <row r="1525" spans="1:9" ht="15" customHeight="1">
      <c r="A1525" s="1253">
        <v>43046</v>
      </c>
      <c r="B1525" s="1209">
        <v>2070</v>
      </c>
      <c r="C1525" s="1210">
        <v>19580</v>
      </c>
      <c r="D1525" s="1230">
        <v>19475</v>
      </c>
      <c r="E1525" s="1212">
        <f t="shared" si="134"/>
        <v>-105</v>
      </c>
      <c r="F1525" s="1211">
        <f t="shared" si="133"/>
        <v>-20</v>
      </c>
      <c r="G1525" s="1215"/>
      <c r="H1525" s="1269"/>
      <c r="I1525" s="1291">
        <v>143250</v>
      </c>
    </row>
    <row r="1526" spans="1:9" ht="15" customHeight="1">
      <c r="A1526" s="1253">
        <v>43047</v>
      </c>
      <c r="B1526" s="1209">
        <v>2065</v>
      </c>
      <c r="C1526" s="1210">
        <v>19550</v>
      </c>
      <c r="D1526" s="1230">
        <v>19425</v>
      </c>
      <c r="E1526" s="1212">
        <f t="shared" si="134"/>
        <v>-125</v>
      </c>
      <c r="F1526" s="1211">
        <f t="shared" si="133"/>
        <v>-30</v>
      </c>
      <c r="G1526" s="1215"/>
      <c r="H1526" s="1269"/>
      <c r="I1526" s="1291">
        <v>142250</v>
      </c>
    </row>
    <row r="1527" spans="1:9" ht="15" customHeight="1">
      <c r="A1527" s="1253">
        <v>43048</v>
      </c>
      <c r="B1527" s="1209">
        <v>2070</v>
      </c>
      <c r="C1527" s="1210">
        <v>19475</v>
      </c>
      <c r="D1527" s="1230">
        <v>19380</v>
      </c>
      <c r="E1527" s="1212">
        <f t="shared" si="134"/>
        <v>-95</v>
      </c>
      <c r="F1527" s="1211">
        <f t="shared" si="133"/>
        <v>-75</v>
      </c>
      <c r="G1527" s="1215"/>
      <c r="H1527" s="1269"/>
      <c r="I1527" s="1291">
        <v>141750</v>
      </c>
    </row>
    <row r="1528" spans="1:9" ht="15" customHeight="1">
      <c r="A1528" s="1253">
        <v>43049</v>
      </c>
      <c r="B1528" s="1209">
        <v>2100</v>
      </c>
      <c r="C1528" s="1210">
        <v>19700</v>
      </c>
      <c r="D1528" s="1230">
        <v>19625</v>
      </c>
      <c r="E1528" s="1212">
        <f t="shared" si="134"/>
        <v>-75</v>
      </c>
      <c r="F1528" s="1211">
        <f t="shared" si="133"/>
        <v>225</v>
      </c>
      <c r="G1528" s="1215"/>
      <c r="H1528" s="1269"/>
      <c r="I1528" s="1291">
        <v>142750</v>
      </c>
    </row>
    <row r="1529" spans="1:9" ht="15" customHeight="1">
      <c r="A1529" s="1253">
        <v>43052</v>
      </c>
      <c r="B1529" s="1209">
        <v>2080</v>
      </c>
      <c r="C1529" s="1210">
        <v>19385</v>
      </c>
      <c r="D1529" s="1230">
        <v>19310</v>
      </c>
      <c r="E1529" s="1212">
        <f t="shared" si="134"/>
        <v>-75</v>
      </c>
      <c r="F1529" s="1211">
        <f t="shared" si="133"/>
        <v>-315</v>
      </c>
      <c r="G1529" s="1215"/>
      <c r="H1529" s="1269"/>
      <c r="I1529" s="1291">
        <v>143250</v>
      </c>
    </row>
    <row r="1530" spans="1:9" ht="15" customHeight="1">
      <c r="A1530" s="1253">
        <v>43053</v>
      </c>
      <c r="B1530" s="1209">
        <v>2040</v>
      </c>
      <c r="C1530" s="1210">
        <v>19550</v>
      </c>
      <c r="D1530" s="1230">
        <v>19475</v>
      </c>
      <c r="E1530" s="1212">
        <f t="shared" si="134"/>
        <v>-75</v>
      </c>
      <c r="F1530" s="1211">
        <f t="shared" si="133"/>
        <v>165</v>
      </c>
      <c r="G1530" s="1215"/>
      <c r="H1530" s="1269"/>
      <c r="I1530" s="1291">
        <v>144000</v>
      </c>
    </row>
    <row r="1531" spans="1:9" ht="15" customHeight="1">
      <c r="A1531" s="1253">
        <v>43054</v>
      </c>
      <c r="B1531" s="1209">
        <v>2080</v>
      </c>
      <c r="C1531" s="1210">
        <v>19590</v>
      </c>
      <c r="D1531" s="1230">
        <v>19500</v>
      </c>
      <c r="E1531" s="1212">
        <f t="shared" si="134"/>
        <v>-90</v>
      </c>
      <c r="F1531" s="1211">
        <f t="shared" si="133"/>
        <v>40</v>
      </c>
      <c r="G1531" s="1215"/>
      <c r="H1531" s="1269"/>
      <c r="I1531" s="1291">
        <v>142250</v>
      </c>
    </row>
    <row r="1532" spans="1:9" ht="15" customHeight="1">
      <c r="A1532" s="1253">
        <v>43055</v>
      </c>
      <c r="B1532" s="1209">
        <v>2145</v>
      </c>
      <c r="C1532" s="1210">
        <v>19750</v>
      </c>
      <c r="D1532" s="1230">
        <v>19625</v>
      </c>
      <c r="E1532" s="1212">
        <f t="shared" si="134"/>
        <v>-125</v>
      </c>
      <c r="F1532" s="1211">
        <f t="shared" si="133"/>
        <v>160</v>
      </c>
      <c r="G1532" s="1215"/>
      <c r="H1532" s="1269"/>
      <c r="I1532" s="1291">
        <v>142750</v>
      </c>
    </row>
    <row r="1533" spans="1:9" ht="15" customHeight="1">
      <c r="A1533" s="1253">
        <v>43056</v>
      </c>
      <c r="B1533" s="1209">
        <v>2145</v>
      </c>
      <c r="C1533" s="1210">
        <v>19560</v>
      </c>
      <c r="D1533" s="1230">
        <v>19455</v>
      </c>
      <c r="E1533" s="1212">
        <f t="shared" si="134"/>
        <v>-105</v>
      </c>
      <c r="F1533" s="1211">
        <f t="shared" si="133"/>
        <v>-190</v>
      </c>
      <c r="G1533" s="1215"/>
      <c r="H1533" s="1269"/>
      <c r="I1533" s="1291">
        <v>142750</v>
      </c>
    </row>
    <row r="1534" spans="1:9" ht="15" customHeight="1">
      <c r="A1534" s="1253">
        <v>43059</v>
      </c>
      <c r="B1534" s="1209">
        <v>2220</v>
      </c>
      <c r="C1534" s="1210">
        <v>19555</v>
      </c>
      <c r="D1534" s="1230">
        <v>19425</v>
      </c>
      <c r="E1534" s="1212">
        <f t="shared" si="134"/>
        <v>-130</v>
      </c>
      <c r="F1534" s="1211">
        <f t="shared" si="133"/>
        <v>-5</v>
      </c>
      <c r="G1534" s="1215"/>
      <c r="H1534" s="1269"/>
      <c r="I1534" s="1291">
        <v>142750</v>
      </c>
    </row>
    <row r="1535" spans="1:9" ht="15" customHeight="1">
      <c r="A1535" s="1253">
        <v>43060</v>
      </c>
      <c r="B1535" s="1209">
        <v>2210</v>
      </c>
      <c r="C1535" s="1210">
        <v>19550</v>
      </c>
      <c r="D1535" s="1230">
        <v>19405</v>
      </c>
      <c r="E1535" s="1212">
        <f t="shared" si="134"/>
        <v>-145</v>
      </c>
      <c r="F1535" s="1211">
        <f t="shared" si="133"/>
        <v>-5</v>
      </c>
      <c r="G1535" s="1215"/>
      <c r="H1535" s="1269"/>
      <c r="I1535" s="1291">
        <v>142750</v>
      </c>
    </row>
    <row r="1536" spans="1:9" ht="15" customHeight="1">
      <c r="A1536" s="1253">
        <v>43061</v>
      </c>
      <c r="B1536" s="1209">
        <v>2210</v>
      </c>
      <c r="C1536" s="1210">
        <v>19415</v>
      </c>
      <c r="D1536" s="1230">
        <v>19350</v>
      </c>
      <c r="E1536" s="1212">
        <f t="shared" si="134"/>
        <v>-65</v>
      </c>
      <c r="F1536" s="1211">
        <f t="shared" si="133"/>
        <v>-135</v>
      </c>
      <c r="G1536" s="1215"/>
      <c r="H1536" s="1269"/>
      <c r="I1536" s="1291">
        <v>142750</v>
      </c>
    </row>
    <row r="1537" spans="1:9" ht="15" customHeight="1">
      <c r="A1537" s="1253">
        <v>43062</v>
      </c>
      <c r="B1537" s="1209">
        <v>2210</v>
      </c>
      <c r="C1537" s="1210">
        <v>19410</v>
      </c>
      <c r="D1537" s="1230">
        <v>19400</v>
      </c>
      <c r="E1537" s="1212">
        <f t="shared" si="134"/>
        <v>-10</v>
      </c>
      <c r="F1537" s="1211">
        <f t="shared" si="133"/>
        <v>-5</v>
      </c>
      <c r="G1537" s="1215"/>
      <c r="H1537" s="1269"/>
      <c r="I1537" s="1291">
        <v>142250</v>
      </c>
    </row>
    <row r="1538" spans="1:9" ht="15" customHeight="1">
      <c r="A1538" s="1253">
        <v>43063</v>
      </c>
      <c r="B1538" s="1209">
        <v>2205</v>
      </c>
      <c r="C1538" s="1210">
        <v>19650</v>
      </c>
      <c r="D1538" s="1230">
        <v>19540</v>
      </c>
      <c r="E1538" s="1212">
        <f t="shared" si="134"/>
        <v>-110</v>
      </c>
      <c r="F1538" s="1211">
        <f t="shared" si="133"/>
        <v>240</v>
      </c>
      <c r="G1538" s="1215"/>
      <c r="H1538" s="1269"/>
      <c r="I1538" s="1291">
        <v>141750</v>
      </c>
    </row>
    <row r="1539" spans="1:9" ht="15" customHeight="1">
      <c r="A1539" s="1253">
        <v>43066</v>
      </c>
      <c r="B1539" s="1209">
        <v>2255</v>
      </c>
      <c r="C1539" s="1210">
        <v>19525</v>
      </c>
      <c r="D1539" s="1230">
        <v>19475</v>
      </c>
      <c r="E1539" s="1212">
        <f t="shared" si="134"/>
        <v>-50</v>
      </c>
      <c r="F1539" s="1211">
        <f t="shared" si="133"/>
        <v>-125</v>
      </c>
      <c r="G1539" s="1215"/>
      <c r="H1539" s="1269"/>
      <c r="I1539" s="1291">
        <v>142250</v>
      </c>
    </row>
    <row r="1540" spans="1:9" ht="15" customHeight="1">
      <c r="A1540" s="1253">
        <v>43067</v>
      </c>
      <c r="B1540" s="1209">
        <v>2255</v>
      </c>
      <c r="C1540" s="1210">
        <v>19595</v>
      </c>
      <c r="D1540" s="1230">
        <v>19520</v>
      </c>
      <c r="E1540" s="1212">
        <f t="shared" si="134"/>
        <v>-75</v>
      </c>
      <c r="F1540" s="1211">
        <f t="shared" si="133"/>
        <v>70</v>
      </c>
      <c r="G1540" s="1215"/>
      <c r="H1540" s="1269"/>
      <c r="I1540" s="1291">
        <v>142250</v>
      </c>
    </row>
    <row r="1541" spans="1:9" ht="15" customHeight="1">
      <c r="A1541" s="1253">
        <v>43068</v>
      </c>
      <c r="B1541" s="1209">
        <v>2255</v>
      </c>
      <c r="C1541" s="1210">
        <v>19525</v>
      </c>
      <c r="D1541" s="1230">
        <v>19430</v>
      </c>
      <c r="E1541" s="1212">
        <f t="shared" si="134"/>
        <v>-95</v>
      </c>
      <c r="F1541" s="1211">
        <f t="shared" si="133"/>
        <v>-70</v>
      </c>
      <c r="G1541" s="1215"/>
      <c r="H1541" s="1269"/>
      <c r="I1541" s="1291">
        <v>142250</v>
      </c>
    </row>
    <row r="1542" spans="1:9" ht="15" customHeight="1">
      <c r="A1542" s="1253">
        <v>43069</v>
      </c>
      <c r="B1542" s="1209">
        <v>2240</v>
      </c>
      <c r="C1542" s="1210">
        <v>19775</v>
      </c>
      <c r="D1542" s="1230">
        <v>19600</v>
      </c>
      <c r="E1542" s="1212">
        <f t="shared" si="134"/>
        <v>-175</v>
      </c>
      <c r="F1542" s="1211">
        <f t="shared" si="133"/>
        <v>250</v>
      </c>
      <c r="G1542" s="1227">
        <f>AVERAGE(C1521:C1542)</f>
        <v>19574.545454545456</v>
      </c>
      <c r="H1542" s="1274">
        <f>AVERAGE(C1305:C1542)</f>
        <v>20158.905579399143</v>
      </c>
      <c r="I1542" s="1291">
        <v>142250</v>
      </c>
    </row>
    <row r="1543" spans="1:9" ht="15" customHeight="1">
      <c r="A1543" s="1253">
        <v>43070</v>
      </c>
      <c r="B1543" s="1209">
        <v>2395</v>
      </c>
      <c r="C1543" s="1210">
        <v>19650</v>
      </c>
      <c r="D1543" s="1230">
        <v>19500</v>
      </c>
      <c r="E1543" s="1212">
        <f t="shared" si="134"/>
        <v>-150</v>
      </c>
      <c r="F1543" s="1211">
        <f t="shared" si="133"/>
        <v>-125</v>
      </c>
      <c r="G1543" s="1215"/>
      <c r="H1543" s="1269"/>
      <c r="I1543" s="1291">
        <v>141250</v>
      </c>
    </row>
    <row r="1544" spans="1:9" ht="15" customHeight="1">
      <c r="A1544" s="1253">
        <v>43073</v>
      </c>
      <c r="B1544" s="1209">
        <v>2395</v>
      </c>
      <c r="C1544" s="1210">
        <v>19590</v>
      </c>
      <c r="D1544" s="1230">
        <v>19505</v>
      </c>
      <c r="E1544" s="1212">
        <f t="shared" si="134"/>
        <v>-85</v>
      </c>
      <c r="F1544" s="1211">
        <f t="shared" si="133"/>
        <v>-60</v>
      </c>
      <c r="G1544" s="1215"/>
      <c r="H1544" s="1269"/>
      <c r="I1544" s="1291">
        <v>141250</v>
      </c>
    </row>
    <row r="1545" spans="1:9" ht="15" customHeight="1">
      <c r="A1545" s="1253">
        <v>43074</v>
      </c>
      <c r="B1545" s="1209">
        <v>2375</v>
      </c>
      <c r="C1545" s="1210">
        <v>19570</v>
      </c>
      <c r="D1545" s="1230">
        <v>19530</v>
      </c>
      <c r="E1545" s="1212">
        <f t="shared" si="134"/>
        <v>-40</v>
      </c>
      <c r="F1545" s="1211">
        <f t="shared" si="133"/>
        <v>-20</v>
      </c>
      <c r="G1545" s="1215"/>
      <c r="H1545" s="1269"/>
      <c r="I1545" s="1291">
        <v>141500</v>
      </c>
    </row>
    <row r="1546" spans="1:9" ht="15" customHeight="1">
      <c r="A1546" s="1253">
        <v>43075</v>
      </c>
      <c r="B1546" s="1209">
        <v>2375</v>
      </c>
      <c r="C1546" s="1210">
        <v>19475</v>
      </c>
      <c r="D1546" s="1230">
        <v>19410</v>
      </c>
      <c r="E1546" s="1212">
        <f t="shared" si="134"/>
        <v>-65</v>
      </c>
      <c r="F1546" s="1211">
        <f t="shared" si="133"/>
        <v>-95</v>
      </c>
      <c r="G1546" s="1215"/>
      <c r="H1546" s="1269"/>
      <c r="I1546" s="1291">
        <v>140500</v>
      </c>
    </row>
    <row r="1547" spans="1:9" ht="15" customHeight="1">
      <c r="A1547" s="1253">
        <v>43076</v>
      </c>
      <c r="B1547" s="1209">
        <v>2340</v>
      </c>
      <c r="C1547" s="1210">
        <v>19550</v>
      </c>
      <c r="D1547" s="1230">
        <v>19475</v>
      </c>
      <c r="E1547" s="1212">
        <f t="shared" si="134"/>
        <v>-75</v>
      </c>
      <c r="F1547" s="1211">
        <f t="shared" si="133"/>
        <v>75</v>
      </c>
      <c r="G1547" s="1215"/>
      <c r="H1547" s="1269"/>
      <c r="I1547" s="1291">
        <v>140250</v>
      </c>
    </row>
    <row r="1548" spans="1:9" ht="15" customHeight="1">
      <c r="A1548" s="1253">
        <v>43077</v>
      </c>
      <c r="B1548" s="1209">
        <v>2325</v>
      </c>
      <c r="C1548" s="1210">
        <v>19575</v>
      </c>
      <c r="D1548" s="1230">
        <v>19450</v>
      </c>
      <c r="E1548" s="1212">
        <f t="shared" si="134"/>
        <v>-125</v>
      </c>
      <c r="F1548" s="1211">
        <f t="shared" si="133"/>
        <v>25</v>
      </c>
      <c r="G1548" s="1215"/>
      <c r="H1548" s="1269"/>
      <c r="I1548" s="1291">
        <v>140000</v>
      </c>
    </row>
    <row r="1549" spans="1:9" ht="15" customHeight="1">
      <c r="A1549" s="1253">
        <v>43080</v>
      </c>
      <c r="B1549" s="1209">
        <v>2320</v>
      </c>
      <c r="C1549" s="1210">
        <v>19475</v>
      </c>
      <c r="D1549" s="1230">
        <v>19370</v>
      </c>
      <c r="E1549" s="1212">
        <f t="shared" si="134"/>
        <v>-105</v>
      </c>
      <c r="F1549" s="1211">
        <f t="shared" ref="F1549:F1558" si="135">C1549-C1548</f>
        <v>-100</v>
      </c>
      <c r="G1549" s="1215"/>
      <c r="H1549" s="1269"/>
      <c r="I1549" s="1291">
        <v>139500</v>
      </c>
    </row>
    <row r="1550" spans="1:9" ht="15" customHeight="1">
      <c r="A1550" s="1253">
        <v>43081</v>
      </c>
      <c r="B1550" s="1209">
        <v>2320</v>
      </c>
      <c r="C1550" s="1210">
        <v>19450</v>
      </c>
      <c r="D1550" s="1230">
        <v>19325</v>
      </c>
      <c r="E1550" s="1212">
        <f t="shared" si="134"/>
        <v>-125</v>
      </c>
      <c r="F1550" s="1211">
        <f t="shared" si="135"/>
        <v>-25</v>
      </c>
      <c r="G1550" s="1215"/>
      <c r="H1550" s="1269"/>
      <c r="I1550" s="1291">
        <v>138250</v>
      </c>
    </row>
    <row r="1551" spans="1:9" ht="15" customHeight="1">
      <c r="A1551" s="1253">
        <v>43082</v>
      </c>
      <c r="B1551" s="1209">
        <v>2310</v>
      </c>
      <c r="C1551" s="1210">
        <v>18875</v>
      </c>
      <c r="D1551" s="1230">
        <v>18760</v>
      </c>
      <c r="E1551" s="1212">
        <f t="shared" si="134"/>
        <v>-115</v>
      </c>
      <c r="F1551" s="1211">
        <f t="shared" si="135"/>
        <v>-575</v>
      </c>
      <c r="G1551" s="1215"/>
      <c r="H1551" s="1269"/>
      <c r="I1551" s="1291">
        <v>137250</v>
      </c>
    </row>
    <row r="1552" spans="1:9" ht="15" customHeight="1">
      <c r="A1552" s="1253">
        <v>43083</v>
      </c>
      <c r="B1552" s="1209">
        <v>2310</v>
      </c>
      <c r="C1552" s="1210">
        <v>18870</v>
      </c>
      <c r="D1552" s="1230">
        <v>18875</v>
      </c>
      <c r="E1552" s="1212">
        <f t="shared" si="134"/>
        <v>5</v>
      </c>
      <c r="F1552" s="1211">
        <f t="shared" si="135"/>
        <v>-5</v>
      </c>
      <c r="G1552" s="1215"/>
      <c r="H1552" s="1269"/>
      <c r="I1552" s="1291">
        <v>136500</v>
      </c>
    </row>
    <row r="1553" spans="1:9" ht="15" customHeight="1">
      <c r="A1553" s="1253">
        <v>43084</v>
      </c>
      <c r="B1553" s="1209">
        <v>2310</v>
      </c>
      <c r="C1553" s="1210">
        <v>19125</v>
      </c>
      <c r="D1553" s="1230">
        <v>18975</v>
      </c>
      <c r="E1553" s="1212">
        <f t="shared" si="134"/>
        <v>-150</v>
      </c>
      <c r="F1553" s="1211">
        <f t="shared" si="135"/>
        <v>255</v>
      </c>
      <c r="G1553" s="1215"/>
      <c r="H1553" s="1269"/>
      <c r="I1553" s="1291">
        <v>136000</v>
      </c>
    </row>
    <row r="1554" spans="1:9" ht="15" customHeight="1">
      <c r="A1554" s="1253">
        <v>43087</v>
      </c>
      <c r="B1554" s="1209">
        <v>2310</v>
      </c>
      <c r="C1554" s="1210">
        <v>19290</v>
      </c>
      <c r="D1554" s="1230">
        <v>19210</v>
      </c>
      <c r="E1554" s="1212">
        <f t="shared" si="134"/>
        <v>-80</v>
      </c>
      <c r="F1554" s="1211">
        <f t="shared" si="135"/>
        <v>165</v>
      </c>
      <c r="G1554" s="1215"/>
      <c r="H1554" s="1269"/>
      <c r="I1554" s="1291">
        <v>137000</v>
      </c>
    </row>
    <row r="1555" spans="1:9" ht="15" customHeight="1">
      <c r="A1555" s="1253">
        <v>43088</v>
      </c>
      <c r="B1555" s="1209">
        <v>2345</v>
      </c>
      <c r="C1555" s="1210">
        <v>19330</v>
      </c>
      <c r="D1555" s="1230">
        <v>19260</v>
      </c>
      <c r="E1555" s="1212">
        <f t="shared" si="134"/>
        <v>-70</v>
      </c>
      <c r="F1555" s="1211">
        <f t="shared" si="135"/>
        <v>40</v>
      </c>
      <c r="G1555" s="1215"/>
      <c r="H1555" s="1269"/>
      <c r="I1555" s="1291">
        <v>138000</v>
      </c>
    </row>
    <row r="1556" spans="1:9" ht="15" customHeight="1">
      <c r="A1556" s="1253">
        <v>43089</v>
      </c>
      <c r="B1556" s="1209">
        <v>2345</v>
      </c>
      <c r="C1556" s="1210">
        <v>19340</v>
      </c>
      <c r="D1556" s="1230">
        <v>19320</v>
      </c>
      <c r="E1556" s="1212">
        <f t="shared" si="134"/>
        <v>-20</v>
      </c>
      <c r="F1556" s="1211">
        <f t="shared" si="135"/>
        <v>10</v>
      </c>
      <c r="G1556" s="1215"/>
      <c r="H1556" s="1269"/>
      <c r="I1556" s="1291">
        <v>138000</v>
      </c>
    </row>
    <row r="1557" spans="1:9" ht="15" customHeight="1">
      <c r="A1557" s="1253">
        <v>43090</v>
      </c>
      <c r="B1557" s="1209">
        <v>2450</v>
      </c>
      <c r="C1557" s="1210">
        <v>19450</v>
      </c>
      <c r="D1557" s="1230">
        <v>19375</v>
      </c>
      <c r="E1557" s="1212">
        <f t="shared" si="134"/>
        <v>-75</v>
      </c>
      <c r="F1557" s="1211">
        <f t="shared" si="135"/>
        <v>110</v>
      </c>
      <c r="G1557" s="1215"/>
      <c r="H1557" s="1269"/>
      <c r="I1557" s="1291">
        <v>138500</v>
      </c>
    </row>
    <row r="1558" spans="1:9" ht="15" customHeight="1">
      <c r="A1558" s="1253">
        <v>43091</v>
      </c>
      <c r="B1558" s="1209">
        <v>2395</v>
      </c>
      <c r="C1558" s="1210">
        <v>19410</v>
      </c>
      <c r="D1558" s="1230">
        <v>19400</v>
      </c>
      <c r="E1558" s="1212">
        <f t="shared" si="134"/>
        <v>-10</v>
      </c>
      <c r="F1558" s="1211">
        <f t="shared" si="135"/>
        <v>-40</v>
      </c>
      <c r="G1558" s="1215"/>
      <c r="H1558" s="1269"/>
      <c r="I1558" s="1291">
        <v>139000</v>
      </c>
    </row>
    <row r="1559" spans="1:9" ht="15" customHeight="1">
      <c r="A1559" s="1253">
        <v>43094</v>
      </c>
      <c r="B1559" s="1438" t="s">
        <v>118</v>
      </c>
      <c r="C1559" s="1438"/>
      <c r="D1559" s="1438"/>
      <c r="E1559" s="1438"/>
      <c r="F1559" s="1438"/>
      <c r="G1559" s="1438"/>
      <c r="H1559" s="1443"/>
      <c r="I1559" s="1291"/>
    </row>
    <row r="1560" spans="1:9" ht="15" customHeight="1">
      <c r="A1560" s="1253">
        <v>43095</v>
      </c>
      <c r="B1560" s="1438"/>
      <c r="C1560" s="1438"/>
      <c r="D1560" s="1438"/>
      <c r="E1560" s="1438"/>
      <c r="F1560" s="1438"/>
      <c r="G1560" s="1438"/>
      <c r="H1560" s="1443"/>
      <c r="I1560" s="1291"/>
    </row>
    <row r="1561" spans="1:9" ht="15" customHeight="1">
      <c r="A1561" s="1253">
        <v>43096</v>
      </c>
      <c r="B1561" s="1209">
        <v>2395</v>
      </c>
      <c r="C1561" s="1210">
        <v>19680</v>
      </c>
      <c r="D1561" s="1230">
        <v>19605</v>
      </c>
      <c r="E1561" s="1212">
        <f t="shared" ref="E1561:E1624" si="136">D1561-C1561</f>
        <v>-75</v>
      </c>
      <c r="F1561" s="1211">
        <f>C1561-C1558</f>
        <v>270</v>
      </c>
      <c r="G1561" s="1215"/>
      <c r="H1561" s="1269"/>
      <c r="I1561" s="1291">
        <v>140500</v>
      </c>
    </row>
    <row r="1562" spans="1:9" ht="15" customHeight="1">
      <c r="A1562" s="1253">
        <v>43097</v>
      </c>
      <c r="B1562" s="1209">
        <v>2220</v>
      </c>
      <c r="C1562" s="1210">
        <v>19780</v>
      </c>
      <c r="D1562" s="1230">
        <v>19725</v>
      </c>
      <c r="E1562" s="1212">
        <f t="shared" si="136"/>
        <v>-55</v>
      </c>
      <c r="F1562" s="1211">
        <f t="shared" ref="F1562:F1590" si="137">C1562-C1561</f>
        <v>100</v>
      </c>
      <c r="G1562" s="1215"/>
      <c r="H1562" s="1269"/>
      <c r="I1562" s="1291">
        <v>140500</v>
      </c>
    </row>
    <row r="1563" spans="1:9" ht="15" customHeight="1">
      <c r="A1563" s="1253">
        <v>43098</v>
      </c>
      <c r="B1563" s="1209">
        <v>2220</v>
      </c>
      <c r="C1563" s="1210">
        <v>19875</v>
      </c>
      <c r="D1563" s="1230">
        <v>19850</v>
      </c>
      <c r="E1563" s="1212">
        <f t="shared" si="136"/>
        <v>-25</v>
      </c>
      <c r="F1563" s="1211">
        <f t="shared" si="137"/>
        <v>95</v>
      </c>
      <c r="G1563" s="1227">
        <f>AVERAGE(C1543:C1563)</f>
        <v>19440</v>
      </c>
      <c r="H1563" s="1274">
        <f>AVERAGE(C1305:C1563)</f>
        <v>20104.702380952382</v>
      </c>
      <c r="I1563" s="1291">
        <v>142000</v>
      </c>
    </row>
    <row r="1564" spans="1:9" ht="15" customHeight="1">
      <c r="A1564" s="1253">
        <v>43102</v>
      </c>
      <c r="B1564" s="1209">
        <v>2235</v>
      </c>
      <c r="C1564" s="1210">
        <v>20160</v>
      </c>
      <c r="D1564" s="1230">
        <v>20075</v>
      </c>
      <c r="E1564" s="1212">
        <f t="shared" si="136"/>
        <v>-85</v>
      </c>
      <c r="F1564" s="1211">
        <f t="shared" si="137"/>
        <v>285</v>
      </c>
      <c r="G1564" s="1215"/>
      <c r="H1564" s="1269"/>
      <c r="I1564" s="1291">
        <v>143750</v>
      </c>
    </row>
    <row r="1565" spans="1:9" ht="15" customHeight="1">
      <c r="A1565" s="1253">
        <v>43103</v>
      </c>
      <c r="B1565" s="1209">
        <v>2285</v>
      </c>
      <c r="C1565" s="1210">
        <v>20050</v>
      </c>
      <c r="D1565" s="1230">
        <v>19950</v>
      </c>
      <c r="E1565" s="1212">
        <f t="shared" si="136"/>
        <v>-100</v>
      </c>
      <c r="F1565" s="1211">
        <f t="shared" si="137"/>
        <v>-110</v>
      </c>
      <c r="G1565" s="1215"/>
      <c r="H1565" s="1269"/>
      <c r="I1565" s="1291">
        <v>143250</v>
      </c>
    </row>
    <row r="1566" spans="1:9" ht="15" customHeight="1">
      <c r="A1566" s="1253">
        <v>43104</v>
      </c>
      <c r="B1566" s="1209">
        <v>2330</v>
      </c>
      <c r="C1566" s="1210">
        <v>20075</v>
      </c>
      <c r="D1566" s="1230">
        <v>19925</v>
      </c>
      <c r="E1566" s="1212">
        <f t="shared" si="136"/>
        <v>-150</v>
      </c>
      <c r="F1566" s="1211">
        <f t="shared" si="137"/>
        <v>25</v>
      </c>
      <c r="G1566" s="1215"/>
      <c r="H1566" s="1269"/>
      <c r="I1566" s="1291">
        <v>142750</v>
      </c>
    </row>
    <row r="1567" spans="1:9" ht="15" customHeight="1">
      <c r="A1567" s="1253">
        <v>43105</v>
      </c>
      <c r="B1567" s="1209">
        <v>2335</v>
      </c>
      <c r="C1567" s="1210">
        <v>20020</v>
      </c>
      <c r="D1567" s="1230">
        <v>19930</v>
      </c>
      <c r="E1567" s="1212">
        <f t="shared" si="136"/>
        <v>-90</v>
      </c>
      <c r="F1567" s="1211">
        <f t="shared" si="137"/>
        <v>-55</v>
      </c>
      <c r="G1567" s="1215"/>
      <c r="H1567" s="1269"/>
      <c r="I1567" s="1291">
        <v>142750</v>
      </c>
    </row>
    <row r="1568" spans="1:9" ht="15" customHeight="1">
      <c r="A1568" s="1253">
        <v>43108</v>
      </c>
      <c r="B1568" s="1209">
        <v>2335</v>
      </c>
      <c r="C1568" s="1210">
        <v>19960</v>
      </c>
      <c r="D1568" s="1230">
        <v>19950</v>
      </c>
      <c r="E1568" s="1212">
        <f t="shared" si="136"/>
        <v>-10</v>
      </c>
      <c r="F1568" s="1211">
        <f t="shared" si="137"/>
        <v>-60</v>
      </c>
      <c r="G1568" s="1215"/>
      <c r="H1568" s="1269"/>
      <c r="I1568" s="1291">
        <v>143250</v>
      </c>
    </row>
    <row r="1569" spans="1:9" ht="15" customHeight="1">
      <c r="A1569" s="1253">
        <v>43109</v>
      </c>
      <c r="B1569" s="1209">
        <v>2335</v>
      </c>
      <c r="C1569" s="1210">
        <v>20075</v>
      </c>
      <c r="D1569" s="1230">
        <v>20005</v>
      </c>
      <c r="E1569" s="1212">
        <f t="shared" si="136"/>
        <v>-70</v>
      </c>
      <c r="F1569" s="1211">
        <f t="shared" si="137"/>
        <v>115</v>
      </c>
      <c r="G1569" s="1215"/>
      <c r="H1569" s="1269"/>
      <c r="I1569" s="1291">
        <v>143250</v>
      </c>
    </row>
    <row r="1570" spans="1:9" ht="15" customHeight="1">
      <c r="A1570" s="1253">
        <v>43110</v>
      </c>
      <c r="B1570" s="1209">
        <v>2260</v>
      </c>
      <c r="C1570" s="1210">
        <v>20035</v>
      </c>
      <c r="D1570" s="1230">
        <v>20050</v>
      </c>
      <c r="E1570" s="1212">
        <f t="shared" si="136"/>
        <v>15</v>
      </c>
      <c r="F1570" s="1211">
        <f t="shared" si="137"/>
        <v>-40</v>
      </c>
      <c r="G1570" s="1215"/>
      <c r="H1570" s="1269"/>
      <c r="I1570" s="1291">
        <v>143750</v>
      </c>
    </row>
    <row r="1571" spans="1:9" ht="15" customHeight="1">
      <c r="A1571" s="1253">
        <v>43111</v>
      </c>
      <c r="B1571" s="1209">
        <v>2235</v>
      </c>
      <c r="C1571" s="1210">
        <v>20245</v>
      </c>
      <c r="D1571" s="1230">
        <v>20150</v>
      </c>
      <c r="E1571" s="1212">
        <f t="shared" si="136"/>
        <v>-95</v>
      </c>
      <c r="F1571" s="1211">
        <f t="shared" si="137"/>
        <v>210</v>
      </c>
      <c r="G1571" s="1215"/>
      <c r="H1571" s="1269"/>
      <c r="I1571" s="1291">
        <v>144500</v>
      </c>
    </row>
    <row r="1572" spans="1:9" ht="15" customHeight="1">
      <c r="A1572" s="1253">
        <v>43112</v>
      </c>
      <c r="B1572" s="1209">
        <v>2115</v>
      </c>
      <c r="C1572" s="1210">
        <v>20275</v>
      </c>
      <c r="D1572" s="1230">
        <v>20275</v>
      </c>
      <c r="E1572" s="1212">
        <f t="shared" si="136"/>
        <v>0</v>
      </c>
      <c r="F1572" s="1211">
        <f t="shared" si="137"/>
        <v>30</v>
      </c>
      <c r="G1572" s="1215"/>
      <c r="H1572" s="1269"/>
      <c r="I1572" s="1291">
        <v>144500</v>
      </c>
    </row>
    <row r="1573" spans="1:9" ht="15" customHeight="1">
      <c r="A1573" s="1253">
        <v>43115</v>
      </c>
      <c r="B1573" s="1209">
        <v>2085</v>
      </c>
      <c r="C1573" s="1210">
        <v>20450</v>
      </c>
      <c r="D1573" s="1230">
        <v>20325</v>
      </c>
      <c r="E1573" s="1212">
        <f t="shared" si="136"/>
        <v>-125</v>
      </c>
      <c r="F1573" s="1211">
        <f t="shared" si="137"/>
        <v>175</v>
      </c>
      <c r="G1573" s="1215"/>
      <c r="H1573" s="1269"/>
      <c r="I1573" s="1291">
        <v>144500</v>
      </c>
    </row>
    <row r="1574" spans="1:9" ht="15" customHeight="1">
      <c r="A1574" s="1253">
        <v>43116</v>
      </c>
      <c r="B1574" s="1209">
        <v>2135</v>
      </c>
      <c r="C1574" s="1210">
        <v>20355</v>
      </c>
      <c r="D1574" s="1230">
        <v>20330</v>
      </c>
      <c r="E1574" s="1212">
        <f t="shared" si="136"/>
        <v>-25</v>
      </c>
      <c r="F1574" s="1211">
        <f t="shared" si="137"/>
        <v>-95</v>
      </c>
      <c r="G1574" s="1215"/>
      <c r="H1574" s="1269"/>
      <c r="I1574" s="1291">
        <v>144500</v>
      </c>
    </row>
    <row r="1575" spans="1:9" ht="15" customHeight="1">
      <c r="A1575" s="1253">
        <v>43117</v>
      </c>
      <c r="B1575" s="1209">
        <v>2085</v>
      </c>
      <c r="C1575" s="1210">
        <v>20525</v>
      </c>
      <c r="D1575" s="1230">
        <v>20430</v>
      </c>
      <c r="E1575" s="1212">
        <f t="shared" si="136"/>
        <v>-95</v>
      </c>
      <c r="F1575" s="1211">
        <f t="shared" si="137"/>
        <v>170</v>
      </c>
      <c r="G1575" s="1215"/>
      <c r="H1575" s="1269"/>
      <c r="I1575" s="1291">
        <v>144000</v>
      </c>
    </row>
    <row r="1576" spans="1:9" ht="15" customHeight="1">
      <c r="A1576" s="1253">
        <v>43118</v>
      </c>
      <c r="B1576" s="1209">
        <v>2000</v>
      </c>
      <c r="C1576" s="1210">
        <v>20575</v>
      </c>
      <c r="D1576" s="1230">
        <v>20550</v>
      </c>
      <c r="E1576" s="1212">
        <f t="shared" si="136"/>
        <v>-25</v>
      </c>
      <c r="F1576" s="1211">
        <f t="shared" si="137"/>
        <v>50</v>
      </c>
      <c r="G1576" s="1215"/>
      <c r="H1576" s="1269"/>
      <c r="I1576" s="1291">
        <v>143750</v>
      </c>
    </row>
    <row r="1577" spans="1:9" ht="15" customHeight="1">
      <c r="A1577" s="1253">
        <v>43119</v>
      </c>
      <c r="B1577" s="1209">
        <v>1980</v>
      </c>
      <c r="C1577" s="1210">
        <v>20685</v>
      </c>
      <c r="D1577" s="1230">
        <v>20575</v>
      </c>
      <c r="E1577" s="1212">
        <f t="shared" si="136"/>
        <v>-110</v>
      </c>
      <c r="F1577" s="1211">
        <f t="shared" si="137"/>
        <v>110</v>
      </c>
      <c r="G1577" s="1215"/>
      <c r="H1577" s="1269"/>
      <c r="I1577" s="1291">
        <v>143750</v>
      </c>
    </row>
    <row r="1578" spans="1:9" ht="15" customHeight="1">
      <c r="A1578" s="1253">
        <v>43122</v>
      </c>
      <c r="B1578" s="1209">
        <v>1960</v>
      </c>
      <c r="C1578" s="1210">
        <v>20770</v>
      </c>
      <c r="D1578" s="1230">
        <v>20660</v>
      </c>
      <c r="E1578" s="1212">
        <f t="shared" si="136"/>
        <v>-110</v>
      </c>
      <c r="F1578" s="1211">
        <f t="shared" si="137"/>
        <v>85</v>
      </c>
      <c r="G1578" s="1215"/>
      <c r="H1578" s="1269"/>
      <c r="I1578" s="1291">
        <v>145000</v>
      </c>
    </row>
    <row r="1579" spans="1:9" ht="15" customHeight="1">
      <c r="A1579" s="1253">
        <v>43123</v>
      </c>
      <c r="B1579" s="1209">
        <v>1900</v>
      </c>
      <c r="C1579" s="1210">
        <v>20830</v>
      </c>
      <c r="D1579" s="1230">
        <v>20750</v>
      </c>
      <c r="E1579" s="1212">
        <f t="shared" si="136"/>
        <v>-80</v>
      </c>
      <c r="F1579" s="1211">
        <f t="shared" si="137"/>
        <v>60</v>
      </c>
      <c r="G1579" s="1215"/>
      <c r="H1579" s="1269"/>
      <c r="I1579" s="1291">
        <v>145250</v>
      </c>
    </row>
    <row r="1580" spans="1:9" ht="15" customHeight="1">
      <c r="A1580" s="1253">
        <v>43124</v>
      </c>
      <c r="B1580" s="1209">
        <v>1780</v>
      </c>
      <c r="C1580" s="1210">
        <v>21145</v>
      </c>
      <c r="D1580" s="1230">
        <v>20925</v>
      </c>
      <c r="E1580" s="1212">
        <f t="shared" si="136"/>
        <v>-220</v>
      </c>
      <c r="F1580" s="1211">
        <f t="shared" si="137"/>
        <v>315</v>
      </c>
      <c r="G1580" s="1215"/>
      <c r="H1580" s="1269"/>
      <c r="I1580" s="1291">
        <v>145250</v>
      </c>
    </row>
    <row r="1581" spans="1:9" ht="15" customHeight="1">
      <c r="A1581" s="1253">
        <v>43125</v>
      </c>
      <c r="B1581" s="1209">
        <v>1820</v>
      </c>
      <c r="C1581" s="1210">
        <v>21345</v>
      </c>
      <c r="D1581" s="1230">
        <v>21100</v>
      </c>
      <c r="E1581" s="1212">
        <f t="shared" si="136"/>
        <v>-245</v>
      </c>
      <c r="F1581" s="1211">
        <f t="shared" si="137"/>
        <v>200</v>
      </c>
      <c r="G1581" s="1215"/>
      <c r="H1581" s="1269"/>
      <c r="I1581" s="1291">
        <v>146500</v>
      </c>
    </row>
    <row r="1582" spans="1:9" ht="15" customHeight="1">
      <c r="A1582" s="1253">
        <v>43126</v>
      </c>
      <c r="B1582" s="1209">
        <v>1825</v>
      </c>
      <c r="C1582" s="1210">
        <v>22005</v>
      </c>
      <c r="D1582" s="1230">
        <v>21760</v>
      </c>
      <c r="E1582" s="1212">
        <f t="shared" si="136"/>
        <v>-245</v>
      </c>
      <c r="F1582" s="1211">
        <f t="shared" si="137"/>
        <v>660</v>
      </c>
      <c r="G1582" s="1215"/>
      <c r="H1582" s="1269"/>
      <c r="I1582" s="1291">
        <v>146500</v>
      </c>
    </row>
    <row r="1583" spans="1:9" ht="15" customHeight="1">
      <c r="A1583" s="1253">
        <v>43129</v>
      </c>
      <c r="B1583" s="1209">
        <v>1750</v>
      </c>
      <c r="C1583" s="1210">
        <v>22105</v>
      </c>
      <c r="D1583" s="1230">
        <v>21910</v>
      </c>
      <c r="E1583" s="1212">
        <f t="shared" si="136"/>
        <v>-195</v>
      </c>
      <c r="F1583" s="1211">
        <f t="shared" si="137"/>
        <v>100</v>
      </c>
      <c r="G1583" s="1215"/>
      <c r="H1583" s="1269"/>
      <c r="I1583" s="1291">
        <v>148500</v>
      </c>
    </row>
    <row r="1584" spans="1:9" ht="15" customHeight="1">
      <c r="A1584" s="1253">
        <v>43130</v>
      </c>
      <c r="B1584" s="1209">
        <v>1750</v>
      </c>
      <c r="C1584" s="1210">
        <v>22050</v>
      </c>
      <c r="D1584" s="1230">
        <v>21875</v>
      </c>
      <c r="E1584" s="1212">
        <f t="shared" si="136"/>
        <v>-175</v>
      </c>
      <c r="F1584" s="1211">
        <f t="shared" si="137"/>
        <v>-55</v>
      </c>
      <c r="G1584" s="1215"/>
      <c r="H1584" s="1269"/>
      <c r="I1584" s="1291">
        <v>149250</v>
      </c>
    </row>
    <row r="1585" spans="1:9" ht="15" customHeight="1">
      <c r="A1585" s="1253">
        <v>43131</v>
      </c>
      <c r="B1585" s="1209">
        <v>1925</v>
      </c>
      <c r="C1585" s="1210">
        <v>21900</v>
      </c>
      <c r="D1585" s="1230">
        <v>21750</v>
      </c>
      <c r="E1585" s="1212">
        <f t="shared" si="136"/>
        <v>-150</v>
      </c>
      <c r="F1585" s="1211">
        <f t="shared" si="137"/>
        <v>-150</v>
      </c>
      <c r="G1585" s="1227">
        <f>AVERAGE(C1564:C1585)</f>
        <v>20710.68181818182</v>
      </c>
      <c r="H1585" s="1274">
        <f>AVERAGE(C1564:C1585)</f>
        <v>20710.68181818182</v>
      </c>
      <c r="I1585" s="1291">
        <v>148250</v>
      </c>
    </row>
    <row r="1586" spans="1:9" ht="15" customHeight="1">
      <c r="A1586" s="1253">
        <v>43132</v>
      </c>
      <c r="B1586" s="1209">
        <v>1955</v>
      </c>
      <c r="C1586" s="1210">
        <v>21950</v>
      </c>
      <c r="D1586" s="1230">
        <v>21730</v>
      </c>
      <c r="E1586" s="1212">
        <f t="shared" si="136"/>
        <v>-220</v>
      </c>
      <c r="F1586" s="1211">
        <f t="shared" si="137"/>
        <v>50</v>
      </c>
      <c r="G1586" s="1215"/>
      <c r="H1586" s="1269"/>
      <c r="I1586" s="1291">
        <v>148250</v>
      </c>
    </row>
    <row r="1587" spans="1:9" ht="15" customHeight="1">
      <c r="A1587" s="1253">
        <v>43133</v>
      </c>
      <c r="B1587" s="1209">
        <v>1930</v>
      </c>
      <c r="C1587" s="1210">
        <v>21770</v>
      </c>
      <c r="D1587" s="1230">
        <v>21560</v>
      </c>
      <c r="E1587" s="1212">
        <f t="shared" si="136"/>
        <v>-210</v>
      </c>
      <c r="F1587" s="1211">
        <f t="shared" si="137"/>
        <v>-180</v>
      </c>
      <c r="G1587" s="1215"/>
      <c r="H1587" s="1269"/>
      <c r="I1587" s="1291">
        <v>148000</v>
      </c>
    </row>
    <row r="1588" spans="1:9" ht="15" customHeight="1">
      <c r="A1588" s="1253">
        <v>43136</v>
      </c>
      <c r="B1588" s="1209">
        <v>1800</v>
      </c>
      <c r="C1588" s="1210">
        <v>21750</v>
      </c>
      <c r="D1588" s="1230">
        <v>21630</v>
      </c>
      <c r="E1588" s="1212">
        <f t="shared" si="136"/>
        <v>-120</v>
      </c>
      <c r="F1588" s="1211">
        <f t="shared" si="137"/>
        <v>-20</v>
      </c>
      <c r="G1588" s="1215"/>
      <c r="H1588" s="1269"/>
      <c r="I1588" s="1291">
        <v>147250</v>
      </c>
    </row>
    <row r="1589" spans="1:9" ht="15" customHeight="1">
      <c r="A1589" s="1253">
        <v>43137</v>
      </c>
      <c r="B1589" s="1209">
        <v>1770</v>
      </c>
      <c r="C1589" s="1210">
        <v>21825</v>
      </c>
      <c r="D1589" s="1230">
        <v>21675</v>
      </c>
      <c r="E1589" s="1212">
        <f t="shared" si="136"/>
        <v>-150</v>
      </c>
      <c r="F1589" s="1211">
        <f t="shared" si="137"/>
        <v>75</v>
      </c>
      <c r="G1589" s="1215"/>
      <c r="H1589" s="1269"/>
      <c r="I1589" s="1291">
        <v>148000</v>
      </c>
    </row>
    <row r="1590" spans="1:9" ht="15" customHeight="1">
      <c r="A1590" s="1253">
        <v>43138</v>
      </c>
      <c r="B1590" s="1209">
        <v>1790</v>
      </c>
      <c r="C1590" s="1210">
        <v>22075</v>
      </c>
      <c r="D1590" s="1230">
        <v>21850</v>
      </c>
      <c r="E1590" s="1212">
        <f t="shared" si="136"/>
        <v>-225</v>
      </c>
      <c r="F1590" s="1211">
        <f t="shared" si="137"/>
        <v>250</v>
      </c>
      <c r="G1590" s="1215"/>
      <c r="H1590" s="1269"/>
      <c r="I1590" s="1291">
        <v>149500</v>
      </c>
    </row>
    <row r="1591" spans="1:9" ht="15" customHeight="1">
      <c r="A1591" s="1253">
        <v>43139</v>
      </c>
      <c r="B1591" s="1209">
        <v>1845</v>
      </c>
      <c r="C1591" s="1210">
        <v>21550</v>
      </c>
      <c r="D1591" s="1230">
        <v>21375</v>
      </c>
      <c r="E1591" s="1212">
        <f t="shared" si="136"/>
        <v>-175</v>
      </c>
      <c r="F1591" s="1211">
        <f>C1591-C1590</f>
        <v>-525</v>
      </c>
      <c r="G1591" s="1215"/>
      <c r="H1591" s="1269"/>
      <c r="I1591" s="1291">
        <v>148250</v>
      </c>
    </row>
    <row r="1592" spans="1:9" ht="15" customHeight="1">
      <c r="A1592" s="1253">
        <v>43140</v>
      </c>
      <c r="B1592" s="1209">
        <v>1855</v>
      </c>
      <c r="C1592" s="1210">
        <v>21180</v>
      </c>
      <c r="D1592" s="1230">
        <v>21150</v>
      </c>
      <c r="E1592" s="1212">
        <f t="shared" si="136"/>
        <v>-30</v>
      </c>
      <c r="F1592" s="1211">
        <f>C1592-C1591</f>
        <v>-370</v>
      </c>
      <c r="G1592" s="1215"/>
      <c r="H1592" s="1269"/>
      <c r="I1592" s="1291">
        <v>147750</v>
      </c>
    </row>
    <row r="1593" spans="1:9" ht="15" customHeight="1">
      <c r="A1593" s="1253">
        <v>43143</v>
      </c>
      <c r="B1593" s="1209">
        <v>1935</v>
      </c>
      <c r="C1593" s="1210">
        <v>21300</v>
      </c>
      <c r="D1593" s="1230">
        <v>21150</v>
      </c>
      <c r="E1593" s="1212">
        <f t="shared" si="136"/>
        <v>-150</v>
      </c>
      <c r="F1593" s="1211">
        <f>C1593-C1592</f>
        <v>120</v>
      </c>
      <c r="G1593" s="1215"/>
      <c r="H1593" s="1269"/>
      <c r="I1593" s="1291">
        <v>146500</v>
      </c>
    </row>
    <row r="1594" spans="1:9" ht="15" customHeight="1">
      <c r="A1594" s="1253">
        <v>43144</v>
      </c>
      <c r="B1594" s="1209">
        <v>1925</v>
      </c>
      <c r="C1594" s="1210">
        <v>21600</v>
      </c>
      <c r="D1594" s="1230">
        <v>21500</v>
      </c>
      <c r="E1594" s="1212">
        <f t="shared" si="136"/>
        <v>-100</v>
      </c>
      <c r="F1594" s="1211">
        <f>C1594-C1593</f>
        <v>300</v>
      </c>
      <c r="G1594" s="1215"/>
      <c r="H1594" s="1269"/>
      <c r="I1594" s="1291">
        <v>146500</v>
      </c>
    </row>
    <row r="1595" spans="1:9" ht="15" customHeight="1">
      <c r="A1595" s="1253">
        <v>43145</v>
      </c>
      <c r="B1595" s="1209">
        <v>1910</v>
      </c>
      <c r="C1595" s="1210">
        <v>21725</v>
      </c>
      <c r="D1595" s="1230">
        <v>21650</v>
      </c>
      <c r="E1595" s="1212">
        <f t="shared" si="136"/>
        <v>-75</v>
      </c>
      <c r="F1595" s="1211">
        <f>C1595-C1594</f>
        <v>125</v>
      </c>
      <c r="G1595" s="1215"/>
      <c r="H1595" s="1269"/>
      <c r="I1595" s="1291">
        <v>148000</v>
      </c>
    </row>
    <row r="1596" spans="1:9" ht="15" customHeight="1">
      <c r="A1596" s="1253">
        <v>43146</v>
      </c>
      <c r="B1596" s="1209">
        <v>1845</v>
      </c>
      <c r="C1596" s="1210">
        <v>21700</v>
      </c>
      <c r="D1596" s="1230">
        <v>21525</v>
      </c>
      <c r="E1596" s="1212">
        <f t="shared" si="136"/>
        <v>-175</v>
      </c>
      <c r="F1596" s="1211">
        <f t="shared" ref="F1596" si="138">C1596-C1595</f>
        <v>-25</v>
      </c>
      <c r="G1596" s="1215"/>
      <c r="H1596" s="1269"/>
      <c r="I1596" s="1466" t="s">
        <v>55</v>
      </c>
    </row>
    <row r="1597" spans="1:9" ht="15" customHeight="1">
      <c r="A1597" s="1253">
        <v>43147</v>
      </c>
      <c r="B1597" s="1209">
        <v>1860</v>
      </c>
      <c r="C1597" s="1210">
        <v>21900</v>
      </c>
      <c r="D1597" s="1230">
        <v>21675</v>
      </c>
      <c r="E1597" s="1212">
        <f t="shared" si="136"/>
        <v>-225</v>
      </c>
      <c r="F1597" s="1211">
        <f t="shared" ref="F1597:F1626" si="139">C1597-C1596</f>
        <v>200</v>
      </c>
      <c r="G1597" s="1215"/>
      <c r="H1597" s="1269"/>
      <c r="I1597" s="1466"/>
    </row>
    <row r="1598" spans="1:9" ht="15" customHeight="1">
      <c r="A1598" s="1253">
        <v>43150</v>
      </c>
      <c r="B1598" s="1209">
        <v>1860</v>
      </c>
      <c r="C1598" s="1210">
        <v>21830</v>
      </c>
      <c r="D1598" s="1230">
        <v>21655</v>
      </c>
      <c r="E1598" s="1212">
        <f t="shared" si="136"/>
        <v>-175</v>
      </c>
      <c r="F1598" s="1211">
        <f t="shared" si="139"/>
        <v>-70</v>
      </c>
      <c r="G1598" s="1215"/>
      <c r="H1598" s="1269"/>
      <c r="I1598" s="1466"/>
    </row>
    <row r="1599" spans="1:9" ht="15" customHeight="1">
      <c r="A1599" s="1253">
        <v>43151</v>
      </c>
      <c r="B1599" s="1209">
        <v>1860</v>
      </c>
      <c r="C1599" s="1210">
        <v>21500</v>
      </c>
      <c r="D1599" s="1230">
        <v>21375</v>
      </c>
      <c r="E1599" s="1212">
        <f t="shared" si="136"/>
        <v>-125</v>
      </c>
      <c r="F1599" s="1211">
        <f t="shared" si="139"/>
        <v>-330</v>
      </c>
      <c r="G1599" s="1215"/>
      <c r="H1599" s="1269"/>
      <c r="I1599" s="1466"/>
    </row>
    <row r="1600" spans="1:9" ht="15" customHeight="1">
      <c r="A1600" s="1253">
        <v>43152</v>
      </c>
      <c r="B1600" s="1209">
        <v>1860</v>
      </c>
      <c r="C1600" s="1210">
        <v>21680</v>
      </c>
      <c r="D1600" s="1230">
        <v>21550</v>
      </c>
      <c r="E1600" s="1212">
        <f t="shared" si="136"/>
        <v>-130</v>
      </c>
      <c r="F1600" s="1211">
        <f t="shared" si="139"/>
        <v>180</v>
      </c>
      <c r="G1600" s="1215"/>
      <c r="H1600" s="1269"/>
      <c r="I1600" s="1466"/>
    </row>
    <row r="1601" spans="1:9" ht="15" customHeight="1">
      <c r="A1601" s="1253">
        <v>43153</v>
      </c>
      <c r="B1601" s="1209">
        <v>1860</v>
      </c>
      <c r="C1601" s="1210">
        <v>21650</v>
      </c>
      <c r="D1601" s="1230">
        <v>21505</v>
      </c>
      <c r="E1601" s="1212">
        <f t="shared" si="136"/>
        <v>-145</v>
      </c>
      <c r="F1601" s="1211">
        <f t="shared" si="139"/>
        <v>-30</v>
      </c>
      <c r="G1601" s="1215"/>
      <c r="H1601" s="1269"/>
      <c r="I1601" s="1291">
        <v>147500</v>
      </c>
    </row>
    <row r="1602" spans="1:9" ht="15" customHeight="1">
      <c r="A1602" s="1253">
        <v>43154</v>
      </c>
      <c r="B1602" s="1209">
        <v>1860</v>
      </c>
      <c r="C1602" s="1210">
        <v>21650</v>
      </c>
      <c r="D1602" s="1230">
        <v>21535</v>
      </c>
      <c r="E1602" s="1212">
        <f t="shared" si="136"/>
        <v>-115</v>
      </c>
      <c r="F1602" s="1211">
        <f t="shared" si="139"/>
        <v>0</v>
      </c>
      <c r="G1602" s="1215"/>
      <c r="H1602" s="1269"/>
      <c r="I1602" s="1291">
        <v>147500</v>
      </c>
    </row>
    <row r="1603" spans="1:9" ht="15" customHeight="1">
      <c r="A1603" s="1253">
        <v>43157</v>
      </c>
      <c r="B1603" s="1209">
        <v>1885</v>
      </c>
      <c r="C1603" s="1210">
        <v>21710</v>
      </c>
      <c r="D1603" s="1230">
        <v>21585</v>
      </c>
      <c r="E1603" s="1212">
        <f t="shared" si="136"/>
        <v>-125</v>
      </c>
      <c r="F1603" s="1211">
        <f t="shared" si="139"/>
        <v>60</v>
      </c>
      <c r="G1603" s="1215"/>
      <c r="H1603" s="1269"/>
      <c r="I1603" s="1291">
        <v>146500</v>
      </c>
    </row>
    <row r="1604" spans="1:9" ht="15" customHeight="1">
      <c r="A1604" s="1253">
        <v>43158</v>
      </c>
      <c r="B1604" s="1209">
        <v>1785</v>
      </c>
      <c r="C1604" s="1210">
        <v>21750</v>
      </c>
      <c r="D1604" s="1230">
        <v>21650</v>
      </c>
      <c r="E1604" s="1212">
        <f t="shared" si="136"/>
        <v>-100</v>
      </c>
      <c r="F1604" s="1211">
        <f t="shared" si="139"/>
        <v>40</v>
      </c>
      <c r="G1604" s="1215"/>
      <c r="H1604" s="1269"/>
      <c r="I1604" s="1291">
        <v>146750</v>
      </c>
    </row>
    <row r="1605" spans="1:9" ht="15" customHeight="1">
      <c r="A1605" s="1253">
        <v>43159</v>
      </c>
      <c r="B1605" s="1209">
        <v>1795</v>
      </c>
      <c r="C1605" s="1210">
        <v>21775</v>
      </c>
      <c r="D1605" s="1230">
        <v>21645</v>
      </c>
      <c r="E1605" s="1212">
        <f t="shared" si="136"/>
        <v>-130</v>
      </c>
      <c r="F1605" s="1211">
        <f t="shared" si="139"/>
        <v>25</v>
      </c>
      <c r="G1605" s="1227">
        <f>AVERAGE(C1586:C1605)</f>
        <v>21693.5</v>
      </c>
      <c r="H1605" s="1274">
        <f>AVERAGE(C1564:C1605)</f>
        <v>21178.690476190477</v>
      </c>
      <c r="I1605" s="1291"/>
    </row>
    <row r="1606" spans="1:9" ht="15" customHeight="1">
      <c r="A1606" s="1253">
        <v>43160</v>
      </c>
      <c r="B1606" s="1209">
        <v>1720</v>
      </c>
      <c r="C1606" s="1210">
        <v>21670</v>
      </c>
      <c r="D1606" s="1230">
        <v>21525</v>
      </c>
      <c r="E1606" s="1212">
        <f t="shared" si="136"/>
        <v>-145</v>
      </c>
      <c r="F1606" s="1211">
        <f t="shared" si="139"/>
        <v>-105</v>
      </c>
      <c r="G1606" s="1215"/>
      <c r="H1606" s="1269"/>
      <c r="I1606" s="1291">
        <v>147000</v>
      </c>
    </row>
    <row r="1607" spans="1:9" ht="15" customHeight="1">
      <c r="A1607" s="1253">
        <v>43161</v>
      </c>
      <c r="B1607" s="1209">
        <v>1770</v>
      </c>
      <c r="C1607" s="1210">
        <v>21710</v>
      </c>
      <c r="D1607" s="1230">
        <v>21600</v>
      </c>
      <c r="E1607" s="1212">
        <f t="shared" si="136"/>
        <v>-110</v>
      </c>
      <c r="F1607" s="1211">
        <f t="shared" si="139"/>
        <v>40</v>
      </c>
      <c r="G1607" s="1215"/>
      <c r="H1607" s="1269"/>
      <c r="I1607" s="1291">
        <v>146250</v>
      </c>
    </row>
    <row r="1608" spans="1:9" ht="15" customHeight="1">
      <c r="A1608" s="1253">
        <v>43164</v>
      </c>
      <c r="B1608" s="1209">
        <v>1610</v>
      </c>
      <c r="C1608" s="1210">
        <v>21670</v>
      </c>
      <c r="D1608" s="1230">
        <v>21530</v>
      </c>
      <c r="E1608" s="1212">
        <f t="shared" si="136"/>
        <v>-140</v>
      </c>
      <c r="F1608" s="1211">
        <f t="shared" si="139"/>
        <v>-40</v>
      </c>
      <c r="G1608" s="1215"/>
      <c r="H1608" s="1269"/>
      <c r="I1608" s="1291">
        <v>146250</v>
      </c>
    </row>
    <row r="1609" spans="1:9" ht="15" customHeight="1">
      <c r="A1609" s="1253">
        <v>43165</v>
      </c>
      <c r="B1609" s="1209">
        <v>1570</v>
      </c>
      <c r="C1609" s="1210">
        <v>21595</v>
      </c>
      <c r="D1609" s="1230">
        <v>21455</v>
      </c>
      <c r="E1609" s="1212">
        <f t="shared" si="136"/>
        <v>-140</v>
      </c>
      <c r="F1609" s="1211">
        <f t="shared" si="139"/>
        <v>-75</v>
      </c>
      <c r="G1609" s="1215"/>
      <c r="H1609" s="1269"/>
      <c r="I1609" s="1291">
        <v>146000</v>
      </c>
    </row>
    <row r="1610" spans="1:9" ht="15" customHeight="1">
      <c r="A1610" s="1253">
        <v>43166</v>
      </c>
      <c r="B1610" s="1209">
        <v>1555</v>
      </c>
      <c r="C1610" s="1210">
        <v>21495</v>
      </c>
      <c r="D1610" s="1230">
        <v>21340</v>
      </c>
      <c r="E1610" s="1212">
        <f t="shared" si="136"/>
        <v>-155</v>
      </c>
      <c r="F1610" s="1211">
        <f t="shared" si="139"/>
        <v>-100</v>
      </c>
      <c r="G1610" s="1215"/>
      <c r="H1610" s="1269"/>
      <c r="I1610" s="1291">
        <v>145750</v>
      </c>
    </row>
    <row r="1611" spans="1:9" ht="15" customHeight="1">
      <c r="A1611" s="1253">
        <v>43167</v>
      </c>
      <c r="B1611" s="1209">
        <v>1555</v>
      </c>
      <c r="C1611" s="1210">
        <v>21650</v>
      </c>
      <c r="D1611" s="1230">
        <v>21550</v>
      </c>
      <c r="E1611" s="1212">
        <f t="shared" si="136"/>
        <v>-100</v>
      </c>
      <c r="F1611" s="1211">
        <f t="shared" si="139"/>
        <v>155</v>
      </c>
      <c r="G1611" s="1215"/>
      <c r="H1611" s="1269"/>
      <c r="I1611" s="1291">
        <v>145500</v>
      </c>
    </row>
    <row r="1612" spans="1:9" ht="15" customHeight="1">
      <c r="A1612" s="1253">
        <v>43168</v>
      </c>
      <c r="B1612" s="1209">
        <v>1555</v>
      </c>
      <c r="C1612" s="1210">
        <v>21375</v>
      </c>
      <c r="D1612" s="1230">
        <v>21260</v>
      </c>
      <c r="E1612" s="1212">
        <f t="shared" si="136"/>
        <v>-115</v>
      </c>
      <c r="F1612" s="1211">
        <f t="shared" si="139"/>
        <v>-275</v>
      </c>
      <c r="G1612" s="1215"/>
      <c r="H1612" s="1269"/>
      <c r="I1612" s="1291">
        <v>145750</v>
      </c>
    </row>
    <row r="1613" spans="1:9" ht="15" customHeight="1">
      <c r="A1613" s="1253">
        <v>43171</v>
      </c>
      <c r="B1613" s="1209">
        <v>1665</v>
      </c>
      <c r="C1613" s="1210">
        <v>21500</v>
      </c>
      <c r="D1613" s="1230">
        <v>21360</v>
      </c>
      <c r="E1613" s="1212">
        <f t="shared" si="136"/>
        <v>-140</v>
      </c>
      <c r="F1613" s="1211">
        <f t="shared" si="139"/>
        <v>125</v>
      </c>
      <c r="G1613" s="1215"/>
      <c r="H1613" s="1269"/>
      <c r="I1613" s="1291">
        <v>146000</v>
      </c>
    </row>
    <row r="1614" spans="1:9" ht="15" customHeight="1">
      <c r="A1614" s="1253">
        <v>43172</v>
      </c>
      <c r="B1614" s="1209">
        <v>1670</v>
      </c>
      <c r="C1614" s="1210">
        <v>21500</v>
      </c>
      <c r="D1614" s="1230">
        <v>21400</v>
      </c>
      <c r="E1614" s="1212">
        <f t="shared" si="136"/>
        <v>-100</v>
      </c>
      <c r="F1614" s="1211">
        <f t="shared" si="139"/>
        <v>0</v>
      </c>
      <c r="G1614" s="1215"/>
      <c r="H1614" s="1269"/>
      <c r="I1614" s="1291">
        <v>145750</v>
      </c>
    </row>
    <row r="1615" spans="1:9" ht="15" customHeight="1">
      <c r="A1615" s="1253">
        <v>43173</v>
      </c>
      <c r="B1615" s="1209">
        <v>1710</v>
      </c>
      <c r="C1615" s="1210">
        <v>21200</v>
      </c>
      <c r="D1615" s="1230">
        <v>21125</v>
      </c>
      <c r="E1615" s="1212">
        <f t="shared" si="136"/>
        <v>-75</v>
      </c>
      <c r="F1615" s="1211">
        <f t="shared" si="139"/>
        <v>-300</v>
      </c>
      <c r="G1615" s="1215"/>
      <c r="H1615" s="1269"/>
      <c r="I1615" s="1291">
        <v>145000</v>
      </c>
    </row>
    <row r="1616" spans="1:9" ht="15" customHeight="1">
      <c r="A1616" s="1253">
        <v>43174</v>
      </c>
      <c r="B1616" s="1209">
        <v>1660</v>
      </c>
      <c r="C1616" s="1210">
        <v>20900</v>
      </c>
      <c r="D1616" s="1230">
        <v>20775</v>
      </c>
      <c r="E1616" s="1212">
        <f t="shared" si="136"/>
        <v>-125</v>
      </c>
      <c r="F1616" s="1211">
        <f t="shared" si="139"/>
        <v>-300</v>
      </c>
      <c r="G1616" s="1215"/>
      <c r="H1616" s="1269"/>
      <c r="I1616" s="1291">
        <v>144500</v>
      </c>
    </row>
    <row r="1617" spans="1:9" ht="15" customHeight="1">
      <c r="A1617" s="1253">
        <v>43175</v>
      </c>
      <c r="B1617" s="1209">
        <v>1660</v>
      </c>
      <c r="C1617" s="1210">
        <v>21050</v>
      </c>
      <c r="D1617" s="1230">
        <v>20910</v>
      </c>
      <c r="E1617" s="1212">
        <f t="shared" si="136"/>
        <v>-140</v>
      </c>
      <c r="F1617" s="1211">
        <f t="shared" si="139"/>
        <v>150</v>
      </c>
      <c r="G1617" s="1215"/>
      <c r="H1617" s="1269"/>
      <c r="I1617" s="1291">
        <v>144250</v>
      </c>
    </row>
    <row r="1618" spans="1:9" ht="15" customHeight="1">
      <c r="A1618" s="1253">
        <v>43178</v>
      </c>
      <c r="B1618" s="1209">
        <v>1675</v>
      </c>
      <c r="C1618" s="1210">
        <v>20630</v>
      </c>
      <c r="D1618" s="1230">
        <v>20740</v>
      </c>
      <c r="E1618" s="1212">
        <f t="shared" si="136"/>
        <v>110</v>
      </c>
      <c r="F1618" s="1211">
        <f t="shared" si="139"/>
        <v>-420</v>
      </c>
      <c r="G1618" s="1215"/>
      <c r="H1618" s="1269"/>
      <c r="I1618" s="1291">
        <v>144250</v>
      </c>
    </row>
    <row r="1619" spans="1:9" ht="15" customHeight="1">
      <c r="A1619" s="1253">
        <v>43179</v>
      </c>
      <c r="B1619" s="1209">
        <v>1765</v>
      </c>
      <c r="C1619" s="1210">
        <v>20850</v>
      </c>
      <c r="D1619" s="1230">
        <v>20830</v>
      </c>
      <c r="E1619" s="1212">
        <f t="shared" si="136"/>
        <v>-20</v>
      </c>
      <c r="F1619" s="1211">
        <f t="shared" si="139"/>
        <v>220</v>
      </c>
      <c r="G1619" s="1215"/>
      <c r="H1619" s="1269"/>
      <c r="I1619" s="1291">
        <v>144250</v>
      </c>
    </row>
    <row r="1620" spans="1:9" ht="15" customHeight="1">
      <c r="A1620" s="1253">
        <v>43180</v>
      </c>
      <c r="B1620" s="1209">
        <v>1950</v>
      </c>
      <c r="C1620" s="1210">
        <v>20745</v>
      </c>
      <c r="D1620" s="1230">
        <v>20700</v>
      </c>
      <c r="E1620" s="1212">
        <f t="shared" si="136"/>
        <v>-45</v>
      </c>
      <c r="F1620" s="1211">
        <f t="shared" si="139"/>
        <v>-105</v>
      </c>
      <c r="G1620" s="1215"/>
      <c r="H1620" s="1269"/>
      <c r="I1620" s="1291">
        <v>144250</v>
      </c>
    </row>
    <row r="1621" spans="1:9" ht="15" customHeight="1">
      <c r="A1621" s="1253">
        <v>43181</v>
      </c>
      <c r="B1621" s="1209">
        <v>1940</v>
      </c>
      <c r="C1621" s="1210">
        <v>21050</v>
      </c>
      <c r="D1621" s="1230">
        <v>21000</v>
      </c>
      <c r="E1621" s="1212">
        <f t="shared" si="136"/>
        <v>-50</v>
      </c>
      <c r="F1621" s="1211">
        <f t="shared" si="139"/>
        <v>305</v>
      </c>
      <c r="G1621" s="1215"/>
      <c r="H1621" s="1269"/>
      <c r="I1621" s="1291">
        <v>144250</v>
      </c>
    </row>
    <row r="1622" spans="1:9" ht="15" customHeight="1">
      <c r="A1622" s="1253">
        <v>43182</v>
      </c>
      <c r="B1622" s="1209">
        <v>1975</v>
      </c>
      <c r="C1622" s="1210">
        <v>20850</v>
      </c>
      <c r="D1622" s="1230">
        <v>20775</v>
      </c>
      <c r="E1622" s="1212">
        <f t="shared" si="136"/>
        <v>-75</v>
      </c>
      <c r="F1622" s="1211">
        <f t="shared" si="139"/>
        <v>-200</v>
      </c>
      <c r="G1622" s="1215"/>
      <c r="H1622" s="1269"/>
      <c r="I1622" s="1291">
        <v>143250</v>
      </c>
    </row>
    <row r="1623" spans="1:9" ht="15" customHeight="1">
      <c r="A1623" s="1253">
        <v>43185</v>
      </c>
      <c r="B1623" s="1209">
        <v>2055</v>
      </c>
      <c r="C1623" s="1210">
        <v>20950</v>
      </c>
      <c r="D1623" s="1230">
        <v>20825</v>
      </c>
      <c r="E1623" s="1212">
        <f t="shared" si="136"/>
        <v>-125</v>
      </c>
      <c r="F1623" s="1211">
        <f t="shared" si="139"/>
        <v>100</v>
      </c>
      <c r="G1623" s="1215"/>
      <c r="H1623" s="1269"/>
      <c r="I1623" s="1291">
        <v>142500</v>
      </c>
    </row>
    <row r="1624" spans="1:9" ht="15" customHeight="1">
      <c r="A1624" s="1253">
        <v>43186</v>
      </c>
      <c r="B1624" s="1209">
        <v>1980</v>
      </c>
      <c r="C1624" s="1210">
        <v>21055</v>
      </c>
      <c r="D1624" s="1230">
        <v>20965</v>
      </c>
      <c r="E1624" s="1212">
        <f t="shared" si="136"/>
        <v>-90</v>
      </c>
      <c r="F1624" s="1211">
        <f t="shared" si="139"/>
        <v>105</v>
      </c>
      <c r="G1624" s="1215"/>
      <c r="H1624" s="1269"/>
      <c r="I1624" s="1291">
        <v>142750</v>
      </c>
    </row>
    <row r="1625" spans="1:9" ht="15" customHeight="1">
      <c r="A1625" s="1253">
        <v>43187</v>
      </c>
      <c r="B1625" s="1209">
        <v>1995</v>
      </c>
      <c r="C1625" s="1210">
        <v>20925</v>
      </c>
      <c r="D1625" s="1230">
        <v>20870</v>
      </c>
      <c r="E1625" s="1212">
        <f t="shared" ref="E1625:E1626" si="140">D1625-C1625</f>
        <v>-55</v>
      </c>
      <c r="F1625" s="1211">
        <f t="shared" si="139"/>
        <v>-130</v>
      </c>
      <c r="G1625" s="1215"/>
      <c r="H1625" s="1269"/>
      <c r="I1625" s="1291">
        <v>141750</v>
      </c>
    </row>
    <row r="1626" spans="1:9" ht="15" customHeight="1">
      <c r="A1626" s="1253">
        <v>43188</v>
      </c>
      <c r="B1626" s="1209">
        <v>2060</v>
      </c>
      <c r="C1626" s="1210">
        <v>21125</v>
      </c>
      <c r="D1626" s="1230">
        <v>21055</v>
      </c>
      <c r="E1626" s="1212">
        <f t="shared" si="140"/>
        <v>-70</v>
      </c>
      <c r="F1626" s="1211">
        <f t="shared" si="139"/>
        <v>200</v>
      </c>
      <c r="G1626" s="1215"/>
      <c r="H1626" s="1269"/>
      <c r="I1626" s="1291">
        <v>141750</v>
      </c>
    </row>
    <row r="1627" spans="1:9" ht="15" customHeight="1">
      <c r="A1627" s="1253">
        <v>43189</v>
      </c>
      <c r="B1627" s="1440" t="s">
        <v>119</v>
      </c>
      <c r="C1627" s="1440"/>
      <c r="D1627" s="1440"/>
      <c r="E1627" s="1440"/>
      <c r="F1627" s="1440"/>
      <c r="G1627" s="1227">
        <f>AVERAGE(C1606:C1626)</f>
        <v>21214.047619047618</v>
      </c>
      <c r="H1627" s="1274">
        <f>AVERAGE(C1564:C1626)</f>
        <v>21190.476190476191</v>
      </c>
      <c r="I1627" s="1291"/>
    </row>
    <row r="1628" spans="1:9" ht="15" customHeight="1">
      <c r="A1628" s="1253">
        <v>43192</v>
      </c>
      <c r="B1628" s="1440" t="s">
        <v>119</v>
      </c>
      <c r="C1628" s="1440"/>
      <c r="D1628" s="1440"/>
      <c r="E1628" s="1440"/>
      <c r="F1628" s="1440"/>
      <c r="G1628" s="1215"/>
      <c r="H1628" s="1269"/>
      <c r="I1628" s="1291"/>
    </row>
    <row r="1629" spans="1:9" ht="15" customHeight="1">
      <c r="A1629" s="1253">
        <v>43193</v>
      </c>
      <c r="B1629" s="1209">
        <v>2035</v>
      </c>
      <c r="C1629" s="1210">
        <v>21415</v>
      </c>
      <c r="D1629" s="1230">
        <v>21350</v>
      </c>
      <c r="E1629" s="1212">
        <f t="shared" ref="E1629:E1652" si="141">D1629-C1629</f>
        <v>-65</v>
      </c>
      <c r="F1629" s="1211">
        <f>C1629-C1626</f>
        <v>290</v>
      </c>
      <c r="G1629" s="1215"/>
      <c r="H1629" s="1269"/>
      <c r="I1629" s="1291">
        <v>144750</v>
      </c>
    </row>
    <row r="1630" spans="1:9" ht="15" customHeight="1">
      <c r="A1630" s="1253">
        <v>43194</v>
      </c>
      <c r="B1630" s="1209">
        <v>2075</v>
      </c>
      <c r="C1630" s="1210">
        <v>20860</v>
      </c>
      <c r="D1630" s="1230">
        <v>20800</v>
      </c>
      <c r="E1630" s="1212">
        <f t="shared" si="141"/>
        <v>-60</v>
      </c>
      <c r="F1630" s="1211">
        <f t="shared" ref="F1630:F1652" si="142">C1630-C1629</f>
        <v>-555</v>
      </c>
      <c r="G1630" s="1215"/>
      <c r="H1630" s="1269"/>
      <c r="I1630" s="1291">
        <v>144750</v>
      </c>
    </row>
    <row r="1631" spans="1:9" ht="15" customHeight="1">
      <c r="A1631" s="1253">
        <v>43195</v>
      </c>
      <c r="B1631" s="1209">
        <v>2050</v>
      </c>
      <c r="C1631" s="1210">
        <v>21075</v>
      </c>
      <c r="D1631" s="1230">
        <v>21000</v>
      </c>
      <c r="E1631" s="1212">
        <f t="shared" si="141"/>
        <v>-75</v>
      </c>
      <c r="F1631" s="1211">
        <f t="shared" si="142"/>
        <v>215</v>
      </c>
      <c r="G1631" s="1215"/>
      <c r="H1631" s="1269"/>
      <c r="I1631" s="1448" t="s">
        <v>56</v>
      </c>
    </row>
    <row r="1632" spans="1:9" ht="15" customHeight="1">
      <c r="A1632" s="1253">
        <v>43196</v>
      </c>
      <c r="B1632" s="1209">
        <v>2000</v>
      </c>
      <c r="C1632" s="1210">
        <v>21050</v>
      </c>
      <c r="D1632" s="1230">
        <v>20975</v>
      </c>
      <c r="E1632" s="1212">
        <f t="shared" si="141"/>
        <v>-75</v>
      </c>
      <c r="F1632" s="1211">
        <f t="shared" si="142"/>
        <v>-25</v>
      </c>
      <c r="G1632" s="1215"/>
      <c r="H1632" s="1269"/>
      <c r="I1632" s="1448"/>
    </row>
    <row r="1633" spans="1:9" ht="15" customHeight="1">
      <c r="A1633" s="1253">
        <v>43199</v>
      </c>
      <c r="B1633" s="1209">
        <v>1995</v>
      </c>
      <c r="C1633" s="1210">
        <v>21100</v>
      </c>
      <c r="D1633" s="1230">
        <v>20925</v>
      </c>
      <c r="E1633" s="1212">
        <f t="shared" si="141"/>
        <v>-175</v>
      </c>
      <c r="F1633" s="1211">
        <f t="shared" si="142"/>
        <v>50</v>
      </c>
      <c r="G1633" s="1215"/>
      <c r="H1633" s="1269"/>
      <c r="I1633" s="1291">
        <v>144250</v>
      </c>
    </row>
    <row r="1634" spans="1:9" ht="15" customHeight="1">
      <c r="A1634" s="1253">
        <v>43200</v>
      </c>
      <c r="B1634" s="1209">
        <v>2005</v>
      </c>
      <c r="C1634" s="1210">
        <v>21375</v>
      </c>
      <c r="D1634" s="1230">
        <v>21250</v>
      </c>
      <c r="E1634" s="1212">
        <f t="shared" si="141"/>
        <v>-125</v>
      </c>
      <c r="F1634" s="1211">
        <f t="shared" si="142"/>
        <v>275</v>
      </c>
      <c r="G1634" s="1215"/>
      <c r="H1634" s="1269"/>
      <c r="I1634" s="1291">
        <v>144250</v>
      </c>
    </row>
    <row r="1635" spans="1:9" ht="15" customHeight="1">
      <c r="A1635" s="1253">
        <v>43201</v>
      </c>
      <c r="B1635" s="1209">
        <v>2005</v>
      </c>
      <c r="C1635" s="1210">
        <v>21175</v>
      </c>
      <c r="D1635" s="1230">
        <v>21100</v>
      </c>
      <c r="E1635" s="1212">
        <f t="shared" si="141"/>
        <v>-75</v>
      </c>
      <c r="F1635" s="1211">
        <f t="shared" si="142"/>
        <v>-200</v>
      </c>
      <c r="G1635" s="1215"/>
      <c r="H1635" s="1269"/>
      <c r="I1635" s="1291">
        <v>144250</v>
      </c>
    </row>
    <row r="1636" spans="1:9" ht="15" customHeight="1">
      <c r="A1636" s="1253">
        <v>43202</v>
      </c>
      <c r="B1636" s="1209">
        <v>1980</v>
      </c>
      <c r="C1636" s="1210">
        <v>21000</v>
      </c>
      <c r="D1636" s="1230">
        <v>20900</v>
      </c>
      <c r="E1636" s="1212">
        <f t="shared" si="141"/>
        <v>-100</v>
      </c>
      <c r="F1636" s="1211">
        <f t="shared" si="142"/>
        <v>-175</v>
      </c>
      <c r="G1636" s="1215"/>
      <c r="H1636" s="1269"/>
      <c r="I1636" s="1291">
        <v>143250</v>
      </c>
    </row>
    <row r="1637" spans="1:9" ht="15" customHeight="1">
      <c r="A1637" s="1253">
        <v>43203</v>
      </c>
      <c r="B1637" s="1209">
        <v>1980</v>
      </c>
      <c r="C1637" s="1210">
        <v>21190</v>
      </c>
      <c r="D1637" s="1230">
        <v>21025</v>
      </c>
      <c r="E1637" s="1212">
        <f t="shared" si="141"/>
        <v>-165</v>
      </c>
      <c r="F1637" s="1211">
        <f t="shared" si="142"/>
        <v>190</v>
      </c>
      <c r="G1637" s="1215"/>
      <c r="H1637" s="1269"/>
      <c r="I1637" s="1291">
        <v>143750</v>
      </c>
    </row>
    <row r="1638" spans="1:9" ht="15" customHeight="1">
      <c r="A1638" s="1253">
        <v>43206</v>
      </c>
      <c r="B1638" s="1209">
        <v>2010</v>
      </c>
      <c r="C1638" s="1210">
        <v>21075</v>
      </c>
      <c r="D1638" s="1230">
        <v>21050</v>
      </c>
      <c r="E1638" s="1212">
        <f t="shared" si="141"/>
        <v>-25</v>
      </c>
      <c r="F1638" s="1211">
        <f t="shared" si="142"/>
        <v>-115</v>
      </c>
      <c r="G1638" s="1215"/>
      <c r="H1638" s="1269"/>
      <c r="I1638" s="1291">
        <v>143750</v>
      </c>
    </row>
    <row r="1639" spans="1:9" ht="15" customHeight="1">
      <c r="A1639" s="1253">
        <v>43207</v>
      </c>
      <c r="B1639" s="1209">
        <v>2015</v>
      </c>
      <c r="C1639" s="1210">
        <v>21200</v>
      </c>
      <c r="D1639" s="1230">
        <v>21100</v>
      </c>
      <c r="E1639" s="1212">
        <f t="shared" si="141"/>
        <v>-100</v>
      </c>
      <c r="F1639" s="1211">
        <f t="shared" si="142"/>
        <v>125</v>
      </c>
      <c r="G1639" s="1215"/>
      <c r="H1639" s="1269"/>
      <c r="I1639" s="1291">
        <v>144000</v>
      </c>
    </row>
    <row r="1640" spans="1:9" ht="15" customHeight="1">
      <c r="A1640" s="1253">
        <v>43208</v>
      </c>
      <c r="B1640" s="1209">
        <v>2015</v>
      </c>
      <c r="C1640" s="1210">
        <v>21725</v>
      </c>
      <c r="D1640" s="1230">
        <v>21530</v>
      </c>
      <c r="E1640" s="1212">
        <f t="shared" si="141"/>
        <v>-195</v>
      </c>
      <c r="F1640" s="1211">
        <f t="shared" si="142"/>
        <v>525</v>
      </c>
      <c r="G1640" s="1215"/>
      <c r="H1640" s="1269"/>
      <c r="I1640" s="1291">
        <v>145250</v>
      </c>
    </row>
    <row r="1641" spans="1:9" ht="15" customHeight="1">
      <c r="A1641" s="1253">
        <v>43209</v>
      </c>
      <c r="B1641" s="1209">
        <v>2100</v>
      </c>
      <c r="C1641" s="1210">
        <v>21875</v>
      </c>
      <c r="D1641" s="1230">
        <v>21550</v>
      </c>
      <c r="E1641" s="1212">
        <f t="shared" si="141"/>
        <v>-325</v>
      </c>
      <c r="F1641" s="1211">
        <f t="shared" si="142"/>
        <v>150</v>
      </c>
      <c r="G1641" s="1215"/>
      <c r="H1641" s="1269"/>
      <c r="I1641" s="1291">
        <v>146000</v>
      </c>
    </row>
    <row r="1642" spans="1:9" ht="15" customHeight="1">
      <c r="A1642" s="1253">
        <v>43210</v>
      </c>
      <c r="B1642" s="1209">
        <v>2130</v>
      </c>
      <c r="C1642" s="1210">
        <v>22050</v>
      </c>
      <c r="D1642" s="1230">
        <v>21600</v>
      </c>
      <c r="E1642" s="1212">
        <f t="shared" si="141"/>
        <v>-450</v>
      </c>
      <c r="F1642" s="1211">
        <f t="shared" si="142"/>
        <v>175</v>
      </c>
      <c r="G1642" s="1215"/>
      <c r="H1642" s="1269"/>
      <c r="I1642" s="1291">
        <v>146250</v>
      </c>
    </row>
    <row r="1643" spans="1:9" ht="15" customHeight="1">
      <c r="A1643" s="1253">
        <v>43213</v>
      </c>
      <c r="B1643" s="1209">
        <v>2190</v>
      </c>
      <c r="C1643" s="1210">
        <v>21850</v>
      </c>
      <c r="D1643" s="1230">
        <v>21500</v>
      </c>
      <c r="E1643" s="1212">
        <f t="shared" si="141"/>
        <v>-350</v>
      </c>
      <c r="F1643" s="1211">
        <f t="shared" si="142"/>
        <v>-200</v>
      </c>
      <c r="G1643" s="1215"/>
      <c r="H1643" s="1269"/>
      <c r="I1643" s="1291">
        <v>146250</v>
      </c>
    </row>
    <row r="1644" spans="1:9" ht="15" customHeight="1">
      <c r="A1644" s="1253">
        <v>43214</v>
      </c>
      <c r="B1644" s="1209">
        <v>2180</v>
      </c>
      <c r="C1644" s="1210">
        <v>21250</v>
      </c>
      <c r="D1644" s="1230">
        <v>20980</v>
      </c>
      <c r="E1644" s="1212">
        <f t="shared" si="141"/>
        <v>-270</v>
      </c>
      <c r="F1644" s="1211">
        <f t="shared" si="142"/>
        <v>-600</v>
      </c>
      <c r="G1644" s="1215"/>
      <c r="H1644" s="1269"/>
      <c r="I1644" s="1291">
        <v>145250</v>
      </c>
    </row>
    <row r="1645" spans="1:9" ht="15" customHeight="1">
      <c r="A1645" s="1253">
        <v>43215</v>
      </c>
      <c r="B1645" s="1209">
        <v>2180</v>
      </c>
      <c r="C1645" s="1210">
        <v>21500</v>
      </c>
      <c r="D1645" s="1230">
        <v>21175</v>
      </c>
      <c r="E1645" s="1212">
        <f t="shared" si="141"/>
        <v>-325</v>
      </c>
      <c r="F1645" s="1211">
        <f t="shared" si="142"/>
        <v>250</v>
      </c>
      <c r="G1645" s="1215"/>
      <c r="H1645" s="1269"/>
      <c r="I1645" s="1291">
        <v>144750</v>
      </c>
    </row>
    <row r="1646" spans="1:9" ht="15" customHeight="1">
      <c r="A1646" s="1253">
        <v>43216</v>
      </c>
      <c r="B1646" s="1209">
        <v>2180</v>
      </c>
      <c r="C1646" s="1210">
        <v>21475</v>
      </c>
      <c r="D1646" s="1230">
        <v>21300</v>
      </c>
      <c r="E1646" s="1212">
        <f t="shared" si="141"/>
        <v>-175</v>
      </c>
      <c r="F1646" s="1211">
        <f t="shared" si="142"/>
        <v>-25</v>
      </c>
      <c r="G1646" s="1215"/>
      <c r="H1646" s="1269"/>
      <c r="I1646" s="1291">
        <v>145000</v>
      </c>
    </row>
    <row r="1647" spans="1:9" ht="15" customHeight="1">
      <c r="A1647" s="1253">
        <v>43217</v>
      </c>
      <c r="B1647" s="1209">
        <v>2250</v>
      </c>
      <c r="C1647" s="1210">
        <v>21400</v>
      </c>
      <c r="D1647" s="1230">
        <v>21180</v>
      </c>
      <c r="E1647" s="1212">
        <f t="shared" si="141"/>
        <v>-220</v>
      </c>
      <c r="F1647" s="1211">
        <f t="shared" si="142"/>
        <v>-75</v>
      </c>
      <c r="G1647" s="1215"/>
      <c r="H1647" s="1269"/>
      <c r="I1647" s="1291">
        <v>145750</v>
      </c>
    </row>
    <row r="1648" spans="1:9" ht="15" customHeight="1">
      <c r="A1648" s="1253">
        <v>43220</v>
      </c>
      <c r="B1648" s="1209">
        <v>2250</v>
      </c>
      <c r="C1648" s="1210">
        <v>21150</v>
      </c>
      <c r="D1648" s="1230">
        <v>21050</v>
      </c>
      <c r="E1648" s="1212">
        <f t="shared" si="141"/>
        <v>-100</v>
      </c>
      <c r="F1648" s="1211">
        <f t="shared" si="142"/>
        <v>-250</v>
      </c>
      <c r="G1648" s="1227">
        <f>AVERAGE(C1629:C1648)</f>
        <v>21339.5</v>
      </c>
      <c r="H1648" s="1274">
        <f>AVERAGE(C1564:C1648)</f>
        <v>21226.385542168675</v>
      </c>
      <c r="I1648" s="1298" t="s">
        <v>49</v>
      </c>
    </row>
    <row r="1649" spans="1:9" ht="15" customHeight="1">
      <c r="A1649" s="1253">
        <v>43221</v>
      </c>
      <c r="B1649" s="1209">
        <v>2225</v>
      </c>
      <c r="C1649" s="1210">
        <v>21400</v>
      </c>
      <c r="D1649" s="1230">
        <v>21210</v>
      </c>
      <c r="E1649" s="1212">
        <f t="shared" si="141"/>
        <v>-190</v>
      </c>
      <c r="F1649" s="1211">
        <f t="shared" si="142"/>
        <v>250</v>
      </c>
      <c r="G1649" s="1215"/>
      <c r="H1649" s="1269"/>
      <c r="I1649" s="1298" t="s">
        <v>49</v>
      </c>
    </row>
    <row r="1650" spans="1:9" ht="15" customHeight="1">
      <c r="A1650" s="1253">
        <v>43222</v>
      </c>
      <c r="B1650" s="1209">
        <v>2225</v>
      </c>
      <c r="C1650" s="1210">
        <v>21270</v>
      </c>
      <c r="D1650" s="1230">
        <v>21175</v>
      </c>
      <c r="E1650" s="1212">
        <f t="shared" si="141"/>
        <v>-95</v>
      </c>
      <c r="F1650" s="1211">
        <f t="shared" si="142"/>
        <v>-130</v>
      </c>
      <c r="G1650" s="1215"/>
      <c r="H1650" s="1269"/>
      <c r="I1650" s="1291">
        <v>145750</v>
      </c>
    </row>
    <row r="1651" spans="1:9" ht="15" customHeight="1">
      <c r="A1651" s="1253">
        <v>43223</v>
      </c>
      <c r="B1651" s="1209">
        <v>2225</v>
      </c>
      <c r="C1651" s="1210">
        <v>21400</v>
      </c>
      <c r="D1651" s="1230">
        <v>21150</v>
      </c>
      <c r="E1651" s="1212">
        <f t="shared" si="141"/>
        <v>-250</v>
      </c>
      <c r="F1651" s="1211">
        <f t="shared" si="142"/>
        <v>130</v>
      </c>
      <c r="G1651" s="1215"/>
      <c r="H1651" s="1269"/>
      <c r="I1651" s="1291">
        <v>145250</v>
      </c>
    </row>
    <row r="1652" spans="1:9" ht="15" customHeight="1">
      <c r="A1652" s="1253">
        <v>43224</v>
      </c>
      <c r="B1652" s="1209">
        <v>2200</v>
      </c>
      <c r="C1652" s="1210">
        <v>21375</v>
      </c>
      <c r="D1652" s="1230">
        <v>21230</v>
      </c>
      <c r="E1652" s="1212">
        <f t="shared" si="141"/>
        <v>-145</v>
      </c>
      <c r="F1652" s="1211">
        <f t="shared" si="142"/>
        <v>-25</v>
      </c>
      <c r="G1652" s="1215"/>
      <c r="H1652" s="1269"/>
      <c r="I1652" s="1291"/>
    </row>
    <row r="1653" spans="1:9" ht="15" customHeight="1">
      <c r="A1653" s="1253">
        <v>43227</v>
      </c>
      <c r="B1653" s="1440" t="s">
        <v>119</v>
      </c>
      <c r="C1653" s="1440"/>
      <c r="D1653" s="1440"/>
      <c r="E1653" s="1440"/>
      <c r="F1653" s="1440"/>
      <c r="G1653" s="1215"/>
      <c r="H1653" s="1269"/>
      <c r="I1653" s="1291"/>
    </row>
    <row r="1654" spans="1:9" ht="15" customHeight="1">
      <c r="A1654" s="1253">
        <v>43228</v>
      </c>
      <c r="B1654" s="1209">
        <v>2265</v>
      </c>
      <c r="C1654" s="1210">
        <v>21295</v>
      </c>
      <c r="D1654" s="1230">
        <v>21125</v>
      </c>
      <c r="E1654" s="1212">
        <f t="shared" ref="E1654:E1667" si="143">D1654-C1654</f>
        <v>-170</v>
      </c>
      <c r="F1654" s="1211">
        <f>C1654-C1652</f>
        <v>-80</v>
      </c>
      <c r="G1654" s="1215"/>
      <c r="H1654" s="1269"/>
      <c r="I1654" s="1291">
        <v>145000</v>
      </c>
    </row>
    <row r="1655" spans="1:9" ht="15" customHeight="1">
      <c r="A1655" s="1253">
        <v>43229</v>
      </c>
      <c r="B1655" s="1209">
        <v>2260</v>
      </c>
      <c r="C1655" s="1210">
        <v>21200</v>
      </c>
      <c r="D1655" s="1230">
        <v>21050</v>
      </c>
      <c r="E1655" s="1212">
        <f t="shared" si="143"/>
        <v>-150</v>
      </c>
      <c r="F1655" s="1211">
        <f t="shared" ref="F1655:F1667" si="144">C1655-C1654</f>
        <v>-95</v>
      </c>
      <c r="G1655" s="1215"/>
      <c r="H1655" s="1269"/>
      <c r="I1655" s="1291">
        <v>144500</v>
      </c>
    </row>
    <row r="1656" spans="1:9" ht="15" customHeight="1">
      <c r="A1656" s="1253">
        <v>43230</v>
      </c>
      <c r="B1656" s="1209">
        <v>2380</v>
      </c>
      <c r="C1656" s="1210">
        <v>20800</v>
      </c>
      <c r="D1656" s="1230">
        <v>20680</v>
      </c>
      <c r="E1656" s="1212">
        <f t="shared" si="143"/>
        <v>-120</v>
      </c>
      <c r="F1656" s="1211">
        <f t="shared" si="144"/>
        <v>-400</v>
      </c>
      <c r="G1656" s="1215"/>
      <c r="H1656" s="1269"/>
      <c r="I1656" s="1291">
        <v>144250</v>
      </c>
    </row>
    <row r="1657" spans="1:9" ht="15" customHeight="1">
      <c r="A1657" s="1253">
        <v>43231</v>
      </c>
      <c r="B1657" s="1209">
        <v>2380</v>
      </c>
      <c r="C1657" s="1210">
        <v>20950</v>
      </c>
      <c r="D1657" s="1230">
        <v>20850</v>
      </c>
      <c r="E1657" s="1212">
        <f t="shared" si="143"/>
        <v>-100</v>
      </c>
      <c r="F1657" s="1211">
        <f t="shared" si="144"/>
        <v>150</v>
      </c>
      <c r="G1657" s="1215"/>
      <c r="H1657" s="1269"/>
      <c r="I1657" s="1291">
        <v>144250</v>
      </c>
    </row>
    <row r="1658" spans="1:9" ht="15" customHeight="1">
      <c r="A1658" s="1253">
        <v>43234</v>
      </c>
      <c r="B1658" s="1209">
        <v>2380</v>
      </c>
      <c r="C1658" s="1210">
        <v>21025</v>
      </c>
      <c r="D1658" s="1230">
        <v>20950</v>
      </c>
      <c r="E1658" s="1212">
        <f t="shared" si="143"/>
        <v>-75</v>
      </c>
      <c r="F1658" s="1211">
        <f t="shared" si="144"/>
        <v>75</v>
      </c>
      <c r="G1658" s="1215"/>
      <c r="H1658" s="1269"/>
      <c r="I1658" s="1291">
        <v>144500</v>
      </c>
    </row>
    <row r="1659" spans="1:9" ht="15" customHeight="1">
      <c r="A1659" s="1253">
        <v>43235</v>
      </c>
      <c r="B1659" s="1209">
        <v>2290</v>
      </c>
      <c r="C1659" s="1210">
        <v>21025</v>
      </c>
      <c r="D1659" s="1230">
        <v>20925</v>
      </c>
      <c r="E1659" s="1212">
        <f t="shared" si="143"/>
        <v>-100</v>
      </c>
      <c r="F1659" s="1211">
        <f t="shared" si="144"/>
        <v>0</v>
      </c>
      <c r="G1659" s="1215"/>
      <c r="H1659" s="1269"/>
      <c r="I1659" s="1291">
        <v>144250</v>
      </c>
    </row>
    <row r="1660" spans="1:9" ht="15" customHeight="1">
      <c r="A1660" s="1253">
        <v>43236</v>
      </c>
      <c r="B1660" s="1209">
        <v>2290</v>
      </c>
      <c r="C1660" s="1210">
        <v>20895</v>
      </c>
      <c r="D1660" s="1230">
        <v>20825</v>
      </c>
      <c r="E1660" s="1212">
        <f t="shared" si="143"/>
        <v>-70</v>
      </c>
      <c r="F1660" s="1211">
        <f t="shared" si="144"/>
        <v>-130</v>
      </c>
      <c r="G1660" s="1215"/>
      <c r="H1660" s="1269"/>
      <c r="I1660" s="1291">
        <v>144250</v>
      </c>
    </row>
    <row r="1661" spans="1:9" ht="15" customHeight="1">
      <c r="A1661" s="1253">
        <v>43237</v>
      </c>
      <c r="B1661" s="1209">
        <v>2425</v>
      </c>
      <c r="C1661" s="1210">
        <v>20660</v>
      </c>
      <c r="D1661" s="1230">
        <v>20555</v>
      </c>
      <c r="E1661" s="1212">
        <f t="shared" si="143"/>
        <v>-105</v>
      </c>
      <c r="F1661" s="1211">
        <f t="shared" si="144"/>
        <v>-235</v>
      </c>
      <c r="G1661" s="1215"/>
      <c r="H1661" s="1269"/>
      <c r="I1661" s="1291">
        <v>144250</v>
      </c>
    </row>
    <row r="1662" spans="1:9" ht="15" customHeight="1">
      <c r="A1662" s="1253">
        <v>43238</v>
      </c>
      <c r="B1662" s="1209">
        <v>2430</v>
      </c>
      <c r="C1662" s="1210">
        <v>20675</v>
      </c>
      <c r="D1662" s="1230">
        <v>20625</v>
      </c>
      <c r="E1662" s="1212">
        <f t="shared" si="143"/>
        <v>-50</v>
      </c>
      <c r="F1662" s="1211">
        <f t="shared" si="144"/>
        <v>15</v>
      </c>
      <c r="G1662" s="1215"/>
      <c r="H1662" s="1269"/>
      <c r="I1662" s="1291">
        <v>144250</v>
      </c>
    </row>
    <row r="1663" spans="1:9" ht="15" customHeight="1">
      <c r="A1663" s="1253">
        <v>43241</v>
      </c>
      <c r="B1663" s="1209">
        <v>2440</v>
      </c>
      <c r="C1663" s="1210">
        <v>20650</v>
      </c>
      <c r="D1663" s="1230">
        <v>20530</v>
      </c>
      <c r="E1663" s="1212">
        <f t="shared" si="143"/>
        <v>-120</v>
      </c>
      <c r="F1663" s="1211">
        <f t="shared" si="144"/>
        <v>-25</v>
      </c>
      <c r="G1663" s="1215"/>
      <c r="H1663" s="1269"/>
      <c r="I1663" s="1291">
        <v>144250</v>
      </c>
    </row>
    <row r="1664" spans="1:9" ht="15" customHeight="1">
      <c r="A1664" s="1253">
        <v>43242</v>
      </c>
      <c r="B1664" s="1209">
        <v>2510</v>
      </c>
      <c r="C1664" s="1210">
        <v>20725</v>
      </c>
      <c r="D1664" s="1230">
        <v>20725</v>
      </c>
      <c r="E1664" s="1212">
        <f t="shared" si="143"/>
        <v>0</v>
      </c>
      <c r="F1664" s="1211">
        <f t="shared" si="144"/>
        <v>75</v>
      </c>
      <c r="G1664" s="1215"/>
      <c r="H1664" s="1269"/>
      <c r="I1664" s="1291">
        <v>144250</v>
      </c>
    </row>
    <row r="1665" spans="1:9" ht="15" customHeight="1">
      <c r="A1665" s="1253">
        <v>43243</v>
      </c>
      <c r="B1665" s="1209">
        <v>2565</v>
      </c>
      <c r="C1665" s="1210">
        <v>20650</v>
      </c>
      <c r="D1665" s="1230">
        <v>20575</v>
      </c>
      <c r="E1665" s="1212">
        <f t="shared" si="143"/>
        <v>-75</v>
      </c>
      <c r="F1665" s="1211">
        <f t="shared" si="144"/>
        <v>-75</v>
      </c>
      <c r="G1665" s="1215"/>
      <c r="H1665" s="1269"/>
      <c r="I1665" s="1291">
        <v>144250</v>
      </c>
    </row>
    <row r="1666" spans="1:9" ht="15" customHeight="1">
      <c r="A1666" s="1253">
        <v>43244</v>
      </c>
      <c r="B1666" s="1209">
        <v>2635</v>
      </c>
      <c r="C1666" s="1210">
        <v>20450</v>
      </c>
      <c r="D1666" s="1230">
        <v>20300</v>
      </c>
      <c r="E1666" s="1212">
        <f t="shared" si="143"/>
        <v>-150</v>
      </c>
      <c r="F1666" s="1211">
        <f t="shared" si="144"/>
        <v>-200</v>
      </c>
      <c r="G1666" s="1215"/>
      <c r="H1666" s="1269"/>
      <c r="I1666" s="1291">
        <v>145250</v>
      </c>
    </row>
    <row r="1667" spans="1:9" ht="15" customHeight="1">
      <c r="A1667" s="1253">
        <v>43245</v>
      </c>
      <c r="B1667" s="1209">
        <v>2635</v>
      </c>
      <c r="C1667" s="1210">
        <v>20450</v>
      </c>
      <c r="D1667" s="1230">
        <v>20400</v>
      </c>
      <c r="E1667" s="1212">
        <f t="shared" si="143"/>
        <v>-50</v>
      </c>
      <c r="F1667" s="1211">
        <f t="shared" si="144"/>
        <v>0</v>
      </c>
      <c r="G1667" s="1215"/>
      <c r="H1667" s="1269"/>
      <c r="I1667" s="1291">
        <v>145000</v>
      </c>
    </row>
    <row r="1668" spans="1:9" ht="15" customHeight="1">
      <c r="A1668" s="1253">
        <v>43248</v>
      </c>
      <c r="B1668" s="1440" t="s">
        <v>119</v>
      </c>
      <c r="C1668" s="1440"/>
      <c r="D1668" s="1440"/>
      <c r="E1668" s="1440"/>
      <c r="F1668" s="1440"/>
      <c r="G1668" s="1215"/>
      <c r="H1668" s="1269"/>
      <c r="I1668" s="1283"/>
    </row>
    <row r="1669" spans="1:9" ht="15" customHeight="1">
      <c r="A1669" s="1253">
        <v>43249</v>
      </c>
      <c r="B1669" s="1209">
        <v>2450</v>
      </c>
      <c r="C1669" s="1210">
        <v>20675</v>
      </c>
      <c r="D1669" s="1230">
        <v>20625</v>
      </c>
      <c r="E1669" s="1212">
        <f t="shared" ref="E1669:E1734" si="145">D1669-C1669</f>
        <v>-50</v>
      </c>
      <c r="F1669" s="1211">
        <f>C1669-C1667</f>
        <v>225</v>
      </c>
      <c r="G1669" s="1215"/>
      <c r="H1669" s="1269"/>
      <c r="I1669" s="1291">
        <v>149250</v>
      </c>
    </row>
    <row r="1670" spans="1:9" ht="15" customHeight="1">
      <c r="A1670" s="1253">
        <v>43250</v>
      </c>
      <c r="B1670" s="1209">
        <v>2425</v>
      </c>
      <c r="C1670" s="1210">
        <v>20525</v>
      </c>
      <c r="D1670" s="1230">
        <v>20410</v>
      </c>
      <c r="E1670" s="1212">
        <f t="shared" si="145"/>
        <v>-115</v>
      </c>
      <c r="F1670" s="1211">
        <f t="shared" ref="F1670:F1689" si="146">C1670-C1669</f>
        <v>-150</v>
      </c>
      <c r="G1670" s="1215"/>
      <c r="H1670" s="1269"/>
      <c r="I1670" s="1291">
        <v>151000</v>
      </c>
    </row>
    <row r="1671" spans="1:9" ht="15" customHeight="1">
      <c r="A1671" s="1253">
        <v>43251</v>
      </c>
      <c r="B1671" s="1209">
        <v>2425</v>
      </c>
      <c r="C1671" s="1210">
        <v>20800</v>
      </c>
      <c r="D1671" s="1230">
        <v>20750</v>
      </c>
      <c r="E1671" s="1212">
        <f t="shared" si="145"/>
        <v>-50</v>
      </c>
      <c r="F1671" s="1211">
        <f t="shared" si="146"/>
        <v>275</v>
      </c>
      <c r="G1671" s="1227">
        <f>AVERAGE(C1649:C1671)</f>
        <v>20899.761904761905</v>
      </c>
      <c r="H1671" s="1274">
        <f>AVERAGE(C1564:C1671)</f>
        <v>21160.432692307691</v>
      </c>
      <c r="I1671" s="1291">
        <v>152000</v>
      </c>
    </row>
    <row r="1672" spans="1:9" ht="15" customHeight="1">
      <c r="A1672" s="1253">
        <v>43252</v>
      </c>
      <c r="B1672" s="1209">
        <v>2420</v>
      </c>
      <c r="C1672" s="1210">
        <v>20675</v>
      </c>
      <c r="D1672" s="1230">
        <v>20630</v>
      </c>
      <c r="E1672" s="1212">
        <f t="shared" si="145"/>
        <v>-45</v>
      </c>
      <c r="F1672" s="1211">
        <f t="shared" si="146"/>
        <v>-125</v>
      </c>
      <c r="G1672" s="1215"/>
      <c r="H1672" s="1269"/>
      <c r="I1672" s="1291">
        <v>151500</v>
      </c>
    </row>
    <row r="1673" spans="1:9" ht="15" customHeight="1">
      <c r="A1673" s="1253">
        <v>43255</v>
      </c>
      <c r="B1673" s="1209">
        <v>2520</v>
      </c>
      <c r="C1673" s="1210">
        <v>20595</v>
      </c>
      <c r="D1673" s="1230">
        <v>20555</v>
      </c>
      <c r="E1673" s="1212">
        <f t="shared" si="145"/>
        <v>-40</v>
      </c>
      <c r="F1673" s="1211">
        <f t="shared" si="146"/>
        <v>-80</v>
      </c>
      <c r="G1673" s="1215"/>
      <c r="H1673" s="1269"/>
      <c r="I1673" s="1291">
        <v>151000</v>
      </c>
    </row>
    <row r="1674" spans="1:9" ht="15" customHeight="1">
      <c r="A1674" s="1253">
        <v>43256</v>
      </c>
      <c r="B1674" s="1209">
        <v>2575</v>
      </c>
      <c r="C1674" s="1210">
        <v>20725</v>
      </c>
      <c r="D1674" s="1230">
        <v>20675</v>
      </c>
      <c r="E1674" s="1212">
        <f t="shared" si="145"/>
        <v>-50</v>
      </c>
      <c r="F1674" s="1211">
        <f t="shared" si="146"/>
        <v>130</v>
      </c>
      <c r="G1674" s="1215"/>
      <c r="H1674" s="1269"/>
      <c r="I1674" s="1291"/>
    </row>
    <row r="1675" spans="1:9" ht="15" customHeight="1">
      <c r="A1675" s="1253">
        <v>43257</v>
      </c>
      <c r="B1675" s="1209">
        <v>2550</v>
      </c>
      <c r="C1675" s="1210">
        <v>20825</v>
      </c>
      <c r="D1675" s="1230">
        <v>20725</v>
      </c>
      <c r="E1675" s="1212">
        <f t="shared" si="145"/>
        <v>-100</v>
      </c>
      <c r="F1675" s="1211">
        <f t="shared" si="146"/>
        <v>100</v>
      </c>
      <c r="G1675" s="1215"/>
      <c r="H1675" s="1269"/>
      <c r="I1675" s="1291">
        <v>149250</v>
      </c>
    </row>
    <row r="1676" spans="1:9" ht="15" customHeight="1">
      <c r="A1676" s="1253">
        <v>43258</v>
      </c>
      <c r="B1676" s="1209">
        <v>2550</v>
      </c>
      <c r="C1676" s="1210">
        <v>21200</v>
      </c>
      <c r="D1676" s="1230">
        <v>21105</v>
      </c>
      <c r="E1676" s="1212">
        <f t="shared" si="145"/>
        <v>-95</v>
      </c>
      <c r="F1676" s="1211">
        <f t="shared" si="146"/>
        <v>375</v>
      </c>
      <c r="G1676" s="1215"/>
      <c r="H1676" s="1269"/>
      <c r="I1676" s="1291">
        <v>150000</v>
      </c>
    </row>
    <row r="1677" spans="1:9" ht="15" customHeight="1">
      <c r="A1677" s="1253">
        <v>43259</v>
      </c>
      <c r="B1677" s="1209">
        <v>2560</v>
      </c>
      <c r="C1677" s="1210">
        <v>21230</v>
      </c>
      <c r="D1677" s="1230">
        <v>21175</v>
      </c>
      <c r="E1677" s="1212">
        <f t="shared" si="145"/>
        <v>-55</v>
      </c>
      <c r="F1677" s="1211">
        <f t="shared" si="146"/>
        <v>30</v>
      </c>
      <c r="G1677" s="1215"/>
      <c r="H1677" s="1269"/>
      <c r="I1677" s="1291">
        <v>150000</v>
      </c>
    </row>
    <row r="1678" spans="1:9" ht="15" customHeight="1">
      <c r="A1678" s="1253">
        <v>43262</v>
      </c>
      <c r="B1678" s="1209">
        <v>2560</v>
      </c>
      <c r="C1678" s="1210">
        <v>21250</v>
      </c>
      <c r="D1678" s="1230">
        <v>21125</v>
      </c>
      <c r="E1678" s="1212">
        <f t="shared" si="145"/>
        <v>-125</v>
      </c>
      <c r="F1678" s="1211">
        <f t="shared" si="146"/>
        <v>20</v>
      </c>
      <c r="G1678" s="1215"/>
      <c r="H1678" s="1269"/>
      <c r="I1678" s="1291">
        <v>150000</v>
      </c>
    </row>
    <row r="1679" spans="1:9" ht="15" customHeight="1">
      <c r="A1679" s="1253">
        <v>43263</v>
      </c>
      <c r="B1679" s="1209">
        <v>2500</v>
      </c>
      <c r="C1679" s="1210">
        <v>21300</v>
      </c>
      <c r="D1679" s="1230">
        <v>21175</v>
      </c>
      <c r="E1679" s="1212">
        <f t="shared" si="145"/>
        <v>-125</v>
      </c>
      <c r="F1679" s="1211">
        <f t="shared" si="146"/>
        <v>50</v>
      </c>
      <c r="G1679" s="1215"/>
      <c r="H1679" s="1269"/>
      <c r="I1679" s="1291"/>
    </row>
    <row r="1680" spans="1:9" ht="15" customHeight="1">
      <c r="A1680" s="1253">
        <v>43264</v>
      </c>
      <c r="B1680" s="1209">
        <v>2500</v>
      </c>
      <c r="C1680" s="1210">
        <v>20920</v>
      </c>
      <c r="D1680" s="1230">
        <v>20900</v>
      </c>
      <c r="E1680" s="1212">
        <f t="shared" si="145"/>
        <v>-20</v>
      </c>
      <c r="F1680" s="1211">
        <f t="shared" si="146"/>
        <v>-380</v>
      </c>
      <c r="G1680" s="1215"/>
      <c r="H1680" s="1269"/>
      <c r="I1680" s="1291">
        <v>148250</v>
      </c>
    </row>
    <row r="1681" spans="1:9" ht="15" customHeight="1">
      <c r="A1681" s="1253">
        <v>43265</v>
      </c>
      <c r="B1681" s="1209">
        <v>2595</v>
      </c>
      <c r="C1681" s="1210">
        <v>21025</v>
      </c>
      <c r="D1681" s="1230">
        <v>20900</v>
      </c>
      <c r="E1681" s="1212">
        <f t="shared" si="145"/>
        <v>-125</v>
      </c>
      <c r="F1681" s="1211">
        <f t="shared" si="146"/>
        <v>105</v>
      </c>
      <c r="G1681" s="1215"/>
      <c r="H1681" s="1269"/>
      <c r="I1681" s="1291">
        <v>146250</v>
      </c>
    </row>
    <row r="1682" spans="1:9" ht="15" customHeight="1">
      <c r="A1682" s="1253">
        <v>43266</v>
      </c>
      <c r="B1682" s="1209">
        <v>2595</v>
      </c>
      <c r="C1682" s="1210">
        <v>20900</v>
      </c>
      <c r="D1682" s="1230">
        <v>20765</v>
      </c>
      <c r="E1682" s="1212">
        <f t="shared" si="145"/>
        <v>-135</v>
      </c>
      <c r="F1682" s="1211">
        <f t="shared" si="146"/>
        <v>-125</v>
      </c>
      <c r="G1682" s="1215"/>
      <c r="H1682" s="1269"/>
      <c r="I1682" s="1291">
        <v>146750</v>
      </c>
    </row>
    <row r="1683" spans="1:9" ht="15" customHeight="1">
      <c r="A1683" s="1253">
        <v>43269</v>
      </c>
      <c r="B1683" s="1209">
        <v>2595</v>
      </c>
      <c r="C1683" s="1210">
        <v>20910</v>
      </c>
      <c r="D1683" s="1230">
        <v>20850</v>
      </c>
      <c r="E1683" s="1212">
        <f t="shared" si="145"/>
        <v>-60</v>
      </c>
      <c r="F1683" s="1211">
        <f t="shared" si="146"/>
        <v>10</v>
      </c>
      <c r="G1683" s="1215"/>
      <c r="H1683" s="1269"/>
      <c r="I1683" s="1291">
        <v>146750</v>
      </c>
    </row>
    <row r="1684" spans="1:9" ht="15" customHeight="1">
      <c r="A1684" s="1253">
        <v>43270</v>
      </c>
      <c r="B1684" s="1209">
        <v>2595</v>
      </c>
      <c r="C1684" s="1210">
        <v>20450</v>
      </c>
      <c r="D1684" s="1230">
        <v>20375</v>
      </c>
      <c r="E1684" s="1212">
        <f t="shared" si="145"/>
        <v>-75</v>
      </c>
      <c r="F1684" s="1211">
        <f t="shared" si="146"/>
        <v>-460</v>
      </c>
      <c r="G1684" s="1215"/>
      <c r="H1684" s="1269"/>
      <c r="I1684" s="1291">
        <v>145250</v>
      </c>
    </row>
    <row r="1685" spans="1:9" ht="15" customHeight="1">
      <c r="A1685" s="1253">
        <v>43271</v>
      </c>
      <c r="B1685" s="1209">
        <v>2595</v>
      </c>
      <c r="C1685" s="1210">
        <v>20575</v>
      </c>
      <c r="D1685" s="1230">
        <v>20450</v>
      </c>
      <c r="E1685" s="1212">
        <f t="shared" si="145"/>
        <v>-125</v>
      </c>
      <c r="F1685" s="1211">
        <f t="shared" si="146"/>
        <v>125</v>
      </c>
      <c r="G1685" s="1215"/>
      <c r="H1685" s="1269"/>
      <c r="I1685" s="1291">
        <v>145000</v>
      </c>
    </row>
    <row r="1686" spans="1:9" ht="15" customHeight="1">
      <c r="A1686" s="1253">
        <v>43272</v>
      </c>
      <c r="B1686" s="1209">
        <v>2595</v>
      </c>
      <c r="C1686" s="1210">
        <v>20600</v>
      </c>
      <c r="D1686" s="1230">
        <v>20550</v>
      </c>
      <c r="E1686" s="1212">
        <f t="shared" si="145"/>
        <v>-50</v>
      </c>
      <c r="F1686" s="1211">
        <f t="shared" si="146"/>
        <v>25</v>
      </c>
      <c r="G1686" s="1215"/>
      <c r="H1686" s="1269"/>
      <c r="I1686" s="1291">
        <v>145750</v>
      </c>
    </row>
    <row r="1687" spans="1:9" ht="15" customHeight="1">
      <c r="A1687" s="1253">
        <v>43273</v>
      </c>
      <c r="B1687" s="1209">
        <v>2595</v>
      </c>
      <c r="C1687" s="1210">
        <v>20625</v>
      </c>
      <c r="D1687" s="1230">
        <v>20575</v>
      </c>
      <c r="E1687" s="1212">
        <f t="shared" si="145"/>
        <v>-50</v>
      </c>
      <c r="F1687" s="1211">
        <f t="shared" si="146"/>
        <v>25</v>
      </c>
      <c r="G1687" s="1215"/>
      <c r="H1687" s="1269"/>
      <c r="I1687" s="1291">
        <v>145250</v>
      </c>
    </row>
    <row r="1688" spans="1:9" ht="15" customHeight="1">
      <c r="A1688" s="1253">
        <v>43276</v>
      </c>
      <c r="B1688" s="1209">
        <v>2750</v>
      </c>
      <c r="C1688" s="1210">
        <v>20495</v>
      </c>
      <c r="D1688" s="1230">
        <v>20375</v>
      </c>
      <c r="E1688" s="1212">
        <f t="shared" si="145"/>
        <v>-120</v>
      </c>
      <c r="F1688" s="1211">
        <f t="shared" si="146"/>
        <v>-130</v>
      </c>
      <c r="G1688" s="1215"/>
      <c r="H1688" s="1269"/>
      <c r="I1688" s="1291">
        <v>144250</v>
      </c>
    </row>
    <row r="1689" spans="1:9" ht="15" customHeight="1">
      <c r="A1689" s="1253">
        <v>43277</v>
      </c>
      <c r="B1689" s="1209">
        <v>2745</v>
      </c>
      <c r="C1689" s="1210">
        <v>20225</v>
      </c>
      <c r="D1689" s="1230">
        <v>20150</v>
      </c>
      <c r="E1689" s="1212">
        <f t="shared" si="145"/>
        <v>-75</v>
      </c>
      <c r="F1689" s="1211">
        <f t="shared" si="146"/>
        <v>-270</v>
      </c>
      <c r="G1689" s="1215"/>
      <c r="H1689" s="1269"/>
      <c r="I1689" s="1291">
        <v>143750</v>
      </c>
    </row>
    <row r="1690" spans="1:9" ht="15" customHeight="1">
      <c r="A1690" s="1253">
        <v>43278</v>
      </c>
      <c r="B1690" s="1209">
        <v>2735</v>
      </c>
      <c r="C1690" s="1210">
        <v>19950</v>
      </c>
      <c r="D1690" s="1230">
        <v>19850</v>
      </c>
      <c r="E1690" s="1212">
        <f t="shared" si="145"/>
        <v>-100</v>
      </c>
      <c r="F1690" s="1211">
        <f t="shared" ref="F1690:F1709" si="147">C1690-C1689</f>
        <v>-275</v>
      </c>
      <c r="G1690" s="1215"/>
      <c r="H1690" s="1269"/>
      <c r="I1690" s="1291">
        <v>143750</v>
      </c>
    </row>
    <row r="1691" spans="1:9" ht="15" customHeight="1">
      <c r="A1691" s="1253">
        <v>43279</v>
      </c>
      <c r="B1691" s="1209">
        <v>2755</v>
      </c>
      <c r="C1691" s="1210">
        <v>19775</v>
      </c>
      <c r="D1691" s="1230">
        <v>19660</v>
      </c>
      <c r="E1691" s="1212">
        <f t="shared" si="145"/>
        <v>-115</v>
      </c>
      <c r="F1691" s="1211">
        <f t="shared" si="147"/>
        <v>-175</v>
      </c>
      <c r="G1691" s="1215"/>
      <c r="H1691" s="1269"/>
      <c r="I1691" s="1291">
        <v>143750</v>
      </c>
    </row>
    <row r="1692" spans="1:9" ht="15" customHeight="1">
      <c r="A1692" s="1253">
        <v>43280</v>
      </c>
      <c r="B1692" s="1209">
        <v>3065</v>
      </c>
      <c r="C1692" s="1210">
        <v>19675</v>
      </c>
      <c r="D1692" s="1230">
        <v>19560</v>
      </c>
      <c r="E1692" s="1212">
        <f t="shared" si="145"/>
        <v>-115</v>
      </c>
      <c r="F1692" s="1211">
        <f t="shared" si="147"/>
        <v>-100</v>
      </c>
      <c r="G1692" s="1227">
        <f>AVERAGE($C$1672:C1692)</f>
        <v>20663.095238095237</v>
      </c>
      <c r="H1692" s="1274">
        <f>AVERAGE($C$1564:C1692)</f>
        <v>21076.880000000001</v>
      </c>
      <c r="I1692" s="1291">
        <v>143750</v>
      </c>
    </row>
    <row r="1693" spans="1:9" ht="15" customHeight="1">
      <c r="A1693" s="1253">
        <v>43283</v>
      </c>
      <c r="B1693" s="1209">
        <v>3130</v>
      </c>
      <c r="C1693" s="1210">
        <v>19850</v>
      </c>
      <c r="D1693" s="1230">
        <v>19760</v>
      </c>
      <c r="E1693" s="1212">
        <f t="shared" si="145"/>
        <v>-90</v>
      </c>
      <c r="F1693" s="1211">
        <f t="shared" si="147"/>
        <v>175</v>
      </c>
      <c r="G1693" s="1215"/>
      <c r="H1693" s="1269"/>
      <c r="I1693" s="1291">
        <v>144250</v>
      </c>
    </row>
    <row r="1694" spans="1:9" ht="15" customHeight="1">
      <c r="A1694" s="1253">
        <v>43284</v>
      </c>
      <c r="B1694" s="1209">
        <v>3130</v>
      </c>
      <c r="C1694" s="1210">
        <v>19810</v>
      </c>
      <c r="D1694" s="1230">
        <v>19800</v>
      </c>
      <c r="E1694" s="1212">
        <f t="shared" si="145"/>
        <v>-10</v>
      </c>
      <c r="F1694" s="1211">
        <f t="shared" si="147"/>
        <v>-40</v>
      </c>
      <c r="G1694" s="1215"/>
      <c r="H1694" s="1269"/>
      <c r="I1694" s="1291">
        <v>144250</v>
      </c>
    </row>
    <row r="1695" spans="1:9" ht="15" customHeight="1">
      <c r="A1695" s="1253">
        <v>43285</v>
      </c>
      <c r="B1695" s="1209">
        <v>3130</v>
      </c>
      <c r="C1695" s="1210">
        <v>19850</v>
      </c>
      <c r="D1695" s="1230">
        <v>19725</v>
      </c>
      <c r="E1695" s="1212">
        <f t="shared" si="145"/>
        <v>-125</v>
      </c>
      <c r="F1695" s="1211">
        <f t="shared" si="147"/>
        <v>40</v>
      </c>
      <c r="G1695" s="1215"/>
      <c r="H1695" s="1269"/>
      <c r="I1695" s="1291">
        <v>144250</v>
      </c>
    </row>
    <row r="1696" spans="1:9" ht="15" customHeight="1">
      <c r="A1696" s="1253">
        <v>43286</v>
      </c>
      <c r="B1696" s="1209">
        <v>3230</v>
      </c>
      <c r="C1696" s="1210">
        <v>19585</v>
      </c>
      <c r="D1696" s="1230">
        <v>19510</v>
      </c>
      <c r="E1696" s="1212">
        <f t="shared" si="145"/>
        <v>-75</v>
      </c>
      <c r="F1696" s="1211">
        <f t="shared" si="147"/>
        <v>-265</v>
      </c>
      <c r="G1696" s="1215"/>
      <c r="H1696" s="1269"/>
      <c r="I1696" s="1291">
        <v>142500</v>
      </c>
    </row>
    <row r="1697" spans="1:9" ht="15" customHeight="1">
      <c r="A1697" s="1253">
        <v>43287</v>
      </c>
      <c r="B1697" s="1209">
        <v>3230</v>
      </c>
      <c r="C1697" s="1210">
        <v>19425</v>
      </c>
      <c r="D1697" s="1230">
        <v>19330</v>
      </c>
      <c r="E1697" s="1212">
        <f t="shared" si="145"/>
        <v>-95</v>
      </c>
      <c r="F1697" s="1211">
        <f t="shared" si="147"/>
        <v>-160</v>
      </c>
      <c r="G1697" s="1215"/>
      <c r="H1697" s="1269"/>
      <c r="I1697" s="1291">
        <v>142000</v>
      </c>
    </row>
    <row r="1698" spans="1:9" ht="15" customHeight="1">
      <c r="A1698" s="1253">
        <v>43290</v>
      </c>
      <c r="B1698" s="1209">
        <v>3285</v>
      </c>
      <c r="C1698" s="1210">
        <v>19490</v>
      </c>
      <c r="D1698" s="1230">
        <v>19450</v>
      </c>
      <c r="E1698" s="1212">
        <f t="shared" si="145"/>
        <v>-40</v>
      </c>
      <c r="F1698" s="1211">
        <f t="shared" si="147"/>
        <v>65</v>
      </c>
      <c r="G1698" s="1215"/>
      <c r="H1698" s="1269"/>
      <c r="I1698" s="1291">
        <v>143000</v>
      </c>
    </row>
    <row r="1699" spans="1:9" ht="15" customHeight="1">
      <c r="A1699" s="1253">
        <v>43291</v>
      </c>
      <c r="B1699" s="1209">
        <v>3285</v>
      </c>
      <c r="C1699" s="1210">
        <v>19850</v>
      </c>
      <c r="D1699" s="1230">
        <v>19795</v>
      </c>
      <c r="E1699" s="1212">
        <f t="shared" si="145"/>
        <v>-55</v>
      </c>
      <c r="F1699" s="1211">
        <f t="shared" si="147"/>
        <v>360</v>
      </c>
      <c r="G1699" s="1215"/>
      <c r="H1699" s="1269"/>
      <c r="I1699" s="1291">
        <v>143500</v>
      </c>
    </row>
    <row r="1700" spans="1:9" ht="15" customHeight="1">
      <c r="A1700" s="1253">
        <v>43292</v>
      </c>
      <c r="B1700" s="1209">
        <v>3320</v>
      </c>
      <c r="C1700" s="1210">
        <v>19445</v>
      </c>
      <c r="D1700" s="1230">
        <v>19305</v>
      </c>
      <c r="E1700" s="1212">
        <f t="shared" si="145"/>
        <v>-140</v>
      </c>
      <c r="F1700" s="1211">
        <f t="shared" si="147"/>
        <v>-405</v>
      </c>
      <c r="G1700" s="1215"/>
      <c r="H1700" s="1269"/>
      <c r="I1700" s="1291">
        <v>142250</v>
      </c>
    </row>
    <row r="1701" spans="1:9" ht="15" customHeight="1">
      <c r="A1701" s="1253">
        <v>43293</v>
      </c>
      <c r="B1701" s="1209">
        <v>3320</v>
      </c>
      <c r="C1701" s="1210">
        <v>19575</v>
      </c>
      <c r="D1701" s="1230">
        <v>19475</v>
      </c>
      <c r="E1701" s="1212">
        <f t="shared" si="145"/>
        <v>-100</v>
      </c>
      <c r="F1701" s="1211">
        <f t="shared" si="147"/>
        <v>130</v>
      </c>
      <c r="G1701" s="1215"/>
      <c r="H1701" s="1269"/>
      <c r="I1701" s="1291">
        <v>142750</v>
      </c>
    </row>
    <row r="1702" spans="1:9" ht="15" customHeight="1">
      <c r="A1702" s="1253">
        <v>43294</v>
      </c>
      <c r="B1702" s="1209">
        <v>3295</v>
      </c>
      <c r="C1702" s="1210">
        <v>19775</v>
      </c>
      <c r="D1702" s="1230">
        <v>19625</v>
      </c>
      <c r="E1702" s="1212">
        <f t="shared" si="145"/>
        <v>-150</v>
      </c>
      <c r="F1702" s="1211">
        <f t="shared" si="147"/>
        <v>200</v>
      </c>
      <c r="G1702" s="1215"/>
      <c r="H1702" s="1269"/>
      <c r="I1702" s="1291">
        <v>144500</v>
      </c>
    </row>
    <row r="1703" spans="1:9" ht="15" customHeight="1">
      <c r="A1703" s="1253">
        <v>43297</v>
      </c>
      <c r="B1703" s="1209">
        <v>3270</v>
      </c>
      <c r="C1703" s="1210">
        <v>19605</v>
      </c>
      <c r="D1703" s="1230">
        <v>19625</v>
      </c>
      <c r="E1703" s="1212">
        <f t="shared" si="145"/>
        <v>20</v>
      </c>
      <c r="F1703" s="1211">
        <f t="shared" si="147"/>
        <v>-170</v>
      </c>
      <c r="G1703" s="1215"/>
      <c r="H1703" s="1269"/>
      <c r="I1703" s="1291">
        <v>145000</v>
      </c>
    </row>
    <row r="1704" spans="1:9" ht="15" customHeight="1">
      <c r="A1704" s="1253">
        <v>43298</v>
      </c>
      <c r="B1704" s="1209">
        <v>3280</v>
      </c>
      <c r="C1704" s="1210">
        <v>19500</v>
      </c>
      <c r="D1704" s="1230">
        <v>19405</v>
      </c>
      <c r="E1704" s="1212">
        <f t="shared" si="145"/>
        <v>-95</v>
      </c>
      <c r="F1704" s="1211">
        <f t="shared" si="147"/>
        <v>-105</v>
      </c>
      <c r="G1704" s="1215"/>
      <c r="H1704" s="1269"/>
      <c r="I1704" s="1291">
        <v>143750</v>
      </c>
    </row>
    <row r="1705" spans="1:9" ht="15" customHeight="1">
      <c r="A1705" s="1253">
        <v>43299</v>
      </c>
      <c r="B1705" s="1209">
        <v>3270</v>
      </c>
      <c r="C1705" s="1210">
        <v>19550</v>
      </c>
      <c r="D1705" s="1230">
        <v>19425</v>
      </c>
      <c r="E1705" s="1212">
        <f t="shared" si="145"/>
        <v>-125</v>
      </c>
      <c r="F1705" s="1211">
        <f t="shared" si="147"/>
        <v>50</v>
      </c>
      <c r="G1705" s="1215"/>
      <c r="H1705" s="1269"/>
      <c r="I1705" s="1291">
        <v>143750</v>
      </c>
    </row>
    <row r="1706" spans="1:9" ht="15" customHeight="1">
      <c r="A1706" s="1253">
        <v>43300</v>
      </c>
      <c r="B1706" s="1209">
        <v>3155</v>
      </c>
      <c r="C1706" s="1210">
        <v>19405</v>
      </c>
      <c r="D1706" s="1230">
        <v>19325</v>
      </c>
      <c r="E1706" s="1212">
        <f t="shared" si="145"/>
        <v>-80</v>
      </c>
      <c r="F1706" s="1211">
        <f t="shared" si="147"/>
        <v>-145</v>
      </c>
      <c r="G1706" s="1215"/>
      <c r="H1706" s="1269"/>
      <c r="I1706" s="1291">
        <v>144500</v>
      </c>
    </row>
    <row r="1707" spans="1:9" ht="15" customHeight="1">
      <c r="A1707" s="1253">
        <v>43301</v>
      </c>
      <c r="B1707" s="1209">
        <v>3150</v>
      </c>
      <c r="C1707" s="1210">
        <v>19475</v>
      </c>
      <c r="D1707" s="1230">
        <v>19435</v>
      </c>
      <c r="E1707" s="1212">
        <f t="shared" si="145"/>
        <v>-40</v>
      </c>
      <c r="F1707" s="1211">
        <f t="shared" si="147"/>
        <v>70</v>
      </c>
      <c r="G1707" s="1215"/>
      <c r="H1707" s="1269"/>
      <c r="I1707" s="1291">
        <v>144500</v>
      </c>
    </row>
    <row r="1708" spans="1:9" ht="15" customHeight="1">
      <c r="A1708" s="1253">
        <v>43304</v>
      </c>
      <c r="B1708" s="1209">
        <v>3210</v>
      </c>
      <c r="C1708" s="1210">
        <v>19650</v>
      </c>
      <c r="D1708" s="1230">
        <v>19550</v>
      </c>
      <c r="E1708" s="1212">
        <f t="shared" si="145"/>
        <v>-100</v>
      </c>
      <c r="F1708" s="1211">
        <f t="shared" si="147"/>
        <v>175</v>
      </c>
      <c r="G1708" s="1215"/>
      <c r="H1708" s="1269"/>
      <c r="I1708" s="1291">
        <v>144750</v>
      </c>
    </row>
    <row r="1709" spans="1:9" ht="15" customHeight="1">
      <c r="A1709" s="1253">
        <v>43305</v>
      </c>
      <c r="B1709" s="1209">
        <v>3075</v>
      </c>
      <c r="C1709" s="1210">
        <v>19675</v>
      </c>
      <c r="D1709" s="1230">
        <v>19510</v>
      </c>
      <c r="E1709" s="1212">
        <f t="shared" si="145"/>
        <v>-165</v>
      </c>
      <c r="F1709" s="1211">
        <f t="shared" si="147"/>
        <v>25</v>
      </c>
      <c r="G1709" s="1215"/>
      <c r="H1709" s="1269"/>
      <c r="I1709" s="1291">
        <v>144000</v>
      </c>
    </row>
    <row r="1710" spans="1:9" ht="15" customHeight="1">
      <c r="A1710" s="1253">
        <v>43306</v>
      </c>
      <c r="B1710" s="1209">
        <v>3045</v>
      </c>
      <c r="C1710" s="1210">
        <v>19950</v>
      </c>
      <c r="D1710" s="1230">
        <v>19830</v>
      </c>
      <c r="E1710" s="1212">
        <f t="shared" si="145"/>
        <v>-120</v>
      </c>
      <c r="F1710" s="1211">
        <f t="shared" ref="F1710" si="148">C1710-C1709</f>
        <v>275</v>
      </c>
      <c r="G1710" s="1215"/>
      <c r="H1710" s="1269"/>
      <c r="I1710" s="1291">
        <v>144250</v>
      </c>
    </row>
    <row r="1711" spans="1:9" ht="15" customHeight="1">
      <c r="A1711" s="1253">
        <v>43307</v>
      </c>
      <c r="B1711" s="1209">
        <v>3030</v>
      </c>
      <c r="C1711" s="1210">
        <v>19900</v>
      </c>
      <c r="D1711" s="1230">
        <v>19800</v>
      </c>
      <c r="E1711" s="1212">
        <f t="shared" si="145"/>
        <v>-100</v>
      </c>
      <c r="F1711" s="1211">
        <f t="shared" ref="F1711" si="149">C1711-C1710</f>
        <v>-50</v>
      </c>
      <c r="G1711" s="1215"/>
      <c r="H1711" s="1269"/>
      <c r="I1711" s="1291">
        <v>144250</v>
      </c>
    </row>
    <row r="1712" spans="1:9" ht="15" customHeight="1">
      <c r="A1712" s="1253">
        <v>43308</v>
      </c>
      <c r="B1712" s="1209">
        <v>2975</v>
      </c>
      <c r="C1712" s="1210">
        <v>19925</v>
      </c>
      <c r="D1712" s="1230">
        <v>19785</v>
      </c>
      <c r="E1712" s="1212">
        <f t="shared" si="145"/>
        <v>-140</v>
      </c>
      <c r="F1712" s="1211">
        <f t="shared" ref="F1712:F1721" si="150">C1712-C1711</f>
        <v>25</v>
      </c>
      <c r="G1712" s="1215"/>
      <c r="H1712" s="1269"/>
      <c r="I1712" s="1291">
        <v>144250</v>
      </c>
    </row>
    <row r="1713" spans="1:9" ht="15" customHeight="1">
      <c r="A1713" s="1253">
        <v>43311</v>
      </c>
      <c r="B1713" s="1209">
        <v>2970</v>
      </c>
      <c r="C1713" s="1210">
        <v>19995</v>
      </c>
      <c r="D1713" s="1230">
        <v>19875</v>
      </c>
      <c r="E1713" s="1212">
        <f t="shared" si="145"/>
        <v>-120</v>
      </c>
      <c r="F1713" s="1211">
        <f t="shared" si="150"/>
        <v>70</v>
      </c>
      <c r="G1713" s="1215"/>
      <c r="H1713" s="1269"/>
      <c r="I1713" s="1291">
        <v>146750</v>
      </c>
    </row>
    <row r="1714" spans="1:9" ht="15" customHeight="1">
      <c r="A1714" s="1253">
        <v>43312</v>
      </c>
      <c r="B1714" s="1209">
        <v>2970</v>
      </c>
      <c r="C1714" s="1210">
        <v>20125</v>
      </c>
      <c r="D1714" s="1230">
        <v>20075</v>
      </c>
      <c r="E1714" s="1212">
        <f t="shared" si="145"/>
        <v>-50</v>
      </c>
      <c r="F1714" s="1211">
        <f t="shared" si="150"/>
        <v>130</v>
      </c>
      <c r="G1714" s="1227">
        <f>AVERAGE($C$1693:C1714)</f>
        <v>19700.454545454544</v>
      </c>
      <c r="H1714" s="1274">
        <f>AVERAGE($C$1564:C1714)</f>
        <v>20870.884353741498</v>
      </c>
      <c r="I1714" s="1291">
        <v>146750</v>
      </c>
    </row>
    <row r="1715" spans="1:9" ht="15" customHeight="1">
      <c r="A1715" s="1253">
        <v>43313</v>
      </c>
      <c r="B1715" s="1209">
        <v>2970</v>
      </c>
      <c r="C1715" s="1210">
        <v>19975</v>
      </c>
      <c r="D1715" s="1230">
        <v>19875</v>
      </c>
      <c r="E1715" s="1212">
        <f t="shared" si="145"/>
        <v>-100</v>
      </c>
      <c r="F1715" s="1211">
        <f t="shared" si="150"/>
        <v>-150</v>
      </c>
      <c r="G1715" s="1215"/>
      <c r="H1715" s="1269"/>
      <c r="I1715" s="1291">
        <v>146750</v>
      </c>
    </row>
    <row r="1716" spans="1:9" ht="15" customHeight="1">
      <c r="A1716" s="1253">
        <v>43314</v>
      </c>
      <c r="B1716" s="1209">
        <v>2945</v>
      </c>
      <c r="C1716" s="1210">
        <v>19780</v>
      </c>
      <c r="D1716" s="1230">
        <v>19680</v>
      </c>
      <c r="E1716" s="1212">
        <f t="shared" si="145"/>
        <v>-100</v>
      </c>
      <c r="F1716" s="1211">
        <f t="shared" si="150"/>
        <v>-195</v>
      </c>
      <c r="G1716" s="1215"/>
      <c r="H1716" s="1269"/>
      <c r="I1716" s="1291">
        <v>146750</v>
      </c>
    </row>
    <row r="1717" spans="1:9" ht="15" customHeight="1">
      <c r="A1717" s="1253">
        <v>43315</v>
      </c>
      <c r="B1717" s="1209">
        <v>2895</v>
      </c>
      <c r="C1717" s="1210">
        <v>19875</v>
      </c>
      <c r="D1717" s="1230">
        <v>19730</v>
      </c>
      <c r="E1717" s="1212">
        <f t="shared" si="145"/>
        <v>-145</v>
      </c>
      <c r="F1717" s="1211">
        <f t="shared" si="150"/>
        <v>95</v>
      </c>
      <c r="G1717" s="1215"/>
      <c r="H1717" s="1269"/>
      <c r="I1717" s="1291">
        <v>145500</v>
      </c>
    </row>
    <row r="1718" spans="1:9" ht="15" customHeight="1">
      <c r="A1718" s="1253">
        <v>43318</v>
      </c>
      <c r="B1718" s="1209">
        <v>2870</v>
      </c>
      <c r="C1718" s="1210">
        <v>19725</v>
      </c>
      <c r="D1718" s="1230">
        <v>19650</v>
      </c>
      <c r="E1718" s="1212">
        <f t="shared" si="145"/>
        <v>-75</v>
      </c>
      <c r="F1718" s="1211">
        <f t="shared" si="150"/>
        <v>-150</v>
      </c>
      <c r="G1718" s="1215"/>
      <c r="H1718" s="1269"/>
      <c r="I1718" s="1291">
        <v>145750</v>
      </c>
    </row>
    <row r="1719" spans="1:9" ht="15" customHeight="1">
      <c r="A1719" s="1253">
        <v>43319</v>
      </c>
      <c r="B1719" s="1209">
        <v>2860</v>
      </c>
      <c r="C1719" s="1210">
        <v>19775</v>
      </c>
      <c r="D1719" s="1230">
        <v>19650</v>
      </c>
      <c r="E1719" s="1212">
        <f t="shared" si="145"/>
        <v>-125</v>
      </c>
      <c r="F1719" s="1211">
        <f t="shared" si="150"/>
        <v>50</v>
      </c>
      <c r="G1719" s="1215"/>
      <c r="H1719" s="1269"/>
      <c r="I1719" s="1291">
        <v>145750</v>
      </c>
    </row>
    <row r="1720" spans="1:9" ht="15" customHeight="1">
      <c r="A1720" s="1253">
        <v>43320</v>
      </c>
      <c r="B1720" s="1209">
        <v>2835</v>
      </c>
      <c r="C1720" s="1210">
        <v>19775</v>
      </c>
      <c r="D1720" s="1230">
        <v>19695</v>
      </c>
      <c r="E1720" s="1212">
        <f t="shared" si="145"/>
        <v>-80</v>
      </c>
      <c r="F1720" s="1211">
        <f t="shared" si="150"/>
        <v>0</v>
      </c>
      <c r="G1720" s="1215"/>
      <c r="H1720" s="1269"/>
      <c r="I1720" s="1291">
        <v>146000</v>
      </c>
    </row>
    <row r="1721" spans="1:9" ht="15" customHeight="1">
      <c r="A1721" s="1253">
        <v>43321</v>
      </c>
      <c r="B1721" s="1209">
        <v>2835</v>
      </c>
      <c r="C1721" s="1210">
        <v>19650</v>
      </c>
      <c r="D1721" s="1230">
        <v>19570</v>
      </c>
      <c r="E1721" s="1212">
        <f t="shared" si="145"/>
        <v>-80</v>
      </c>
      <c r="F1721" s="1211">
        <f t="shared" si="150"/>
        <v>-125</v>
      </c>
      <c r="G1721" s="1215"/>
      <c r="H1721" s="1269"/>
      <c r="I1721" s="1291">
        <v>146000</v>
      </c>
    </row>
    <row r="1722" spans="1:9" ht="15" customHeight="1">
      <c r="A1722" s="1253">
        <v>43322</v>
      </c>
      <c r="B1722" s="1209">
        <v>2835</v>
      </c>
      <c r="C1722" s="1210">
        <v>19560</v>
      </c>
      <c r="D1722" s="1230">
        <v>19525</v>
      </c>
      <c r="E1722" s="1212">
        <f t="shared" si="145"/>
        <v>-35</v>
      </c>
      <c r="F1722" s="1211">
        <f t="shared" ref="F1722" si="151">C1722-C1721</f>
        <v>-90</v>
      </c>
      <c r="G1722" s="1215"/>
      <c r="H1722" s="1269"/>
      <c r="I1722" s="1291">
        <v>145500</v>
      </c>
    </row>
    <row r="1723" spans="1:9" ht="15" customHeight="1">
      <c r="A1723" s="1253">
        <v>43325</v>
      </c>
      <c r="B1723" s="1209">
        <v>2835</v>
      </c>
      <c r="C1723" s="1210">
        <v>19405</v>
      </c>
      <c r="D1723" s="1230">
        <v>19385</v>
      </c>
      <c r="E1723" s="1212">
        <f t="shared" si="145"/>
        <v>-20</v>
      </c>
      <c r="F1723" s="1211">
        <f t="shared" ref="F1723" si="152">C1723-C1722</f>
        <v>-155</v>
      </c>
      <c r="G1723" s="1215"/>
      <c r="H1723" s="1269"/>
      <c r="I1723" s="1291">
        <v>145500</v>
      </c>
    </row>
    <row r="1724" spans="1:9" ht="15" customHeight="1">
      <c r="A1724" s="1253">
        <v>43326</v>
      </c>
      <c r="B1724" s="1209">
        <v>2815</v>
      </c>
      <c r="C1724" s="1210">
        <v>19075</v>
      </c>
      <c r="D1724" s="1230">
        <v>19035</v>
      </c>
      <c r="E1724" s="1212">
        <f t="shared" si="145"/>
        <v>-40</v>
      </c>
      <c r="F1724" s="1211">
        <f t="shared" ref="F1724" si="153">C1724-C1723</f>
        <v>-330</v>
      </c>
      <c r="G1724" s="1215"/>
      <c r="H1724" s="1269"/>
      <c r="I1724" s="1291">
        <v>144500</v>
      </c>
    </row>
    <row r="1725" spans="1:9" ht="15" customHeight="1">
      <c r="A1725" s="1253">
        <v>43327</v>
      </c>
      <c r="B1725" s="1209">
        <v>2815</v>
      </c>
      <c r="C1725" s="1210">
        <v>18725</v>
      </c>
      <c r="D1725" s="1230">
        <v>18730</v>
      </c>
      <c r="E1725" s="1212">
        <f t="shared" si="145"/>
        <v>5</v>
      </c>
      <c r="F1725" s="1211">
        <f t="shared" ref="F1725:F1726" si="154">C1725-C1724</f>
        <v>-350</v>
      </c>
      <c r="G1725" s="1215"/>
      <c r="H1725" s="1269"/>
      <c r="I1725" s="1291">
        <v>144500</v>
      </c>
    </row>
    <row r="1726" spans="1:9" ht="15" customHeight="1">
      <c r="A1726" s="1253">
        <v>43328</v>
      </c>
      <c r="B1726" s="1209">
        <v>2845</v>
      </c>
      <c r="C1726" s="1210">
        <v>18675</v>
      </c>
      <c r="D1726" s="1230">
        <v>18700</v>
      </c>
      <c r="E1726" s="1212">
        <f t="shared" si="145"/>
        <v>25</v>
      </c>
      <c r="F1726" s="1211">
        <f t="shared" si="154"/>
        <v>-50</v>
      </c>
      <c r="G1726" s="1215"/>
      <c r="H1726" s="1269"/>
      <c r="I1726" s="1291">
        <v>143000</v>
      </c>
    </row>
    <row r="1727" spans="1:9" ht="15" customHeight="1">
      <c r="A1727" s="1253">
        <v>43329</v>
      </c>
      <c r="B1727" s="1209">
        <v>2895</v>
      </c>
      <c r="C1727" s="1210">
        <v>18680</v>
      </c>
      <c r="D1727" s="1230">
        <v>18700</v>
      </c>
      <c r="E1727" s="1212">
        <f t="shared" si="145"/>
        <v>20</v>
      </c>
      <c r="F1727" s="1211">
        <f t="shared" ref="F1727" si="155">C1727-C1726</f>
        <v>5</v>
      </c>
      <c r="G1727" s="1215"/>
      <c r="H1727" s="1269"/>
      <c r="I1727" s="1291">
        <v>143500</v>
      </c>
    </row>
    <row r="1728" spans="1:9" ht="15" customHeight="1">
      <c r="A1728" s="1253">
        <v>43332</v>
      </c>
      <c r="B1728" s="1209">
        <v>2885</v>
      </c>
      <c r="C1728" s="1210">
        <v>18850</v>
      </c>
      <c r="D1728" s="1230">
        <v>18855</v>
      </c>
      <c r="E1728" s="1212">
        <f t="shared" si="145"/>
        <v>5</v>
      </c>
      <c r="F1728" s="1211">
        <f t="shared" ref="F1728" si="156">C1728-C1727</f>
        <v>170</v>
      </c>
      <c r="G1728" s="1215"/>
      <c r="H1728" s="1269"/>
      <c r="I1728" s="1291">
        <v>144000</v>
      </c>
    </row>
    <row r="1729" spans="1:9" ht="15" customHeight="1">
      <c r="A1729" s="1253">
        <v>43333</v>
      </c>
      <c r="B1729" s="1209">
        <v>2935</v>
      </c>
      <c r="C1729" s="1210">
        <v>18875</v>
      </c>
      <c r="D1729" s="1230">
        <v>18850</v>
      </c>
      <c r="E1729" s="1212">
        <f t="shared" si="145"/>
        <v>-25</v>
      </c>
      <c r="F1729" s="1211">
        <f t="shared" ref="F1729" si="157">C1729-C1728</f>
        <v>25</v>
      </c>
      <c r="G1729" s="1215"/>
      <c r="H1729" s="1269"/>
      <c r="I1729" s="1291">
        <v>142500</v>
      </c>
    </row>
    <row r="1730" spans="1:9" ht="15" customHeight="1">
      <c r="A1730" s="1253">
        <v>43334</v>
      </c>
      <c r="B1730" s="1209">
        <v>2890</v>
      </c>
      <c r="C1730" s="1210">
        <v>19175</v>
      </c>
      <c r="D1730" s="1230">
        <v>19150</v>
      </c>
      <c r="E1730" s="1212">
        <f t="shared" si="145"/>
        <v>-25</v>
      </c>
      <c r="F1730" s="1211">
        <f t="shared" ref="F1730" si="158">C1730-C1729</f>
        <v>300</v>
      </c>
      <c r="G1730" s="1215"/>
      <c r="H1730" s="1269"/>
      <c r="I1730" s="1291">
        <v>144500</v>
      </c>
    </row>
    <row r="1731" spans="1:9" ht="15" customHeight="1">
      <c r="A1731" s="1253">
        <v>43335</v>
      </c>
      <c r="B1731" s="1209">
        <v>2890</v>
      </c>
      <c r="C1731" s="1210">
        <v>19065</v>
      </c>
      <c r="D1731" s="1230">
        <v>19040</v>
      </c>
      <c r="E1731" s="1212">
        <f t="shared" si="145"/>
        <v>-25</v>
      </c>
      <c r="F1731" s="1211">
        <f t="shared" ref="F1731" si="159">C1731-C1730</f>
        <v>-110</v>
      </c>
      <c r="G1731" s="1215"/>
      <c r="H1731" s="1269"/>
      <c r="I1731" s="1291">
        <v>144500</v>
      </c>
    </row>
    <row r="1732" spans="1:9" ht="15" customHeight="1">
      <c r="A1732" s="1253">
        <v>43336</v>
      </c>
      <c r="B1732" s="1209">
        <v>2940</v>
      </c>
      <c r="C1732" s="1210">
        <v>19250</v>
      </c>
      <c r="D1732" s="1230">
        <v>19155</v>
      </c>
      <c r="E1732" s="1212">
        <f t="shared" si="145"/>
        <v>-95</v>
      </c>
      <c r="F1732" s="1211">
        <f>C1732-C1731</f>
        <v>185</v>
      </c>
      <c r="G1732" s="1215"/>
      <c r="H1732" s="1269"/>
      <c r="I1732" s="1291">
        <v>144500</v>
      </c>
    </row>
    <row r="1733" spans="1:9" ht="15" customHeight="1">
      <c r="A1733" s="1253">
        <v>43339</v>
      </c>
      <c r="B1733" s="1440" t="s">
        <v>119</v>
      </c>
      <c r="C1733" s="1440"/>
      <c r="D1733" s="1440"/>
      <c r="E1733" s="1440"/>
      <c r="F1733" s="1440"/>
      <c r="G1733" s="1215"/>
      <c r="H1733" s="1269"/>
      <c r="I1733" s="1291"/>
    </row>
    <row r="1734" spans="1:9" ht="15" customHeight="1">
      <c r="A1734" s="1253">
        <v>43340</v>
      </c>
      <c r="B1734" s="1209">
        <v>2940</v>
      </c>
      <c r="C1734" s="1210">
        <v>19200</v>
      </c>
      <c r="D1734" s="1230">
        <v>19100</v>
      </c>
      <c r="E1734" s="1212">
        <f t="shared" si="145"/>
        <v>-100</v>
      </c>
      <c r="F1734" s="1211">
        <f>C1734-C1732</f>
        <v>-50</v>
      </c>
      <c r="G1734" s="1215"/>
      <c r="H1734" s="1269"/>
      <c r="I1734" s="1291">
        <v>144500</v>
      </c>
    </row>
    <row r="1735" spans="1:9" ht="15" customHeight="1">
      <c r="A1735" s="1253">
        <v>43341</v>
      </c>
      <c r="B1735" s="1209">
        <v>2960</v>
      </c>
      <c r="C1735" s="1210">
        <v>19010</v>
      </c>
      <c r="D1735" s="1230">
        <v>18975</v>
      </c>
      <c r="E1735" s="1212">
        <f t="shared" ref="E1735:E1798" si="160">D1735-C1735</f>
        <v>-35</v>
      </c>
      <c r="F1735" s="1211">
        <f t="shared" ref="F1735:F1740" si="161">C1735-C1734</f>
        <v>-190</v>
      </c>
      <c r="G1735" s="1215"/>
      <c r="H1735" s="1269"/>
      <c r="I1735" s="1291">
        <v>144500</v>
      </c>
    </row>
    <row r="1736" spans="1:9" ht="15" customHeight="1">
      <c r="A1736" s="1253">
        <v>43342</v>
      </c>
      <c r="B1736" s="1209">
        <v>2910</v>
      </c>
      <c r="C1736" s="1210">
        <v>19000</v>
      </c>
      <c r="D1736" s="1230">
        <v>18920</v>
      </c>
      <c r="E1736" s="1212">
        <f t="shared" si="160"/>
        <v>-80</v>
      </c>
      <c r="F1736" s="1211">
        <f t="shared" si="161"/>
        <v>-10</v>
      </c>
      <c r="G1736" s="1215"/>
      <c r="H1736" s="1269"/>
      <c r="I1736" s="1291">
        <v>144500</v>
      </c>
    </row>
    <row r="1737" spans="1:9" ht="15" customHeight="1">
      <c r="A1737" s="1253">
        <v>43343</v>
      </c>
      <c r="B1737" s="1209">
        <v>2940</v>
      </c>
      <c r="C1737" s="1210">
        <v>19025</v>
      </c>
      <c r="D1737" s="1230">
        <v>18925</v>
      </c>
      <c r="E1737" s="1212">
        <f t="shared" si="160"/>
        <v>-100</v>
      </c>
      <c r="F1737" s="1211">
        <f t="shared" si="161"/>
        <v>25</v>
      </c>
      <c r="G1737" s="1227">
        <f>AVERAGE($C$1715:C1737)</f>
        <v>19278.409090909092</v>
      </c>
      <c r="H1737" s="1274">
        <f>AVERAGE($C$1564:C1737)</f>
        <v>20663.579881656806</v>
      </c>
      <c r="I1737" s="1291">
        <v>145000</v>
      </c>
    </row>
    <row r="1738" spans="1:9" ht="15" customHeight="1">
      <c r="A1738" s="1253">
        <v>43346</v>
      </c>
      <c r="B1738" s="1209">
        <v>2940</v>
      </c>
      <c r="C1738" s="1210">
        <v>18990</v>
      </c>
      <c r="D1738" s="1230">
        <v>18925</v>
      </c>
      <c r="E1738" s="1212">
        <f t="shared" si="160"/>
        <v>-65</v>
      </c>
      <c r="F1738" s="1211">
        <f t="shared" si="161"/>
        <v>-35</v>
      </c>
      <c r="G1738" s="1215"/>
      <c r="H1738" s="1269"/>
      <c r="I1738" s="1291">
        <v>144250</v>
      </c>
    </row>
    <row r="1739" spans="1:9" ht="15" customHeight="1">
      <c r="A1739" s="1253">
        <v>43347</v>
      </c>
      <c r="B1739" s="1209">
        <v>2940</v>
      </c>
      <c r="C1739" s="1210">
        <v>18750</v>
      </c>
      <c r="D1739" s="1230">
        <v>18655</v>
      </c>
      <c r="E1739" s="1212">
        <f t="shared" si="160"/>
        <v>-95</v>
      </c>
      <c r="F1739" s="1211">
        <f t="shared" si="161"/>
        <v>-240</v>
      </c>
      <c r="G1739" s="1215"/>
      <c r="H1739" s="1269"/>
      <c r="I1739" s="1291">
        <v>143250</v>
      </c>
    </row>
    <row r="1740" spans="1:9" ht="15" customHeight="1">
      <c r="A1740" s="1253">
        <v>43348</v>
      </c>
      <c r="B1740" s="1209">
        <v>2915</v>
      </c>
      <c r="C1740" s="1210">
        <v>18925</v>
      </c>
      <c r="D1740" s="1230">
        <v>18875</v>
      </c>
      <c r="E1740" s="1212">
        <f t="shared" si="160"/>
        <v>-50</v>
      </c>
      <c r="F1740" s="1211">
        <f t="shared" si="161"/>
        <v>175</v>
      </c>
      <c r="G1740" s="1215"/>
      <c r="H1740" s="1269"/>
      <c r="I1740" s="1291">
        <v>143750</v>
      </c>
    </row>
    <row r="1741" spans="1:9" ht="15" customHeight="1">
      <c r="A1741" s="1253">
        <v>43349</v>
      </c>
      <c r="B1741" s="1209">
        <v>2860</v>
      </c>
      <c r="C1741" s="1210">
        <v>18875</v>
      </c>
      <c r="D1741" s="1230">
        <v>18825</v>
      </c>
      <c r="E1741" s="1212">
        <f t="shared" si="160"/>
        <v>-50</v>
      </c>
      <c r="F1741" s="1211">
        <f t="shared" ref="F1741" si="162">C1741-C1740</f>
        <v>-50</v>
      </c>
      <c r="G1741" s="1215"/>
      <c r="H1741" s="1269"/>
      <c r="I1741" s="1291">
        <v>143250</v>
      </c>
    </row>
    <row r="1742" spans="1:9" ht="15" customHeight="1">
      <c r="A1742" s="1253">
        <v>43350</v>
      </c>
      <c r="B1742" s="1209">
        <v>2860</v>
      </c>
      <c r="C1742" s="1210">
        <v>19110</v>
      </c>
      <c r="D1742" s="1230">
        <v>19015</v>
      </c>
      <c r="E1742" s="1212">
        <f t="shared" si="160"/>
        <v>-95</v>
      </c>
      <c r="F1742" s="1211">
        <f t="shared" ref="F1742" si="163">C1742-C1741</f>
        <v>235</v>
      </c>
      <c r="G1742" s="1215"/>
      <c r="H1742" s="1269"/>
      <c r="I1742" s="1291">
        <v>143500</v>
      </c>
    </row>
    <row r="1743" spans="1:9" ht="15" customHeight="1">
      <c r="A1743" s="1253">
        <v>43353</v>
      </c>
      <c r="B1743" s="1209">
        <v>2900</v>
      </c>
      <c r="C1743" s="1210">
        <v>19075</v>
      </c>
      <c r="D1743" s="1230">
        <v>19015</v>
      </c>
      <c r="E1743" s="1212">
        <f t="shared" si="160"/>
        <v>-60</v>
      </c>
      <c r="F1743" s="1211">
        <f t="shared" ref="F1743" si="164">C1743-C1742</f>
        <v>-35</v>
      </c>
      <c r="G1743" s="1215"/>
      <c r="H1743" s="1269"/>
      <c r="I1743" s="1291">
        <v>143500</v>
      </c>
    </row>
    <row r="1744" spans="1:9" ht="15" customHeight="1">
      <c r="A1744" s="1253">
        <v>43354</v>
      </c>
      <c r="B1744" s="1209">
        <v>2900</v>
      </c>
      <c r="C1744" s="1210">
        <v>19070</v>
      </c>
      <c r="D1744" s="1230">
        <v>19050</v>
      </c>
      <c r="E1744" s="1212">
        <f t="shared" si="160"/>
        <v>-20</v>
      </c>
      <c r="F1744" s="1211">
        <f t="shared" ref="F1744" si="165">C1744-C1743</f>
        <v>-5</v>
      </c>
      <c r="G1744" s="1215"/>
      <c r="H1744" s="1269"/>
      <c r="I1744" s="1291">
        <v>143500</v>
      </c>
    </row>
    <row r="1745" spans="1:9" ht="15" customHeight="1">
      <c r="A1745" s="1253">
        <v>43355</v>
      </c>
      <c r="B1745" s="1209">
        <v>2895</v>
      </c>
      <c r="C1745" s="1210">
        <v>18875</v>
      </c>
      <c r="D1745" s="1230">
        <v>18825</v>
      </c>
      <c r="E1745" s="1212">
        <f t="shared" si="160"/>
        <v>-50</v>
      </c>
      <c r="F1745" s="1211">
        <f t="shared" ref="F1745:F1749" si="166">C1745-C1744</f>
        <v>-195</v>
      </c>
      <c r="G1745" s="1215"/>
      <c r="H1745" s="1269"/>
      <c r="I1745" s="1291"/>
    </row>
    <row r="1746" spans="1:9" ht="15" customHeight="1">
      <c r="A1746" s="1253">
        <v>43356</v>
      </c>
      <c r="B1746" s="1209">
        <v>2895</v>
      </c>
      <c r="C1746" s="1210">
        <v>19060</v>
      </c>
      <c r="D1746" s="1230">
        <v>19075</v>
      </c>
      <c r="E1746" s="1212">
        <f t="shared" si="160"/>
        <v>15</v>
      </c>
      <c r="F1746" s="1211">
        <f t="shared" si="166"/>
        <v>185</v>
      </c>
      <c r="G1746" s="1215"/>
      <c r="H1746" s="1269"/>
      <c r="I1746" s="1291">
        <v>143250</v>
      </c>
    </row>
    <row r="1747" spans="1:9" ht="15" customHeight="1">
      <c r="A1747" s="1253">
        <v>43357</v>
      </c>
      <c r="B1747" s="1209">
        <v>2845</v>
      </c>
      <c r="C1747" s="1210">
        <v>19150</v>
      </c>
      <c r="D1747" s="1230">
        <v>19100</v>
      </c>
      <c r="E1747" s="1212">
        <f t="shared" si="160"/>
        <v>-50</v>
      </c>
      <c r="F1747" s="1211">
        <f t="shared" si="166"/>
        <v>90</v>
      </c>
      <c r="G1747" s="1215"/>
      <c r="H1747" s="1269"/>
      <c r="I1747" s="1291">
        <v>143250</v>
      </c>
    </row>
    <row r="1748" spans="1:9" ht="15" customHeight="1">
      <c r="A1748" s="1253">
        <v>43360</v>
      </c>
      <c r="B1748" s="1209">
        <v>2840</v>
      </c>
      <c r="C1748" s="1210">
        <v>18960</v>
      </c>
      <c r="D1748" s="1230">
        <v>18925</v>
      </c>
      <c r="E1748" s="1212">
        <f t="shared" si="160"/>
        <v>-35</v>
      </c>
      <c r="F1748" s="1211">
        <f t="shared" si="166"/>
        <v>-190</v>
      </c>
      <c r="G1748" s="1215"/>
      <c r="H1748" s="1269"/>
      <c r="I1748" s="1291">
        <v>143250</v>
      </c>
    </row>
    <row r="1749" spans="1:9" ht="15" customHeight="1">
      <c r="A1749" s="1253">
        <v>43361</v>
      </c>
      <c r="B1749" s="1209">
        <v>2870</v>
      </c>
      <c r="C1749" s="1210">
        <v>19030</v>
      </c>
      <c r="D1749" s="1230">
        <v>18975</v>
      </c>
      <c r="E1749" s="1212">
        <f t="shared" si="160"/>
        <v>-55</v>
      </c>
      <c r="F1749" s="1211">
        <f t="shared" si="166"/>
        <v>70</v>
      </c>
      <c r="G1749" s="1215"/>
      <c r="H1749" s="1269"/>
      <c r="I1749" s="1291">
        <v>143250</v>
      </c>
    </row>
    <row r="1750" spans="1:9" ht="15" customHeight="1">
      <c r="A1750" s="1253">
        <v>43362</v>
      </c>
      <c r="B1750" s="1209">
        <v>2685</v>
      </c>
      <c r="C1750" s="1210">
        <v>19100</v>
      </c>
      <c r="D1750" s="1230">
        <v>19025</v>
      </c>
      <c r="E1750" s="1212">
        <f t="shared" si="160"/>
        <v>-75</v>
      </c>
      <c r="F1750" s="1211">
        <f t="shared" ref="F1750" si="167">C1750-C1749</f>
        <v>70</v>
      </c>
      <c r="G1750" s="1215"/>
      <c r="H1750" s="1269"/>
      <c r="I1750" s="1291">
        <v>142250</v>
      </c>
    </row>
    <row r="1751" spans="1:9" ht="15" customHeight="1">
      <c r="A1751" s="1253">
        <v>43363</v>
      </c>
      <c r="B1751" s="1209">
        <v>2685</v>
      </c>
      <c r="C1751" s="1210">
        <v>19050</v>
      </c>
      <c r="D1751" s="1230">
        <v>18945</v>
      </c>
      <c r="E1751" s="1212">
        <f t="shared" si="160"/>
        <v>-105</v>
      </c>
      <c r="F1751" s="1211">
        <f t="shared" ref="F1751" si="168">C1751-C1750</f>
        <v>-50</v>
      </c>
      <c r="G1751" s="1215"/>
      <c r="H1751" s="1269"/>
      <c r="I1751" s="1291">
        <v>144500</v>
      </c>
    </row>
    <row r="1752" spans="1:9" ht="15" customHeight="1">
      <c r="A1752" s="1253">
        <v>43364</v>
      </c>
      <c r="B1752" s="1209">
        <v>2745</v>
      </c>
      <c r="C1752" s="1210">
        <v>19100</v>
      </c>
      <c r="D1752" s="1230">
        <v>19030</v>
      </c>
      <c r="E1752" s="1212">
        <f t="shared" si="160"/>
        <v>-70</v>
      </c>
      <c r="F1752" s="1211">
        <f t="shared" ref="F1752" si="169">C1752-C1751</f>
        <v>50</v>
      </c>
      <c r="G1752" s="1215"/>
      <c r="H1752" s="1269"/>
      <c r="I1752" s="1291"/>
    </row>
    <row r="1753" spans="1:9" ht="15" customHeight="1">
      <c r="A1753" s="1253">
        <v>43367</v>
      </c>
      <c r="B1753" s="1209">
        <v>2865</v>
      </c>
      <c r="C1753" s="1210">
        <v>18985</v>
      </c>
      <c r="D1753" s="1230">
        <v>18950</v>
      </c>
      <c r="E1753" s="1212">
        <f t="shared" si="160"/>
        <v>-35</v>
      </c>
      <c r="F1753" s="1211">
        <f t="shared" ref="F1753" si="170">C1753-C1752</f>
        <v>-115</v>
      </c>
      <c r="G1753" s="1215"/>
      <c r="H1753" s="1269"/>
      <c r="I1753" s="1291"/>
    </row>
    <row r="1754" spans="1:9" ht="15" customHeight="1">
      <c r="A1754" s="1253">
        <v>43368</v>
      </c>
      <c r="B1754" s="1209">
        <v>2865</v>
      </c>
      <c r="C1754" s="1210">
        <v>18975</v>
      </c>
      <c r="D1754" s="1230">
        <v>18950</v>
      </c>
      <c r="E1754" s="1212">
        <f t="shared" si="160"/>
        <v>-25</v>
      </c>
      <c r="F1754" s="1211">
        <f t="shared" ref="F1754" si="171">C1754-C1753</f>
        <v>-10</v>
      </c>
      <c r="G1754" s="1215"/>
      <c r="H1754" s="1269"/>
      <c r="I1754" s="1291"/>
    </row>
    <row r="1755" spans="1:9" ht="15" customHeight="1">
      <c r="A1755" s="1253">
        <v>43369</v>
      </c>
      <c r="B1755" s="1209">
        <v>2865</v>
      </c>
      <c r="C1755" s="1210">
        <v>18925</v>
      </c>
      <c r="D1755" s="1230">
        <v>18950</v>
      </c>
      <c r="E1755" s="1212">
        <f t="shared" si="160"/>
        <v>25</v>
      </c>
      <c r="F1755" s="1211">
        <f t="shared" ref="F1755" si="172">C1755-C1754</f>
        <v>-50</v>
      </c>
      <c r="G1755" s="1215"/>
      <c r="H1755" s="1269"/>
      <c r="I1755" s="1291">
        <v>145250</v>
      </c>
    </row>
    <row r="1756" spans="1:9" ht="15" customHeight="1">
      <c r="A1756" s="1253">
        <v>43370</v>
      </c>
      <c r="B1756" s="1209">
        <v>2865</v>
      </c>
      <c r="C1756" s="1210">
        <v>19020</v>
      </c>
      <c r="D1756" s="1230">
        <v>19000</v>
      </c>
      <c r="E1756" s="1212">
        <f t="shared" si="160"/>
        <v>-20</v>
      </c>
      <c r="F1756" s="1211">
        <f t="shared" ref="F1756" si="173">C1756-C1755</f>
        <v>95</v>
      </c>
      <c r="G1756" s="1215"/>
      <c r="H1756" s="1269"/>
      <c r="I1756" s="1291">
        <v>145250</v>
      </c>
    </row>
    <row r="1757" spans="1:9" ht="15" customHeight="1">
      <c r="A1757" s="1253">
        <v>43371</v>
      </c>
      <c r="B1757" s="1209">
        <v>2865</v>
      </c>
      <c r="C1757" s="1210">
        <v>18950</v>
      </c>
      <c r="D1757" s="1230">
        <v>18900</v>
      </c>
      <c r="E1757" s="1212">
        <f t="shared" si="160"/>
        <v>-50</v>
      </c>
      <c r="F1757" s="1211">
        <f t="shared" ref="F1757:F1762" si="174">C1757-C1756</f>
        <v>-70</v>
      </c>
      <c r="G1757" s="1227">
        <f>AVERAGE(C1738:C1757)</f>
        <v>18998.75</v>
      </c>
      <c r="H1757" s="1274">
        <f>AVERAGE($C$1564:C1757)</f>
        <v>20487.407407407409</v>
      </c>
      <c r="I1757" s="1291">
        <v>146750</v>
      </c>
    </row>
    <row r="1758" spans="1:9" ht="15" customHeight="1">
      <c r="A1758" s="1253">
        <v>43374</v>
      </c>
      <c r="B1758" s="1209">
        <v>2865</v>
      </c>
      <c r="C1758" s="1210">
        <v>18950</v>
      </c>
      <c r="D1758" s="1230">
        <v>18950</v>
      </c>
      <c r="E1758" s="1212">
        <f t="shared" si="160"/>
        <v>0</v>
      </c>
      <c r="F1758" s="1211">
        <f t="shared" si="174"/>
        <v>0</v>
      </c>
      <c r="G1758" s="1229"/>
      <c r="H1758" s="1276"/>
      <c r="I1758" s="1291"/>
    </row>
    <row r="1759" spans="1:9" ht="15" customHeight="1">
      <c r="A1759" s="1253">
        <v>43375</v>
      </c>
      <c r="B1759" s="1209">
        <v>2965</v>
      </c>
      <c r="C1759" s="1210">
        <v>18925</v>
      </c>
      <c r="D1759" s="1230">
        <v>18905</v>
      </c>
      <c r="E1759" s="1212">
        <f t="shared" si="160"/>
        <v>-20</v>
      </c>
      <c r="F1759" s="1211">
        <f t="shared" si="174"/>
        <v>-25</v>
      </c>
      <c r="G1759" s="1229"/>
      <c r="H1759" s="1276"/>
      <c r="I1759" s="1291"/>
    </row>
    <row r="1760" spans="1:9" ht="15" customHeight="1">
      <c r="A1760" s="1253">
        <v>43376</v>
      </c>
      <c r="B1760" s="1209">
        <v>3065</v>
      </c>
      <c r="C1760" s="1210">
        <v>18920</v>
      </c>
      <c r="D1760" s="1230">
        <v>18930</v>
      </c>
      <c r="E1760" s="1212">
        <f t="shared" si="160"/>
        <v>10</v>
      </c>
      <c r="F1760" s="1211">
        <f t="shared" si="174"/>
        <v>-5</v>
      </c>
      <c r="G1760" s="1229"/>
      <c r="H1760" s="1276"/>
      <c r="I1760" s="1291"/>
    </row>
    <row r="1761" spans="1:9" ht="15" customHeight="1">
      <c r="A1761" s="1253">
        <v>43377</v>
      </c>
      <c r="B1761" s="1209">
        <v>3155</v>
      </c>
      <c r="C1761" s="1210">
        <v>19000</v>
      </c>
      <c r="D1761" s="1230">
        <v>19005</v>
      </c>
      <c r="E1761" s="1212">
        <f t="shared" si="160"/>
        <v>5</v>
      </c>
      <c r="F1761" s="1211">
        <f t="shared" si="174"/>
        <v>80</v>
      </c>
      <c r="G1761" s="1229"/>
      <c r="H1761" s="1276"/>
      <c r="I1761" s="1291"/>
    </row>
    <row r="1762" spans="1:9" ht="15" customHeight="1">
      <c r="A1762" s="1253">
        <v>43378</v>
      </c>
      <c r="B1762" s="1209">
        <v>3145</v>
      </c>
      <c r="C1762" s="1210">
        <v>18950</v>
      </c>
      <c r="D1762" s="1230">
        <v>18950</v>
      </c>
      <c r="E1762" s="1212">
        <f t="shared" si="160"/>
        <v>0</v>
      </c>
      <c r="F1762" s="1211">
        <f t="shared" si="174"/>
        <v>-50</v>
      </c>
      <c r="G1762" s="1229"/>
      <c r="H1762" s="1276"/>
      <c r="I1762" s="1291"/>
    </row>
    <row r="1763" spans="1:9" ht="15" customHeight="1">
      <c r="A1763" s="1253">
        <v>43381</v>
      </c>
      <c r="B1763" s="1209">
        <v>3195</v>
      </c>
      <c r="C1763" s="1210">
        <v>18985</v>
      </c>
      <c r="D1763" s="1230">
        <v>19000</v>
      </c>
      <c r="E1763" s="1212">
        <f t="shared" si="160"/>
        <v>15</v>
      </c>
      <c r="F1763" s="1211">
        <f t="shared" ref="F1763:F1764" si="175">C1763-C1762</f>
        <v>35</v>
      </c>
      <c r="G1763" s="1229"/>
      <c r="H1763" s="1276"/>
      <c r="I1763" s="1291"/>
    </row>
    <row r="1764" spans="1:9" ht="15" customHeight="1">
      <c r="A1764" s="1253">
        <v>43382</v>
      </c>
      <c r="B1764" s="1209">
        <v>3195</v>
      </c>
      <c r="C1764" s="1210">
        <v>18975</v>
      </c>
      <c r="D1764" s="1230">
        <v>18950</v>
      </c>
      <c r="E1764" s="1212">
        <f t="shared" si="160"/>
        <v>-25</v>
      </c>
      <c r="F1764" s="1211">
        <f t="shared" si="175"/>
        <v>-10</v>
      </c>
      <c r="G1764" s="1229"/>
      <c r="H1764" s="1276"/>
      <c r="I1764" s="1291">
        <v>145250</v>
      </c>
    </row>
    <row r="1765" spans="1:9" ht="15" customHeight="1">
      <c r="A1765" s="1253">
        <v>43383</v>
      </c>
      <c r="B1765" s="1209">
        <v>3190</v>
      </c>
      <c r="C1765" s="1210">
        <v>19010</v>
      </c>
      <c r="D1765" s="1230">
        <v>19000</v>
      </c>
      <c r="E1765" s="1212">
        <f t="shared" si="160"/>
        <v>-10</v>
      </c>
      <c r="F1765" s="1211">
        <f t="shared" ref="F1765" si="176">C1765-C1764</f>
        <v>35</v>
      </c>
      <c r="G1765" s="1229"/>
      <c r="H1765" s="1276"/>
      <c r="I1765" s="1291">
        <v>145250</v>
      </c>
    </row>
    <row r="1766" spans="1:9" ht="15" customHeight="1">
      <c r="A1766" s="1253">
        <v>43384</v>
      </c>
      <c r="B1766" s="1209">
        <v>3190</v>
      </c>
      <c r="C1766" s="1210">
        <v>18975</v>
      </c>
      <c r="D1766" s="1230">
        <v>18990</v>
      </c>
      <c r="E1766" s="1212">
        <f t="shared" si="160"/>
        <v>15</v>
      </c>
      <c r="F1766" s="1211">
        <f t="shared" ref="F1766" si="177">C1766-C1765</f>
        <v>-35</v>
      </c>
      <c r="G1766" s="1229"/>
      <c r="H1766" s="1276"/>
      <c r="I1766" s="1291">
        <v>145750</v>
      </c>
    </row>
    <row r="1767" spans="1:9" ht="15" customHeight="1">
      <c r="A1767" s="1253">
        <v>43385</v>
      </c>
      <c r="B1767" s="1209">
        <v>3170</v>
      </c>
      <c r="C1767" s="1210">
        <v>19050</v>
      </c>
      <c r="D1767" s="1230">
        <v>19050</v>
      </c>
      <c r="E1767" s="1212">
        <f t="shared" si="160"/>
        <v>0</v>
      </c>
      <c r="F1767" s="1211">
        <f t="shared" ref="F1767" si="178">C1767-C1766</f>
        <v>75</v>
      </c>
      <c r="G1767" s="1229"/>
      <c r="H1767" s="1276"/>
      <c r="I1767" s="1291">
        <v>145750</v>
      </c>
    </row>
    <row r="1768" spans="1:9" ht="15" customHeight="1">
      <c r="A1768" s="1253">
        <v>43388</v>
      </c>
      <c r="B1768" s="1209">
        <v>3160</v>
      </c>
      <c r="C1768" s="1210">
        <v>19100</v>
      </c>
      <c r="D1768" s="1230">
        <v>19105</v>
      </c>
      <c r="E1768" s="1212">
        <f t="shared" si="160"/>
        <v>5</v>
      </c>
      <c r="F1768" s="1211">
        <f t="shared" ref="F1768" si="179">C1768-C1767</f>
        <v>50</v>
      </c>
      <c r="G1768" s="1229"/>
      <c r="H1768" s="1276"/>
      <c r="I1768" s="1291">
        <v>145250</v>
      </c>
    </row>
    <row r="1769" spans="1:9" ht="15" customHeight="1">
      <c r="A1769" s="1253">
        <v>43389</v>
      </c>
      <c r="B1769" s="1209">
        <v>3160</v>
      </c>
      <c r="C1769" s="1210">
        <v>19175</v>
      </c>
      <c r="D1769" s="1230">
        <v>19100</v>
      </c>
      <c r="E1769" s="1212">
        <f t="shared" si="160"/>
        <v>-75</v>
      </c>
      <c r="F1769" s="1211">
        <f t="shared" ref="F1769" si="180">C1769-C1768</f>
        <v>75</v>
      </c>
      <c r="G1769" s="1229"/>
      <c r="H1769" s="1276"/>
      <c r="I1769" s="1291">
        <v>145500</v>
      </c>
    </row>
    <row r="1770" spans="1:9" ht="15" customHeight="1">
      <c r="A1770" s="1253">
        <v>43390</v>
      </c>
      <c r="B1770" s="1209">
        <v>3160</v>
      </c>
      <c r="C1770" s="1210">
        <v>19300</v>
      </c>
      <c r="D1770" s="1230">
        <v>19225</v>
      </c>
      <c r="E1770" s="1212">
        <f t="shared" si="160"/>
        <v>-75</v>
      </c>
      <c r="F1770" s="1211">
        <f t="shared" ref="F1770" si="181">C1770-C1769</f>
        <v>125</v>
      </c>
      <c r="G1770" s="1229"/>
      <c r="H1770" s="1276"/>
      <c r="I1770" s="1291">
        <v>145750</v>
      </c>
    </row>
    <row r="1771" spans="1:9" ht="15" customHeight="1">
      <c r="A1771" s="1253">
        <v>43391</v>
      </c>
      <c r="B1771" s="1209">
        <v>3030</v>
      </c>
      <c r="C1771" s="1210">
        <v>19175</v>
      </c>
      <c r="D1771" s="1230">
        <v>19130</v>
      </c>
      <c r="E1771" s="1212">
        <f t="shared" si="160"/>
        <v>-45</v>
      </c>
      <c r="F1771" s="1211">
        <f t="shared" ref="F1771" si="182">C1771-C1770</f>
        <v>-125</v>
      </c>
      <c r="G1771" s="1229"/>
      <c r="H1771" s="1276"/>
      <c r="I1771" s="1291">
        <v>145900</v>
      </c>
    </row>
    <row r="1772" spans="1:9" ht="15" customHeight="1">
      <c r="A1772" s="1253">
        <v>43392</v>
      </c>
      <c r="B1772" s="1209">
        <v>2955</v>
      </c>
      <c r="C1772" s="1210">
        <v>19160</v>
      </c>
      <c r="D1772" s="1230">
        <v>19110</v>
      </c>
      <c r="E1772" s="1212">
        <f t="shared" si="160"/>
        <v>-50</v>
      </c>
      <c r="F1772" s="1211">
        <f t="shared" ref="F1772:F1776" si="183">C1772-C1771</f>
        <v>-15</v>
      </c>
      <c r="G1772" s="1229"/>
      <c r="H1772" s="1269"/>
      <c r="I1772" s="1291">
        <v>145000</v>
      </c>
    </row>
    <row r="1773" spans="1:9" ht="15" customHeight="1">
      <c r="A1773" s="1253">
        <v>43395</v>
      </c>
      <c r="B1773" s="1209">
        <v>2980</v>
      </c>
      <c r="C1773" s="1210">
        <v>19250</v>
      </c>
      <c r="D1773" s="1230">
        <v>19200</v>
      </c>
      <c r="E1773" s="1212">
        <f t="shared" si="160"/>
        <v>-50</v>
      </c>
      <c r="F1773" s="1211">
        <f t="shared" si="183"/>
        <v>90</v>
      </c>
      <c r="G1773" s="1229"/>
      <c r="H1773" s="1269"/>
      <c r="I1773" s="1291">
        <v>145250</v>
      </c>
    </row>
    <row r="1774" spans="1:9" ht="15" customHeight="1">
      <c r="A1774" s="1253">
        <v>43396</v>
      </c>
      <c r="B1774" s="1209">
        <v>2975</v>
      </c>
      <c r="C1774" s="1210">
        <v>19425</v>
      </c>
      <c r="D1774" s="1230">
        <v>19400</v>
      </c>
      <c r="E1774" s="1212">
        <f t="shared" si="160"/>
        <v>-25</v>
      </c>
      <c r="F1774" s="1211">
        <f t="shared" si="183"/>
        <v>175</v>
      </c>
      <c r="G1774" s="1229"/>
      <c r="H1774" s="1269"/>
      <c r="I1774" s="1291">
        <v>146250</v>
      </c>
    </row>
    <row r="1775" spans="1:9" ht="15" customHeight="1">
      <c r="A1775" s="1253">
        <v>43397</v>
      </c>
      <c r="B1775" s="1209">
        <v>2975</v>
      </c>
      <c r="C1775" s="1210">
        <v>19435</v>
      </c>
      <c r="D1775" s="1230">
        <v>19330</v>
      </c>
      <c r="E1775" s="1212">
        <f t="shared" si="160"/>
        <v>-105</v>
      </c>
      <c r="F1775" s="1211">
        <f t="shared" si="183"/>
        <v>10</v>
      </c>
      <c r="G1775" s="1229"/>
      <c r="H1775" s="1269"/>
      <c r="I1775" s="1291">
        <v>146500</v>
      </c>
    </row>
    <row r="1776" spans="1:9" ht="15" customHeight="1">
      <c r="A1776" s="1253">
        <v>43398</v>
      </c>
      <c r="B1776" s="1209">
        <v>2975</v>
      </c>
      <c r="C1776" s="1210">
        <v>19375</v>
      </c>
      <c r="D1776" s="1230">
        <v>19315</v>
      </c>
      <c r="E1776" s="1212">
        <f t="shared" si="160"/>
        <v>-60</v>
      </c>
      <c r="F1776" s="1211">
        <f t="shared" si="183"/>
        <v>-60</v>
      </c>
      <c r="G1776" s="1229"/>
      <c r="H1776" s="1269"/>
      <c r="I1776" s="1291">
        <v>146000</v>
      </c>
    </row>
    <row r="1777" spans="1:9" ht="15" customHeight="1">
      <c r="A1777" s="1253">
        <v>43399</v>
      </c>
      <c r="B1777" s="1209">
        <v>2975</v>
      </c>
      <c r="C1777" s="1210">
        <v>19350</v>
      </c>
      <c r="D1777" s="1230">
        <v>19275</v>
      </c>
      <c r="E1777" s="1212">
        <f t="shared" si="160"/>
        <v>-75</v>
      </c>
      <c r="F1777" s="1211">
        <f t="shared" ref="F1777" si="184">C1777-C1776</f>
        <v>-25</v>
      </c>
      <c r="G1777" s="1229"/>
      <c r="H1777" s="1269"/>
      <c r="I1777" s="1291">
        <v>145750</v>
      </c>
    </row>
    <row r="1778" spans="1:9" ht="15" customHeight="1">
      <c r="A1778" s="1253">
        <v>43402</v>
      </c>
      <c r="B1778" s="1209">
        <v>3155</v>
      </c>
      <c r="C1778" s="1210">
        <v>19250</v>
      </c>
      <c r="D1778" s="1230">
        <v>19180</v>
      </c>
      <c r="E1778" s="1212">
        <f t="shared" si="160"/>
        <v>-70</v>
      </c>
      <c r="F1778" s="1211">
        <f t="shared" ref="F1778" si="185">C1778-C1777</f>
        <v>-100</v>
      </c>
      <c r="G1778" s="1229"/>
      <c r="H1778" s="1269"/>
      <c r="I1778" s="1291">
        <v>145500</v>
      </c>
    </row>
    <row r="1779" spans="1:9" ht="15" customHeight="1">
      <c r="A1779" s="1253">
        <v>43403</v>
      </c>
      <c r="B1779" s="1209">
        <v>3155</v>
      </c>
      <c r="C1779" s="1210">
        <v>19085</v>
      </c>
      <c r="D1779" s="1230">
        <v>19075</v>
      </c>
      <c r="E1779" s="1212">
        <f t="shared" si="160"/>
        <v>-10</v>
      </c>
      <c r="F1779" s="1211">
        <f t="shared" ref="F1779" si="186">C1779-C1778</f>
        <v>-165</v>
      </c>
      <c r="G1779" s="1229"/>
      <c r="H1779" s="1269"/>
      <c r="I1779" s="1291">
        <v>145250</v>
      </c>
    </row>
    <row r="1780" spans="1:9" ht="15" customHeight="1">
      <c r="A1780" s="1253">
        <v>43404</v>
      </c>
      <c r="B1780" s="1209">
        <v>3055</v>
      </c>
      <c r="C1780" s="1210">
        <v>19150</v>
      </c>
      <c r="D1780" s="1230">
        <v>19080</v>
      </c>
      <c r="E1780" s="1212">
        <f t="shared" si="160"/>
        <v>-70</v>
      </c>
      <c r="F1780" s="1211">
        <f t="shared" ref="F1780" si="187">C1780-C1779</f>
        <v>65</v>
      </c>
      <c r="G1780" s="1227">
        <f>AVERAGE($C$1758:C1780)</f>
        <v>19129.130434782608</v>
      </c>
      <c r="H1780" s="1274">
        <f>AVERAGE($C$1564:C1780)</f>
        <v>20340.047169811322</v>
      </c>
      <c r="I1780" s="1291">
        <v>144750</v>
      </c>
    </row>
    <row r="1781" spans="1:9" ht="15" customHeight="1">
      <c r="A1781" s="1253">
        <v>43405</v>
      </c>
      <c r="B1781" s="1209">
        <v>3085</v>
      </c>
      <c r="C1781" s="1210">
        <v>19105</v>
      </c>
      <c r="D1781" s="1230">
        <v>19075</v>
      </c>
      <c r="E1781" s="1212">
        <f t="shared" si="160"/>
        <v>-30</v>
      </c>
      <c r="F1781" s="1211">
        <f t="shared" ref="F1781:F1786" si="188">C1781-C1780</f>
        <v>-45</v>
      </c>
      <c r="G1781" s="1229"/>
      <c r="H1781" s="1276"/>
      <c r="I1781" s="1291">
        <v>144750</v>
      </c>
    </row>
    <row r="1782" spans="1:9" ht="15" customHeight="1">
      <c r="A1782" s="1253">
        <v>43406</v>
      </c>
      <c r="B1782" s="1209">
        <v>3155</v>
      </c>
      <c r="C1782" s="1210">
        <v>19175</v>
      </c>
      <c r="D1782" s="1230">
        <v>19180</v>
      </c>
      <c r="E1782" s="1212">
        <f t="shared" si="160"/>
        <v>5</v>
      </c>
      <c r="F1782" s="1211">
        <f t="shared" si="188"/>
        <v>70</v>
      </c>
      <c r="G1782" s="1229"/>
      <c r="H1782" s="1276"/>
      <c r="I1782" s="1291">
        <v>144750</v>
      </c>
    </row>
    <row r="1783" spans="1:9" ht="15" customHeight="1">
      <c r="A1783" s="1253">
        <v>43409</v>
      </c>
      <c r="B1783" s="1209">
        <v>3195</v>
      </c>
      <c r="C1783" s="1210">
        <v>19080</v>
      </c>
      <c r="D1783" s="1230">
        <v>19100</v>
      </c>
      <c r="E1783" s="1212">
        <f t="shared" si="160"/>
        <v>20</v>
      </c>
      <c r="F1783" s="1211">
        <f t="shared" si="188"/>
        <v>-95</v>
      </c>
      <c r="G1783" s="1229"/>
      <c r="H1783" s="1276"/>
      <c r="I1783" s="1291">
        <v>145000</v>
      </c>
    </row>
    <row r="1784" spans="1:9" ht="15" customHeight="1">
      <c r="A1784" s="1253">
        <v>43410</v>
      </c>
      <c r="B1784" s="1209">
        <v>3235</v>
      </c>
      <c r="C1784" s="1210">
        <v>19050</v>
      </c>
      <c r="D1784" s="1230">
        <v>19100</v>
      </c>
      <c r="E1784" s="1212">
        <f t="shared" si="160"/>
        <v>50</v>
      </c>
      <c r="F1784" s="1211">
        <f t="shared" si="188"/>
        <v>-30</v>
      </c>
      <c r="G1784" s="1229"/>
      <c r="H1784" s="1276"/>
      <c r="I1784" s="1291">
        <v>144750</v>
      </c>
    </row>
    <row r="1785" spans="1:9" ht="15" customHeight="1">
      <c r="A1785" s="1253">
        <v>43411</v>
      </c>
      <c r="B1785" s="1209">
        <v>3235</v>
      </c>
      <c r="C1785" s="1210">
        <v>19050</v>
      </c>
      <c r="D1785" s="1230">
        <v>19020</v>
      </c>
      <c r="E1785" s="1212">
        <f t="shared" si="160"/>
        <v>-30</v>
      </c>
      <c r="F1785" s="1211">
        <f t="shared" si="188"/>
        <v>0</v>
      </c>
      <c r="G1785" s="1229"/>
      <c r="H1785" s="1276"/>
      <c r="I1785" s="1291">
        <v>145000</v>
      </c>
    </row>
    <row r="1786" spans="1:9" ht="15" customHeight="1">
      <c r="A1786" s="1253">
        <v>43412</v>
      </c>
      <c r="B1786" s="1209">
        <v>3070</v>
      </c>
      <c r="C1786" s="1210">
        <v>19200</v>
      </c>
      <c r="D1786" s="1230">
        <v>19160</v>
      </c>
      <c r="E1786" s="1212">
        <f t="shared" si="160"/>
        <v>-40</v>
      </c>
      <c r="F1786" s="1211">
        <f t="shared" si="188"/>
        <v>150</v>
      </c>
      <c r="G1786" s="1229"/>
      <c r="H1786" s="1276"/>
      <c r="I1786" s="1291">
        <v>146500</v>
      </c>
    </row>
    <row r="1787" spans="1:9" ht="15" customHeight="1">
      <c r="A1787" s="1253">
        <v>43413</v>
      </c>
      <c r="B1787" s="1209">
        <v>2920</v>
      </c>
      <c r="C1787" s="1210">
        <v>19310</v>
      </c>
      <c r="D1787" s="1230">
        <v>19280</v>
      </c>
      <c r="E1787" s="1212">
        <f t="shared" si="160"/>
        <v>-30</v>
      </c>
      <c r="F1787" s="1211">
        <f t="shared" ref="F1787" si="189">C1787-C1786</f>
        <v>110</v>
      </c>
      <c r="G1787" s="1229"/>
      <c r="H1787" s="1276"/>
      <c r="I1787" s="1291">
        <v>148000</v>
      </c>
    </row>
    <row r="1788" spans="1:9" ht="15" customHeight="1">
      <c r="A1788" s="1253">
        <v>43416</v>
      </c>
      <c r="B1788" s="1209">
        <v>2960</v>
      </c>
      <c r="C1788" s="1210">
        <v>19330</v>
      </c>
      <c r="D1788" s="1230">
        <v>19275</v>
      </c>
      <c r="E1788" s="1212">
        <f t="shared" si="160"/>
        <v>-55</v>
      </c>
      <c r="F1788" s="1211">
        <f t="shared" ref="F1788" si="190">C1788-C1787</f>
        <v>20</v>
      </c>
      <c r="G1788" s="1229"/>
      <c r="H1788" s="1276"/>
      <c r="I1788" s="1291">
        <v>148500</v>
      </c>
    </row>
    <row r="1789" spans="1:9" ht="15" customHeight="1">
      <c r="A1789" s="1253">
        <v>43417</v>
      </c>
      <c r="B1789" s="1209">
        <v>3010</v>
      </c>
      <c r="C1789" s="1210">
        <v>19300</v>
      </c>
      <c r="D1789" s="1230">
        <v>19280</v>
      </c>
      <c r="E1789" s="1212">
        <f t="shared" si="160"/>
        <v>-20</v>
      </c>
      <c r="F1789" s="1211">
        <f t="shared" ref="F1789" si="191">C1789-C1788</f>
        <v>-30</v>
      </c>
      <c r="G1789" s="1229"/>
      <c r="H1789" s="1276"/>
      <c r="I1789" s="1291">
        <v>150250</v>
      </c>
    </row>
    <row r="1790" spans="1:9" ht="15" customHeight="1">
      <c r="A1790" s="1253">
        <v>43418</v>
      </c>
      <c r="B1790" s="1209">
        <v>3010</v>
      </c>
      <c r="C1790" s="1210">
        <v>19345</v>
      </c>
      <c r="D1790" s="1230">
        <v>19305</v>
      </c>
      <c r="E1790" s="1212">
        <f t="shared" si="160"/>
        <v>-40</v>
      </c>
      <c r="F1790" s="1211">
        <f t="shared" ref="F1790" si="192">C1790-C1789</f>
        <v>45</v>
      </c>
      <c r="G1790" s="1229"/>
      <c r="H1790" s="1276"/>
      <c r="I1790" s="1291">
        <v>151000</v>
      </c>
    </row>
    <row r="1791" spans="1:9" ht="15" customHeight="1">
      <c r="A1791" s="1253">
        <v>43419</v>
      </c>
      <c r="B1791" s="1209">
        <v>3010</v>
      </c>
      <c r="C1791" s="1210">
        <v>19475</v>
      </c>
      <c r="D1791" s="1230">
        <v>19425</v>
      </c>
      <c r="E1791" s="1212">
        <f t="shared" si="160"/>
        <v>-50</v>
      </c>
      <c r="F1791" s="1211">
        <f t="shared" ref="F1791" si="193">C1791-C1790</f>
        <v>130</v>
      </c>
      <c r="G1791" s="1229"/>
      <c r="H1791" s="1276"/>
      <c r="I1791" s="1291">
        <v>151750</v>
      </c>
    </row>
    <row r="1792" spans="1:9" ht="15" customHeight="1">
      <c r="A1792" s="1253">
        <v>43420</v>
      </c>
      <c r="B1792" s="1209">
        <v>3080</v>
      </c>
      <c r="C1792" s="1210">
        <v>19450</v>
      </c>
      <c r="D1792" s="1230">
        <v>19365</v>
      </c>
      <c r="E1792" s="1212">
        <f t="shared" si="160"/>
        <v>-85</v>
      </c>
      <c r="F1792" s="1211">
        <f t="shared" ref="F1792" si="194">C1792-C1791</f>
        <v>-25</v>
      </c>
      <c r="G1792" s="1229"/>
      <c r="H1792" s="1276"/>
      <c r="I1792" s="1291">
        <v>152250</v>
      </c>
    </row>
    <row r="1793" spans="1:9" ht="15" customHeight="1">
      <c r="A1793" s="1253">
        <v>43423</v>
      </c>
      <c r="B1793" s="1209">
        <v>3055</v>
      </c>
      <c r="C1793" s="1210">
        <v>19460</v>
      </c>
      <c r="D1793" s="1230">
        <v>19520</v>
      </c>
      <c r="E1793" s="1212">
        <f t="shared" si="160"/>
        <v>60</v>
      </c>
      <c r="F1793" s="1211">
        <f t="shared" ref="F1793" si="195">C1793-C1792</f>
        <v>10</v>
      </c>
      <c r="G1793" s="1229"/>
      <c r="H1793" s="1276"/>
      <c r="I1793" s="1291">
        <v>152750</v>
      </c>
    </row>
    <row r="1794" spans="1:9" ht="15" customHeight="1">
      <c r="A1794" s="1253">
        <v>43424</v>
      </c>
      <c r="B1794" s="1209">
        <v>3055</v>
      </c>
      <c r="C1794" s="1210">
        <v>19600</v>
      </c>
      <c r="D1794" s="1230">
        <v>19585</v>
      </c>
      <c r="E1794" s="1212">
        <f t="shared" si="160"/>
        <v>-15</v>
      </c>
      <c r="F1794" s="1211">
        <f t="shared" ref="F1794" si="196">C1794-C1793</f>
        <v>140</v>
      </c>
      <c r="G1794" s="1229"/>
      <c r="H1794" s="1276"/>
      <c r="I1794" s="1291">
        <v>152750</v>
      </c>
    </row>
    <row r="1795" spans="1:9" ht="15" customHeight="1">
      <c r="A1795" s="1253">
        <v>43425</v>
      </c>
      <c r="B1795" s="1209">
        <v>3055</v>
      </c>
      <c r="C1795" s="1210">
        <v>19500</v>
      </c>
      <c r="D1795" s="1230">
        <v>19475</v>
      </c>
      <c r="E1795" s="1212">
        <f t="shared" si="160"/>
        <v>-25</v>
      </c>
      <c r="F1795" s="1211">
        <f t="shared" ref="F1795" si="197">C1795-C1794</f>
        <v>-100</v>
      </c>
      <c r="G1795" s="1229"/>
      <c r="H1795" s="1276"/>
      <c r="I1795" s="1291">
        <v>150750</v>
      </c>
    </row>
    <row r="1796" spans="1:9" ht="15" customHeight="1">
      <c r="A1796" s="1253">
        <v>43426</v>
      </c>
      <c r="B1796" s="1209">
        <v>2930</v>
      </c>
      <c r="C1796" s="1210">
        <v>19475</v>
      </c>
      <c r="D1796" s="1230">
        <v>19450</v>
      </c>
      <c r="E1796" s="1212">
        <f t="shared" si="160"/>
        <v>-25</v>
      </c>
      <c r="F1796" s="1211">
        <f t="shared" ref="F1796" si="198">C1796-C1795</f>
        <v>-25</v>
      </c>
      <c r="G1796" s="1229"/>
      <c r="H1796" s="1269"/>
      <c r="I1796" s="1291">
        <v>148750</v>
      </c>
    </row>
    <row r="1797" spans="1:9" ht="15" customHeight="1">
      <c r="A1797" s="1253">
        <v>43427</v>
      </c>
      <c r="B1797" s="1209">
        <v>2905</v>
      </c>
      <c r="C1797" s="1210">
        <v>19125</v>
      </c>
      <c r="D1797" s="1230">
        <v>19100</v>
      </c>
      <c r="E1797" s="1212">
        <f t="shared" si="160"/>
        <v>-25</v>
      </c>
      <c r="F1797" s="1211">
        <f t="shared" ref="F1797:F1802" si="199">C1797-C1796</f>
        <v>-350</v>
      </c>
      <c r="G1797" s="1229"/>
      <c r="H1797" s="1269"/>
      <c r="I1797" s="1291">
        <v>147500</v>
      </c>
    </row>
    <row r="1798" spans="1:9" ht="15" customHeight="1">
      <c r="A1798" s="1253">
        <v>43430</v>
      </c>
      <c r="B1798" s="1209">
        <v>2860</v>
      </c>
      <c r="C1798" s="1210">
        <v>18755</v>
      </c>
      <c r="D1798" s="1230">
        <v>18775</v>
      </c>
      <c r="E1798" s="1212">
        <f t="shared" si="160"/>
        <v>20</v>
      </c>
      <c r="F1798" s="1211">
        <f t="shared" si="199"/>
        <v>-370</v>
      </c>
      <c r="G1798" s="1229"/>
      <c r="H1798" s="1269"/>
      <c r="I1798" s="1291">
        <v>144750</v>
      </c>
    </row>
    <row r="1799" spans="1:9" ht="15" customHeight="1">
      <c r="A1799" s="1253">
        <v>43431</v>
      </c>
      <c r="B1799" s="1209">
        <v>2880</v>
      </c>
      <c r="C1799" s="1210">
        <v>18750</v>
      </c>
      <c r="D1799" s="1230">
        <v>18750</v>
      </c>
      <c r="E1799" s="1212">
        <f t="shared" ref="E1799:E1818" si="200">D1799-C1799</f>
        <v>0</v>
      </c>
      <c r="F1799" s="1211">
        <f t="shared" si="199"/>
        <v>-5</v>
      </c>
      <c r="G1799" s="1229"/>
      <c r="H1799" s="1269"/>
      <c r="I1799" s="1291">
        <v>145500</v>
      </c>
    </row>
    <row r="1800" spans="1:9" ht="15" customHeight="1">
      <c r="A1800" s="1253">
        <v>43432</v>
      </c>
      <c r="B1800" s="1209">
        <v>2905</v>
      </c>
      <c r="C1800" s="1210">
        <v>18425</v>
      </c>
      <c r="D1800" s="1230">
        <v>18400</v>
      </c>
      <c r="E1800" s="1212">
        <f t="shared" si="200"/>
        <v>-25</v>
      </c>
      <c r="F1800" s="1211">
        <f t="shared" si="199"/>
        <v>-325</v>
      </c>
      <c r="G1800" s="1229"/>
      <c r="H1800" s="1269"/>
      <c r="I1800" s="1291">
        <v>144250</v>
      </c>
    </row>
    <row r="1801" spans="1:9" ht="15" customHeight="1">
      <c r="A1801" s="1253">
        <v>43433</v>
      </c>
      <c r="B1801" s="1209">
        <v>2905</v>
      </c>
      <c r="C1801" s="1210">
        <v>18580</v>
      </c>
      <c r="D1801" s="1230">
        <v>18560</v>
      </c>
      <c r="E1801" s="1212">
        <f t="shared" si="200"/>
        <v>-20</v>
      </c>
      <c r="F1801" s="1211">
        <f t="shared" si="199"/>
        <v>155</v>
      </c>
      <c r="G1801" s="1215"/>
      <c r="H1801" s="1269"/>
      <c r="I1801" s="1291">
        <v>144250</v>
      </c>
    </row>
    <row r="1802" spans="1:9" ht="15" customHeight="1">
      <c r="A1802" s="1253">
        <v>43434</v>
      </c>
      <c r="B1802" s="1209">
        <v>3000</v>
      </c>
      <c r="C1802" s="1210">
        <v>18525</v>
      </c>
      <c r="D1802" s="1230">
        <v>18525</v>
      </c>
      <c r="E1802" s="1212">
        <f t="shared" si="200"/>
        <v>0</v>
      </c>
      <c r="F1802" s="1211">
        <f t="shared" si="199"/>
        <v>-55</v>
      </c>
      <c r="G1802" s="1227">
        <f>AVERAGE($C$1781:C1802)</f>
        <v>19139.31818181818</v>
      </c>
      <c r="H1802" s="1274">
        <f>AVERAGE($C$1564:C1802)</f>
        <v>20227.158119658121</v>
      </c>
      <c r="I1802" s="1291">
        <v>144250</v>
      </c>
    </row>
    <row r="1803" spans="1:9" ht="15" customHeight="1">
      <c r="A1803" s="1253">
        <v>43437</v>
      </c>
      <c r="B1803" s="1209">
        <v>3045</v>
      </c>
      <c r="C1803" s="1210">
        <v>18875</v>
      </c>
      <c r="D1803" s="1230">
        <v>18800</v>
      </c>
      <c r="E1803" s="1212">
        <f t="shared" si="200"/>
        <v>-75</v>
      </c>
      <c r="F1803" s="1211">
        <f t="shared" ref="F1803" si="201">C1803-C1802</f>
        <v>350</v>
      </c>
      <c r="G1803" s="1215"/>
      <c r="H1803" s="1277"/>
      <c r="I1803" s="1291">
        <v>145250</v>
      </c>
    </row>
    <row r="1804" spans="1:9" ht="15" customHeight="1">
      <c r="A1804" s="1253">
        <v>43438</v>
      </c>
      <c r="B1804" s="1209">
        <v>3035</v>
      </c>
      <c r="C1804" s="1210">
        <v>19110</v>
      </c>
      <c r="D1804" s="1230">
        <v>19125</v>
      </c>
      <c r="E1804" s="1212">
        <f t="shared" si="200"/>
        <v>15</v>
      </c>
      <c r="F1804" s="1211">
        <f t="shared" ref="F1804" si="202">C1804-C1803</f>
        <v>235</v>
      </c>
      <c r="G1804" s="1229"/>
      <c r="H1804" s="1277"/>
      <c r="I1804" s="1291">
        <v>145000</v>
      </c>
    </row>
    <row r="1805" spans="1:9" ht="15" customHeight="1">
      <c r="A1805" s="1253">
        <v>43439</v>
      </c>
      <c r="B1805" s="1209">
        <v>3010</v>
      </c>
      <c r="C1805" s="1210">
        <v>19200</v>
      </c>
      <c r="D1805" s="1230">
        <v>19150</v>
      </c>
      <c r="E1805" s="1212">
        <f t="shared" si="200"/>
        <v>-50</v>
      </c>
      <c r="F1805" s="1211">
        <f t="shared" ref="F1805" si="203">C1805-C1804</f>
        <v>90</v>
      </c>
      <c r="G1805" s="1230"/>
      <c r="H1805" s="1277"/>
      <c r="I1805" s="1291">
        <v>145250</v>
      </c>
    </row>
    <row r="1806" spans="1:9" ht="15" customHeight="1">
      <c r="A1806" s="1253">
        <v>43440</v>
      </c>
      <c r="B1806" s="1209">
        <v>2865</v>
      </c>
      <c r="C1806" s="1210">
        <v>18950</v>
      </c>
      <c r="D1806" s="1230">
        <v>18990</v>
      </c>
      <c r="E1806" s="1212">
        <f t="shared" si="200"/>
        <v>40</v>
      </c>
      <c r="F1806" s="1211">
        <f t="shared" ref="F1806" si="204">C1806-C1805</f>
        <v>-250</v>
      </c>
      <c r="G1806" s="1230"/>
      <c r="H1806" s="1277"/>
      <c r="I1806" s="1291">
        <v>145000</v>
      </c>
    </row>
    <row r="1807" spans="1:9" ht="15" customHeight="1">
      <c r="A1807" s="1253">
        <v>43441</v>
      </c>
      <c r="B1807" s="1209">
        <v>2865</v>
      </c>
      <c r="C1807" s="1210">
        <v>18930</v>
      </c>
      <c r="D1807" s="1230">
        <v>18875</v>
      </c>
      <c r="E1807" s="1212">
        <f t="shared" si="200"/>
        <v>-55</v>
      </c>
      <c r="F1807" s="1211">
        <f t="shared" ref="F1807" si="205">C1807-C1806</f>
        <v>-20</v>
      </c>
      <c r="G1807" s="1229"/>
      <c r="H1807" s="1277"/>
      <c r="I1807" s="1291">
        <v>144500</v>
      </c>
    </row>
    <row r="1808" spans="1:9" ht="15" customHeight="1">
      <c r="A1808" s="1253">
        <v>43444</v>
      </c>
      <c r="B1808" s="1209">
        <v>3025</v>
      </c>
      <c r="C1808" s="1210">
        <v>18930</v>
      </c>
      <c r="D1808" s="1230">
        <v>18900</v>
      </c>
      <c r="E1808" s="1212">
        <f t="shared" si="200"/>
        <v>-30</v>
      </c>
      <c r="F1808" s="1211">
        <f t="shared" ref="F1808" si="206">C1808-C1807</f>
        <v>0</v>
      </c>
      <c r="G1808" s="1229"/>
      <c r="H1808" s="1277"/>
      <c r="I1808" s="1291">
        <v>144500</v>
      </c>
    </row>
    <row r="1809" spans="1:9" ht="15" customHeight="1">
      <c r="A1809" s="1253">
        <v>43445</v>
      </c>
      <c r="B1809" s="1209">
        <v>2910</v>
      </c>
      <c r="C1809" s="1210">
        <v>19020</v>
      </c>
      <c r="D1809" s="1230">
        <v>18985</v>
      </c>
      <c r="E1809" s="1212">
        <f t="shared" si="200"/>
        <v>-35</v>
      </c>
      <c r="F1809" s="1211">
        <f t="shared" ref="F1809" si="207">C1809-C1808</f>
        <v>90</v>
      </c>
      <c r="G1809" s="1229"/>
      <c r="H1809" s="1277"/>
      <c r="I1809" s="1291">
        <v>144500</v>
      </c>
    </row>
    <row r="1810" spans="1:9" ht="15" customHeight="1">
      <c r="A1810" s="1253">
        <v>43446</v>
      </c>
      <c r="B1810" s="1209">
        <v>2910</v>
      </c>
      <c r="C1810" s="1210">
        <v>19180</v>
      </c>
      <c r="D1810" s="1230">
        <v>19225</v>
      </c>
      <c r="E1810" s="1212">
        <f t="shared" si="200"/>
        <v>45</v>
      </c>
      <c r="F1810" s="1211">
        <f t="shared" ref="F1810" si="208">C1810-C1809</f>
        <v>160</v>
      </c>
      <c r="G1810" s="1229"/>
      <c r="H1810" s="1277"/>
      <c r="I1810" s="1291">
        <v>144500</v>
      </c>
    </row>
    <row r="1811" spans="1:9" ht="15" customHeight="1">
      <c r="A1811" s="1253">
        <v>43447</v>
      </c>
      <c r="B1811" s="1209">
        <v>2910</v>
      </c>
      <c r="C1811" s="1210">
        <v>19410</v>
      </c>
      <c r="D1811" s="1230">
        <v>19425</v>
      </c>
      <c r="E1811" s="1212">
        <f t="shared" si="200"/>
        <v>15</v>
      </c>
      <c r="F1811" s="1211">
        <f t="shared" ref="F1811" si="209">C1811-C1810</f>
        <v>230</v>
      </c>
      <c r="G1811" s="1229"/>
      <c r="H1811" s="1277"/>
      <c r="I1811" s="1291">
        <v>144750</v>
      </c>
    </row>
    <row r="1812" spans="1:9" ht="15" customHeight="1">
      <c r="A1812" s="1253">
        <v>43448</v>
      </c>
      <c r="B1812" s="1209">
        <v>2990</v>
      </c>
      <c r="C1812" s="1210">
        <v>19365</v>
      </c>
      <c r="D1812" s="1230">
        <v>19375</v>
      </c>
      <c r="E1812" s="1212">
        <f t="shared" si="200"/>
        <v>10</v>
      </c>
      <c r="F1812" s="1211">
        <f t="shared" ref="F1812" si="210">C1812-C1811</f>
        <v>-45</v>
      </c>
      <c r="G1812" s="1229"/>
      <c r="H1812" s="1277"/>
      <c r="I1812" s="1291">
        <v>144750</v>
      </c>
    </row>
    <row r="1813" spans="1:9" ht="15" customHeight="1">
      <c r="A1813" s="1253">
        <v>43451</v>
      </c>
      <c r="B1813" s="1209">
        <v>2990</v>
      </c>
      <c r="C1813" s="1210">
        <v>19500</v>
      </c>
      <c r="D1813" s="1230">
        <v>19420</v>
      </c>
      <c r="E1813" s="1212">
        <f t="shared" si="200"/>
        <v>-80</v>
      </c>
      <c r="F1813" s="1211">
        <f t="shared" ref="F1813" si="211">C1813-C1812</f>
        <v>135</v>
      </c>
      <c r="G1813" s="1229"/>
      <c r="H1813" s="1277"/>
      <c r="I1813" s="1291">
        <v>144500</v>
      </c>
    </row>
    <row r="1814" spans="1:9" ht="15" customHeight="1">
      <c r="A1814" s="1253">
        <v>43452</v>
      </c>
      <c r="B1814" s="1209">
        <v>2990</v>
      </c>
      <c r="C1814" s="1210">
        <v>19300</v>
      </c>
      <c r="D1814" s="1230">
        <v>19250</v>
      </c>
      <c r="E1814" s="1212">
        <f t="shared" si="200"/>
        <v>-50</v>
      </c>
      <c r="F1814" s="1211">
        <f t="shared" ref="F1814" si="212">C1814-C1813</f>
        <v>-200</v>
      </c>
      <c r="G1814" s="1229"/>
      <c r="H1814" s="1277"/>
      <c r="I1814" s="1291">
        <v>144500</v>
      </c>
    </row>
    <row r="1815" spans="1:9" ht="15" customHeight="1">
      <c r="A1815" s="1253">
        <v>43453</v>
      </c>
      <c r="B1815" s="1209">
        <v>2990</v>
      </c>
      <c r="C1815" s="1210">
        <v>19260</v>
      </c>
      <c r="D1815" s="1230">
        <v>19185</v>
      </c>
      <c r="E1815" s="1212">
        <f t="shared" si="200"/>
        <v>-75</v>
      </c>
      <c r="F1815" s="1211">
        <f t="shared" ref="F1815" si="213">C1815-C1814</f>
        <v>-40</v>
      </c>
      <c r="G1815" s="1229"/>
      <c r="H1815" s="1277"/>
      <c r="I1815" s="1291">
        <v>144250</v>
      </c>
    </row>
    <row r="1816" spans="1:9" ht="15" customHeight="1">
      <c r="A1816" s="1253">
        <v>43454</v>
      </c>
      <c r="B1816" s="1209">
        <v>2800</v>
      </c>
      <c r="C1816" s="1210">
        <v>19375</v>
      </c>
      <c r="D1816" s="1230">
        <v>19325</v>
      </c>
      <c r="E1816" s="1212">
        <f t="shared" si="200"/>
        <v>-50</v>
      </c>
      <c r="F1816" s="1211">
        <f t="shared" ref="F1816" si="214">C1816-C1815</f>
        <v>115</v>
      </c>
      <c r="G1816" s="1229"/>
      <c r="H1816" s="1277"/>
      <c r="I1816" s="1291">
        <v>144500</v>
      </c>
    </row>
    <row r="1817" spans="1:9" ht="15" customHeight="1">
      <c r="A1817" s="1253">
        <v>43455</v>
      </c>
      <c r="B1817" s="1209">
        <v>2800</v>
      </c>
      <c r="C1817" s="1210">
        <v>19400</v>
      </c>
      <c r="D1817" s="1230">
        <v>19450</v>
      </c>
      <c r="E1817" s="1212">
        <f t="shared" si="200"/>
        <v>50</v>
      </c>
      <c r="F1817" s="1211">
        <f t="shared" ref="F1817" si="215">C1817-C1816</f>
        <v>25</v>
      </c>
      <c r="G1817" s="1229"/>
      <c r="H1817" s="1277"/>
      <c r="I1817" s="1291">
        <v>145000</v>
      </c>
    </row>
    <row r="1818" spans="1:9" ht="15" customHeight="1">
      <c r="A1818" s="1253">
        <v>43458</v>
      </c>
      <c r="B1818" s="1209">
        <v>2790</v>
      </c>
      <c r="C1818" s="1210">
        <v>19405</v>
      </c>
      <c r="D1818" s="1230">
        <v>19400</v>
      </c>
      <c r="E1818" s="1212">
        <f t="shared" si="200"/>
        <v>-5</v>
      </c>
      <c r="F1818" s="1211">
        <f t="shared" ref="F1818" si="216">C1818-C1817</f>
        <v>5</v>
      </c>
      <c r="G1818" s="1229"/>
      <c r="H1818" s="1277"/>
      <c r="I1818" s="1291"/>
    </row>
    <row r="1819" spans="1:9" ht="15" customHeight="1">
      <c r="A1819" s="1253">
        <v>43459</v>
      </c>
      <c r="B1819" s="1438" t="s">
        <v>118</v>
      </c>
      <c r="C1819" s="1438"/>
      <c r="D1819" s="1438"/>
      <c r="E1819" s="1438"/>
      <c r="F1819" s="1438"/>
      <c r="G1819" s="1438"/>
      <c r="H1819" s="1443"/>
      <c r="I1819" s="1291">
        <v>144250</v>
      </c>
    </row>
    <row r="1820" spans="1:9" ht="15" customHeight="1">
      <c r="A1820" s="1253">
        <v>43460</v>
      </c>
      <c r="B1820" s="1438"/>
      <c r="C1820" s="1438"/>
      <c r="D1820" s="1438"/>
      <c r="E1820" s="1438"/>
      <c r="F1820" s="1438"/>
      <c r="G1820" s="1438"/>
      <c r="H1820" s="1443"/>
      <c r="I1820" s="1291">
        <v>143500</v>
      </c>
    </row>
    <row r="1821" spans="1:9" ht="15" customHeight="1">
      <c r="A1821" s="1253">
        <v>43461</v>
      </c>
      <c r="B1821" s="1209">
        <v>2680</v>
      </c>
      <c r="C1821" s="1210">
        <v>19475</v>
      </c>
      <c r="D1821" s="1230">
        <v>19400</v>
      </c>
      <c r="E1821" s="1212">
        <f t="shared" ref="E1821:E1884" si="217">D1821-C1821</f>
        <v>-75</v>
      </c>
      <c r="F1821" s="1211">
        <f>C1821-C1818</f>
        <v>70</v>
      </c>
      <c r="G1821" s="1229"/>
      <c r="H1821" s="1269"/>
      <c r="I1821" s="1291">
        <v>144250</v>
      </c>
    </row>
    <row r="1822" spans="1:9" ht="15" customHeight="1">
      <c r="A1822" s="1253">
        <v>43462</v>
      </c>
      <c r="B1822" s="1209">
        <v>2180</v>
      </c>
      <c r="C1822" s="1210">
        <v>19425</v>
      </c>
      <c r="D1822" s="1230">
        <v>19400</v>
      </c>
      <c r="E1822" s="1212">
        <f t="shared" si="217"/>
        <v>-25</v>
      </c>
      <c r="F1822" s="1211">
        <f t="shared" ref="F1822" si="218">C1822-C1821</f>
        <v>-50</v>
      </c>
      <c r="G1822" s="1215"/>
      <c r="H1822" s="1269"/>
      <c r="I1822" s="1291">
        <v>144000</v>
      </c>
    </row>
    <row r="1823" spans="1:9" ht="15" customHeight="1">
      <c r="A1823" s="1253">
        <v>43465</v>
      </c>
      <c r="B1823" s="1209">
        <v>2175</v>
      </c>
      <c r="C1823" s="1210">
        <v>19500</v>
      </c>
      <c r="D1823" s="1230">
        <v>19475</v>
      </c>
      <c r="E1823" s="1212">
        <f t="shared" si="217"/>
        <v>-25</v>
      </c>
      <c r="F1823" s="1211">
        <f t="shared" ref="F1823:F1828" si="219">C1823-C1822</f>
        <v>75</v>
      </c>
      <c r="G1823" s="1227">
        <f>AVERAGE($C$1803:C1823)</f>
        <v>19242.63157894737</v>
      </c>
      <c r="H1823" s="1274">
        <f>AVERAGE($C$1564:C1823)</f>
        <v>20153.221343873516</v>
      </c>
      <c r="I1823" s="1291"/>
    </row>
    <row r="1824" spans="1:9" ht="15" customHeight="1">
      <c r="A1824" s="1253">
        <v>43467</v>
      </c>
      <c r="B1824" s="1209">
        <v>2165</v>
      </c>
      <c r="C1824" s="1210">
        <v>19525</v>
      </c>
      <c r="D1824" s="1230">
        <v>19475</v>
      </c>
      <c r="E1824" s="1212">
        <f t="shared" si="217"/>
        <v>-50</v>
      </c>
      <c r="F1824" s="1211">
        <f t="shared" si="219"/>
        <v>25</v>
      </c>
      <c r="G1824" s="1215"/>
      <c r="H1824" s="1269"/>
      <c r="I1824" s="1291">
        <v>143500</v>
      </c>
    </row>
    <row r="1825" spans="1:9" ht="15" customHeight="1">
      <c r="A1825" s="1253">
        <v>43468</v>
      </c>
      <c r="B1825" s="1209">
        <v>2165</v>
      </c>
      <c r="C1825" s="1210">
        <v>19500</v>
      </c>
      <c r="D1825" s="1230">
        <v>19500</v>
      </c>
      <c r="E1825" s="1212">
        <f t="shared" si="217"/>
        <v>0</v>
      </c>
      <c r="F1825" s="1211">
        <f t="shared" si="219"/>
        <v>-25</v>
      </c>
      <c r="G1825" s="1229"/>
      <c r="H1825" s="1269"/>
      <c r="I1825" s="1291">
        <v>143500</v>
      </c>
    </row>
    <row r="1826" spans="1:9" ht="15" customHeight="1">
      <c r="A1826" s="1253">
        <v>43469</v>
      </c>
      <c r="B1826" s="1209">
        <v>1605</v>
      </c>
      <c r="C1826" s="1210">
        <v>19575</v>
      </c>
      <c r="D1826" s="1230">
        <v>19550</v>
      </c>
      <c r="E1826" s="1212">
        <f t="shared" si="217"/>
        <v>-25</v>
      </c>
      <c r="F1826" s="1211">
        <f t="shared" si="219"/>
        <v>75</v>
      </c>
      <c r="G1826" s="1229"/>
      <c r="H1826" s="1269"/>
      <c r="I1826" s="1291">
        <v>143750</v>
      </c>
    </row>
    <row r="1827" spans="1:9" ht="15" customHeight="1">
      <c r="A1827" s="1253">
        <v>43472</v>
      </c>
      <c r="B1827" s="1209">
        <v>1570</v>
      </c>
      <c r="C1827" s="1210">
        <v>19765</v>
      </c>
      <c r="D1827" s="1230">
        <v>19740</v>
      </c>
      <c r="E1827" s="1212">
        <f t="shared" si="217"/>
        <v>-25</v>
      </c>
      <c r="F1827" s="1211">
        <f t="shared" si="219"/>
        <v>190</v>
      </c>
      <c r="G1827" s="1229"/>
      <c r="H1827" s="1269"/>
      <c r="I1827" s="1291">
        <v>144000</v>
      </c>
    </row>
    <row r="1828" spans="1:9" ht="15" customHeight="1">
      <c r="A1828" s="1253">
        <v>43473</v>
      </c>
      <c r="B1828" s="1209">
        <v>1545</v>
      </c>
      <c r="C1828" s="1210">
        <v>19820</v>
      </c>
      <c r="D1828" s="1230">
        <v>19775</v>
      </c>
      <c r="E1828" s="1212">
        <f t="shared" si="217"/>
        <v>-45</v>
      </c>
      <c r="F1828" s="1211">
        <f t="shared" si="219"/>
        <v>55</v>
      </c>
      <c r="G1828" s="1229"/>
      <c r="H1828" s="1269"/>
      <c r="I1828" s="1291">
        <v>144250</v>
      </c>
    </row>
    <row r="1829" spans="1:9" ht="15" customHeight="1">
      <c r="A1829" s="1253">
        <v>43474</v>
      </c>
      <c r="B1829" s="1209">
        <v>1545</v>
      </c>
      <c r="C1829" s="1210">
        <v>20225</v>
      </c>
      <c r="D1829" s="1230">
        <v>20145</v>
      </c>
      <c r="E1829" s="1212">
        <f t="shared" si="217"/>
        <v>-80</v>
      </c>
      <c r="F1829" s="1211">
        <f t="shared" ref="F1829" si="220">C1829-C1828</f>
        <v>405</v>
      </c>
      <c r="G1829" s="1229"/>
      <c r="H1829" s="1269"/>
      <c r="I1829" s="1291">
        <v>145000</v>
      </c>
    </row>
    <row r="1830" spans="1:9" ht="15" customHeight="1">
      <c r="A1830" s="1253">
        <v>43475</v>
      </c>
      <c r="B1830" s="1209">
        <v>1505</v>
      </c>
      <c r="C1830" s="1210">
        <v>20275</v>
      </c>
      <c r="D1830" s="1230">
        <v>20200</v>
      </c>
      <c r="E1830" s="1212">
        <f t="shared" si="217"/>
        <v>-75</v>
      </c>
      <c r="F1830" s="1211">
        <f t="shared" ref="F1830" si="221">C1830-C1829</f>
        <v>50</v>
      </c>
      <c r="G1830" s="1229"/>
      <c r="H1830" s="1269"/>
      <c r="I1830" s="1291">
        <v>145500</v>
      </c>
    </row>
    <row r="1831" spans="1:9" ht="15" customHeight="1">
      <c r="A1831" s="1253">
        <v>43476</v>
      </c>
      <c r="B1831" s="1209">
        <v>1440</v>
      </c>
      <c r="C1831" s="1210">
        <v>20500</v>
      </c>
      <c r="D1831" s="1230">
        <v>20360</v>
      </c>
      <c r="E1831" s="1212">
        <f t="shared" si="217"/>
        <v>-140</v>
      </c>
      <c r="F1831" s="1211">
        <f t="shared" ref="F1831" si="222">C1831-C1830</f>
        <v>225</v>
      </c>
      <c r="G1831" s="1229"/>
      <c r="H1831" s="1269"/>
      <c r="I1831" s="1291">
        <v>146000</v>
      </c>
    </row>
    <row r="1832" spans="1:9" ht="15" customHeight="1">
      <c r="A1832" s="1253">
        <v>43479</v>
      </c>
      <c r="B1832" s="1209">
        <v>1365</v>
      </c>
      <c r="C1832" s="1210">
        <v>20650</v>
      </c>
      <c r="D1832" s="1230">
        <v>20470</v>
      </c>
      <c r="E1832" s="1212">
        <f t="shared" si="217"/>
        <v>-180</v>
      </c>
      <c r="F1832" s="1211">
        <f t="shared" ref="F1832" si="223">C1832-C1831</f>
        <v>150</v>
      </c>
      <c r="G1832" s="1229"/>
      <c r="H1832" s="1269"/>
      <c r="I1832" s="1291">
        <v>146000</v>
      </c>
    </row>
    <row r="1833" spans="1:9" ht="15" customHeight="1">
      <c r="A1833" s="1253">
        <v>43480</v>
      </c>
      <c r="B1833" s="1209">
        <v>1260</v>
      </c>
      <c r="C1833" s="1210">
        <v>20675</v>
      </c>
      <c r="D1833" s="1230">
        <v>20565</v>
      </c>
      <c r="E1833" s="1212">
        <f t="shared" si="217"/>
        <v>-110</v>
      </c>
      <c r="F1833" s="1211">
        <f t="shared" ref="F1833" si="224">C1833-C1832</f>
        <v>25</v>
      </c>
      <c r="G1833" s="1229"/>
      <c r="H1833" s="1269"/>
      <c r="I1833" s="1291">
        <v>146500</v>
      </c>
    </row>
    <row r="1834" spans="1:9" ht="15" customHeight="1">
      <c r="A1834" s="1253">
        <v>43481</v>
      </c>
      <c r="B1834" s="1209">
        <v>1095</v>
      </c>
      <c r="C1834" s="1210">
        <v>20775</v>
      </c>
      <c r="D1834" s="1230">
        <v>20655</v>
      </c>
      <c r="E1834" s="1212">
        <f t="shared" si="217"/>
        <v>-120</v>
      </c>
      <c r="F1834" s="1211">
        <f t="shared" ref="F1834" si="225">C1834-C1833</f>
        <v>100</v>
      </c>
      <c r="G1834" s="1229"/>
      <c r="H1834" s="1269"/>
      <c r="I1834" s="1291">
        <v>147000</v>
      </c>
    </row>
    <row r="1835" spans="1:9" ht="15" customHeight="1">
      <c r="A1835" s="1253">
        <v>43482</v>
      </c>
      <c r="B1835" s="1209">
        <v>1160</v>
      </c>
      <c r="C1835" s="1210">
        <v>20745</v>
      </c>
      <c r="D1835" s="1230">
        <v>20625</v>
      </c>
      <c r="E1835" s="1212">
        <f t="shared" si="217"/>
        <v>-120</v>
      </c>
      <c r="F1835" s="1211">
        <f t="shared" ref="F1835" si="226">C1835-C1834</f>
        <v>-30</v>
      </c>
      <c r="G1835" s="1229"/>
      <c r="H1835" s="1269"/>
      <c r="I1835" s="1291">
        <v>146500</v>
      </c>
    </row>
    <row r="1836" spans="1:9" ht="15" customHeight="1">
      <c r="A1836" s="1253">
        <v>43483</v>
      </c>
      <c r="B1836" s="1209">
        <v>1150</v>
      </c>
      <c r="C1836" s="1210">
        <v>20900</v>
      </c>
      <c r="D1836" s="1230">
        <v>20700</v>
      </c>
      <c r="E1836" s="1212">
        <f t="shared" si="217"/>
        <v>-200</v>
      </c>
      <c r="F1836" s="1211">
        <f t="shared" ref="F1836" si="227">C1836-C1835</f>
        <v>155</v>
      </c>
      <c r="G1836" s="1229"/>
      <c r="H1836" s="1269"/>
      <c r="I1836" s="1291">
        <v>147000</v>
      </c>
    </row>
    <row r="1837" spans="1:9" ht="15" customHeight="1">
      <c r="A1837" s="1253">
        <v>43486</v>
      </c>
      <c r="B1837" s="1209">
        <v>1090</v>
      </c>
      <c r="C1837" s="1210">
        <v>20790</v>
      </c>
      <c r="D1837" s="1230">
        <v>20650</v>
      </c>
      <c r="E1837" s="1212">
        <f t="shared" si="217"/>
        <v>-140</v>
      </c>
      <c r="F1837" s="1211">
        <f t="shared" ref="F1837" si="228">C1837-C1836</f>
        <v>-110</v>
      </c>
      <c r="G1837" s="1229"/>
      <c r="H1837" s="1269"/>
      <c r="I1837" s="1291">
        <v>146500</v>
      </c>
    </row>
    <row r="1838" spans="1:9" ht="15" customHeight="1">
      <c r="A1838" s="1253">
        <v>43487</v>
      </c>
      <c r="B1838" s="1209">
        <v>1090</v>
      </c>
      <c r="C1838" s="1210">
        <v>20890</v>
      </c>
      <c r="D1838" s="1230">
        <v>20700</v>
      </c>
      <c r="E1838" s="1212">
        <f t="shared" si="217"/>
        <v>-190</v>
      </c>
      <c r="F1838" s="1211">
        <f t="shared" ref="F1838" si="229">C1838-C1837</f>
        <v>100</v>
      </c>
      <c r="G1838" s="1229"/>
      <c r="H1838" s="1269"/>
      <c r="I1838" s="1291">
        <v>147000</v>
      </c>
    </row>
    <row r="1839" spans="1:9" ht="15" customHeight="1">
      <c r="A1839" s="1253">
        <v>43488</v>
      </c>
      <c r="B1839" s="1209">
        <v>985</v>
      </c>
      <c r="C1839" s="1210">
        <v>20780</v>
      </c>
      <c r="D1839" s="1230">
        <v>20620</v>
      </c>
      <c r="E1839" s="1212">
        <f t="shared" si="217"/>
        <v>-160</v>
      </c>
      <c r="F1839" s="1211">
        <f t="shared" ref="F1839:F1840" si="230">C1839-C1838</f>
        <v>-110</v>
      </c>
      <c r="G1839" s="1229"/>
      <c r="H1839" s="1269"/>
      <c r="I1839" s="1291">
        <v>146250</v>
      </c>
    </row>
    <row r="1840" spans="1:9" ht="15" customHeight="1">
      <c r="A1840" s="1253">
        <v>43489</v>
      </c>
      <c r="B1840" s="1209">
        <v>975</v>
      </c>
      <c r="C1840" s="1210">
        <v>21055</v>
      </c>
      <c r="D1840" s="1230">
        <v>20910</v>
      </c>
      <c r="E1840" s="1212">
        <f t="shared" si="217"/>
        <v>-145</v>
      </c>
      <c r="F1840" s="1211">
        <f t="shared" si="230"/>
        <v>275</v>
      </c>
      <c r="G1840" s="1229"/>
      <c r="H1840" s="1269"/>
      <c r="I1840" s="1291"/>
    </row>
    <row r="1841" spans="1:9" ht="15" customHeight="1">
      <c r="A1841" s="1253">
        <v>43490</v>
      </c>
      <c r="B1841" s="1209">
        <v>2020</v>
      </c>
      <c r="C1841" s="1210">
        <v>20750</v>
      </c>
      <c r="D1841" s="1230">
        <v>20600</v>
      </c>
      <c r="E1841" s="1212">
        <f t="shared" si="217"/>
        <v>-150</v>
      </c>
      <c r="F1841" s="1211">
        <f t="shared" ref="F1841" si="231">C1841-C1840</f>
        <v>-305</v>
      </c>
      <c r="G1841" s="1229"/>
      <c r="H1841" s="1269"/>
      <c r="I1841" s="1291">
        <v>147000</v>
      </c>
    </row>
    <row r="1842" spans="1:9" ht="15" customHeight="1">
      <c r="A1842" s="1253">
        <v>43493</v>
      </c>
      <c r="B1842" s="1209">
        <v>1895</v>
      </c>
      <c r="C1842" s="1210">
        <v>20760</v>
      </c>
      <c r="D1842" s="1230">
        <v>20675</v>
      </c>
      <c r="E1842" s="1212">
        <f t="shared" si="217"/>
        <v>-85</v>
      </c>
      <c r="F1842" s="1211">
        <f t="shared" ref="F1842" si="232">C1842-C1841</f>
        <v>10</v>
      </c>
      <c r="G1842" s="1229"/>
      <c r="H1842" s="1269"/>
      <c r="I1842" s="1291">
        <v>146500</v>
      </c>
    </row>
    <row r="1843" spans="1:9" ht="15" customHeight="1">
      <c r="A1843" s="1253">
        <v>43494</v>
      </c>
      <c r="B1843" s="1209">
        <v>1870</v>
      </c>
      <c r="C1843" s="1210">
        <v>20850</v>
      </c>
      <c r="D1843" s="1230">
        <v>20710</v>
      </c>
      <c r="E1843" s="1212">
        <f t="shared" si="217"/>
        <v>-140</v>
      </c>
      <c r="F1843" s="1211">
        <f t="shared" ref="F1843" si="233">C1843-C1842</f>
        <v>90</v>
      </c>
      <c r="G1843" s="1229"/>
      <c r="H1843" s="1269"/>
      <c r="I1843" s="1291">
        <v>146750</v>
      </c>
    </row>
    <row r="1844" spans="1:9" ht="15" customHeight="1">
      <c r="A1844" s="1253">
        <v>43495</v>
      </c>
      <c r="B1844" s="1209">
        <v>1845</v>
      </c>
      <c r="C1844" s="1210">
        <v>20805</v>
      </c>
      <c r="D1844" s="1230">
        <v>20700</v>
      </c>
      <c r="E1844" s="1212">
        <f t="shared" si="217"/>
        <v>-105</v>
      </c>
      <c r="F1844" s="1211">
        <f t="shared" ref="F1844" si="234">C1844-C1843</f>
        <v>-45</v>
      </c>
      <c r="G1844" s="1229"/>
      <c r="H1844" s="1269"/>
      <c r="I1844" s="1291">
        <v>147000</v>
      </c>
    </row>
    <row r="1845" spans="1:9" ht="15" customHeight="1">
      <c r="A1845" s="1253">
        <v>43496</v>
      </c>
      <c r="B1845" s="1209">
        <v>1845</v>
      </c>
      <c r="C1845" s="1210">
        <v>20950</v>
      </c>
      <c r="D1845" s="1230">
        <v>20850</v>
      </c>
      <c r="E1845" s="1212">
        <f t="shared" si="217"/>
        <v>-100</v>
      </c>
      <c r="F1845" s="1211">
        <f t="shared" ref="F1845:F1846" si="235">C1845-C1844</f>
        <v>145</v>
      </c>
      <c r="G1845" s="1227">
        <f>AVERAGE($C$1824:C1845)</f>
        <v>20480</v>
      </c>
      <c r="H1845" s="1274">
        <f>AVERAGE($C$1824:C1845)</f>
        <v>20480</v>
      </c>
      <c r="I1845" s="1291"/>
    </row>
    <row r="1846" spans="1:9" ht="15" customHeight="1">
      <c r="A1846" s="1253">
        <v>43497</v>
      </c>
      <c r="B1846" s="1209">
        <v>1845</v>
      </c>
      <c r="C1846" s="1210">
        <v>20830</v>
      </c>
      <c r="D1846" s="1230">
        <v>20775</v>
      </c>
      <c r="E1846" s="1212">
        <f t="shared" si="217"/>
        <v>-55</v>
      </c>
      <c r="F1846" s="1211">
        <f t="shared" si="235"/>
        <v>-120</v>
      </c>
      <c r="G1846" s="1229"/>
      <c r="H1846" s="1276"/>
      <c r="I1846" s="1291"/>
    </row>
    <row r="1847" spans="1:9" ht="15" customHeight="1">
      <c r="A1847" s="1253">
        <v>43500</v>
      </c>
      <c r="B1847" s="1209">
        <v>1800</v>
      </c>
      <c r="C1847" s="1210">
        <v>20935</v>
      </c>
      <c r="D1847" s="1230">
        <v>20825</v>
      </c>
      <c r="E1847" s="1212">
        <f t="shared" si="217"/>
        <v>-110</v>
      </c>
      <c r="F1847" s="1211">
        <f t="shared" ref="F1847" si="236">C1847-C1846</f>
        <v>105</v>
      </c>
      <c r="G1847" s="1229"/>
      <c r="H1847" s="1276"/>
      <c r="I1847" s="1291"/>
    </row>
    <row r="1848" spans="1:9" ht="15" customHeight="1">
      <c r="A1848" s="1253">
        <v>43501</v>
      </c>
      <c r="B1848" s="1209">
        <v>1770</v>
      </c>
      <c r="C1848" s="1210">
        <v>20975</v>
      </c>
      <c r="D1848" s="1230">
        <v>20900</v>
      </c>
      <c r="E1848" s="1212">
        <f t="shared" si="217"/>
        <v>-75</v>
      </c>
      <c r="F1848" s="1211">
        <f t="shared" ref="F1848" si="237">C1848-C1847</f>
        <v>40</v>
      </c>
      <c r="G1848" s="1229"/>
      <c r="H1848" s="1276"/>
      <c r="I1848" s="1291"/>
    </row>
    <row r="1849" spans="1:9" ht="15" customHeight="1">
      <c r="A1849" s="1253">
        <v>43502</v>
      </c>
      <c r="B1849" s="1209">
        <v>1770</v>
      </c>
      <c r="C1849" s="1210">
        <v>20900</v>
      </c>
      <c r="D1849" s="1230">
        <v>20825</v>
      </c>
      <c r="E1849" s="1212">
        <f t="shared" si="217"/>
        <v>-75</v>
      </c>
      <c r="F1849" s="1211">
        <f t="shared" ref="F1849" si="238">C1849-C1848</f>
        <v>-75</v>
      </c>
      <c r="G1849" s="1229"/>
      <c r="H1849" s="1276"/>
      <c r="I1849" s="1291"/>
    </row>
    <row r="1850" spans="1:9" ht="15" customHeight="1">
      <c r="A1850" s="1253">
        <v>43503</v>
      </c>
      <c r="B1850" s="1209">
        <v>1770</v>
      </c>
      <c r="C1850" s="1210">
        <v>21100</v>
      </c>
      <c r="D1850" s="1230">
        <v>21010</v>
      </c>
      <c r="E1850" s="1212">
        <f t="shared" si="217"/>
        <v>-90</v>
      </c>
      <c r="F1850" s="1211">
        <f t="shared" ref="F1850" si="239">C1850-C1849</f>
        <v>200</v>
      </c>
      <c r="G1850" s="1229"/>
      <c r="H1850" s="1276"/>
      <c r="I1850" s="1291"/>
    </row>
    <row r="1851" spans="1:9" ht="15" customHeight="1">
      <c r="A1851" s="1253">
        <v>43504</v>
      </c>
      <c r="B1851" s="1209">
        <v>1735</v>
      </c>
      <c r="C1851" s="1210">
        <v>21050</v>
      </c>
      <c r="D1851" s="1230">
        <v>21000</v>
      </c>
      <c r="E1851" s="1212">
        <f t="shared" si="217"/>
        <v>-50</v>
      </c>
      <c r="F1851" s="1211">
        <f t="shared" ref="F1851" si="240">C1851-C1850</f>
        <v>-50</v>
      </c>
      <c r="G1851" s="1229"/>
      <c r="H1851" s="1276"/>
      <c r="I1851" s="1291"/>
    </row>
    <row r="1852" spans="1:9" ht="15" customHeight="1">
      <c r="A1852" s="1253">
        <v>43507</v>
      </c>
      <c r="B1852" s="1209">
        <v>1660</v>
      </c>
      <c r="C1852" s="1210">
        <v>21100</v>
      </c>
      <c r="D1852" s="1230">
        <v>21000</v>
      </c>
      <c r="E1852" s="1212">
        <f t="shared" si="217"/>
        <v>-100</v>
      </c>
      <c r="F1852" s="1211">
        <f t="shared" ref="F1852" si="241">C1852-C1851</f>
        <v>50</v>
      </c>
      <c r="G1852" s="1229"/>
      <c r="H1852" s="1276"/>
      <c r="I1852" s="1291">
        <v>148500</v>
      </c>
    </row>
    <row r="1853" spans="1:9" ht="15" customHeight="1">
      <c r="A1853" s="1253">
        <v>43508</v>
      </c>
      <c r="B1853" s="1209">
        <v>1440</v>
      </c>
      <c r="C1853" s="1210">
        <v>21050</v>
      </c>
      <c r="D1853" s="1230">
        <v>21000</v>
      </c>
      <c r="E1853" s="1212">
        <f t="shared" si="217"/>
        <v>-50</v>
      </c>
      <c r="F1853" s="1211">
        <f t="shared" ref="F1853" si="242">C1853-C1852</f>
        <v>-50</v>
      </c>
      <c r="G1853" s="1229"/>
      <c r="H1853" s="1276"/>
      <c r="I1853" s="1291">
        <v>148000</v>
      </c>
    </row>
    <row r="1854" spans="1:9" ht="15" customHeight="1">
      <c r="A1854" s="1253">
        <v>43509</v>
      </c>
      <c r="B1854" s="1209">
        <v>1440</v>
      </c>
      <c r="C1854" s="1210">
        <v>21200</v>
      </c>
      <c r="D1854" s="1230">
        <v>21160</v>
      </c>
      <c r="E1854" s="1212">
        <f t="shared" si="217"/>
        <v>-40</v>
      </c>
      <c r="F1854" s="1211">
        <f t="shared" ref="F1854" si="243">C1854-C1853</f>
        <v>150</v>
      </c>
      <c r="G1854" s="1229"/>
      <c r="H1854" s="1276"/>
      <c r="I1854" s="1291">
        <v>147500</v>
      </c>
    </row>
    <row r="1855" spans="1:9" ht="15" customHeight="1">
      <c r="A1855" s="1253">
        <v>43510</v>
      </c>
      <c r="B1855" s="1209">
        <v>1520</v>
      </c>
      <c r="C1855" s="1210">
        <v>21095</v>
      </c>
      <c r="D1855" s="1230">
        <v>21040</v>
      </c>
      <c r="E1855" s="1212">
        <f t="shared" si="217"/>
        <v>-55</v>
      </c>
      <c r="F1855" s="1211">
        <f t="shared" ref="F1855" si="244">C1855-C1854</f>
        <v>-105</v>
      </c>
      <c r="G1855" s="1229"/>
      <c r="H1855" s="1276"/>
      <c r="I1855" s="1291">
        <v>147500</v>
      </c>
    </row>
    <row r="1856" spans="1:9" ht="15" customHeight="1">
      <c r="A1856" s="1253">
        <v>43511</v>
      </c>
      <c r="B1856" s="1209">
        <v>1525</v>
      </c>
      <c r="C1856" s="1210">
        <v>21085</v>
      </c>
      <c r="D1856" s="1230">
        <v>21020</v>
      </c>
      <c r="E1856" s="1212">
        <f t="shared" si="217"/>
        <v>-65</v>
      </c>
      <c r="F1856" s="1211">
        <f t="shared" ref="F1856" si="245">C1856-C1855</f>
        <v>-10</v>
      </c>
      <c r="G1856" s="1229"/>
      <c r="H1856" s="1276"/>
      <c r="I1856" s="1291">
        <v>147500</v>
      </c>
    </row>
    <row r="1857" spans="1:9" ht="15" customHeight="1">
      <c r="A1857" s="1253">
        <v>43514</v>
      </c>
      <c r="B1857" s="1209">
        <v>1450</v>
      </c>
      <c r="C1857" s="1210">
        <v>21275</v>
      </c>
      <c r="D1857" s="1230">
        <v>21175</v>
      </c>
      <c r="E1857" s="1212">
        <f t="shared" si="217"/>
        <v>-100</v>
      </c>
      <c r="F1857" s="1211">
        <f t="shared" ref="F1857" si="246">C1857-C1856</f>
        <v>190</v>
      </c>
      <c r="G1857" s="1229"/>
      <c r="H1857" s="1276"/>
      <c r="I1857" s="1291">
        <v>147750</v>
      </c>
    </row>
    <row r="1858" spans="1:9" ht="15" customHeight="1">
      <c r="A1858" s="1253">
        <v>43515</v>
      </c>
      <c r="B1858" s="1209">
        <v>1430</v>
      </c>
      <c r="C1858" s="1210">
        <v>21130</v>
      </c>
      <c r="D1858" s="1230">
        <v>21075</v>
      </c>
      <c r="E1858" s="1212">
        <f t="shared" si="217"/>
        <v>-55</v>
      </c>
      <c r="F1858" s="1211">
        <f t="shared" ref="F1858" si="247">C1858-C1857</f>
        <v>-145</v>
      </c>
      <c r="G1858" s="1229"/>
      <c r="H1858" s="1276"/>
      <c r="I1858" s="1291">
        <v>148000</v>
      </c>
    </row>
    <row r="1859" spans="1:9" ht="15" customHeight="1">
      <c r="A1859" s="1253">
        <v>43516</v>
      </c>
      <c r="B1859" s="1209">
        <v>1405</v>
      </c>
      <c r="C1859" s="1210">
        <v>21350</v>
      </c>
      <c r="D1859" s="1230">
        <v>21250</v>
      </c>
      <c r="E1859" s="1212">
        <f t="shared" si="217"/>
        <v>-100</v>
      </c>
      <c r="F1859" s="1211">
        <f t="shared" ref="F1859" si="248">C1859-C1858</f>
        <v>220</v>
      </c>
      <c r="G1859" s="1229"/>
      <c r="H1859" s="1276"/>
      <c r="I1859" s="1291">
        <v>148750</v>
      </c>
    </row>
    <row r="1860" spans="1:9" ht="15" customHeight="1">
      <c r="A1860" s="1253">
        <v>43517</v>
      </c>
      <c r="B1860" s="1209">
        <v>1440</v>
      </c>
      <c r="C1860" s="1210">
        <v>21425</v>
      </c>
      <c r="D1860" s="1230">
        <v>21300</v>
      </c>
      <c r="E1860" s="1212">
        <f t="shared" si="217"/>
        <v>-125</v>
      </c>
      <c r="F1860" s="1211">
        <f t="shared" ref="F1860" si="249">C1860-C1859</f>
        <v>75</v>
      </c>
      <c r="G1860" s="1229"/>
      <c r="H1860" s="1276"/>
      <c r="I1860" s="1291">
        <v>149000</v>
      </c>
    </row>
    <row r="1861" spans="1:9" ht="15" customHeight="1">
      <c r="A1861" s="1253">
        <v>43518</v>
      </c>
      <c r="B1861" s="1209">
        <v>1440</v>
      </c>
      <c r="C1861" s="1210">
        <v>21650</v>
      </c>
      <c r="D1861" s="1230">
        <v>21400</v>
      </c>
      <c r="E1861" s="1212">
        <f t="shared" si="217"/>
        <v>-250</v>
      </c>
      <c r="F1861" s="1211">
        <f t="shared" ref="F1861" si="250">C1861-C1860</f>
        <v>225</v>
      </c>
      <c r="G1861" s="1229"/>
      <c r="H1861" s="1276"/>
      <c r="I1861" s="1291">
        <v>148750</v>
      </c>
    </row>
    <row r="1862" spans="1:9" ht="15" customHeight="1">
      <c r="A1862" s="1253">
        <v>43521</v>
      </c>
      <c r="B1862" s="1209">
        <v>1440</v>
      </c>
      <c r="C1862" s="1210">
        <v>21810</v>
      </c>
      <c r="D1862" s="1230">
        <v>21725</v>
      </c>
      <c r="E1862" s="1212">
        <f t="shared" si="217"/>
        <v>-85</v>
      </c>
      <c r="F1862" s="1211">
        <f t="shared" ref="F1862" si="251">C1862-C1861</f>
        <v>160</v>
      </c>
      <c r="G1862" s="1229"/>
      <c r="H1862" s="1276"/>
      <c r="I1862" s="1291">
        <v>150750</v>
      </c>
    </row>
    <row r="1863" spans="1:9" ht="15" customHeight="1">
      <c r="A1863" s="1253">
        <v>43522</v>
      </c>
      <c r="B1863" s="1209">
        <v>1400</v>
      </c>
      <c r="C1863" s="1210">
        <v>21925</v>
      </c>
      <c r="D1863" s="1230">
        <v>21660</v>
      </c>
      <c r="E1863" s="1212">
        <f t="shared" si="217"/>
        <v>-265</v>
      </c>
      <c r="F1863" s="1211">
        <f t="shared" ref="F1863" si="252">C1863-C1862</f>
        <v>115</v>
      </c>
      <c r="G1863" s="1229"/>
      <c r="H1863" s="1276"/>
      <c r="I1863" s="1291">
        <v>150250</v>
      </c>
    </row>
    <row r="1864" spans="1:9" ht="15" customHeight="1">
      <c r="A1864" s="1253">
        <v>43523</v>
      </c>
      <c r="B1864" s="1209">
        <v>1400</v>
      </c>
      <c r="C1864" s="1210">
        <v>21700</v>
      </c>
      <c r="D1864" s="1230">
        <v>21575</v>
      </c>
      <c r="E1864" s="1212">
        <f t="shared" si="217"/>
        <v>-125</v>
      </c>
      <c r="F1864" s="1211">
        <f t="shared" ref="F1864" si="253">C1864-C1863</f>
        <v>-225</v>
      </c>
      <c r="G1864" s="1229"/>
      <c r="H1864" s="1276"/>
      <c r="I1864" s="1291">
        <v>149500</v>
      </c>
    </row>
    <row r="1865" spans="1:9" ht="15" customHeight="1">
      <c r="A1865" s="1253">
        <v>43524</v>
      </c>
      <c r="B1865" s="1209">
        <v>1350</v>
      </c>
      <c r="C1865" s="1210">
        <v>21775</v>
      </c>
      <c r="D1865" s="1230">
        <v>21725</v>
      </c>
      <c r="E1865" s="1212">
        <f t="shared" si="217"/>
        <v>-50</v>
      </c>
      <c r="F1865" s="1211">
        <f t="shared" ref="F1865:F1870" si="254">C1865-C1864</f>
        <v>75</v>
      </c>
      <c r="G1865" s="1227">
        <f>AVERAGE($C$1846:C1865)</f>
        <v>21268</v>
      </c>
      <c r="H1865" s="1274">
        <f>AVERAGE($C$1824:C1865)</f>
        <v>20855.238095238095</v>
      </c>
      <c r="I1865" s="1291">
        <v>149250</v>
      </c>
    </row>
    <row r="1866" spans="1:9" ht="15" customHeight="1">
      <c r="A1866" s="1253">
        <v>43525</v>
      </c>
      <c r="B1866" s="1209">
        <v>1325</v>
      </c>
      <c r="C1866" s="1210">
        <v>21800</v>
      </c>
      <c r="D1866" s="1230">
        <v>21610</v>
      </c>
      <c r="E1866" s="1212">
        <f t="shared" si="217"/>
        <v>-190</v>
      </c>
      <c r="F1866" s="1211">
        <f t="shared" si="254"/>
        <v>25</v>
      </c>
      <c r="G1866" s="1230"/>
      <c r="H1866" s="1277"/>
      <c r="I1866" s="1291">
        <v>149250</v>
      </c>
    </row>
    <row r="1867" spans="1:9" ht="15" customHeight="1">
      <c r="A1867" s="1253">
        <v>43528</v>
      </c>
      <c r="B1867" s="1209">
        <v>1370</v>
      </c>
      <c r="C1867" s="1210">
        <v>21725</v>
      </c>
      <c r="D1867" s="1230">
        <v>21625</v>
      </c>
      <c r="E1867" s="1212">
        <f t="shared" si="217"/>
        <v>-100</v>
      </c>
      <c r="F1867" s="1211">
        <f t="shared" si="254"/>
        <v>-75</v>
      </c>
      <c r="G1867" s="1230"/>
      <c r="H1867" s="1277"/>
      <c r="I1867" s="1291">
        <v>149250</v>
      </c>
    </row>
    <row r="1868" spans="1:9" ht="15" customHeight="1">
      <c r="A1868" s="1253">
        <v>43529</v>
      </c>
      <c r="B1868" s="1209">
        <v>1230</v>
      </c>
      <c r="C1868" s="1210">
        <v>21575</v>
      </c>
      <c r="D1868" s="1230">
        <v>21500</v>
      </c>
      <c r="E1868" s="1212">
        <f t="shared" si="217"/>
        <v>-75</v>
      </c>
      <c r="F1868" s="1211">
        <f t="shared" si="254"/>
        <v>-150</v>
      </c>
      <c r="G1868" s="1230"/>
      <c r="H1868" s="1277"/>
      <c r="I1868" s="1291">
        <v>148500</v>
      </c>
    </row>
    <row r="1869" spans="1:9" ht="15" customHeight="1">
      <c r="A1869" s="1253">
        <v>43530</v>
      </c>
      <c r="B1869" s="1209">
        <v>1430</v>
      </c>
      <c r="C1869" s="1210">
        <v>21575</v>
      </c>
      <c r="D1869" s="1230">
        <v>21500</v>
      </c>
      <c r="E1869" s="1212">
        <f t="shared" si="217"/>
        <v>-75</v>
      </c>
      <c r="F1869" s="1211">
        <f t="shared" si="254"/>
        <v>0</v>
      </c>
      <c r="G1869" s="1230"/>
      <c r="H1869" s="1277"/>
      <c r="I1869" s="1291">
        <v>149000</v>
      </c>
    </row>
    <row r="1870" spans="1:9" ht="15" customHeight="1">
      <c r="A1870" s="1253">
        <v>43531</v>
      </c>
      <c r="B1870" s="1209">
        <v>1295</v>
      </c>
      <c r="C1870" s="1210">
        <v>21550</v>
      </c>
      <c r="D1870" s="1230">
        <v>21480</v>
      </c>
      <c r="E1870" s="1212">
        <f t="shared" si="217"/>
        <v>-70</v>
      </c>
      <c r="F1870" s="1211">
        <f t="shared" si="254"/>
        <v>-25</v>
      </c>
      <c r="G1870" s="1230"/>
      <c r="H1870" s="1277"/>
      <c r="I1870" s="1291">
        <v>148500</v>
      </c>
    </row>
    <row r="1871" spans="1:9" ht="15" customHeight="1">
      <c r="A1871" s="1253">
        <v>43532</v>
      </c>
      <c r="B1871" s="1209">
        <v>1295</v>
      </c>
      <c r="C1871" s="1210">
        <v>21410</v>
      </c>
      <c r="D1871" s="1230">
        <v>21380</v>
      </c>
      <c r="E1871" s="1212">
        <f t="shared" si="217"/>
        <v>-30</v>
      </c>
      <c r="F1871" s="1211">
        <f t="shared" ref="F1871" si="255">C1871-C1870</f>
        <v>-140</v>
      </c>
      <c r="G1871" s="1230"/>
      <c r="H1871" s="1277"/>
      <c r="I1871" s="1291">
        <v>148250</v>
      </c>
    </row>
    <row r="1872" spans="1:9" ht="15" customHeight="1">
      <c r="A1872" s="1253">
        <v>43535</v>
      </c>
      <c r="B1872" s="1209">
        <v>1200</v>
      </c>
      <c r="C1872" s="1210">
        <v>21125</v>
      </c>
      <c r="D1872" s="1230">
        <v>21075</v>
      </c>
      <c r="E1872" s="1212">
        <f t="shared" si="217"/>
        <v>-50</v>
      </c>
      <c r="F1872" s="1211">
        <f t="shared" ref="F1872" si="256">C1872-C1871</f>
        <v>-285</v>
      </c>
      <c r="G1872" s="1230"/>
      <c r="H1872" s="1277"/>
      <c r="I1872" s="1291">
        <v>148750</v>
      </c>
    </row>
    <row r="1873" spans="1:9" ht="15" customHeight="1">
      <c r="A1873" s="1253">
        <v>43536</v>
      </c>
      <c r="B1873" s="1209">
        <v>1160</v>
      </c>
      <c r="C1873" s="1210">
        <v>21285</v>
      </c>
      <c r="D1873" s="1230">
        <v>21170</v>
      </c>
      <c r="E1873" s="1212">
        <f t="shared" si="217"/>
        <v>-115</v>
      </c>
      <c r="F1873" s="1211">
        <f t="shared" ref="F1873" si="257">C1873-C1872</f>
        <v>160</v>
      </c>
      <c r="G1873" s="1230"/>
      <c r="H1873" s="1277"/>
      <c r="I1873" s="1291">
        <v>148250</v>
      </c>
    </row>
    <row r="1874" spans="1:9" ht="15" customHeight="1">
      <c r="A1874" s="1253">
        <v>43537</v>
      </c>
      <c r="B1874" s="1209">
        <v>1135</v>
      </c>
      <c r="C1874" s="1210">
        <v>21250</v>
      </c>
      <c r="D1874" s="1230">
        <v>21100</v>
      </c>
      <c r="E1874" s="1212">
        <f t="shared" si="217"/>
        <v>-150</v>
      </c>
      <c r="F1874" s="1211">
        <f t="shared" ref="F1874" si="258">C1874-C1873</f>
        <v>-35</v>
      </c>
      <c r="G1874" s="1230"/>
      <c r="H1874" s="1277"/>
      <c r="I1874" s="1291">
        <v>148750</v>
      </c>
    </row>
    <row r="1875" spans="1:9" ht="15" customHeight="1">
      <c r="A1875" s="1253">
        <v>43538</v>
      </c>
      <c r="B1875" s="1209">
        <v>1200</v>
      </c>
      <c r="C1875" s="1210">
        <v>21285</v>
      </c>
      <c r="D1875" s="1230">
        <v>21200</v>
      </c>
      <c r="E1875" s="1212">
        <f t="shared" si="217"/>
        <v>-85</v>
      </c>
      <c r="F1875" s="1211">
        <f t="shared" ref="F1875" si="259">C1875-C1874</f>
        <v>35</v>
      </c>
      <c r="G1875" s="1230"/>
      <c r="H1875" s="1277"/>
      <c r="I1875" s="1291">
        <v>148250</v>
      </c>
    </row>
    <row r="1876" spans="1:9" ht="15" customHeight="1">
      <c r="A1876" s="1253">
        <v>43539</v>
      </c>
      <c r="B1876" s="1209">
        <v>1215</v>
      </c>
      <c r="C1876" s="1210">
        <v>21340</v>
      </c>
      <c r="D1876" s="1230">
        <v>21210</v>
      </c>
      <c r="E1876" s="1212">
        <f t="shared" si="217"/>
        <v>-130</v>
      </c>
      <c r="F1876" s="1211">
        <f t="shared" ref="F1876" si="260">C1876-C1875</f>
        <v>55</v>
      </c>
      <c r="G1876" s="1230"/>
      <c r="H1876" s="1277"/>
      <c r="I1876" s="1291">
        <v>148250</v>
      </c>
    </row>
    <row r="1877" spans="1:9" ht="15" customHeight="1">
      <c r="A1877" s="1253">
        <v>43542</v>
      </c>
      <c r="B1877" s="1209">
        <v>1160</v>
      </c>
      <c r="C1877" s="1210">
        <v>21160</v>
      </c>
      <c r="D1877" s="1230">
        <v>21125</v>
      </c>
      <c r="E1877" s="1212">
        <f t="shared" si="217"/>
        <v>-35</v>
      </c>
      <c r="F1877" s="1211">
        <f t="shared" ref="F1877:F1878" si="261">C1877-C1876</f>
        <v>-180</v>
      </c>
      <c r="G1877" s="1215"/>
      <c r="H1877" s="1269"/>
      <c r="I1877" s="1291">
        <v>148250</v>
      </c>
    </row>
    <row r="1878" spans="1:9" ht="15" customHeight="1">
      <c r="A1878" s="1253">
        <v>43543</v>
      </c>
      <c r="B1878" s="1209">
        <v>1135</v>
      </c>
      <c r="C1878" s="1210">
        <v>21350</v>
      </c>
      <c r="D1878" s="1230">
        <v>21250</v>
      </c>
      <c r="E1878" s="1212">
        <f t="shared" si="217"/>
        <v>-100</v>
      </c>
      <c r="F1878" s="1211">
        <f t="shared" si="261"/>
        <v>190</v>
      </c>
      <c r="G1878" s="1215"/>
      <c r="H1878" s="1269"/>
      <c r="I1878" s="1291">
        <v>148500</v>
      </c>
    </row>
    <row r="1879" spans="1:9" ht="15" customHeight="1">
      <c r="A1879" s="1253">
        <v>43544</v>
      </c>
      <c r="B1879" s="1209">
        <v>1175</v>
      </c>
      <c r="C1879" s="1210">
        <v>21375</v>
      </c>
      <c r="D1879" s="1230">
        <v>21300</v>
      </c>
      <c r="E1879" s="1212">
        <f t="shared" si="217"/>
        <v>-75</v>
      </c>
      <c r="F1879" s="1211">
        <f t="shared" ref="F1879" si="262">C1879-C1878</f>
        <v>25</v>
      </c>
      <c r="G1879" s="1215"/>
      <c r="H1879" s="1269"/>
      <c r="I1879" s="1291">
        <v>149000</v>
      </c>
    </row>
    <row r="1880" spans="1:9" ht="15" customHeight="1">
      <c r="A1880" s="1253">
        <v>43545</v>
      </c>
      <c r="B1880" s="1209">
        <v>1150</v>
      </c>
      <c r="C1880" s="1210">
        <v>21475</v>
      </c>
      <c r="D1880" s="1230">
        <v>21400</v>
      </c>
      <c r="E1880" s="1212">
        <f t="shared" si="217"/>
        <v>-75</v>
      </c>
      <c r="F1880" s="1211">
        <f t="shared" ref="F1880" si="263">C1880-C1879</f>
        <v>100</v>
      </c>
      <c r="G1880" s="1215"/>
      <c r="H1880" s="1269"/>
      <c r="I1880" s="1291">
        <v>149250</v>
      </c>
    </row>
    <row r="1881" spans="1:9" ht="15" customHeight="1">
      <c r="A1881" s="1253">
        <v>43546</v>
      </c>
      <c r="B1881" s="1209">
        <v>1060</v>
      </c>
      <c r="C1881" s="1210">
        <v>21600</v>
      </c>
      <c r="D1881" s="1230">
        <v>21550</v>
      </c>
      <c r="E1881" s="1212">
        <f t="shared" si="217"/>
        <v>-50</v>
      </c>
      <c r="F1881" s="1211">
        <f t="shared" ref="F1881" si="264">C1881-C1880</f>
        <v>125</v>
      </c>
      <c r="G1881" s="1215"/>
      <c r="H1881" s="1269"/>
      <c r="I1881" s="1291">
        <v>149500</v>
      </c>
    </row>
    <row r="1882" spans="1:9" ht="15" customHeight="1">
      <c r="A1882" s="1253">
        <v>43549</v>
      </c>
      <c r="B1882" s="1209">
        <v>1120</v>
      </c>
      <c r="C1882" s="1210">
        <v>21450</v>
      </c>
      <c r="D1882" s="1230">
        <v>21375</v>
      </c>
      <c r="E1882" s="1212">
        <f t="shared" si="217"/>
        <v>-75</v>
      </c>
      <c r="F1882" s="1211">
        <f t="shared" ref="F1882" si="265">C1882-C1881</f>
        <v>-150</v>
      </c>
      <c r="G1882" s="1215"/>
      <c r="H1882" s="1269"/>
      <c r="I1882" s="1291">
        <v>149250</v>
      </c>
    </row>
    <row r="1883" spans="1:9" ht="15" customHeight="1">
      <c r="A1883" s="1253">
        <v>43550</v>
      </c>
      <c r="B1883" s="1209">
        <v>1045</v>
      </c>
      <c r="C1883" s="1210">
        <v>21525</v>
      </c>
      <c r="D1883" s="1230">
        <v>21475</v>
      </c>
      <c r="E1883" s="1212">
        <f t="shared" si="217"/>
        <v>-50</v>
      </c>
      <c r="F1883" s="1211">
        <f t="shared" ref="F1883" si="266">C1883-C1882</f>
        <v>75</v>
      </c>
      <c r="G1883" s="1215"/>
      <c r="H1883" s="1269"/>
      <c r="I1883" s="1291">
        <v>149250</v>
      </c>
    </row>
    <row r="1884" spans="1:9" ht="15" customHeight="1">
      <c r="A1884" s="1253">
        <v>43551</v>
      </c>
      <c r="B1884" s="1209">
        <v>1010</v>
      </c>
      <c r="C1884" s="1210">
        <v>21450</v>
      </c>
      <c r="D1884" s="1230">
        <v>21400</v>
      </c>
      <c r="E1884" s="1212">
        <f t="shared" si="217"/>
        <v>-50</v>
      </c>
      <c r="F1884" s="1211">
        <f t="shared" ref="F1884" si="267">C1884-C1883</f>
        <v>-75</v>
      </c>
      <c r="G1884" s="1215"/>
      <c r="H1884" s="1269"/>
      <c r="I1884" s="1291">
        <v>149250</v>
      </c>
    </row>
    <row r="1885" spans="1:9" ht="15" customHeight="1">
      <c r="A1885" s="1253">
        <v>43552</v>
      </c>
      <c r="B1885" s="1209">
        <v>1000</v>
      </c>
      <c r="C1885" s="1210">
        <v>21450</v>
      </c>
      <c r="D1885" s="1230">
        <v>21360</v>
      </c>
      <c r="E1885" s="1212">
        <f t="shared" ref="E1885:E1900" si="268">D1885-C1885</f>
        <v>-90</v>
      </c>
      <c r="F1885" s="1211">
        <f t="shared" ref="F1885" si="269">C1885-C1884</f>
        <v>0</v>
      </c>
      <c r="G1885" s="1215"/>
      <c r="H1885" s="1269"/>
      <c r="I1885" s="1291">
        <v>149000</v>
      </c>
    </row>
    <row r="1886" spans="1:9" ht="15" customHeight="1">
      <c r="A1886" s="1253">
        <v>43553</v>
      </c>
      <c r="B1886" s="1209">
        <v>1000</v>
      </c>
      <c r="C1886" s="1210">
        <v>21575</v>
      </c>
      <c r="D1886" s="1230">
        <v>21450</v>
      </c>
      <c r="E1886" s="1212">
        <f t="shared" si="268"/>
        <v>-125</v>
      </c>
      <c r="F1886" s="1211">
        <f t="shared" ref="F1886" si="270">C1886-C1885</f>
        <v>125</v>
      </c>
      <c r="G1886" s="1227">
        <f>AVERAGE($C$1866:C1886)</f>
        <v>21444.285714285714</v>
      </c>
      <c r="H1886" s="1274">
        <f>AVERAGE($C$1824:C1886)</f>
        <v>21051.5873015873</v>
      </c>
      <c r="I1886" s="1291">
        <v>150000</v>
      </c>
    </row>
    <row r="1887" spans="1:9" ht="15" customHeight="1">
      <c r="A1887" s="1253">
        <v>43556</v>
      </c>
      <c r="B1887" s="1209">
        <v>950</v>
      </c>
      <c r="C1887" s="1210">
        <v>21600</v>
      </c>
      <c r="D1887" s="1230">
        <v>21525</v>
      </c>
      <c r="E1887" s="1212">
        <f t="shared" si="268"/>
        <v>-75</v>
      </c>
      <c r="F1887" s="1211">
        <f t="shared" ref="F1887" si="271">C1887-C1886</f>
        <v>25</v>
      </c>
      <c r="G1887" s="1215"/>
      <c r="H1887" s="1269"/>
      <c r="I1887" s="1291">
        <v>148000</v>
      </c>
    </row>
    <row r="1888" spans="1:9" ht="15" customHeight="1">
      <c r="A1888" s="1253">
        <v>43557</v>
      </c>
      <c r="B1888" s="1209">
        <v>920</v>
      </c>
      <c r="C1888" s="1210">
        <v>21325</v>
      </c>
      <c r="D1888" s="1230">
        <v>21200</v>
      </c>
      <c r="E1888" s="1212">
        <f t="shared" si="268"/>
        <v>-125</v>
      </c>
      <c r="F1888" s="1211">
        <f t="shared" ref="F1888" si="272">C1888-C1887</f>
        <v>-275</v>
      </c>
      <c r="G1888" s="1215"/>
      <c r="H1888" s="1269"/>
      <c r="I1888" s="1291">
        <v>148000</v>
      </c>
    </row>
    <row r="1889" spans="1:26" ht="15" customHeight="1">
      <c r="A1889" s="1253">
        <v>43558</v>
      </c>
      <c r="B1889" s="1209">
        <v>920</v>
      </c>
      <c r="C1889" s="1210">
        <v>21475</v>
      </c>
      <c r="D1889" s="1230">
        <v>21250</v>
      </c>
      <c r="E1889" s="1212">
        <f t="shared" si="268"/>
        <v>-225</v>
      </c>
      <c r="F1889" s="1211">
        <f t="shared" ref="F1889" si="273">C1889-C1888</f>
        <v>150</v>
      </c>
      <c r="G1889" s="1215"/>
      <c r="H1889" s="1269"/>
      <c r="I1889" s="1291">
        <v>148000</v>
      </c>
    </row>
    <row r="1890" spans="1:26" ht="15" customHeight="1">
      <c r="A1890" s="1253">
        <v>43559</v>
      </c>
      <c r="B1890" s="1209">
        <v>920</v>
      </c>
      <c r="C1890" s="1210">
        <v>21325</v>
      </c>
      <c r="D1890" s="1230">
        <v>21150</v>
      </c>
      <c r="E1890" s="1212">
        <f t="shared" si="268"/>
        <v>-175</v>
      </c>
      <c r="F1890" s="1211">
        <f t="shared" ref="F1890" si="274">C1890-C1889</f>
        <v>-150</v>
      </c>
      <c r="G1890" s="1215"/>
      <c r="H1890" s="1269"/>
      <c r="I1890" s="1291">
        <v>148000</v>
      </c>
    </row>
    <row r="1891" spans="1:26" ht="15" customHeight="1">
      <c r="A1891" s="1253">
        <v>43560</v>
      </c>
      <c r="B1891" s="1209">
        <v>920</v>
      </c>
      <c r="C1891" s="1210">
        <v>21280</v>
      </c>
      <c r="D1891" s="1230">
        <v>21150</v>
      </c>
      <c r="E1891" s="1212">
        <f t="shared" si="268"/>
        <v>-130</v>
      </c>
      <c r="F1891" s="1211">
        <f t="shared" ref="F1891" si="275">C1891-C1890</f>
        <v>-45</v>
      </c>
      <c r="G1891" s="1215"/>
      <c r="H1891" s="1269"/>
      <c r="I1891" s="1291"/>
    </row>
    <row r="1892" spans="1:26" ht="15" customHeight="1">
      <c r="A1892" s="1253">
        <v>43563</v>
      </c>
      <c r="B1892" s="1209">
        <v>955</v>
      </c>
      <c r="C1892" s="1210">
        <v>21000</v>
      </c>
      <c r="D1892" s="1230">
        <v>20840</v>
      </c>
      <c r="E1892" s="1212">
        <f t="shared" si="268"/>
        <v>-160</v>
      </c>
      <c r="F1892" s="1211">
        <f t="shared" ref="F1892:F1893" si="276">C1892-C1891</f>
        <v>-280</v>
      </c>
      <c r="G1892" s="1215"/>
      <c r="H1892" s="1269"/>
      <c r="I1892" s="1291">
        <v>147750</v>
      </c>
    </row>
    <row r="1893" spans="1:26" ht="15" customHeight="1">
      <c r="A1893" s="1253">
        <v>43564</v>
      </c>
      <c r="B1893" s="1209">
        <v>930</v>
      </c>
      <c r="C1893" s="1210">
        <v>21000</v>
      </c>
      <c r="D1893" s="1230">
        <v>20900</v>
      </c>
      <c r="E1893" s="1212">
        <f t="shared" si="268"/>
        <v>-100</v>
      </c>
      <c r="F1893" s="1211">
        <f t="shared" si="276"/>
        <v>0</v>
      </c>
      <c r="G1893" s="1215"/>
      <c r="H1893" s="1269"/>
      <c r="I1893" s="1291">
        <v>147750</v>
      </c>
    </row>
    <row r="1894" spans="1:26" ht="15" customHeight="1">
      <c r="A1894" s="1253">
        <v>43565</v>
      </c>
      <c r="B1894" s="1209">
        <v>910</v>
      </c>
      <c r="C1894" s="1210">
        <v>20900</v>
      </c>
      <c r="D1894" s="1230">
        <v>20800</v>
      </c>
      <c r="E1894" s="1212">
        <f t="shared" si="268"/>
        <v>-100</v>
      </c>
      <c r="F1894" s="1211">
        <f t="shared" ref="F1894" si="277">C1894-C1893</f>
        <v>-100</v>
      </c>
      <c r="G1894" s="1215"/>
      <c r="H1894" s="1269"/>
      <c r="I1894" s="1291">
        <v>147750</v>
      </c>
    </row>
    <row r="1895" spans="1:26" ht="15" customHeight="1">
      <c r="A1895" s="1253">
        <v>43566</v>
      </c>
      <c r="B1895" s="1209">
        <v>910</v>
      </c>
      <c r="C1895" s="1210">
        <v>20905</v>
      </c>
      <c r="D1895" s="1230">
        <v>20735</v>
      </c>
      <c r="E1895" s="1212">
        <f t="shared" si="268"/>
        <v>-170</v>
      </c>
      <c r="F1895" s="1211">
        <f t="shared" ref="F1895:F1897" si="278">C1895-C1894</f>
        <v>5</v>
      </c>
      <c r="G1895" s="1215"/>
      <c r="H1895" s="1269"/>
      <c r="I1895" s="1291">
        <v>147750</v>
      </c>
    </row>
    <row r="1896" spans="1:26" ht="15" customHeight="1">
      <c r="A1896" s="1253">
        <v>43567</v>
      </c>
      <c r="B1896" s="1209">
        <v>860</v>
      </c>
      <c r="C1896" s="1210">
        <v>20850</v>
      </c>
      <c r="D1896" s="1230">
        <v>20725</v>
      </c>
      <c r="E1896" s="1212">
        <f t="shared" si="268"/>
        <v>-125</v>
      </c>
      <c r="F1896" s="1211">
        <f t="shared" si="278"/>
        <v>-55</v>
      </c>
      <c r="G1896" s="1215"/>
      <c r="H1896" s="1269"/>
      <c r="I1896" s="1291">
        <v>147250</v>
      </c>
    </row>
    <row r="1897" spans="1:26" ht="15" customHeight="1">
      <c r="A1897" s="1253">
        <v>43570</v>
      </c>
      <c r="B1897" s="1209">
        <v>905</v>
      </c>
      <c r="C1897" s="1210">
        <v>20755</v>
      </c>
      <c r="D1897" s="1230">
        <v>20655</v>
      </c>
      <c r="E1897" s="1212">
        <f t="shared" si="268"/>
        <v>-100</v>
      </c>
      <c r="F1897" s="1211">
        <f t="shared" si="278"/>
        <v>-95</v>
      </c>
      <c r="G1897" s="1215"/>
      <c r="H1897" s="1269"/>
      <c r="I1897" s="1291">
        <v>147750</v>
      </c>
    </row>
    <row r="1898" spans="1:26" ht="15" customHeight="1">
      <c r="A1898" s="1253">
        <v>43571</v>
      </c>
      <c r="B1898" s="1209">
        <v>840</v>
      </c>
      <c r="C1898" s="1210">
        <v>20800</v>
      </c>
      <c r="D1898" s="1230">
        <v>20560</v>
      </c>
      <c r="E1898" s="1212">
        <f t="shared" si="268"/>
        <v>-240</v>
      </c>
      <c r="F1898" s="1211">
        <f t="shared" ref="F1898" si="279">C1898-C1897</f>
        <v>45</v>
      </c>
      <c r="G1898" s="1215"/>
      <c r="H1898" s="1269"/>
      <c r="I1898" s="1291">
        <v>147250</v>
      </c>
    </row>
    <row r="1899" spans="1:26" ht="15" customHeight="1">
      <c r="A1899" s="1253">
        <v>43572</v>
      </c>
      <c r="B1899" s="1209">
        <v>970</v>
      </c>
      <c r="C1899" s="1210">
        <v>20600</v>
      </c>
      <c r="D1899" s="1230">
        <v>20450</v>
      </c>
      <c r="E1899" s="1212">
        <f t="shared" si="268"/>
        <v>-150</v>
      </c>
      <c r="F1899" s="1211">
        <f t="shared" ref="F1899" si="280">C1899-C1898</f>
        <v>-200</v>
      </c>
      <c r="G1899" s="1215"/>
      <c r="H1899" s="1269"/>
      <c r="I1899" s="1291">
        <v>147250</v>
      </c>
    </row>
    <row r="1900" spans="1:26" ht="15" customHeight="1">
      <c r="A1900" s="1253">
        <v>43573</v>
      </c>
      <c r="B1900" s="1209">
        <v>955</v>
      </c>
      <c r="C1900" s="1210">
        <v>20425</v>
      </c>
      <c r="D1900" s="1230">
        <v>20350</v>
      </c>
      <c r="E1900" s="1212">
        <f t="shared" si="268"/>
        <v>-75</v>
      </c>
      <c r="F1900" s="1211">
        <f t="shared" ref="F1900" si="281">C1900-C1899</f>
        <v>-175</v>
      </c>
      <c r="G1900" s="1215"/>
      <c r="H1900" s="1269"/>
      <c r="I1900" s="1291">
        <v>147250</v>
      </c>
    </row>
    <row r="1901" spans="1:26" s="7" customFormat="1" ht="15" customHeight="1">
      <c r="A1901" s="1253">
        <v>43574</v>
      </c>
      <c r="B1901" s="1441" t="s">
        <v>51</v>
      </c>
      <c r="C1901" s="1441"/>
      <c r="D1901" s="1441"/>
      <c r="E1901" s="1441"/>
      <c r="F1901" s="1441"/>
      <c r="G1901" s="1441"/>
      <c r="H1901" s="1442"/>
      <c r="I1901" s="1291"/>
      <c r="J1901" s="24"/>
      <c r="K1901" s="24"/>
      <c r="L1901" s="24"/>
      <c r="M1901" s="24"/>
      <c r="N1901" s="24"/>
      <c r="O1901" s="24"/>
      <c r="P1901"/>
      <c r="Q1901"/>
      <c r="R1901"/>
      <c r="S1901" s="25"/>
      <c r="T1901" s="25"/>
      <c r="U1901" s="25"/>
      <c r="V1901" s="25"/>
      <c r="W1901" s="384"/>
      <c r="X1901" s="36"/>
      <c r="Y1901" s="285"/>
      <c r="Z1901" s="389"/>
    </row>
    <row r="1902" spans="1:26" s="7" customFormat="1" ht="15" customHeight="1">
      <c r="A1902" s="1253">
        <v>43577</v>
      </c>
      <c r="B1902" s="1441"/>
      <c r="C1902" s="1441"/>
      <c r="D1902" s="1441"/>
      <c r="E1902" s="1441"/>
      <c r="F1902" s="1441"/>
      <c r="G1902" s="1441"/>
      <c r="H1902" s="1442"/>
      <c r="I1902" s="1291">
        <v>146750</v>
      </c>
      <c r="J1902" s="24"/>
      <c r="K1902" s="24"/>
      <c r="L1902" s="24"/>
      <c r="M1902" s="24"/>
      <c r="N1902" s="24"/>
      <c r="O1902" s="24"/>
      <c r="P1902"/>
      <c r="Q1902"/>
      <c r="R1902" s="247"/>
      <c r="S1902" s="25"/>
      <c r="T1902" s="25"/>
      <c r="U1902" s="25"/>
      <c r="V1902" s="25"/>
      <c r="W1902" s="384"/>
      <c r="X1902" s="36"/>
      <c r="Y1902" s="285"/>
      <c r="Z1902" s="389"/>
    </row>
    <row r="1903" spans="1:26" ht="15" customHeight="1">
      <c r="A1903" s="1253">
        <v>43578</v>
      </c>
      <c r="B1903" s="1209">
        <v>955</v>
      </c>
      <c r="C1903" s="1210">
        <v>20150</v>
      </c>
      <c r="D1903" s="1230">
        <v>20025</v>
      </c>
      <c r="E1903" s="1212">
        <f t="shared" ref="E1903:E1911" si="282">D1903-C1903</f>
        <v>-125</v>
      </c>
      <c r="F1903" s="1211">
        <f t="shared" ref="F1903" si="283">C1903-C1902</f>
        <v>20150</v>
      </c>
      <c r="G1903" s="1215"/>
      <c r="H1903" s="1269"/>
      <c r="I1903" s="1291">
        <v>146750</v>
      </c>
    </row>
    <row r="1904" spans="1:26" ht="15" customHeight="1">
      <c r="A1904" s="1253">
        <v>43579</v>
      </c>
      <c r="B1904" s="1209">
        <v>920</v>
      </c>
      <c r="C1904" s="1210">
        <v>19755</v>
      </c>
      <c r="D1904" s="1230">
        <v>19700</v>
      </c>
      <c r="E1904" s="1212">
        <f t="shared" si="282"/>
        <v>-55</v>
      </c>
      <c r="F1904" s="1211">
        <f t="shared" ref="F1904" si="284">C1904-C1903</f>
        <v>-395</v>
      </c>
      <c r="G1904" s="1215"/>
      <c r="H1904" s="1269"/>
      <c r="I1904" s="1291">
        <v>146500</v>
      </c>
    </row>
    <row r="1905" spans="1:9" ht="15" customHeight="1">
      <c r="A1905" s="1253">
        <v>43580</v>
      </c>
      <c r="B1905" s="1209">
        <v>930</v>
      </c>
      <c r="C1905" s="1210">
        <v>19655</v>
      </c>
      <c r="D1905" s="1230">
        <v>19600</v>
      </c>
      <c r="E1905" s="1212">
        <f t="shared" si="282"/>
        <v>-55</v>
      </c>
      <c r="F1905" s="1211">
        <f t="shared" ref="F1905" si="285">C1905-C1904</f>
        <v>-100</v>
      </c>
      <c r="G1905" s="1215"/>
      <c r="H1905" s="1269"/>
      <c r="I1905" s="1291">
        <v>146250</v>
      </c>
    </row>
    <row r="1906" spans="1:9" ht="15" customHeight="1">
      <c r="A1906" s="1253">
        <v>43581</v>
      </c>
      <c r="B1906" s="1209">
        <v>930</v>
      </c>
      <c r="C1906" s="1210">
        <v>19975</v>
      </c>
      <c r="D1906" s="1230">
        <v>19875</v>
      </c>
      <c r="E1906" s="1212">
        <f t="shared" si="282"/>
        <v>-100</v>
      </c>
      <c r="F1906" s="1211">
        <f t="shared" ref="F1906" si="286">C1906-C1905</f>
        <v>320</v>
      </c>
      <c r="G1906" s="1215"/>
      <c r="H1906" s="1269"/>
      <c r="I1906" s="1291">
        <v>145750</v>
      </c>
    </row>
    <row r="1907" spans="1:9" ht="15" customHeight="1">
      <c r="A1907" s="1253">
        <v>43584</v>
      </c>
      <c r="B1907" s="1209">
        <v>905</v>
      </c>
      <c r="C1907" s="1210">
        <v>20075</v>
      </c>
      <c r="D1907" s="1230">
        <v>19950</v>
      </c>
      <c r="E1907" s="1212">
        <f t="shared" si="282"/>
        <v>-125</v>
      </c>
      <c r="F1907" s="1211">
        <f t="shared" ref="F1907" si="287">C1907-C1906</f>
        <v>100</v>
      </c>
      <c r="G1907" s="1215"/>
      <c r="H1907" s="1269"/>
      <c r="I1907" s="1291">
        <v>146250</v>
      </c>
    </row>
    <row r="1908" spans="1:9" ht="15" customHeight="1">
      <c r="A1908" s="1253">
        <v>43585</v>
      </c>
      <c r="B1908" s="1209">
        <v>890</v>
      </c>
      <c r="C1908" s="1210">
        <v>19825</v>
      </c>
      <c r="D1908" s="1230">
        <v>19750</v>
      </c>
      <c r="E1908" s="1212">
        <f t="shared" si="282"/>
        <v>-75</v>
      </c>
      <c r="F1908" s="1211">
        <f t="shared" ref="F1908" si="288">C1908-C1907</f>
        <v>-250</v>
      </c>
      <c r="G1908" s="1227">
        <f>AVERAGE($C$1887:C1908)</f>
        <v>20683.75</v>
      </c>
      <c r="H1908" s="1274">
        <f>AVERAGE($C$1824:C1908)</f>
        <v>20962.951807228917</v>
      </c>
      <c r="I1908" s="1291">
        <v>146750</v>
      </c>
    </row>
    <row r="1909" spans="1:9" ht="15" customHeight="1">
      <c r="A1909" s="1253">
        <v>43586</v>
      </c>
      <c r="B1909" s="1209">
        <v>890</v>
      </c>
      <c r="C1909" s="1210">
        <v>19770</v>
      </c>
      <c r="D1909" s="1230">
        <v>19650</v>
      </c>
      <c r="E1909" s="1212">
        <f t="shared" si="282"/>
        <v>-120</v>
      </c>
      <c r="F1909" s="1211">
        <f>C1909-C1908</f>
        <v>-55</v>
      </c>
      <c r="G1909" s="1215"/>
      <c r="H1909" s="1269"/>
      <c r="I1909" s="1291"/>
    </row>
    <row r="1910" spans="1:9" ht="15" customHeight="1">
      <c r="A1910" s="1253">
        <v>43587</v>
      </c>
      <c r="B1910" s="1209">
        <v>890</v>
      </c>
      <c r="C1910" s="1210">
        <v>19550</v>
      </c>
      <c r="D1910" s="1230">
        <v>19450</v>
      </c>
      <c r="E1910" s="1212">
        <f t="shared" si="282"/>
        <v>-100</v>
      </c>
      <c r="F1910" s="1211">
        <f>C1910-C1909</f>
        <v>-220</v>
      </c>
      <c r="G1910" s="1215"/>
      <c r="H1910" s="1269"/>
      <c r="I1910" s="1291"/>
    </row>
    <row r="1911" spans="1:9" ht="15" customHeight="1">
      <c r="A1911" s="1253">
        <v>43588</v>
      </c>
      <c r="B1911" s="1209">
        <v>760</v>
      </c>
      <c r="C1911" s="1210">
        <v>19375</v>
      </c>
      <c r="D1911" s="1230">
        <v>19250</v>
      </c>
      <c r="E1911" s="1212">
        <f t="shared" si="282"/>
        <v>-125</v>
      </c>
      <c r="F1911" s="1211">
        <f>C1911-C1910</f>
        <v>-175</v>
      </c>
      <c r="G1911" s="1215"/>
      <c r="H1911" s="1269"/>
      <c r="I1911" s="1291"/>
    </row>
    <row r="1912" spans="1:9" ht="15" customHeight="1">
      <c r="A1912" s="1253">
        <v>43591</v>
      </c>
      <c r="B1912" s="1441" t="s">
        <v>51</v>
      </c>
      <c r="C1912" s="1441"/>
      <c r="D1912" s="1441"/>
      <c r="E1912" s="1441"/>
      <c r="F1912" s="1441"/>
      <c r="G1912" s="1441"/>
      <c r="H1912" s="1442"/>
      <c r="I1912" s="1291">
        <v>146250</v>
      </c>
    </row>
    <row r="1913" spans="1:9" ht="15" customHeight="1">
      <c r="A1913" s="1253">
        <v>43592</v>
      </c>
      <c r="B1913" s="1209">
        <v>760</v>
      </c>
      <c r="C1913" s="1210">
        <v>19660</v>
      </c>
      <c r="D1913" s="1230">
        <v>19525</v>
      </c>
      <c r="E1913" s="1212">
        <f t="shared" ref="E1913:E1926" si="289">D1913-C1913</f>
        <v>-135</v>
      </c>
      <c r="F1913" s="1211">
        <f t="shared" ref="F1913:F1918" si="290">C1913-C1912</f>
        <v>19660</v>
      </c>
      <c r="G1913" s="1215"/>
      <c r="H1913" s="1269"/>
      <c r="I1913" s="1291">
        <v>146750</v>
      </c>
    </row>
    <row r="1914" spans="1:9" ht="15" customHeight="1">
      <c r="A1914" s="1253">
        <v>43593</v>
      </c>
      <c r="B1914" s="1209">
        <v>740</v>
      </c>
      <c r="C1914" s="1210">
        <v>19640</v>
      </c>
      <c r="D1914" s="1230">
        <v>19450</v>
      </c>
      <c r="E1914" s="1212">
        <f t="shared" si="289"/>
        <v>-190</v>
      </c>
      <c r="F1914" s="1211">
        <f t="shared" si="290"/>
        <v>-20</v>
      </c>
      <c r="G1914" s="1215"/>
      <c r="H1914" s="1269"/>
      <c r="I1914" s="1291">
        <v>146250</v>
      </c>
    </row>
    <row r="1915" spans="1:9" ht="15" customHeight="1">
      <c r="A1915" s="1253">
        <v>43594</v>
      </c>
      <c r="B1915" s="1209">
        <v>860</v>
      </c>
      <c r="C1915" s="1210">
        <v>19475</v>
      </c>
      <c r="D1915" s="1230">
        <v>19300</v>
      </c>
      <c r="E1915" s="1212">
        <f t="shared" si="289"/>
        <v>-175</v>
      </c>
      <c r="F1915" s="1211">
        <f t="shared" si="290"/>
        <v>-165</v>
      </c>
      <c r="G1915" s="1215"/>
      <c r="H1915" s="1269"/>
      <c r="I1915" s="1291">
        <v>146250</v>
      </c>
    </row>
    <row r="1916" spans="1:9" ht="15" customHeight="1">
      <c r="A1916" s="1253">
        <v>43595</v>
      </c>
      <c r="B1916" s="1209">
        <v>885</v>
      </c>
      <c r="C1916" s="1210">
        <v>19650</v>
      </c>
      <c r="D1916" s="1230">
        <v>19330</v>
      </c>
      <c r="E1916" s="1212">
        <f t="shared" si="289"/>
        <v>-320</v>
      </c>
      <c r="F1916" s="1211">
        <f t="shared" si="290"/>
        <v>175</v>
      </c>
      <c r="G1916" s="1215"/>
      <c r="H1916" s="1269"/>
      <c r="I1916" s="1291">
        <v>145500</v>
      </c>
    </row>
    <row r="1917" spans="1:9" ht="15" customHeight="1">
      <c r="A1917" s="1253">
        <v>43598</v>
      </c>
      <c r="B1917" s="1209">
        <v>920</v>
      </c>
      <c r="C1917" s="1210">
        <v>19465</v>
      </c>
      <c r="D1917" s="1230">
        <v>19350</v>
      </c>
      <c r="E1917" s="1212">
        <f t="shared" si="289"/>
        <v>-115</v>
      </c>
      <c r="F1917" s="1211">
        <f t="shared" si="290"/>
        <v>-185</v>
      </c>
      <c r="G1917" s="1215"/>
      <c r="H1917" s="1269"/>
      <c r="I1917" s="1291">
        <v>145500</v>
      </c>
    </row>
    <row r="1918" spans="1:9" ht="15" customHeight="1">
      <c r="A1918" s="1253">
        <v>43599</v>
      </c>
      <c r="B1918" s="1209">
        <v>890</v>
      </c>
      <c r="C1918" s="1210">
        <v>19890</v>
      </c>
      <c r="D1918" s="1230">
        <v>19600</v>
      </c>
      <c r="E1918" s="1212">
        <f t="shared" si="289"/>
        <v>-290</v>
      </c>
      <c r="F1918" s="1211">
        <f t="shared" si="290"/>
        <v>425</v>
      </c>
      <c r="G1918" s="1215"/>
      <c r="H1918" s="1269"/>
      <c r="I1918" s="1291">
        <v>144750</v>
      </c>
    </row>
    <row r="1919" spans="1:9" ht="15" customHeight="1">
      <c r="A1919" s="1253">
        <v>43600</v>
      </c>
      <c r="B1919" s="1209">
        <v>1095</v>
      </c>
      <c r="C1919" s="1210">
        <v>19850</v>
      </c>
      <c r="D1919" s="1230">
        <v>19700</v>
      </c>
      <c r="E1919" s="1212">
        <f t="shared" si="289"/>
        <v>-150</v>
      </c>
      <c r="F1919" s="1211">
        <f t="shared" ref="F1919:F1920" si="291">C1919-C1918</f>
        <v>-40</v>
      </c>
      <c r="G1919" s="1215"/>
      <c r="H1919" s="1269"/>
      <c r="I1919" s="1291">
        <v>145250</v>
      </c>
    </row>
    <row r="1920" spans="1:9" ht="15" customHeight="1">
      <c r="A1920" s="1253">
        <v>43601</v>
      </c>
      <c r="B1920" s="1209">
        <v>1535</v>
      </c>
      <c r="C1920" s="1210">
        <v>19675</v>
      </c>
      <c r="D1920" s="1230">
        <v>19475</v>
      </c>
      <c r="E1920" s="1212">
        <f t="shared" si="289"/>
        <v>-200</v>
      </c>
      <c r="F1920" s="1211">
        <f t="shared" si="291"/>
        <v>-175</v>
      </c>
      <c r="G1920" s="1215"/>
      <c r="H1920" s="1269"/>
      <c r="I1920" s="1291">
        <v>145250</v>
      </c>
    </row>
    <row r="1921" spans="1:9" ht="15" customHeight="1">
      <c r="A1921" s="1253">
        <v>43602</v>
      </c>
      <c r="B1921" s="1209">
        <v>1515</v>
      </c>
      <c r="C1921" s="1210">
        <v>19625</v>
      </c>
      <c r="D1921" s="1230">
        <v>19475</v>
      </c>
      <c r="E1921" s="1212">
        <f t="shared" si="289"/>
        <v>-150</v>
      </c>
      <c r="F1921" s="1211">
        <f t="shared" ref="F1921" si="292">C1921-C1920</f>
        <v>-50</v>
      </c>
      <c r="G1921" s="1215"/>
      <c r="H1921" s="1269"/>
      <c r="I1921" s="1291">
        <v>145250</v>
      </c>
    </row>
    <row r="1922" spans="1:9" ht="15" customHeight="1">
      <c r="A1922" s="1253">
        <v>43605</v>
      </c>
      <c r="B1922" s="1209">
        <v>1600</v>
      </c>
      <c r="C1922" s="1210">
        <v>19675</v>
      </c>
      <c r="D1922" s="1230">
        <v>19350</v>
      </c>
      <c r="E1922" s="1212">
        <f t="shared" si="289"/>
        <v>-325</v>
      </c>
      <c r="F1922" s="1211">
        <f t="shared" ref="F1922" si="293">C1922-C1921</f>
        <v>50</v>
      </c>
      <c r="G1922" s="1215"/>
      <c r="H1922" s="1269"/>
      <c r="I1922" s="1291">
        <v>144750</v>
      </c>
    </row>
    <row r="1923" spans="1:9" ht="15" customHeight="1">
      <c r="A1923" s="1253">
        <v>43606</v>
      </c>
      <c r="B1923" s="1209">
        <v>1600</v>
      </c>
      <c r="C1923" s="1210">
        <v>19750</v>
      </c>
      <c r="D1923" s="1230">
        <v>19475</v>
      </c>
      <c r="E1923" s="1212">
        <f t="shared" si="289"/>
        <v>-275</v>
      </c>
      <c r="F1923" s="1211">
        <f t="shared" ref="F1923" si="294">C1923-C1922</f>
        <v>75</v>
      </c>
      <c r="G1923" s="1215"/>
      <c r="H1923" s="1269"/>
      <c r="I1923" s="1291">
        <v>144750</v>
      </c>
    </row>
    <row r="1924" spans="1:9" ht="15" customHeight="1">
      <c r="A1924" s="1253">
        <v>43607</v>
      </c>
      <c r="B1924" s="1209">
        <v>1375</v>
      </c>
      <c r="C1924" s="1210">
        <v>19650</v>
      </c>
      <c r="D1924" s="1230">
        <v>19390</v>
      </c>
      <c r="E1924" s="1212">
        <f t="shared" si="289"/>
        <v>-260</v>
      </c>
      <c r="F1924" s="1211">
        <f t="shared" ref="F1924" si="295">C1924-C1923</f>
        <v>-100</v>
      </c>
      <c r="G1924" s="1215"/>
      <c r="H1924" s="1269"/>
      <c r="I1924" s="1291">
        <v>144250</v>
      </c>
    </row>
    <row r="1925" spans="1:9" ht="15" customHeight="1">
      <c r="A1925" s="1253">
        <v>43608</v>
      </c>
      <c r="B1925" s="1209">
        <v>1565</v>
      </c>
      <c r="C1925" s="1210">
        <v>19720</v>
      </c>
      <c r="D1925" s="1230">
        <v>19350</v>
      </c>
      <c r="E1925" s="1212">
        <f t="shared" si="289"/>
        <v>-370</v>
      </c>
      <c r="F1925" s="1211">
        <f t="shared" ref="F1925" si="296">C1925-C1924</f>
        <v>70</v>
      </c>
      <c r="G1925" s="1215"/>
      <c r="H1925" s="1269"/>
      <c r="I1925" s="1291">
        <v>144000</v>
      </c>
    </row>
    <row r="1926" spans="1:9" ht="15" customHeight="1">
      <c r="A1926" s="1253">
        <v>43609</v>
      </c>
      <c r="B1926" s="1209">
        <v>1585</v>
      </c>
      <c r="C1926" s="1210">
        <v>19530</v>
      </c>
      <c r="D1926" s="1230">
        <v>19245</v>
      </c>
      <c r="E1926" s="1212">
        <f t="shared" si="289"/>
        <v>-285</v>
      </c>
      <c r="F1926" s="1211">
        <f>C1926-C1925</f>
        <v>-190</v>
      </c>
      <c r="G1926" s="1215"/>
      <c r="H1926" s="1269"/>
      <c r="I1926" s="1291">
        <v>143500</v>
      </c>
    </row>
    <row r="1927" spans="1:9" ht="15" customHeight="1">
      <c r="A1927" s="1253">
        <v>43612</v>
      </c>
      <c r="B1927" s="1441" t="s">
        <v>51</v>
      </c>
      <c r="C1927" s="1441"/>
      <c r="D1927" s="1441"/>
      <c r="E1927" s="1441"/>
      <c r="F1927" s="1441"/>
      <c r="G1927" s="1441"/>
      <c r="H1927" s="1442"/>
      <c r="I1927" s="1291">
        <v>144250</v>
      </c>
    </row>
    <row r="1928" spans="1:9" ht="15" customHeight="1">
      <c r="A1928" s="1253">
        <v>43613</v>
      </c>
      <c r="B1928" s="1209">
        <v>1660</v>
      </c>
      <c r="C1928" s="1210">
        <v>19475</v>
      </c>
      <c r="D1928" s="1230">
        <v>19260</v>
      </c>
      <c r="E1928" s="1212">
        <f t="shared" ref="E1928:E1993" si="297">D1928-C1928</f>
        <v>-215</v>
      </c>
      <c r="F1928" s="1211">
        <f t="shared" ref="F1928:F1933" si="298">C1928-C1927</f>
        <v>19475</v>
      </c>
      <c r="G1928" s="1215"/>
      <c r="H1928" s="1269"/>
      <c r="I1928" s="1291">
        <v>145000</v>
      </c>
    </row>
    <row r="1929" spans="1:9" ht="15" customHeight="1">
      <c r="A1929" s="1253">
        <v>43614</v>
      </c>
      <c r="B1929" s="1209">
        <v>2565</v>
      </c>
      <c r="C1929" s="1210">
        <v>18965</v>
      </c>
      <c r="D1929" s="1230">
        <v>18800</v>
      </c>
      <c r="E1929" s="1212">
        <f t="shared" si="297"/>
        <v>-165</v>
      </c>
      <c r="F1929" s="1211">
        <f t="shared" si="298"/>
        <v>-510</v>
      </c>
      <c r="G1929" s="1215"/>
      <c r="H1929" s="1269"/>
      <c r="I1929" s="1291">
        <v>145000</v>
      </c>
    </row>
    <row r="1930" spans="1:9" ht="15" customHeight="1">
      <c r="A1930" s="1253">
        <v>43615</v>
      </c>
      <c r="B1930" s="1209">
        <v>2650</v>
      </c>
      <c r="C1930" s="1210">
        <v>18900</v>
      </c>
      <c r="D1930" s="1230">
        <v>18730</v>
      </c>
      <c r="E1930" s="1212">
        <f t="shared" si="297"/>
        <v>-170</v>
      </c>
      <c r="F1930" s="1211">
        <f t="shared" si="298"/>
        <v>-65</v>
      </c>
      <c r="G1930" s="1215"/>
      <c r="H1930" s="1269"/>
      <c r="I1930" s="1291">
        <v>143500</v>
      </c>
    </row>
    <row r="1931" spans="1:9" ht="15" customHeight="1">
      <c r="A1931" s="1253">
        <v>43616</v>
      </c>
      <c r="B1931" s="1209">
        <v>3140</v>
      </c>
      <c r="C1931" s="1210">
        <v>18860</v>
      </c>
      <c r="D1931" s="1230">
        <v>18700</v>
      </c>
      <c r="E1931" s="1212">
        <f t="shared" si="297"/>
        <v>-160</v>
      </c>
      <c r="F1931" s="1211">
        <f t="shared" si="298"/>
        <v>-40</v>
      </c>
      <c r="G1931" s="1227">
        <f>AVERAGE($C$1909:C1931)</f>
        <v>19530.952380952382</v>
      </c>
      <c r="H1931" s="1274">
        <f>AVERAGE($C$1824:C1931)</f>
        <v>20673.798076923078</v>
      </c>
      <c r="I1931" s="1291">
        <v>143250</v>
      </c>
    </row>
    <row r="1932" spans="1:9" ht="15" customHeight="1">
      <c r="A1932" s="1253">
        <v>43619</v>
      </c>
      <c r="B1932" s="1209">
        <v>3185</v>
      </c>
      <c r="C1932" s="1210">
        <v>19000</v>
      </c>
      <c r="D1932" s="1230">
        <v>18775</v>
      </c>
      <c r="E1932" s="1212">
        <f t="shared" si="297"/>
        <v>-225</v>
      </c>
      <c r="F1932" s="1211">
        <f t="shared" si="298"/>
        <v>140</v>
      </c>
      <c r="G1932" s="1215"/>
      <c r="H1932" s="1269"/>
      <c r="I1932" s="1291">
        <v>143250</v>
      </c>
    </row>
    <row r="1933" spans="1:9" ht="15" customHeight="1">
      <c r="A1933" s="1253">
        <v>43620</v>
      </c>
      <c r="B1933" s="1209">
        <v>3510</v>
      </c>
      <c r="C1933" s="1210">
        <v>19250</v>
      </c>
      <c r="D1933" s="1230">
        <v>18935</v>
      </c>
      <c r="E1933" s="1212">
        <f t="shared" si="297"/>
        <v>-315</v>
      </c>
      <c r="F1933" s="1211">
        <f t="shared" si="298"/>
        <v>250</v>
      </c>
      <c r="G1933" s="1215"/>
      <c r="H1933" s="1269"/>
      <c r="I1933" s="1291">
        <v>143250</v>
      </c>
    </row>
    <row r="1934" spans="1:9" ht="15" customHeight="1">
      <c r="A1934" s="1253">
        <v>43621</v>
      </c>
      <c r="B1934" s="1209">
        <v>3515</v>
      </c>
      <c r="C1934" s="1210">
        <v>19110</v>
      </c>
      <c r="D1934" s="1230">
        <v>19105</v>
      </c>
      <c r="E1934" s="1212">
        <f t="shared" si="297"/>
        <v>-5</v>
      </c>
      <c r="F1934" s="1211">
        <f t="shared" ref="F1934:F1935" si="299">C1934-C1933</f>
        <v>-140</v>
      </c>
      <c r="G1934" s="1215"/>
      <c r="H1934" s="1269"/>
      <c r="I1934" s="1291">
        <v>143250</v>
      </c>
    </row>
    <row r="1935" spans="1:9" ht="15" customHeight="1">
      <c r="A1935" s="1253">
        <v>43622</v>
      </c>
      <c r="B1935" s="1209">
        <v>3515</v>
      </c>
      <c r="C1935" s="1210">
        <v>19110</v>
      </c>
      <c r="D1935" s="1230">
        <v>19050</v>
      </c>
      <c r="E1935" s="1212">
        <f t="shared" si="297"/>
        <v>-60</v>
      </c>
      <c r="F1935" s="1211">
        <f t="shared" si="299"/>
        <v>0</v>
      </c>
      <c r="G1935" s="1215"/>
      <c r="H1935" s="1269"/>
      <c r="I1935" s="1291">
        <v>143250</v>
      </c>
    </row>
    <row r="1936" spans="1:9" ht="15" customHeight="1">
      <c r="A1936" s="1253">
        <v>43623</v>
      </c>
      <c r="B1936" s="1209">
        <v>3515</v>
      </c>
      <c r="C1936" s="1210">
        <v>19630</v>
      </c>
      <c r="D1936" s="1230">
        <v>19480</v>
      </c>
      <c r="E1936" s="1212">
        <f t="shared" si="297"/>
        <v>-150</v>
      </c>
      <c r="F1936" s="1211">
        <f t="shared" ref="F1936" si="300">C1936-C1935</f>
        <v>520</v>
      </c>
      <c r="G1936" s="1215"/>
      <c r="H1936" s="1269"/>
      <c r="I1936" s="1291">
        <v>143250</v>
      </c>
    </row>
    <row r="1937" spans="1:9" ht="15" customHeight="1">
      <c r="A1937" s="1253">
        <v>43626</v>
      </c>
      <c r="B1937" s="1209">
        <v>3505</v>
      </c>
      <c r="C1937" s="1210">
        <v>19280</v>
      </c>
      <c r="D1937" s="1230">
        <v>19175</v>
      </c>
      <c r="E1937" s="1212">
        <f t="shared" si="297"/>
        <v>-105</v>
      </c>
      <c r="F1937" s="1211">
        <f t="shared" ref="F1937" si="301">C1937-C1936</f>
        <v>-350</v>
      </c>
      <c r="G1937" s="1215"/>
      <c r="H1937" s="1269"/>
      <c r="I1937" s="1291">
        <v>143250</v>
      </c>
    </row>
    <row r="1938" spans="1:9" ht="15" customHeight="1">
      <c r="A1938" s="1253">
        <v>43627</v>
      </c>
      <c r="B1938" s="1209">
        <v>3505</v>
      </c>
      <c r="C1938" s="1210">
        <v>19360</v>
      </c>
      <c r="D1938" s="1230">
        <v>19225</v>
      </c>
      <c r="E1938" s="1212">
        <f t="shared" si="297"/>
        <v>-135</v>
      </c>
      <c r="F1938" s="1211">
        <f t="shared" ref="F1938" si="302">C1938-C1937</f>
        <v>80</v>
      </c>
      <c r="G1938" s="1215"/>
      <c r="H1938" s="1269"/>
      <c r="I1938" s="1291">
        <v>144500</v>
      </c>
    </row>
    <row r="1939" spans="1:9" ht="15" customHeight="1">
      <c r="A1939" s="1253">
        <v>43628</v>
      </c>
      <c r="B1939" s="1209">
        <v>3465</v>
      </c>
      <c r="C1939" s="1210">
        <v>19325</v>
      </c>
      <c r="D1939" s="1230">
        <v>19100</v>
      </c>
      <c r="E1939" s="1212">
        <f t="shared" si="297"/>
        <v>-225</v>
      </c>
      <c r="F1939" s="1211">
        <f t="shared" ref="F1939" si="303">C1939-C1938</f>
        <v>-35</v>
      </c>
      <c r="G1939" s="1215"/>
      <c r="H1939" s="1269"/>
      <c r="I1939" s="1291">
        <v>144500</v>
      </c>
    </row>
    <row r="1940" spans="1:9" ht="15" customHeight="1">
      <c r="A1940" s="1253">
        <v>43629</v>
      </c>
      <c r="B1940" s="1209">
        <v>3445</v>
      </c>
      <c r="C1940" s="1210">
        <v>19500</v>
      </c>
      <c r="D1940" s="1230">
        <v>19375</v>
      </c>
      <c r="E1940" s="1212">
        <f t="shared" si="297"/>
        <v>-125</v>
      </c>
      <c r="F1940" s="1211">
        <f t="shared" ref="F1940" si="304">C1940-C1939</f>
        <v>175</v>
      </c>
      <c r="G1940" s="1215"/>
      <c r="H1940" s="1269"/>
      <c r="I1940" s="1291">
        <v>144500</v>
      </c>
    </row>
    <row r="1941" spans="1:9" ht="15" customHeight="1">
      <c r="A1941" s="1253">
        <v>43630</v>
      </c>
      <c r="B1941" s="1209">
        <v>3615</v>
      </c>
      <c r="C1941" s="1210">
        <v>19550</v>
      </c>
      <c r="D1941" s="1230">
        <v>19400</v>
      </c>
      <c r="E1941" s="1212">
        <f t="shared" si="297"/>
        <v>-150</v>
      </c>
      <c r="F1941" s="1211">
        <f t="shared" ref="F1941" si="305">C1941-C1940</f>
        <v>50</v>
      </c>
      <c r="G1941" s="1215"/>
      <c r="H1941" s="1269"/>
      <c r="I1941" s="1291">
        <v>144000</v>
      </c>
    </row>
    <row r="1942" spans="1:9" ht="15" customHeight="1">
      <c r="A1942" s="1253">
        <v>43633</v>
      </c>
      <c r="B1942" s="1209">
        <v>4700</v>
      </c>
      <c r="C1942" s="1210">
        <v>19125</v>
      </c>
      <c r="D1942" s="1230">
        <v>18950</v>
      </c>
      <c r="E1942" s="1212">
        <f t="shared" si="297"/>
        <v>-175</v>
      </c>
      <c r="F1942" s="1211">
        <f t="shared" ref="F1942" si="306">C1942-C1941</f>
        <v>-425</v>
      </c>
      <c r="G1942" s="1215"/>
      <c r="H1942" s="1269"/>
      <c r="I1942" s="1291">
        <v>144250</v>
      </c>
    </row>
    <row r="1943" spans="1:9" ht="15" customHeight="1">
      <c r="A1943" s="1253">
        <v>43634</v>
      </c>
      <c r="B1943" s="1209">
        <v>6035</v>
      </c>
      <c r="C1943" s="1210">
        <v>18975</v>
      </c>
      <c r="D1943" s="1230">
        <v>18875</v>
      </c>
      <c r="E1943" s="1212">
        <f t="shared" si="297"/>
        <v>-100</v>
      </c>
      <c r="F1943" s="1211">
        <f t="shared" ref="F1943" si="307">C1943-C1942</f>
        <v>-150</v>
      </c>
      <c r="G1943" s="1215"/>
      <c r="H1943" s="1269"/>
      <c r="I1943" s="1291">
        <v>143500</v>
      </c>
    </row>
    <row r="1944" spans="1:9" ht="15" customHeight="1">
      <c r="A1944" s="1253">
        <v>43635</v>
      </c>
      <c r="B1944" s="1209">
        <v>6165</v>
      </c>
      <c r="C1944" s="1210">
        <v>19000</v>
      </c>
      <c r="D1944" s="1230">
        <v>18950</v>
      </c>
      <c r="E1944" s="1212">
        <f t="shared" si="297"/>
        <v>-50</v>
      </c>
      <c r="F1944" s="1211">
        <f t="shared" ref="F1944" si="308">C1944-C1943</f>
        <v>25</v>
      </c>
      <c r="G1944" s="1215"/>
      <c r="H1944" s="1269"/>
      <c r="I1944" s="1291">
        <v>143750</v>
      </c>
    </row>
    <row r="1945" spans="1:9" ht="15" customHeight="1">
      <c r="A1945" s="1253">
        <v>43636</v>
      </c>
      <c r="B1945" s="1209">
        <v>6215</v>
      </c>
      <c r="C1945" s="1210">
        <v>19400</v>
      </c>
      <c r="D1945" s="1230">
        <v>19325</v>
      </c>
      <c r="E1945" s="1212">
        <f t="shared" si="297"/>
        <v>-75</v>
      </c>
      <c r="F1945" s="1211">
        <f t="shared" ref="F1945" si="309">C1945-C1944</f>
        <v>400</v>
      </c>
      <c r="G1945" s="1215"/>
      <c r="H1945" s="1269"/>
      <c r="I1945" s="1291"/>
    </row>
    <row r="1946" spans="1:9" ht="15" customHeight="1">
      <c r="A1946" s="1253">
        <v>43637</v>
      </c>
      <c r="B1946" s="1209">
        <v>6240</v>
      </c>
      <c r="C1946" s="1210">
        <v>19130</v>
      </c>
      <c r="D1946" s="1230">
        <v>19125</v>
      </c>
      <c r="E1946" s="1212">
        <f t="shared" si="297"/>
        <v>-5</v>
      </c>
      <c r="F1946" s="1211">
        <f t="shared" ref="F1946" si="310">C1946-C1945</f>
        <v>-270</v>
      </c>
      <c r="G1946" s="1215"/>
      <c r="H1946" s="1269"/>
      <c r="I1946" s="1291"/>
    </row>
    <row r="1947" spans="1:9" ht="15" customHeight="1">
      <c r="A1947" s="1253">
        <v>43640</v>
      </c>
      <c r="B1947" s="1209">
        <v>6235</v>
      </c>
      <c r="C1947" s="1210">
        <v>19075</v>
      </c>
      <c r="D1947" s="1230">
        <v>18955</v>
      </c>
      <c r="E1947" s="1212">
        <f t="shared" si="297"/>
        <v>-120</v>
      </c>
      <c r="F1947" s="1211">
        <f t="shared" ref="F1947" si="311">C1947-C1946</f>
        <v>-55</v>
      </c>
      <c r="G1947" s="1215"/>
      <c r="H1947" s="1269"/>
      <c r="I1947" s="1291">
        <v>143500</v>
      </c>
    </row>
    <row r="1948" spans="1:9" ht="15" customHeight="1">
      <c r="A1948" s="1253">
        <v>43641</v>
      </c>
      <c r="B1948" s="1209">
        <v>6305</v>
      </c>
      <c r="C1948" s="1210">
        <v>19030</v>
      </c>
      <c r="D1948" s="1230">
        <v>19010</v>
      </c>
      <c r="E1948" s="1212">
        <f t="shared" si="297"/>
        <v>-20</v>
      </c>
      <c r="F1948" s="1211">
        <f t="shared" ref="F1948" si="312">C1948-C1947</f>
        <v>-45</v>
      </c>
      <c r="G1948" s="1215"/>
      <c r="H1948" s="1269"/>
      <c r="I1948" s="1291">
        <v>143750</v>
      </c>
    </row>
    <row r="1949" spans="1:9" ht="15" customHeight="1">
      <c r="A1949" s="1253">
        <v>43642</v>
      </c>
      <c r="B1949" s="1209">
        <v>6280</v>
      </c>
      <c r="C1949" s="1210">
        <v>19000</v>
      </c>
      <c r="D1949" s="1230">
        <v>19005</v>
      </c>
      <c r="E1949" s="1212">
        <f t="shared" si="297"/>
        <v>5</v>
      </c>
      <c r="F1949" s="1211">
        <f t="shared" ref="F1949:F1950" si="313">C1949-C1948</f>
        <v>-30</v>
      </c>
      <c r="G1949" s="1215"/>
      <c r="H1949" s="1269"/>
      <c r="I1949" s="1291">
        <v>143500</v>
      </c>
    </row>
    <row r="1950" spans="1:9" ht="15" customHeight="1">
      <c r="A1950" s="1253">
        <v>43643</v>
      </c>
      <c r="B1950" s="1209">
        <v>6365</v>
      </c>
      <c r="C1950" s="1210">
        <v>18875</v>
      </c>
      <c r="D1950" s="1230">
        <v>18850</v>
      </c>
      <c r="E1950" s="1212">
        <f t="shared" si="297"/>
        <v>-25</v>
      </c>
      <c r="F1950" s="1211">
        <f t="shared" si="313"/>
        <v>-125</v>
      </c>
      <c r="G1950" s="1215"/>
      <c r="H1950" s="1269"/>
      <c r="I1950" s="1291">
        <v>143000</v>
      </c>
    </row>
    <row r="1951" spans="1:9" ht="15" customHeight="1">
      <c r="A1951" s="1253">
        <v>43644</v>
      </c>
      <c r="B1951" s="1209">
        <v>6390</v>
      </c>
      <c r="C1951" s="1210">
        <v>18805</v>
      </c>
      <c r="D1951" s="1230">
        <v>18850</v>
      </c>
      <c r="E1951" s="1212">
        <f t="shared" si="297"/>
        <v>45</v>
      </c>
      <c r="F1951" s="1211">
        <f t="shared" ref="F1951" si="314">C1951-C1950</f>
        <v>-70</v>
      </c>
      <c r="G1951" s="1227">
        <f>AVERAGE($C$1932:C1951)</f>
        <v>19176.5</v>
      </c>
      <c r="H1951" s="1274">
        <f>AVERAGE($C$1824:C1951)</f>
        <v>20432.298387096773</v>
      </c>
      <c r="I1951" s="1291">
        <v>143250</v>
      </c>
    </row>
    <row r="1952" spans="1:9" ht="15" customHeight="1">
      <c r="A1952" s="1253">
        <v>43647</v>
      </c>
      <c r="B1952" s="1209">
        <v>6410</v>
      </c>
      <c r="C1952" s="1210">
        <v>18900</v>
      </c>
      <c r="D1952" s="1230">
        <v>18860</v>
      </c>
      <c r="E1952" s="1212">
        <f t="shared" si="297"/>
        <v>-40</v>
      </c>
      <c r="F1952" s="1211">
        <f t="shared" ref="F1952:F1957" si="315">C1952-C1951</f>
        <v>95</v>
      </c>
      <c r="G1952" s="1215"/>
      <c r="H1952" s="1269"/>
      <c r="I1952" s="1291">
        <v>142750</v>
      </c>
    </row>
    <row r="1953" spans="1:9" ht="15" customHeight="1">
      <c r="A1953" s="1253">
        <v>43648</v>
      </c>
      <c r="B1953" s="1209">
        <v>6410</v>
      </c>
      <c r="C1953" s="1210">
        <v>18500</v>
      </c>
      <c r="D1953" s="1230">
        <v>18450</v>
      </c>
      <c r="E1953" s="1212">
        <f t="shared" si="297"/>
        <v>-50</v>
      </c>
      <c r="F1953" s="1211">
        <f t="shared" si="315"/>
        <v>-400</v>
      </c>
      <c r="G1953" s="1215"/>
      <c r="H1953" s="1269"/>
      <c r="I1953" s="1291">
        <v>141000</v>
      </c>
    </row>
    <row r="1954" spans="1:9" ht="15" customHeight="1">
      <c r="A1954" s="1253">
        <v>43649</v>
      </c>
      <c r="B1954" s="1209">
        <v>6460</v>
      </c>
      <c r="C1954" s="1210">
        <v>18125</v>
      </c>
      <c r="D1954" s="1230">
        <v>18070</v>
      </c>
      <c r="E1954" s="1212">
        <f t="shared" si="297"/>
        <v>-55</v>
      </c>
      <c r="F1954" s="1211">
        <f t="shared" si="315"/>
        <v>-375</v>
      </c>
      <c r="G1954" s="1215"/>
      <c r="H1954" s="1269"/>
      <c r="I1954" s="1291">
        <v>140750</v>
      </c>
    </row>
    <row r="1955" spans="1:9" ht="15" customHeight="1">
      <c r="A1955" s="1253">
        <v>43650</v>
      </c>
      <c r="B1955" s="1209">
        <v>6435</v>
      </c>
      <c r="C1955" s="1210">
        <v>18550</v>
      </c>
      <c r="D1955" s="1230">
        <v>18500</v>
      </c>
      <c r="E1955" s="1212">
        <f t="shared" si="297"/>
        <v>-50</v>
      </c>
      <c r="F1955" s="1211">
        <f t="shared" si="315"/>
        <v>425</v>
      </c>
      <c r="G1955" s="1215"/>
      <c r="H1955" s="1269"/>
      <c r="I1955" s="1291">
        <v>138750</v>
      </c>
    </row>
    <row r="1956" spans="1:9" ht="15" customHeight="1">
      <c r="A1956" s="1253">
        <v>43651</v>
      </c>
      <c r="B1956" s="1209">
        <v>6425</v>
      </c>
      <c r="C1956" s="1210">
        <v>18350</v>
      </c>
      <c r="D1956" s="1230">
        <v>18375</v>
      </c>
      <c r="E1956" s="1212">
        <f t="shared" si="297"/>
        <v>25</v>
      </c>
      <c r="F1956" s="1211">
        <f t="shared" si="315"/>
        <v>-200</v>
      </c>
      <c r="G1956" s="1215"/>
      <c r="H1956" s="1269"/>
      <c r="I1956" s="1291">
        <v>137750</v>
      </c>
    </row>
    <row r="1957" spans="1:9" ht="15" customHeight="1">
      <c r="A1957" s="1253">
        <v>43654</v>
      </c>
      <c r="B1957" s="1209">
        <v>6495</v>
      </c>
      <c r="C1957" s="1210">
        <v>18425</v>
      </c>
      <c r="D1957" s="1230">
        <v>18355</v>
      </c>
      <c r="E1957" s="1212">
        <f t="shared" si="297"/>
        <v>-70</v>
      </c>
      <c r="F1957" s="1211">
        <f t="shared" si="315"/>
        <v>75</v>
      </c>
      <c r="G1957" s="1215"/>
      <c r="H1957" s="1269"/>
      <c r="I1957" s="1291">
        <v>138250</v>
      </c>
    </row>
    <row r="1958" spans="1:9" ht="15" customHeight="1">
      <c r="A1958" s="1253">
        <v>43655</v>
      </c>
      <c r="B1958" s="1209">
        <v>6490</v>
      </c>
      <c r="C1958" s="1210">
        <v>18305</v>
      </c>
      <c r="D1958" s="1230">
        <v>18300</v>
      </c>
      <c r="E1958" s="1212">
        <f t="shared" si="297"/>
        <v>-5</v>
      </c>
      <c r="F1958" s="1211">
        <f t="shared" ref="F1958" si="316">C1958-C1957</f>
        <v>-120</v>
      </c>
      <c r="G1958" s="1215"/>
      <c r="H1958" s="1269"/>
      <c r="I1958" s="1291">
        <v>138250</v>
      </c>
    </row>
    <row r="1959" spans="1:9" ht="15" customHeight="1">
      <c r="A1959" s="1253">
        <v>43656</v>
      </c>
      <c r="B1959" s="1209">
        <v>6490</v>
      </c>
      <c r="C1959" s="1210">
        <v>18050</v>
      </c>
      <c r="D1959" s="1230">
        <v>18100</v>
      </c>
      <c r="E1959" s="1212">
        <f t="shared" si="297"/>
        <v>50</v>
      </c>
      <c r="F1959" s="1211">
        <f t="shared" ref="F1959:F1971" si="317">C1959-C1958</f>
        <v>-255</v>
      </c>
      <c r="G1959" s="1215"/>
      <c r="H1959" s="1269"/>
      <c r="I1959" s="1291">
        <v>138250</v>
      </c>
    </row>
    <row r="1960" spans="1:9" ht="15" customHeight="1">
      <c r="A1960" s="1253">
        <v>43657</v>
      </c>
      <c r="B1960" s="1209">
        <v>6450</v>
      </c>
      <c r="C1960" s="1210">
        <v>17900</v>
      </c>
      <c r="D1960" s="1230">
        <v>17860</v>
      </c>
      <c r="E1960" s="1212">
        <f t="shared" si="297"/>
        <v>-40</v>
      </c>
      <c r="F1960" s="1211">
        <f t="shared" si="317"/>
        <v>-150</v>
      </c>
      <c r="G1960" s="1215"/>
      <c r="H1960" s="1269"/>
      <c r="I1960" s="1291">
        <v>137500</v>
      </c>
    </row>
    <row r="1961" spans="1:9" ht="15" customHeight="1">
      <c r="A1961" s="1253">
        <v>43658</v>
      </c>
      <c r="B1961" s="1209">
        <v>6405</v>
      </c>
      <c r="C1961" s="1210">
        <v>18200</v>
      </c>
      <c r="D1961" s="1230">
        <v>18185</v>
      </c>
      <c r="E1961" s="1212">
        <f t="shared" si="297"/>
        <v>-15</v>
      </c>
      <c r="F1961" s="1211">
        <f t="shared" si="317"/>
        <v>300</v>
      </c>
      <c r="G1961" s="1215"/>
      <c r="H1961" s="1269"/>
      <c r="I1961" s="1291">
        <v>136500</v>
      </c>
    </row>
    <row r="1962" spans="1:9" ht="15" customHeight="1">
      <c r="A1962" s="1253">
        <v>43661</v>
      </c>
      <c r="B1962" s="1209">
        <v>6365</v>
      </c>
      <c r="C1962" s="1210">
        <v>18010</v>
      </c>
      <c r="D1962" s="1230">
        <v>18100</v>
      </c>
      <c r="E1962" s="1212">
        <f t="shared" si="297"/>
        <v>90</v>
      </c>
      <c r="F1962" s="1211">
        <f t="shared" si="317"/>
        <v>-190</v>
      </c>
      <c r="G1962" s="1215"/>
      <c r="H1962" s="1269"/>
      <c r="I1962" s="1291">
        <v>135500</v>
      </c>
    </row>
    <row r="1963" spans="1:9" ht="15" customHeight="1">
      <c r="A1963" s="1253">
        <v>43662</v>
      </c>
      <c r="B1963" s="1209">
        <v>6515</v>
      </c>
      <c r="C1963" s="1210">
        <v>17990</v>
      </c>
      <c r="D1963" s="1230">
        <v>18035</v>
      </c>
      <c r="E1963" s="1212">
        <f t="shared" si="297"/>
        <v>45</v>
      </c>
      <c r="F1963" s="1211">
        <f t="shared" si="317"/>
        <v>-20</v>
      </c>
      <c r="G1963" s="1215"/>
      <c r="H1963" s="1269"/>
      <c r="I1963" s="1291">
        <v>135000</v>
      </c>
    </row>
    <row r="1964" spans="1:9" ht="15" customHeight="1">
      <c r="A1964" s="1253">
        <v>43663</v>
      </c>
      <c r="B1964" s="1209">
        <v>6465</v>
      </c>
      <c r="C1964" s="1210">
        <v>17805</v>
      </c>
      <c r="D1964" s="1230">
        <v>17840</v>
      </c>
      <c r="E1964" s="1212">
        <f t="shared" si="297"/>
        <v>35</v>
      </c>
      <c r="F1964" s="1211">
        <f t="shared" si="317"/>
        <v>-185</v>
      </c>
      <c r="G1964" s="1215"/>
      <c r="H1964" s="1269"/>
      <c r="I1964" s="1291">
        <v>135000</v>
      </c>
    </row>
    <row r="1965" spans="1:9" ht="15" customHeight="1">
      <c r="A1965" s="1253">
        <v>43664</v>
      </c>
      <c r="B1965" s="1209">
        <v>6400</v>
      </c>
      <c r="C1965" s="1210">
        <v>17850</v>
      </c>
      <c r="D1965" s="1230">
        <v>17835</v>
      </c>
      <c r="E1965" s="1212">
        <f t="shared" si="297"/>
        <v>-15</v>
      </c>
      <c r="F1965" s="1211">
        <f t="shared" si="317"/>
        <v>45</v>
      </c>
      <c r="G1965" s="1215"/>
      <c r="H1965" s="1269"/>
      <c r="I1965" s="1291">
        <v>136500</v>
      </c>
    </row>
    <row r="1966" spans="1:9" ht="15" customHeight="1">
      <c r="A1966" s="1253">
        <v>43665</v>
      </c>
      <c r="B1966" s="1209">
        <v>6460</v>
      </c>
      <c r="C1966" s="1210">
        <v>17780</v>
      </c>
      <c r="D1966" s="1230">
        <v>17810</v>
      </c>
      <c r="E1966" s="1212">
        <f t="shared" si="297"/>
        <v>30</v>
      </c>
      <c r="F1966" s="1211">
        <f t="shared" si="317"/>
        <v>-70</v>
      </c>
      <c r="G1966" s="1215"/>
      <c r="H1966" s="1269"/>
      <c r="I1966" s="1291">
        <v>136250</v>
      </c>
    </row>
    <row r="1967" spans="1:9" ht="15" customHeight="1">
      <c r="A1967" s="1253">
        <v>43668</v>
      </c>
      <c r="B1967" s="1209">
        <v>6410</v>
      </c>
      <c r="C1967" s="1210">
        <v>17820</v>
      </c>
      <c r="D1967" s="1230">
        <v>17735</v>
      </c>
      <c r="E1967" s="1212">
        <f t="shared" si="297"/>
        <v>-85</v>
      </c>
      <c r="F1967" s="1211">
        <f t="shared" si="317"/>
        <v>40</v>
      </c>
      <c r="G1967" s="1215"/>
      <c r="H1967" s="1269"/>
      <c r="I1967" s="1291">
        <v>135750</v>
      </c>
    </row>
    <row r="1968" spans="1:9" ht="15" customHeight="1">
      <c r="A1968" s="1253">
        <v>43669</v>
      </c>
      <c r="B1968" s="1209">
        <v>6290</v>
      </c>
      <c r="C1968" s="1210">
        <v>17600</v>
      </c>
      <c r="D1968" s="1230">
        <v>17635</v>
      </c>
      <c r="E1968" s="1212">
        <f t="shared" si="297"/>
        <v>35</v>
      </c>
      <c r="F1968" s="1211">
        <f t="shared" si="317"/>
        <v>-220</v>
      </c>
      <c r="G1968" s="1215"/>
      <c r="H1968" s="1269"/>
      <c r="I1968" s="1291">
        <v>135750</v>
      </c>
    </row>
    <row r="1969" spans="1:9" ht="15" customHeight="1">
      <c r="A1969" s="1253">
        <v>43670</v>
      </c>
      <c r="B1969" s="1209">
        <v>6250</v>
      </c>
      <c r="C1969" s="1210">
        <v>17650</v>
      </c>
      <c r="D1969" s="1230">
        <v>17625</v>
      </c>
      <c r="E1969" s="1212">
        <f t="shared" si="297"/>
        <v>-25</v>
      </c>
      <c r="F1969" s="1211">
        <f t="shared" si="317"/>
        <v>50</v>
      </c>
      <c r="G1969" s="1215"/>
      <c r="H1969" s="1269"/>
      <c r="I1969" s="1291">
        <v>134750</v>
      </c>
    </row>
    <row r="1970" spans="1:9" ht="15" customHeight="1">
      <c r="A1970" s="1253">
        <v>43671</v>
      </c>
      <c r="B1970" s="1209">
        <v>6185</v>
      </c>
      <c r="C1970" s="1210">
        <v>17755</v>
      </c>
      <c r="D1970" s="1230">
        <v>17760</v>
      </c>
      <c r="E1970" s="1212">
        <f t="shared" si="297"/>
        <v>5</v>
      </c>
      <c r="F1970" s="1211">
        <f t="shared" si="317"/>
        <v>105</v>
      </c>
      <c r="G1970" s="1215"/>
      <c r="H1970" s="1269"/>
      <c r="I1970" s="1291">
        <v>136000</v>
      </c>
    </row>
    <row r="1971" spans="1:9" ht="15" customHeight="1">
      <c r="A1971" s="1253">
        <v>43672</v>
      </c>
      <c r="B1971" s="1209">
        <v>5990</v>
      </c>
      <c r="C1971" s="1210">
        <v>17830</v>
      </c>
      <c r="D1971" s="1230">
        <v>17785</v>
      </c>
      <c r="E1971" s="1212">
        <f t="shared" si="297"/>
        <v>-45</v>
      </c>
      <c r="F1971" s="1211">
        <f t="shared" si="317"/>
        <v>75</v>
      </c>
      <c r="G1971" s="1215"/>
      <c r="H1971" s="1269"/>
      <c r="I1971" s="1291">
        <v>136000</v>
      </c>
    </row>
    <row r="1972" spans="1:9" ht="15" customHeight="1">
      <c r="A1972" s="1253">
        <v>43675</v>
      </c>
      <c r="B1972" s="1209">
        <v>5850</v>
      </c>
      <c r="C1972" s="1210">
        <v>17555</v>
      </c>
      <c r="D1972" s="1230">
        <v>17555</v>
      </c>
      <c r="E1972" s="1212">
        <f t="shared" si="297"/>
        <v>0</v>
      </c>
      <c r="F1972" s="1211">
        <f t="shared" ref="F1972" si="318">C1972-C1971</f>
        <v>-275</v>
      </c>
      <c r="G1972" s="1215"/>
      <c r="H1972" s="1269"/>
      <c r="I1972" s="1291">
        <v>135250</v>
      </c>
    </row>
    <row r="1973" spans="1:9" ht="15" customHeight="1">
      <c r="A1973" s="1253">
        <v>43676</v>
      </c>
      <c r="B1973" s="1209">
        <v>5780</v>
      </c>
      <c r="C1973" s="1210">
        <v>17575</v>
      </c>
      <c r="D1973" s="1230">
        <v>17575</v>
      </c>
      <c r="E1973" s="1212">
        <f t="shared" si="297"/>
        <v>0</v>
      </c>
      <c r="F1973" s="1211">
        <f t="shared" ref="F1973" si="319">C1973-C1972</f>
        <v>20</v>
      </c>
      <c r="G1973" s="1215"/>
      <c r="H1973" s="1269"/>
      <c r="I1973" s="1291">
        <v>133250</v>
      </c>
    </row>
    <row r="1974" spans="1:9" ht="15" customHeight="1">
      <c r="A1974" s="1253">
        <v>43677</v>
      </c>
      <c r="B1974" s="1209">
        <v>5735</v>
      </c>
      <c r="C1974" s="1210">
        <v>17275</v>
      </c>
      <c r="D1974" s="1230">
        <v>17260</v>
      </c>
      <c r="E1974" s="1212">
        <f t="shared" si="297"/>
        <v>-15</v>
      </c>
      <c r="F1974" s="1211">
        <f t="shared" ref="F1974" si="320">C1974-C1973</f>
        <v>-300</v>
      </c>
      <c r="G1974" s="1227">
        <f>AVERAGE($C$1952:C1974)</f>
        <v>17991.304347826088</v>
      </c>
      <c r="H1974" s="1274">
        <f>AVERAGE($C$1824:C1974)</f>
        <v>20050.374149659863</v>
      </c>
      <c r="I1974" s="1291">
        <v>135000</v>
      </c>
    </row>
    <row r="1975" spans="1:9" ht="15" customHeight="1">
      <c r="A1975" s="1253">
        <v>43678</v>
      </c>
      <c r="B1975" s="1209">
        <v>4825</v>
      </c>
      <c r="C1975" s="1210">
        <v>17275</v>
      </c>
      <c r="D1975" s="1230">
        <v>17300</v>
      </c>
      <c r="E1975" s="1212">
        <f t="shared" si="297"/>
        <v>25</v>
      </c>
      <c r="F1975" s="1211">
        <f t="shared" ref="F1975:F1981" si="321">C1975-C1974</f>
        <v>0</v>
      </c>
      <c r="G1975" s="1230"/>
      <c r="H1975" s="1277"/>
      <c r="I1975" s="1291">
        <v>135750</v>
      </c>
    </row>
    <row r="1976" spans="1:9" ht="15" customHeight="1">
      <c r="A1976" s="1253">
        <v>43679</v>
      </c>
      <c r="B1976" s="1209">
        <v>4890</v>
      </c>
      <c r="C1976" s="1210">
        <v>17300</v>
      </c>
      <c r="D1976" s="1230">
        <v>17320</v>
      </c>
      <c r="E1976" s="1212">
        <f t="shared" si="297"/>
        <v>20</v>
      </c>
      <c r="F1976" s="1211">
        <f t="shared" si="321"/>
        <v>25</v>
      </c>
      <c r="G1976" s="1230"/>
      <c r="H1976" s="1277"/>
      <c r="I1976" s="1291">
        <v>133750</v>
      </c>
    </row>
    <row r="1977" spans="1:9" ht="15" customHeight="1">
      <c r="A1977" s="1253">
        <v>43682</v>
      </c>
      <c r="B1977" s="1209">
        <v>4790</v>
      </c>
      <c r="C1977" s="1210">
        <v>16830</v>
      </c>
      <c r="D1977" s="1230">
        <v>16850</v>
      </c>
      <c r="E1977" s="1212">
        <f t="shared" si="297"/>
        <v>20</v>
      </c>
      <c r="F1977" s="1211">
        <f t="shared" si="321"/>
        <v>-470</v>
      </c>
      <c r="G1977" s="1215"/>
      <c r="H1977" s="1269"/>
      <c r="I1977" s="1291">
        <v>134750</v>
      </c>
    </row>
    <row r="1978" spans="1:9" ht="15" customHeight="1">
      <c r="A1978" s="1253">
        <v>43683</v>
      </c>
      <c r="B1978" s="1209">
        <v>4840</v>
      </c>
      <c r="C1978" s="1210">
        <v>17100</v>
      </c>
      <c r="D1978" s="1230">
        <v>17050</v>
      </c>
      <c r="E1978" s="1212">
        <f t="shared" si="297"/>
        <v>-50</v>
      </c>
      <c r="F1978" s="1211">
        <f t="shared" si="321"/>
        <v>270</v>
      </c>
      <c r="G1978" s="1215"/>
      <c r="H1978" s="1269"/>
      <c r="I1978" s="1291">
        <v>135500</v>
      </c>
    </row>
    <row r="1979" spans="1:9" ht="15" customHeight="1">
      <c r="A1979" s="1253">
        <v>43684</v>
      </c>
      <c r="B1979" s="1209">
        <v>4860</v>
      </c>
      <c r="C1979" s="1210">
        <v>17025</v>
      </c>
      <c r="D1979" s="1230">
        <v>16995</v>
      </c>
      <c r="E1979" s="1212">
        <f t="shared" si="297"/>
        <v>-30</v>
      </c>
      <c r="F1979" s="1211">
        <f t="shared" si="321"/>
        <v>-75</v>
      </c>
      <c r="G1979" s="1215"/>
      <c r="H1979" s="1269"/>
      <c r="I1979" s="1291">
        <v>135250</v>
      </c>
    </row>
    <row r="1980" spans="1:9" ht="15" customHeight="1">
      <c r="A1980" s="1253">
        <v>43685</v>
      </c>
      <c r="B1980" s="1209">
        <v>4785</v>
      </c>
      <c r="C1980" s="1210">
        <v>16950</v>
      </c>
      <c r="D1980" s="1230">
        <v>16900</v>
      </c>
      <c r="E1980" s="1212">
        <f t="shared" si="297"/>
        <v>-50</v>
      </c>
      <c r="F1980" s="1211">
        <f t="shared" si="321"/>
        <v>-75</v>
      </c>
      <c r="G1980" s="1215"/>
      <c r="H1980" s="1269"/>
      <c r="I1980" s="1291">
        <v>137250</v>
      </c>
    </row>
    <row r="1981" spans="1:9" ht="15" customHeight="1">
      <c r="A1981" s="1253">
        <v>43686</v>
      </c>
      <c r="B1981" s="1209">
        <v>4920</v>
      </c>
      <c r="C1981" s="1210">
        <v>16900</v>
      </c>
      <c r="D1981" s="1230">
        <v>16850</v>
      </c>
      <c r="E1981" s="1212">
        <f t="shared" si="297"/>
        <v>-50</v>
      </c>
      <c r="F1981" s="1211">
        <f t="shared" si="321"/>
        <v>-50</v>
      </c>
      <c r="G1981" s="1215"/>
      <c r="H1981" s="1269"/>
      <c r="I1981" s="1291">
        <v>136250</v>
      </c>
    </row>
    <row r="1982" spans="1:9" ht="15" customHeight="1">
      <c r="A1982" s="1253">
        <v>43689</v>
      </c>
      <c r="B1982" s="1209">
        <v>4920</v>
      </c>
      <c r="C1982" s="1210">
        <v>17025</v>
      </c>
      <c r="D1982" s="1230">
        <v>17000</v>
      </c>
      <c r="E1982" s="1212">
        <f t="shared" si="297"/>
        <v>-25</v>
      </c>
      <c r="F1982" s="1211">
        <f t="shared" ref="F1982:F1987" si="322">C1982-C1981</f>
        <v>125</v>
      </c>
      <c r="G1982" s="1215"/>
      <c r="H1982" s="1269"/>
      <c r="I1982" s="1291">
        <v>134500</v>
      </c>
    </row>
    <row r="1983" spans="1:9" ht="15" customHeight="1">
      <c r="A1983" s="1253">
        <v>43690</v>
      </c>
      <c r="B1983" s="1209">
        <v>4915</v>
      </c>
      <c r="C1983" s="1210">
        <v>16950</v>
      </c>
      <c r="D1983" s="1230">
        <v>16900</v>
      </c>
      <c r="E1983" s="1212">
        <f t="shared" si="297"/>
        <v>-50</v>
      </c>
      <c r="F1983" s="1211">
        <f t="shared" si="322"/>
        <v>-75</v>
      </c>
      <c r="G1983" s="1215"/>
      <c r="H1983" s="1269"/>
      <c r="I1983" s="1291">
        <v>135000</v>
      </c>
    </row>
    <row r="1984" spans="1:9" ht="15" customHeight="1">
      <c r="A1984" s="1253">
        <v>43691</v>
      </c>
      <c r="B1984" s="1209">
        <v>4780</v>
      </c>
      <c r="C1984" s="1210">
        <v>17075</v>
      </c>
      <c r="D1984" s="1230">
        <v>17050</v>
      </c>
      <c r="E1984" s="1212">
        <f t="shared" si="297"/>
        <v>-25</v>
      </c>
      <c r="F1984" s="1211">
        <f t="shared" si="322"/>
        <v>125</v>
      </c>
      <c r="G1984" s="1215"/>
      <c r="H1984" s="1269"/>
      <c r="I1984" s="1291">
        <v>135250</v>
      </c>
    </row>
    <row r="1985" spans="1:15" ht="15" customHeight="1">
      <c r="A1985" s="1253">
        <v>43692</v>
      </c>
      <c r="B1985" s="1209">
        <v>4755</v>
      </c>
      <c r="C1985" s="1210">
        <v>16880</v>
      </c>
      <c r="D1985" s="1230">
        <v>16855</v>
      </c>
      <c r="E1985" s="1212">
        <f t="shared" si="297"/>
        <v>-25</v>
      </c>
      <c r="F1985" s="1211">
        <f t="shared" si="322"/>
        <v>-195</v>
      </c>
      <c r="G1985" s="1215"/>
      <c r="H1985" s="1269"/>
      <c r="I1985" s="1291">
        <v>134750</v>
      </c>
    </row>
    <row r="1986" spans="1:15" ht="15" customHeight="1">
      <c r="A1986" s="1253">
        <v>43693</v>
      </c>
      <c r="B1986" s="1209">
        <v>6335</v>
      </c>
      <c r="C1986" s="1210">
        <v>16805</v>
      </c>
      <c r="D1986" s="1230">
        <v>16850</v>
      </c>
      <c r="E1986" s="1212">
        <f t="shared" si="297"/>
        <v>45</v>
      </c>
      <c r="F1986" s="1211">
        <f t="shared" si="322"/>
        <v>-75</v>
      </c>
      <c r="G1986" s="1215"/>
      <c r="H1986" s="1269"/>
      <c r="I1986" s="1291">
        <v>134750</v>
      </c>
    </row>
    <row r="1987" spans="1:15" ht="15" customHeight="1">
      <c r="A1987" s="1253">
        <v>43696</v>
      </c>
      <c r="B1987" s="1209">
        <v>6315</v>
      </c>
      <c r="C1987" s="1210">
        <v>16390</v>
      </c>
      <c r="D1987" s="1230">
        <v>16400</v>
      </c>
      <c r="E1987" s="1212">
        <f t="shared" si="297"/>
        <v>10</v>
      </c>
      <c r="F1987" s="1211">
        <f t="shared" si="322"/>
        <v>-415</v>
      </c>
      <c r="G1987" s="1215"/>
      <c r="H1987" s="1269"/>
      <c r="I1987" s="1291">
        <v>132250</v>
      </c>
    </row>
    <row r="1988" spans="1:15" ht="15" customHeight="1">
      <c r="A1988" s="1253">
        <v>43697</v>
      </c>
      <c r="B1988" s="1209">
        <v>6175</v>
      </c>
      <c r="C1988" s="1210">
        <v>16425</v>
      </c>
      <c r="D1988" s="1230">
        <v>16425</v>
      </c>
      <c r="E1988" s="1212">
        <f t="shared" si="297"/>
        <v>0</v>
      </c>
      <c r="F1988" s="1211">
        <f t="shared" ref="F1988:F1991" si="323">C1988-C1987</f>
        <v>35</v>
      </c>
      <c r="G1988" s="1215"/>
      <c r="H1988" s="1269"/>
      <c r="I1988" s="1291">
        <v>132250</v>
      </c>
    </row>
    <row r="1989" spans="1:15" ht="15" customHeight="1">
      <c r="A1989" s="1253">
        <v>43698</v>
      </c>
      <c r="B1989" s="1209">
        <v>6190</v>
      </c>
      <c r="C1989" s="1210">
        <v>16175</v>
      </c>
      <c r="D1989" s="1230">
        <v>16160</v>
      </c>
      <c r="E1989" s="1212">
        <f t="shared" si="297"/>
        <v>-15</v>
      </c>
      <c r="F1989" s="1211">
        <f t="shared" si="323"/>
        <v>-250</v>
      </c>
      <c r="G1989" s="1215"/>
      <c r="H1989" s="1269"/>
      <c r="I1989" s="1291">
        <v>133000</v>
      </c>
    </row>
    <row r="1990" spans="1:15" ht="15" customHeight="1">
      <c r="A1990" s="1253">
        <v>43699</v>
      </c>
      <c r="B1990" s="1209">
        <v>6115</v>
      </c>
      <c r="C1990" s="1210">
        <v>15900</v>
      </c>
      <c r="D1990" s="1230">
        <v>15900</v>
      </c>
      <c r="E1990" s="1212">
        <f t="shared" si="297"/>
        <v>0</v>
      </c>
      <c r="F1990" s="1211">
        <f t="shared" si="323"/>
        <v>-275</v>
      </c>
      <c r="G1990" s="1215"/>
      <c r="H1990" s="1269"/>
      <c r="I1990" s="1291">
        <v>132500</v>
      </c>
    </row>
    <row r="1991" spans="1:15" ht="15" customHeight="1">
      <c r="A1991" s="1253">
        <v>43700</v>
      </c>
      <c r="B1991" s="1209">
        <v>6790</v>
      </c>
      <c r="C1991" s="1210">
        <v>16050</v>
      </c>
      <c r="D1991" s="1230">
        <v>16000</v>
      </c>
      <c r="E1991" s="1212">
        <f t="shared" si="297"/>
        <v>-50</v>
      </c>
      <c r="F1991" s="1211">
        <f t="shared" si="323"/>
        <v>150</v>
      </c>
      <c r="G1991" s="1215"/>
      <c r="H1991" s="1269"/>
      <c r="I1991" s="1291">
        <v>132000</v>
      </c>
    </row>
    <row r="1992" spans="1:15" ht="15" customHeight="1">
      <c r="A1992" s="1253">
        <v>43703</v>
      </c>
      <c r="B1992" s="1441" t="s">
        <v>51</v>
      </c>
      <c r="C1992" s="1441"/>
      <c r="D1992" s="1441"/>
      <c r="E1992" s="1441"/>
      <c r="F1992" s="1441"/>
      <c r="G1992" s="1215"/>
      <c r="H1992" s="1278"/>
      <c r="I1992" s="1291">
        <v>131500</v>
      </c>
      <c r="J1992" s="24"/>
      <c r="K1992" s="24"/>
      <c r="L1992" s="24"/>
      <c r="M1992" s="24"/>
      <c r="N1992" s="24"/>
      <c r="O1992" s="24"/>
    </row>
    <row r="1993" spans="1:15" ht="15" customHeight="1">
      <c r="A1993" s="1253">
        <v>43704</v>
      </c>
      <c r="B1993" s="1209">
        <v>6755</v>
      </c>
      <c r="C1993" s="1210">
        <v>15725</v>
      </c>
      <c r="D1993" s="1230">
        <v>15635</v>
      </c>
      <c r="E1993" s="1212">
        <f t="shared" si="297"/>
        <v>-90</v>
      </c>
      <c r="F1993" s="1211">
        <f>C1993-C1991</f>
        <v>-325</v>
      </c>
      <c r="G1993" s="1215"/>
      <c r="H1993" s="1269"/>
      <c r="I1993" s="1291">
        <v>131500</v>
      </c>
    </row>
    <row r="1994" spans="1:15" ht="15" customHeight="1">
      <c r="A1994" s="1253">
        <v>43705</v>
      </c>
      <c r="B1994" s="1209">
        <v>6970</v>
      </c>
      <c r="C1994" s="1210">
        <v>15830</v>
      </c>
      <c r="D1994" s="1230">
        <v>15855</v>
      </c>
      <c r="E1994" s="1212">
        <f t="shared" ref="E1994:E2057" si="324">D1994-C1994</f>
        <v>25</v>
      </c>
      <c r="F1994" s="1211">
        <f>C1994-C1993</f>
        <v>105</v>
      </c>
      <c r="G1994" s="1215"/>
      <c r="H1994" s="1269"/>
      <c r="I1994" s="1291">
        <v>131500</v>
      </c>
    </row>
    <row r="1995" spans="1:15" ht="15" customHeight="1">
      <c r="A1995" s="1253">
        <v>43706</v>
      </c>
      <c r="B1995" s="1209">
        <v>7060</v>
      </c>
      <c r="C1995" s="1210">
        <v>15710</v>
      </c>
      <c r="D1995" s="1230">
        <v>15760</v>
      </c>
      <c r="E1995" s="1212">
        <f t="shared" si="324"/>
        <v>50</v>
      </c>
      <c r="F1995" s="1211">
        <f>C1995-C1994</f>
        <v>-120</v>
      </c>
      <c r="G1995" s="1215"/>
      <c r="H1995" s="1269"/>
      <c r="I1995" s="1291">
        <v>132000</v>
      </c>
    </row>
    <row r="1996" spans="1:15" ht="15" customHeight="1">
      <c r="A1996" s="1253">
        <v>43707</v>
      </c>
      <c r="B1996" s="1209">
        <v>6995</v>
      </c>
      <c r="C1996" s="1210">
        <v>15800</v>
      </c>
      <c r="D1996" s="1230">
        <v>15850</v>
      </c>
      <c r="E1996" s="1212">
        <f t="shared" si="324"/>
        <v>50</v>
      </c>
      <c r="F1996" s="1211">
        <f>C1996-C1995</f>
        <v>90</v>
      </c>
      <c r="G1996" s="1227">
        <f>AVERAGE($C$1975:C1996)</f>
        <v>16577.142857142859</v>
      </c>
      <c r="H1996" s="1274">
        <f>AVERAGE($C$1824:C1996)</f>
        <v>19616.220238095237</v>
      </c>
      <c r="I1996" s="1291">
        <v>132000</v>
      </c>
    </row>
    <row r="1997" spans="1:15" ht="15" customHeight="1">
      <c r="A1997" s="1253">
        <v>43710</v>
      </c>
      <c r="B1997" s="1209">
        <v>6995</v>
      </c>
      <c r="C1997" s="1210">
        <v>17165</v>
      </c>
      <c r="D1997" s="1230">
        <v>17180</v>
      </c>
      <c r="E1997" s="1212">
        <f t="shared" si="324"/>
        <v>15</v>
      </c>
      <c r="F1997" s="1211">
        <f t="shared" ref="F1997:F2001" si="325">C1997-C1996</f>
        <v>1365</v>
      </c>
      <c r="G1997" s="1215"/>
      <c r="H1997" s="1269"/>
      <c r="I1997" s="1291">
        <v>135000</v>
      </c>
    </row>
    <row r="1998" spans="1:15" ht="15" customHeight="1">
      <c r="A1998" s="1253">
        <v>43711</v>
      </c>
      <c r="B1998" s="1209">
        <v>6975</v>
      </c>
      <c r="C1998" s="1210">
        <v>16555</v>
      </c>
      <c r="D1998" s="1230">
        <v>16580</v>
      </c>
      <c r="E1998" s="1212">
        <f t="shared" si="324"/>
        <v>25</v>
      </c>
      <c r="F1998" s="1211">
        <f t="shared" si="325"/>
        <v>-610</v>
      </c>
      <c r="G1998" s="1215"/>
      <c r="H1998" s="1269"/>
      <c r="I1998" s="1291">
        <v>136500</v>
      </c>
    </row>
    <row r="1999" spans="1:15" ht="15" customHeight="1">
      <c r="A1999" s="1253">
        <v>43712</v>
      </c>
      <c r="B1999" s="1209">
        <v>6970</v>
      </c>
      <c r="C1999" s="1210">
        <v>16960</v>
      </c>
      <c r="D1999" s="1230">
        <v>17050</v>
      </c>
      <c r="E1999" s="1212">
        <f t="shared" si="324"/>
        <v>90</v>
      </c>
      <c r="F1999" s="1211">
        <f t="shared" si="325"/>
        <v>405</v>
      </c>
      <c r="G1999" s="1231"/>
      <c r="H1999" s="1269"/>
      <c r="I1999" s="1291">
        <v>138500</v>
      </c>
    </row>
    <row r="2000" spans="1:15" ht="15" customHeight="1">
      <c r="A2000" s="1253">
        <v>43713</v>
      </c>
      <c r="B2000" s="1209">
        <v>6970</v>
      </c>
      <c r="C2000" s="1210">
        <v>17200</v>
      </c>
      <c r="D2000" s="1230">
        <v>17150</v>
      </c>
      <c r="E2000" s="1212">
        <f t="shared" si="324"/>
        <v>-50</v>
      </c>
      <c r="F2000" s="1211">
        <f t="shared" si="325"/>
        <v>240</v>
      </c>
      <c r="G2000" s="1215"/>
      <c r="H2000" s="1269"/>
      <c r="I2000" s="1291">
        <v>139500</v>
      </c>
    </row>
    <row r="2001" spans="1:9" ht="15" customHeight="1">
      <c r="A2001" s="1253">
        <v>43714</v>
      </c>
      <c r="B2001" s="1209">
        <v>6950</v>
      </c>
      <c r="C2001" s="1210">
        <v>17075</v>
      </c>
      <c r="D2001" s="1230">
        <v>17075</v>
      </c>
      <c r="E2001" s="1212">
        <f t="shared" si="324"/>
        <v>0</v>
      </c>
      <c r="F2001" s="1211">
        <f t="shared" si="325"/>
        <v>-125</v>
      </c>
      <c r="G2001" s="1215"/>
      <c r="H2001" s="1269"/>
      <c r="I2001" s="1291">
        <v>141500</v>
      </c>
    </row>
    <row r="2002" spans="1:9" ht="15" customHeight="1">
      <c r="A2002" s="1253">
        <v>43717</v>
      </c>
      <c r="B2002" s="1209">
        <v>6980</v>
      </c>
      <c r="C2002" s="1210">
        <v>17225</v>
      </c>
      <c r="D2002" s="1230">
        <v>17170</v>
      </c>
      <c r="E2002" s="1212">
        <f t="shared" si="324"/>
        <v>-55</v>
      </c>
      <c r="F2002" s="1211">
        <f t="shared" ref="F2002:F2024" si="326">C2002-C2001</f>
        <v>150</v>
      </c>
      <c r="G2002" s="1231"/>
      <c r="H2002" s="1278"/>
      <c r="I2002" s="1291">
        <v>139000</v>
      </c>
    </row>
    <row r="2003" spans="1:9" ht="15" customHeight="1">
      <c r="A2003" s="1253">
        <v>43718</v>
      </c>
      <c r="B2003" s="1209">
        <v>6955</v>
      </c>
      <c r="C2003" s="1210">
        <v>17350</v>
      </c>
      <c r="D2003" s="1230">
        <v>17300</v>
      </c>
      <c r="E2003" s="1212">
        <f t="shared" si="324"/>
        <v>-50</v>
      </c>
      <c r="F2003" s="1211">
        <f t="shared" si="326"/>
        <v>125</v>
      </c>
      <c r="G2003" s="1215"/>
      <c r="H2003" s="1269"/>
      <c r="I2003" s="1291">
        <v>139500</v>
      </c>
    </row>
    <row r="2004" spans="1:9" ht="15" customHeight="1">
      <c r="A2004" s="1253">
        <v>43719</v>
      </c>
      <c r="B2004" s="1209">
        <v>6955</v>
      </c>
      <c r="C2004" s="1210">
        <v>17400</v>
      </c>
      <c r="D2004" s="1230">
        <v>17325</v>
      </c>
      <c r="E2004" s="1212">
        <f t="shared" si="324"/>
        <v>-75</v>
      </c>
      <c r="F2004" s="1211">
        <f t="shared" si="326"/>
        <v>50</v>
      </c>
      <c r="G2004" s="1215"/>
      <c r="H2004" s="1269"/>
      <c r="I2004" s="1291">
        <v>139500</v>
      </c>
    </row>
    <row r="2005" spans="1:9" ht="15" customHeight="1">
      <c r="A2005" s="1253">
        <v>43720</v>
      </c>
      <c r="B2005" s="1209">
        <v>6930</v>
      </c>
      <c r="C2005" s="1210">
        <v>17460</v>
      </c>
      <c r="D2005" s="1230">
        <v>17450</v>
      </c>
      <c r="E2005" s="1212">
        <f t="shared" si="324"/>
        <v>-10</v>
      </c>
      <c r="F2005" s="1211">
        <f t="shared" si="326"/>
        <v>60</v>
      </c>
      <c r="G2005" s="1215"/>
      <c r="H2005" s="1269"/>
      <c r="I2005" s="1291">
        <v>141000</v>
      </c>
    </row>
    <row r="2006" spans="1:9" ht="15" customHeight="1">
      <c r="A2006" s="1253">
        <v>43721</v>
      </c>
      <c r="B2006" s="1209">
        <v>6760</v>
      </c>
      <c r="C2006" s="1210">
        <v>17275</v>
      </c>
      <c r="D2006" s="1230">
        <v>17275</v>
      </c>
      <c r="E2006" s="1212">
        <f t="shared" si="324"/>
        <v>0</v>
      </c>
      <c r="F2006" s="1211">
        <f t="shared" si="326"/>
        <v>-185</v>
      </c>
      <c r="G2006" s="1231"/>
      <c r="H2006" s="1278"/>
      <c r="I2006" s="1291"/>
    </row>
    <row r="2007" spans="1:9" ht="15" customHeight="1">
      <c r="A2007" s="1253">
        <v>43724</v>
      </c>
      <c r="B2007" s="1209">
        <v>6580</v>
      </c>
      <c r="C2007" s="1210">
        <v>16750</v>
      </c>
      <c r="D2007" s="1230">
        <v>16755</v>
      </c>
      <c r="E2007" s="1212">
        <f t="shared" si="324"/>
        <v>5</v>
      </c>
      <c r="F2007" s="1211">
        <f t="shared" si="326"/>
        <v>-525</v>
      </c>
      <c r="G2007" s="1215"/>
      <c r="H2007" s="1269"/>
      <c r="I2007" s="1291">
        <v>138000</v>
      </c>
    </row>
    <row r="2008" spans="1:9" ht="15" customHeight="1">
      <c r="A2008" s="1253">
        <v>43725</v>
      </c>
      <c r="B2008" s="1209">
        <v>6570</v>
      </c>
      <c r="C2008" s="1210">
        <v>16710</v>
      </c>
      <c r="D2008" s="1230">
        <v>16740</v>
      </c>
      <c r="E2008" s="1212">
        <f t="shared" si="324"/>
        <v>30</v>
      </c>
      <c r="F2008" s="1211">
        <f t="shared" si="326"/>
        <v>-40</v>
      </c>
      <c r="G2008" s="1215"/>
      <c r="H2008" s="1269"/>
      <c r="I2008" s="1291">
        <v>137500</v>
      </c>
    </row>
    <row r="2009" spans="1:9" ht="15" customHeight="1">
      <c r="A2009" s="1253">
        <v>43726</v>
      </c>
      <c r="B2009" s="1209">
        <v>6575</v>
      </c>
      <c r="C2009" s="1210">
        <v>16850</v>
      </c>
      <c r="D2009" s="1230">
        <v>16850</v>
      </c>
      <c r="E2009" s="1212">
        <f t="shared" si="324"/>
        <v>0</v>
      </c>
      <c r="F2009" s="1211">
        <f t="shared" si="326"/>
        <v>140</v>
      </c>
      <c r="G2009" s="1215"/>
      <c r="H2009" s="1269"/>
      <c r="I2009" s="1291">
        <v>137500</v>
      </c>
    </row>
    <row r="2010" spans="1:9" ht="15" customHeight="1">
      <c r="A2010" s="1253">
        <v>43727</v>
      </c>
      <c r="B2010" s="1209">
        <v>6575</v>
      </c>
      <c r="C2010" s="1210">
        <v>16525</v>
      </c>
      <c r="D2010" s="1230">
        <v>16480</v>
      </c>
      <c r="E2010" s="1212">
        <f t="shared" si="324"/>
        <v>-45</v>
      </c>
      <c r="F2010" s="1211">
        <f t="shared" si="326"/>
        <v>-325</v>
      </c>
      <c r="G2010" s="1215"/>
      <c r="H2010" s="1269"/>
      <c r="I2010" s="1291">
        <v>137500</v>
      </c>
    </row>
    <row r="2011" spans="1:9" ht="15" customHeight="1">
      <c r="A2011" s="1253">
        <v>43728</v>
      </c>
      <c r="B2011" s="1209">
        <v>6565</v>
      </c>
      <c r="C2011" s="1210">
        <v>16425</v>
      </c>
      <c r="D2011" s="1230">
        <v>19405</v>
      </c>
      <c r="E2011" s="1212">
        <f t="shared" si="324"/>
        <v>2980</v>
      </c>
      <c r="F2011" s="1211">
        <f t="shared" si="326"/>
        <v>-100</v>
      </c>
      <c r="G2011" s="1215"/>
      <c r="H2011" s="1269"/>
      <c r="I2011" s="1291">
        <v>137000</v>
      </c>
    </row>
    <row r="2012" spans="1:9" ht="15" customHeight="1">
      <c r="A2012" s="1253">
        <v>43731</v>
      </c>
      <c r="B2012" s="1209">
        <v>6515</v>
      </c>
      <c r="C2012" s="1210">
        <v>16600</v>
      </c>
      <c r="D2012" s="1230">
        <v>16600</v>
      </c>
      <c r="E2012" s="1212">
        <f t="shared" si="324"/>
        <v>0</v>
      </c>
      <c r="F2012" s="1211">
        <f t="shared" si="326"/>
        <v>175</v>
      </c>
      <c r="G2012" s="1215"/>
      <c r="H2012" s="1269"/>
      <c r="I2012" s="1291">
        <v>138000</v>
      </c>
    </row>
    <row r="2013" spans="1:9" ht="15" customHeight="1">
      <c r="A2013" s="1253">
        <v>43732</v>
      </c>
      <c r="B2013" s="1209">
        <v>6495</v>
      </c>
      <c r="C2013" s="1210">
        <v>16500</v>
      </c>
      <c r="D2013" s="1230">
        <v>16500</v>
      </c>
      <c r="E2013" s="1212">
        <f t="shared" si="324"/>
        <v>0</v>
      </c>
      <c r="F2013" s="1211">
        <f t="shared" si="326"/>
        <v>-100</v>
      </c>
      <c r="G2013" s="1215"/>
      <c r="H2013" s="1269"/>
      <c r="I2013" s="1291">
        <v>137000</v>
      </c>
    </row>
    <row r="2014" spans="1:9" ht="15" customHeight="1">
      <c r="A2014" s="1253">
        <v>43733</v>
      </c>
      <c r="B2014" s="1209">
        <v>6510</v>
      </c>
      <c r="C2014" s="1210">
        <v>16530</v>
      </c>
      <c r="D2014" s="1230">
        <v>16550</v>
      </c>
      <c r="E2014" s="1212">
        <f t="shared" si="324"/>
        <v>20</v>
      </c>
      <c r="F2014" s="1211">
        <f t="shared" si="326"/>
        <v>30</v>
      </c>
      <c r="G2014" s="1215"/>
      <c r="H2014" s="1269"/>
      <c r="I2014" s="1291">
        <v>137000</v>
      </c>
    </row>
    <row r="2015" spans="1:9" ht="15" customHeight="1">
      <c r="A2015" s="1253">
        <v>43734</v>
      </c>
      <c r="B2015" s="1209">
        <v>6490</v>
      </c>
      <c r="C2015" s="1210">
        <v>16700</v>
      </c>
      <c r="D2015" s="1230">
        <v>16675</v>
      </c>
      <c r="E2015" s="1212">
        <f t="shared" si="324"/>
        <v>-25</v>
      </c>
      <c r="F2015" s="1211">
        <f t="shared" si="326"/>
        <v>170</v>
      </c>
      <c r="G2015" s="1215"/>
      <c r="H2015" s="1269"/>
      <c r="I2015" s="1291">
        <v>137000</v>
      </c>
    </row>
    <row r="2016" spans="1:9" ht="15" customHeight="1">
      <c r="A2016" s="1253">
        <v>43735</v>
      </c>
      <c r="B2016" s="1209">
        <v>6885</v>
      </c>
      <c r="C2016" s="1210">
        <v>16325</v>
      </c>
      <c r="D2016" s="1230">
        <v>16325</v>
      </c>
      <c r="E2016" s="1212">
        <f t="shared" si="324"/>
        <v>0</v>
      </c>
      <c r="F2016" s="1211">
        <f t="shared" si="326"/>
        <v>-375</v>
      </c>
      <c r="G2016" s="1215"/>
      <c r="H2016" s="1269"/>
      <c r="I2016" s="1291">
        <v>136500</v>
      </c>
    </row>
    <row r="2017" spans="1:9" ht="15" customHeight="1">
      <c r="A2017" s="1253">
        <v>43738</v>
      </c>
      <c r="B2017" s="1209">
        <v>6855</v>
      </c>
      <c r="C2017" s="1210">
        <v>16055</v>
      </c>
      <c r="D2017" s="1230">
        <v>16080</v>
      </c>
      <c r="E2017" s="1212">
        <f t="shared" si="324"/>
        <v>25</v>
      </c>
      <c r="F2017" s="1211">
        <f t="shared" si="326"/>
        <v>-270</v>
      </c>
      <c r="G2017" s="1227">
        <f>AVERAGE($C$1997:C2017)</f>
        <v>16839.761904761905</v>
      </c>
      <c r="H2017" s="1274">
        <f>AVERAGE($C$1824:C2017)</f>
        <v>19307.724867724868</v>
      </c>
      <c r="I2017" s="1291">
        <v>135500</v>
      </c>
    </row>
    <row r="2018" spans="1:9" ht="15" customHeight="1">
      <c r="A2018" s="1253">
        <v>43739</v>
      </c>
      <c r="B2018" s="1209">
        <v>6785</v>
      </c>
      <c r="C2018" s="1210">
        <v>16200</v>
      </c>
      <c r="D2018" s="1230">
        <v>16200</v>
      </c>
      <c r="E2018" s="1212">
        <f t="shared" si="324"/>
        <v>0</v>
      </c>
      <c r="F2018" s="1211">
        <f t="shared" si="326"/>
        <v>145</v>
      </c>
      <c r="G2018" s="1215"/>
      <c r="H2018" s="1269"/>
      <c r="I2018" s="1291"/>
    </row>
    <row r="2019" spans="1:9" ht="15" customHeight="1">
      <c r="A2019" s="1253">
        <v>43740</v>
      </c>
      <c r="B2019" s="1209">
        <v>6770</v>
      </c>
      <c r="C2019" s="1210">
        <v>16300</v>
      </c>
      <c r="D2019" s="1230">
        <v>16350</v>
      </c>
      <c r="E2019" s="1212">
        <f t="shared" si="324"/>
        <v>50</v>
      </c>
      <c r="F2019" s="1211">
        <f t="shared" si="326"/>
        <v>100</v>
      </c>
      <c r="G2019" s="1215"/>
      <c r="H2019" s="1269"/>
      <c r="I2019" s="1291"/>
    </row>
    <row r="2020" spans="1:9" ht="15" customHeight="1">
      <c r="A2020" s="1253">
        <v>43741</v>
      </c>
      <c r="B2020" s="1209">
        <v>6745</v>
      </c>
      <c r="C2020" s="1210">
        <v>16450</v>
      </c>
      <c r="D2020" s="1230">
        <v>16475</v>
      </c>
      <c r="E2020" s="1212">
        <f t="shared" si="324"/>
        <v>25</v>
      </c>
      <c r="F2020" s="1211">
        <f t="shared" si="326"/>
        <v>150</v>
      </c>
      <c r="G2020" s="1215"/>
      <c r="H2020" s="1269"/>
      <c r="I2020" s="1291"/>
    </row>
    <row r="2021" spans="1:9" ht="15" customHeight="1">
      <c r="A2021" s="1253">
        <v>43742</v>
      </c>
      <c r="B2021" s="1209">
        <v>6800</v>
      </c>
      <c r="C2021" s="1210">
        <v>16350</v>
      </c>
      <c r="D2021" s="1230">
        <v>16400</v>
      </c>
      <c r="E2021" s="1212">
        <f t="shared" si="324"/>
        <v>50</v>
      </c>
      <c r="F2021" s="1211">
        <f t="shared" si="326"/>
        <v>-100</v>
      </c>
      <c r="G2021" s="1215"/>
      <c r="H2021" s="1269"/>
      <c r="I2021" s="1291"/>
    </row>
    <row r="2022" spans="1:9" ht="15" customHeight="1">
      <c r="A2022" s="1253">
        <v>43745</v>
      </c>
      <c r="B2022" s="1209">
        <v>6775</v>
      </c>
      <c r="C2022" s="1210">
        <v>16550</v>
      </c>
      <c r="D2022" s="1230">
        <v>16550</v>
      </c>
      <c r="E2022" s="1212">
        <f t="shared" si="324"/>
        <v>0</v>
      </c>
      <c r="F2022" s="1211">
        <f t="shared" si="326"/>
        <v>200</v>
      </c>
      <c r="G2022" s="1215"/>
      <c r="H2022" s="1269"/>
      <c r="I2022" s="1291"/>
    </row>
    <row r="2023" spans="1:9" ht="15" customHeight="1">
      <c r="A2023" s="1253">
        <v>43746</v>
      </c>
      <c r="B2023" s="1209">
        <v>6720</v>
      </c>
      <c r="C2023" s="1210">
        <v>16380</v>
      </c>
      <c r="D2023" s="1230">
        <v>16450</v>
      </c>
      <c r="E2023" s="1212">
        <f t="shared" si="324"/>
        <v>70</v>
      </c>
      <c r="F2023" s="1211">
        <f t="shared" si="326"/>
        <v>-170</v>
      </c>
      <c r="G2023" s="1215"/>
      <c r="H2023" s="1269"/>
      <c r="I2023" s="1291">
        <v>135000</v>
      </c>
    </row>
    <row r="2024" spans="1:9" ht="15" customHeight="1">
      <c r="A2024" s="1253">
        <v>43747</v>
      </c>
      <c r="B2024" s="1209">
        <v>6660</v>
      </c>
      <c r="C2024" s="1210">
        <v>16375</v>
      </c>
      <c r="D2024" s="1230">
        <v>16350</v>
      </c>
      <c r="E2024" s="1212">
        <f t="shared" si="324"/>
        <v>-25</v>
      </c>
      <c r="F2024" s="1211">
        <f t="shared" si="326"/>
        <v>-5</v>
      </c>
      <c r="G2024" s="1215"/>
      <c r="H2024" s="1269"/>
      <c r="I2024" s="1291">
        <v>137000</v>
      </c>
    </row>
    <row r="2025" spans="1:9" ht="15" customHeight="1">
      <c r="A2025" s="1253">
        <v>43748</v>
      </c>
      <c r="B2025" s="1209">
        <v>6645</v>
      </c>
      <c r="C2025" s="1210">
        <v>16400</v>
      </c>
      <c r="D2025" s="1230">
        <v>16450</v>
      </c>
      <c r="E2025" s="1212">
        <f t="shared" si="324"/>
        <v>50</v>
      </c>
      <c r="F2025" s="1211">
        <f t="shared" ref="F2025:F2030" si="327">C2025-C2024</f>
        <v>25</v>
      </c>
      <c r="G2025" s="1215"/>
      <c r="H2025" s="1269"/>
      <c r="I2025" s="1291">
        <v>137000</v>
      </c>
    </row>
    <row r="2026" spans="1:9" ht="15" customHeight="1">
      <c r="A2026" s="1253">
        <v>43749</v>
      </c>
      <c r="B2026" s="1209">
        <v>6605</v>
      </c>
      <c r="C2026" s="1210">
        <v>16455</v>
      </c>
      <c r="D2026" s="1230">
        <v>16525</v>
      </c>
      <c r="E2026" s="1212">
        <f t="shared" si="324"/>
        <v>70</v>
      </c>
      <c r="F2026" s="1211">
        <f t="shared" si="327"/>
        <v>55</v>
      </c>
      <c r="G2026" s="1215"/>
      <c r="H2026" s="1269"/>
      <c r="I2026" s="1291">
        <v>137000</v>
      </c>
    </row>
    <row r="2027" spans="1:9" ht="15" customHeight="1">
      <c r="A2027" s="1253">
        <v>43752</v>
      </c>
      <c r="B2027" s="1209">
        <v>6590</v>
      </c>
      <c r="C2027" s="1210">
        <v>16600</v>
      </c>
      <c r="D2027" s="1230">
        <v>16600</v>
      </c>
      <c r="E2027" s="1212">
        <f t="shared" si="324"/>
        <v>0</v>
      </c>
      <c r="F2027" s="1211">
        <f t="shared" si="327"/>
        <v>145</v>
      </c>
      <c r="G2027" s="1215"/>
      <c r="H2027" s="1269"/>
      <c r="I2027" s="1291">
        <v>138000</v>
      </c>
    </row>
    <row r="2028" spans="1:9" ht="15" customHeight="1">
      <c r="A2028" s="1253">
        <v>43753</v>
      </c>
      <c r="B2028" s="1209">
        <v>6555</v>
      </c>
      <c r="C2028" s="1210">
        <v>16500</v>
      </c>
      <c r="D2028" s="1230">
        <v>16530</v>
      </c>
      <c r="E2028" s="1212">
        <f t="shared" si="324"/>
        <v>30</v>
      </c>
      <c r="F2028" s="1211">
        <f t="shared" si="327"/>
        <v>-100</v>
      </c>
      <c r="G2028" s="1215"/>
      <c r="H2028" s="1269"/>
      <c r="I2028" s="1291">
        <v>137000</v>
      </c>
    </row>
    <row r="2029" spans="1:9" ht="15" customHeight="1">
      <c r="A2029" s="1253">
        <v>43754</v>
      </c>
      <c r="B2029" s="1209">
        <v>6685</v>
      </c>
      <c r="C2029" s="1210">
        <v>16625</v>
      </c>
      <c r="D2029" s="1230">
        <v>16680</v>
      </c>
      <c r="E2029" s="1212">
        <f t="shared" si="324"/>
        <v>55</v>
      </c>
      <c r="F2029" s="1211">
        <f t="shared" si="327"/>
        <v>125</v>
      </c>
      <c r="G2029" s="1215"/>
      <c r="H2029" s="1269"/>
      <c r="I2029" s="1291">
        <v>138250</v>
      </c>
    </row>
    <row r="2030" spans="1:9" ht="15" customHeight="1">
      <c r="A2030" s="1253">
        <v>43755</v>
      </c>
      <c r="B2030" s="1209">
        <v>6705</v>
      </c>
      <c r="C2030" s="1210">
        <v>17075</v>
      </c>
      <c r="D2030" s="1230">
        <v>17105</v>
      </c>
      <c r="E2030" s="1212">
        <f t="shared" si="324"/>
        <v>30</v>
      </c>
      <c r="F2030" s="1211">
        <f t="shared" si="327"/>
        <v>450</v>
      </c>
      <c r="G2030" s="1215"/>
      <c r="H2030" s="1269"/>
      <c r="I2030" s="1291">
        <v>139000</v>
      </c>
    </row>
    <row r="2031" spans="1:9" ht="15" customHeight="1">
      <c r="A2031" s="1253">
        <v>43756</v>
      </c>
      <c r="B2031" s="1209">
        <v>6705</v>
      </c>
      <c r="C2031" s="1210">
        <v>16875</v>
      </c>
      <c r="D2031" s="1230">
        <v>16880</v>
      </c>
      <c r="E2031" s="1212">
        <f t="shared" si="324"/>
        <v>5</v>
      </c>
      <c r="F2031" s="1211">
        <f t="shared" ref="F2031" si="328">C2031-C2030</f>
        <v>-200</v>
      </c>
      <c r="G2031" s="1215"/>
      <c r="H2031" s="1269"/>
      <c r="I2031" s="1291">
        <v>139500</v>
      </c>
    </row>
    <row r="2032" spans="1:9" ht="15" customHeight="1">
      <c r="A2032" s="1253">
        <v>43759</v>
      </c>
      <c r="B2032" s="1209">
        <v>6700</v>
      </c>
      <c r="C2032" s="1210">
        <v>16825</v>
      </c>
      <c r="D2032" s="1230">
        <v>16850</v>
      </c>
      <c r="E2032" s="1212">
        <f t="shared" si="324"/>
        <v>25</v>
      </c>
      <c r="F2032" s="1211">
        <f t="shared" ref="F2032:F2035" si="329">C2032-C2031</f>
        <v>-50</v>
      </c>
      <c r="G2032" s="1215"/>
      <c r="H2032" s="1269"/>
      <c r="I2032" s="1291">
        <v>138000</v>
      </c>
    </row>
    <row r="2033" spans="1:9" ht="15" customHeight="1">
      <c r="A2033" s="1253">
        <v>43760</v>
      </c>
      <c r="B2033" s="1209">
        <v>6685</v>
      </c>
      <c r="C2033" s="1210">
        <v>16730</v>
      </c>
      <c r="D2033" s="1230">
        <v>16800</v>
      </c>
      <c r="E2033" s="1212">
        <f t="shared" si="324"/>
        <v>70</v>
      </c>
      <c r="F2033" s="1211">
        <f t="shared" si="329"/>
        <v>-95</v>
      </c>
      <c r="G2033" s="1215"/>
      <c r="H2033" s="1269"/>
      <c r="I2033" s="1291">
        <v>138000</v>
      </c>
    </row>
    <row r="2034" spans="1:9" ht="15" customHeight="1">
      <c r="A2034" s="1253">
        <v>43761</v>
      </c>
      <c r="B2034" s="1209">
        <v>6685</v>
      </c>
      <c r="C2034" s="1210">
        <v>16705</v>
      </c>
      <c r="D2034" s="1230">
        <v>16675</v>
      </c>
      <c r="E2034" s="1212">
        <f t="shared" si="324"/>
        <v>-30</v>
      </c>
      <c r="F2034" s="1211">
        <f t="shared" si="329"/>
        <v>-25</v>
      </c>
      <c r="G2034" s="1215"/>
      <c r="H2034" s="1269"/>
      <c r="I2034" s="1291">
        <v>138250</v>
      </c>
    </row>
    <row r="2035" spans="1:9" ht="15" customHeight="1">
      <c r="A2035" s="1253">
        <v>43762</v>
      </c>
      <c r="B2035" s="1209">
        <v>6665</v>
      </c>
      <c r="C2035" s="1210">
        <v>16700</v>
      </c>
      <c r="D2035" s="1230">
        <v>16750</v>
      </c>
      <c r="E2035" s="1212">
        <f t="shared" si="324"/>
        <v>50</v>
      </c>
      <c r="F2035" s="1211">
        <f t="shared" si="329"/>
        <v>-5</v>
      </c>
      <c r="G2035" s="1215"/>
      <c r="H2035" s="1269"/>
      <c r="I2035" s="1291">
        <v>138250</v>
      </c>
    </row>
    <row r="2036" spans="1:9" ht="15" customHeight="1">
      <c r="A2036" s="1253">
        <v>43763</v>
      </c>
      <c r="B2036" s="1209">
        <v>6665</v>
      </c>
      <c r="C2036" s="1210">
        <v>16600</v>
      </c>
      <c r="D2036" s="1230">
        <v>16625</v>
      </c>
      <c r="E2036" s="1212">
        <f t="shared" si="324"/>
        <v>25</v>
      </c>
      <c r="F2036" s="1211">
        <f t="shared" ref="F2036:F2042" si="330">C2036-C2035</f>
        <v>-100</v>
      </c>
      <c r="G2036" s="1215"/>
      <c r="H2036" s="1269"/>
      <c r="I2036" s="1291">
        <v>138250</v>
      </c>
    </row>
    <row r="2037" spans="1:9" ht="15" customHeight="1">
      <c r="A2037" s="1253">
        <v>43766</v>
      </c>
      <c r="B2037" s="1209">
        <v>6590</v>
      </c>
      <c r="C2037" s="1210">
        <v>16900</v>
      </c>
      <c r="D2037" s="1230">
        <v>16900</v>
      </c>
      <c r="E2037" s="1212">
        <f t="shared" si="324"/>
        <v>0</v>
      </c>
      <c r="F2037" s="1211">
        <f t="shared" si="330"/>
        <v>300</v>
      </c>
      <c r="G2037" s="1215"/>
      <c r="H2037" s="1269"/>
      <c r="I2037" s="1291">
        <v>138500</v>
      </c>
    </row>
    <row r="2038" spans="1:9" ht="15" customHeight="1">
      <c r="A2038" s="1253">
        <v>43767</v>
      </c>
      <c r="B2038" s="1209">
        <v>6585</v>
      </c>
      <c r="C2038" s="1210">
        <v>16725</v>
      </c>
      <c r="D2038" s="1230">
        <v>16725</v>
      </c>
      <c r="E2038" s="1212">
        <f t="shared" si="324"/>
        <v>0</v>
      </c>
      <c r="F2038" s="1211">
        <f t="shared" si="330"/>
        <v>-175</v>
      </c>
      <c r="G2038" s="1215"/>
      <c r="H2038" s="1269"/>
      <c r="I2038" s="1291">
        <v>138250</v>
      </c>
    </row>
    <row r="2039" spans="1:9" ht="15" customHeight="1">
      <c r="A2039" s="1253">
        <v>43768</v>
      </c>
      <c r="B2039" s="1209">
        <v>6335</v>
      </c>
      <c r="C2039" s="1210">
        <v>16800</v>
      </c>
      <c r="D2039" s="1230">
        <v>16825</v>
      </c>
      <c r="E2039" s="1212">
        <f t="shared" si="324"/>
        <v>25</v>
      </c>
      <c r="F2039" s="1211">
        <f t="shared" si="330"/>
        <v>75</v>
      </c>
      <c r="G2039" s="1215"/>
      <c r="H2039" s="1269"/>
      <c r="I2039" s="1291">
        <v>138250</v>
      </c>
    </row>
    <row r="2040" spans="1:9" ht="15" customHeight="1">
      <c r="A2040" s="1253">
        <v>43769</v>
      </c>
      <c r="B2040" s="1209">
        <v>6175</v>
      </c>
      <c r="C2040" s="1210">
        <v>16750</v>
      </c>
      <c r="D2040" s="1230">
        <v>16735</v>
      </c>
      <c r="E2040" s="1212">
        <f t="shared" si="324"/>
        <v>-15</v>
      </c>
      <c r="F2040" s="1211">
        <f t="shared" si="330"/>
        <v>-50</v>
      </c>
      <c r="G2040" s="1227">
        <f>AVERAGE($C$2018:C2040)</f>
        <v>16603.043478260868</v>
      </c>
      <c r="H2040" s="1274">
        <f>AVERAGE($C$1824:C2040)</f>
        <v>19014.292452830188</v>
      </c>
      <c r="I2040" s="1291">
        <v>138250</v>
      </c>
    </row>
    <row r="2041" spans="1:9" ht="15" customHeight="1">
      <c r="A2041" s="1253">
        <v>43770</v>
      </c>
      <c r="B2041" s="1209">
        <v>6185</v>
      </c>
      <c r="C2041" s="1210">
        <v>16575</v>
      </c>
      <c r="D2041" s="1230">
        <v>16625</v>
      </c>
      <c r="E2041" s="1212">
        <f t="shared" si="324"/>
        <v>50</v>
      </c>
      <c r="F2041" s="1211">
        <f t="shared" si="330"/>
        <v>-175</v>
      </c>
      <c r="G2041" s="1215"/>
      <c r="H2041" s="1269"/>
      <c r="I2041" s="1291">
        <v>137500</v>
      </c>
    </row>
    <row r="2042" spans="1:9" ht="15" customHeight="1">
      <c r="A2042" s="1253">
        <v>43773</v>
      </c>
      <c r="B2042" s="1209">
        <v>6140</v>
      </c>
      <c r="C2042" s="1210">
        <v>16450</v>
      </c>
      <c r="D2042" s="1230">
        <v>16450</v>
      </c>
      <c r="E2042" s="1212">
        <f t="shared" si="324"/>
        <v>0</v>
      </c>
      <c r="F2042" s="1211">
        <f t="shared" si="330"/>
        <v>-125</v>
      </c>
      <c r="G2042" s="1215"/>
      <c r="H2042" s="1269"/>
      <c r="I2042" s="1291">
        <v>137000</v>
      </c>
    </row>
    <row r="2043" spans="1:9" ht="15" customHeight="1">
      <c r="A2043" s="1253">
        <v>43774</v>
      </c>
      <c r="B2043" s="1209">
        <v>6115</v>
      </c>
      <c r="C2043" s="1210">
        <v>16575</v>
      </c>
      <c r="D2043" s="1230">
        <v>16575</v>
      </c>
      <c r="E2043" s="1212">
        <f t="shared" si="324"/>
        <v>0</v>
      </c>
      <c r="F2043" s="1211">
        <f t="shared" ref="F2043:F2060" si="331">C2043-C2042</f>
        <v>125</v>
      </c>
      <c r="G2043" s="1215"/>
      <c r="H2043" s="1269"/>
      <c r="I2043" s="1291">
        <v>137000</v>
      </c>
    </row>
    <row r="2044" spans="1:9" ht="15" customHeight="1">
      <c r="A2044" s="1253">
        <v>43775</v>
      </c>
      <c r="B2044" s="1209">
        <v>6540</v>
      </c>
      <c r="C2044" s="1210">
        <v>16410</v>
      </c>
      <c r="D2044" s="1230">
        <v>16475</v>
      </c>
      <c r="E2044" s="1212">
        <f t="shared" si="324"/>
        <v>65</v>
      </c>
      <c r="F2044" s="1211">
        <f t="shared" si="331"/>
        <v>-165</v>
      </c>
      <c r="G2044" s="1215"/>
      <c r="H2044" s="1269"/>
      <c r="I2044" s="1291">
        <v>137000</v>
      </c>
    </row>
    <row r="2045" spans="1:9" ht="15" customHeight="1">
      <c r="A2045" s="1253">
        <v>43776</v>
      </c>
      <c r="B2045" s="1209">
        <v>6540</v>
      </c>
      <c r="C2045" s="1210">
        <v>16600</v>
      </c>
      <c r="D2045" s="1230">
        <v>16610</v>
      </c>
      <c r="E2045" s="1212">
        <f t="shared" si="324"/>
        <v>10</v>
      </c>
      <c r="F2045" s="1211">
        <f t="shared" si="331"/>
        <v>190</v>
      </c>
      <c r="G2045" s="1215"/>
      <c r="H2045" s="1269"/>
      <c r="I2045" s="1291">
        <v>137500</v>
      </c>
    </row>
    <row r="2046" spans="1:9" ht="15" customHeight="1">
      <c r="A2046" s="1253">
        <v>43777</v>
      </c>
      <c r="B2046" s="1209">
        <v>6550</v>
      </c>
      <c r="C2046" s="1210">
        <v>16675</v>
      </c>
      <c r="D2046" s="1230">
        <v>16675</v>
      </c>
      <c r="E2046" s="1212">
        <f t="shared" si="324"/>
        <v>0</v>
      </c>
      <c r="F2046" s="1211">
        <f t="shared" si="331"/>
        <v>75</v>
      </c>
      <c r="G2046" s="1215"/>
      <c r="H2046" s="1269"/>
      <c r="I2046" s="1291">
        <v>137500</v>
      </c>
    </row>
    <row r="2047" spans="1:9" ht="15" customHeight="1">
      <c r="A2047" s="1253">
        <v>43780</v>
      </c>
      <c r="B2047" s="1209">
        <v>6495</v>
      </c>
      <c r="C2047" s="1210">
        <v>16525</v>
      </c>
      <c r="D2047" s="1230">
        <v>16575</v>
      </c>
      <c r="E2047" s="1212">
        <f t="shared" si="324"/>
        <v>50</v>
      </c>
      <c r="F2047" s="1211">
        <f t="shared" si="331"/>
        <v>-150</v>
      </c>
      <c r="G2047" s="1215"/>
      <c r="H2047" s="1269"/>
      <c r="I2047" s="1291">
        <v>137500</v>
      </c>
    </row>
    <row r="2048" spans="1:9" ht="15" customHeight="1">
      <c r="A2048" s="1253">
        <v>43781</v>
      </c>
      <c r="B2048" s="1209">
        <v>6470</v>
      </c>
      <c r="C2048" s="1210">
        <v>16460</v>
      </c>
      <c r="D2048" s="1230">
        <v>16500</v>
      </c>
      <c r="E2048" s="1212">
        <f t="shared" si="324"/>
        <v>40</v>
      </c>
      <c r="F2048" s="1211">
        <f t="shared" si="331"/>
        <v>-65</v>
      </c>
      <c r="G2048" s="1215"/>
      <c r="H2048" s="1269"/>
      <c r="I2048" s="1291">
        <v>136750</v>
      </c>
    </row>
    <row r="2049" spans="1:9" ht="15" customHeight="1">
      <c r="A2049" s="1253">
        <v>43782</v>
      </c>
      <c r="B2049" s="1209">
        <v>6570</v>
      </c>
      <c r="C2049" s="1210">
        <v>16325</v>
      </c>
      <c r="D2049" s="1230">
        <v>16350</v>
      </c>
      <c r="E2049" s="1212">
        <f t="shared" si="324"/>
        <v>25</v>
      </c>
      <c r="F2049" s="1211">
        <f t="shared" si="331"/>
        <v>-135</v>
      </c>
      <c r="G2049" s="1215"/>
      <c r="H2049" s="1269"/>
      <c r="I2049" s="1291">
        <v>135750</v>
      </c>
    </row>
    <row r="2050" spans="1:9" ht="15" customHeight="1">
      <c r="A2050" s="1253">
        <v>43783</v>
      </c>
      <c r="B2050" s="1209">
        <v>6640</v>
      </c>
      <c r="C2050" s="1210">
        <v>16185</v>
      </c>
      <c r="D2050" s="1230">
        <v>16200</v>
      </c>
      <c r="E2050" s="1212">
        <f t="shared" si="324"/>
        <v>15</v>
      </c>
      <c r="F2050" s="1211">
        <f t="shared" si="331"/>
        <v>-140</v>
      </c>
      <c r="G2050" s="1215"/>
      <c r="H2050" s="1269"/>
      <c r="I2050" s="1291">
        <v>135250</v>
      </c>
    </row>
    <row r="2051" spans="1:9" ht="15" customHeight="1">
      <c r="A2051" s="1253">
        <v>43784</v>
      </c>
      <c r="B2051" s="1209">
        <v>6640</v>
      </c>
      <c r="C2051" s="1210">
        <v>16275</v>
      </c>
      <c r="D2051" s="1230">
        <v>16275</v>
      </c>
      <c r="E2051" s="1212">
        <f t="shared" si="324"/>
        <v>0</v>
      </c>
      <c r="F2051" s="1211">
        <f t="shared" si="331"/>
        <v>90</v>
      </c>
      <c r="G2051" s="1215"/>
      <c r="H2051" s="1269"/>
      <c r="I2051" s="1291">
        <v>135250</v>
      </c>
    </row>
    <row r="2052" spans="1:9" ht="15" customHeight="1">
      <c r="A2052" s="1253">
        <v>43787</v>
      </c>
      <c r="B2052" s="1209">
        <v>6565</v>
      </c>
      <c r="C2052" s="1210">
        <v>16160</v>
      </c>
      <c r="D2052" s="1230">
        <v>16200</v>
      </c>
      <c r="E2052" s="1212">
        <f t="shared" si="324"/>
        <v>40</v>
      </c>
      <c r="F2052" s="1211">
        <f t="shared" si="331"/>
        <v>-115</v>
      </c>
      <c r="G2052" s="1215"/>
      <c r="H2052" s="1269"/>
      <c r="I2052" s="1291">
        <v>135250</v>
      </c>
    </row>
    <row r="2053" spans="1:9" ht="15" customHeight="1">
      <c r="A2053" s="1253">
        <v>43788</v>
      </c>
      <c r="B2053" s="1209">
        <v>6645</v>
      </c>
      <c r="C2053" s="1210">
        <v>15975</v>
      </c>
      <c r="D2053" s="1230">
        <v>15925</v>
      </c>
      <c r="E2053" s="1212">
        <f t="shared" si="324"/>
        <v>-50</v>
      </c>
      <c r="F2053" s="1211">
        <f t="shared" si="331"/>
        <v>-185</v>
      </c>
      <c r="G2053" s="1215"/>
      <c r="H2053" s="1269"/>
      <c r="I2053" s="1291">
        <v>135250</v>
      </c>
    </row>
    <row r="2054" spans="1:9" ht="15" customHeight="1">
      <c r="A2054" s="1253">
        <v>43789</v>
      </c>
      <c r="B2054" s="1209">
        <v>6545</v>
      </c>
      <c r="C2054" s="1210">
        <v>16025</v>
      </c>
      <c r="D2054" s="1230">
        <v>16020</v>
      </c>
      <c r="E2054" s="1212">
        <f t="shared" si="324"/>
        <v>-5</v>
      </c>
      <c r="F2054" s="1211">
        <f t="shared" si="331"/>
        <v>50</v>
      </c>
      <c r="G2054" s="1215"/>
      <c r="H2054" s="1269"/>
      <c r="I2054" s="1291">
        <v>135750</v>
      </c>
    </row>
    <row r="2055" spans="1:9" ht="15" customHeight="1">
      <c r="A2055" s="1253">
        <v>43790</v>
      </c>
      <c r="B2055" s="1209">
        <v>6535</v>
      </c>
      <c r="C2055" s="1210">
        <v>16325</v>
      </c>
      <c r="D2055" s="1230">
        <v>16350</v>
      </c>
      <c r="E2055" s="1212">
        <f t="shared" si="324"/>
        <v>25</v>
      </c>
      <c r="F2055" s="1211">
        <f t="shared" si="331"/>
        <v>300</v>
      </c>
      <c r="G2055" s="1215"/>
      <c r="H2055" s="1269"/>
      <c r="I2055" s="1291">
        <v>136750</v>
      </c>
    </row>
    <row r="2056" spans="1:9" ht="15" customHeight="1">
      <c r="A2056" s="1253">
        <v>43791</v>
      </c>
      <c r="B2056" s="1209">
        <v>6640</v>
      </c>
      <c r="C2056" s="1210">
        <v>16360</v>
      </c>
      <c r="D2056" s="1230">
        <v>16400</v>
      </c>
      <c r="E2056" s="1212">
        <f t="shared" si="324"/>
        <v>40</v>
      </c>
      <c r="F2056" s="1211">
        <f t="shared" si="331"/>
        <v>35</v>
      </c>
      <c r="G2056" s="1215"/>
      <c r="H2056" s="1269"/>
      <c r="I2056" s="1291">
        <v>139000</v>
      </c>
    </row>
    <row r="2057" spans="1:9" ht="15" customHeight="1">
      <c r="A2057" s="1253">
        <v>43794</v>
      </c>
      <c r="B2057" s="1209">
        <v>6435</v>
      </c>
      <c r="C2057" s="1210">
        <v>16350</v>
      </c>
      <c r="D2057" s="1230">
        <v>16350</v>
      </c>
      <c r="E2057" s="1212">
        <f t="shared" si="324"/>
        <v>0</v>
      </c>
      <c r="F2057" s="1211">
        <f t="shared" si="331"/>
        <v>-10</v>
      </c>
      <c r="G2057" s="1215"/>
      <c r="H2057" s="1269"/>
      <c r="I2057" s="1291">
        <v>139000</v>
      </c>
    </row>
    <row r="2058" spans="1:9" ht="15" customHeight="1">
      <c r="A2058" s="1253">
        <v>43795</v>
      </c>
      <c r="B2058" s="1209">
        <v>6495</v>
      </c>
      <c r="C2058" s="1210">
        <v>16330</v>
      </c>
      <c r="D2058" s="1230">
        <v>16375</v>
      </c>
      <c r="E2058" s="1212">
        <f t="shared" ref="E2058:E2078" si="332">D2058-C2058</f>
        <v>45</v>
      </c>
      <c r="F2058" s="1211">
        <f t="shared" si="331"/>
        <v>-20</v>
      </c>
      <c r="G2058" s="1215"/>
      <c r="H2058" s="1269"/>
      <c r="I2058" s="1291">
        <v>138750</v>
      </c>
    </row>
    <row r="2059" spans="1:9" ht="15" customHeight="1">
      <c r="A2059" s="1253">
        <v>43796</v>
      </c>
      <c r="B2059" s="1209">
        <v>6495</v>
      </c>
      <c r="C2059" s="1210">
        <v>16375</v>
      </c>
      <c r="D2059" s="1230">
        <v>16400</v>
      </c>
      <c r="E2059" s="1212">
        <f t="shared" si="332"/>
        <v>25</v>
      </c>
      <c r="F2059" s="1211">
        <f t="shared" si="331"/>
        <v>45</v>
      </c>
      <c r="G2059" s="1215"/>
      <c r="H2059" s="1269"/>
      <c r="I2059" s="1291">
        <v>138500</v>
      </c>
    </row>
    <row r="2060" spans="1:9" ht="15" customHeight="1">
      <c r="A2060" s="1253">
        <v>43797</v>
      </c>
      <c r="B2060" s="1209">
        <v>6465</v>
      </c>
      <c r="C2060" s="1210">
        <v>16450</v>
      </c>
      <c r="D2060" s="1230">
        <v>16425</v>
      </c>
      <c r="E2060" s="1212">
        <f t="shared" si="332"/>
        <v>-25</v>
      </c>
      <c r="F2060" s="1211">
        <f t="shared" si="331"/>
        <v>75</v>
      </c>
      <c r="G2060" s="1215"/>
      <c r="H2060" s="1269"/>
      <c r="I2060" s="1291">
        <v>138500</v>
      </c>
    </row>
    <row r="2061" spans="1:9" ht="15" customHeight="1">
      <c r="A2061" s="1253">
        <v>43798</v>
      </c>
      <c r="B2061" s="1209">
        <v>6500</v>
      </c>
      <c r="C2061" s="1210">
        <v>16350</v>
      </c>
      <c r="D2061" s="1230">
        <v>16360</v>
      </c>
      <c r="E2061" s="1212">
        <f t="shared" si="332"/>
        <v>10</v>
      </c>
      <c r="F2061" s="1211">
        <f>C2061-C2060</f>
        <v>-100</v>
      </c>
      <c r="G2061" s="1227">
        <f>AVERAGE($C$2041:C2061)</f>
        <v>16369.285714285714</v>
      </c>
      <c r="H2061" s="1274">
        <f>AVERAGE($C$1824:C2061)</f>
        <v>18775.901287553646</v>
      </c>
      <c r="I2061" s="1291">
        <v>138500</v>
      </c>
    </row>
    <row r="2062" spans="1:9" ht="15" customHeight="1">
      <c r="A2062" s="1253">
        <v>43801</v>
      </c>
      <c r="B2062" s="1209">
        <v>6400</v>
      </c>
      <c r="C2062" s="1210">
        <v>16500</v>
      </c>
      <c r="D2062" s="1230">
        <v>16475</v>
      </c>
      <c r="E2062" s="1212">
        <f t="shared" si="332"/>
        <v>-25</v>
      </c>
      <c r="F2062" s="1211">
        <f>C2062-C2061</f>
        <v>150</v>
      </c>
      <c r="G2062" s="1215"/>
      <c r="H2062" s="1269"/>
      <c r="I2062" s="1291">
        <v>138500</v>
      </c>
    </row>
    <row r="2063" spans="1:9" ht="15" customHeight="1">
      <c r="A2063" s="1253">
        <v>43802</v>
      </c>
      <c r="B2063" s="1209">
        <v>6400</v>
      </c>
      <c r="C2063" s="1210">
        <v>16750</v>
      </c>
      <c r="D2063" s="1230">
        <v>16725</v>
      </c>
      <c r="E2063" s="1212">
        <f t="shared" si="332"/>
        <v>-25</v>
      </c>
      <c r="F2063" s="1211">
        <f t="shared" ref="F2063:F2073" si="333">C2063-C2062</f>
        <v>250</v>
      </c>
      <c r="G2063" s="1215"/>
      <c r="H2063" s="1269"/>
      <c r="I2063" s="1291">
        <v>138500</v>
      </c>
    </row>
    <row r="2064" spans="1:9" ht="15" customHeight="1">
      <c r="A2064" s="1253">
        <v>43803</v>
      </c>
      <c r="B2064" s="1209">
        <v>6420</v>
      </c>
      <c r="C2064" s="1210">
        <v>16850</v>
      </c>
      <c r="D2064" s="1230">
        <v>16850</v>
      </c>
      <c r="E2064" s="1212">
        <f t="shared" si="332"/>
        <v>0</v>
      </c>
      <c r="F2064" s="1211">
        <f t="shared" si="333"/>
        <v>100</v>
      </c>
      <c r="G2064" s="1215"/>
      <c r="H2064" s="1269"/>
      <c r="I2064" s="1291">
        <v>138750</v>
      </c>
    </row>
    <row r="2065" spans="1:9" ht="15" customHeight="1">
      <c r="A2065" s="1253">
        <v>43804</v>
      </c>
      <c r="B2065" s="1209">
        <v>6520</v>
      </c>
      <c r="C2065" s="1210">
        <v>16900</v>
      </c>
      <c r="D2065" s="1230">
        <v>16850</v>
      </c>
      <c r="E2065" s="1212">
        <f t="shared" si="332"/>
        <v>-50</v>
      </c>
      <c r="F2065" s="1211">
        <f t="shared" si="333"/>
        <v>50</v>
      </c>
      <c r="G2065" s="1215"/>
      <c r="H2065" s="1269"/>
      <c r="I2065" s="1291">
        <v>138500</v>
      </c>
    </row>
    <row r="2066" spans="1:9" ht="15" customHeight="1">
      <c r="A2066" s="1253">
        <v>43805</v>
      </c>
      <c r="B2066" s="1209">
        <v>6520</v>
      </c>
      <c r="C2066" s="1210">
        <v>16875</v>
      </c>
      <c r="D2066" s="1230">
        <v>16830</v>
      </c>
      <c r="E2066" s="1212">
        <f t="shared" si="332"/>
        <v>-45</v>
      </c>
      <c r="F2066" s="1211">
        <f t="shared" si="333"/>
        <v>-25</v>
      </c>
      <c r="G2066" s="1215"/>
      <c r="H2066" s="1269"/>
      <c r="I2066" s="1291">
        <v>138500</v>
      </c>
    </row>
    <row r="2067" spans="1:9" ht="15" customHeight="1">
      <c r="A2067" s="1253">
        <v>43808</v>
      </c>
      <c r="B2067" s="1209">
        <v>6480</v>
      </c>
      <c r="C2067" s="1210">
        <v>17120</v>
      </c>
      <c r="D2067" s="1230">
        <v>17080</v>
      </c>
      <c r="E2067" s="1212">
        <f t="shared" si="332"/>
        <v>-40</v>
      </c>
      <c r="F2067" s="1211">
        <f t="shared" si="333"/>
        <v>245</v>
      </c>
      <c r="G2067" s="1215"/>
      <c r="H2067" s="1269"/>
      <c r="I2067" s="1291">
        <v>139250</v>
      </c>
    </row>
    <row r="2068" spans="1:9" ht="15" customHeight="1">
      <c r="A2068" s="1253">
        <v>43809</v>
      </c>
      <c r="B2068" s="1209">
        <v>6460</v>
      </c>
      <c r="C2068" s="1210">
        <v>17320</v>
      </c>
      <c r="D2068" s="1230">
        <v>17325</v>
      </c>
      <c r="E2068" s="1212">
        <f t="shared" si="332"/>
        <v>5</v>
      </c>
      <c r="F2068" s="1211">
        <f t="shared" si="333"/>
        <v>200</v>
      </c>
      <c r="G2068" s="1215"/>
      <c r="H2068" s="1269"/>
      <c r="I2068" s="1291">
        <v>140250</v>
      </c>
    </row>
    <row r="2069" spans="1:9" ht="15" customHeight="1">
      <c r="A2069" s="1253">
        <v>43810</v>
      </c>
      <c r="B2069" s="1209">
        <v>6485</v>
      </c>
      <c r="C2069" s="1210">
        <v>17425</v>
      </c>
      <c r="D2069" s="1230">
        <v>17375</v>
      </c>
      <c r="E2069" s="1212">
        <f t="shared" si="332"/>
        <v>-50</v>
      </c>
      <c r="F2069" s="1211">
        <f t="shared" si="333"/>
        <v>105</v>
      </c>
      <c r="G2069" s="1215"/>
      <c r="H2069" s="1269"/>
      <c r="I2069" s="1291">
        <v>141000</v>
      </c>
    </row>
    <row r="2070" spans="1:9" ht="15" customHeight="1">
      <c r="A2070" s="1253">
        <v>43811</v>
      </c>
      <c r="B2070" s="1209">
        <v>6460</v>
      </c>
      <c r="C2070" s="1210">
        <v>17185</v>
      </c>
      <c r="D2070" s="1230">
        <v>17100</v>
      </c>
      <c r="E2070" s="1212">
        <f t="shared" si="332"/>
        <v>-85</v>
      </c>
      <c r="F2070" s="1211">
        <f t="shared" si="333"/>
        <v>-240</v>
      </c>
      <c r="G2070" s="1215"/>
      <c r="H2070" s="1269"/>
      <c r="I2070" s="1291">
        <v>140500</v>
      </c>
    </row>
    <row r="2071" spans="1:9" ht="15" customHeight="1">
      <c r="A2071" s="1253">
        <v>43812</v>
      </c>
      <c r="B2071" s="1209">
        <v>6435</v>
      </c>
      <c r="C2071" s="1210">
        <v>17200</v>
      </c>
      <c r="D2071" s="1230">
        <v>17150</v>
      </c>
      <c r="E2071" s="1212">
        <f t="shared" si="332"/>
        <v>-50</v>
      </c>
      <c r="F2071" s="1211">
        <f t="shared" si="333"/>
        <v>15</v>
      </c>
      <c r="G2071" s="1215"/>
      <c r="H2071" s="1269"/>
      <c r="I2071" s="1291">
        <v>139750</v>
      </c>
    </row>
    <row r="2072" spans="1:9" ht="15" customHeight="1">
      <c r="A2072" s="1253">
        <v>43815</v>
      </c>
      <c r="B2072" s="1209">
        <v>6430</v>
      </c>
      <c r="C2072" s="1210">
        <v>17180</v>
      </c>
      <c r="D2072" s="1230">
        <v>17175</v>
      </c>
      <c r="E2072" s="1212">
        <f t="shared" si="332"/>
        <v>-5</v>
      </c>
      <c r="F2072" s="1211">
        <f t="shared" si="333"/>
        <v>-20</v>
      </c>
      <c r="G2072" s="1215"/>
      <c r="H2072" s="1269"/>
      <c r="I2072" s="1291">
        <v>139750</v>
      </c>
    </row>
    <row r="2073" spans="1:9" ht="15" customHeight="1">
      <c r="A2073" s="1253">
        <v>43816</v>
      </c>
      <c r="B2073" s="1209">
        <v>5940</v>
      </c>
      <c r="C2073" s="1210">
        <v>17200</v>
      </c>
      <c r="D2073" s="1230">
        <v>17170</v>
      </c>
      <c r="E2073" s="1212">
        <f t="shared" si="332"/>
        <v>-30</v>
      </c>
      <c r="F2073" s="1211">
        <f t="shared" si="333"/>
        <v>20</v>
      </c>
      <c r="G2073" s="1215"/>
      <c r="H2073" s="1269"/>
      <c r="I2073" s="1291">
        <v>140000</v>
      </c>
    </row>
    <row r="2074" spans="1:9" ht="15" customHeight="1">
      <c r="A2074" s="1253">
        <v>43817</v>
      </c>
      <c r="B2074" s="1209">
        <v>7075</v>
      </c>
      <c r="C2074" s="1210">
        <v>17250</v>
      </c>
      <c r="D2074" s="1230">
        <v>17200</v>
      </c>
      <c r="E2074" s="1212">
        <f t="shared" si="332"/>
        <v>-50</v>
      </c>
      <c r="F2074" s="1211">
        <f t="shared" ref="F2074:F2077" si="334">C2074-C2073</f>
        <v>50</v>
      </c>
      <c r="G2074" s="1215"/>
      <c r="H2074" s="1269"/>
      <c r="I2074" s="1291">
        <v>140750</v>
      </c>
    </row>
    <row r="2075" spans="1:9" ht="15" customHeight="1">
      <c r="A2075" s="1253">
        <v>43818</v>
      </c>
      <c r="B2075" s="1209">
        <v>7085</v>
      </c>
      <c r="C2075" s="1210">
        <v>17300</v>
      </c>
      <c r="D2075" s="1230">
        <v>17250</v>
      </c>
      <c r="E2075" s="1212">
        <f t="shared" si="332"/>
        <v>-50</v>
      </c>
      <c r="F2075" s="1211">
        <f t="shared" si="334"/>
        <v>50</v>
      </c>
      <c r="G2075" s="1215"/>
      <c r="H2075" s="1269"/>
      <c r="I2075" s="1291">
        <v>141250</v>
      </c>
    </row>
    <row r="2076" spans="1:9" ht="15" customHeight="1">
      <c r="A2076" s="1253">
        <v>43819</v>
      </c>
      <c r="B2076" s="1209">
        <v>7390</v>
      </c>
      <c r="C2076" s="1210">
        <v>17260</v>
      </c>
      <c r="D2076" s="1230">
        <v>17250</v>
      </c>
      <c r="E2076" s="1212">
        <f t="shared" si="332"/>
        <v>-10</v>
      </c>
      <c r="F2076" s="1211">
        <f t="shared" si="334"/>
        <v>-40</v>
      </c>
      <c r="G2076" s="1215"/>
      <c r="H2076" s="1269"/>
      <c r="I2076" s="1291">
        <v>141250</v>
      </c>
    </row>
    <row r="2077" spans="1:9" ht="15" customHeight="1">
      <c r="A2077" s="1253">
        <v>43822</v>
      </c>
      <c r="B2077" s="1209">
        <v>7380</v>
      </c>
      <c r="C2077" s="1210">
        <v>17375</v>
      </c>
      <c r="D2077" s="1230">
        <v>17350</v>
      </c>
      <c r="E2077" s="1212">
        <f t="shared" si="332"/>
        <v>-25</v>
      </c>
      <c r="F2077" s="1211">
        <f t="shared" si="334"/>
        <v>115</v>
      </c>
      <c r="G2077" s="1215"/>
      <c r="H2077" s="1269"/>
      <c r="I2077" s="1291">
        <v>142500</v>
      </c>
    </row>
    <row r="2078" spans="1:9" ht="15" customHeight="1">
      <c r="A2078" s="1253">
        <v>43823</v>
      </c>
      <c r="B2078" s="1209">
        <v>7360</v>
      </c>
      <c r="C2078" s="1210">
        <v>17250</v>
      </c>
      <c r="D2078" s="1230">
        <v>17250</v>
      </c>
      <c r="E2078" s="1212">
        <f t="shared" si="332"/>
        <v>0</v>
      </c>
      <c r="F2078" s="1211">
        <f t="shared" ref="F2078" si="335">C2078-C2077</f>
        <v>-125</v>
      </c>
      <c r="G2078" s="1215"/>
      <c r="H2078" s="1269"/>
      <c r="I2078" s="1291">
        <v>142500</v>
      </c>
    </row>
    <row r="2079" spans="1:9" ht="15" customHeight="1">
      <c r="A2079" s="1253">
        <v>43824</v>
      </c>
      <c r="B2079" s="1438" t="s">
        <v>118</v>
      </c>
      <c r="C2079" s="1438"/>
      <c r="D2079" s="1438"/>
      <c r="E2079" s="1438"/>
      <c r="F2079" s="1438"/>
      <c r="G2079" s="1438"/>
      <c r="H2079" s="1443"/>
      <c r="I2079" s="1291">
        <v>142500</v>
      </c>
    </row>
    <row r="2080" spans="1:9" ht="15" customHeight="1">
      <c r="A2080" s="1253">
        <v>43825</v>
      </c>
      <c r="B2080" s="1438"/>
      <c r="C2080" s="1438"/>
      <c r="D2080" s="1438"/>
      <c r="E2080" s="1438"/>
      <c r="F2080" s="1438"/>
      <c r="G2080" s="1438"/>
      <c r="H2080" s="1443"/>
      <c r="I2080" s="1291">
        <v>142500</v>
      </c>
    </row>
    <row r="2081" spans="1:9" ht="15" customHeight="1">
      <c r="A2081" s="1253">
        <v>43826</v>
      </c>
      <c r="B2081" s="1209">
        <v>7335</v>
      </c>
      <c r="C2081" s="1210">
        <v>17100</v>
      </c>
      <c r="D2081" s="1230">
        <v>17075</v>
      </c>
      <c r="E2081" s="1212">
        <f t="shared" ref="E2081:E2144" si="336">D2081-C2081</f>
        <v>-25</v>
      </c>
      <c r="F2081" s="1211">
        <f t="shared" ref="F2081:F2087" si="337">C2081-C2080</f>
        <v>17100</v>
      </c>
      <c r="G2081" s="1215"/>
      <c r="H2081" s="1269"/>
      <c r="I2081" s="1291">
        <v>142000</v>
      </c>
    </row>
    <row r="2082" spans="1:9" ht="15" customHeight="1">
      <c r="A2082" s="1253">
        <v>43829</v>
      </c>
      <c r="B2082" s="1209">
        <v>7210</v>
      </c>
      <c r="C2082" s="1210">
        <v>16975</v>
      </c>
      <c r="D2082" s="1230">
        <v>16925</v>
      </c>
      <c r="E2082" s="1212">
        <f t="shared" si="336"/>
        <v>-50</v>
      </c>
      <c r="F2082" s="1211">
        <f t="shared" si="337"/>
        <v>-125</v>
      </c>
      <c r="G2082" s="1215"/>
      <c r="H2082" s="1269"/>
      <c r="I2082" s="1291">
        <v>140750</v>
      </c>
    </row>
    <row r="2083" spans="1:9" ht="15" customHeight="1">
      <c r="A2083" s="1253">
        <v>43830</v>
      </c>
      <c r="B2083" s="1209">
        <v>7110</v>
      </c>
      <c r="C2083" s="1210">
        <v>17000</v>
      </c>
      <c r="D2083" s="1230">
        <v>16940</v>
      </c>
      <c r="E2083" s="1212">
        <f t="shared" si="336"/>
        <v>-60</v>
      </c>
      <c r="F2083" s="1211">
        <f t="shared" si="337"/>
        <v>25</v>
      </c>
      <c r="G2083" s="1227">
        <f>AVERAGE($C$2062:C2083)</f>
        <v>17100.75</v>
      </c>
      <c r="H2083" s="1274">
        <f>AVERAGE($C$1824:C2083)</f>
        <v>18643.478260869564</v>
      </c>
      <c r="I2083" s="1291">
        <v>140750</v>
      </c>
    </row>
    <row r="2084" spans="1:9" ht="15" customHeight="1">
      <c r="A2084" s="1253">
        <v>43832</v>
      </c>
      <c r="B2084" s="1209">
        <v>7130</v>
      </c>
      <c r="C2084" s="1210">
        <v>17150</v>
      </c>
      <c r="D2084" s="1230">
        <v>17125</v>
      </c>
      <c r="E2084" s="1212">
        <f t="shared" si="336"/>
        <v>-25</v>
      </c>
      <c r="F2084" s="1211">
        <f t="shared" si="337"/>
        <v>150</v>
      </c>
      <c r="G2084" s="1215"/>
      <c r="H2084" s="1269"/>
      <c r="I2084" s="1291">
        <v>140500</v>
      </c>
    </row>
    <row r="2085" spans="1:9" ht="15" customHeight="1">
      <c r="A2085" s="1253">
        <v>43833</v>
      </c>
      <c r="B2085" s="1209">
        <v>7125</v>
      </c>
      <c r="C2085" s="1210">
        <v>16750</v>
      </c>
      <c r="D2085" s="1230">
        <v>16800</v>
      </c>
      <c r="E2085" s="1212">
        <f t="shared" si="336"/>
        <v>50</v>
      </c>
      <c r="F2085" s="1211">
        <f t="shared" si="337"/>
        <v>-400</v>
      </c>
      <c r="G2085" s="1215"/>
      <c r="H2085" s="1269"/>
      <c r="I2085" s="1291">
        <v>140500</v>
      </c>
    </row>
    <row r="2086" spans="1:9" ht="15" customHeight="1">
      <c r="A2086" s="1253">
        <v>43836</v>
      </c>
      <c r="B2086" s="1209">
        <v>7110</v>
      </c>
      <c r="C2086" s="1210">
        <v>16875</v>
      </c>
      <c r="D2086" s="1230">
        <v>16850</v>
      </c>
      <c r="E2086" s="1212">
        <f t="shared" si="336"/>
        <v>-25</v>
      </c>
      <c r="F2086" s="1211">
        <f t="shared" si="337"/>
        <v>125</v>
      </c>
      <c r="G2086" s="1215"/>
      <c r="H2086" s="1269"/>
      <c r="I2086" s="1291">
        <v>140250</v>
      </c>
    </row>
    <row r="2087" spans="1:9" ht="15" customHeight="1">
      <c r="A2087" s="1253">
        <v>43837</v>
      </c>
      <c r="B2087" s="1209">
        <v>7105</v>
      </c>
      <c r="C2087" s="1210">
        <v>16940</v>
      </c>
      <c r="D2087" s="1230">
        <v>16950</v>
      </c>
      <c r="E2087" s="1212">
        <f t="shared" si="336"/>
        <v>10</v>
      </c>
      <c r="F2087" s="1211">
        <f t="shared" si="337"/>
        <v>65</v>
      </c>
      <c r="G2087" s="1215"/>
      <c r="H2087" s="1269"/>
      <c r="I2087" s="1291">
        <v>140500</v>
      </c>
    </row>
    <row r="2088" spans="1:9" ht="15" customHeight="1">
      <c r="A2088" s="1253">
        <v>43838</v>
      </c>
      <c r="B2088" s="1209">
        <v>7140</v>
      </c>
      <c r="C2088" s="1210">
        <v>16975</v>
      </c>
      <c r="D2088" s="1230">
        <v>16975</v>
      </c>
      <c r="E2088" s="1212">
        <f t="shared" si="336"/>
        <v>0</v>
      </c>
      <c r="F2088" s="1211">
        <f t="shared" ref="F2088" si="338">C2088-C2087</f>
        <v>35</v>
      </c>
      <c r="G2088" s="1215"/>
      <c r="H2088" s="1269"/>
      <c r="I2088" s="1291">
        <v>141000</v>
      </c>
    </row>
    <row r="2089" spans="1:9" ht="15" customHeight="1">
      <c r="A2089" s="1253">
        <v>43839</v>
      </c>
      <c r="B2089" s="1209">
        <v>7140</v>
      </c>
      <c r="C2089" s="1210">
        <v>17250</v>
      </c>
      <c r="D2089" s="1230">
        <v>17275</v>
      </c>
      <c r="E2089" s="1212">
        <f t="shared" si="336"/>
        <v>25</v>
      </c>
      <c r="F2089" s="1211">
        <f t="shared" ref="F2089:F2091" si="339">C2089-C2088</f>
        <v>275</v>
      </c>
      <c r="G2089" s="1215"/>
      <c r="H2089" s="1269"/>
      <c r="I2089" s="1291">
        <v>141500</v>
      </c>
    </row>
    <row r="2090" spans="1:9" ht="15" customHeight="1">
      <c r="A2090" s="1253">
        <v>43840</v>
      </c>
      <c r="B2090" s="1209">
        <v>7055</v>
      </c>
      <c r="C2090" s="1210">
        <v>17275</v>
      </c>
      <c r="D2090" s="1230">
        <v>17275</v>
      </c>
      <c r="E2090" s="1212">
        <f t="shared" si="336"/>
        <v>0</v>
      </c>
      <c r="F2090" s="1211">
        <f t="shared" si="339"/>
        <v>25</v>
      </c>
      <c r="G2090" s="1215"/>
      <c r="H2090" s="1269"/>
      <c r="I2090" s="1291">
        <v>141250</v>
      </c>
    </row>
    <row r="2091" spans="1:9" ht="15" customHeight="1">
      <c r="A2091" s="1253">
        <v>43843</v>
      </c>
      <c r="B2091" s="1209">
        <v>6935</v>
      </c>
      <c r="C2091" s="1210">
        <v>17275</v>
      </c>
      <c r="D2091" s="1230">
        <v>17255</v>
      </c>
      <c r="E2091" s="1212">
        <f t="shared" si="336"/>
        <v>-20</v>
      </c>
      <c r="F2091" s="1211">
        <f t="shared" si="339"/>
        <v>0</v>
      </c>
      <c r="G2091" s="1215"/>
      <c r="H2091" s="1269"/>
      <c r="I2091" s="1291">
        <v>141250</v>
      </c>
    </row>
    <row r="2092" spans="1:9" ht="15" customHeight="1">
      <c r="A2092" s="1253">
        <v>43844</v>
      </c>
      <c r="B2092" s="1209">
        <v>6915</v>
      </c>
      <c r="C2092" s="1210">
        <v>17320</v>
      </c>
      <c r="D2092" s="1230">
        <v>17335</v>
      </c>
      <c r="E2092" s="1212">
        <f t="shared" si="336"/>
        <v>15</v>
      </c>
      <c r="F2092" s="1211">
        <f t="shared" ref="F2092:F2094" si="340">C2092-C2091</f>
        <v>45</v>
      </c>
      <c r="G2092" s="1215"/>
      <c r="H2092" s="1269"/>
      <c r="I2092" s="1291">
        <v>141250</v>
      </c>
    </row>
    <row r="2093" spans="1:9" ht="15" customHeight="1">
      <c r="A2093" s="1253">
        <v>43845</v>
      </c>
      <c r="B2093" s="1209">
        <v>7050</v>
      </c>
      <c r="C2093" s="1210">
        <v>17430</v>
      </c>
      <c r="D2093" s="1230">
        <v>17475</v>
      </c>
      <c r="E2093" s="1212">
        <f t="shared" si="336"/>
        <v>45</v>
      </c>
      <c r="F2093" s="1211">
        <f t="shared" si="340"/>
        <v>110</v>
      </c>
      <c r="G2093" s="1215"/>
      <c r="H2093" s="1269"/>
      <c r="I2093" s="1291">
        <v>141500</v>
      </c>
    </row>
    <row r="2094" spans="1:9" ht="15" customHeight="1">
      <c r="A2094" s="1253">
        <v>43846</v>
      </c>
      <c r="B2094" s="1209">
        <v>7050</v>
      </c>
      <c r="C2094" s="1210">
        <v>17705</v>
      </c>
      <c r="D2094" s="1230">
        <v>17675</v>
      </c>
      <c r="E2094" s="1212">
        <f t="shared" si="336"/>
        <v>-30</v>
      </c>
      <c r="F2094" s="1211">
        <f t="shared" si="340"/>
        <v>275</v>
      </c>
      <c r="G2094" s="1215"/>
      <c r="H2094" s="1269"/>
      <c r="I2094" s="1291">
        <v>141500</v>
      </c>
    </row>
    <row r="2095" spans="1:9" ht="15" customHeight="1">
      <c r="A2095" s="1253">
        <v>43847</v>
      </c>
      <c r="B2095" s="1209">
        <v>7055</v>
      </c>
      <c r="C2095" s="1210">
        <v>17775</v>
      </c>
      <c r="D2095" s="1230">
        <v>17735</v>
      </c>
      <c r="E2095" s="1212">
        <f t="shared" si="336"/>
        <v>-40</v>
      </c>
      <c r="F2095" s="1211">
        <f t="shared" ref="F2095" si="341">C2095-C2094</f>
        <v>70</v>
      </c>
      <c r="G2095" s="1215"/>
      <c r="H2095" s="1269"/>
      <c r="I2095" s="1291">
        <v>141500</v>
      </c>
    </row>
    <row r="2096" spans="1:9" ht="15" customHeight="1">
      <c r="A2096" s="1253">
        <v>43850</v>
      </c>
      <c r="B2096" s="1209">
        <v>7050</v>
      </c>
      <c r="C2096" s="1210">
        <v>17775</v>
      </c>
      <c r="D2096" s="1230">
        <v>17825</v>
      </c>
      <c r="E2096" s="1212">
        <f t="shared" si="336"/>
        <v>50</v>
      </c>
      <c r="F2096" s="1211">
        <f t="shared" ref="F2096" si="342">C2096-C2095</f>
        <v>0</v>
      </c>
      <c r="G2096" s="1215"/>
      <c r="H2096" s="1269"/>
      <c r="I2096" s="1291">
        <v>140750</v>
      </c>
    </row>
    <row r="2097" spans="1:9" ht="15" customHeight="1">
      <c r="A2097" s="1253">
        <v>43851</v>
      </c>
      <c r="B2097" s="1209">
        <v>7050</v>
      </c>
      <c r="C2097" s="1210">
        <v>17675</v>
      </c>
      <c r="D2097" s="1230">
        <v>17680</v>
      </c>
      <c r="E2097" s="1212">
        <f t="shared" si="336"/>
        <v>5</v>
      </c>
      <c r="F2097" s="1211">
        <f t="shared" ref="F2097" si="343">C2097-C2096</f>
        <v>-100</v>
      </c>
      <c r="G2097" s="1215"/>
      <c r="H2097" s="1269"/>
      <c r="I2097" s="1291">
        <v>141250</v>
      </c>
    </row>
    <row r="2098" spans="1:9" ht="15" customHeight="1">
      <c r="A2098" s="1253">
        <v>43852</v>
      </c>
      <c r="B2098" s="1209">
        <v>6925</v>
      </c>
      <c r="C2098" s="1210">
        <v>17575</v>
      </c>
      <c r="D2098" s="1230">
        <v>17600</v>
      </c>
      <c r="E2098" s="1212">
        <f t="shared" si="336"/>
        <v>25</v>
      </c>
      <c r="F2098" s="1211">
        <f t="shared" ref="F2098" si="344">C2098-C2097</f>
        <v>-100</v>
      </c>
      <c r="G2098" s="1215"/>
      <c r="H2098" s="1269"/>
      <c r="I2098" s="1291">
        <v>141000</v>
      </c>
    </row>
    <row r="2099" spans="1:9" ht="15" customHeight="1">
      <c r="A2099" s="1253">
        <v>43853</v>
      </c>
      <c r="B2099" s="1209">
        <v>6925</v>
      </c>
      <c r="C2099" s="1210">
        <v>17135</v>
      </c>
      <c r="D2099" s="1230">
        <v>17200</v>
      </c>
      <c r="E2099" s="1212">
        <f t="shared" si="336"/>
        <v>65</v>
      </c>
      <c r="F2099" s="1211">
        <f t="shared" ref="F2099:F2101" si="345">C2099-C2098</f>
        <v>-440</v>
      </c>
      <c r="G2099" s="1215"/>
      <c r="H2099" s="1269"/>
      <c r="I2099" s="1433"/>
    </row>
    <row r="2100" spans="1:9" ht="15" customHeight="1">
      <c r="A2100" s="1253">
        <v>43854</v>
      </c>
      <c r="B2100" s="1209">
        <v>6945</v>
      </c>
      <c r="C2100" s="1210">
        <v>16900</v>
      </c>
      <c r="D2100" s="1230">
        <v>16925</v>
      </c>
      <c r="E2100" s="1212">
        <f t="shared" si="336"/>
        <v>25</v>
      </c>
      <c r="F2100" s="1211">
        <f t="shared" si="345"/>
        <v>-235</v>
      </c>
      <c r="G2100" s="1215"/>
      <c r="H2100" s="1269"/>
      <c r="I2100" s="1433"/>
    </row>
    <row r="2101" spans="1:9" ht="15" customHeight="1">
      <c r="A2101" s="1253">
        <v>43857</v>
      </c>
      <c r="B2101" s="1209">
        <v>6870</v>
      </c>
      <c r="C2101" s="1210">
        <v>16565</v>
      </c>
      <c r="D2101" s="1230">
        <v>16600</v>
      </c>
      <c r="E2101" s="1212">
        <f t="shared" si="336"/>
        <v>35</v>
      </c>
      <c r="F2101" s="1211">
        <f t="shared" si="345"/>
        <v>-335</v>
      </c>
      <c r="G2101" s="1215"/>
      <c r="H2101" s="1269"/>
      <c r="I2101" s="1433"/>
    </row>
    <row r="2102" spans="1:9" ht="15" customHeight="1">
      <c r="A2102" s="1253">
        <v>43858</v>
      </c>
      <c r="B2102" s="1209">
        <v>6870</v>
      </c>
      <c r="C2102" s="1210">
        <v>16345</v>
      </c>
      <c r="D2102" s="1230">
        <v>16350</v>
      </c>
      <c r="E2102" s="1212">
        <f t="shared" si="336"/>
        <v>5</v>
      </c>
      <c r="F2102" s="1211">
        <f t="shared" ref="F2102" si="346">C2102-C2101</f>
        <v>-220</v>
      </c>
      <c r="G2102" s="1215"/>
      <c r="H2102" s="1269"/>
      <c r="I2102" s="1433"/>
    </row>
    <row r="2103" spans="1:9" ht="15" customHeight="1">
      <c r="A2103" s="1253">
        <v>43859</v>
      </c>
      <c r="B2103" s="1209">
        <v>6830</v>
      </c>
      <c r="C2103" s="1210">
        <v>16325</v>
      </c>
      <c r="D2103" s="1230">
        <v>16300</v>
      </c>
      <c r="E2103" s="1212">
        <f t="shared" si="336"/>
        <v>-25</v>
      </c>
      <c r="F2103" s="1211">
        <f t="shared" ref="F2103" si="347">C2103-C2102</f>
        <v>-20</v>
      </c>
      <c r="G2103" s="1215"/>
      <c r="H2103" s="1269"/>
      <c r="I2103" s="1433"/>
    </row>
    <row r="2104" spans="1:9" ht="15" customHeight="1">
      <c r="A2104" s="1253">
        <v>43860</v>
      </c>
      <c r="B2104" s="1209">
        <v>6830</v>
      </c>
      <c r="C2104" s="1210">
        <v>16275</v>
      </c>
      <c r="D2104" s="1230">
        <v>16200</v>
      </c>
      <c r="E2104" s="1212">
        <f t="shared" si="336"/>
        <v>-75</v>
      </c>
      <c r="F2104" s="1211">
        <f t="shared" ref="F2104" si="348">C2104-C2103</f>
        <v>-50</v>
      </c>
      <c r="G2104" s="1215"/>
      <c r="H2104" s="1269"/>
      <c r="I2104" s="1433"/>
    </row>
    <row r="2105" spans="1:9" ht="15" customHeight="1">
      <c r="A2105" s="1253">
        <v>43861</v>
      </c>
      <c r="B2105" s="1209">
        <v>6760</v>
      </c>
      <c r="C2105" s="1210">
        <v>16275</v>
      </c>
      <c r="D2105" s="1230">
        <v>16175</v>
      </c>
      <c r="E2105" s="1212">
        <f t="shared" si="336"/>
        <v>-100</v>
      </c>
      <c r="F2105" s="1211">
        <f t="shared" ref="F2105:F2106" si="349">C2105-C2104</f>
        <v>0</v>
      </c>
      <c r="G2105" s="1227">
        <f>AVERAGE($C$2084:C2105)</f>
        <v>17071.136363636364</v>
      </c>
      <c r="H2105" s="1274">
        <f>AVERAGE($C$2084:C2105)</f>
        <v>17071.136363636364</v>
      </c>
      <c r="I2105" s="1433"/>
    </row>
    <row r="2106" spans="1:9" ht="15" customHeight="1">
      <c r="A2106" s="1253">
        <v>43864</v>
      </c>
      <c r="B2106" s="1209">
        <v>6650</v>
      </c>
      <c r="C2106" s="1210">
        <v>16350</v>
      </c>
      <c r="D2106" s="1230">
        <v>16225</v>
      </c>
      <c r="E2106" s="1212">
        <f t="shared" si="336"/>
        <v>-125</v>
      </c>
      <c r="F2106" s="1211">
        <f t="shared" si="349"/>
        <v>75</v>
      </c>
      <c r="G2106" s="1215"/>
      <c r="H2106" s="1269"/>
      <c r="I2106" s="1291">
        <v>137500</v>
      </c>
    </row>
    <row r="2107" spans="1:9" ht="15" customHeight="1">
      <c r="A2107" s="1253">
        <v>43865</v>
      </c>
      <c r="B2107" s="1209">
        <v>6705</v>
      </c>
      <c r="C2107" s="1210">
        <v>16155</v>
      </c>
      <c r="D2107" s="1230">
        <v>16200</v>
      </c>
      <c r="E2107" s="1212">
        <f t="shared" si="336"/>
        <v>45</v>
      </c>
      <c r="F2107" s="1211">
        <f t="shared" ref="F2107" si="350">C2107-C2106</f>
        <v>-195</v>
      </c>
      <c r="G2107" s="1215"/>
      <c r="H2107" s="1269"/>
      <c r="I2107" s="1291">
        <v>137500</v>
      </c>
    </row>
    <row r="2108" spans="1:9" ht="15" customHeight="1">
      <c r="A2108" s="1253">
        <v>43866</v>
      </c>
      <c r="B2108" s="1209">
        <v>6705</v>
      </c>
      <c r="C2108" s="1210">
        <v>16335</v>
      </c>
      <c r="D2108" s="1230">
        <v>16325</v>
      </c>
      <c r="E2108" s="1212">
        <f t="shared" si="336"/>
        <v>-10</v>
      </c>
      <c r="F2108" s="1211">
        <f t="shared" ref="F2108" si="351">C2108-C2107</f>
        <v>180</v>
      </c>
      <c r="G2108" s="1215"/>
      <c r="H2108" s="1269"/>
      <c r="I2108" s="1291">
        <v>137500</v>
      </c>
    </row>
    <row r="2109" spans="1:9" ht="15" customHeight="1">
      <c r="A2109" s="1253">
        <v>43867</v>
      </c>
      <c r="B2109" s="1209">
        <v>6705</v>
      </c>
      <c r="C2109" s="1210">
        <v>16575</v>
      </c>
      <c r="D2109" s="1230">
        <v>16575</v>
      </c>
      <c r="E2109" s="1212">
        <f t="shared" si="336"/>
        <v>0</v>
      </c>
      <c r="F2109" s="1211">
        <f t="shared" ref="F2109" si="352">C2109-C2108</f>
        <v>240</v>
      </c>
      <c r="G2109" s="1215"/>
      <c r="H2109" s="1269"/>
      <c r="I2109" s="1291">
        <v>137500</v>
      </c>
    </row>
    <row r="2110" spans="1:9" ht="15" customHeight="1">
      <c r="A2110" s="1253">
        <v>43868</v>
      </c>
      <c r="B2110" s="1209">
        <v>6520</v>
      </c>
      <c r="C2110" s="1210">
        <v>16325</v>
      </c>
      <c r="D2110" s="1230">
        <v>16325</v>
      </c>
      <c r="E2110" s="1212">
        <f t="shared" si="336"/>
        <v>0</v>
      </c>
      <c r="F2110" s="1211">
        <f t="shared" ref="F2110" si="353">C2110-C2109</f>
        <v>-250</v>
      </c>
      <c r="G2110" s="1215"/>
      <c r="H2110" s="1269"/>
      <c r="I2110" s="1291">
        <v>137500</v>
      </c>
    </row>
    <row r="2111" spans="1:9" ht="15" customHeight="1">
      <c r="A2111" s="1253">
        <v>43871</v>
      </c>
      <c r="B2111" s="1209">
        <v>6420</v>
      </c>
      <c r="C2111" s="1210">
        <v>16350</v>
      </c>
      <c r="D2111" s="1230">
        <v>16375</v>
      </c>
      <c r="E2111" s="1212">
        <f t="shared" si="336"/>
        <v>25</v>
      </c>
      <c r="F2111" s="1211">
        <f t="shared" ref="F2111:F2112" si="354">C2111-C2110</f>
        <v>25</v>
      </c>
      <c r="G2111" s="1215"/>
      <c r="H2111" s="1269"/>
      <c r="I2111" s="1291">
        <v>137500</v>
      </c>
    </row>
    <row r="2112" spans="1:9" ht="15" customHeight="1">
      <c r="A2112" s="1253">
        <v>43872</v>
      </c>
      <c r="B2112" s="1209">
        <v>6390</v>
      </c>
      <c r="C2112" s="1210">
        <v>16380</v>
      </c>
      <c r="D2112" s="1230">
        <v>16400</v>
      </c>
      <c r="E2112" s="1212">
        <f t="shared" si="336"/>
        <v>20</v>
      </c>
      <c r="F2112" s="1211">
        <f t="shared" si="354"/>
        <v>30</v>
      </c>
      <c r="G2112" s="1215"/>
      <c r="H2112" s="1269"/>
      <c r="I2112" s="1291">
        <v>137500</v>
      </c>
    </row>
    <row r="2113" spans="1:9" ht="15" customHeight="1">
      <c r="A2113" s="1253">
        <v>43873</v>
      </c>
      <c r="B2113" s="1209">
        <v>6390</v>
      </c>
      <c r="C2113" s="1210">
        <v>16475</v>
      </c>
      <c r="D2113" s="1230">
        <v>16450</v>
      </c>
      <c r="E2113" s="1212">
        <f t="shared" si="336"/>
        <v>-25</v>
      </c>
      <c r="F2113" s="1211">
        <f t="shared" ref="F2113" si="355">C2113-C2112</f>
        <v>95</v>
      </c>
      <c r="G2113" s="1215"/>
      <c r="H2113" s="1269"/>
      <c r="I2113" s="1291">
        <v>137500</v>
      </c>
    </row>
    <row r="2114" spans="1:9" ht="15" customHeight="1">
      <c r="A2114" s="1253">
        <v>43874</v>
      </c>
      <c r="B2114" s="1209">
        <v>6825</v>
      </c>
      <c r="C2114" s="1210">
        <v>16530</v>
      </c>
      <c r="D2114" s="1230">
        <v>16510</v>
      </c>
      <c r="E2114" s="1212">
        <f t="shared" si="336"/>
        <v>-20</v>
      </c>
      <c r="F2114" s="1211">
        <f t="shared" ref="F2114" si="356">C2114-C2113</f>
        <v>55</v>
      </c>
      <c r="G2114" s="1215"/>
      <c r="H2114" s="1269"/>
      <c r="I2114" s="1291">
        <v>137500</v>
      </c>
    </row>
    <row r="2115" spans="1:9" ht="15" customHeight="1">
      <c r="A2115" s="1253">
        <v>43875</v>
      </c>
      <c r="B2115" s="1209">
        <v>6815</v>
      </c>
      <c r="C2115" s="1210">
        <v>16525</v>
      </c>
      <c r="D2115" s="1230">
        <v>16555</v>
      </c>
      <c r="E2115" s="1212">
        <f t="shared" si="336"/>
        <v>30</v>
      </c>
      <c r="F2115" s="1211">
        <f t="shared" ref="F2115" si="357">C2115-C2114</f>
        <v>-5</v>
      </c>
      <c r="G2115" s="1215"/>
      <c r="H2115" s="1269"/>
      <c r="I2115" s="1291">
        <v>137500</v>
      </c>
    </row>
    <row r="2116" spans="1:9" ht="15" customHeight="1">
      <c r="A2116" s="1253">
        <v>43878</v>
      </c>
      <c r="B2116" s="1209">
        <v>6555</v>
      </c>
      <c r="C2116" s="1210">
        <v>16630</v>
      </c>
      <c r="D2116" s="1230">
        <v>16630</v>
      </c>
      <c r="E2116" s="1212">
        <f t="shared" si="336"/>
        <v>0</v>
      </c>
      <c r="F2116" s="1211">
        <f t="shared" ref="F2116" si="358">C2116-C2115</f>
        <v>105</v>
      </c>
      <c r="G2116" s="1215"/>
      <c r="H2116" s="1269"/>
      <c r="I2116" s="1291">
        <v>137500</v>
      </c>
    </row>
    <row r="2117" spans="1:9" ht="15" customHeight="1">
      <c r="A2117" s="1253">
        <v>43879</v>
      </c>
      <c r="B2117" s="1209">
        <v>7485</v>
      </c>
      <c r="C2117" s="1210">
        <v>16520</v>
      </c>
      <c r="D2117" s="1230">
        <v>16525</v>
      </c>
      <c r="E2117" s="1212">
        <f t="shared" si="336"/>
        <v>5</v>
      </c>
      <c r="F2117" s="1211">
        <f t="shared" ref="F2117" si="359">C2117-C2116</f>
        <v>-110</v>
      </c>
      <c r="G2117" s="1215"/>
      <c r="H2117" s="1269"/>
      <c r="I2117" s="1291">
        <v>138250</v>
      </c>
    </row>
    <row r="2118" spans="1:9" ht="15" customHeight="1">
      <c r="A2118" s="1253">
        <v>43880</v>
      </c>
      <c r="B2118" s="1209">
        <v>7485</v>
      </c>
      <c r="C2118" s="1210">
        <v>16550</v>
      </c>
      <c r="D2118" s="1230">
        <v>16510</v>
      </c>
      <c r="E2118" s="1212">
        <f t="shared" si="336"/>
        <v>-40</v>
      </c>
      <c r="F2118" s="1211">
        <f t="shared" ref="F2118" si="360">C2118-C2117</f>
        <v>30</v>
      </c>
      <c r="G2118" s="1215"/>
      <c r="H2118" s="1269"/>
      <c r="I2118" s="1291">
        <v>138250</v>
      </c>
    </row>
    <row r="2119" spans="1:9" ht="15" customHeight="1">
      <c r="A2119" s="1253">
        <v>43881</v>
      </c>
      <c r="B2119" s="1209">
        <v>7435</v>
      </c>
      <c r="C2119" s="1210">
        <v>16600</v>
      </c>
      <c r="D2119" s="1230">
        <v>16600</v>
      </c>
      <c r="E2119" s="1212">
        <f t="shared" si="336"/>
        <v>0</v>
      </c>
      <c r="F2119" s="1211">
        <f t="shared" ref="F2119" si="361">C2119-C2118</f>
        <v>50</v>
      </c>
      <c r="G2119" s="1215"/>
      <c r="H2119" s="1269"/>
      <c r="I2119" s="1291">
        <v>138250</v>
      </c>
    </row>
    <row r="2120" spans="1:9" ht="15" customHeight="1">
      <c r="A2120" s="1253">
        <v>43882</v>
      </c>
      <c r="B2120" s="1209">
        <v>7435</v>
      </c>
      <c r="C2120" s="1210">
        <v>16525</v>
      </c>
      <c r="D2120" s="1230">
        <v>16550</v>
      </c>
      <c r="E2120" s="1212">
        <f t="shared" si="336"/>
        <v>25</v>
      </c>
      <c r="F2120" s="1211">
        <f t="shared" ref="F2120" si="362">C2120-C2119</f>
        <v>-75</v>
      </c>
      <c r="G2120" s="1215"/>
      <c r="H2120" s="1269"/>
      <c r="I2120" s="1291">
        <v>138250</v>
      </c>
    </row>
    <row r="2121" spans="1:9" ht="15" customHeight="1">
      <c r="A2121" s="1253">
        <v>43885</v>
      </c>
      <c r="B2121" s="1209">
        <v>7435</v>
      </c>
      <c r="C2121" s="1210">
        <v>16510</v>
      </c>
      <c r="D2121" s="1230">
        <v>16525</v>
      </c>
      <c r="E2121" s="1212">
        <f t="shared" si="336"/>
        <v>15</v>
      </c>
      <c r="F2121" s="1211">
        <f t="shared" ref="F2121" si="363">C2121-C2120</f>
        <v>-15</v>
      </c>
      <c r="G2121" s="1215"/>
      <c r="H2121" s="1269"/>
      <c r="I2121" s="1291">
        <v>138750</v>
      </c>
    </row>
    <row r="2122" spans="1:9" ht="15" customHeight="1">
      <c r="A2122" s="1253">
        <v>43886</v>
      </c>
      <c r="B2122" s="1209">
        <v>7345</v>
      </c>
      <c r="C2122" s="1210">
        <v>16650</v>
      </c>
      <c r="D2122" s="1230">
        <v>16635</v>
      </c>
      <c r="E2122" s="1212">
        <f t="shared" si="336"/>
        <v>-15</v>
      </c>
      <c r="F2122" s="1211">
        <f t="shared" ref="F2122" si="364">C2122-C2121</f>
        <v>140</v>
      </c>
      <c r="G2122" s="1215"/>
      <c r="H2122" s="1269"/>
      <c r="I2122" s="1291">
        <v>138750</v>
      </c>
    </row>
    <row r="2123" spans="1:9" ht="15" customHeight="1">
      <c r="A2123" s="1253">
        <v>43887</v>
      </c>
      <c r="B2123" s="1209">
        <v>7595</v>
      </c>
      <c r="C2123" s="1210">
        <v>16570</v>
      </c>
      <c r="D2123" s="1230">
        <v>16625</v>
      </c>
      <c r="E2123" s="1212">
        <f t="shared" si="336"/>
        <v>55</v>
      </c>
      <c r="F2123" s="1211">
        <f t="shared" ref="F2123" si="365">C2123-C2122</f>
        <v>-80</v>
      </c>
      <c r="G2123" s="1215"/>
      <c r="H2123" s="1269"/>
      <c r="I2123" s="1291">
        <v>138750</v>
      </c>
    </row>
    <row r="2124" spans="1:9" ht="15" customHeight="1">
      <c r="A2124" s="1253">
        <v>43888</v>
      </c>
      <c r="B2124" s="1209">
        <v>7590</v>
      </c>
      <c r="C2124" s="1210">
        <v>16350</v>
      </c>
      <c r="D2124" s="1230">
        <v>16375</v>
      </c>
      <c r="E2124" s="1212">
        <f t="shared" si="336"/>
        <v>25</v>
      </c>
      <c r="F2124" s="1211">
        <f t="shared" ref="F2124" si="366">C2124-C2123</f>
        <v>-220</v>
      </c>
      <c r="G2124" s="1215"/>
      <c r="H2124" s="1269"/>
      <c r="I2124" s="1291">
        <v>138500</v>
      </c>
    </row>
    <row r="2125" spans="1:9" ht="15" customHeight="1">
      <c r="A2125" s="1253">
        <v>43889</v>
      </c>
      <c r="B2125" s="1209">
        <v>7545</v>
      </c>
      <c r="C2125" s="1210">
        <v>16225</v>
      </c>
      <c r="D2125" s="1230">
        <v>16225</v>
      </c>
      <c r="E2125" s="1212">
        <f t="shared" si="336"/>
        <v>0</v>
      </c>
      <c r="F2125" s="1211">
        <f t="shared" ref="F2125:F2126" si="367">C2125-C2124</f>
        <v>-125</v>
      </c>
      <c r="G2125" s="1227">
        <f>AVERAGE($C$2106:C2125)</f>
        <v>16456.5</v>
      </c>
      <c r="H2125" s="1274">
        <f>AVERAGE($C$2084:C2125)</f>
        <v>16778.452380952382</v>
      </c>
      <c r="I2125" s="1291">
        <v>137750</v>
      </c>
    </row>
    <row r="2126" spans="1:9" ht="15" customHeight="1">
      <c r="A2126" s="1253">
        <v>43892</v>
      </c>
      <c r="B2126" s="1209">
        <v>7460</v>
      </c>
      <c r="C2126" s="1210">
        <v>16425</v>
      </c>
      <c r="D2126" s="1230">
        <v>16405</v>
      </c>
      <c r="E2126" s="1212">
        <f t="shared" si="336"/>
        <v>-20</v>
      </c>
      <c r="F2126" s="1211">
        <f t="shared" si="367"/>
        <v>200</v>
      </c>
      <c r="G2126" s="1215"/>
      <c r="H2126" s="1269"/>
      <c r="I2126" s="1291">
        <v>137500</v>
      </c>
    </row>
    <row r="2127" spans="1:9" ht="15" customHeight="1">
      <c r="A2127" s="1253">
        <v>43893</v>
      </c>
      <c r="B2127" s="1209">
        <v>7460</v>
      </c>
      <c r="C2127" s="1210">
        <v>16750</v>
      </c>
      <c r="D2127" s="1230">
        <v>16760</v>
      </c>
      <c r="E2127" s="1212">
        <f t="shared" si="336"/>
        <v>10</v>
      </c>
      <c r="F2127" s="1211">
        <f t="shared" ref="F2127" si="368">C2127-C2126</f>
        <v>325</v>
      </c>
      <c r="G2127" s="1215"/>
      <c r="H2127" s="1269"/>
      <c r="I2127" s="1291">
        <v>138000</v>
      </c>
    </row>
    <row r="2128" spans="1:9" ht="15" customHeight="1">
      <c r="A2128" s="1253">
        <v>43894</v>
      </c>
      <c r="B2128" s="1209">
        <v>7460</v>
      </c>
      <c r="C2128" s="1210">
        <v>17000</v>
      </c>
      <c r="D2128" s="1230">
        <v>17025</v>
      </c>
      <c r="E2128" s="1212">
        <f t="shared" si="336"/>
        <v>25</v>
      </c>
      <c r="F2128" s="1211">
        <f t="shared" ref="F2128" si="369">C2128-C2127</f>
        <v>250</v>
      </c>
      <c r="G2128" s="1215"/>
      <c r="H2128" s="1269"/>
      <c r="I2128" s="1291">
        <v>138000</v>
      </c>
    </row>
    <row r="2129" spans="1:9" ht="15" customHeight="1">
      <c r="A2129" s="1253">
        <v>43895</v>
      </c>
      <c r="B2129" s="1209">
        <v>7420</v>
      </c>
      <c r="C2129" s="1210">
        <v>17000</v>
      </c>
      <c r="D2129" s="1230">
        <v>17000</v>
      </c>
      <c r="E2129" s="1212">
        <f t="shared" si="336"/>
        <v>0</v>
      </c>
      <c r="F2129" s="1211">
        <f t="shared" ref="F2129" si="370">C2129-C2128</f>
        <v>0</v>
      </c>
      <c r="G2129" s="1215"/>
      <c r="H2129" s="1269"/>
      <c r="I2129" s="1291">
        <v>138500</v>
      </c>
    </row>
    <row r="2130" spans="1:9" ht="15" customHeight="1">
      <c r="A2130" s="1253">
        <v>43896</v>
      </c>
      <c r="B2130" s="1209">
        <v>7345</v>
      </c>
      <c r="C2130" s="1210">
        <v>16910</v>
      </c>
      <c r="D2130" s="1230">
        <v>16905</v>
      </c>
      <c r="E2130" s="1212">
        <f t="shared" si="336"/>
        <v>-5</v>
      </c>
      <c r="F2130" s="1211">
        <f t="shared" ref="F2130" si="371">C2130-C2129</f>
        <v>-90</v>
      </c>
      <c r="G2130" s="1215"/>
      <c r="H2130" s="1269"/>
      <c r="I2130" s="1291">
        <v>138500</v>
      </c>
    </row>
    <row r="2131" spans="1:9" ht="15" customHeight="1">
      <c r="A2131" s="1253">
        <v>43899</v>
      </c>
      <c r="B2131" s="1209">
        <v>7330</v>
      </c>
      <c r="C2131" s="1210">
        <v>16560</v>
      </c>
      <c r="D2131" s="1230">
        <v>16575</v>
      </c>
      <c r="E2131" s="1212">
        <f t="shared" si="336"/>
        <v>15</v>
      </c>
      <c r="F2131" s="1211">
        <f t="shared" ref="F2131" si="372">C2131-C2130</f>
        <v>-350</v>
      </c>
      <c r="G2131" s="1215"/>
      <c r="H2131" s="1269"/>
      <c r="I2131" s="1291">
        <v>137250</v>
      </c>
    </row>
    <row r="2132" spans="1:9" ht="15" customHeight="1">
      <c r="A2132" s="1253">
        <v>43900</v>
      </c>
      <c r="B2132" s="1209">
        <v>7280</v>
      </c>
      <c r="C2132" s="1210">
        <v>16805</v>
      </c>
      <c r="D2132" s="1230">
        <v>16950</v>
      </c>
      <c r="E2132" s="1212">
        <f t="shared" si="336"/>
        <v>145</v>
      </c>
      <c r="F2132" s="1211">
        <f t="shared" ref="F2132" si="373">C2132-C2131</f>
        <v>245</v>
      </c>
      <c r="G2132" s="1215"/>
      <c r="H2132" s="1269"/>
      <c r="I2132" s="1291">
        <v>137500</v>
      </c>
    </row>
    <row r="2133" spans="1:9" ht="15" customHeight="1">
      <c r="A2133" s="1253">
        <v>43901</v>
      </c>
      <c r="B2133" s="1209">
        <v>7200</v>
      </c>
      <c r="C2133" s="1210">
        <v>16725</v>
      </c>
      <c r="D2133" s="1230">
        <v>16750</v>
      </c>
      <c r="E2133" s="1212">
        <f t="shared" si="336"/>
        <v>25</v>
      </c>
      <c r="F2133" s="1211">
        <f t="shared" ref="F2133" si="374">C2133-C2132</f>
        <v>-80</v>
      </c>
      <c r="G2133" s="1215"/>
      <c r="H2133" s="1269"/>
      <c r="I2133" s="1291">
        <v>137750</v>
      </c>
    </row>
    <row r="2134" spans="1:9" ht="15" customHeight="1">
      <c r="A2134" s="1253">
        <v>43902</v>
      </c>
      <c r="B2134" s="1209">
        <v>7100</v>
      </c>
      <c r="C2134" s="1210">
        <v>16235</v>
      </c>
      <c r="D2134" s="1230">
        <v>16225</v>
      </c>
      <c r="E2134" s="1212">
        <f t="shared" si="336"/>
        <v>-10</v>
      </c>
      <c r="F2134" s="1211">
        <f t="shared" ref="F2134" si="375">C2134-C2133</f>
        <v>-490</v>
      </c>
      <c r="G2134" s="1215"/>
      <c r="H2134" s="1269"/>
      <c r="I2134" s="1291">
        <v>137000</v>
      </c>
    </row>
    <row r="2135" spans="1:9" ht="15" customHeight="1">
      <c r="A2135" s="1253">
        <v>43903</v>
      </c>
      <c r="B2135" s="1209">
        <v>7040</v>
      </c>
      <c r="C2135" s="1210">
        <v>16400</v>
      </c>
      <c r="D2135" s="1230">
        <v>16400</v>
      </c>
      <c r="E2135" s="1212">
        <f t="shared" si="336"/>
        <v>0</v>
      </c>
      <c r="F2135" s="1211">
        <f t="shared" ref="F2135" si="376">C2135-C2134</f>
        <v>165</v>
      </c>
      <c r="G2135" s="1215"/>
      <c r="H2135" s="1269"/>
      <c r="I2135" s="1291">
        <v>134500</v>
      </c>
    </row>
    <row r="2136" spans="1:9" ht="15" customHeight="1">
      <c r="A2136" s="1253">
        <v>43906</v>
      </c>
      <c r="B2136" s="1209">
        <v>6895</v>
      </c>
      <c r="C2136" s="1210">
        <v>15400</v>
      </c>
      <c r="D2136" s="1230">
        <v>15450</v>
      </c>
      <c r="E2136" s="1212">
        <f t="shared" si="336"/>
        <v>50</v>
      </c>
      <c r="F2136" s="1211">
        <f t="shared" ref="F2136:F2137" si="377">C2136-C2135</f>
        <v>-1000</v>
      </c>
      <c r="G2136" s="1215"/>
      <c r="H2136" s="1269"/>
      <c r="I2136" s="1291">
        <v>133000</v>
      </c>
    </row>
    <row r="2137" spans="1:9" ht="15" customHeight="1">
      <c r="A2137" s="1253">
        <v>43907</v>
      </c>
      <c r="B2137" s="1209">
        <v>6585</v>
      </c>
      <c r="C2137" s="1210">
        <v>14545</v>
      </c>
      <c r="D2137" s="1230">
        <v>14475</v>
      </c>
      <c r="E2137" s="1212">
        <f t="shared" si="336"/>
        <v>-70</v>
      </c>
      <c r="F2137" s="1211">
        <f t="shared" si="377"/>
        <v>-855</v>
      </c>
      <c r="G2137" s="1215"/>
      <c r="H2137" s="1269"/>
      <c r="I2137" s="1291">
        <v>131500</v>
      </c>
    </row>
    <row r="2138" spans="1:9" ht="15" customHeight="1">
      <c r="A2138" s="1253">
        <v>43908</v>
      </c>
      <c r="B2138" s="1209">
        <v>6530</v>
      </c>
      <c r="C2138" s="1210">
        <v>14075</v>
      </c>
      <c r="D2138" s="1230">
        <v>14120</v>
      </c>
      <c r="E2138" s="1212">
        <f t="shared" si="336"/>
        <v>45</v>
      </c>
      <c r="F2138" s="1211">
        <f t="shared" ref="F2138" si="378">C2138-C2137</f>
        <v>-470</v>
      </c>
      <c r="G2138" s="1215"/>
      <c r="H2138" s="1269"/>
      <c r="I2138" s="1291">
        <v>128500</v>
      </c>
    </row>
    <row r="2139" spans="1:9" ht="15" customHeight="1">
      <c r="A2139" s="1253">
        <v>43909</v>
      </c>
      <c r="B2139" s="1209">
        <v>6550</v>
      </c>
      <c r="C2139" s="1210">
        <v>13400</v>
      </c>
      <c r="D2139" s="1230">
        <v>13400</v>
      </c>
      <c r="E2139" s="1212">
        <f t="shared" si="336"/>
        <v>0</v>
      </c>
      <c r="F2139" s="1211">
        <f t="shared" ref="F2139:F2140" si="379">C2139-C2138</f>
        <v>-675</v>
      </c>
      <c r="G2139" s="1215"/>
      <c r="H2139" s="1269"/>
      <c r="I2139" s="1291">
        <v>122500</v>
      </c>
    </row>
    <row r="2140" spans="1:9" ht="15" customHeight="1">
      <c r="A2140" s="1253">
        <v>43910</v>
      </c>
      <c r="B2140" s="1209">
        <v>6390</v>
      </c>
      <c r="C2140" s="1210">
        <v>14500</v>
      </c>
      <c r="D2140" s="1230">
        <v>14525</v>
      </c>
      <c r="E2140" s="1212">
        <f t="shared" si="336"/>
        <v>25</v>
      </c>
      <c r="F2140" s="1211">
        <f t="shared" si="379"/>
        <v>1100</v>
      </c>
      <c r="G2140" s="1215"/>
      <c r="H2140" s="1269"/>
      <c r="I2140" s="1291">
        <v>117500</v>
      </c>
    </row>
    <row r="2141" spans="1:9" ht="15" customHeight="1">
      <c r="A2141" s="1253">
        <v>43913</v>
      </c>
      <c r="B2141" s="1209">
        <v>6325</v>
      </c>
      <c r="C2141" s="1210">
        <v>13975</v>
      </c>
      <c r="D2141" s="1230">
        <v>13700</v>
      </c>
      <c r="E2141" s="1212">
        <f t="shared" si="336"/>
        <v>-275</v>
      </c>
      <c r="F2141" s="1211">
        <f t="shared" ref="F2141" si="380">C2141-C2140</f>
        <v>-525</v>
      </c>
      <c r="G2141" s="1215"/>
      <c r="H2141" s="1269"/>
      <c r="I2141" s="1291">
        <v>117500</v>
      </c>
    </row>
    <row r="2142" spans="1:9" ht="15" customHeight="1">
      <c r="A2142" s="1253">
        <v>43914</v>
      </c>
      <c r="B2142" s="1209">
        <v>6250</v>
      </c>
      <c r="C2142" s="1210">
        <v>13450</v>
      </c>
      <c r="D2142" s="1230">
        <v>13385</v>
      </c>
      <c r="E2142" s="1212">
        <f t="shared" si="336"/>
        <v>-65</v>
      </c>
      <c r="F2142" s="1211">
        <f t="shared" ref="F2142" si="381">C2142-C2141</f>
        <v>-525</v>
      </c>
      <c r="G2142" s="1215"/>
      <c r="H2142" s="1269"/>
      <c r="I2142" s="1291">
        <v>118000</v>
      </c>
    </row>
    <row r="2143" spans="1:9" ht="15" customHeight="1">
      <c r="A2143" s="1253">
        <v>43915</v>
      </c>
      <c r="B2143" s="1209">
        <v>6175</v>
      </c>
      <c r="C2143" s="1210">
        <v>13720</v>
      </c>
      <c r="D2143" s="1230">
        <v>13680</v>
      </c>
      <c r="E2143" s="1212">
        <f t="shared" si="336"/>
        <v>-40</v>
      </c>
      <c r="F2143" s="1211">
        <f t="shared" ref="F2143" si="382">C2143-C2142</f>
        <v>270</v>
      </c>
      <c r="G2143" s="1215"/>
      <c r="H2143" s="1269"/>
      <c r="I2143" s="1291">
        <v>120500</v>
      </c>
    </row>
    <row r="2144" spans="1:9" ht="15" customHeight="1">
      <c r="A2144" s="1253">
        <v>43916</v>
      </c>
      <c r="B2144" s="1209">
        <v>6175</v>
      </c>
      <c r="C2144" s="1210">
        <v>14135</v>
      </c>
      <c r="D2144" s="1230">
        <v>14090</v>
      </c>
      <c r="E2144" s="1212">
        <f t="shared" si="336"/>
        <v>-45</v>
      </c>
      <c r="F2144" s="1211">
        <f t="shared" ref="F2144" si="383">C2144-C2143</f>
        <v>415</v>
      </c>
      <c r="G2144" s="1215"/>
      <c r="H2144" s="1269"/>
      <c r="I2144" s="1291">
        <v>121500</v>
      </c>
    </row>
    <row r="2145" spans="1:9" ht="15" customHeight="1">
      <c r="A2145" s="1253">
        <v>43917</v>
      </c>
      <c r="B2145" s="1209">
        <v>6475</v>
      </c>
      <c r="C2145" s="1210">
        <v>14355</v>
      </c>
      <c r="D2145" s="1230">
        <v>14320</v>
      </c>
      <c r="E2145" s="1212">
        <f t="shared" ref="E2145:E2154" si="384">D2145-C2145</f>
        <v>-35</v>
      </c>
      <c r="F2145" s="1211">
        <f t="shared" ref="F2145" si="385">C2145-C2144</f>
        <v>220</v>
      </c>
      <c r="G2145" s="1215"/>
      <c r="H2145" s="1269"/>
      <c r="I2145" s="1291">
        <v>122250</v>
      </c>
    </row>
    <row r="2146" spans="1:9" ht="15" customHeight="1">
      <c r="A2146" s="1253">
        <v>43920</v>
      </c>
      <c r="B2146" s="1209">
        <v>6415</v>
      </c>
      <c r="C2146" s="1210">
        <v>14305</v>
      </c>
      <c r="D2146" s="1230">
        <v>14260</v>
      </c>
      <c r="E2146" s="1212">
        <f t="shared" si="384"/>
        <v>-45</v>
      </c>
      <c r="F2146" s="1211">
        <f t="shared" ref="F2146" si="386">C2146-C2145</f>
        <v>-50</v>
      </c>
      <c r="G2146" s="1215"/>
      <c r="H2146" s="1269"/>
      <c r="I2146" s="1291">
        <v>122000</v>
      </c>
    </row>
    <row r="2147" spans="1:9" ht="15" customHeight="1">
      <c r="A2147" s="1253">
        <v>43921</v>
      </c>
      <c r="B2147" s="1209">
        <v>6245</v>
      </c>
      <c r="C2147" s="1210">
        <v>14401</v>
      </c>
      <c r="D2147" s="1230">
        <v>14360</v>
      </c>
      <c r="E2147" s="1212">
        <f t="shared" si="384"/>
        <v>-41</v>
      </c>
      <c r="F2147" s="1211">
        <f t="shared" ref="F2147" si="387">C2147-C2146</f>
        <v>96</v>
      </c>
      <c r="G2147" s="1227">
        <f>AVERAGE($C$2126:C2147)</f>
        <v>15321.40909090909</v>
      </c>
      <c r="H2147" s="1274">
        <f>AVERAGE($C$2084:C2147)</f>
        <v>16277.59375</v>
      </c>
      <c r="I2147" s="1291">
        <v>124750</v>
      </c>
    </row>
    <row r="2148" spans="1:9" ht="15" customHeight="1">
      <c r="A2148" s="1253">
        <v>43922</v>
      </c>
      <c r="B2148" s="1209">
        <v>6205</v>
      </c>
      <c r="C2148" s="1210">
        <v>14591</v>
      </c>
      <c r="D2148" s="1230">
        <v>14465</v>
      </c>
      <c r="E2148" s="1212">
        <f t="shared" si="384"/>
        <v>-126</v>
      </c>
      <c r="F2148" s="1211">
        <f t="shared" ref="F2148" si="388">C2148-C2147</f>
        <v>190</v>
      </c>
      <c r="G2148" s="1215"/>
      <c r="H2148" s="1269"/>
      <c r="I2148" s="1291">
        <v>125750</v>
      </c>
    </row>
    <row r="2149" spans="1:9" ht="15" customHeight="1">
      <c r="A2149" s="1253">
        <v>43923</v>
      </c>
      <c r="B2149" s="1209">
        <v>6100</v>
      </c>
      <c r="C2149" s="1210">
        <v>14550</v>
      </c>
      <c r="D2149" s="1230">
        <v>14450</v>
      </c>
      <c r="E2149" s="1212">
        <f t="shared" si="384"/>
        <v>-100</v>
      </c>
      <c r="F2149" s="1211">
        <f t="shared" ref="F2149" si="389">C2149-C2148</f>
        <v>-41</v>
      </c>
      <c r="G2149" s="1215"/>
      <c r="H2149" s="1269"/>
      <c r="I2149" s="1291">
        <v>124750</v>
      </c>
    </row>
    <row r="2150" spans="1:9" ht="15" customHeight="1">
      <c r="A2150" s="1253">
        <v>43924</v>
      </c>
      <c r="B2150" s="1209">
        <v>7590</v>
      </c>
      <c r="C2150" s="1210">
        <v>14465</v>
      </c>
      <c r="D2150" s="1230">
        <v>14370</v>
      </c>
      <c r="E2150" s="1212">
        <f t="shared" si="384"/>
        <v>-95</v>
      </c>
      <c r="F2150" s="1211">
        <f t="shared" ref="F2150" si="390">C2150-C2149</f>
        <v>-85</v>
      </c>
      <c r="G2150" s="1215"/>
      <c r="H2150" s="1269"/>
      <c r="I2150" s="1291">
        <v>124750</v>
      </c>
    </row>
    <row r="2151" spans="1:9" ht="15" customHeight="1">
      <c r="A2151" s="1253">
        <v>43927</v>
      </c>
      <c r="B2151" s="1209">
        <v>7475</v>
      </c>
      <c r="C2151" s="1210">
        <v>14407</v>
      </c>
      <c r="D2151" s="1230">
        <v>14295</v>
      </c>
      <c r="E2151" s="1212">
        <f t="shared" si="384"/>
        <v>-112</v>
      </c>
      <c r="F2151" s="1211">
        <f t="shared" ref="F2151" si="391">C2151-C2150</f>
        <v>-58</v>
      </c>
      <c r="G2151" s="1215"/>
      <c r="H2151" s="1269"/>
      <c r="I2151" s="1291"/>
    </row>
    <row r="2152" spans="1:9" ht="15" customHeight="1">
      <c r="A2152" s="1253">
        <v>43928</v>
      </c>
      <c r="B2152" s="1209">
        <v>7400</v>
      </c>
      <c r="C2152" s="1210">
        <v>14929</v>
      </c>
      <c r="D2152" s="1230">
        <v>14770</v>
      </c>
      <c r="E2152" s="1212">
        <f t="shared" si="384"/>
        <v>-159</v>
      </c>
      <c r="F2152" s="1211">
        <f t="shared" ref="F2152" si="392">C2152-C2151</f>
        <v>522</v>
      </c>
      <c r="G2152" s="1215"/>
      <c r="H2152" s="1269"/>
      <c r="I2152" s="1291">
        <v>126000</v>
      </c>
    </row>
    <row r="2153" spans="1:9" ht="15" customHeight="1">
      <c r="A2153" s="1253">
        <v>43929</v>
      </c>
      <c r="B2153" s="1209">
        <v>7360</v>
      </c>
      <c r="C2153" s="1210">
        <v>14667</v>
      </c>
      <c r="D2153" s="1230">
        <v>14608</v>
      </c>
      <c r="E2153" s="1212">
        <f t="shared" si="384"/>
        <v>-59</v>
      </c>
      <c r="F2153" s="1211">
        <f t="shared" ref="F2153" si="393">C2153-C2152</f>
        <v>-262</v>
      </c>
      <c r="G2153" s="1215"/>
      <c r="H2153" s="1269"/>
      <c r="I2153" s="1291">
        <v>125750</v>
      </c>
    </row>
    <row r="2154" spans="1:9" ht="15" customHeight="1">
      <c r="A2154" s="1253">
        <v>43930</v>
      </c>
      <c r="B2154" s="1209">
        <v>7245</v>
      </c>
      <c r="C2154" s="1210">
        <v>15171</v>
      </c>
      <c r="D2154" s="1230">
        <v>15058</v>
      </c>
      <c r="E2154" s="1212">
        <f t="shared" si="384"/>
        <v>-113</v>
      </c>
      <c r="F2154" s="1211">
        <f t="shared" ref="F2154" si="394">C2154-C2153</f>
        <v>504</v>
      </c>
      <c r="G2154" s="1215"/>
      <c r="H2154" s="1269"/>
      <c r="I2154" s="1291">
        <v>127000</v>
      </c>
    </row>
    <row r="2155" spans="1:9" ht="15" customHeight="1">
      <c r="A2155" s="1253">
        <v>43931</v>
      </c>
      <c r="B2155" s="1438" t="s">
        <v>61</v>
      </c>
      <c r="C2155" s="1438"/>
      <c r="D2155" s="1438"/>
      <c r="E2155" s="1438"/>
      <c r="F2155" s="1438"/>
      <c r="G2155" s="1215"/>
      <c r="H2155" s="1269"/>
      <c r="I2155" s="1291">
        <v>129500</v>
      </c>
    </row>
    <row r="2156" spans="1:9" ht="15" customHeight="1">
      <c r="A2156" s="1253">
        <v>43934</v>
      </c>
      <c r="B2156" s="1438"/>
      <c r="C2156" s="1438"/>
      <c r="D2156" s="1438"/>
      <c r="E2156" s="1438"/>
      <c r="F2156" s="1438"/>
      <c r="G2156" s="1215"/>
      <c r="H2156" s="1269"/>
      <c r="I2156" s="1291">
        <v>131000</v>
      </c>
    </row>
    <row r="2157" spans="1:9" ht="15" customHeight="1">
      <c r="A2157" s="1253">
        <v>43935</v>
      </c>
      <c r="B2157" s="1209">
        <v>7095</v>
      </c>
      <c r="C2157" s="1210">
        <v>15425</v>
      </c>
      <c r="D2157" s="1230">
        <v>15353</v>
      </c>
      <c r="E2157" s="1212">
        <f t="shared" ref="E2157:E2174" si="395">D2157-C2157</f>
        <v>-72</v>
      </c>
      <c r="F2157" s="1211">
        <f>C2157-C2154</f>
        <v>254</v>
      </c>
      <c r="G2157" s="1215"/>
      <c r="H2157" s="1269"/>
      <c r="I2157" s="1291">
        <v>131750</v>
      </c>
    </row>
    <row r="2158" spans="1:9" ht="15" customHeight="1">
      <c r="A2158" s="1253">
        <v>43936</v>
      </c>
      <c r="B2158" s="1209">
        <v>6770</v>
      </c>
      <c r="C2158" s="1210">
        <v>15340</v>
      </c>
      <c r="D2158" s="1230">
        <v>15273</v>
      </c>
      <c r="E2158" s="1212">
        <f t="shared" si="395"/>
        <v>-67</v>
      </c>
      <c r="F2158" s="1211">
        <f t="shared" ref="F2158" si="396">C2158-C2157</f>
        <v>-85</v>
      </c>
      <c r="G2158" s="1215"/>
      <c r="H2158" s="1269"/>
      <c r="I2158" s="1291">
        <v>131250</v>
      </c>
    </row>
    <row r="2159" spans="1:9" ht="15" customHeight="1">
      <c r="A2159" s="1253">
        <v>43937</v>
      </c>
      <c r="B2159" s="1209">
        <v>6675</v>
      </c>
      <c r="C2159" s="1210">
        <v>15175</v>
      </c>
      <c r="D2159" s="1230">
        <v>15105</v>
      </c>
      <c r="E2159" s="1212">
        <f t="shared" si="395"/>
        <v>-70</v>
      </c>
      <c r="F2159" s="1211">
        <f t="shared" ref="F2159" si="397">C2159-C2158</f>
        <v>-165</v>
      </c>
      <c r="G2159" s="1215"/>
      <c r="H2159" s="1269"/>
      <c r="I2159" s="1291">
        <v>130500</v>
      </c>
    </row>
    <row r="2160" spans="1:9" ht="15" customHeight="1">
      <c r="A2160" s="1253">
        <v>43938</v>
      </c>
      <c r="B2160" s="1209">
        <v>6590</v>
      </c>
      <c r="C2160" s="1210">
        <v>15203</v>
      </c>
      <c r="D2160" s="1230">
        <v>15167</v>
      </c>
      <c r="E2160" s="1212">
        <f t="shared" si="395"/>
        <v>-36</v>
      </c>
      <c r="F2160" s="1211">
        <f t="shared" ref="F2160" si="398">C2160-C2159</f>
        <v>28</v>
      </c>
      <c r="G2160" s="1215"/>
      <c r="H2160" s="1269"/>
      <c r="I2160" s="1291">
        <v>132250</v>
      </c>
    </row>
    <row r="2161" spans="1:11" ht="15" customHeight="1">
      <c r="A2161" s="1253">
        <v>43941</v>
      </c>
      <c r="B2161" s="1209">
        <v>6590</v>
      </c>
      <c r="C2161" s="1210">
        <v>15180</v>
      </c>
      <c r="D2161" s="1230">
        <v>15197</v>
      </c>
      <c r="E2161" s="1212">
        <f t="shared" si="395"/>
        <v>17</v>
      </c>
      <c r="F2161" s="1211">
        <f t="shared" ref="F2161" si="399">C2161-C2160</f>
        <v>-23</v>
      </c>
      <c r="G2161" s="1215"/>
      <c r="H2161" s="1269"/>
      <c r="I2161" s="1291">
        <v>132750</v>
      </c>
    </row>
    <row r="2162" spans="1:11" ht="15" customHeight="1">
      <c r="A2162" s="1253">
        <v>43942</v>
      </c>
      <c r="B2162" s="1209">
        <v>6405</v>
      </c>
      <c r="C2162" s="1210">
        <v>14730</v>
      </c>
      <c r="D2162" s="1230">
        <v>14790</v>
      </c>
      <c r="E2162" s="1212">
        <f t="shared" si="395"/>
        <v>60</v>
      </c>
      <c r="F2162" s="1211">
        <f t="shared" ref="F2162" si="400">C2162-C2161</f>
        <v>-450</v>
      </c>
      <c r="G2162" s="1215"/>
      <c r="H2162" s="1269"/>
      <c r="I2162" s="1291">
        <v>131250</v>
      </c>
    </row>
    <row r="2163" spans="1:11" ht="15" customHeight="1">
      <c r="A2163" s="1253">
        <v>43943</v>
      </c>
      <c r="B2163" s="1209">
        <v>6325</v>
      </c>
      <c r="C2163" s="1210">
        <v>14990</v>
      </c>
      <c r="D2163" s="1230">
        <v>14860</v>
      </c>
      <c r="E2163" s="1212">
        <f t="shared" si="395"/>
        <v>-130</v>
      </c>
      <c r="F2163" s="1211">
        <f t="shared" ref="F2163" si="401">C2163-C2162</f>
        <v>260</v>
      </c>
      <c r="G2163" s="1215"/>
      <c r="H2163" s="1269"/>
      <c r="I2163" s="1291">
        <v>129250</v>
      </c>
    </row>
    <row r="2164" spans="1:11" ht="15" customHeight="1">
      <c r="A2164" s="1253">
        <v>43944</v>
      </c>
      <c r="B2164" s="1209">
        <v>6325</v>
      </c>
      <c r="C2164" s="1210">
        <v>15185</v>
      </c>
      <c r="D2164" s="1230">
        <v>15050</v>
      </c>
      <c r="E2164" s="1212">
        <f t="shared" si="395"/>
        <v>-135</v>
      </c>
      <c r="F2164" s="1211">
        <f t="shared" ref="F2164" si="402">C2164-C2163</f>
        <v>195</v>
      </c>
      <c r="G2164" s="1215"/>
      <c r="H2164" s="1269"/>
      <c r="I2164" s="1291">
        <v>131000</v>
      </c>
    </row>
    <row r="2165" spans="1:11" ht="15" customHeight="1">
      <c r="A2165" s="1253">
        <v>43945</v>
      </c>
      <c r="B2165" s="1209">
        <v>6045</v>
      </c>
      <c r="C2165" s="1210">
        <v>15200</v>
      </c>
      <c r="D2165" s="1230">
        <v>15042</v>
      </c>
      <c r="E2165" s="1212">
        <f t="shared" si="395"/>
        <v>-158</v>
      </c>
      <c r="F2165" s="1211">
        <f t="shared" ref="F2165" si="403">C2165-C2164</f>
        <v>15</v>
      </c>
      <c r="G2165" s="1215"/>
      <c r="H2165" s="1269"/>
      <c r="I2165" s="1291">
        <v>132000</v>
      </c>
    </row>
    <row r="2166" spans="1:11" ht="15" customHeight="1">
      <c r="A2166" s="1253">
        <v>43948</v>
      </c>
      <c r="B2166" s="1209">
        <v>5965</v>
      </c>
      <c r="C2166" s="1210">
        <v>15511</v>
      </c>
      <c r="D2166" s="1230">
        <v>15430</v>
      </c>
      <c r="E2166" s="1212">
        <f t="shared" si="395"/>
        <v>-81</v>
      </c>
      <c r="F2166" s="1211">
        <f t="shared" ref="F2166" si="404">C2166-C2165</f>
        <v>311</v>
      </c>
      <c r="G2166" s="1215"/>
      <c r="H2166" s="1269"/>
      <c r="I2166" s="1291">
        <v>135250</v>
      </c>
      <c r="K2166" s="414"/>
    </row>
    <row r="2167" spans="1:11" ht="15" customHeight="1">
      <c r="A2167" s="1253">
        <v>43949</v>
      </c>
      <c r="B2167" s="1209">
        <v>5830</v>
      </c>
      <c r="C2167" s="1210">
        <v>15540</v>
      </c>
      <c r="D2167" s="1230">
        <v>15420</v>
      </c>
      <c r="E2167" s="1212">
        <f t="shared" si="395"/>
        <v>-120</v>
      </c>
      <c r="F2167" s="1211">
        <f t="shared" ref="F2167" si="405">C2167-C2166</f>
        <v>29</v>
      </c>
      <c r="G2167" s="1215"/>
      <c r="H2167" s="1269"/>
      <c r="I2167" s="1291">
        <v>134500</v>
      </c>
      <c r="K2167" s="414"/>
    </row>
    <row r="2168" spans="1:11" ht="15" customHeight="1">
      <c r="A2168" s="1253">
        <v>43950</v>
      </c>
      <c r="B2168" s="1209">
        <v>5715</v>
      </c>
      <c r="C2168" s="1210">
        <v>15327</v>
      </c>
      <c r="D2168" s="1230">
        <v>15255</v>
      </c>
      <c r="E2168" s="1212">
        <f t="shared" si="395"/>
        <v>-72</v>
      </c>
      <c r="F2168" s="1211">
        <f t="shared" ref="F2168:F2170" si="406">C2168-C2167</f>
        <v>-213</v>
      </c>
      <c r="G2168" s="1215"/>
      <c r="H2168" s="1269"/>
      <c r="I2168" s="1291">
        <v>134000</v>
      </c>
      <c r="K2168" s="414"/>
    </row>
    <row r="2169" spans="1:11" ht="15" customHeight="1">
      <c r="A2169" s="1253">
        <v>43951</v>
      </c>
      <c r="B2169" s="1209">
        <v>5690</v>
      </c>
      <c r="C2169" s="1210">
        <v>15201</v>
      </c>
      <c r="D2169" s="1230">
        <v>15017</v>
      </c>
      <c r="E2169" s="1212">
        <f t="shared" si="395"/>
        <v>-184</v>
      </c>
      <c r="F2169" s="1211">
        <f t="shared" si="406"/>
        <v>-126</v>
      </c>
      <c r="G2169" s="1227">
        <f>AVERAGE($C$2148:C2169)</f>
        <v>15039.35</v>
      </c>
      <c r="H2169" s="1274">
        <f>AVERAGE($C$2084:C2169)</f>
        <v>15982.773809523809</v>
      </c>
      <c r="I2169" s="1291">
        <v>133500</v>
      </c>
    </row>
    <row r="2170" spans="1:11" ht="15" customHeight="1">
      <c r="A2170" s="1253">
        <v>43952</v>
      </c>
      <c r="B2170" s="1209">
        <v>5375</v>
      </c>
      <c r="C2170" s="1210">
        <v>15169</v>
      </c>
      <c r="D2170" s="1230">
        <v>14897</v>
      </c>
      <c r="E2170" s="1212">
        <f t="shared" si="395"/>
        <v>-272</v>
      </c>
      <c r="F2170" s="1211">
        <f t="shared" si="406"/>
        <v>-32</v>
      </c>
      <c r="G2170" s="1215"/>
      <c r="H2170" s="1269"/>
      <c r="I2170" s="1433"/>
    </row>
    <row r="2171" spans="1:11" ht="15" customHeight="1">
      <c r="A2171" s="1253">
        <v>43955</v>
      </c>
      <c r="B2171" s="1209">
        <v>5270</v>
      </c>
      <c r="C2171" s="1210">
        <v>15265</v>
      </c>
      <c r="D2171" s="1230">
        <v>15138</v>
      </c>
      <c r="E2171" s="1212">
        <f t="shared" si="395"/>
        <v>-127</v>
      </c>
      <c r="F2171" s="1211">
        <f t="shared" ref="F2171:F2172" si="407">C2171-C2170</f>
        <v>96</v>
      </c>
      <c r="G2171" s="1215"/>
      <c r="H2171" s="1269"/>
      <c r="I2171" s="1433"/>
    </row>
    <row r="2172" spans="1:11" ht="15" customHeight="1">
      <c r="A2172" s="1253">
        <v>43956</v>
      </c>
      <c r="B2172" s="1209">
        <v>5100</v>
      </c>
      <c r="C2172" s="1210">
        <v>15380</v>
      </c>
      <c r="D2172" s="1230">
        <v>15223</v>
      </c>
      <c r="E2172" s="1212">
        <f t="shared" si="395"/>
        <v>-157</v>
      </c>
      <c r="F2172" s="1211">
        <f t="shared" si="407"/>
        <v>115</v>
      </c>
      <c r="G2172" s="1215"/>
      <c r="H2172" s="1269"/>
      <c r="I2172" s="1433"/>
    </row>
    <row r="2173" spans="1:11" ht="15" customHeight="1">
      <c r="A2173" s="1253">
        <v>43957</v>
      </c>
      <c r="B2173" s="1209">
        <v>5080</v>
      </c>
      <c r="C2173" s="1210">
        <v>15060</v>
      </c>
      <c r="D2173" s="1230">
        <v>15036</v>
      </c>
      <c r="E2173" s="1212">
        <f t="shared" si="395"/>
        <v>-24</v>
      </c>
      <c r="F2173" s="1211">
        <f t="shared" ref="F2173" si="408">C2173-C2172</f>
        <v>-320</v>
      </c>
      <c r="G2173" s="1215"/>
      <c r="H2173" s="1269"/>
      <c r="I2173" s="1291">
        <v>134500</v>
      </c>
    </row>
    <row r="2174" spans="1:11" ht="15" customHeight="1">
      <c r="A2174" s="1253">
        <v>43958</v>
      </c>
      <c r="B2174" s="1209">
        <v>4835</v>
      </c>
      <c r="C2174" s="1210">
        <v>15298</v>
      </c>
      <c r="D2174" s="1230">
        <v>15164</v>
      </c>
      <c r="E2174" s="1212">
        <f t="shared" si="395"/>
        <v>-134</v>
      </c>
      <c r="F2174" s="1211">
        <f t="shared" ref="F2174" si="409">C2174-C2173</f>
        <v>238</v>
      </c>
      <c r="G2174" s="1215"/>
      <c r="H2174" s="1269"/>
      <c r="I2174" s="1291">
        <v>134500</v>
      </c>
    </row>
    <row r="2175" spans="1:11" ht="15" customHeight="1">
      <c r="A2175" s="1253">
        <v>43959</v>
      </c>
      <c r="B2175" s="1438" t="s">
        <v>61</v>
      </c>
      <c r="C2175" s="1438"/>
      <c r="D2175" s="1438"/>
      <c r="E2175" s="1438"/>
      <c r="F2175" s="1438"/>
      <c r="G2175" s="1215"/>
      <c r="H2175" s="1269"/>
      <c r="I2175" s="1291">
        <v>134500</v>
      </c>
    </row>
    <row r="2176" spans="1:11" ht="15" customHeight="1">
      <c r="A2176" s="1253">
        <v>43962</v>
      </c>
      <c r="B2176" s="1221">
        <v>4745</v>
      </c>
      <c r="C2176" s="1210">
        <v>15400</v>
      </c>
      <c r="D2176" s="1230">
        <v>15210</v>
      </c>
      <c r="E2176" s="1212">
        <f t="shared" ref="E2176:E2185" si="410">D2176-C2176</f>
        <v>-190</v>
      </c>
      <c r="F2176" s="1211">
        <f>C2176-C2174</f>
        <v>102</v>
      </c>
      <c r="G2176" s="1215"/>
      <c r="H2176" s="1269"/>
      <c r="I2176" s="1291">
        <v>135500</v>
      </c>
    </row>
    <row r="2177" spans="1:9" ht="15" customHeight="1">
      <c r="A2177" s="1253">
        <v>43963</v>
      </c>
      <c r="B2177" s="1209">
        <v>4710</v>
      </c>
      <c r="C2177" s="1210">
        <v>15417</v>
      </c>
      <c r="D2177" s="1230">
        <v>15250</v>
      </c>
      <c r="E2177" s="1212">
        <f t="shared" si="410"/>
        <v>-167</v>
      </c>
      <c r="F2177" s="1211">
        <f t="shared" ref="F2177:F2182" si="411">C2177-C2176</f>
        <v>17</v>
      </c>
      <c r="G2177" s="1215"/>
      <c r="H2177" s="1269"/>
      <c r="I2177" s="1291">
        <v>135500</v>
      </c>
    </row>
    <row r="2178" spans="1:9" ht="15" customHeight="1">
      <c r="A2178" s="1253">
        <v>43964</v>
      </c>
      <c r="B2178" s="1209">
        <v>4725</v>
      </c>
      <c r="C2178" s="1210">
        <v>15385</v>
      </c>
      <c r="D2178" s="1230">
        <v>15154</v>
      </c>
      <c r="E2178" s="1212">
        <f t="shared" si="410"/>
        <v>-231</v>
      </c>
      <c r="F2178" s="1211">
        <f t="shared" si="411"/>
        <v>-32</v>
      </c>
      <c r="G2178" s="1215"/>
      <c r="H2178" s="1269"/>
      <c r="I2178" s="1291">
        <v>135000</v>
      </c>
    </row>
    <row r="2179" spans="1:9" ht="15" customHeight="1">
      <c r="A2179" s="1253">
        <v>43965</v>
      </c>
      <c r="B2179" s="1209">
        <v>4725</v>
      </c>
      <c r="C2179" s="1210">
        <v>15363</v>
      </c>
      <c r="D2179" s="1230">
        <v>15150</v>
      </c>
      <c r="E2179" s="1212">
        <f t="shared" si="410"/>
        <v>-213</v>
      </c>
      <c r="F2179" s="1211">
        <f t="shared" si="411"/>
        <v>-22</v>
      </c>
      <c r="G2179" s="1215"/>
      <c r="H2179" s="1269"/>
      <c r="I2179" s="1291">
        <v>135000</v>
      </c>
    </row>
    <row r="2180" spans="1:9" ht="15" customHeight="1">
      <c r="A2180" s="1253">
        <v>43966</v>
      </c>
      <c r="B2180" s="1209">
        <v>3540</v>
      </c>
      <c r="C2180" s="1210">
        <v>15250</v>
      </c>
      <c r="D2180" s="1230">
        <v>15036</v>
      </c>
      <c r="E2180" s="1212">
        <f t="shared" si="410"/>
        <v>-214</v>
      </c>
      <c r="F2180" s="1211">
        <f t="shared" si="411"/>
        <v>-113</v>
      </c>
      <c r="G2180" s="1215"/>
      <c r="H2180" s="1269"/>
      <c r="I2180" s="1291">
        <v>134750</v>
      </c>
    </row>
    <row r="2181" spans="1:9" ht="15" customHeight="1">
      <c r="A2181" s="1253">
        <v>43969</v>
      </c>
      <c r="B2181" s="1209">
        <v>3540</v>
      </c>
      <c r="C2181" s="1210">
        <v>15240</v>
      </c>
      <c r="D2181" s="1230">
        <v>15120</v>
      </c>
      <c r="E2181" s="1212">
        <f t="shared" si="410"/>
        <v>-120</v>
      </c>
      <c r="F2181" s="1211">
        <f t="shared" si="411"/>
        <v>-10</v>
      </c>
      <c r="G2181" s="1215"/>
      <c r="H2181" s="1269"/>
      <c r="I2181" s="1291">
        <v>134750</v>
      </c>
    </row>
    <row r="2182" spans="1:9" ht="15" customHeight="1">
      <c r="A2182" s="1253">
        <v>43970</v>
      </c>
      <c r="B2182" s="1209">
        <v>3500</v>
      </c>
      <c r="C2182" s="1210">
        <v>15405</v>
      </c>
      <c r="D2182" s="1230">
        <v>15225</v>
      </c>
      <c r="E2182" s="1212">
        <f t="shared" si="410"/>
        <v>-180</v>
      </c>
      <c r="F2182" s="1211">
        <f t="shared" si="411"/>
        <v>165</v>
      </c>
      <c r="G2182" s="1215"/>
      <c r="H2182" s="1269"/>
      <c r="I2182" s="1291">
        <v>135500</v>
      </c>
    </row>
    <row r="2183" spans="1:9" ht="15" customHeight="1">
      <c r="A2183" s="1253">
        <v>43971</v>
      </c>
      <c r="B2183" s="1209">
        <v>3465</v>
      </c>
      <c r="C2183" s="1210">
        <v>15483</v>
      </c>
      <c r="D2183" s="1230">
        <v>15336</v>
      </c>
      <c r="E2183" s="1212">
        <f t="shared" si="410"/>
        <v>-147</v>
      </c>
      <c r="F2183" s="1211">
        <f t="shared" ref="F2183" si="412">C2183-C2182</f>
        <v>78</v>
      </c>
      <c r="G2183" s="1215"/>
      <c r="H2183" s="1269"/>
      <c r="I2183" s="1291">
        <v>137000</v>
      </c>
    </row>
    <row r="2184" spans="1:9" ht="15" customHeight="1">
      <c r="A2184" s="1253">
        <v>43972</v>
      </c>
      <c r="B2184" s="1209">
        <v>3410</v>
      </c>
      <c r="C2184" s="1210">
        <v>15760</v>
      </c>
      <c r="D2184" s="1230">
        <v>15470</v>
      </c>
      <c r="E2184" s="1212">
        <f t="shared" si="410"/>
        <v>-290</v>
      </c>
      <c r="F2184" s="1211">
        <f t="shared" ref="F2184" si="413">C2184-C2183</f>
        <v>277</v>
      </c>
      <c r="G2184" s="1215"/>
      <c r="H2184" s="1269"/>
      <c r="I2184" s="1291">
        <v>138000</v>
      </c>
    </row>
    <row r="2185" spans="1:9" ht="15" customHeight="1">
      <c r="A2185" s="1253">
        <v>43973</v>
      </c>
      <c r="B2185" s="1209">
        <v>3330</v>
      </c>
      <c r="C2185" s="1210">
        <v>15495</v>
      </c>
      <c r="D2185" s="1230">
        <v>15260</v>
      </c>
      <c r="E2185" s="1212">
        <f t="shared" si="410"/>
        <v>-235</v>
      </c>
      <c r="F2185" s="1211">
        <f t="shared" ref="F2185" si="414">C2185-C2184</f>
        <v>-265</v>
      </c>
      <c r="G2185" s="1215"/>
      <c r="H2185" s="1269"/>
      <c r="I2185" s="1291">
        <v>137000</v>
      </c>
    </row>
    <row r="2186" spans="1:9" ht="15" customHeight="1">
      <c r="A2186" s="1253">
        <v>43976</v>
      </c>
      <c r="B2186" s="1434" t="s">
        <v>61</v>
      </c>
      <c r="C2186" s="1434"/>
      <c r="D2186" s="1434"/>
      <c r="E2186" s="1434"/>
      <c r="F2186" s="1434"/>
      <c r="G2186" s="1215"/>
      <c r="H2186" s="1269"/>
      <c r="I2186" s="1291">
        <v>137000</v>
      </c>
    </row>
    <row r="2187" spans="1:9" ht="15" customHeight="1">
      <c r="A2187" s="1253">
        <v>43977</v>
      </c>
      <c r="B2187" s="1209">
        <v>3190</v>
      </c>
      <c r="C2187" s="1210">
        <v>15590</v>
      </c>
      <c r="D2187" s="1230">
        <v>15375</v>
      </c>
      <c r="E2187" s="1212">
        <f t="shared" ref="E2187:E2250" si="415">D2187-C2187</f>
        <v>-215</v>
      </c>
      <c r="F2187" s="1211">
        <f>C2187-C2185</f>
        <v>95</v>
      </c>
      <c r="G2187" s="1215"/>
      <c r="H2187" s="1269"/>
      <c r="I2187" s="1291">
        <v>136750</v>
      </c>
    </row>
    <row r="2188" spans="1:9" ht="15" customHeight="1">
      <c r="A2188" s="1253">
        <v>43978</v>
      </c>
      <c r="B2188" s="1209">
        <v>2950</v>
      </c>
      <c r="C2188" s="1210">
        <v>15610</v>
      </c>
      <c r="D2188" s="1230">
        <v>15410</v>
      </c>
      <c r="E2188" s="1212">
        <f t="shared" si="415"/>
        <v>-200</v>
      </c>
      <c r="F2188" s="1211">
        <f>C2188-C2187</f>
        <v>20</v>
      </c>
      <c r="G2188" s="1215"/>
      <c r="H2188" s="1269"/>
      <c r="I2188" s="1291">
        <v>137250</v>
      </c>
    </row>
    <row r="2189" spans="1:9" ht="15" customHeight="1">
      <c r="A2189" s="1253">
        <v>43979</v>
      </c>
      <c r="B2189" s="1209">
        <v>2930</v>
      </c>
      <c r="C2189" s="1210">
        <v>15590</v>
      </c>
      <c r="D2189" s="1230">
        <v>15405</v>
      </c>
      <c r="E2189" s="1212">
        <f t="shared" si="415"/>
        <v>-185</v>
      </c>
      <c r="F2189" s="1211">
        <f t="shared" ref="F2189:F2190" si="416">C2189-C2188</f>
        <v>-20</v>
      </c>
      <c r="G2189" s="1215"/>
      <c r="H2189" s="1269"/>
      <c r="I2189" s="1291">
        <v>137250</v>
      </c>
    </row>
    <row r="2190" spans="1:9" ht="15" customHeight="1">
      <c r="A2190" s="1253">
        <v>43980</v>
      </c>
      <c r="B2190" s="1209">
        <v>2660</v>
      </c>
      <c r="C2190" s="1210">
        <v>15602</v>
      </c>
      <c r="D2190" s="1230">
        <v>15441</v>
      </c>
      <c r="E2190" s="1212">
        <f t="shared" si="415"/>
        <v>-161</v>
      </c>
      <c r="F2190" s="1211">
        <f t="shared" si="416"/>
        <v>12</v>
      </c>
      <c r="G2190" s="1227">
        <f>AVERAGE($C$2170:C2190)</f>
        <v>15408.526315789473</v>
      </c>
      <c r="H2190" s="1274">
        <f>AVERAGE($C$2084:C2190)</f>
        <v>15876.844660194174</v>
      </c>
      <c r="I2190" s="1291">
        <v>137500</v>
      </c>
    </row>
    <row r="2191" spans="1:9" ht="15" customHeight="1">
      <c r="A2191" s="1253">
        <v>43983</v>
      </c>
      <c r="B2191" s="1209">
        <v>2455</v>
      </c>
      <c r="C2191" s="1210">
        <v>15842</v>
      </c>
      <c r="D2191" s="1230">
        <v>15659</v>
      </c>
      <c r="E2191" s="1212">
        <f t="shared" si="415"/>
        <v>-183</v>
      </c>
      <c r="F2191" s="1211">
        <f t="shared" ref="F2191" si="417">C2191-C2190</f>
        <v>240</v>
      </c>
      <c r="G2191" s="1215"/>
      <c r="H2191" s="1269"/>
      <c r="I2191" s="1291">
        <v>138250</v>
      </c>
    </row>
    <row r="2192" spans="1:9" ht="15" customHeight="1">
      <c r="A2192" s="1253">
        <v>43984</v>
      </c>
      <c r="B2192" s="1209">
        <v>2425</v>
      </c>
      <c r="C2192" s="1210">
        <v>16010</v>
      </c>
      <c r="D2192" s="1230">
        <v>15785</v>
      </c>
      <c r="E2192" s="1212">
        <f t="shared" si="415"/>
        <v>-225</v>
      </c>
      <c r="F2192" s="1211">
        <f t="shared" ref="F2192" si="418">C2192-C2191</f>
        <v>168</v>
      </c>
      <c r="G2192" s="1215"/>
      <c r="H2192" s="1269"/>
      <c r="I2192" s="1291">
        <v>138750</v>
      </c>
    </row>
    <row r="2193" spans="1:9" ht="15" customHeight="1">
      <c r="A2193" s="1253">
        <v>43985</v>
      </c>
      <c r="B2193" s="1209">
        <v>2545</v>
      </c>
      <c r="C2193" s="1210">
        <v>16177</v>
      </c>
      <c r="D2193" s="1230">
        <v>15991</v>
      </c>
      <c r="E2193" s="1212">
        <f t="shared" si="415"/>
        <v>-186</v>
      </c>
      <c r="F2193" s="1211">
        <f t="shared" ref="F2193" si="419">C2193-C2192</f>
        <v>167</v>
      </c>
      <c r="G2193" s="1215"/>
      <c r="H2193" s="1269"/>
      <c r="I2193" s="1291">
        <v>139500</v>
      </c>
    </row>
    <row r="2194" spans="1:9" ht="15" customHeight="1">
      <c r="A2194" s="1253">
        <v>43986</v>
      </c>
      <c r="B2194" s="1209">
        <v>2520</v>
      </c>
      <c r="C2194" s="1210">
        <v>16180</v>
      </c>
      <c r="D2194" s="1230">
        <v>15950</v>
      </c>
      <c r="E2194" s="1212">
        <f t="shared" si="415"/>
        <v>-230</v>
      </c>
      <c r="F2194" s="1211">
        <f t="shared" ref="F2194" si="420">C2194-C2193</f>
        <v>3</v>
      </c>
      <c r="G2194" s="1215"/>
      <c r="H2194" s="1269"/>
      <c r="I2194" s="1291">
        <v>138500</v>
      </c>
    </row>
    <row r="2195" spans="1:9" ht="15" customHeight="1">
      <c r="A2195" s="1253">
        <v>43987</v>
      </c>
      <c r="B2195" s="1209">
        <v>2500</v>
      </c>
      <c r="C2195" s="1210">
        <v>16425</v>
      </c>
      <c r="D2195" s="1230">
        <v>16200</v>
      </c>
      <c r="E2195" s="1212">
        <f t="shared" si="415"/>
        <v>-225</v>
      </c>
      <c r="F2195" s="1211">
        <f t="shared" ref="F2195" si="421">C2195-C2194</f>
        <v>245</v>
      </c>
      <c r="G2195" s="1215"/>
      <c r="H2195" s="1269"/>
      <c r="I2195" s="1291">
        <v>138500</v>
      </c>
    </row>
    <row r="2196" spans="1:9" ht="15" customHeight="1">
      <c r="A2196" s="1253">
        <v>43990</v>
      </c>
      <c r="B2196" s="1209">
        <v>2500</v>
      </c>
      <c r="C2196" s="1210">
        <v>16760</v>
      </c>
      <c r="D2196" s="1230">
        <v>16530</v>
      </c>
      <c r="E2196" s="1212">
        <f t="shared" si="415"/>
        <v>-230</v>
      </c>
      <c r="F2196" s="1211">
        <f t="shared" ref="F2196" si="422">C2196-C2195</f>
        <v>335</v>
      </c>
      <c r="G2196" s="1215"/>
      <c r="H2196" s="1269"/>
      <c r="I2196" s="1291">
        <v>139750</v>
      </c>
    </row>
    <row r="2197" spans="1:9" ht="15" customHeight="1">
      <c r="A2197" s="1253">
        <v>43991</v>
      </c>
      <c r="B2197" s="1209">
        <v>2495</v>
      </c>
      <c r="C2197" s="1210">
        <v>16930</v>
      </c>
      <c r="D2197" s="1230">
        <v>16730</v>
      </c>
      <c r="E2197" s="1212">
        <f t="shared" si="415"/>
        <v>-200</v>
      </c>
      <c r="F2197" s="1211">
        <f t="shared" ref="F2197" si="423">C2197-C2196</f>
        <v>170</v>
      </c>
      <c r="G2197" s="1215"/>
      <c r="H2197" s="1269"/>
      <c r="I2197" s="1291">
        <v>140000</v>
      </c>
    </row>
    <row r="2198" spans="1:9" ht="15" customHeight="1">
      <c r="A2198" s="1253">
        <v>43992</v>
      </c>
      <c r="B2198" s="1209">
        <v>2705</v>
      </c>
      <c r="C2198" s="1210">
        <v>17285</v>
      </c>
      <c r="D2198" s="1230">
        <v>17100</v>
      </c>
      <c r="E2198" s="1212">
        <f t="shared" si="415"/>
        <v>-185</v>
      </c>
      <c r="F2198" s="1211">
        <f t="shared" ref="F2198" si="424">C2198-C2197</f>
        <v>355</v>
      </c>
      <c r="G2198" s="1215"/>
      <c r="H2198" s="1269"/>
      <c r="I2198" s="1291">
        <v>140250</v>
      </c>
    </row>
    <row r="2199" spans="1:9" ht="15" customHeight="1">
      <c r="A2199" s="1253">
        <v>43993</v>
      </c>
      <c r="B2199" s="1209">
        <v>3330</v>
      </c>
      <c r="C2199" s="1210">
        <v>16985</v>
      </c>
      <c r="D2199" s="1230">
        <v>16855</v>
      </c>
      <c r="E2199" s="1212">
        <f t="shared" si="415"/>
        <v>-130</v>
      </c>
      <c r="F2199" s="1211">
        <f t="shared" ref="F2199" si="425">C2199-C2198</f>
        <v>-300</v>
      </c>
      <c r="G2199" s="1215"/>
      <c r="H2199" s="1269"/>
      <c r="I2199" s="1291">
        <v>138250</v>
      </c>
    </row>
    <row r="2200" spans="1:9" ht="15" customHeight="1">
      <c r="A2200" s="1253">
        <v>43994</v>
      </c>
      <c r="B2200" s="1209">
        <v>3350</v>
      </c>
      <c r="C2200" s="1210">
        <v>17200</v>
      </c>
      <c r="D2200" s="1230">
        <v>17050</v>
      </c>
      <c r="E2200" s="1212">
        <f t="shared" si="415"/>
        <v>-150</v>
      </c>
      <c r="F2200" s="1211">
        <f t="shared" ref="F2200" si="426">C2200-C2199</f>
        <v>215</v>
      </c>
      <c r="G2200" s="1215"/>
      <c r="H2200" s="1269"/>
      <c r="I2200" s="1291">
        <v>139000</v>
      </c>
    </row>
    <row r="2201" spans="1:9" ht="15" customHeight="1">
      <c r="A2201" s="1253">
        <v>43997</v>
      </c>
      <c r="B2201" s="1209">
        <v>3365</v>
      </c>
      <c r="C2201" s="1210">
        <v>17110</v>
      </c>
      <c r="D2201" s="1230">
        <v>16870</v>
      </c>
      <c r="E2201" s="1212">
        <f t="shared" si="415"/>
        <v>-240</v>
      </c>
      <c r="F2201" s="1211">
        <f t="shared" ref="F2201" si="427">C2201-C2200</f>
        <v>-90</v>
      </c>
      <c r="G2201" s="1215"/>
      <c r="H2201" s="1269"/>
      <c r="I2201" s="1291">
        <v>139000</v>
      </c>
    </row>
    <row r="2202" spans="1:9" ht="15" customHeight="1">
      <c r="A2202" s="1253">
        <v>43998</v>
      </c>
      <c r="B2202" s="1209">
        <v>3285</v>
      </c>
      <c r="C2202" s="1210">
        <v>17235</v>
      </c>
      <c r="D2202" s="1230">
        <v>16940</v>
      </c>
      <c r="E2202" s="1212">
        <f t="shared" si="415"/>
        <v>-295</v>
      </c>
      <c r="F2202" s="1211">
        <f t="shared" ref="F2202" si="428">C2202-C2201</f>
        <v>125</v>
      </c>
      <c r="G2202" s="1215"/>
      <c r="H2202" s="1269"/>
      <c r="I2202" s="1291">
        <v>139250</v>
      </c>
    </row>
    <row r="2203" spans="1:9" ht="15" customHeight="1">
      <c r="A2203" s="1253">
        <v>43999</v>
      </c>
      <c r="B2203" s="1209">
        <v>3125</v>
      </c>
      <c r="C2203" s="1210">
        <v>17170</v>
      </c>
      <c r="D2203" s="1230">
        <v>16980</v>
      </c>
      <c r="E2203" s="1212">
        <f t="shared" si="415"/>
        <v>-190</v>
      </c>
      <c r="F2203" s="1211">
        <f t="shared" ref="F2203" si="429">C2203-C2202</f>
        <v>-65</v>
      </c>
      <c r="G2203" s="1215"/>
      <c r="H2203" s="1269"/>
      <c r="I2203" s="1291">
        <v>139500</v>
      </c>
    </row>
    <row r="2204" spans="1:9" ht="15" customHeight="1">
      <c r="A2204" s="1253">
        <v>44000</v>
      </c>
      <c r="B2204" s="1209">
        <v>3000</v>
      </c>
      <c r="C2204" s="1210">
        <v>17180</v>
      </c>
      <c r="D2204" s="1230">
        <v>17010</v>
      </c>
      <c r="E2204" s="1212">
        <f t="shared" si="415"/>
        <v>-170</v>
      </c>
      <c r="F2204" s="1211">
        <f t="shared" ref="F2204" si="430">C2204-C2203</f>
        <v>10</v>
      </c>
      <c r="G2204" s="1215"/>
      <c r="H2204" s="1269"/>
      <c r="I2204" s="1291">
        <v>139750</v>
      </c>
    </row>
    <row r="2205" spans="1:9" ht="15" customHeight="1">
      <c r="A2205" s="1253">
        <v>44001</v>
      </c>
      <c r="B2205" s="1209">
        <v>2935</v>
      </c>
      <c r="C2205" s="1210">
        <v>16858</v>
      </c>
      <c r="D2205" s="1230">
        <v>16730</v>
      </c>
      <c r="E2205" s="1212">
        <f t="shared" si="415"/>
        <v>-128</v>
      </c>
      <c r="F2205" s="1211">
        <f t="shared" ref="F2205" si="431">C2205-C2204</f>
        <v>-322</v>
      </c>
      <c r="G2205" s="1215"/>
      <c r="H2205" s="1269"/>
      <c r="I2205" s="1291">
        <v>139250</v>
      </c>
    </row>
    <row r="2206" spans="1:9" ht="15" customHeight="1">
      <c r="A2206" s="1253">
        <v>44004</v>
      </c>
      <c r="B2206" s="1209">
        <v>3005</v>
      </c>
      <c r="C2206" s="1210">
        <v>16930</v>
      </c>
      <c r="D2206" s="1230">
        <v>16822</v>
      </c>
      <c r="E2206" s="1212">
        <f t="shared" si="415"/>
        <v>-108</v>
      </c>
      <c r="F2206" s="1211">
        <f t="shared" ref="F2206" si="432">C2206-C2205</f>
        <v>72</v>
      </c>
      <c r="G2206" s="1215"/>
      <c r="H2206" s="1269"/>
      <c r="I2206" s="1291">
        <v>139500</v>
      </c>
    </row>
    <row r="2207" spans="1:9" ht="15" customHeight="1">
      <c r="A2207" s="1253">
        <v>44005</v>
      </c>
      <c r="B2207" s="1209">
        <v>2980</v>
      </c>
      <c r="C2207" s="1210">
        <v>17095</v>
      </c>
      <c r="D2207" s="1230">
        <v>16900</v>
      </c>
      <c r="E2207" s="1212">
        <f t="shared" si="415"/>
        <v>-195</v>
      </c>
      <c r="F2207" s="1211">
        <f t="shared" ref="F2207" si="433">C2207-C2206</f>
        <v>165</v>
      </c>
      <c r="G2207" s="1215"/>
      <c r="H2207" s="1269"/>
      <c r="I2207" s="1291">
        <v>139500</v>
      </c>
    </row>
    <row r="2208" spans="1:9" ht="15" customHeight="1">
      <c r="A2208" s="1253">
        <v>44006</v>
      </c>
      <c r="B2208" s="1209">
        <v>3570</v>
      </c>
      <c r="C2208" s="1210">
        <v>16829</v>
      </c>
      <c r="D2208" s="1230">
        <v>16739</v>
      </c>
      <c r="E2208" s="1212">
        <f t="shared" si="415"/>
        <v>-90</v>
      </c>
      <c r="F2208" s="1211">
        <f t="shared" ref="F2208" si="434">C2208-C2207</f>
        <v>-266</v>
      </c>
      <c r="G2208" s="1215"/>
      <c r="H2208" s="1269"/>
      <c r="I2208" s="1291">
        <v>139500</v>
      </c>
    </row>
    <row r="2209" spans="1:9" ht="15" customHeight="1">
      <c r="A2209" s="1253">
        <v>44007</v>
      </c>
      <c r="B2209" s="1209">
        <v>3585</v>
      </c>
      <c r="C2209" s="1210">
        <v>16720</v>
      </c>
      <c r="D2209" s="1230">
        <v>16610</v>
      </c>
      <c r="E2209" s="1212">
        <f t="shared" si="415"/>
        <v>-110</v>
      </c>
      <c r="F2209" s="1211">
        <f t="shared" ref="F2209" si="435">C2209-C2208</f>
        <v>-109</v>
      </c>
      <c r="G2209" s="1215"/>
      <c r="H2209" s="1269"/>
      <c r="I2209" s="1291">
        <v>139500</v>
      </c>
    </row>
    <row r="2210" spans="1:9" ht="15" customHeight="1">
      <c r="A2210" s="1253">
        <v>44008</v>
      </c>
      <c r="B2210" s="1209">
        <v>3585</v>
      </c>
      <c r="C2210" s="1210">
        <v>16990</v>
      </c>
      <c r="D2210" s="1230">
        <v>16799</v>
      </c>
      <c r="E2210" s="1212">
        <f t="shared" si="415"/>
        <v>-191</v>
      </c>
      <c r="F2210" s="1211">
        <f t="shared" ref="F2210" si="436">C2210-C2209</f>
        <v>270</v>
      </c>
      <c r="G2210" s="1215"/>
      <c r="H2210" s="1269"/>
      <c r="I2210" s="1291">
        <v>139500</v>
      </c>
    </row>
    <row r="2211" spans="1:9" ht="15" customHeight="1">
      <c r="A2211" s="1253">
        <v>44011</v>
      </c>
      <c r="B2211" s="1209">
        <v>3565</v>
      </c>
      <c r="C2211" s="1210">
        <v>16980</v>
      </c>
      <c r="D2211" s="1230">
        <v>16751</v>
      </c>
      <c r="E2211" s="1212">
        <f t="shared" si="415"/>
        <v>-229</v>
      </c>
      <c r="F2211" s="1211">
        <f t="shared" ref="F2211" si="437">C2211-C2210</f>
        <v>-10</v>
      </c>
      <c r="G2211" s="1215"/>
      <c r="H2211" s="1269"/>
      <c r="I2211" s="1291">
        <v>138750</v>
      </c>
    </row>
    <row r="2212" spans="1:9" ht="15" customHeight="1">
      <c r="A2212" s="1253">
        <v>44012</v>
      </c>
      <c r="B2212" s="1209">
        <v>3605</v>
      </c>
      <c r="C2212" s="1210">
        <v>16847</v>
      </c>
      <c r="D2212" s="1230">
        <v>16777</v>
      </c>
      <c r="E2212" s="1212">
        <f t="shared" si="415"/>
        <v>-70</v>
      </c>
      <c r="F2212" s="1211">
        <f t="shared" ref="F2212:F2213" si="438">C2212-C2211</f>
        <v>-133</v>
      </c>
      <c r="G2212" s="1227">
        <f>AVERAGE(C2191:C2212)</f>
        <v>16806.272727272728</v>
      </c>
      <c r="H2212" s="1274">
        <f>AVERAGE($C$2084:C2212)</f>
        <v>16040.424000000001</v>
      </c>
      <c r="I2212" s="1291">
        <v>139250</v>
      </c>
    </row>
    <row r="2213" spans="1:9" ht="15" customHeight="1">
      <c r="A2213" s="1253">
        <v>44013</v>
      </c>
      <c r="B2213" s="1209">
        <v>3530</v>
      </c>
      <c r="C2213" s="1210">
        <v>16920</v>
      </c>
      <c r="D2213" s="1230">
        <v>16795</v>
      </c>
      <c r="E2213" s="1212">
        <f t="shared" si="415"/>
        <v>-125</v>
      </c>
      <c r="F2213" s="1211">
        <f t="shared" si="438"/>
        <v>73</v>
      </c>
      <c r="G2213" s="1215"/>
      <c r="H2213" s="1269"/>
      <c r="I2213" s="1291">
        <v>139250</v>
      </c>
    </row>
    <row r="2214" spans="1:9" ht="15" customHeight="1">
      <c r="A2214" s="1253">
        <v>44014</v>
      </c>
      <c r="B2214" s="1209">
        <v>3480</v>
      </c>
      <c r="C2214" s="1210">
        <v>16960</v>
      </c>
      <c r="D2214" s="1230">
        <v>16850</v>
      </c>
      <c r="E2214" s="1212">
        <f t="shared" si="415"/>
        <v>-110</v>
      </c>
      <c r="F2214" s="1211">
        <f t="shared" ref="F2214" si="439">C2214-C2213</f>
        <v>40</v>
      </c>
      <c r="G2214" s="1215"/>
      <c r="H2214" s="1269"/>
      <c r="I2214" s="1291">
        <v>139250</v>
      </c>
    </row>
    <row r="2215" spans="1:9" ht="15" customHeight="1">
      <c r="A2215" s="1253">
        <v>44015</v>
      </c>
      <c r="B2215" s="1209">
        <v>3530</v>
      </c>
      <c r="C2215" s="1210">
        <v>16900</v>
      </c>
      <c r="D2215" s="1230">
        <v>16850</v>
      </c>
      <c r="E2215" s="1212">
        <f t="shared" si="415"/>
        <v>-50</v>
      </c>
      <c r="F2215" s="1211">
        <f t="shared" ref="F2215" si="440">C2215-C2214</f>
        <v>-60</v>
      </c>
      <c r="G2215" s="1215"/>
      <c r="H2215" s="1269"/>
      <c r="I2215" s="1291">
        <v>140250</v>
      </c>
    </row>
    <row r="2216" spans="1:9" ht="15" customHeight="1">
      <c r="A2216" s="1253">
        <v>44018</v>
      </c>
      <c r="B2216" s="1209">
        <v>3830</v>
      </c>
      <c r="C2216" s="1210">
        <v>17150</v>
      </c>
      <c r="D2216" s="1230">
        <v>17030</v>
      </c>
      <c r="E2216" s="1212">
        <f t="shared" si="415"/>
        <v>-120</v>
      </c>
      <c r="F2216" s="1211">
        <f t="shared" ref="F2216" si="441">C2216-C2215</f>
        <v>250</v>
      </c>
      <c r="G2216" s="1215"/>
      <c r="H2216" s="1269"/>
      <c r="I2216" s="1291">
        <v>140250</v>
      </c>
    </row>
    <row r="2217" spans="1:9" ht="15" customHeight="1">
      <c r="A2217" s="1253">
        <v>44019</v>
      </c>
      <c r="B2217" s="1209">
        <v>3880</v>
      </c>
      <c r="C2217" s="1210">
        <v>17110</v>
      </c>
      <c r="D2217" s="1230">
        <v>17060</v>
      </c>
      <c r="E2217" s="1212">
        <f t="shared" si="415"/>
        <v>-50</v>
      </c>
      <c r="F2217" s="1211">
        <f t="shared" ref="F2217" si="442">C2217-C2216</f>
        <v>-40</v>
      </c>
      <c r="G2217" s="1215"/>
      <c r="H2217" s="1269"/>
      <c r="I2217" s="1291">
        <v>141250</v>
      </c>
    </row>
    <row r="2218" spans="1:9" ht="15" customHeight="1">
      <c r="A2218" s="1253">
        <v>44020</v>
      </c>
      <c r="B2218" s="1209">
        <v>3895</v>
      </c>
      <c r="C2218" s="1210">
        <v>17126</v>
      </c>
      <c r="D2218" s="1230">
        <v>17026</v>
      </c>
      <c r="E2218" s="1212">
        <f t="shared" si="415"/>
        <v>-100</v>
      </c>
      <c r="F2218" s="1211">
        <f t="shared" ref="F2218" si="443">C2218-C2217</f>
        <v>16</v>
      </c>
      <c r="G2218" s="1215"/>
      <c r="H2218" s="1269"/>
      <c r="I2218" s="1291">
        <v>140750</v>
      </c>
    </row>
    <row r="2219" spans="1:9" ht="15" customHeight="1">
      <c r="A2219" s="1253">
        <v>44021</v>
      </c>
      <c r="B2219" s="1209">
        <v>3920</v>
      </c>
      <c r="C2219" s="1210">
        <v>17455</v>
      </c>
      <c r="D2219" s="1230">
        <v>17328</v>
      </c>
      <c r="E2219" s="1212">
        <f t="shared" si="415"/>
        <v>-127</v>
      </c>
      <c r="F2219" s="1211">
        <f t="shared" ref="F2219" si="444">C2219-C2218</f>
        <v>329</v>
      </c>
      <c r="G2219" s="1215"/>
      <c r="H2219" s="1269"/>
      <c r="I2219" s="1291">
        <v>140500</v>
      </c>
    </row>
    <row r="2220" spans="1:9" ht="15" customHeight="1">
      <c r="A2220" s="1253">
        <v>44022</v>
      </c>
      <c r="B2220" s="1209">
        <v>3975</v>
      </c>
      <c r="C2220" s="1210">
        <v>17080</v>
      </c>
      <c r="D2220" s="1230">
        <v>16958</v>
      </c>
      <c r="E2220" s="1212">
        <f t="shared" si="415"/>
        <v>-122</v>
      </c>
      <c r="F2220" s="1211">
        <f t="shared" ref="F2220" si="445">C2220-C2219</f>
        <v>-375</v>
      </c>
      <c r="G2220" s="1215"/>
      <c r="H2220" s="1269"/>
      <c r="I2220" s="1291">
        <v>140000</v>
      </c>
    </row>
    <row r="2221" spans="1:9" ht="15" customHeight="1">
      <c r="A2221" s="1253">
        <v>44025</v>
      </c>
      <c r="B2221" s="1209">
        <v>3965</v>
      </c>
      <c r="C2221" s="1210">
        <v>17377</v>
      </c>
      <c r="D2221" s="1230">
        <v>17278</v>
      </c>
      <c r="E2221" s="1212">
        <f t="shared" si="415"/>
        <v>-99</v>
      </c>
      <c r="F2221" s="1211">
        <f t="shared" ref="F2221" si="446">C2221-C2220</f>
        <v>297</v>
      </c>
      <c r="G2221" s="1215"/>
      <c r="H2221" s="1269"/>
      <c r="I2221" s="1291">
        <v>142250</v>
      </c>
    </row>
    <row r="2222" spans="1:9" ht="15" customHeight="1">
      <c r="A2222" s="1253">
        <v>44026</v>
      </c>
      <c r="B2222" s="1209">
        <v>3965</v>
      </c>
      <c r="C2222" s="1210">
        <v>17225</v>
      </c>
      <c r="D2222" s="1230">
        <v>17170</v>
      </c>
      <c r="E2222" s="1212">
        <f t="shared" si="415"/>
        <v>-55</v>
      </c>
      <c r="F2222" s="1211">
        <f t="shared" ref="F2222" si="447">C2222-C2221</f>
        <v>-152</v>
      </c>
      <c r="G2222" s="1215"/>
      <c r="H2222" s="1269"/>
      <c r="I2222" s="1291">
        <v>142000</v>
      </c>
    </row>
    <row r="2223" spans="1:9" ht="15" customHeight="1">
      <c r="A2223" s="1253">
        <v>44027</v>
      </c>
      <c r="B2223" s="1209">
        <v>3910</v>
      </c>
      <c r="C2223" s="1210">
        <v>17398</v>
      </c>
      <c r="D2223" s="1230">
        <v>17310</v>
      </c>
      <c r="E2223" s="1212">
        <f t="shared" si="415"/>
        <v>-88</v>
      </c>
      <c r="F2223" s="1211">
        <f t="shared" ref="F2223" si="448">C2223-C2222</f>
        <v>173</v>
      </c>
      <c r="G2223" s="1215"/>
      <c r="H2223" s="1269"/>
      <c r="I2223" s="1291">
        <v>141500</v>
      </c>
    </row>
    <row r="2224" spans="1:9" ht="15" customHeight="1">
      <c r="A2224" s="1253">
        <v>44028</v>
      </c>
      <c r="B2224" s="1209">
        <v>3855</v>
      </c>
      <c r="C2224" s="1210">
        <v>17270</v>
      </c>
      <c r="D2224" s="1230">
        <v>17200</v>
      </c>
      <c r="E2224" s="1212">
        <f t="shared" si="415"/>
        <v>-70</v>
      </c>
      <c r="F2224" s="1211">
        <f t="shared" ref="F2224" si="449">C2224-C2223</f>
        <v>-128</v>
      </c>
      <c r="G2224" s="1215"/>
      <c r="H2224" s="1269"/>
      <c r="I2224" s="1291">
        <v>140750</v>
      </c>
    </row>
    <row r="2225" spans="1:9" ht="15" customHeight="1">
      <c r="A2225" s="1253">
        <v>44029</v>
      </c>
      <c r="B2225" s="1209">
        <v>3835</v>
      </c>
      <c r="C2225" s="1210">
        <v>17400</v>
      </c>
      <c r="D2225" s="1230">
        <v>17340</v>
      </c>
      <c r="E2225" s="1212">
        <f t="shared" si="415"/>
        <v>-60</v>
      </c>
      <c r="F2225" s="1211">
        <f t="shared" ref="F2225" si="450">C2225-C2224</f>
        <v>130</v>
      </c>
      <c r="G2225" s="1215"/>
      <c r="H2225" s="1269"/>
      <c r="I2225" s="1291">
        <v>141000</v>
      </c>
    </row>
    <row r="2226" spans="1:9" ht="15" customHeight="1">
      <c r="A2226" s="1253">
        <v>44032</v>
      </c>
      <c r="B2226" s="1209">
        <v>4000</v>
      </c>
      <c r="C2226" s="1210">
        <v>17400</v>
      </c>
      <c r="D2226" s="1230">
        <v>17330</v>
      </c>
      <c r="E2226" s="1212">
        <f t="shared" si="415"/>
        <v>-70</v>
      </c>
      <c r="F2226" s="1211">
        <f t="shared" ref="F2226" si="451">C2226-C2225</f>
        <v>0</v>
      </c>
      <c r="G2226" s="1215"/>
      <c r="H2226" s="1269"/>
      <c r="I2226" s="1291">
        <v>140500</v>
      </c>
    </row>
    <row r="2227" spans="1:9" ht="15" customHeight="1">
      <c r="A2227" s="1253">
        <v>44033</v>
      </c>
      <c r="B2227" s="1209">
        <v>3980</v>
      </c>
      <c r="C2227" s="1210">
        <v>17485</v>
      </c>
      <c r="D2227" s="1230">
        <v>17465</v>
      </c>
      <c r="E2227" s="1212">
        <f t="shared" si="415"/>
        <v>-20</v>
      </c>
      <c r="F2227" s="1211">
        <f t="shared" ref="F2227" si="452">C2227-C2226</f>
        <v>85</v>
      </c>
      <c r="G2227" s="1215"/>
      <c r="H2227" s="1269"/>
      <c r="I2227" s="1291">
        <v>141000</v>
      </c>
    </row>
    <row r="2228" spans="1:9" ht="15" customHeight="1">
      <c r="A2228" s="1253">
        <v>44034</v>
      </c>
      <c r="B2228" s="1209">
        <v>3985</v>
      </c>
      <c r="C2228" s="1210">
        <v>17750</v>
      </c>
      <c r="D2228" s="1230">
        <v>17695</v>
      </c>
      <c r="E2228" s="1212">
        <f t="shared" si="415"/>
        <v>-55</v>
      </c>
      <c r="F2228" s="1211">
        <f t="shared" ref="F2228" si="453">C2228-C2227</f>
        <v>265</v>
      </c>
      <c r="G2228" s="1215"/>
      <c r="H2228" s="1269"/>
      <c r="I2228" s="1291">
        <v>142000</v>
      </c>
    </row>
    <row r="2229" spans="1:9" ht="15" customHeight="1">
      <c r="A2229" s="1253">
        <v>44035</v>
      </c>
      <c r="B2229" s="1209">
        <v>3970</v>
      </c>
      <c r="C2229" s="1210">
        <v>17762</v>
      </c>
      <c r="D2229" s="1230">
        <v>17703</v>
      </c>
      <c r="E2229" s="1212">
        <f t="shared" si="415"/>
        <v>-59</v>
      </c>
      <c r="F2229" s="1211">
        <f t="shared" ref="F2229" si="454">C2229-C2228</f>
        <v>12</v>
      </c>
      <c r="G2229" s="1215"/>
      <c r="H2229" s="1269"/>
      <c r="I2229" s="1291">
        <v>141000</v>
      </c>
    </row>
    <row r="2230" spans="1:9" ht="15" customHeight="1">
      <c r="A2230" s="1253">
        <v>44036</v>
      </c>
      <c r="B2230" s="1209">
        <v>3950</v>
      </c>
      <c r="C2230" s="1210">
        <v>17695</v>
      </c>
      <c r="D2230" s="1230">
        <v>17624</v>
      </c>
      <c r="E2230" s="1212">
        <f t="shared" si="415"/>
        <v>-71</v>
      </c>
      <c r="F2230" s="1211">
        <f t="shared" ref="F2230" si="455">C2230-C2229</f>
        <v>-67</v>
      </c>
      <c r="G2230" s="1215"/>
      <c r="H2230" s="1269"/>
      <c r="I2230" s="1291">
        <v>142250</v>
      </c>
    </row>
    <row r="2231" spans="1:9" ht="15" customHeight="1">
      <c r="A2231" s="1253">
        <v>44039</v>
      </c>
      <c r="B2231" s="1209">
        <v>3875</v>
      </c>
      <c r="C2231" s="1210">
        <v>17900</v>
      </c>
      <c r="D2231" s="1230">
        <v>17817</v>
      </c>
      <c r="E2231" s="1212">
        <f t="shared" si="415"/>
        <v>-83</v>
      </c>
      <c r="F2231" s="1211">
        <f t="shared" ref="F2231" si="456">C2231-C2230</f>
        <v>205</v>
      </c>
      <c r="G2231" s="1215"/>
      <c r="H2231" s="1269"/>
      <c r="I2231" s="1291">
        <v>143000</v>
      </c>
    </row>
    <row r="2232" spans="1:9" ht="15" customHeight="1">
      <c r="A2232" s="1253">
        <v>44040</v>
      </c>
      <c r="B2232" s="1209">
        <v>3825</v>
      </c>
      <c r="C2232" s="1210">
        <v>18000</v>
      </c>
      <c r="D2232" s="1230">
        <v>17960</v>
      </c>
      <c r="E2232" s="1212">
        <f t="shared" si="415"/>
        <v>-40</v>
      </c>
      <c r="F2232" s="1211">
        <f t="shared" ref="F2232" si="457">C2232-C2231</f>
        <v>100</v>
      </c>
      <c r="G2232" s="1215"/>
      <c r="H2232" s="1269"/>
      <c r="I2232" s="1291">
        <v>148000</v>
      </c>
    </row>
    <row r="2233" spans="1:9" ht="15" customHeight="1">
      <c r="A2233" s="1253">
        <v>44041</v>
      </c>
      <c r="B2233" s="1209">
        <v>3995</v>
      </c>
      <c r="C2233" s="1210">
        <v>18195</v>
      </c>
      <c r="D2233" s="1230">
        <v>18141</v>
      </c>
      <c r="E2233" s="1212">
        <f t="shared" si="415"/>
        <v>-54</v>
      </c>
      <c r="F2233" s="1211">
        <f t="shared" ref="F2233" si="458">C2233-C2232</f>
        <v>195</v>
      </c>
      <c r="G2233" s="1215"/>
      <c r="H2233" s="1269"/>
      <c r="I2233" s="1291">
        <v>148000</v>
      </c>
    </row>
    <row r="2234" spans="1:9" ht="15" customHeight="1">
      <c r="A2234" s="1253">
        <v>44042</v>
      </c>
      <c r="B2234" s="1209">
        <v>4015</v>
      </c>
      <c r="C2234" s="1210">
        <v>17920</v>
      </c>
      <c r="D2234" s="1230">
        <v>17884</v>
      </c>
      <c r="E2234" s="1212">
        <f t="shared" si="415"/>
        <v>-36</v>
      </c>
      <c r="F2234" s="1211">
        <f t="shared" ref="F2234" si="459">C2234-C2233</f>
        <v>-275</v>
      </c>
      <c r="G2234" s="1215"/>
      <c r="H2234" s="1269"/>
      <c r="I2234" s="1291">
        <v>147000</v>
      </c>
    </row>
    <row r="2235" spans="1:9" ht="15" customHeight="1">
      <c r="A2235" s="1253">
        <v>44043</v>
      </c>
      <c r="B2235" s="1209">
        <v>3895</v>
      </c>
      <c r="C2235" s="1210">
        <v>17880</v>
      </c>
      <c r="D2235" s="1230">
        <v>17822</v>
      </c>
      <c r="E2235" s="1212">
        <f t="shared" si="415"/>
        <v>-58</v>
      </c>
      <c r="F2235" s="1211">
        <f t="shared" ref="F2235" si="460">C2235-C2234</f>
        <v>-40</v>
      </c>
      <c r="G2235" s="1227">
        <f>AVERAGE($C$2213:C2235)</f>
        <v>17450.347826086956</v>
      </c>
      <c r="H2235" s="1274">
        <f>AVERAGE($C$2084:C2235)</f>
        <v>16259.533783783783</v>
      </c>
      <c r="I2235" s="1291">
        <v>145750</v>
      </c>
    </row>
    <row r="2236" spans="1:9" ht="15" customHeight="1">
      <c r="A2236" s="1253">
        <v>44046</v>
      </c>
      <c r="B2236" s="1209">
        <v>3875</v>
      </c>
      <c r="C2236" s="1210">
        <v>17958</v>
      </c>
      <c r="D2236" s="1230">
        <v>17922</v>
      </c>
      <c r="E2236" s="1212">
        <f t="shared" si="415"/>
        <v>-36</v>
      </c>
      <c r="F2236" s="1211">
        <f t="shared" ref="F2236:F2237" si="461">C2236-C2235</f>
        <v>78</v>
      </c>
      <c r="G2236" s="1215"/>
      <c r="H2236" s="1269"/>
      <c r="I2236" s="1291">
        <v>145250</v>
      </c>
    </row>
    <row r="2237" spans="1:9" ht="15" customHeight="1">
      <c r="A2237" s="1253">
        <v>44047</v>
      </c>
      <c r="B2237" s="1209">
        <v>3950</v>
      </c>
      <c r="C2237" s="1210">
        <v>17890</v>
      </c>
      <c r="D2237" s="1230">
        <v>17860</v>
      </c>
      <c r="E2237" s="1212">
        <f t="shared" si="415"/>
        <v>-30</v>
      </c>
      <c r="F2237" s="1211">
        <f t="shared" si="461"/>
        <v>-68</v>
      </c>
      <c r="G2237" s="1215"/>
      <c r="H2237" s="1269"/>
      <c r="I2237" s="1291">
        <v>145750</v>
      </c>
    </row>
    <row r="2238" spans="1:9" ht="15" customHeight="1">
      <c r="A2238" s="1253">
        <v>44048</v>
      </c>
      <c r="B2238" s="1209">
        <v>3990</v>
      </c>
      <c r="C2238" s="1210">
        <v>17960</v>
      </c>
      <c r="D2238" s="1230">
        <v>17932</v>
      </c>
      <c r="E2238" s="1212">
        <f t="shared" si="415"/>
        <v>-28</v>
      </c>
      <c r="F2238" s="1211">
        <f t="shared" ref="F2238" si="462">C2238-C2237</f>
        <v>70</v>
      </c>
      <c r="G2238" s="1215"/>
      <c r="H2238" s="1269"/>
      <c r="I2238" s="1291">
        <v>145500</v>
      </c>
    </row>
    <row r="2239" spans="1:9" ht="15" customHeight="1">
      <c r="A2239" s="1253">
        <v>44049</v>
      </c>
      <c r="B2239" s="1209">
        <v>4000</v>
      </c>
      <c r="C2239" s="1210">
        <v>17900</v>
      </c>
      <c r="D2239" s="1230">
        <v>17846</v>
      </c>
      <c r="E2239" s="1212">
        <f t="shared" si="415"/>
        <v>-54</v>
      </c>
      <c r="F2239" s="1211">
        <f t="shared" ref="F2239" si="463">C2239-C2238</f>
        <v>-60</v>
      </c>
      <c r="G2239" s="1215"/>
      <c r="H2239" s="1269"/>
      <c r="I2239" s="1291">
        <v>145250</v>
      </c>
    </row>
    <row r="2240" spans="1:9" ht="15" customHeight="1">
      <c r="A2240" s="1253">
        <v>44050</v>
      </c>
      <c r="B2240" s="1209">
        <v>4020</v>
      </c>
      <c r="C2240" s="1210">
        <v>17935</v>
      </c>
      <c r="D2240" s="1230">
        <v>17910</v>
      </c>
      <c r="E2240" s="1212">
        <f t="shared" si="415"/>
        <v>-25</v>
      </c>
      <c r="F2240" s="1211">
        <f t="shared" ref="F2240" si="464">C2240-C2239</f>
        <v>35</v>
      </c>
      <c r="G2240" s="1215"/>
      <c r="H2240" s="1269"/>
      <c r="I2240" s="1291">
        <v>147000</v>
      </c>
    </row>
    <row r="2241" spans="1:9" ht="15" customHeight="1">
      <c r="A2241" s="1253">
        <v>44053</v>
      </c>
      <c r="B2241" s="1209">
        <v>4095</v>
      </c>
      <c r="C2241" s="1210">
        <v>17700</v>
      </c>
      <c r="D2241" s="1230">
        <v>17675</v>
      </c>
      <c r="E2241" s="1212">
        <f t="shared" si="415"/>
        <v>-25</v>
      </c>
      <c r="F2241" s="1211">
        <f t="shared" ref="F2241" si="465">C2241-C2240</f>
        <v>-235</v>
      </c>
      <c r="G2241" s="1215"/>
      <c r="H2241" s="1269"/>
      <c r="I2241" s="1291">
        <v>144750</v>
      </c>
    </row>
    <row r="2242" spans="1:9" ht="15" customHeight="1">
      <c r="A2242" s="1253">
        <v>44054</v>
      </c>
      <c r="B2242" s="1209">
        <v>4095</v>
      </c>
      <c r="C2242" s="1210">
        <v>17700</v>
      </c>
      <c r="D2242" s="1230">
        <v>17660</v>
      </c>
      <c r="E2242" s="1212">
        <f t="shared" si="415"/>
        <v>-40</v>
      </c>
      <c r="F2242" s="1211">
        <f t="shared" ref="F2242" si="466">C2242-C2241</f>
        <v>0</v>
      </c>
      <c r="G2242" s="1215"/>
      <c r="H2242" s="1269"/>
      <c r="I2242" s="1291">
        <v>145000</v>
      </c>
    </row>
    <row r="2243" spans="1:9" ht="15" customHeight="1">
      <c r="A2243" s="1253">
        <v>44055</v>
      </c>
      <c r="B2243" s="1209">
        <v>4160</v>
      </c>
      <c r="C2243" s="1210">
        <v>17719</v>
      </c>
      <c r="D2243" s="1230">
        <v>17655</v>
      </c>
      <c r="E2243" s="1212">
        <f t="shared" si="415"/>
        <v>-64</v>
      </c>
      <c r="F2243" s="1211">
        <f t="shared" ref="F2243" si="467">C2243-C2242</f>
        <v>19</v>
      </c>
      <c r="G2243" s="1215"/>
      <c r="H2243" s="1269"/>
      <c r="I2243" s="1291">
        <v>143750</v>
      </c>
    </row>
    <row r="2244" spans="1:9" ht="15" customHeight="1">
      <c r="A2244" s="1253">
        <v>44056</v>
      </c>
      <c r="B2244" s="1209">
        <v>4170</v>
      </c>
      <c r="C2244" s="1210">
        <v>17655</v>
      </c>
      <c r="D2244" s="1230">
        <v>17588</v>
      </c>
      <c r="E2244" s="1212">
        <f t="shared" si="415"/>
        <v>-67</v>
      </c>
      <c r="F2244" s="1211">
        <f t="shared" ref="F2244" si="468">C2244-C2243</f>
        <v>-64</v>
      </c>
      <c r="G2244" s="1215"/>
      <c r="H2244" s="1269"/>
      <c r="I2244" s="1291">
        <v>142500</v>
      </c>
    </row>
    <row r="2245" spans="1:9" ht="15" customHeight="1">
      <c r="A2245" s="1253">
        <v>44057</v>
      </c>
      <c r="B2245" s="1209">
        <v>4275</v>
      </c>
      <c r="C2245" s="1210">
        <v>17665</v>
      </c>
      <c r="D2245" s="1230">
        <v>17645</v>
      </c>
      <c r="E2245" s="1212">
        <f t="shared" si="415"/>
        <v>-20</v>
      </c>
      <c r="F2245" s="1211">
        <f t="shared" ref="F2245:F2246" si="469">C2245-C2244</f>
        <v>10</v>
      </c>
      <c r="G2245" s="1215"/>
      <c r="H2245" s="1269"/>
      <c r="I2245" s="1291">
        <v>142750</v>
      </c>
    </row>
    <row r="2246" spans="1:9" ht="15" customHeight="1">
      <c r="A2246" s="1253">
        <v>44060</v>
      </c>
      <c r="B2246" s="1209">
        <v>5375</v>
      </c>
      <c r="C2246" s="1210">
        <v>17430</v>
      </c>
      <c r="D2246" s="1230">
        <v>17426</v>
      </c>
      <c r="E2246" s="1212">
        <f t="shared" si="415"/>
        <v>-4</v>
      </c>
      <c r="F2246" s="1211">
        <f t="shared" si="469"/>
        <v>-235</v>
      </c>
      <c r="G2246" s="1215"/>
      <c r="H2246" s="1269"/>
      <c r="I2246" s="1291">
        <v>143000</v>
      </c>
    </row>
    <row r="2247" spans="1:9" ht="15" customHeight="1">
      <c r="A2247" s="1253">
        <v>44061</v>
      </c>
      <c r="B2247" s="1209">
        <v>5310</v>
      </c>
      <c r="C2247" s="1210">
        <v>17480</v>
      </c>
      <c r="D2247" s="1230">
        <v>17485</v>
      </c>
      <c r="E2247" s="1212">
        <f t="shared" si="415"/>
        <v>5</v>
      </c>
      <c r="F2247" s="1211">
        <f t="shared" ref="F2247" si="470">C2247-C2246</f>
        <v>50</v>
      </c>
      <c r="G2247" s="1215"/>
      <c r="H2247" s="1269"/>
      <c r="I2247" s="1291">
        <v>143000</v>
      </c>
    </row>
    <row r="2248" spans="1:9" ht="15" customHeight="1">
      <c r="A2248" s="1253">
        <v>44062</v>
      </c>
      <c r="B2248" s="1209">
        <v>5285</v>
      </c>
      <c r="C2248" s="1210">
        <v>17560</v>
      </c>
      <c r="D2248" s="1230">
        <v>17575</v>
      </c>
      <c r="E2248" s="1212">
        <f t="shared" si="415"/>
        <v>15</v>
      </c>
      <c r="F2248" s="1211">
        <f t="shared" ref="F2248" si="471">C2248-C2247</f>
        <v>80</v>
      </c>
      <c r="G2248" s="1215"/>
      <c r="H2248" s="1269"/>
      <c r="I2248" s="1291">
        <v>142750</v>
      </c>
    </row>
    <row r="2249" spans="1:9" ht="15" customHeight="1">
      <c r="A2249" s="1253">
        <v>44063</v>
      </c>
      <c r="B2249" s="1209">
        <v>5240</v>
      </c>
      <c r="C2249" s="1210">
        <v>17580</v>
      </c>
      <c r="D2249" s="1230">
        <v>17570</v>
      </c>
      <c r="E2249" s="1212">
        <f t="shared" si="415"/>
        <v>-10</v>
      </c>
      <c r="F2249" s="1211">
        <f t="shared" ref="F2249" si="472">C2249-C2248</f>
        <v>20</v>
      </c>
      <c r="G2249" s="1215"/>
      <c r="H2249" s="1269"/>
      <c r="I2249" s="1291">
        <v>143250</v>
      </c>
    </row>
    <row r="2250" spans="1:9" ht="15" customHeight="1">
      <c r="A2250" s="1253">
        <v>44064</v>
      </c>
      <c r="B2250" s="1209">
        <v>5240</v>
      </c>
      <c r="C2250" s="1210">
        <v>17660</v>
      </c>
      <c r="D2250" s="1230">
        <v>17645</v>
      </c>
      <c r="E2250" s="1212">
        <f t="shared" si="415"/>
        <v>-15</v>
      </c>
      <c r="F2250" s="1211">
        <f t="shared" ref="F2250" si="473">C2250-C2249</f>
        <v>80</v>
      </c>
      <c r="G2250" s="1215"/>
      <c r="H2250" s="1269"/>
      <c r="I2250" s="1291">
        <v>143500</v>
      </c>
    </row>
    <row r="2251" spans="1:9" ht="15" customHeight="1">
      <c r="A2251" s="1253">
        <v>44067</v>
      </c>
      <c r="B2251" s="1209">
        <v>5235</v>
      </c>
      <c r="C2251" s="1210">
        <v>17170</v>
      </c>
      <c r="D2251" s="1230">
        <v>17205</v>
      </c>
      <c r="E2251" s="1212">
        <f t="shared" ref="E2251:E2255" si="474">D2251-C2251</f>
        <v>35</v>
      </c>
      <c r="F2251" s="1211">
        <f t="shared" ref="F2251" si="475">C2251-C2250</f>
        <v>-490</v>
      </c>
      <c r="G2251" s="1215"/>
      <c r="H2251" s="1269"/>
      <c r="I2251" s="1291">
        <v>141750</v>
      </c>
    </row>
    <row r="2252" spans="1:9" ht="15" customHeight="1">
      <c r="A2252" s="1253">
        <v>44068</v>
      </c>
      <c r="B2252" s="1209">
        <v>5205</v>
      </c>
      <c r="C2252" s="1210">
        <v>17435</v>
      </c>
      <c r="D2252" s="1230">
        <v>17365</v>
      </c>
      <c r="E2252" s="1212">
        <f t="shared" si="474"/>
        <v>-70</v>
      </c>
      <c r="F2252" s="1211">
        <f t="shared" ref="F2252" si="476">C2252-C2251</f>
        <v>265</v>
      </c>
      <c r="G2252" s="1215"/>
      <c r="H2252" s="1269"/>
      <c r="I2252" s="1291">
        <v>141750</v>
      </c>
    </row>
    <row r="2253" spans="1:9" ht="15" customHeight="1">
      <c r="A2253" s="1253">
        <v>44069</v>
      </c>
      <c r="B2253" s="1209">
        <v>5215</v>
      </c>
      <c r="C2253" s="1210">
        <v>17550</v>
      </c>
      <c r="D2253" s="1230">
        <v>17517</v>
      </c>
      <c r="E2253" s="1212">
        <f t="shared" si="474"/>
        <v>-33</v>
      </c>
      <c r="F2253" s="1211">
        <f t="shared" ref="F2253" si="477">C2253-C2252</f>
        <v>115</v>
      </c>
      <c r="G2253" s="1215"/>
      <c r="H2253" s="1269"/>
      <c r="I2253" s="1291">
        <v>141750</v>
      </c>
    </row>
    <row r="2254" spans="1:9" ht="15" customHeight="1">
      <c r="A2254" s="1253">
        <v>44070</v>
      </c>
      <c r="B2254" s="1209">
        <v>5215</v>
      </c>
      <c r="C2254" s="1210">
        <v>17690</v>
      </c>
      <c r="D2254" s="1230">
        <v>17680</v>
      </c>
      <c r="E2254" s="1212">
        <f t="shared" si="474"/>
        <v>-10</v>
      </c>
      <c r="F2254" s="1211">
        <f t="shared" ref="F2254" si="478">C2254-C2253</f>
        <v>140</v>
      </c>
      <c r="G2254" s="1215"/>
      <c r="H2254" s="1269"/>
      <c r="I2254" s="1291">
        <v>143000</v>
      </c>
    </row>
    <row r="2255" spans="1:9" ht="15" customHeight="1">
      <c r="A2255" s="1253">
        <v>44071</v>
      </c>
      <c r="B2255" s="1209">
        <v>5265</v>
      </c>
      <c r="C2255" s="1210">
        <v>17801</v>
      </c>
      <c r="D2255" s="1230">
        <v>17774</v>
      </c>
      <c r="E2255" s="1212">
        <f t="shared" si="474"/>
        <v>-27</v>
      </c>
      <c r="F2255" s="1211">
        <f t="shared" ref="F2255" si="479">C2255-C2254</f>
        <v>111</v>
      </c>
      <c r="G2255" s="1215"/>
      <c r="H2255" s="1269"/>
      <c r="I2255" s="1291">
        <v>143500</v>
      </c>
    </row>
    <row r="2256" spans="1:9" ht="15" customHeight="1">
      <c r="A2256" s="1253">
        <v>44074</v>
      </c>
      <c r="B2256" s="1434" t="s">
        <v>61</v>
      </c>
      <c r="C2256" s="1434"/>
      <c r="D2256" s="1434"/>
      <c r="E2256" s="1434"/>
      <c r="F2256" s="1434"/>
      <c r="G2256" s="1227">
        <f>AVERAGE($C$2236:C2256)</f>
        <v>17671.900000000001</v>
      </c>
      <c r="H2256" s="1274">
        <f>AVERAGE($C$2084:C2256)</f>
        <v>16427.672619047618</v>
      </c>
      <c r="I2256" s="1291">
        <v>144750</v>
      </c>
    </row>
    <row r="2257" spans="1:9" ht="15" customHeight="1">
      <c r="A2257" s="1253">
        <v>44075</v>
      </c>
      <c r="B2257" s="1209">
        <v>5240</v>
      </c>
      <c r="C2257" s="1210">
        <v>18105</v>
      </c>
      <c r="D2257" s="1230">
        <v>18077</v>
      </c>
      <c r="E2257" s="1212">
        <f t="shared" ref="E2257:E2320" si="480">D2257-C2257</f>
        <v>-28</v>
      </c>
      <c r="F2257" s="1211">
        <f>C2257-C2255</f>
        <v>304</v>
      </c>
      <c r="G2257" s="1215"/>
      <c r="H2257" s="1269"/>
      <c r="I2257" s="1291">
        <v>144750</v>
      </c>
    </row>
    <row r="2258" spans="1:9" ht="15" customHeight="1">
      <c r="A2258" s="1253">
        <v>44076</v>
      </c>
      <c r="B2258" s="1209">
        <v>5240</v>
      </c>
      <c r="C2258" s="1210">
        <v>18200</v>
      </c>
      <c r="D2258" s="1230">
        <v>18160</v>
      </c>
      <c r="E2258" s="1212">
        <f t="shared" si="480"/>
        <v>-40</v>
      </c>
      <c r="F2258" s="1211">
        <f t="shared" ref="F2258" si="481">C2258-C2257</f>
        <v>95</v>
      </c>
      <c r="G2258" s="1215"/>
      <c r="H2258" s="1269"/>
      <c r="I2258" s="1291">
        <v>145250</v>
      </c>
    </row>
    <row r="2259" spans="1:9" ht="15" customHeight="1">
      <c r="A2259" s="1253">
        <v>44077</v>
      </c>
      <c r="B2259" s="1209">
        <v>5295</v>
      </c>
      <c r="C2259" s="1210">
        <v>18420</v>
      </c>
      <c r="D2259" s="1230">
        <v>18379</v>
      </c>
      <c r="E2259" s="1212">
        <f t="shared" si="480"/>
        <v>-41</v>
      </c>
      <c r="F2259" s="1211">
        <f t="shared" ref="F2259" si="482">C2259-C2258</f>
        <v>220</v>
      </c>
      <c r="G2259" s="1215"/>
      <c r="H2259" s="1269"/>
      <c r="I2259" s="1291">
        <v>147000</v>
      </c>
    </row>
    <row r="2260" spans="1:9" ht="15" customHeight="1">
      <c r="A2260" s="1253">
        <v>44078</v>
      </c>
      <c r="B2260" s="1209">
        <v>5310</v>
      </c>
      <c r="C2260" s="1210">
        <v>18370</v>
      </c>
      <c r="D2260" s="1230">
        <v>18340</v>
      </c>
      <c r="E2260" s="1212">
        <f t="shared" si="480"/>
        <v>-30</v>
      </c>
      <c r="F2260" s="1211">
        <f t="shared" ref="F2260" si="483">C2260-C2259</f>
        <v>-50</v>
      </c>
      <c r="G2260" s="1215"/>
      <c r="H2260" s="1269"/>
      <c r="I2260" s="1291">
        <v>145000</v>
      </c>
    </row>
    <row r="2261" spans="1:9" ht="15" customHeight="1">
      <c r="A2261" s="1253">
        <v>44081</v>
      </c>
      <c r="B2261" s="1209">
        <v>5340</v>
      </c>
      <c r="C2261" s="1210">
        <v>18150</v>
      </c>
      <c r="D2261" s="1230">
        <v>18190</v>
      </c>
      <c r="E2261" s="1212">
        <f t="shared" si="480"/>
        <v>40</v>
      </c>
      <c r="F2261" s="1211">
        <f t="shared" ref="F2261" si="484">C2261-C2260</f>
        <v>-220</v>
      </c>
      <c r="G2261" s="1215"/>
      <c r="H2261" s="1269"/>
      <c r="I2261" s="1291">
        <v>146250</v>
      </c>
    </row>
    <row r="2262" spans="1:9" ht="15" customHeight="1">
      <c r="A2262" s="1253">
        <v>44082</v>
      </c>
      <c r="B2262" s="1209">
        <v>5530</v>
      </c>
      <c r="C2262" s="1210">
        <v>18215</v>
      </c>
      <c r="D2262" s="1230">
        <v>18230</v>
      </c>
      <c r="E2262" s="1212">
        <f t="shared" si="480"/>
        <v>15</v>
      </c>
      <c r="F2262" s="1211">
        <f t="shared" ref="F2262" si="485">C2262-C2261</f>
        <v>65</v>
      </c>
      <c r="G2262" s="1215"/>
      <c r="H2262" s="1269"/>
      <c r="I2262" s="1291">
        <v>147000</v>
      </c>
    </row>
    <row r="2263" spans="1:9" ht="15" customHeight="1">
      <c r="A2263" s="1253">
        <v>44083</v>
      </c>
      <c r="B2263" s="1209">
        <v>5485</v>
      </c>
      <c r="C2263" s="1210">
        <v>17940</v>
      </c>
      <c r="D2263" s="1230">
        <v>17960</v>
      </c>
      <c r="E2263" s="1212">
        <f t="shared" si="480"/>
        <v>20</v>
      </c>
      <c r="F2263" s="1211">
        <f t="shared" ref="F2263" si="486">C2263-C2262</f>
        <v>-275</v>
      </c>
      <c r="G2263" s="1215"/>
      <c r="H2263" s="1269"/>
      <c r="I2263" s="1291">
        <v>144750</v>
      </c>
    </row>
    <row r="2264" spans="1:9" ht="15" customHeight="1">
      <c r="A2264" s="1253">
        <v>44084</v>
      </c>
      <c r="B2264" s="1209">
        <v>5540</v>
      </c>
      <c r="C2264" s="1210">
        <v>18031</v>
      </c>
      <c r="D2264" s="1230">
        <v>18025</v>
      </c>
      <c r="E2264" s="1212">
        <f t="shared" si="480"/>
        <v>-6</v>
      </c>
      <c r="F2264" s="1211">
        <f t="shared" ref="F2264" si="487">C2264-C2263</f>
        <v>91</v>
      </c>
      <c r="G2264" s="1215"/>
      <c r="H2264" s="1269"/>
      <c r="I2264" s="1291">
        <v>144500</v>
      </c>
    </row>
    <row r="2265" spans="1:9" ht="15" customHeight="1">
      <c r="A2265" s="1253">
        <v>44085</v>
      </c>
      <c r="B2265" s="1209">
        <v>5540</v>
      </c>
      <c r="C2265" s="1210">
        <v>17885</v>
      </c>
      <c r="D2265" s="1230">
        <v>17925</v>
      </c>
      <c r="E2265" s="1212">
        <f t="shared" si="480"/>
        <v>40</v>
      </c>
      <c r="F2265" s="1211">
        <f t="shared" ref="F2265" si="488">C2265-C2264</f>
        <v>-146</v>
      </c>
      <c r="G2265" s="1215"/>
      <c r="H2265" s="1269"/>
      <c r="I2265" s="1291">
        <v>143500</v>
      </c>
    </row>
    <row r="2266" spans="1:9" ht="15" customHeight="1">
      <c r="A2266" s="1253">
        <v>44088</v>
      </c>
      <c r="B2266" s="1209">
        <v>5630</v>
      </c>
      <c r="C2266" s="1210">
        <v>18100</v>
      </c>
      <c r="D2266" s="1230">
        <v>18114</v>
      </c>
      <c r="E2266" s="1212">
        <f t="shared" si="480"/>
        <v>14</v>
      </c>
      <c r="F2266" s="1211">
        <f t="shared" ref="F2266" si="489">C2266-C2265</f>
        <v>215</v>
      </c>
      <c r="G2266" s="1215"/>
      <c r="H2266" s="1269"/>
      <c r="I2266" s="1291">
        <v>144750</v>
      </c>
    </row>
    <row r="2267" spans="1:9" ht="15" customHeight="1">
      <c r="A2267" s="1253">
        <v>44089</v>
      </c>
      <c r="B2267" s="1209">
        <v>5560</v>
      </c>
      <c r="C2267" s="1210">
        <v>18165</v>
      </c>
      <c r="D2267" s="1230">
        <v>18185</v>
      </c>
      <c r="E2267" s="1212">
        <f t="shared" si="480"/>
        <v>20</v>
      </c>
      <c r="F2267" s="1211">
        <f t="shared" ref="F2267:F2269" si="490">C2267-C2266</f>
        <v>65</v>
      </c>
      <c r="G2267" s="1215"/>
      <c r="H2267" s="1269"/>
      <c r="I2267" s="1291">
        <v>144750</v>
      </c>
    </row>
    <row r="2268" spans="1:9" ht="15" customHeight="1">
      <c r="A2268" s="1253">
        <v>44090</v>
      </c>
      <c r="B2268" s="1209">
        <v>5590</v>
      </c>
      <c r="C2268" s="1210">
        <v>18245</v>
      </c>
      <c r="D2268" s="1230">
        <v>18266</v>
      </c>
      <c r="E2268" s="1212">
        <f t="shared" si="480"/>
        <v>21</v>
      </c>
      <c r="F2268" s="1211">
        <f t="shared" si="490"/>
        <v>80</v>
      </c>
      <c r="G2268" s="1215"/>
      <c r="H2268" s="1269"/>
      <c r="I2268" s="1291">
        <v>145000</v>
      </c>
    </row>
    <row r="2269" spans="1:9" ht="15" customHeight="1">
      <c r="A2269" s="1253">
        <v>44091</v>
      </c>
      <c r="B2269" s="1209">
        <v>5550</v>
      </c>
      <c r="C2269" s="1210">
        <v>18150</v>
      </c>
      <c r="D2269" s="1230">
        <v>18159</v>
      </c>
      <c r="E2269" s="1212">
        <f t="shared" si="480"/>
        <v>9</v>
      </c>
      <c r="F2269" s="1211">
        <f t="shared" si="490"/>
        <v>-95</v>
      </c>
      <c r="G2269" s="1215"/>
      <c r="H2269" s="1269"/>
      <c r="I2269" s="1291">
        <v>144000</v>
      </c>
    </row>
    <row r="2270" spans="1:9" ht="15" customHeight="1">
      <c r="A2270" s="1253">
        <v>44092</v>
      </c>
      <c r="B2270" s="1209">
        <v>5545</v>
      </c>
      <c r="C2270" s="1210">
        <v>18170</v>
      </c>
      <c r="D2270" s="1230">
        <v>18160</v>
      </c>
      <c r="E2270" s="1212">
        <f t="shared" si="480"/>
        <v>-10</v>
      </c>
      <c r="F2270" s="1211">
        <f t="shared" ref="F2270" si="491">C2270-C2269</f>
        <v>20</v>
      </c>
      <c r="G2270" s="1215"/>
      <c r="H2270" s="1269"/>
      <c r="I2270" s="1291">
        <v>143500</v>
      </c>
    </row>
    <row r="2271" spans="1:9" ht="15" customHeight="1">
      <c r="A2271" s="1253">
        <v>44095</v>
      </c>
      <c r="B2271" s="1209">
        <v>5610</v>
      </c>
      <c r="C2271" s="1210">
        <v>18125</v>
      </c>
      <c r="D2271" s="1230">
        <v>18129</v>
      </c>
      <c r="E2271" s="1212">
        <f t="shared" si="480"/>
        <v>4</v>
      </c>
      <c r="F2271" s="1211">
        <f t="shared" ref="F2271" si="492">C2271-C2270</f>
        <v>-45</v>
      </c>
      <c r="G2271" s="1215"/>
      <c r="H2271" s="1269"/>
      <c r="I2271" s="1291">
        <v>144000</v>
      </c>
    </row>
    <row r="2272" spans="1:9" ht="15" customHeight="1">
      <c r="A2272" s="1253">
        <v>44096</v>
      </c>
      <c r="B2272" s="1209">
        <v>5630</v>
      </c>
      <c r="C2272" s="1210">
        <v>17998</v>
      </c>
      <c r="D2272" s="1230">
        <v>18045</v>
      </c>
      <c r="E2272" s="1212">
        <f t="shared" si="480"/>
        <v>47</v>
      </c>
      <c r="F2272" s="1211">
        <f t="shared" ref="F2272" si="493">C2272-C2271</f>
        <v>-127</v>
      </c>
      <c r="G2272" s="1215"/>
      <c r="H2272" s="1269"/>
      <c r="I2272" s="1291">
        <v>144250</v>
      </c>
    </row>
    <row r="2273" spans="1:9" ht="15" customHeight="1">
      <c r="A2273" s="1253">
        <v>44097</v>
      </c>
      <c r="B2273" s="1209">
        <v>5630</v>
      </c>
      <c r="C2273" s="1210">
        <v>18055</v>
      </c>
      <c r="D2273" s="1230">
        <v>18100</v>
      </c>
      <c r="E2273" s="1212">
        <f t="shared" si="480"/>
        <v>45</v>
      </c>
      <c r="F2273" s="1211">
        <f t="shared" ref="F2273" si="494">C2273-C2272</f>
        <v>57</v>
      </c>
      <c r="G2273" s="1215"/>
      <c r="H2273" s="1269"/>
      <c r="I2273" s="1291">
        <v>146000</v>
      </c>
    </row>
    <row r="2274" spans="1:9" ht="15" customHeight="1">
      <c r="A2274" s="1253">
        <v>44098</v>
      </c>
      <c r="B2274" s="1209">
        <v>5505</v>
      </c>
      <c r="C2274" s="1210">
        <v>17375</v>
      </c>
      <c r="D2274" s="1230">
        <v>17415</v>
      </c>
      <c r="E2274" s="1212">
        <f t="shared" si="480"/>
        <v>40</v>
      </c>
      <c r="F2274" s="1211">
        <f t="shared" ref="F2274" si="495">C2274-C2273</f>
        <v>-680</v>
      </c>
      <c r="G2274" s="1215"/>
      <c r="H2274" s="1269"/>
      <c r="I2274" s="1291">
        <v>143000</v>
      </c>
    </row>
    <row r="2275" spans="1:9" ht="15" customHeight="1">
      <c r="A2275" s="1253">
        <v>44099</v>
      </c>
      <c r="B2275" s="1209">
        <v>5505</v>
      </c>
      <c r="C2275" s="1210">
        <v>17080</v>
      </c>
      <c r="D2275" s="1230">
        <v>17136</v>
      </c>
      <c r="E2275" s="1212">
        <f t="shared" si="480"/>
        <v>56</v>
      </c>
      <c r="F2275" s="1211">
        <f t="shared" ref="F2275" si="496">C2275-C2274</f>
        <v>-295</v>
      </c>
      <c r="G2275" s="1215"/>
      <c r="H2275" s="1269"/>
      <c r="I2275" s="1291">
        <v>141500</v>
      </c>
    </row>
    <row r="2276" spans="1:9" ht="15" customHeight="1">
      <c r="A2276" s="1253">
        <v>44102</v>
      </c>
      <c r="B2276" s="1209">
        <v>5580</v>
      </c>
      <c r="C2276" s="1210">
        <v>17219</v>
      </c>
      <c r="D2276" s="1230">
        <v>17276</v>
      </c>
      <c r="E2276" s="1212">
        <f t="shared" si="480"/>
        <v>57</v>
      </c>
      <c r="F2276" s="1211">
        <f t="shared" ref="F2276" si="497">C2276-C2275</f>
        <v>139</v>
      </c>
      <c r="G2276" s="1215"/>
      <c r="H2276" s="1269"/>
      <c r="I2276" s="1291">
        <v>141250</v>
      </c>
    </row>
    <row r="2277" spans="1:9" ht="15" customHeight="1">
      <c r="A2277" s="1253">
        <v>44103</v>
      </c>
      <c r="B2277" s="1209">
        <v>5555</v>
      </c>
      <c r="C2277" s="1210">
        <v>17350</v>
      </c>
      <c r="D2277" s="1230">
        <v>17395</v>
      </c>
      <c r="E2277" s="1212">
        <f t="shared" si="480"/>
        <v>45</v>
      </c>
      <c r="F2277" s="1211">
        <f t="shared" ref="F2277:F2279" si="498">C2277-C2276</f>
        <v>131</v>
      </c>
      <c r="G2277" s="1215"/>
      <c r="H2277" s="1269"/>
      <c r="I2277" s="1291">
        <v>143250</v>
      </c>
    </row>
    <row r="2278" spans="1:9" ht="15" customHeight="1">
      <c r="A2278" s="1253">
        <v>44104</v>
      </c>
      <c r="B2278" s="1209">
        <v>5555</v>
      </c>
      <c r="C2278" s="1210">
        <v>17463</v>
      </c>
      <c r="D2278" s="1230">
        <v>17494</v>
      </c>
      <c r="E2278" s="1212">
        <f t="shared" si="480"/>
        <v>31</v>
      </c>
      <c r="F2278" s="1211">
        <f t="shared" si="498"/>
        <v>113</v>
      </c>
      <c r="G2278" s="1227">
        <f>AVERAGE($C$2257:C2278)</f>
        <v>17945.954545454544</v>
      </c>
      <c r="H2278" s="1274">
        <f>AVERAGE($C$2084:C2278)</f>
        <v>16603.473684210527</v>
      </c>
      <c r="I2278" s="1291">
        <v>145000</v>
      </c>
    </row>
    <row r="2279" spans="1:9" ht="15" customHeight="1">
      <c r="A2279" s="1253">
        <v>44105</v>
      </c>
      <c r="B2279" s="1209">
        <v>5550</v>
      </c>
      <c r="C2279" s="1210">
        <v>17506</v>
      </c>
      <c r="D2279" s="1230">
        <v>17529</v>
      </c>
      <c r="E2279" s="1212">
        <f t="shared" si="480"/>
        <v>23</v>
      </c>
      <c r="F2279" s="1211">
        <f t="shared" si="498"/>
        <v>43</v>
      </c>
      <c r="G2279" s="1215"/>
      <c r="H2279" s="1269"/>
      <c r="I2279" s="1433"/>
    </row>
    <row r="2280" spans="1:9" ht="15" customHeight="1">
      <c r="A2280" s="1253">
        <v>44106</v>
      </c>
      <c r="B2280" s="1209">
        <v>5550</v>
      </c>
      <c r="C2280" s="1210">
        <v>17545</v>
      </c>
      <c r="D2280" s="1230">
        <v>17530</v>
      </c>
      <c r="E2280" s="1212">
        <f t="shared" si="480"/>
        <v>-15</v>
      </c>
      <c r="F2280" s="1211">
        <f t="shared" ref="F2280" si="499">C2280-C2279</f>
        <v>39</v>
      </c>
      <c r="G2280" s="1215"/>
      <c r="H2280" s="1269"/>
      <c r="I2280" s="1433"/>
    </row>
    <row r="2281" spans="1:9" ht="15" customHeight="1">
      <c r="A2281" s="1253">
        <v>44109</v>
      </c>
      <c r="B2281" s="1209">
        <v>5500</v>
      </c>
      <c r="C2281" s="1210">
        <v>17850</v>
      </c>
      <c r="D2281" s="1230">
        <v>17863</v>
      </c>
      <c r="E2281" s="1212">
        <f t="shared" si="480"/>
        <v>13</v>
      </c>
      <c r="F2281" s="1211">
        <f t="shared" ref="F2281" si="500">C2281-C2280</f>
        <v>305</v>
      </c>
      <c r="G2281" s="1215"/>
      <c r="H2281" s="1269"/>
      <c r="I2281" s="1433"/>
    </row>
    <row r="2282" spans="1:9" ht="15" customHeight="1">
      <c r="A2282" s="1253">
        <v>44110</v>
      </c>
      <c r="B2282" s="1209">
        <v>5475</v>
      </c>
      <c r="C2282" s="1210">
        <v>18175</v>
      </c>
      <c r="D2282" s="1230">
        <v>18120</v>
      </c>
      <c r="E2282" s="1212">
        <f t="shared" si="480"/>
        <v>-55</v>
      </c>
      <c r="F2282" s="1211">
        <f t="shared" ref="F2282" si="501">C2282-C2281</f>
        <v>325</v>
      </c>
      <c r="G2282" s="1215"/>
      <c r="H2282" s="1269"/>
      <c r="I2282" s="1433"/>
    </row>
    <row r="2283" spans="1:9" ht="15" customHeight="1">
      <c r="A2283" s="1253">
        <v>44111</v>
      </c>
      <c r="B2283" s="1209">
        <v>5425</v>
      </c>
      <c r="C2283" s="1210">
        <v>18155</v>
      </c>
      <c r="D2283" s="1230">
        <v>18180</v>
      </c>
      <c r="E2283" s="1212">
        <f t="shared" si="480"/>
        <v>25</v>
      </c>
      <c r="F2283" s="1211">
        <f t="shared" ref="F2283" si="502">C2283-C2282</f>
        <v>-20</v>
      </c>
      <c r="G2283" s="1215"/>
      <c r="H2283" s="1269"/>
      <c r="I2283" s="1433"/>
    </row>
    <row r="2284" spans="1:9" ht="15" customHeight="1">
      <c r="A2284" s="1253">
        <v>44112</v>
      </c>
      <c r="B2284" s="1209">
        <v>5375</v>
      </c>
      <c r="C2284" s="1210">
        <v>18215</v>
      </c>
      <c r="D2284" s="1230">
        <v>18175</v>
      </c>
      <c r="E2284" s="1212">
        <f t="shared" si="480"/>
        <v>-40</v>
      </c>
      <c r="F2284" s="1211">
        <f t="shared" ref="F2284" si="503">C2284-C2283</f>
        <v>60</v>
      </c>
      <c r="G2284" s="1215"/>
      <c r="H2284" s="1269"/>
      <c r="I2284" s="1433"/>
    </row>
    <row r="2285" spans="1:9" ht="15" customHeight="1">
      <c r="A2285" s="1253">
        <v>44113</v>
      </c>
      <c r="B2285" s="1209">
        <v>5390</v>
      </c>
      <c r="C2285" s="1210">
        <v>18210</v>
      </c>
      <c r="D2285" s="1230">
        <v>18200</v>
      </c>
      <c r="E2285" s="1212">
        <f t="shared" si="480"/>
        <v>-10</v>
      </c>
      <c r="F2285" s="1211">
        <f t="shared" ref="F2285" si="504">C2285-C2284</f>
        <v>-5</v>
      </c>
      <c r="G2285" s="1215"/>
      <c r="H2285" s="1269"/>
      <c r="I2285" s="1291">
        <v>147250</v>
      </c>
    </row>
    <row r="2286" spans="1:9" ht="15" customHeight="1">
      <c r="A2286" s="1253">
        <v>44116</v>
      </c>
      <c r="B2286" s="1209">
        <v>5275</v>
      </c>
      <c r="C2286" s="1210">
        <v>18275</v>
      </c>
      <c r="D2286" s="1230">
        <v>18310</v>
      </c>
      <c r="E2286" s="1212">
        <f t="shared" si="480"/>
        <v>35</v>
      </c>
      <c r="F2286" s="1211">
        <f t="shared" ref="F2286" si="505">C2286-C2285</f>
        <v>65</v>
      </c>
      <c r="G2286" s="1215"/>
      <c r="H2286" s="1269"/>
      <c r="I2286" s="1291">
        <v>146750</v>
      </c>
    </row>
    <row r="2287" spans="1:9" ht="15" customHeight="1">
      <c r="A2287" s="1253">
        <v>44117</v>
      </c>
      <c r="B2287" s="1209">
        <v>5305</v>
      </c>
      <c r="C2287" s="1210">
        <v>18320</v>
      </c>
      <c r="D2287" s="1230">
        <v>18315</v>
      </c>
      <c r="E2287" s="1212">
        <f t="shared" si="480"/>
        <v>-5</v>
      </c>
      <c r="F2287" s="1211">
        <f t="shared" ref="F2287" si="506">C2287-C2286</f>
        <v>45</v>
      </c>
      <c r="G2287" s="1215"/>
      <c r="H2287" s="1269"/>
      <c r="I2287" s="1291">
        <v>146250</v>
      </c>
    </row>
    <row r="2288" spans="1:9" ht="15" customHeight="1">
      <c r="A2288" s="1253">
        <v>44118</v>
      </c>
      <c r="B2288" s="1209">
        <v>5305</v>
      </c>
      <c r="C2288" s="1210">
        <v>18225</v>
      </c>
      <c r="D2288" s="1230">
        <v>18285</v>
      </c>
      <c r="E2288" s="1212">
        <f t="shared" si="480"/>
        <v>60</v>
      </c>
      <c r="F2288" s="1211">
        <f t="shared" ref="F2288" si="507">C2288-C2287</f>
        <v>-95</v>
      </c>
      <c r="G2288" s="1215"/>
      <c r="H2288" s="1269"/>
      <c r="I2288" s="1291">
        <v>146250</v>
      </c>
    </row>
    <row r="2289" spans="1:9" ht="15" customHeight="1">
      <c r="A2289" s="1253">
        <v>44119</v>
      </c>
      <c r="B2289" s="1209">
        <v>5355</v>
      </c>
      <c r="C2289" s="1210">
        <v>18343</v>
      </c>
      <c r="D2289" s="1230">
        <v>18360</v>
      </c>
      <c r="E2289" s="1212">
        <f t="shared" si="480"/>
        <v>17</v>
      </c>
      <c r="F2289" s="1211">
        <f t="shared" ref="F2289" si="508">C2289-C2288</f>
        <v>118</v>
      </c>
      <c r="G2289" s="1215"/>
      <c r="H2289" s="1269"/>
      <c r="I2289" s="1291">
        <v>146500</v>
      </c>
    </row>
    <row r="2290" spans="1:9" ht="15" customHeight="1">
      <c r="A2290" s="1253">
        <v>44120</v>
      </c>
      <c r="B2290" s="1209">
        <v>5505</v>
      </c>
      <c r="C2290" s="1210">
        <v>18390</v>
      </c>
      <c r="D2290" s="1230">
        <v>18400</v>
      </c>
      <c r="E2290" s="1212">
        <f t="shared" si="480"/>
        <v>10</v>
      </c>
      <c r="F2290" s="1211">
        <f t="shared" ref="F2290" si="509">C2290-C2289</f>
        <v>47</v>
      </c>
      <c r="G2290" s="1215"/>
      <c r="H2290" s="1269"/>
      <c r="I2290" s="1291">
        <v>146500</v>
      </c>
    </row>
    <row r="2291" spans="1:9" ht="15" customHeight="1">
      <c r="A2291" s="1253">
        <v>44123</v>
      </c>
      <c r="B2291" s="1209">
        <v>5530</v>
      </c>
      <c r="C2291" s="1210">
        <v>18400</v>
      </c>
      <c r="D2291" s="1230">
        <v>18445</v>
      </c>
      <c r="E2291" s="1212">
        <f t="shared" si="480"/>
        <v>45</v>
      </c>
      <c r="F2291" s="1211">
        <f t="shared" ref="F2291" si="510">C2291-C2290</f>
        <v>10</v>
      </c>
      <c r="G2291" s="1215"/>
      <c r="H2291" s="1269"/>
      <c r="I2291" s="1291">
        <v>146250</v>
      </c>
    </row>
    <row r="2292" spans="1:9" ht="15" customHeight="1">
      <c r="A2292" s="1253">
        <v>44124</v>
      </c>
      <c r="B2292" s="1209">
        <v>5465</v>
      </c>
      <c r="C2292" s="1210">
        <v>18524</v>
      </c>
      <c r="D2292" s="1230">
        <v>18555</v>
      </c>
      <c r="E2292" s="1212">
        <f t="shared" si="480"/>
        <v>31</v>
      </c>
      <c r="F2292" s="1211">
        <f t="shared" ref="F2292" si="511">C2292-C2291</f>
        <v>124</v>
      </c>
      <c r="G2292" s="1215"/>
      <c r="H2292" s="1269"/>
      <c r="I2292" s="1291">
        <v>146500</v>
      </c>
    </row>
    <row r="2293" spans="1:9" ht="15" customHeight="1">
      <c r="A2293" s="1253">
        <v>44125</v>
      </c>
      <c r="B2293" s="1209">
        <v>5230</v>
      </c>
      <c r="C2293" s="1210">
        <v>18750</v>
      </c>
      <c r="D2293" s="1230">
        <v>18750</v>
      </c>
      <c r="E2293" s="1212">
        <f t="shared" si="480"/>
        <v>0</v>
      </c>
      <c r="F2293" s="1211">
        <f t="shared" ref="F2293" si="512">C2293-C2292</f>
        <v>226</v>
      </c>
      <c r="G2293" s="1215"/>
      <c r="H2293" s="1269"/>
      <c r="I2293" s="1291">
        <v>147000</v>
      </c>
    </row>
    <row r="2294" spans="1:9" ht="15" customHeight="1">
      <c r="A2294" s="1253">
        <v>44126</v>
      </c>
      <c r="B2294" s="1209">
        <v>4985</v>
      </c>
      <c r="C2294" s="1210">
        <v>18500</v>
      </c>
      <c r="D2294" s="1230">
        <v>18528</v>
      </c>
      <c r="E2294" s="1212">
        <f t="shared" si="480"/>
        <v>28</v>
      </c>
      <c r="F2294" s="1211">
        <f t="shared" ref="F2294" si="513">C2294-C2293</f>
        <v>-250</v>
      </c>
      <c r="G2294" s="1215"/>
      <c r="H2294" s="1269"/>
      <c r="I2294" s="1291">
        <v>147000</v>
      </c>
    </row>
    <row r="2295" spans="1:9" ht="15" customHeight="1">
      <c r="A2295" s="1253">
        <v>44127</v>
      </c>
      <c r="B2295" s="1209">
        <v>4955</v>
      </c>
      <c r="C2295" s="1210">
        <v>18530</v>
      </c>
      <c r="D2295" s="1230">
        <v>18500</v>
      </c>
      <c r="E2295" s="1212">
        <f t="shared" si="480"/>
        <v>-30</v>
      </c>
      <c r="F2295" s="1211">
        <f t="shared" ref="F2295" si="514">C2295-C2294</f>
        <v>30</v>
      </c>
      <c r="G2295" s="1215"/>
      <c r="H2295" s="1269"/>
      <c r="I2295" s="1291">
        <v>146000</v>
      </c>
    </row>
    <row r="2296" spans="1:9" ht="15" customHeight="1">
      <c r="A2296" s="1253">
        <v>44130</v>
      </c>
      <c r="B2296" s="1209">
        <v>4845</v>
      </c>
      <c r="C2296" s="1210">
        <v>17880</v>
      </c>
      <c r="D2296" s="1230">
        <v>17850</v>
      </c>
      <c r="E2296" s="1212">
        <f t="shared" si="480"/>
        <v>-30</v>
      </c>
      <c r="F2296" s="1211">
        <f t="shared" ref="F2296" si="515">C2296-C2295</f>
        <v>-650</v>
      </c>
      <c r="G2296" s="1215"/>
      <c r="H2296" s="1269"/>
      <c r="I2296" s="1291">
        <v>144750</v>
      </c>
    </row>
    <row r="2297" spans="1:9" ht="15" customHeight="1">
      <c r="A2297" s="1253">
        <v>44131</v>
      </c>
      <c r="B2297" s="1209">
        <v>4740</v>
      </c>
      <c r="C2297" s="1210">
        <v>18240</v>
      </c>
      <c r="D2297" s="1230">
        <v>18153</v>
      </c>
      <c r="E2297" s="1212">
        <f t="shared" si="480"/>
        <v>-87</v>
      </c>
      <c r="F2297" s="1211">
        <f t="shared" ref="F2297" si="516">C2297-C2296</f>
        <v>360</v>
      </c>
      <c r="G2297" s="1215"/>
      <c r="H2297" s="1269"/>
      <c r="I2297" s="1291">
        <v>144500</v>
      </c>
    </row>
    <row r="2298" spans="1:9" ht="15" customHeight="1">
      <c r="A2298" s="1253">
        <v>44132</v>
      </c>
      <c r="B2298" s="1209">
        <v>4750</v>
      </c>
      <c r="C2298" s="1210">
        <v>18000</v>
      </c>
      <c r="D2298" s="1230">
        <v>17961</v>
      </c>
      <c r="E2298" s="1212">
        <f t="shared" si="480"/>
        <v>-39</v>
      </c>
      <c r="F2298" s="1211">
        <f t="shared" ref="F2298" si="517">C2298-C2297</f>
        <v>-240</v>
      </c>
      <c r="G2298" s="1215"/>
      <c r="H2298" s="1269"/>
      <c r="I2298" s="1291">
        <v>144500</v>
      </c>
    </row>
    <row r="2299" spans="1:9" ht="15" customHeight="1">
      <c r="A2299" s="1253">
        <v>44133</v>
      </c>
      <c r="B2299" s="1209">
        <v>4575</v>
      </c>
      <c r="C2299" s="1210">
        <v>17707</v>
      </c>
      <c r="D2299" s="1230">
        <v>17700</v>
      </c>
      <c r="E2299" s="1212">
        <f t="shared" si="480"/>
        <v>-7</v>
      </c>
      <c r="F2299" s="1211">
        <f t="shared" ref="F2299" si="518">C2299-C2298</f>
        <v>-293</v>
      </c>
      <c r="G2299" s="1215"/>
      <c r="H2299" s="1269"/>
      <c r="I2299" s="1291">
        <v>144250</v>
      </c>
    </row>
    <row r="2300" spans="1:9" ht="15" customHeight="1">
      <c r="A2300" s="1253">
        <v>44134</v>
      </c>
      <c r="B2300" s="1209">
        <v>4555</v>
      </c>
      <c r="C2300" s="1210">
        <v>17650</v>
      </c>
      <c r="D2300" s="1230">
        <v>17640</v>
      </c>
      <c r="E2300" s="1212">
        <f t="shared" si="480"/>
        <v>-10</v>
      </c>
      <c r="F2300" s="1211">
        <f t="shared" ref="F2300" si="519">C2300-C2299</f>
        <v>-57</v>
      </c>
      <c r="G2300" s="1227">
        <f>AVERAGE($C$2279:C2300)</f>
        <v>18154.090909090908</v>
      </c>
      <c r="H2300" s="1274">
        <f>AVERAGE($C$2084:C2300)</f>
        <v>16764.386792452831</v>
      </c>
      <c r="I2300" s="1291">
        <v>144250</v>
      </c>
    </row>
    <row r="2301" spans="1:9" ht="15" customHeight="1">
      <c r="A2301" s="1253">
        <v>44137</v>
      </c>
      <c r="B2301" s="1209">
        <v>4530</v>
      </c>
      <c r="C2301" s="1210">
        <v>17755</v>
      </c>
      <c r="D2301" s="1230">
        <v>17725</v>
      </c>
      <c r="E2301" s="1212">
        <f t="shared" si="480"/>
        <v>-30</v>
      </c>
      <c r="F2301" s="1211">
        <f t="shared" ref="F2301" si="520">C2301-C2300</f>
        <v>105</v>
      </c>
      <c r="G2301" s="1215"/>
      <c r="H2301" s="1269"/>
      <c r="I2301" s="1291">
        <v>144250</v>
      </c>
    </row>
    <row r="2302" spans="1:9" ht="15" customHeight="1">
      <c r="A2302" s="1253">
        <v>44138</v>
      </c>
      <c r="B2302" s="1209">
        <v>4500</v>
      </c>
      <c r="C2302" s="1210">
        <v>18035</v>
      </c>
      <c r="D2302" s="1230">
        <v>18035</v>
      </c>
      <c r="E2302" s="1212">
        <f t="shared" si="480"/>
        <v>0</v>
      </c>
      <c r="F2302" s="1211">
        <f t="shared" ref="F2302" si="521">C2302-C2301</f>
        <v>280</v>
      </c>
      <c r="G2302" s="1215"/>
      <c r="H2302" s="1269"/>
      <c r="I2302" s="1291">
        <v>145000</v>
      </c>
    </row>
    <row r="2303" spans="1:9" ht="15" customHeight="1">
      <c r="A2303" s="1253">
        <v>44139</v>
      </c>
      <c r="B2303" s="1209">
        <v>4490</v>
      </c>
      <c r="C2303" s="1210">
        <v>18120</v>
      </c>
      <c r="D2303" s="1230">
        <v>18135</v>
      </c>
      <c r="E2303" s="1212">
        <f t="shared" si="480"/>
        <v>15</v>
      </c>
      <c r="F2303" s="1211">
        <f t="shared" ref="F2303" si="522">C2303-C2302</f>
        <v>85</v>
      </c>
      <c r="G2303" s="1215"/>
      <c r="H2303" s="1269"/>
      <c r="I2303" s="1291">
        <v>145500</v>
      </c>
    </row>
    <row r="2304" spans="1:9" ht="15" customHeight="1">
      <c r="A2304" s="1253">
        <v>44140</v>
      </c>
      <c r="B2304" s="1209">
        <v>4465</v>
      </c>
      <c r="C2304" s="1210">
        <v>18375</v>
      </c>
      <c r="D2304" s="1230">
        <v>18345</v>
      </c>
      <c r="E2304" s="1212">
        <f t="shared" si="480"/>
        <v>-30</v>
      </c>
      <c r="F2304" s="1211">
        <f t="shared" ref="F2304" si="523">C2304-C2303</f>
        <v>255</v>
      </c>
      <c r="G2304" s="1215"/>
      <c r="H2304" s="1269"/>
      <c r="I2304" s="1291">
        <v>146000</v>
      </c>
    </row>
    <row r="2305" spans="1:9" ht="15" customHeight="1">
      <c r="A2305" s="1253">
        <v>44141</v>
      </c>
      <c r="B2305" s="1209">
        <v>4485</v>
      </c>
      <c r="C2305" s="1210">
        <v>18385</v>
      </c>
      <c r="D2305" s="1230">
        <v>18380</v>
      </c>
      <c r="E2305" s="1212">
        <f t="shared" si="480"/>
        <v>-5</v>
      </c>
      <c r="F2305" s="1211">
        <f t="shared" ref="F2305" si="524">C2305-C2304</f>
        <v>10</v>
      </c>
      <c r="G2305" s="1215"/>
      <c r="H2305" s="1269"/>
      <c r="I2305" s="1291">
        <v>146500</v>
      </c>
    </row>
    <row r="2306" spans="1:9" ht="15" customHeight="1">
      <c r="A2306" s="1253">
        <v>44144</v>
      </c>
      <c r="B2306" s="1209">
        <v>4420</v>
      </c>
      <c r="C2306" s="1210">
        <v>18455</v>
      </c>
      <c r="D2306" s="1230">
        <v>18445</v>
      </c>
      <c r="E2306" s="1212">
        <f t="shared" si="480"/>
        <v>-10</v>
      </c>
      <c r="F2306" s="1211">
        <f t="shared" ref="F2306" si="525">C2306-C2305</f>
        <v>70</v>
      </c>
      <c r="G2306" s="1215"/>
      <c r="H2306" s="1269"/>
      <c r="I2306" s="1291">
        <v>146250</v>
      </c>
    </row>
    <row r="2307" spans="1:9" ht="15" customHeight="1">
      <c r="A2307" s="1253">
        <v>44145</v>
      </c>
      <c r="B2307" s="1209">
        <v>4415</v>
      </c>
      <c r="C2307" s="1210">
        <v>18240</v>
      </c>
      <c r="D2307" s="1230">
        <v>18235</v>
      </c>
      <c r="E2307" s="1212">
        <f t="shared" si="480"/>
        <v>-5</v>
      </c>
      <c r="F2307" s="1211">
        <f t="shared" ref="F2307" si="526">C2307-C2306</f>
        <v>-215</v>
      </c>
      <c r="G2307" s="1215"/>
      <c r="H2307" s="1269"/>
      <c r="I2307" s="1291">
        <v>146250</v>
      </c>
    </row>
    <row r="2308" spans="1:9" ht="15" customHeight="1">
      <c r="A2308" s="1253">
        <v>44146</v>
      </c>
      <c r="B2308" s="1209">
        <v>4320</v>
      </c>
      <c r="C2308" s="1210">
        <v>18250</v>
      </c>
      <c r="D2308" s="1230">
        <v>18210</v>
      </c>
      <c r="E2308" s="1212">
        <f t="shared" si="480"/>
        <v>-40</v>
      </c>
      <c r="F2308" s="1211">
        <f t="shared" ref="F2308" si="527">C2308-C2307</f>
        <v>10</v>
      </c>
      <c r="G2308" s="1215"/>
      <c r="H2308" s="1269"/>
      <c r="I2308" s="1291">
        <v>146000</v>
      </c>
    </row>
    <row r="2309" spans="1:9" ht="15" customHeight="1">
      <c r="A2309" s="1253">
        <v>44147</v>
      </c>
      <c r="B2309" s="1209">
        <v>4265</v>
      </c>
      <c r="C2309" s="1210">
        <v>18330</v>
      </c>
      <c r="D2309" s="1230">
        <v>18260</v>
      </c>
      <c r="E2309" s="1212">
        <f t="shared" si="480"/>
        <v>-70</v>
      </c>
      <c r="F2309" s="1211">
        <f t="shared" ref="F2309" si="528">C2309-C2308</f>
        <v>80</v>
      </c>
      <c r="G2309" s="1215"/>
      <c r="H2309" s="1269"/>
      <c r="I2309" s="1291">
        <v>146250</v>
      </c>
    </row>
    <row r="2310" spans="1:9" ht="15" customHeight="1">
      <c r="A2310" s="1253">
        <v>44148</v>
      </c>
      <c r="B2310" s="1209">
        <v>4240</v>
      </c>
      <c r="C2310" s="1210">
        <v>18415</v>
      </c>
      <c r="D2310" s="1230">
        <v>18375</v>
      </c>
      <c r="E2310" s="1212">
        <f t="shared" si="480"/>
        <v>-40</v>
      </c>
      <c r="F2310" s="1211">
        <f t="shared" ref="F2310" si="529">C2310-C2309</f>
        <v>85</v>
      </c>
      <c r="G2310" s="1215"/>
      <c r="H2310" s="1269"/>
      <c r="I2310" s="1291">
        <v>146000</v>
      </c>
    </row>
    <row r="2311" spans="1:9" ht="15" customHeight="1">
      <c r="A2311" s="1253">
        <v>44151</v>
      </c>
      <c r="B2311" s="1209">
        <v>4040</v>
      </c>
      <c r="C2311" s="1210">
        <v>18750</v>
      </c>
      <c r="D2311" s="1230">
        <v>18710</v>
      </c>
      <c r="E2311" s="1212">
        <f t="shared" si="480"/>
        <v>-40</v>
      </c>
      <c r="F2311" s="1211">
        <f t="shared" ref="F2311" si="530">C2311-C2310</f>
        <v>335</v>
      </c>
      <c r="G2311" s="1215"/>
      <c r="H2311" s="1269"/>
      <c r="I2311" s="1291">
        <v>146250</v>
      </c>
    </row>
    <row r="2312" spans="1:9" ht="15" customHeight="1">
      <c r="A2312" s="1253">
        <v>44152</v>
      </c>
      <c r="B2312" s="1209">
        <v>4065</v>
      </c>
      <c r="C2312" s="1210">
        <v>18915</v>
      </c>
      <c r="D2312" s="1230">
        <v>18875</v>
      </c>
      <c r="E2312" s="1212">
        <f t="shared" si="480"/>
        <v>-40</v>
      </c>
      <c r="F2312" s="1211">
        <f t="shared" ref="F2312" si="531">C2312-C2311</f>
        <v>165</v>
      </c>
      <c r="G2312" s="1215"/>
      <c r="H2312" s="1269"/>
      <c r="I2312" s="1291">
        <v>148250</v>
      </c>
    </row>
    <row r="2313" spans="1:9" ht="15" customHeight="1">
      <c r="A2313" s="1253">
        <v>44153</v>
      </c>
      <c r="B2313" s="1209">
        <v>4115</v>
      </c>
      <c r="C2313" s="1210">
        <v>19075</v>
      </c>
      <c r="D2313" s="1230">
        <v>19045</v>
      </c>
      <c r="E2313" s="1212">
        <f t="shared" si="480"/>
        <v>-30</v>
      </c>
      <c r="F2313" s="1211">
        <f t="shared" ref="F2313" si="532">C2313-C2312</f>
        <v>160</v>
      </c>
      <c r="G2313" s="1215"/>
      <c r="H2313" s="1269"/>
      <c r="I2313" s="1291">
        <f>I2314+2500</f>
        <v>150250</v>
      </c>
    </row>
    <row r="2314" spans="1:9" ht="15" customHeight="1">
      <c r="A2314" s="1253">
        <v>44154</v>
      </c>
      <c r="B2314" s="1209">
        <v>4145</v>
      </c>
      <c r="C2314" s="1210">
        <v>18720</v>
      </c>
      <c r="D2314" s="1230">
        <v>18635</v>
      </c>
      <c r="E2314" s="1212">
        <f t="shared" si="480"/>
        <v>-85</v>
      </c>
      <c r="F2314" s="1211">
        <f t="shared" ref="F2314" si="533">C2314-C2313</f>
        <v>-355</v>
      </c>
      <c r="G2314" s="1215"/>
      <c r="H2314" s="1269"/>
      <c r="I2314" s="1291">
        <v>147750</v>
      </c>
    </row>
    <row r="2315" spans="1:9" ht="15" customHeight="1">
      <c r="A2315" s="1253">
        <v>44155</v>
      </c>
      <c r="B2315" s="1209">
        <v>4095</v>
      </c>
      <c r="C2315" s="1210">
        <v>18890</v>
      </c>
      <c r="D2315" s="1230">
        <v>18840</v>
      </c>
      <c r="E2315" s="1212">
        <f t="shared" si="480"/>
        <v>-50</v>
      </c>
      <c r="F2315" s="1211">
        <f t="shared" ref="F2315" si="534">C2315-C2314</f>
        <v>170</v>
      </c>
      <c r="G2315" s="1215"/>
      <c r="H2315" s="1269"/>
      <c r="I2315" s="1291">
        <v>146500</v>
      </c>
    </row>
    <row r="2316" spans="1:9" ht="15" customHeight="1">
      <c r="A2316" s="1253">
        <v>44158</v>
      </c>
      <c r="B2316" s="1209">
        <v>3930</v>
      </c>
      <c r="C2316" s="1210">
        <v>18820</v>
      </c>
      <c r="D2316" s="1230">
        <v>18790</v>
      </c>
      <c r="E2316" s="1212">
        <f t="shared" si="480"/>
        <v>-30</v>
      </c>
      <c r="F2316" s="1211">
        <f t="shared" ref="F2316" si="535">C2316-C2315</f>
        <v>-70</v>
      </c>
      <c r="G2316" s="1215"/>
      <c r="H2316" s="1269"/>
      <c r="I2316" s="1291">
        <v>146500</v>
      </c>
    </row>
    <row r="2317" spans="1:9" ht="15" customHeight="1">
      <c r="A2317" s="1253">
        <v>44159</v>
      </c>
      <c r="B2317" s="1209">
        <v>3905</v>
      </c>
      <c r="C2317" s="1210">
        <v>18681</v>
      </c>
      <c r="D2317" s="1230">
        <v>18688</v>
      </c>
      <c r="E2317" s="1212">
        <f t="shared" si="480"/>
        <v>7</v>
      </c>
      <c r="F2317" s="1211">
        <f t="shared" ref="F2317" si="536">C2317-C2316</f>
        <v>-139</v>
      </c>
      <c r="G2317" s="1215"/>
      <c r="H2317" s="1269"/>
      <c r="I2317" s="1291">
        <v>146000</v>
      </c>
    </row>
    <row r="2318" spans="1:9" ht="15" customHeight="1">
      <c r="A2318" s="1253">
        <v>44160</v>
      </c>
      <c r="B2318" s="1209">
        <v>3880</v>
      </c>
      <c r="C2318" s="1210">
        <v>18790</v>
      </c>
      <c r="D2318" s="1230">
        <v>18750</v>
      </c>
      <c r="E2318" s="1212">
        <f t="shared" si="480"/>
        <v>-40</v>
      </c>
      <c r="F2318" s="1211">
        <f t="shared" ref="F2318" si="537">C2318-C2317</f>
        <v>109</v>
      </c>
      <c r="G2318" s="1215"/>
      <c r="H2318" s="1269"/>
      <c r="I2318" s="1291">
        <v>145750</v>
      </c>
    </row>
    <row r="2319" spans="1:9" ht="15" customHeight="1">
      <c r="A2319" s="1253">
        <v>44161</v>
      </c>
      <c r="B2319" s="1209">
        <v>3880</v>
      </c>
      <c r="C2319" s="1210">
        <v>18825</v>
      </c>
      <c r="D2319" s="1230">
        <v>18780</v>
      </c>
      <c r="E2319" s="1212">
        <f t="shared" si="480"/>
        <v>-45</v>
      </c>
      <c r="F2319" s="1211">
        <f t="shared" ref="F2319" si="538">C2319-C2318</f>
        <v>35</v>
      </c>
      <c r="G2319" s="1215"/>
      <c r="H2319" s="1269"/>
      <c r="I2319" s="1291">
        <v>146250</v>
      </c>
    </row>
    <row r="2320" spans="1:9" ht="15" customHeight="1">
      <c r="A2320" s="1253">
        <v>44162</v>
      </c>
      <c r="B2320" s="1209">
        <v>3880</v>
      </c>
      <c r="C2320" s="1210">
        <v>19120</v>
      </c>
      <c r="D2320" s="1230">
        <v>19090</v>
      </c>
      <c r="E2320" s="1212">
        <f t="shared" si="480"/>
        <v>-30</v>
      </c>
      <c r="F2320" s="1211">
        <f t="shared" ref="F2320" si="539">C2320-C2319</f>
        <v>295</v>
      </c>
      <c r="G2320" s="1215"/>
      <c r="H2320" s="1269"/>
      <c r="I2320" s="1291">
        <v>147750</v>
      </c>
    </row>
    <row r="2321" spans="1:9" ht="15" customHeight="1">
      <c r="A2321" s="1253">
        <v>44165</v>
      </c>
      <c r="B2321" s="1209">
        <v>3880</v>
      </c>
      <c r="C2321" s="1210">
        <v>18980</v>
      </c>
      <c r="D2321" s="1230">
        <v>18965</v>
      </c>
      <c r="E2321" s="1212">
        <f t="shared" ref="E2321:E2339" si="540">D2321-C2321</f>
        <v>-15</v>
      </c>
      <c r="F2321" s="1211">
        <f t="shared" ref="F2321" si="541">C2321-C2320</f>
        <v>-140</v>
      </c>
      <c r="G2321" s="1227">
        <f>AVERAGE($C$2301:C2321)</f>
        <v>18567.904761904763</v>
      </c>
      <c r="H2321" s="1274">
        <f>AVERAGE($C$2084:C2321)</f>
        <v>16926.935622317596</v>
      </c>
      <c r="I2321" s="1291">
        <v>148250</v>
      </c>
    </row>
    <row r="2322" spans="1:9" ht="15" customHeight="1">
      <c r="A2322" s="1253">
        <v>44166</v>
      </c>
      <c r="B2322" s="1209">
        <v>3805</v>
      </c>
      <c r="C2322" s="1210">
        <v>18873</v>
      </c>
      <c r="D2322" s="1230">
        <v>18850</v>
      </c>
      <c r="E2322" s="1212">
        <f t="shared" si="540"/>
        <v>-23</v>
      </c>
      <c r="F2322" s="1211">
        <f t="shared" ref="F2322" si="542">C2322-C2321</f>
        <v>-107</v>
      </c>
      <c r="G2322" s="1215"/>
      <c r="H2322" s="1269"/>
      <c r="I2322" s="1291">
        <v>146500</v>
      </c>
    </row>
    <row r="2323" spans="1:9" ht="15" customHeight="1">
      <c r="A2323" s="1253">
        <v>44167</v>
      </c>
      <c r="B2323" s="1209">
        <v>3670</v>
      </c>
      <c r="C2323" s="1210">
        <v>18905</v>
      </c>
      <c r="D2323" s="1230">
        <v>18880</v>
      </c>
      <c r="E2323" s="1212">
        <f t="shared" si="540"/>
        <v>-25</v>
      </c>
      <c r="F2323" s="1211">
        <f t="shared" ref="F2323" si="543">C2323-C2322</f>
        <v>32</v>
      </c>
      <c r="G2323" s="1215"/>
      <c r="H2323" s="1269"/>
      <c r="I2323" s="1291">
        <v>146500</v>
      </c>
    </row>
    <row r="2324" spans="1:9" ht="15" customHeight="1">
      <c r="A2324" s="1253">
        <v>44168</v>
      </c>
      <c r="B2324" s="1209">
        <v>3670</v>
      </c>
      <c r="C2324" s="1210">
        <v>18850</v>
      </c>
      <c r="D2324" s="1230">
        <v>18831</v>
      </c>
      <c r="E2324" s="1212">
        <f t="shared" si="540"/>
        <v>-19</v>
      </c>
      <c r="F2324" s="1211">
        <f t="shared" ref="F2324" si="544">C2324-C2323</f>
        <v>-55</v>
      </c>
      <c r="G2324" s="1215"/>
      <c r="H2324" s="1269"/>
      <c r="I2324" s="1291">
        <v>146250</v>
      </c>
    </row>
    <row r="2325" spans="1:9" ht="15" customHeight="1">
      <c r="A2325" s="1253">
        <v>44169</v>
      </c>
      <c r="B2325" s="1209">
        <v>3575</v>
      </c>
      <c r="C2325" s="1210">
        <v>19060</v>
      </c>
      <c r="D2325" s="1230">
        <v>19020</v>
      </c>
      <c r="E2325" s="1212">
        <f t="shared" si="540"/>
        <v>-40</v>
      </c>
      <c r="F2325" s="1211">
        <f t="shared" ref="F2325" si="545">C2325-C2324</f>
        <v>210</v>
      </c>
      <c r="G2325" s="1215"/>
      <c r="H2325" s="1269"/>
      <c r="I2325" s="1291">
        <v>146500</v>
      </c>
    </row>
    <row r="2326" spans="1:9" ht="15" customHeight="1">
      <c r="A2326" s="1253">
        <v>44172</v>
      </c>
      <c r="B2326" s="1209">
        <v>3525</v>
      </c>
      <c r="C2326" s="1210">
        <v>19071</v>
      </c>
      <c r="D2326" s="1230">
        <v>19046</v>
      </c>
      <c r="E2326" s="1212">
        <f t="shared" si="540"/>
        <v>-25</v>
      </c>
      <c r="F2326" s="1211">
        <f t="shared" ref="F2326" si="546">C2326-C2325</f>
        <v>11</v>
      </c>
      <c r="G2326" s="1215"/>
      <c r="H2326" s="1269"/>
      <c r="I2326" s="1291">
        <v>147500</v>
      </c>
    </row>
    <row r="2327" spans="1:9" ht="15" customHeight="1">
      <c r="A2327" s="1253">
        <v>44173</v>
      </c>
      <c r="B2327" s="1209">
        <v>3520</v>
      </c>
      <c r="C2327" s="1210">
        <v>19128</v>
      </c>
      <c r="D2327" s="1230">
        <v>19136</v>
      </c>
      <c r="E2327" s="1212">
        <f t="shared" si="540"/>
        <v>8</v>
      </c>
      <c r="F2327" s="1211">
        <f t="shared" ref="F2327" si="547">C2327-C2326</f>
        <v>57</v>
      </c>
      <c r="G2327" s="1215"/>
      <c r="H2327" s="1269"/>
      <c r="I2327" s="1291">
        <v>148500</v>
      </c>
    </row>
    <row r="2328" spans="1:9" ht="15" customHeight="1">
      <c r="A2328" s="1253">
        <v>44174</v>
      </c>
      <c r="B2328" s="1209">
        <v>3495</v>
      </c>
      <c r="C2328" s="1210">
        <v>19393</v>
      </c>
      <c r="D2328" s="1230">
        <v>19363</v>
      </c>
      <c r="E2328" s="1212">
        <f t="shared" si="540"/>
        <v>-30</v>
      </c>
      <c r="F2328" s="1211">
        <f t="shared" ref="F2328" si="548">C2328-C2327</f>
        <v>265</v>
      </c>
      <c r="G2328" s="1215"/>
      <c r="H2328" s="1269"/>
      <c r="I2328" s="1291">
        <v>148750</v>
      </c>
    </row>
    <row r="2329" spans="1:9" ht="15" customHeight="1">
      <c r="A2329" s="1253">
        <v>44175</v>
      </c>
      <c r="B2329" s="1209">
        <v>3420</v>
      </c>
      <c r="C2329" s="1210">
        <v>19740</v>
      </c>
      <c r="D2329" s="1230">
        <v>19676</v>
      </c>
      <c r="E2329" s="1212">
        <f t="shared" si="540"/>
        <v>-64</v>
      </c>
      <c r="F2329" s="1211">
        <f t="shared" ref="F2329" si="549">C2329-C2328</f>
        <v>347</v>
      </c>
      <c r="G2329" s="1215"/>
      <c r="H2329" s="1269"/>
      <c r="I2329" s="1291">
        <v>149750</v>
      </c>
    </row>
    <row r="2330" spans="1:9" ht="15" customHeight="1">
      <c r="A2330" s="1253">
        <v>44176</v>
      </c>
      <c r="B2330" s="1209">
        <v>3420</v>
      </c>
      <c r="C2330" s="1210">
        <v>19550</v>
      </c>
      <c r="D2330" s="1230">
        <v>19505</v>
      </c>
      <c r="E2330" s="1212">
        <f t="shared" si="540"/>
        <v>-45</v>
      </c>
      <c r="F2330" s="1211">
        <f t="shared" ref="F2330" si="550">C2330-C2329</f>
        <v>-190</v>
      </c>
      <c r="G2330" s="1215"/>
      <c r="H2330" s="1269"/>
      <c r="I2330" s="1291">
        <v>149750</v>
      </c>
    </row>
    <row r="2331" spans="1:9" ht="15" customHeight="1">
      <c r="A2331" s="1253">
        <v>44179</v>
      </c>
      <c r="B2331" s="1209">
        <v>3325</v>
      </c>
      <c r="C2331" s="1210">
        <v>19690</v>
      </c>
      <c r="D2331" s="1230">
        <v>19670</v>
      </c>
      <c r="E2331" s="1212">
        <f t="shared" si="540"/>
        <v>-20</v>
      </c>
      <c r="F2331" s="1211">
        <f t="shared" ref="F2331" si="551">C2331-C2330</f>
        <v>140</v>
      </c>
      <c r="G2331" s="1215"/>
      <c r="H2331" s="1269"/>
      <c r="I2331" s="1291">
        <v>150250</v>
      </c>
    </row>
    <row r="2332" spans="1:9" ht="15" customHeight="1">
      <c r="A2332" s="1253">
        <v>44180</v>
      </c>
      <c r="B2332" s="1209">
        <v>3325</v>
      </c>
      <c r="C2332" s="1210">
        <v>19675</v>
      </c>
      <c r="D2332" s="1230">
        <v>19615</v>
      </c>
      <c r="E2332" s="1212">
        <f t="shared" si="540"/>
        <v>-60</v>
      </c>
      <c r="F2332" s="1211">
        <f t="shared" ref="F2332" si="552">C2332-C2331</f>
        <v>-15</v>
      </c>
      <c r="G2332" s="1215"/>
      <c r="H2332" s="1269"/>
      <c r="I2332" s="1291">
        <v>152000</v>
      </c>
    </row>
    <row r="2333" spans="1:9" ht="15" customHeight="1">
      <c r="A2333" s="1253">
        <v>44181</v>
      </c>
      <c r="B2333" s="1209">
        <v>3070</v>
      </c>
      <c r="C2333" s="1210">
        <v>19817</v>
      </c>
      <c r="D2333" s="1230">
        <v>19782</v>
      </c>
      <c r="E2333" s="1212">
        <f t="shared" si="540"/>
        <v>-35</v>
      </c>
      <c r="F2333" s="1211">
        <f t="shared" ref="F2333" si="553">C2333-C2332</f>
        <v>142</v>
      </c>
      <c r="G2333" s="1215"/>
      <c r="H2333" s="1269"/>
      <c r="I2333" s="1291">
        <v>152500</v>
      </c>
    </row>
    <row r="2334" spans="1:9" ht="15" customHeight="1">
      <c r="A2334" s="1253">
        <v>44182</v>
      </c>
      <c r="B2334" s="1209">
        <v>3010</v>
      </c>
      <c r="C2334" s="1210">
        <v>20058</v>
      </c>
      <c r="D2334" s="1230">
        <v>20000</v>
      </c>
      <c r="E2334" s="1212">
        <f t="shared" si="540"/>
        <v>-58</v>
      </c>
      <c r="F2334" s="1211">
        <f t="shared" ref="F2334" si="554">C2334-C2333</f>
        <v>241</v>
      </c>
      <c r="G2334" s="1215"/>
      <c r="H2334" s="1269"/>
      <c r="I2334" s="1291">
        <v>153250</v>
      </c>
    </row>
    <row r="2335" spans="1:9" ht="15" customHeight="1">
      <c r="A2335" s="1253">
        <v>44183</v>
      </c>
      <c r="B2335" s="1209">
        <v>3060</v>
      </c>
      <c r="C2335" s="1210">
        <v>20255</v>
      </c>
      <c r="D2335" s="1230">
        <v>20188</v>
      </c>
      <c r="E2335" s="1212">
        <f t="shared" si="540"/>
        <v>-67</v>
      </c>
      <c r="F2335" s="1211">
        <f t="shared" ref="F2335" si="555">C2335-C2334</f>
        <v>197</v>
      </c>
      <c r="G2335" s="1215"/>
      <c r="H2335" s="1269"/>
      <c r="I2335" s="1291">
        <v>153250</v>
      </c>
    </row>
    <row r="2336" spans="1:9" ht="15" customHeight="1">
      <c r="A2336" s="1253">
        <v>44186</v>
      </c>
      <c r="B2336" s="1209">
        <v>2940</v>
      </c>
      <c r="C2336" s="1210">
        <v>20038</v>
      </c>
      <c r="D2336" s="1230">
        <v>19932</v>
      </c>
      <c r="E2336" s="1212">
        <f t="shared" si="540"/>
        <v>-106</v>
      </c>
      <c r="F2336" s="1211">
        <f t="shared" ref="F2336" si="556">C2336-C2335</f>
        <v>-217</v>
      </c>
      <c r="G2336" s="1215"/>
      <c r="H2336" s="1269"/>
      <c r="I2336" s="1291">
        <v>151000</v>
      </c>
    </row>
    <row r="2337" spans="1:9" ht="15" customHeight="1">
      <c r="A2337" s="1253">
        <v>44187</v>
      </c>
      <c r="B2337" s="1209">
        <v>2855</v>
      </c>
      <c r="C2337" s="1210">
        <v>20110</v>
      </c>
      <c r="D2337" s="1230">
        <v>20014</v>
      </c>
      <c r="E2337" s="1212">
        <f t="shared" si="540"/>
        <v>-96</v>
      </c>
      <c r="F2337" s="1211">
        <f t="shared" ref="F2337" si="557">C2337-C2336</f>
        <v>72</v>
      </c>
      <c r="G2337" s="1215"/>
      <c r="H2337" s="1269"/>
      <c r="I2337" s="1291">
        <v>151000</v>
      </c>
    </row>
    <row r="2338" spans="1:9" ht="15" customHeight="1">
      <c r="A2338" s="1253">
        <v>44188</v>
      </c>
      <c r="B2338" s="1209">
        <v>2730</v>
      </c>
      <c r="C2338" s="1210">
        <v>20190</v>
      </c>
      <c r="D2338" s="1230">
        <v>20025</v>
      </c>
      <c r="E2338" s="1212">
        <f t="shared" si="540"/>
        <v>-165</v>
      </c>
      <c r="F2338" s="1211">
        <f t="shared" ref="F2338" si="558">C2338-C2337</f>
        <v>80</v>
      </c>
      <c r="G2338" s="1215"/>
      <c r="H2338" s="1269"/>
      <c r="I2338" s="1291">
        <v>150000</v>
      </c>
    </row>
    <row r="2339" spans="1:9" ht="15" customHeight="1">
      <c r="A2339" s="1253">
        <v>44189</v>
      </c>
      <c r="B2339" s="1209">
        <v>2105</v>
      </c>
      <c r="C2339" s="1210">
        <v>20277</v>
      </c>
      <c r="D2339" s="1230">
        <v>20100</v>
      </c>
      <c r="E2339" s="1212">
        <f t="shared" si="540"/>
        <v>-177</v>
      </c>
      <c r="F2339" s="1211">
        <f t="shared" ref="F2339" si="559">C2339-C2338</f>
        <v>87</v>
      </c>
      <c r="G2339" s="1215"/>
      <c r="H2339" s="1269"/>
      <c r="I2339" s="1291">
        <v>152000</v>
      </c>
    </row>
    <row r="2340" spans="1:9" ht="15" customHeight="1">
      <c r="A2340" s="1253">
        <v>44190</v>
      </c>
      <c r="B2340" s="1438" t="s">
        <v>61</v>
      </c>
      <c r="C2340" s="1438"/>
      <c r="D2340" s="1438"/>
      <c r="E2340" s="1438"/>
      <c r="F2340" s="1438"/>
      <c r="G2340" s="1215"/>
      <c r="H2340" s="1269"/>
      <c r="I2340" s="1291"/>
    </row>
    <row r="2341" spans="1:9" ht="15" customHeight="1">
      <c r="A2341" s="1253">
        <v>44193</v>
      </c>
      <c r="B2341" s="1438"/>
      <c r="C2341" s="1438"/>
      <c r="D2341" s="1438"/>
      <c r="E2341" s="1438"/>
      <c r="F2341" s="1438"/>
      <c r="G2341" s="1215"/>
      <c r="H2341" s="1269"/>
      <c r="I2341" s="1291">
        <v>152500</v>
      </c>
    </row>
    <row r="2342" spans="1:9" ht="15" customHeight="1">
      <c r="A2342" s="1253">
        <v>44194</v>
      </c>
      <c r="B2342" s="1209">
        <v>2085</v>
      </c>
      <c r="C2342" s="1210">
        <v>20513</v>
      </c>
      <c r="D2342" s="1230">
        <v>20300</v>
      </c>
      <c r="E2342" s="1212">
        <f t="shared" ref="E2342:E2375" si="560">D2342-C2342</f>
        <v>-213</v>
      </c>
      <c r="F2342" s="1211">
        <f>C2342-C2339</f>
        <v>236</v>
      </c>
      <c r="G2342" s="1215"/>
      <c r="H2342" s="1269"/>
      <c r="I2342" s="1291">
        <v>152000</v>
      </c>
    </row>
    <row r="2343" spans="1:9" ht="15" customHeight="1">
      <c r="A2343" s="1253">
        <v>44195</v>
      </c>
      <c r="B2343" s="1209">
        <v>1890</v>
      </c>
      <c r="C2343" s="1210">
        <v>20541</v>
      </c>
      <c r="D2343" s="1230">
        <v>20270</v>
      </c>
      <c r="E2343" s="1212">
        <f t="shared" si="560"/>
        <v>-271</v>
      </c>
      <c r="F2343" s="1211">
        <f t="shared" ref="F2343" si="561">C2343-C2342</f>
        <v>28</v>
      </c>
      <c r="G2343" s="1215"/>
      <c r="H2343" s="1269"/>
      <c r="I2343" s="1291">
        <v>152250</v>
      </c>
    </row>
    <row r="2344" spans="1:9" ht="15" customHeight="1">
      <c r="A2344" s="1253">
        <v>44196</v>
      </c>
      <c r="B2344" s="1209">
        <v>1890</v>
      </c>
      <c r="C2344" s="1210">
        <v>20540</v>
      </c>
      <c r="D2344" s="1230">
        <v>20290</v>
      </c>
      <c r="E2344" s="1212">
        <f t="shared" si="560"/>
        <v>-250</v>
      </c>
      <c r="F2344" s="1211">
        <f t="shared" ref="F2344" si="562">C2344-C2343</f>
        <v>-1</v>
      </c>
      <c r="G2344" s="1227">
        <f>AVERAGE($C$2322:C2344)</f>
        <v>19727.333333333332</v>
      </c>
      <c r="H2344" s="1274">
        <f>AVERAGE($C$2084:C2344)</f>
        <v>17158.464566929135</v>
      </c>
      <c r="I2344" s="1291">
        <v>151750</v>
      </c>
    </row>
    <row r="2345" spans="1:9" ht="15" customHeight="1">
      <c r="A2345" s="1253">
        <v>44200</v>
      </c>
      <c r="B2345" s="1209">
        <v>1860</v>
      </c>
      <c r="C2345" s="1210">
        <v>21034</v>
      </c>
      <c r="D2345" s="1230">
        <v>20735</v>
      </c>
      <c r="E2345" s="1212">
        <f t="shared" si="560"/>
        <v>-299</v>
      </c>
      <c r="F2345" s="1211">
        <f t="shared" ref="F2345" si="563">C2345-C2344</f>
        <v>494</v>
      </c>
      <c r="G2345" s="1215"/>
      <c r="H2345" s="1269"/>
      <c r="I2345" s="1291">
        <v>152750</v>
      </c>
    </row>
    <row r="2346" spans="1:9" ht="15" customHeight="1">
      <c r="A2346" s="1253">
        <v>44201</v>
      </c>
      <c r="B2346" s="1209">
        <v>1870</v>
      </c>
      <c r="C2346" s="1210">
        <v>21350</v>
      </c>
      <c r="D2346" s="1230">
        <v>21125</v>
      </c>
      <c r="E2346" s="1212">
        <f t="shared" si="560"/>
        <v>-225</v>
      </c>
      <c r="F2346" s="1211">
        <f t="shared" ref="F2346" si="564">C2346-C2345</f>
        <v>316</v>
      </c>
      <c r="G2346" s="1215"/>
      <c r="H2346" s="1269"/>
      <c r="I2346" s="1291">
        <v>156000</v>
      </c>
    </row>
    <row r="2347" spans="1:9" ht="15" customHeight="1">
      <c r="A2347" s="1253">
        <v>44202</v>
      </c>
      <c r="B2347" s="1209">
        <v>1780</v>
      </c>
      <c r="C2347" s="1210">
        <v>21440</v>
      </c>
      <c r="D2347" s="1230">
        <v>21170</v>
      </c>
      <c r="E2347" s="1212">
        <f t="shared" si="560"/>
        <v>-270</v>
      </c>
      <c r="F2347" s="1211">
        <f t="shared" ref="F2347" si="565">C2347-C2346</f>
        <v>90</v>
      </c>
      <c r="G2347" s="1215"/>
      <c r="H2347" s="1269"/>
      <c r="I2347" s="1291">
        <v>157250</v>
      </c>
    </row>
    <row r="2348" spans="1:9" ht="15" customHeight="1">
      <c r="A2348" s="1253">
        <v>44203</v>
      </c>
      <c r="B2348" s="1209">
        <v>1755</v>
      </c>
      <c r="C2348" s="1210">
        <v>21360</v>
      </c>
      <c r="D2348" s="1230">
        <v>21140</v>
      </c>
      <c r="E2348" s="1212">
        <f t="shared" si="560"/>
        <v>-220</v>
      </c>
      <c r="F2348" s="1211">
        <f t="shared" ref="F2348" si="566">C2348-C2347</f>
        <v>-80</v>
      </c>
      <c r="G2348" s="1215"/>
      <c r="H2348" s="1269"/>
      <c r="I2348" s="1291">
        <v>157500</v>
      </c>
    </row>
    <row r="2349" spans="1:9" ht="15" customHeight="1">
      <c r="A2349" s="1253">
        <v>44204</v>
      </c>
      <c r="B2349" s="1209">
        <v>1745</v>
      </c>
      <c r="C2349" s="1210">
        <v>21325</v>
      </c>
      <c r="D2349" s="1230">
        <v>21105</v>
      </c>
      <c r="E2349" s="1212">
        <f t="shared" si="560"/>
        <v>-220</v>
      </c>
      <c r="F2349" s="1211">
        <f t="shared" ref="F2349" si="567">C2349-C2348</f>
        <v>-35</v>
      </c>
      <c r="G2349" s="1215"/>
      <c r="H2349" s="1269"/>
      <c r="I2349" s="1291">
        <v>156750</v>
      </c>
    </row>
    <row r="2350" spans="1:9" ht="15" customHeight="1">
      <c r="A2350" s="1253">
        <v>44207</v>
      </c>
      <c r="B2350" s="1209">
        <v>1740</v>
      </c>
      <c r="C2350" s="1210">
        <v>20965</v>
      </c>
      <c r="D2350" s="1230">
        <v>20730</v>
      </c>
      <c r="E2350" s="1212">
        <f t="shared" si="560"/>
        <v>-235</v>
      </c>
      <c r="F2350" s="1211">
        <f t="shared" ref="F2350" si="568">C2350-C2349</f>
        <v>-360</v>
      </c>
      <c r="G2350" s="1215"/>
      <c r="H2350" s="1269"/>
      <c r="I2350" s="1291">
        <v>154250</v>
      </c>
    </row>
    <row r="2351" spans="1:9" ht="15" customHeight="1">
      <c r="A2351" s="1253">
        <v>44208</v>
      </c>
      <c r="B2351" s="1209">
        <v>1725</v>
      </c>
      <c r="C2351" s="1210">
        <v>21150</v>
      </c>
      <c r="D2351" s="1230">
        <v>20920</v>
      </c>
      <c r="E2351" s="1212">
        <f t="shared" si="560"/>
        <v>-230</v>
      </c>
      <c r="F2351" s="1211">
        <f t="shared" ref="F2351" si="569">C2351-C2350</f>
        <v>185</v>
      </c>
      <c r="G2351" s="1215"/>
      <c r="H2351" s="1269"/>
      <c r="I2351" s="1291">
        <v>153500</v>
      </c>
    </row>
    <row r="2352" spans="1:9" ht="15" customHeight="1">
      <c r="A2352" s="1253">
        <v>44209</v>
      </c>
      <c r="B2352" s="1209">
        <v>1685</v>
      </c>
      <c r="C2352" s="1210">
        <v>21418</v>
      </c>
      <c r="D2352" s="1230">
        <v>21059</v>
      </c>
      <c r="E2352" s="1212">
        <f t="shared" si="560"/>
        <v>-359</v>
      </c>
      <c r="F2352" s="1211">
        <f t="shared" ref="F2352" si="570">C2352-C2351</f>
        <v>268</v>
      </c>
      <c r="G2352" s="1215"/>
      <c r="H2352" s="1269"/>
      <c r="I2352" s="1291">
        <v>153500</v>
      </c>
    </row>
    <row r="2353" spans="1:9" ht="15" customHeight="1">
      <c r="A2353" s="1253">
        <v>44210</v>
      </c>
      <c r="B2353" s="1209">
        <v>1660</v>
      </c>
      <c r="C2353" s="1210">
        <v>21298</v>
      </c>
      <c r="D2353" s="1230">
        <v>21000</v>
      </c>
      <c r="E2353" s="1212">
        <f t="shared" si="560"/>
        <v>-298</v>
      </c>
      <c r="F2353" s="1211">
        <f t="shared" ref="F2353" si="571">C2353-C2352</f>
        <v>-120</v>
      </c>
      <c r="G2353" s="1215"/>
      <c r="H2353" s="1269"/>
      <c r="I2353" s="1291">
        <v>153500</v>
      </c>
    </row>
    <row r="2354" spans="1:9" ht="15" customHeight="1">
      <c r="A2354" s="1253">
        <v>44211</v>
      </c>
      <c r="B2354" s="1209">
        <v>1635</v>
      </c>
      <c r="C2354" s="1210">
        <v>21495</v>
      </c>
      <c r="D2354" s="1230">
        <v>21075</v>
      </c>
      <c r="E2354" s="1212">
        <f t="shared" si="560"/>
        <v>-420</v>
      </c>
      <c r="F2354" s="1211">
        <f t="shared" ref="F2354" si="572">C2354-C2353</f>
        <v>197</v>
      </c>
      <c r="G2354" s="1215"/>
      <c r="H2354" s="1269"/>
      <c r="I2354" s="1291">
        <v>154250</v>
      </c>
    </row>
    <row r="2355" spans="1:9" ht="15" customHeight="1">
      <c r="A2355" s="1253">
        <v>44214</v>
      </c>
      <c r="B2355" s="1209">
        <v>1635</v>
      </c>
      <c r="C2355" s="1210">
        <v>21806</v>
      </c>
      <c r="D2355" s="1230">
        <v>21324</v>
      </c>
      <c r="E2355" s="1212">
        <f t="shared" si="560"/>
        <v>-482</v>
      </c>
      <c r="F2355" s="1211">
        <f t="shared" ref="F2355" si="573">C2355-C2354</f>
        <v>311</v>
      </c>
      <c r="G2355" s="1215"/>
      <c r="H2355" s="1269"/>
      <c r="I2355" s="1291">
        <v>156000</v>
      </c>
    </row>
    <row r="2356" spans="1:9" ht="15" customHeight="1">
      <c r="A2356" s="1253">
        <v>44215</v>
      </c>
      <c r="B2356" s="1209">
        <v>1425</v>
      </c>
      <c r="C2356" s="1210">
        <v>21600</v>
      </c>
      <c r="D2356" s="1230">
        <v>21235</v>
      </c>
      <c r="E2356" s="1212">
        <f t="shared" si="560"/>
        <v>-365</v>
      </c>
      <c r="F2356" s="1211">
        <f t="shared" ref="F2356" si="574">C2356-C2355</f>
        <v>-206</v>
      </c>
      <c r="G2356" s="1215"/>
      <c r="H2356" s="1269"/>
      <c r="I2356" s="1291">
        <v>157250</v>
      </c>
    </row>
    <row r="2357" spans="1:9" ht="15" customHeight="1">
      <c r="A2357" s="1253">
        <v>44216</v>
      </c>
      <c r="B2357" s="1209">
        <v>1255</v>
      </c>
      <c r="C2357" s="1210">
        <v>21740</v>
      </c>
      <c r="D2357" s="1230">
        <v>21366</v>
      </c>
      <c r="E2357" s="1212">
        <f t="shared" si="560"/>
        <v>-374</v>
      </c>
      <c r="F2357" s="1211">
        <f t="shared" ref="F2357" si="575">C2357-C2356</f>
        <v>140</v>
      </c>
      <c r="G2357" s="1215"/>
      <c r="H2357" s="1269"/>
      <c r="I2357" s="1291">
        <v>157250</v>
      </c>
    </row>
    <row r="2358" spans="1:9" ht="15" customHeight="1">
      <c r="A2358" s="1253">
        <v>44217</v>
      </c>
      <c r="B2358" s="1209">
        <v>1030</v>
      </c>
      <c r="C2358" s="1210">
        <v>22645</v>
      </c>
      <c r="D2358" s="1230">
        <v>22115</v>
      </c>
      <c r="E2358" s="1212">
        <f t="shared" si="560"/>
        <v>-530</v>
      </c>
      <c r="F2358" s="1211">
        <f t="shared" ref="F2358" si="576">C2358-C2357</f>
        <v>905</v>
      </c>
      <c r="G2358" s="1215"/>
      <c r="H2358" s="1269"/>
      <c r="I2358" s="1291">
        <v>159250</v>
      </c>
    </row>
    <row r="2359" spans="1:9" ht="15" customHeight="1">
      <c r="A2359" s="1253">
        <v>44218</v>
      </c>
      <c r="B2359" s="1209">
        <v>1020</v>
      </c>
      <c r="C2359" s="1210">
        <v>22000</v>
      </c>
      <c r="D2359" s="1230">
        <v>21725</v>
      </c>
      <c r="E2359" s="1212">
        <f t="shared" si="560"/>
        <v>-275</v>
      </c>
      <c r="F2359" s="1211">
        <f t="shared" ref="F2359" si="577">C2359-C2358</f>
        <v>-645</v>
      </c>
      <c r="G2359" s="1215"/>
      <c r="H2359" s="1269"/>
      <c r="I2359" s="1291">
        <v>163000</v>
      </c>
    </row>
    <row r="2360" spans="1:9" ht="15" customHeight="1">
      <c r="A2360" s="1253">
        <v>44221</v>
      </c>
      <c r="B2360" s="1209">
        <v>1045</v>
      </c>
      <c r="C2360" s="1210">
        <v>23031</v>
      </c>
      <c r="D2360" s="1230">
        <v>22532</v>
      </c>
      <c r="E2360" s="1212">
        <f t="shared" si="560"/>
        <v>-499</v>
      </c>
      <c r="F2360" s="1211">
        <f t="shared" ref="F2360" si="578">C2360-C2359</f>
        <v>1031</v>
      </c>
      <c r="G2360" s="1215"/>
      <c r="H2360" s="1269"/>
      <c r="I2360" s="1291">
        <v>167500</v>
      </c>
    </row>
    <row r="2361" spans="1:9" ht="15" customHeight="1">
      <c r="A2361" s="1253">
        <v>44222</v>
      </c>
      <c r="B2361" s="1209">
        <v>1030</v>
      </c>
      <c r="C2361" s="1210">
        <v>23280</v>
      </c>
      <c r="D2361" s="1230">
        <v>22790</v>
      </c>
      <c r="E2361" s="1212">
        <f t="shared" si="560"/>
        <v>-490</v>
      </c>
      <c r="F2361" s="1211">
        <f t="shared" ref="F2361" si="579">C2361-C2360</f>
        <v>249</v>
      </c>
      <c r="G2361" s="1215"/>
      <c r="H2361" s="1269"/>
      <c r="I2361" s="1291">
        <v>169250</v>
      </c>
    </row>
    <row r="2362" spans="1:9" ht="15" customHeight="1">
      <c r="A2362" s="1253">
        <v>44223</v>
      </c>
      <c r="B2362" s="1209">
        <v>905</v>
      </c>
      <c r="C2362" s="1210">
        <v>23270</v>
      </c>
      <c r="D2362" s="1230">
        <v>22850</v>
      </c>
      <c r="E2362" s="1212">
        <f t="shared" si="560"/>
        <v>-420</v>
      </c>
      <c r="F2362" s="1211">
        <f t="shared" ref="F2362" si="580">C2362-C2361</f>
        <v>-10</v>
      </c>
      <c r="G2362" s="1215"/>
      <c r="H2362" s="1269"/>
      <c r="I2362" s="1291">
        <v>170750</v>
      </c>
    </row>
    <row r="2363" spans="1:9" ht="15" customHeight="1">
      <c r="A2363" s="1253">
        <v>44224</v>
      </c>
      <c r="B2363" s="1209">
        <v>880</v>
      </c>
      <c r="C2363" s="1210">
        <v>23245</v>
      </c>
      <c r="D2363" s="1230">
        <v>22785</v>
      </c>
      <c r="E2363" s="1212">
        <f t="shared" si="560"/>
        <v>-460</v>
      </c>
      <c r="F2363" s="1211">
        <f t="shared" ref="F2363:F2365" si="581">C2363-C2362</f>
        <v>-25</v>
      </c>
      <c r="G2363" s="1215"/>
      <c r="H2363" s="1269"/>
      <c r="I2363" s="1291">
        <v>170750</v>
      </c>
    </row>
    <row r="2364" spans="1:9" ht="15" customHeight="1">
      <c r="A2364" s="1253">
        <v>44225</v>
      </c>
      <c r="B2364" s="1209">
        <v>880</v>
      </c>
      <c r="C2364" s="1210">
        <v>23657</v>
      </c>
      <c r="D2364" s="1230">
        <v>23140</v>
      </c>
      <c r="E2364" s="1212">
        <f t="shared" si="560"/>
        <v>-517</v>
      </c>
      <c r="F2364" s="1211">
        <f t="shared" ref="F2364" si="582">C2364-C2363</f>
        <v>412</v>
      </c>
      <c r="G2364" s="1227">
        <f>AVERAGE($C$2345:C2364)</f>
        <v>21955.45</v>
      </c>
      <c r="H2364" s="1274">
        <f>AVERAGE($C$2345:C2364)</f>
        <v>21955.45</v>
      </c>
      <c r="I2364" s="1291">
        <v>172500</v>
      </c>
    </row>
    <row r="2365" spans="1:9" ht="15" customHeight="1">
      <c r="A2365" s="1253">
        <v>44228</v>
      </c>
      <c r="B2365" s="1209">
        <v>820</v>
      </c>
      <c r="C2365" s="1210">
        <v>24325</v>
      </c>
      <c r="D2365" s="1230">
        <v>22984</v>
      </c>
      <c r="E2365" s="1212">
        <f t="shared" si="560"/>
        <v>-1341</v>
      </c>
      <c r="F2365" s="1211">
        <f t="shared" si="581"/>
        <v>668</v>
      </c>
      <c r="G2365" s="1215"/>
      <c r="H2365" s="1269"/>
      <c r="I2365" s="1291">
        <v>169500</v>
      </c>
    </row>
    <row r="2366" spans="1:9" ht="15" customHeight="1">
      <c r="A2366" s="1253">
        <v>44229</v>
      </c>
      <c r="B2366" s="1209">
        <v>790</v>
      </c>
      <c r="C2366" s="1210">
        <v>25000</v>
      </c>
      <c r="D2366" s="1230">
        <v>23250</v>
      </c>
      <c r="E2366" s="1212">
        <f t="shared" si="560"/>
        <v>-1750</v>
      </c>
      <c r="F2366" s="1211">
        <f t="shared" ref="F2366" si="583">C2366-C2365</f>
        <v>675</v>
      </c>
      <c r="G2366" s="1215"/>
      <c r="H2366" s="1269"/>
      <c r="I2366" s="1291">
        <v>168500</v>
      </c>
    </row>
    <row r="2367" spans="1:9" ht="15" customHeight="1">
      <c r="A2367" s="1253">
        <v>44230</v>
      </c>
      <c r="B2367" s="1209">
        <v>790</v>
      </c>
      <c r="C2367" s="1210">
        <v>24600</v>
      </c>
      <c r="D2367" s="1230">
        <v>22915</v>
      </c>
      <c r="E2367" s="1212">
        <f t="shared" si="560"/>
        <v>-1685</v>
      </c>
      <c r="F2367" s="1211">
        <f t="shared" ref="F2367" si="584">C2367-C2366</f>
        <v>-400</v>
      </c>
      <c r="G2367" s="1215" t="s">
        <v>63</v>
      </c>
      <c r="H2367" s="1269"/>
      <c r="I2367" s="1291">
        <v>166000</v>
      </c>
    </row>
    <row r="2368" spans="1:9" ht="15" customHeight="1">
      <c r="A2368" s="1253">
        <v>44231</v>
      </c>
      <c r="B2368" s="1209">
        <v>810</v>
      </c>
      <c r="C2368" s="1210">
        <v>24240</v>
      </c>
      <c r="D2368" s="1230">
        <v>22850</v>
      </c>
      <c r="E2368" s="1212">
        <f t="shared" si="560"/>
        <v>-1390</v>
      </c>
      <c r="F2368" s="1211">
        <f t="shared" ref="F2368" si="585">C2368-C2367</f>
        <v>-360</v>
      </c>
      <c r="G2368" s="1215"/>
      <c r="H2368" s="1269"/>
      <c r="I2368" s="1291">
        <v>164750</v>
      </c>
    </row>
    <row r="2369" spans="1:9" ht="15" customHeight="1">
      <c r="A2369" s="1253">
        <v>44232</v>
      </c>
      <c r="B2369" s="1209">
        <v>810</v>
      </c>
      <c r="C2369" s="1210">
        <v>23985</v>
      </c>
      <c r="D2369" s="1230">
        <v>23035</v>
      </c>
      <c r="E2369" s="1212">
        <f t="shared" si="560"/>
        <v>-950</v>
      </c>
      <c r="F2369" s="1211">
        <f t="shared" ref="F2369" si="586">C2369-C2368</f>
        <v>-255</v>
      </c>
      <c r="G2369" s="1215"/>
      <c r="H2369" s="1269"/>
      <c r="I2369" s="1291">
        <v>164750</v>
      </c>
    </row>
    <row r="2370" spans="1:9" ht="15" customHeight="1">
      <c r="A2370" s="1253">
        <v>44235</v>
      </c>
      <c r="B2370" s="1209">
        <v>785</v>
      </c>
      <c r="C2370" s="1210">
        <v>24100</v>
      </c>
      <c r="D2370" s="1230">
        <v>23100</v>
      </c>
      <c r="E2370" s="1212">
        <f t="shared" si="560"/>
        <v>-1000</v>
      </c>
      <c r="F2370" s="1211">
        <f t="shared" ref="F2370" si="587">C2370-C2369</f>
        <v>115</v>
      </c>
      <c r="G2370" s="1215"/>
      <c r="H2370" s="1269"/>
      <c r="I2370" s="1291">
        <v>166250</v>
      </c>
    </row>
    <row r="2371" spans="1:9" ht="15" customHeight="1">
      <c r="A2371" s="1253">
        <v>44236</v>
      </c>
      <c r="B2371" s="1209">
        <v>775</v>
      </c>
      <c r="C2371" s="1210">
        <v>24300</v>
      </c>
      <c r="D2371" s="1230">
        <v>23045</v>
      </c>
      <c r="E2371" s="1212">
        <f t="shared" si="560"/>
        <v>-1255</v>
      </c>
      <c r="F2371" s="1211">
        <f t="shared" ref="F2371" si="588">C2371-C2370</f>
        <v>200</v>
      </c>
      <c r="G2371" s="1215"/>
      <c r="H2371" s="1269"/>
      <c r="I2371" s="1291">
        <v>164250</v>
      </c>
    </row>
    <row r="2372" spans="1:9" ht="15" customHeight="1">
      <c r="A2372" s="1253">
        <v>44237</v>
      </c>
      <c r="B2372" s="1209">
        <v>790</v>
      </c>
      <c r="C2372" s="1210">
        <v>25458</v>
      </c>
      <c r="D2372" s="1230">
        <v>23240</v>
      </c>
      <c r="E2372" s="1212">
        <f t="shared" si="560"/>
        <v>-2218</v>
      </c>
      <c r="F2372" s="1211">
        <f t="shared" ref="F2372" si="589">C2372-C2371</f>
        <v>1158</v>
      </c>
      <c r="G2372" s="1215"/>
      <c r="H2372" s="1269"/>
      <c r="I2372" s="1291">
        <v>164750</v>
      </c>
    </row>
    <row r="2373" spans="1:9" ht="15" customHeight="1">
      <c r="A2373" s="1253">
        <v>44238</v>
      </c>
      <c r="B2373" s="1209">
        <v>800</v>
      </c>
      <c r="C2373" s="1210">
        <v>25568</v>
      </c>
      <c r="D2373" s="1230">
        <v>23317</v>
      </c>
      <c r="E2373" s="1212">
        <f t="shared" si="560"/>
        <v>-2251</v>
      </c>
      <c r="F2373" s="1211">
        <f t="shared" ref="F2373" si="590">C2373-C2372</f>
        <v>110</v>
      </c>
      <c r="G2373" s="1215"/>
      <c r="H2373" s="1269"/>
      <c r="I2373" s="1433"/>
    </row>
    <row r="2374" spans="1:9" ht="15" customHeight="1">
      <c r="A2374" s="1253">
        <v>44239</v>
      </c>
      <c r="B2374" s="1209">
        <v>790</v>
      </c>
      <c r="C2374" s="1210">
        <v>25290</v>
      </c>
      <c r="D2374" s="1230">
        <v>23443</v>
      </c>
      <c r="E2374" s="1212">
        <f t="shared" si="560"/>
        <v>-1847</v>
      </c>
      <c r="F2374" s="1211">
        <f t="shared" ref="F2374:F2379" si="591">C2374-C2373</f>
        <v>-278</v>
      </c>
      <c r="G2374" s="1215"/>
      <c r="H2374" s="1269"/>
      <c r="I2374" s="1433"/>
    </row>
    <row r="2375" spans="1:9" ht="15" customHeight="1">
      <c r="A2375" s="1253">
        <v>44242</v>
      </c>
      <c r="B2375" s="1209">
        <v>1340</v>
      </c>
      <c r="C2375" s="1210">
        <v>28899</v>
      </c>
      <c r="D2375" s="1230">
        <v>24151</v>
      </c>
      <c r="E2375" s="1212">
        <f t="shared" si="560"/>
        <v>-4748</v>
      </c>
      <c r="F2375" s="1211">
        <f t="shared" si="591"/>
        <v>3609</v>
      </c>
      <c r="G2375" s="1215"/>
      <c r="H2375" s="1269"/>
      <c r="I2375" s="1433"/>
    </row>
    <row r="2376" spans="1:9" ht="15" customHeight="1">
      <c r="A2376" s="1253">
        <v>44243</v>
      </c>
      <c r="B2376" s="1209">
        <v>1360</v>
      </c>
      <c r="C2376" s="1210">
        <v>27760</v>
      </c>
      <c r="D2376" s="1230">
        <v>24237</v>
      </c>
      <c r="E2376" s="1212">
        <f t="shared" ref="E2376" si="592">D2376-C2376</f>
        <v>-3523</v>
      </c>
      <c r="F2376" s="1211">
        <f t="shared" si="591"/>
        <v>-1139</v>
      </c>
      <c r="G2376" s="1215"/>
      <c r="H2376" s="1269"/>
      <c r="I2376" s="1433"/>
    </row>
    <row r="2377" spans="1:9" ht="15" customHeight="1">
      <c r="A2377" s="1253">
        <v>44244</v>
      </c>
      <c r="B2377" s="1209">
        <v>1375</v>
      </c>
      <c r="C2377" s="1210">
        <v>28710</v>
      </c>
      <c r="D2377" s="1230">
        <v>24620</v>
      </c>
      <c r="E2377" s="1212">
        <f t="shared" ref="E2377" si="593">D2377-C2377</f>
        <v>-4090</v>
      </c>
      <c r="F2377" s="1211">
        <f t="shared" si="591"/>
        <v>950</v>
      </c>
      <c r="G2377" s="1215"/>
      <c r="H2377" s="1269"/>
      <c r="I2377" s="1433"/>
    </row>
    <row r="2378" spans="1:9" ht="15" customHeight="1">
      <c r="A2378" s="1253">
        <v>44245</v>
      </c>
      <c r="B2378" s="1209">
        <v>1385</v>
      </c>
      <c r="C2378" s="1210">
        <v>28162</v>
      </c>
      <c r="D2378" s="1230">
        <v>25250</v>
      </c>
      <c r="E2378" s="1212">
        <f t="shared" ref="E2378" si="594">D2378-C2378</f>
        <v>-2912</v>
      </c>
      <c r="F2378" s="1211">
        <f t="shared" si="591"/>
        <v>-548</v>
      </c>
      <c r="G2378" s="1215"/>
      <c r="H2378" s="1269"/>
      <c r="I2378" s="1291">
        <v>171500</v>
      </c>
    </row>
    <row r="2379" spans="1:9" ht="15" customHeight="1">
      <c r="A2379" s="1253">
        <v>44246</v>
      </c>
      <c r="B2379" s="1209">
        <v>1350</v>
      </c>
      <c r="C2379" s="1210">
        <v>29349</v>
      </c>
      <c r="D2379" s="1230">
        <v>25446</v>
      </c>
      <c r="E2379" s="1212">
        <f t="shared" ref="E2379" si="595">D2379-C2379</f>
        <v>-3903</v>
      </c>
      <c r="F2379" s="1211">
        <f t="shared" si="591"/>
        <v>1187</v>
      </c>
      <c r="G2379" s="1215"/>
      <c r="H2379" s="1269"/>
      <c r="I2379" s="1291">
        <v>178750</v>
      </c>
    </row>
    <row r="2380" spans="1:9" ht="15" customHeight="1">
      <c r="A2380" s="1253">
        <v>44249</v>
      </c>
      <c r="B2380" s="1209">
        <v>1405</v>
      </c>
      <c r="C2380" s="1210">
        <v>29540</v>
      </c>
      <c r="D2380" s="1230">
        <v>26700</v>
      </c>
      <c r="E2380" s="1212">
        <f t="shared" ref="E2380" si="596">D2380-C2380</f>
        <v>-2840</v>
      </c>
      <c r="F2380" s="1211">
        <f t="shared" ref="F2380" si="597">C2380-C2379</f>
        <v>191</v>
      </c>
      <c r="G2380" s="1215"/>
      <c r="H2380" s="1269"/>
      <c r="I2380" s="1291">
        <v>191750</v>
      </c>
    </row>
    <row r="2381" spans="1:9" ht="15" customHeight="1">
      <c r="A2381" s="1253">
        <v>44250</v>
      </c>
      <c r="B2381" s="1209">
        <v>1510</v>
      </c>
      <c r="C2381" s="1210">
        <v>29485</v>
      </c>
      <c r="D2381" s="1230">
        <v>26975</v>
      </c>
      <c r="E2381" s="1212">
        <f t="shared" ref="E2381" si="598">D2381-C2381</f>
        <v>-2510</v>
      </c>
      <c r="F2381" s="1211">
        <f t="shared" ref="F2381" si="599">C2381-C2380</f>
        <v>-55</v>
      </c>
      <c r="G2381" s="1215"/>
      <c r="H2381" s="1269"/>
      <c r="I2381" s="1291">
        <v>191750</v>
      </c>
    </row>
    <row r="2382" spans="1:9" ht="15" customHeight="1">
      <c r="A2382" s="1253">
        <v>44251</v>
      </c>
      <c r="B2382" s="1209">
        <v>1665</v>
      </c>
      <c r="C2382" s="1210">
        <v>28515</v>
      </c>
      <c r="D2382" s="1230">
        <v>26565</v>
      </c>
      <c r="E2382" s="1212">
        <f t="shared" ref="E2382" si="600">D2382-C2382</f>
        <v>-1950</v>
      </c>
      <c r="F2382" s="1211">
        <f t="shared" ref="F2382:F2387" si="601">C2382-C2381</f>
        <v>-970</v>
      </c>
      <c r="G2382" s="1215"/>
      <c r="H2382" s="1269"/>
      <c r="I2382" s="1291">
        <v>189250</v>
      </c>
    </row>
    <row r="2383" spans="1:9" ht="15" customHeight="1">
      <c r="A2383" s="1253">
        <v>44252</v>
      </c>
      <c r="B2383" s="1209">
        <v>1740</v>
      </c>
      <c r="C2383" s="1210">
        <v>29560</v>
      </c>
      <c r="D2383" s="1230">
        <v>27310</v>
      </c>
      <c r="E2383" s="1212">
        <f t="shared" ref="E2383:E2388" si="602">D2383-C2383</f>
        <v>-2250</v>
      </c>
      <c r="F2383" s="1211">
        <f t="shared" si="601"/>
        <v>1045</v>
      </c>
      <c r="G2383" s="1215"/>
      <c r="H2383" s="1269"/>
      <c r="I2383" s="1291">
        <v>197000</v>
      </c>
    </row>
    <row r="2384" spans="1:9" ht="15" customHeight="1">
      <c r="A2384" s="1253">
        <v>44253</v>
      </c>
      <c r="B2384" s="1209">
        <v>1730</v>
      </c>
      <c r="C2384" s="1210">
        <v>27500</v>
      </c>
      <c r="D2384" s="1230">
        <v>25875</v>
      </c>
      <c r="E2384" s="1212">
        <f t="shared" si="602"/>
        <v>-1625</v>
      </c>
      <c r="F2384" s="1211">
        <f t="shared" si="601"/>
        <v>-2060</v>
      </c>
      <c r="G2384" s="1227">
        <f>AVERAGE($C$2365:C2384)</f>
        <v>26717.3</v>
      </c>
      <c r="H2384" s="1274">
        <f>AVERAGE($C$2345:C2384)</f>
        <v>24336.375</v>
      </c>
      <c r="I2384" s="1291">
        <v>186000</v>
      </c>
    </row>
    <row r="2385" spans="1:9" ht="15" customHeight="1">
      <c r="A2385" s="1253">
        <v>44256</v>
      </c>
      <c r="B2385" s="1209">
        <v>1745</v>
      </c>
      <c r="C2385" s="1210">
        <v>24505</v>
      </c>
      <c r="D2385" s="1230">
        <v>23031</v>
      </c>
      <c r="E2385" s="1212">
        <f t="shared" si="602"/>
        <v>-1474</v>
      </c>
      <c r="F2385" s="1211">
        <f t="shared" si="601"/>
        <v>-2995</v>
      </c>
      <c r="G2385" s="1215"/>
      <c r="H2385" s="1269"/>
      <c r="I2385" s="1291">
        <v>184000</v>
      </c>
    </row>
    <row r="2386" spans="1:9" ht="15" customHeight="1">
      <c r="A2386" s="1253">
        <v>44257</v>
      </c>
      <c r="B2386" s="1209">
        <v>1720</v>
      </c>
      <c r="C2386" s="1210">
        <v>25090</v>
      </c>
      <c r="D2386" s="1230">
        <v>24165</v>
      </c>
      <c r="E2386" s="1212">
        <f t="shared" si="602"/>
        <v>-925</v>
      </c>
      <c r="F2386" s="1211">
        <f t="shared" si="601"/>
        <v>585</v>
      </c>
      <c r="G2386" s="1215"/>
      <c r="H2386" s="1269"/>
      <c r="I2386" s="1291">
        <v>177000</v>
      </c>
    </row>
    <row r="2387" spans="1:9" ht="15" customHeight="1">
      <c r="A2387" s="1253">
        <v>44258</v>
      </c>
      <c r="B2387" s="1209">
        <v>1720</v>
      </c>
      <c r="C2387" s="1210">
        <v>25880</v>
      </c>
      <c r="D2387" s="1230">
        <v>24430</v>
      </c>
      <c r="E2387" s="1212">
        <f t="shared" si="602"/>
        <v>-1450</v>
      </c>
      <c r="F2387" s="1211">
        <f t="shared" si="601"/>
        <v>790</v>
      </c>
      <c r="G2387" s="1215"/>
      <c r="H2387" s="1269"/>
      <c r="I2387" s="1291">
        <v>178500</v>
      </c>
    </row>
    <row r="2388" spans="1:9" ht="15" customHeight="1">
      <c r="A2388" s="1253">
        <v>44259</v>
      </c>
      <c r="B2388" s="1209">
        <v>1755</v>
      </c>
      <c r="C2388" s="1210">
        <v>25000</v>
      </c>
      <c r="D2388" s="1230">
        <v>23700</v>
      </c>
      <c r="E2388" s="1212">
        <f t="shared" si="602"/>
        <v>-1300</v>
      </c>
      <c r="F2388" s="1211">
        <f t="shared" ref="F2388" si="603">C2388-C2387</f>
        <v>-880</v>
      </c>
      <c r="G2388" s="1215"/>
      <c r="H2388" s="1269"/>
      <c r="I2388" s="1291">
        <v>176000</v>
      </c>
    </row>
    <row r="2389" spans="1:9" ht="15" customHeight="1">
      <c r="A2389" s="1253">
        <v>44260</v>
      </c>
      <c r="B2389" s="1209">
        <v>1690</v>
      </c>
      <c r="C2389" s="1210">
        <v>26539</v>
      </c>
      <c r="D2389" s="1230">
        <v>24255</v>
      </c>
      <c r="E2389" s="1212">
        <f t="shared" ref="E2389" si="604">D2389-C2389</f>
        <v>-2284</v>
      </c>
      <c r="F2389" s="1211">
        <f t="shared" ref="F2389" si="605">C2389-C2388</f>
        <v>1539</v>
      </c>
      <c r="G2389" s="1215"/>
      <c r="H2389" s="1269"/>
      <c r="I2389" s="1291">
        <v>172500</v>
      </c>
    </row>
    <row r="2390" spans="1:9" ht="15" customHeight="1">
      <c r="A2390" s="1253">
        <v>44263</v>
      </c>
      <c r="B2390" s="1209">
        <v>1780</v>
      </c>
      <c r="C2390" s="1210">
        <v>26686</v>
      </c>
      <c r="D2390" s="1230">
        <v>24250</v>
      </c>
      <c r="E2390" s="1212">
        <f t="shared" ref="E2390" si="606">D2390-C2390</f>
        <v>-2436</v>
      </c>
      <c r="F2390" s="1211">
        <f t="shared" ref="F2390" si="607">C2390-C2389</f>
        <v>147</v>
      </c>
      <c r="G2390" s="1215"/>
      <c r="H2390" s="1269"/>
      <c r="I2390" s="1291">
        <v>176500</v>
      </c>
    </row>
    <row r="2391" spans="1:9" ht="15" customHeight="1">
      <c r="A2391" s="1253">
        <v>44264</v>
      </c>
      <c r="B2391" s="1209">
        <v>1770</v>
      </c>
      <c r="C2391" s="1210">
        <v>27300</v>
      </c>
      <c r="D2391" s="1230">
        <v>24340</v>
      </c>
      <c r="E2391" s="1212">
        <f t="shared" ref="E2391" si="608">D2391-C2391</f>
        <v>-2960</v>
      </c>
      <c r="F2391" s="1211">
        <f t="shared" ref="F2391" si="609">C2391-C2390</f>
        <v>614</v>
      </c>
      <c r="G2391" s="1215"/>
      <c r="H2391" s="1269"/>
      <c r="I2391" s="1291">
        <v>172500</v>
      </c>
    </row>
    <row r="2392" spans="1:9" ht="15" customHeight="1">
      <c r="A2392" s="1253">
        <v>44265</v>
      </c>
      <c r="B2392" s="1209">
        <v>1750</v>
      </c>
      <c r="C2392" s="1210">
        <v>27700</v>
      </c>
      <c r="D2392" s="1230">
        <v>24885</v>
      </c>
      <c r="E2392" s="1212">
        <f t="shared" ref="E2392" si="610">D2392-C2392</f>
        <v>-2815</v>
      </c>
      <c r="F2392" s="1211">
        <f t="shared" ref="F2392" si="611">C2392-C2391</f>
        <v>400</v>
      </c>
      <c r="G2392" s="1215"/>
      <c r="H2392" s="1269"/>
      <c r="I2392" s="1291">
        <v>176000</v>
      </c>
    </row>
    <row r="2393" spans="1:9" ht="15" customHeight="1">
      <c r="A2393" s="1253">
        <v>44266</v>
      </c>
      <c r="B2393" s="1209">
        <v>1685</v>
      </c>
      <c r="C2393" s="1210">
        <v>30995</v>
      </c>
      <c r="D2393" s="1230">
        <v>26100</v>
      </c>
      <c r="E2393" s="1212">
        <f t="shared" ref="E2393" si="612">D2393-C2393</f>
        <v>-4895</v>
      </c>
      <c r="F2393" s="1211">
        <f t="shared" ref="F2393" si="613">C2393-C2392</f>
        <v>3295</v>
      </c>
      <c r="G2393" s="1215"/>
      <c r="H2393" s="1269"/>
      <c r="I2393" s="1291">
        <v>177250</v>
      </c>
    </row>
    <row r="2394" spans="1:9" ht="15" customHeight="1">
      <c r="A2394" s="1253">
        <v>44267</v>
      </c>
      <c r="B2394" s="1209">
        <v>1800</v>
      </c>
      <c r="C2394" s="1210">
        <v>30900</v>
      </c>
      <c r="D2394" s="1230">
        <v>26170</v>
      </c>
      <c r="E2394" s="1212">
        <f t="shared" ref="E2394" si="614">D2394-C2394</f>
        <v>-4730</v>
      </c>
      <c r="F2394" s="1211">
        <f t="shared" ref="F2394" si="615">C2394-C2393</f>
        <v>-95</v>
      </c>
      <c r="G2394" s="1215"/>
      <c r="H2394" s="1269"/>
      <c r="I2394" s="1291">
        <v>179000</v>
      </c>
    </row>
    <row r="2395" spans="1:9" ht="15" customHeight="1">
      <c r="A2395" s="1253">
        <v>44270</v>
      </c>
      <c r="B2395" s="1209">
        <v>1775</v>
      </c>
      <c r="C2395" s="1210">
        <v>26532</v>
      </c>
      <c r="D2395" s="1230">
        <v>25265</v>
      </c>
      <c r="E2395" s="1212">
        <f t="shared" ref="E2395" si="616">D2395-C2395</f>
        <v>-1267</v>
      </c>
      <c r="F2395" s="1211">
        <f t="shared" ref="F2395" si="617">C2395-C2394</f>
        <v>-4368</v>
      </c>
      <c r="G2395" s="1215"/>
      <c r="H2395" s="1269"/>
      <c r="I2395" s="1291">
        <v>176500</v>
      </c>
    </row>
    <row r="2396" spans="1:9" ht="15" customHeight="1">
      <c r="A2396" s="1253">
        <v>44271</v>
      </c>
      <c r="B2396" s="1209">
        <v>1810</v>
      </c>
      <c r="C2396" s="1210">
        <v>26874</v>
      </c>
      <c r="D2396" s="1230">
        <v>25220</v>
      </c>
      <c r="E2396" s="1212">
        <f t="shared" ref="E2396" si="618">D2396-C2396</f>
        <v>-1654</v>
      </c>
      <c r="F2396" s="1211">
        <f t="shared" ref="F2396" si="619">C2396-C2395</f>
        <v>342</v>
      </c>
      <c r="G2396" s="1215"/>
      <c r="H2396" s="1269"/>
      <c r="I2396" s="1291">
        <v>175500</v>
      </c>
    </row>
    <row r="2397" spans="1:9" ht="15" customHeight="1">
      <c r="A2397" s="1253">
        <v>44272</v>
      </c>
      <c r="B2397" s="1209">
        <v>1835</v>
      </c>
      <c r="C2397" s="1210">
        <v>28200</v>
      </c>
      <c r="D2397" s="1230">
        <v>25820</v>
      </c>
      <c r="E2397" s="1212">
        <f t="shared" ref="E2397" si="620">D2397-C2397</f>
        <v>-2380</v>
      </c>
      <c r="F2397" s="1211">
        <f t="shared" ref="F2397" si="621">C2397-C2396</f>
        <v>1326</v>
      </c>
      <c r="G2397" s="1215"/>
      <c r="H2397" s="1269"/>
      <c r="I2397" s="1291">
        <v>175000</v>
      </c>
    </row>
    <row r="2398" spans="1:9" ht="15" customHeight="1">
      <c r="A2398" s="1253">
        <v>44273</v>
      </c>
      <c r="B2398" s="1209">
        <v>1780</v>
      </c>
      <c r="C2398" s="1210">
        <v>29750</v>
      </c>
      <c r="D2398" s="1230">
        <v>25950</v>
      </c>
      <c r="E2398" s="1212">
        <f t="shared" ref="E2398" si="622">D2398-C2398</f>
        <v>-3800</v>
      </c>
      <c r="F2398" s="1211">
        <f t="shared" ref="F2398" si="623">C2398-C2397</f>
        <v>1550</v>
      </c>
      <c r="G2398" s="1215"/>
      <c r="H2398" s="1269"/>
      <c r="I2398" s="1291">
        <v>176750</v>
      </c>
    </row>
    <row r="2399" spans="1:9" ht="15" customHeight="1">
      <c r="A2399" s="1253">
        <v>44274</v>
      </c>
      <c r="B2399" s="1209">
        <v>1825</v>
      </c>
      <c r="C2399" s="1210">
        <v>27750</v>
      </c>
      <c r="D2399" s="1230">
        <v>25350</v>
      </c>
      <c r="E2399" s="1212">
        <f t="shared" ref="E2399" si="624">D2399-C2399</f>
        <v>-2400</v>
      </c>
      <c r="F2399" s="1211">
        <f t="shared" ref="F2399" si="625">C2399-C2398</f>
        <v>-2000</v>
      </c>
      <c r="G2399" s="1215"/>
      <c r="H2399" s="1269"/>
      <c r="I2399" s="1291">
        <v>178000</v>
      </c>
    </row>
    <row r="2400" spans="1:9" ht="15" customHeight="1">
      <c r="A2400" s="1253">
        <v>44277</v>
      </c>
      <c r="B2400" s="1209">
        <v>1815</v>
      </c>
      <c r="C2400" s="1210">
        <v>27250</v>
      </c>
      <c r="D2400" s="1230">
        <v>25540</v>
      </c>
      <c r="E2400" s="1212">
        <f t="shared" ref="E2400" si="626">D2400-C2400</f>
        <v>-1710</v>
      </c>
      <c r="F2400" s="1211">
        <f t="shared" ref="F2400" si="627">C2400-C2399</f>
        <v>-500</v>
      </c>
      <c r="G2400" s="1215"/>
      <c r="H2400" s="1269"/>
      <c r="I2400" s="1291">
        <v>177750</v>
      </c>
    </row>
    <row r="2401" spans="1:9" ht="15" customHeight="1">
      <c r="A2401" s="1253">
        <v>44278</v>
      </c>
      <c r="B2401" s="1209">
        <v>1750</v>
      </c>
      <c r="C2401" s="1210">
        <v>28015</v>
      </c>
      <c r="D2401" s="1230">
        <v>26045</v>
      </c>
      <c r="E2401" s="1212">
        <f t="shared" ref="E2401" si="628">D2401-C2401</f>
        <v>-1970</v>
      </c>
      <c r="F2401" s="1211">
        <f t="shared" ref="F2401" si="629">C2401-C2400</f>
        <v>765</v>
      </c>
      <c r="G2401" s="1215"/>
      <c r="H2401" s="1269"/>
      <c r="I2401" s="1291">
        <v>178250</v>
      </c>
    </row>
    <row r="2402" spans="1:9" ht="15" customHeight="1">
      <c r="A2402" s="1253">
        <v>44279</v>
      </c>
      <c r="B2402" s="1209">
        <v>1685</v>
      </c>
      <c r="C2402" s="1210">
        <v>26507</v>
      </c>
      <c r="D2402" s="1230">
        <v>25245</v>
      </c>
      <c r="E2402" s="1212">
        <f t="shared" ref="E2402" si="630">D2402-C2402</f>
        <v>-1262</v>
      </c>
      <c r="F2402" s="1211">
        <f t="shared" ref="F2402" si="631">C2402-C2401</f>
        <v>-1508</v>
      </c>
      <c r="G2402" s="1215"/>
      <c r="H2402" s="1269"/>
      <c r="I2402" s="1291">
        <v>174250</v>
      </c>
    </row>
    <row r="2403" spans="1:9" ht="15" customHeight="1">
      <c r="A2403" s="1253">
        <v>44280</v>
      </c>
      <c r="B2403" s="1209">
        <v>1685</v>
      </c>
      <c r="C2403" s="1210">
        <v>27250</v>
      </c>
      <c r="D2403" s="1230">
        <v>25310</v>
      </c>
      <c r="E2403" s="1212">
        <f t="shared" ref="E2403:E2406" si="632">D2403-C2403</f>
        <v>-1940</v>
      </c>
      <c r="F2403" s="1211">
        <f t="shared" ref="F2403" si="633">C2403-C2402</f>
        <v>743</v>
      </c>
      <c r="G2403" s="1215"/>
      <c r="H2403" s="1269"/>
      <c r="I2403" s="1291">
        <v>172750</v>
      </c>
    </row>
    <row r="2404" spans="1:9" ht="15" customHeight="1">
      <c r="A2404" s="1253">
        <v>44281</v>
      </c>
      <c r="B2404" s="1209">
        <v>1705</v>
      </c>
      <c r="C2404" s="1210">
        <v>28775</v>
      </c>
      <c r="D2404" s="1230">
        <v>25648</v>
      </c>
      <c r="E2404" s="1212">
        <f t="shared" si="632"/>
        <v>-3127</v>
      </c>
      <c r="F2404" s="1211">
        <f t="shared" ref="F2404" si="634">C2404-C2403</f>
        <v>1525</v>
      </c>
      <c r="G2404" s="1215"/>
      <c r="H2404" s="1269"/>
      <c r="I2404" s="1291">
        <v>173250</v>
      </c>
    </row>
    <row r="2405" spans="1:9" ht="15" customHeight="1">
      <c r="A2405" s="1253">
        <v>44284</v>
      </c>
      <c r="B2405" s="1209">
        <v>1690</v>
      </c>
      <c r="C2405" s="1210">
        <v>27920</v>
      </c>
      <c r="D2405" s="1230">
        <v>25350</v>
      </c>
      <c r="E2405" s="1212">
        <f t="shared" si="632"/>
        <v>-2570</v>
      </c>
      <c r="F2405" s="1211">
        <f t="shared" ref="F2405" si="635">C2405-C2404</f>
        <v>-855</v>
      </c>
      <c r="G2405" s="1215"/>
      <c r="H2405" s="1269"/>
      <c r="I2405" s="1291">
        <v>175750</v>
      </c>
    </row>
    <row r="2406" spans="1:9" ht="15" customHeight="1">
      <c r="A2406" s="1253">
        <v>44285</v>
      </c>
      <c r="B2406" s="1209">
        <v>1770</v>
      </c>
      <c r="C2406" s="1210">
        <v>27517</v>
      </c>
      <c r="D2406" s="1230">
        <v>25440</v>
      </c>
      <c r="E2406" s="1212">
        <f t="shared" si="632"/>
        <v>-2077</v>
      </c>
      <c r="F2406" s="1211">
        <f t="shared" ref="F2406" si="636">C2406-C2405</f>
        <v>-403</v>
      </c>
      <c r="G2406" s="1215"/>
      <c r="H2406" s="1269"/>
      <c r="I2406" s="1291">
        <v>175750</v>
      </c>
    </row>
    <row r="2407" spans="1:9" ht="15" customHeight="1">
      <c r="A2407" s="1253">
        <v>44286</v>
      </c>
      <c r="B2407" s="1209">
        <v>1770</v>
      </c>
      <c r="C2407" s="1210">
        <v>27180</v>
      </c>
      <c r="D2407" s="1230">
        <v>25300</v>
      </c>
      <c r="E2407" s="1212">
        <f t="shared" ref="E2407:E2408" si="637">D2407-C2407</f>
        <v>-1880</v>
      </c>
      <c r="F2407" s="1211">
        <f t="shared" ref="F2407:F2408" si="638">C2407-C2406</f>
        <v>-337</v>
      </c>
      <c r="G2407" s="1227">
        <f>AVERAGE($C$2385:C2407)</f>
        <v>27396.304347826088</v>
      </c>
      <c r="H2407" s="1274">
        <f>AVERAGE($C$2345:C2407)</f>
        <v>25453.492063492064</v>
      </c>
      <c r="I2407" s="1291">
        <v>173500</v>
      </c>
    </row>
    <row r="2408" spans="1:9" ht="15" customHeight="1">
      <c r="A2408" s="1253">
        <v>44287</v>
      </c>
      <c r="B2408" s="1209">
        <v>1740</v>
      </c>
      <c r="C2408" s="1210">
        <v>27369</v>
      </c>
      <c r="D2408" s="1230">
        <v>25202</v>
      </c>
      <c r="E2408" s="1212">
        <f t="shared" si="637"/>
        <v>-2167</v>
      </c>
      <c r="F2408" s="1211">
        <f t="shared" si="638"/>
        <v>189</v>
      </c>
      <c r="G2408" s="1215"/>
      <c r="H2408" s="1269"/>
      <c r="I2408" s="1291">
        <v>177250</v>
      </c>
    </row>
    <row r="2409" spans="1:9" ht="15" customHeight="1">
      <c r="A2409" s="1253">
        <v>44288</v>
      </c>
      <c r="B2409" s="1438" t="s">
        <v>61</v>
      </c>
      <c r="C2409" s="1438"/>
      <c r="D2409" s="1438"/>
      <c r="E2409" s="1212"/>
      <c r="F2409" s="1220"/>
      <c r="G2409" s="1215"/>
      <c r="H2409" s="1269"/>
      <c r="I2409" s="1291">
        <v>179150</v>
      </c>
    </row>
    <row r="2410" spans="1:9" ht="15" customHeight="1">
      <c r="A2410" s="1253">
        <v>44291</v>
      </c>
      <c r="B2410" s="1438"/>
      <c r="C2410" s="1438"/>
      <c r="D2410" s="1438"/>
      <c r="E2410" s="1212"/>
      <c r="F2410" s="1220"/>
      <c r="G2410" s="1215"/>
      <c r="H2410" s="1269"/>
      <c r="I2410" s="1291">
        <v>181000</v>
      </c>
    </row>
    <row r="2411" spans="1:9" ht="15" customHeight="1">
      <c r="A2411" s="1253">
        <v>44292</v>
      </c>
      <c r="B2411" s="1209">
        <v>1710</v>
      </c>
      <c r="C2411" s="1210">
        <v>28350</v>
      </c>
      <c r="D2411" s="1230">
        <v>25897</v>
      </c>
      <c r="E2411" s="1212">
        <f t="shared" ref="E2411" si="639">D2411-C2411</f>
        <v>-2453</v>
      </c>
      <c r="F2411" s="1211">
        <f>C2411-C2408</f>
        <v>981</v>
      </c>
      <c r="G2411" s="1215"/>
      <c r="H2411" s="1269"/>
      <c r="I2411" s="1291">
        <v>186750</v>
      </c>
    </row>
    <row r="2412" spans="1:9" ht="15" customHeight="1">
      <c r="A2412" s="1253">
        <v>44293</v>
      </c>
      <c r="B2412" s="1209">
        <v>1715</v>
      </c>
      <c r="C2412" s="1210">
        <v>28110</v>
      </c>
      <c r="D2412" s="1230">
        <v>25874</v>
      </c>
      <c r="E2412" s="1212">
        <f t="shared" ref="E2412" si="640">D2412-C2412</f>
        <v>-2236</v>
      </c>
      <c r="F2412" s="1211">
        <f t="shared" ref="F2412" si="641">C2412-C2411</f>
        <v>-240</v>
      </c>
      <c r="G2412" s="1215"/>
      <c r="H2412" s="1269"/>
      <c r="I2412" s="1291">
        <v>184500</v>
      </c>
    </row>
    <row r="2413" spans="1:9" ht="15" customHeight="1">
      <c r="A2413" s="1253">
        <v>44294</v>
      </c>
      <c r="B2413" s="1209">
        <v>1710</v>
      </c>
      <c r="C2413" s="1210">
        <v>27740</v>
      </c>
      <c r="D2413" s="1230">
        <v>25830</v>
      </c>
      <c r="E2413" s="1212">
        <f t="shared" ref="E2413" si="642">D2413-C2413</f>
        <v>-1910</v>
      </c>
      <c r="F2413" s="1211">
        <f t="shared" ref="F2413:F2418" si="643">C2413-C2412</f>
        <v>-370</v>
      </c>
      <c r="G2413" s="1215"/>
      <c r="H2413" s="1269"/>
      <c r="I2413" s="1291">
        <v>182250</v>
      </c>
    </row>
    <row r="2414" spans="1:9" ht="15" customHeight="1">
      <c r="A2414" s="1253">
        <v>44295</v>
      </c>
      <c r="B2414" s="1209">
        <v>1685</v>
      </c>
      <c r="C2414" s="1210">
        <v>28060</v>
      </c>
      <c r="D2414" s="1230">
        <v>25798</v>
      </c>
      <c r="E2414" s="1212">
        <f t="shared" ref="E2414" si="644">D2414-C2414</f>
        <v>-2262</v>
      </c>
      <c r="F2414" s="1211">
        <f t="shared" si="643"/>
        <v>320</v>
      </c>
      <c r="G2414" s="1215"/>
      <c r="H2414" s="1269"/>
      <c r="I2414" s="1291">
        <v>182750</v>
      </c>
    </row>
    <row r="2415" spans="1:9" ht="15" customHeight="1">
      <c r="A2415" s="1253">
        <v>44298</v>
      </c>
      <c r="B2415" s="1209">
        <v>1625</v>
      </c>
      <c r="C2415" s="1210">
        <v>27883</v>
      </c>
      <c r="D2415" s="1230">
        <v>25757</v>
      </c>
      <c r="E2415" s="1212">
        <f t="shared" ref="E2415" si="645">D2415-C2415</f>
        <v>-2126</v>
      </c>
      <c r="F2415" s="1211">
        <f t="shared" si="643"/>
        <v>-177</v>
      </c>
      <c r="G2415" s="1215"/>
      <c r="H2415" s="1269"/>
      <c r="I2415" s="1291">
        <v>179250</v>
      </c>
    </row>
    <row r="2416" spans="1:9" ht="15" customHeight="1">
      <c r="A2416" s="1253">
        <v>44299</v>
      </c>
      <c r="B2416" s="1209">
        <v>1570</v>
      </c>
      <c r="C2416" s="1210">
        <v>27480</v>
      </c>
      <c r="D2416" s="1230">
        <v>25630</v>
      </c>
      <c r="E2416" s="1212">
        <f t="shared" ref="E2416" si="646">D2416-C2416</f>
        <v>-1850</v>
      </c>
      <c r="F2416" s="1211">
        <f t="shared" si="643"/>
        <v>-403</v>
      </c>
      <c r="G2416" s="1215"/>
      <c r="H2416" s="1269"/>
      <c r="I2416" s="1291">
        <v>177250</v>
      </c>
    </row>
    <row r="2417" spans="1:9" ht="15" customHeight="1">
      <c r="A2417" s="1253">
        <v>44300</v>
      </c>
      <c r="B2417" s="1209">
        <v>1585</v>
      </c>
      <c r="C2417" s="1210">
        <v>27696</v>
      </c>
      <c r="D2417" s="1230">
        <v>25948</v>
      </c>
      <c r="E2417" s="1212">
        <f t="shared" ref="E2417" si="647">D2417-C2417</f>
        <v>-1748</v>
      </c>
      <c r="F2417" s="1211">
        <f t="shared" si="643"/>
        <v>216</v>
      </c>
      <c r="G2417" s="1215"/>
      <c r="H2417" s="1269"/>
      <c r="I2417" s="1291">
        <v>177750</v>
      </c>
    </row>
    <row r="2418" spans="1:9" ht="15" customHeight="1">
      <c r="A2418" s="1253">
        <v>44301</v>
      </c>
      <c r="B2418" s="1209">
        <v>1600</v>
      </c>
      <c r="C2418" s="1210">
        <v>27800</v>
      </c>
      <c r="D2418" s="1230">
        <v>26231</v>
      </c>
      <c r="E2418" s="1212">
        <f t="shared" ref="E2418" si="648">D2418-C2418</f>
        <v>-1569</v>
      </c>
      <c r="F2418" s="1211">
        <f t="shared" si="643"/>
        <v>104</v>
      </c>
      <c r="G2418" s="1215"/>
      <c r="H2418" s="1269"/>
      <c r="I2418" s="1291">
        <v>179750</v>
      </c>
    </row>
    <row r="2419" spans="1:9" ht="15" customHeight="1">
      <c r="A2419" s="1253">
        <v>44302</v>
      </c>
      <c r="B2419" s="1209">
        <v>1565</v>
      </c>
      <c r="C2419" s="1210">
        <v>28267</v>
      </c>
      <c r="D2419" s="1230">
        <v>26600</v>
      </c>
      <c r="E2419" s="1212">
        <f t="shared" ref="E2419" si="649">D2419-C2419</f>
        <v>-1667</v>
      </c>
      <c r="F2419" s="1211">
        <f t="shared" ref="F2419" si="650">C2419-C2418</f>
        <v>467</v>
      </c>
      <c r="G2419" s="1215"/>
      <c r="H2419" s="1269"/>
      <c r="I2419" s="1291">
        <v>182750</v>
      </c>
    </row>
    <row r="2420" spans="1:9" ht="15" customHeight="1">
      <c r="A2420" s="1253">
        <v>44305</v>
      </c>
      <c r="B2420" s="1209">
        <v>1565</v>
      </c>
      <c r="C2420" s="1210">
        <v>27940</v>
      </c>
      <c r="D2420" s="1230">
        <v>26768</v>
      </c>
      <c r="E2420" s="1212">
        <f t="shared" ref="E2420" si="651">D2420-C2420</f>
        <v>-1172</v>
      </c>
      <c r="F2420" s="1211">
        <f t="shared" ref="F2420" si="652">C2420-C2419</f>
        <v>-327</v>
      </c>
      <c r="G2420" s="1215"/>
      <c r="H2420" s="1269"/>
      <c r="I2420" s="1291">
        <v>184750</v>
      </c>
    </row>
    <row r="2421" spans="1:9" ht="15" customHeight="1">
      <c r="A2421" s="1253">
        <v>44306</v>
      </c>
      <c r="B2421" s="1209">
        <v>1625</v>
      </c>
      <c r="C2421" s="1210">
        <v>28400</v>
      </c>
      <c r="D2421" s="1230">
        <v>26803</v>
      </c>
      <c r="E2421" s="1212">
        <f t="shared" ref="E2421" si="653">D2421-C2421</f>
        <v>-1597</v>
      </c>
      <c r="F2421" s="1211">
        <f t="shared" ref="F2421" si="654">C2421-C2420</f>
        <v>460</v>
      </c>
      <c r="G2421" s="1215"/>
      <c r="H2421" s="1269"/>
      <c r="I2421" s="1291">
        <v>185250</v>
      </c>
    </row>
    <row r="2422" spans="1:9" ht="15" customHeight="1">
      <c r="A2422" s="1253">
        <v>44307</v>
      </c>
      <c r="B2422" s="1209">
        <v>1600</v>
      </c>
      <c r="C2422" s="1210">
        <v>28275</v>
      </c>
      <c r="D2422" s="1230">
        <v>26917</v>
      </c>
      <c r="E2422" s="1212">
        <f t="shared" ref="E2422" si="655">D2422-C2422</f>
        <v>-1358</v>
      </c>
      <c r="F2422" s="1211">
        <f t="shared" ref="F2422" si="656">C2422-C2421</f>
        <v>-125</v>
      </c>
      <c r="G2422" s="1215"/>
      <c r="H2422" s="1269"/>
      <c r="I2422" s="1291">
        <v>185000</v>
      </c>
    </row>
    <row r="2423" spans="1:9" ht="15" customHeight="1">
      <c r="A2423" s="1253">
        <v>44308</v>
      </c>
      <c r="B2423" s="1209">
        <v>1580</v>
      </c>
      <c r="C2423" s="1210">
        <v>28400</v>
      </c>
      <c r="D2423" s="1230">
        <v>26962</v>
      </c>
      <c r="E2423" s="1212">
        <f t="shared" ref="E2423" si="657">D2423-C2423</f>
        <v>-1438</v>
      </c>
      <c r="F2423" s="1211">
        <f t="shared" ref="F2423" si="658">C2423-C2422</f>
        <v>125</v>
      </c>
      <c r="G2423" s="1215"/>
      <c r="H2423" s="1269"/>
      <c r="I2423" s="1291">
        <v>184000</v>
      </c>
    </row>
    <row r="2424" spans="1:9" ht="15" customHeight="1">
      <c r="A2424" s="1253">
        <v>44309</v>
      </c>
      <c r="B2424" s="1209">
        <v>1545</v>
      </c>
      <c r="C2424" s="1210">
        <v>27707</v>
      </c>
      <c r="D2424" s="1230">
        <v>26796</v>
      </c>
      <c r="E2424" s="1212">
        <f t="shared" ref="E2424" si="659">D2424-C2424</f>
        <v>-911</v>
      </c>
      <c r="F2424" s="1211">
        <f t="shared" ref="F2424" si="660">C2424-C2423</f>
        <v>-693</v>
      </c>
      <c r="G2424" s="1215"/>
      <c r="H2424" s="1269"/>
      <c r="I2424" s="1291">
        <v>183750</v>
      </c>
    </row>
    <row r="2425" spans="1:9" ht="15" customHeight="1">
      <c r="A2425" s="1253">
        <v>44312</v>
      </c>
      <c r="B2425" s="1209">
        <v>1545</v>
      </c>
      <c r="C2425" s="1210">
        <v>28338</v>
      </c>
      <c r="D2425" s="1230">
        <v>27002</v>
      </c>
      <c r="E2425" s="1212">
        <f t="shared" ref="E2425" si="661">D2425-C2425</f>
        <v>-1336</v>
      </c>
      <c r="F2425" s="1211">
        <f t="shared" ref="F2425" si="662">C2425-C2424</f>
        <v>631</v>
      </c>
      <c r="G2425" s="1215"/>
      <c r="H2425" s="1269"/>
      <c r="I2425" s="1291">
        <v>185250</v>
      </c>
    </row>
    <row r="2426" spans="1:9" ht="15" customHeight="1">
      <c r="A2426" s="1253">
        <v>44313</v>
      </c>
      <c r="B2426" s="1209">
        <v>1290</v>
      </c>
      <c r="C2426" s="1210">
        <v>28358</v>
      </c>
      <c r="D2426" s="1230">
        <v>27059</v>
      </c>
      <c r="E2426" s="1212">
        <f t="shared" ref="E2426" si="663">D2426-C2426</f>
        <v>-1299</v>
      </c>
      <c r="F2426" s="1211">
        <f t="shared" ref="F2426" si="664">C2426-C2425</f>
        <v>20</v>
      </c>
      <c r="G2426" s="1215"/>
      <c r="H2426" s="1269"/>
      <c r="I2426" s="1291">
        <v>187750</v>
      </c>
    </row>
    <row r="2427" spans="1:9" ht="15" customHeight="1">
      <c r="A2427" s="1253">
        <v>44314</v>
      </c>
      <c r="B2427" s="1209">
        <v>1300</v>
      </c>
      <c r="C2427" s="1210">
        <v>30046</v>
      </c>
      <c r="D2427" s="1230">
        <v>27706</v>
      </c>
      <c r="E2427" s="1212">
        <f t="shared" ref="E2427:E2428" si="665">D2427-C2427</f>
        <v>-2340</v>
      </c>
      <c r="F2427" s="1211">
        <f t="shared" ref="F2427" si="666">C2427-C2426</f>
        <v>1688</v>
      </c>
      <c r="G2427" s="1215"/>
      <c r="H2427" s="1269"/>
      <c r="I2427" s="1291">
        <v>186000</v>
      </c>
    </row>
    <row r="2428" spans="1:9" ht="15" customHeight="1">
      <c r="A2428" s="1253">
        <v>44315</v>
      </c>
      <c r="B2428" s="1209">
        <v>1305</v>
      </c>
      <c r="C2428" s="1210">
        <v>31750</v>
      </c>
      <c r="D2428" s="1230">
        <v>28745</v>
      </c>
      <c r="E2428" s="1212">
        <f t="shared" si="665"/>
        <v>-3005</v>
      </c>
      <c r="F2428" s="1211">
        <f t="shared" ref="F2428" si="667">C2428-C2427</f>
        <v>1704</v>
      </c>
      <c r="G2428" s="1215"/>
      <c r="H2428" s="1269"/>
      <c r="I2428" s="1291">
        <v>191500</v>
      </c>
    </row>
    <row r="2429" spans="1:9" ht="15" customHeight="1">
      <c r="A2429" s="1253">
        <v>44316</v>
      </c>
      <c r="B2429" s="1209">
        <v>1300</v>
      </c>
      <c r="C2429" s="1210">
        <v>32193</v>
      </c>
      <c r="D2429" s="1230">
        <v>28975</v>
      </c>
      <c r="E2429" s="1212">
        <f t="shared" ref="E2429" si="668">D2429-C2429</f>
        <v>-3218</v>
      </c>
      <c r="F2429" s="1211">
        <f t="shared" ref="F2429" si="669">C2429-C2428</f>
        <v>443</v>
      </c>
      <c r="G2429" s="1227">
        <f>AVERAGE($C$2408:C2429)</f>
        <v>28508.1</v>
      </c>
      <c r="H2429" s="1274">
        <f>AVERAGE($C$2345:C2429)</f>
        <v>26189.542168674699</v>
      </c>
      <c r="I2429" s="1291">
        <v>192000</v>
      </c>
    </row>
    <row r="2430" spans="1:9" ht="15" customHeight="1">
      <c r="A2430" s="1253">
        <v>44319</v>
      </c>
      <c r="B2430" s="1465" t="s">
        <v>60</v>
      </c>
      <c r="C2430" s="1465"/>
      <c r="D2430" s="1465"/>
      <c r="E2430" s="1235"/>
      <c r="F2430" s="1235"/>
      <c r="G2430" s="1215"/>
      <c r="H2430" s="1269"/>
      <c r="I2430" s="1468" t="s">
        <v>23</v>
      </c>
    </row>
    <row r="2431" spans="1:9" ht="15" customHeight="1">
      <c r="A2431" s="1253">
        <v>44320</v>
      </c>
      <c r="B2431" s="1209">
        <v>1245</v>
      </c>
      <c r="C2431" s="1210">
        <v>32397</v>
      </c>
      <c r="D2431" s="1230">
        <v>29004</v>
      </c>
      <c r="E2431" s="1212">
        <f t="shared" ref="E2431:E2432" si="670">D2431-C2431</f>
        <v>-3393</v>
      </c>
      <c r="F2431" s="1211">
        <f>C2431-C2429</f>
        <v>204</v>
      </c>
      <c r="G2431" s="1215"/>
      <c r="H2431" s="1269"/>
      <c r="I2431" s="1468"/>
    </row>
    <row r="2432" spans="1:9" ht="15" customHeight="1">
      <c r="A2432" s="1253">
        <v>44321</v>
      </c>
      <c r="B2432" s="1209">
        <v>1320</v>
      </c>
      <c r="C2432" s="1210">
        <v>32425</v>
      </c>
      <c r="D2432" s="1230">
        <v>29550</v>
      </c>
      <c r="E2432" s="1212">
        <f t="shared" si="670"/>
        <v>-2875</v>
      </c>
      <c r="F2432" s="1211">
        <f t="shared" ref="F2432" si="671">C2432-C2431</f>
        <v>28</v>
      </c>
      <c r="G2432" s="1215"/>
      <c r="H2432" s="1269"/>
      <c r="I2432" s="1468"/>
    </row>
    <row r="2433" spans="1:9" ht="15" customHeight="1">
      <c r="A2433" s="1253">
        <v>44322</v>
      </c>
      <c r="B2433" s="1209">
        <v>1320</v>
      </c>
      <c r="C2433" s="1210">
        <v>34462</v>
      </c>
      <c r="D2433" s="1230">
        <v>30235</v>
      </c>
      <c r="E2433" s="1212">
        <f t="shared" ref="E2433" si="672">D2433-C2433</f>
        <v>-4227</v>
      </c>
      <c r="F2433" s="1211">
        <f t="shared" ref="F2433" si="673">C2433-C2432</f>
        <v>2037</v>
      </c>
      <c r="G2433" s="1215"/>
      <c r="H2433" s="1269"/>
      <c r="I2433" s="1291">
        <v>197750</v>
      </c>
    </row>
    <row r="2434" spans="1:9" ht="15" customHeight="1">
      <c r="A2434" s="1253">
        <v>44323</v>
      </c>
      <c r="B2434" s="1209">
        <v>1280</v>
      </c>
      <c r="C2434" s="1210">
        <v>33562</v>
      </c>
      <c r="D2434" s="1230">
        <v>29920</v>
      </c>
      <c r="E2434" s="1212">
        <f t="shared" ref="E2434" si="674">D2434-C2434</f>
        <v>-3642</v>
      </c>
      <c r="F2434" s="1211">
        <f t="shared" ref="F2434" si="675">C2434-C2433</f>
        <v>-900</v>
      </c>
      <c r="G2434" s="1215"/>
      <c r="H2434" s="1269"/>
      <c r="I2434" s="1291">
        <v>197250</v>
      </c>
    </row>
    <row r="2435" spans="1:9" ht="15" customHeight="1">
      <c r="A2435" s="1253">
        <v>44326</v>
      </c>
      <c r="B2435" s="1209">
        <v>1330</v>
      </c>
      <c r="C2435" s="1210">
        <v>33097</v>
      </c>
      <c r="D2435" s="1230">
        <v>29912</v>
      </c>
      <c r="E2435" s="1212">
        <f t="shared" ref="E2435:E2436" si="676">D2435-C2435</f>
        <v>-3185</v>
      </c>
      <c r="F2435" s="1211">
        <f t="shared" ref="F2435" si="677">C2435-C2434</f>
        <v>-465</v>
      </c>
      <c r="G2435" s="1215"/>
      <c r="H2435" s="1269"/>
      <c r="I2435" s="1291">
        <v>192000</v>
      </c>
    </row>
    <row r="2436" spans="1:9" ht="15" customHeight="1">
      <c r="A2436" s="1253">
        <v>44327</v>
      </c>
      <c r="B2436" s="1209">
        <v>1290</v>
      </c>
      <c r="C2436" s="1210">
        <v>33686</v>
      </c>
      <c r="D2436" s="1230">
        <v>29914</v>
      </c>
      <c r="E2436" s="1212">
        <f t="shared" si="676"/>
        <v>-3772</v>
      </c>
      <c r="F2436" s="1211">
        <f t="shared" ref="F2436" si="678">C2436-C2435</f>
        <v>589</v>
      </c>
      <c r="G2436" s="1215"/>
      <c r="H2436" s="1269"/>
      <c r="I2436" s="1291">
        <v>194250</v>
      </c>
    </row>
    <row r="2437" spans="1:9" ht="15" customHeight="1">
      <c r="A2437" s="1253">
        <v>44328</v>
      </c>
      <c r="B2437" s="1209">
        <v>1290</v>
      </c>
      <c r="C2437" s="1210">
        <v>33420</v>
      </c>
      <c r="D2437" s="1230">
        <v>29830</v>
      </c>
      <c r="E2437" s="1212">
        <f t="shared" ref="E2437" si="679">D2437-C2437</f>
        <v>-3590</v>
      </c>
      <c r="F2437" s="1211">
        <f t="shared" ref="F2437" si="680">C2437-C2436</f>
        <v>-266</v>
      </c>
      <c r="G2437" s="1215"/>
      <c r="H2437" s="1269"/>
      <c r="I2437" s="1291">
        <v>197750</v>
      </c>
    </row>
    <row r="2438" spans="1:9" ht="15" customHeight="1">
      <c r="A2438" s="1253">
        <v>44329</v>
      </c>
      <c r="B2438" s="1209">
        <v>1260</v>
      </c>
      <c r="C2438" s="1210">
        <v>31251</v>
      </c>
      <c r="D2438" s="1230">
        <v>29172</v>
      </c>
      <c r="E2438" s="1212">
        <f t="shared" ref="E2438" si="681">D2438-C2438</f>
        <v>-2079</v>
      </c>
      <c r="F2438" s="1211">
        <f t="shared" ref="F2438" si="682">C2438-C2437</f>
        <v>-2169</v>
      </c>
      <c r="G2438" s="1215"/>
      <c r="H2438" s="1269"/>
      <c r="I2438" s="1291">
        <v>197250</v>
      </c>
    </row>
    <row r="2439" spans="1:9" ht="15" customHeight="1">
      <c r="A2439" s="1253">
        <v>44330</v>
      </c>
      <c r="B2439" s="1209">
        <v>1260</v>
      </c>
      <c r="C2439" s="1210">
        <v>31180</v>
      </c>
      <c r="D2439" s="1230">
        <v>29280</v>
      </c>
      <c r="E2439" s="1212">
        <f t="shared" ref="E2439" si="683">D2439-C2439</f>
        <v>-1900</v>
      </c>
      <c r="F2439" s="1211">
        <f t="shared" ref="F2439" si="684">C2439-C2438</f>
        <v>-71</v>
      </c>
      <c r="G2439" s="1215"/>
      <c r="H2439" s="1269"/>
      <c r="I2439" s="1291">
        <v>196750</v>
      </c>
    </row>
    <row r="2440" spans="1:9" ht="15" customHeight="1">
      <c r="A2440" s="1253">
        <v>44333</v>
      </c>
      <c r="B2440" s="1209">
        <v>1260</v>
      </c>
      <c r="C2440" s="1210">
        <v>32123</v>
      </c>
      <c r="D2440" s="1230">
        <v>29884</v>
      </c>
      <c r="E2440" s="1212">
        <f t="shared" ref="E2440" si="685">D2440-C2440</f>
        <v>-2239</v>
      </c>
      <c r="F2440" s="1211">
        <f t="shared" ref="F2440" si="686">C2440-C2439</f>
        <v>943</v>
      </c>
      <c r="G2440" s="1215"/>
      <c r="H2440" s="1269"/>
      <c r="I2440" s="1291">
        <v>194750</v>
      </c>
    </row>
    <row r="2441" spans="1:9" ht="15" customHeight="1">
      <c r="A2441" s="1253">
        <v>44334</v>
      </c>
      <c r="B2441" s="1209">
        <v>1175</v>
      </c>
      <c r="C2441" s="1210">
        <v>32261</v>
      </c>
      <c r="D2441" s="1230">
        <v>30152</v>
      </c>
      <c r="E2441" s="1212">
        <f t="shared" ref="E2441" si="687">D2441-C2441</f>
        <v>-2109</v>
      </c>
      <c r="F2441" s="1211">
        <f t="shared" ref="F2441" si="688">C2441-C2440</f>
        <v>138</v>
      </c>
      <c r="G2441" s="1215"/>
      <c r="H2441" s="1269"/>
      <c r="I2441" s="1291">
        <v>200000</v>
      </c>
    </row>
    <row r="2442" spans="1:9" ht="15" customHeight="1">
      <c r="A2442" s="1253">
        <v>44335</v>
      </c>
      <c r="B2442" s="1209">
        <v>1235</v>
      </c>
      <c r="C2442" s="1210">
        <v>32476</v>
      </c>
      <c r="D2442" s="1230">
        <v>29979</v>
      </c>
      <c r="E2442" s="1212">
        <f t="shared" ref="E2442" si="689">D2442-C2442</f>
        <v>-2497</v>
      </c>
      <c r="F2442" s="1211">
        <f t="shared" ref="F2442" si="690">C2442-C2441</f>
        <v>215</v>
      </c>
      <c r="G2442" s="1215"/>
      <c r="H2442" s="1269"/>
      <c r="I2442" s="1291">
        <v>199250</v>
      </c>
    </row>
    <row r="2443" spans="1:9" ht="15" customHeight="1">
      <c r="A2443" s="1253">
        <v>44336</v>
      </c>
      <c r="B2443" s="1209">
        <v>1235</v>
      </c>
      <c r="C2443" s="1210">
        <v>33350</v>
      </c>
      <c r="D2443" s="1230">
        <v>29855</v>
      </c>
      <c r="E2443" s="1212">
        <f t="shared" ref="E2443" si="691">D2443-C2443</f>
        <v>-3495</v>
      </c>
      <c r="F2443" s="1211">
        <f t="shared" ref="F2443" si="692">C2443-C2442</f>
        <v>874</v>
      </c>
      <c r="G2443" s="1215"/>
      <c r="H2443" s="1269"/>
      <c r="I2443" s="1291">
        <v>193750</v>
      </c>
    </row>
    <row r="2444" spans="1:9" ht="15" customHeight="1">
      <c r="A2444" s="1253">
        <v>44337</v>
      </c>
      <c r="B2444" s="1209">
        <v>1235</v>
      </c>
      <c r="C2444" s="1210">
        <v>32362</v>
      </c>
      <c r="D2444" s="1230">
        <v>29573</v>
      </c>
      <c r="E2444" s="1212">
        <f t="shared" ref="E2444" si="693">D2444-C2444</f>
        <v>-2789</v>
      </c>
      <c r="F2444" s="1211">
        <f t="shared" ref="F2444" si="694">C2444-C2443</f>
        <v>-988</v>
      </c>
      <c r="G2444" s="1215"/>
      <c r="H2444" s="1269"/>
      <c r="I2444" s="1291">
        <v>198000</v>
      </c>
    </row>
    <row r="2445" spans="1:9" ht="15" customHeight="1">
      <c r="A2445" s="1253">
        <v>44340</v>
      </c>
      <c r="B2445" s="1209">
        <v>1185</v>
      </c>
      <c r="C2445" s="1210">
        <v>31995</v>
      </c>
      <c r="D2445" s="1230">
        <v>29206</v>
      </c>
      <c r="E2445" s="1212">
        <f t="shared" ref="E2445" si="695">D2445-C2445</f>
        <v>-2789</v>
      </c>
      <c r="F2445" s="1211">
        <f t="shared" ref="F2445" si="696">C2445-C2444</f>
        <v>-367</v>
      </c>
      <c r="G2445" s="1215"/>
      <c r="H2445" s="1269"/>
      <c r="I2445" s="1291">
        <v>200000</v>
      </c>
    </row>
    <row r="2446" spans="1:9" ht="15" customHeight="1">
      <c r="A2446" s="1253">
        <v>44341</v>
      </c>
      <c r="B2446" s="1209">
        <v>855</v>
      </c>
      <c r="C2446" s="1210">
        <v>31147</v>
      </c>
      <c r="D2446" s="1230">
        <v>29335</v>
      </c>
      <c r="E2446" s="1212">
        <f t="shared" ref="E2446" si="697">D2446-C2446</f>
        <v>-1812</v>
      </c>
      <c r="F2446" s="1211">
        <f t="shared" ref="F2446" si="698">C2446-C2445</f>
        <v>-848</v>
      </c>
      <c r="G2446" s="1215"/>
      <c r="H2446" s="1269"/>
      <c r="I2446" s="1291">
        <v>199250</v>
      </c>
    </row>
    <row r="2447" spans="1:9" ht="15" customHeight="1">
      <c r="A2447" s="1253">
        <v>44342</v>
      </c>
      <c r="B2447" s="1209">
        <v>855</v>
      </c>
      <c r="C2447" s="1210">
        <v>31950</v>
      </c>
      <c r="D2447" s="1230">
        <v>29775</v>
      </c>
      <c r="E2447" s="1212">
        <f t="shared" ref="E2447" si="699">D2447-C2447</f>
        <v>-2175</v>
      </c>
      <c r="F2447" s="1211">
        <f t="shared" ref="F2447" si="700">C2447-C2446</f>
        <v>803</v>
      </c>
      <c r="G2447" s="1215"/>
      <c r="H2447" s="1269"/>
      <c r="I2447" s="1291">
        <v>194500</v>
      </c>
    </row>
    <row r="2448" spans="1:9" ht="15" customHeight="1">
      <c r="A2448" s="1253">
        <v>44343</v>
      </c>
      <c r="B2448" s="1209">
        <v>855</v>
      </c>
      <c r="C2448" s="1210">
        <v>31361</v>
      </c>
      <c r="D2448" s="1230">
        <v>29657</v>
      </c>
      <c r="E2448" s="1212">
        <f t="shared" ref="E2448" si="701">D2448-C2448</f>
        <v>-1704</v>
      </c>
      <c r="F2448" s="1211">
        <f t="shared" ref="F2448" si="702">C2448-C2447</f>
        <v>-589</v>
      </c>
      <c r="G2448" s="1215"/>
      <c r="H2448" s="1269"/>
      <c r="I2448" s="1291">
        <v>199250</v>
      </c>
    </row>
    <row r="2449" spans="1:11" ht="15" customHeight="1">
      <c r="A2449" s="1253">
        <v>44344</v>
      </c>
      <c r="B2449" s="1209">
        <v>825</v>
      </c>
      <c r="C2449" s="1210">
        <v>33456</v>
      </c>
      <c r="D2449" s="1230">
        <v>30749</v>
      </c>
      <c r="E2449" s="1212">
        <f t="shared" ref="E2449" si="703">D2449-C2449</f>
        <v>-2707</v>
      </c>
      <c r="F2449" s="1211">
        <f t="shared" ref="F2449" si="704">C2449-C2448</f>
        <v>2095</v>
      </c>
      <c r="G2449" s="1215"/>
      <c r="H2449" s="1269"/>
      <c r="I2449" s="1291">
        <v>208250</v>
      </c>
      <c r="K2449" s="414"/>
    </row>
    <row r="2450" spans="1:11" ht="15" customHeight="1">
      <c r="A2450" s="1253">
        <v>44347</v>
      </c>
      <c r="B2450" s="1434" t="s">
        <v>60</v>
      </c>
      <c r="C2450" s="1434"/>
      <c r="D2450" s="1434"/>
      <c r="E2450" s="1434"/>
      <c r="F2450" s="1434"/>
      <c r="G2450" s="1227">
        <f>AVERAGE($C$2431:C2450)</f>
        <v>32524.263157894737</v>
      </c>
      <c r="H2450" s="1274">
        <f>AVERAGE($C$2345:C2450)</f>
        <v>27369.539215686276</v>
      </c>
      <c r="I2450" s="1291">
        <v>209000</v>
      </c>
    </row>
    <row r="2451" spans="1:11" ht="15" customHeight="1">
      <c r="A2451" s="1253">
        <v>44348</v>
      </c>
      <c r="B2451" s="1209">
        <v>755</v>
      </c>
      <c r="C2451" s="1210">
        <v>33366</v>
      </c>
      <c r="D2451" s="1230">
        <v>30766</v>
      </c>
      <c r="E2451" s="1212">
        <f t="shared" ref="E2451" si="705">D2451-C2451</f>
        <v>-2600</v>
      </c>
      <c r="F2451" s="1211">
        <f t="shared" ref="F2451" si="706">C2451-C2449</f>
        <v>-90</v>
      </c>
      <c r="G2451" s="1215"/>
      <c r="H2451" s="1269"/>
      <c r="I2451" s="1291">
        <v>205500</v>
      </c>
    </row>
    <row r="2452" spans="1:11" ht="15" customHeight="1">
      <c r="A2452" s="1253">
        <v>44349</v>
      </c>
      <c r="B2452" s="1209">
        <v>875</v>
      </c>
      <c r="C2452" s="1210">
        <v>32950</v>
      </c>
      <c r="D2452" s="1230">
        <v>30860</v>
      </c>
      <c r="E2452" s="1212">
        <f t="shared" ref="E2452" si="707">D2452-C2452</f>
        <v>-2090</v>
      </c>
      <c r="F2452" s="1211">
        <f>C2452-C2451</f>
        <v>-416</v>
      </c>
      <c r="G2452" s="1215"/>
      <c r="H2452" s="1269"/>
      <c r="I2452" s="1291">
        <v>206500</v>
      </c>
    </row>
    <row r="2453" spans="1:11" ht="15" customHeight="1">
      <c r="A2453" s="1253">
        <v>44350</v>
      </c>
      <c r="B2453" s="1209">
        <v>1375</v>
      </c>
      <c r="C2453" s="1210">
        <v>32489</v>
      </c>
      <c r="D2453" s="1230">
        <v>30445</v>
      </c>
      <c r="E2453" s="1212">
        <f t="shared" ref="E2453" si="708">D2453-C2453</f>
        <v>-2044</v>
      </c>
      <c r="F2453" s="1211">
        <f>C2453-C2452</f>
        <v>-461</v>
      </c>
      <c r="G2453" s="1215"/>
      <c r="H2453" s="1269"/>
      <c r="I2453" s="1291">
        <v>207000</v>
      </c>
    </row>
    <row r="2454" spans="1:11" ht="15" customHeight="1">
      <c r="A2454" s="1253">
        <v>44351</v>
      </c>
      <c r="B2454" s="1209">
        <v>1580</v>
      </c>
      <c r="C2454" s="1210">
        <v>33022</v>
      </c>
      <c r="D2454" s="1230">
        <v>30332</v>
      </c>
      <c r="E2454" s="1212">
        <f t="shared" ref="E2454" si="709">D2454-C2454</f>
        <v>-2690</v>
      </c>
      <c r="F2454" s="1211">
        <f t="shared" ref="F2454:F2507" si="710">C2454-C2453</f>
        <v>533</v>
      </c>
      <c r="G2454" s="1215"/>
      <c r="H2454" s="1269"/>
      <c r="I2454" s="1291">
        <v>204000</v>
      </c>
    </row>
    <row r="2455" spans="1:11" ht="15" customHeight="1">
      <c r="A2455" s="1253">
        <v>44354</v>
      </c>
      <c r="B2455" s="1209">
        <v>1920</v>
      </c>
      <c r="C2455" s="1210">
        <v>32290</v>
      </c>
      <c r="D2455" s="1230">
        <v>30500</v>
      </c>
      <c r="E2455" s="1212">
        <f t="shared" ref="E2455" si="711">D2455-C2455</f>
        <v>-1790</v>
      </c>
      <c r="F2455" s="1211">
        <f t="shared" si="710"/>
        <v>-732</v>
      </c>
      <c r="G2455" s="1215"/>
      <c r="H2455" s="1269"/>
      <c r="I2455" s="1291">
        <v>205000</v>
      </c>
    </row>
    <row r="2456" spans="1:11" ht="15" customHeight="1">
      <c r="A2456" s="1253">
        <v>44355</v>
      </c>
      <c r="B2456" s="1209">
        <v>1920</v>
      </c>
      <c r="C2456" s="1210">
        <v>33290</v>
      </c>
      <c r="D2456" s="1230">
        <v>31225</v>
      </c>
      <c r="E2456" s="1212">
        <f t="shared" ref="E2456" si="712">D2456-C2456</f>
        <v>-2065</v>
      </c>
      <c r="F2456" s="1211">
        <f t="shared" si="710"/>
        <v>1000</v>
      </c>
      <c r="G2456" s="1215"/>
      <c r="H2456" s="1269"/>
      <c r="I2456" s="1291">
        <v>205000</v>
      </c>
    </row>
    <row r="2457" spans="1:11" ht="15" customHeight="1">
      <c r="A2457" s="1253">
        <v>44356</v>
      </c>
      <c r="B2457" s="1209">
        <v>1915</v>
      </c>
      <c r="C2457" s="1210">
        <v>32821</v>
      </c>
      <c r="D2457" s="1230">
        <v>31240</v>
      </c>
      <c r="E2457" s="1212">
        <f t="shared" ref="E2457" si="713">D2457-C2457</f>
        <v>-1581</v>
      </c>
      <c r="F2457" s="1211">
        <f t="shared" si="710"/>
        <v>-469</v>
      </c>
      <c r="G2457" s="1215"/>
      <c r="H2457" s="1269"/>
      <c r="I2457" s="1291">
        <v>209000</v>
      </c>
    </row>
    <row r="2458" spans="1:11" ht="15" customHeight="1">
      <c r="A2458" s="1253">
        <v>44357</v>
      </c>
      <c r="B2458" s="1209">
        <v>1910</v>
      </c>
      <c r="C2458" s="1210">
        <v>32908</v>
      </c>
      <c r="D2458" s="1230">
        <v>31150</v>
      </c>
      <c r="E2458" s="1212">
        <f t="shared" ref="E2458" si="714">D2458-C2458</f>
        <v>-1758</v>
      </c>
      <c r="F2458" s="1211">
        <f t="shared" si="710"/>
        <v>87</v>
      </c>
      <c r="G2458" s="1215"/>
      <c r="H2458" s="1269"/>
      <c r="I2458" s="1291">
        <v>208500</v>
      </c>
    </row>
    <row r="2459" spans="1:11" ht="15" customHeight="1">
      <c r="A2459" s="1253">
        <v>44358</v>
      </c>
      <c r="B2459" s="1209">
        <v>1920</v>
      </c>
      <c r="C2459" s="1210">
        <v>33060</v>
      </c>
      <c r="D2459" s="1230">
        <v>31501</v>
      </c>
      <c r="E2459" s="1212">
        <f t="shared" ref="E2459:E2460" si="715">D2459-C2459</f>
        <v>-1559</v>
      </c>
      <c r="F2459" s="1211">
        <f t="shared" si="710"/>
        <v>152</v>
      </c>
      <c r="G2459" s="1215"/>
      <c r="H2459" s="1269"/>
      <c r="I2459" s="1291">
        <v>210500</v>
      </c>
    </row>
    <row r="2460" spans="1:11" ht="15" customHeight="1">
      <c r="A2460" s="1253">
        <v>44361</v>
      </c>
      <c r="B2460" s="1209">
        <v>1915</v>
      </c>
      <c r="C2460" s="1210">
        <v>33182</v>
      </c>
      <c r="D2460" s="1230">
        <v>31662</v>
      </c>
      <c r="E2460" s="1212">
        <f t="shared" si="715"/>
        <v>-1520</v>
      </c>
      <c r="F2460" s="1211">
        <f t="shared" si="710"/>
        <v>122</v>
      </c>
      <c r="G2460" s="1215"/>
      <c r="H2460" s="1269"/>
      <c r="I2460" s="1291"/>
    </row>
    <row r="2461" spans="1:11" ht="15" customHeight="1">
      <c r="A2461" s="1253">
        <v>44362</v>
      </c>
      <c r="B2461" s="1209">
        <v>1915</v>
      </c>
      <c r="C2461" s="1210">
        <v>32925</v>
      </c>
      <c r="D2461" s="1230">
        <v>31217</v>
      </c>
      <c r="E2461" s="1212">
        <f t="shared" ref="E2461" si="716">D2461-C2461</f>
        <v>-1708</v>
      </c>
      <c r="F2461" s="1211">
        <f t="shared" si="710"/>
        <v>-257</v>
      </c>
      <c r="G2461" s="1215"/>
      <c r="H2461" s="1269"/>
      <c r="I2461" s="1291">
        <v>207250</v>
      </c>
    </row>
    <row r="2462" spans="1:11" ht="15" customHeight="1">
      <c r="A2462" s="1253">
        <v>44363</v>
      </c>
      <c r="B2462" s="1209">
        <v>1965</v>
      </c>
      <c r="C2462" s="1210">
        <v>33055</v>
      </c>
      <c r="D2462" s="1230">
        <v>31254</v>
      </c>
      <c r="E2462" s="1212">
        <f t="shared" ref="E2462" si="717">D2462-C2462</f>
        <v>-1801</v>
      </c>
      <c r="F2462" s="1211">
        <f t="shared" si="710"/>
        <v>130</v>
      </c>
      <c r="G2462" s="1215"/>
      <c r="H2462" s="1269"/>
      <c r="I2462" s="1291">
        <v>207250</v>
      </c>
    </row>
    <row r="2463" spans="1:11" ht="15" customHeight="1">
      <c r="A2463" s="1253">
        <v>44364</v>
      </c>
      <c r="B2463" s="1209">
        <v>1990</v>
      </c>
      <c r="C2463" s="1210">
        <v>32700</v>
      </c>
      <c r="D2463" s="1230">
        <v>30755</v>
      </c>
      <c r="E2463" s="1212">
        <f t="shared" ref="E2463:E2466" si="718">D2463-C2463</f>
        <v>-1945</v>
      </c>
      <c r="F2463" s="1211">
        <f t="shared" si="710"/>
        <v>-355</v>
      </c>
      <c r="G2463" s="1215"/>
      <c r="H2463" s="1269"/>
      <c r="I2463" s="1291">
        <v>206500</v>
      </c>
    </row>
    <row r="2464" spans="1:11" ht="15" customHeight="1">
      <c r="A2464" s="1253">
        <v>44365</v>
      </c>
      <c r="B2464" s="1209">
        <v>2045</v>
      </c>
      <c r="C2464" s="1210">
        <v>31709</v>
      </c>
      <c r="D2464" s="1230">
        <v>30134</v>
      </c>
      <c r="E2464" s="1212">
        <f t="shared" si="718"/>
        <v>-1575</v>
      </c>
      <c r="F2464" s="1211">
        <f t="shared" si="710"/>
        <v>-991</v>
      </c>
      <c r="G2464" s="1215"/>
      <c r="H2464" s="1269"/>
      <c r="I2464" s="1291">
        <v>206500</v>
      </c>
    </row>
    <row r="2465" spans="1:9" ht="15" customHeight="1">
      <c r="A2465" s="1253">
        <v>44368</v>
      </c>
      <c r="B2465" s="1209">
        <v>1995</v>
      </c>
      <c r="C2465" s="1210">
        <v>31264</v>
      </c>
      <c r="D2465" s="1230">
        <v>29810</v>
      </c>
      <c r="E2465" s="1212">
        <f t="shared" si="718"/>
        <v>-1454</v>
      </c>
      <c r="F2465" s="1211">
        <f t="shared" si="710"/>
        <v>-445</v>
      </c>
      <c r="G2465" s="1215"/>
      <c r="H2465" s="1269"/>
      <c r="I2465" s="1291">
        <v>203500</v>
      </c>
    </row>
    <row r="2466" spans="1:9" ht="15" customHeight="1">
      <c r="A2466" s="1253">
        <v>44369</v>
      </c>
      <c r="B2466" s="1209">
        <v>1965</v>
      </c>
      <c r="C2466" s="1210">
        <v>31902</v>
      </c>
      <c r="D2466" s="1230">
        <v>30070</v>
      </c>
      <c r="E2466" s="1212">
        <f t="shared" si="718"/>
        <v>-1832</v>
      </c>
      <c r="F2466" s="1211">
        <f t="shared" si="710"/>
        <v>638</v>
      </c>
      <c r="G2466" s="1229"/>
      <c r="H2466" s="1276"/>
      <c r="I2466" s="1291">
        <v>205000</v>
      </c>
    </row>
    <row r="2467" spans="1:9" ht="15" customHeight="1">
      <c r="A2467" s="1253">
        <v>44370</v>
      </c>
      <c r="B2467" s="1209">
        <v>2240</v>
      </c>
      <c r="C2467" s="1210">
        <v>32079</v>
      </c>
      <c r="D2467" s="1230">
        <v>30364</v>
      </c>
      <c r="E2467" s="1212">
        <f t="shared" ref="E2467" si="719">D2467-C2467</f>
        <v>-1715</v>
      </c>
      <c r="F2467" s="1211">
        <f t="shared" si="710"/>
        <v>177</v>
      </c>
      <c r="G2467" s="1229"/>
      <c r="H2467" s="1276"/>
      <c r="I2467" s="1291">
        <v>205000</v>
      </c>
    </row>
    <row r="2468" spans="1:9" ht="15" customHeight="1">
      <c r="A2468" s="1253">
        <v>44371</v>
      </c>
      <c r="B2468" s="1209">
        <v>2190</v>
      </c>
      <c r="C2468" s="1210">
        <v>32100</v>
      </c>
      <c r="D2468" s="1230">
        <v>30634</v>
      </c>
      <c r="E2468" s="1212">
        <f t="shared" ref="E2468:E2507" si="720">D2468-C2468</f>
        <v>-1466</v>
      </c>
      <c r="F2468" s="1211">
        <f t="shared" si="710"/>
        <v>21</v>
      </c>
      <c r="G2468" s="1229"/>
      <c r="H2468" s="1276"/>
      <c r="I2468" s="1291">
        <v>205000</v>
      </c>
    </row>
    <row r="2469" spans="1:9" ht="15" customHeight="1">
      <c r="A2469" s="1253">
        <v>44372</v>
      </c>
      <c r="B2469" s="1209">
        <v>2190</v>
      </c>
      <c r="C2469" s="1210">
        <v>32457</v>
      </c>
      <c r="D2469" s="1230">
        <v>29735.89</v>
      </c>
      <c r="E2469" s="1212">
        <f t="shared" si="720"/>
        <v>-2721.1100000000006</v>
      </c>
      <c r="F2469" s="1211">
        <f t="shared" si="710"/>
        <v>357</v>
      </c>
      <c r="G2469" s="1229"/>
      <c r="H2469" s="1276"/>
      <c r="I2469" s="1291">
        <v>203500</v>
      </c>
    </row>
    <row r="2470" spans="1:9" ht="15" customHeight="1">
      <c r="A2470" s="1253">
        <v>44375</v>
      </c>
      <c r="B2470" s="1209">
        <v>2110</v>
      </c>
      <c r="C2470" s="1210">
        <v>32963</v>
      </c>
      <c r="D2470" s="1230">
        <v>30997</v>
      </c>
      <c r="E2470" s="1212">
        <f t="shared" si="720"/>
        <v>-1966</v>
      </c>
      <c r="F2470" s="1211">
        <f t="shared" si="710"/>
        <v>506</v>
      </c>
      <c r="G2470" s="1229"/>
      <c r="H2470" s="1276"/>
      <c r="I2470" s="1291">
        <v>205000</v>
      </c>
    </row>
    <row r="2471" spans="1:9" ht="15" customHeight="1">
      <c r="A2471" s="1253">
        <v>44376</v>
      </c>
      <c r="B2471" s="1209">
        <v>2045</v>
      </c>
      <c r="C2471" s="1210">
        <v>32918</v>
      </c>
      <c r="D2471" s="1230">
        <v>31161</v>
      </c>
      <c r="E2471" s="1212">
        <f t="shared" si="720"/>
        <v>-1757</v>
      </c>
      <c r="F2471" s="1211">
        <f t="shared" si="710"/>
        <v>-45</v>
      </c>
      <c r="G2471" s="1229"/>
      <c r="H2471" s="1276"/>
      <c r="I2471" s="1291">
        <v>209000</v>
      </c>
    </row>
    <row r="2472" spans="1:9" ht="15" customHeight="1">
      <c r="A2472" s="1253">
        <v>44377</v>
      </c>
      <c r="B2472" s="1209">
        <v>2040</v>
      </c>
      <c r="C2472" s="1210">
        <v>33460</v>
      </c>
      <c r="D2472" s="1230">
        <v>31476</v>
      </c>
      <c r="E2472" s="1212">
        <f t="shared" si="720"/>
        <v>-1984</v>
      </c>
      <c r="F2472" s="1211">
        <f t="shared" si="710"/>
        <v>542</v>
      </c>
      <c r="G2472" s="1227">
        <f>AVERAGE($C$2451:C2472)</f>
        <v>32677.727272727272</v>
      </c>
      <c r="H2472" s="1274">
        <f>AVERAGE($C$2345:C2472)</f>
        <v>28311.314516129034</v>
      </c>
      <c r="I2472" s="1291">
        <v>210750</v>
      </c>
    </row>
    <row r="2473" spans="1:9" ht="15" customHeight="1">
      <c r="A2473" s="1253">
        <v>44378</v>
      </c>
      <c r="B2473" s="1209">
        <v>2015</v>
      </c>
      <c r="C2473" s="1210">
        <v>32790</v>
      </c>
      <c r="D2473" s="1230">
        <v>31290</v>
      </c>
      <c r="E2473" s="1212">
        <f t="shared" si="720"/>
        <v>-1500</v>
      </c>
      <c r="F2473" s="1211">
        <f t="shared" si="710"/>
        <v>-670</v>
      </c>
      <c r="G2473" s="1215"/>
      <c r="H2473" s="1269"/>
      <c r="I2473" s="1291">
        <v>210750</v>
      </c>
    </row>
    <row r="2474" spans="1:9" ht="15" customHeight="1">
      <c r="A2474" s="1253">
        <v>44379</v>
      </c>
      <c r="B2474" s="1209">
        <v>2025</v>
      </c>
      <c r="C2474" s="1210">
        <v>32946</v>
      </c>
      <c r="D2474" s="1230">
        <v>31387</v>
      </c>
      <c r="E2474" s="1212">
        <f t="shared" si="720"/>
        <v>-1559</v>
      </c>
      <c r="F2474" s="1211">
        <f t="shared" si="710"/>
        <v>156</v>
      </c>
      <c r="G2474" s="1215"/>
      <c r="H2474" s="1269"/>
      <c r="I2474" s="1291">
        <v>214750</v>
      </c>
    </row>
    <row r="2475" spans="1:9" ht="15" customHeight="1">
      <c r="A2475" s="1253">
        <v>44382</v>
      </c>
      <c r="B2475" s="1209">
        <v>1895</v>
      </c>
      <c r="C2475" s="1210">
        <v>33370</v>
      </c>
      <c r="D2475" s="1230">
        <v>31800</v>
      </c>
      <c r="E2475" s="1212">
        <f t="shared" si="720"/>
        <v>-1570</v>
      </c>
      <c r="F2475" s="1211">
        <f t="shared" si="710"/>
        <v>424</v>
      </c>
      <c r="G2475" s="1215"/>
      <c r="H2475" s="1269"/>
      <c r="I2475" s="1291">
        <v>216250</v>
      </c>
    </row>
    <row r="2476" spans="1:9" ht="15" customHeight="1">
      <c r="A2476" s="1253">
        <v>44383</v>
      </c>
      <c r="B2476" s="1209">
        <v>1870</v>
      </c>
      <c r="C2476" s="1210">
        <v>32758</v>
      </c>
      <c r="D2476" s="1230">
        <v>31716</v>
      </c>
      <c r="E2476" s="1212">
        <f t="shared" si="720"/>
        <v>-1042</v>
      </c>
      <c r="F2476" s="1211">
        <f t="shared" si="710"/>
        <v>-612</v>
      </c>
      <c r="G2476" s="1215"/>
      <c r="H2476" s="1269"/>
      <c r="I2476" s="1291">
        <v>220500</v>
      </c>
    </row>
    <row r="2477" spans="1:9" ht="15" customHeight="1">
      <c r="A2477" s="1253">
        <v>44384</v>
      </c>
      <c r="B2477" s="1209">
        <v>1880</v>
      </c>
      <c r="C2477" s="1210">
        <v>32999</v>
      </c>
      <c r="D2477" s="1230">
        <v>31785</v>
      </c>
      <c r="E2477" s="1212">
        <f t="shared" si="720"/>
        <v>-1214</v>
      </c>
      <c r="F2477" s="1211">
        <f t="shared" si="710"/>
        <v>241</v>
      </c>
      <c r="G2477" s="1215"/>
      <c r="H2477" s="1269"/>
      <c r="I2477" s="1291">
        <v>217500</v>
      </c>
    </row>
    <row r="2478" spans="1:9" ht="15" customHeight="1">
      <c r="A2478" s="1253">
        <v>44385</v>
      </c>
      <c r="B2478" s="1209">
        <v>1935</v>
      </c>
      <c r="C2478" s="1210">
        <v>32666</v>
      </c>
      <c r="D2478" s="1230">
        <v>31630</v>
      </c>
      <c r="E2478" s="1212">
        <f t="shared" si="720"/>
        <v>-1036</v>
      </c>
      <c r="F2478" s="1211">
        <f t="shared" si="710"/>
        <v>-333</v>
      </c>
      <c r="G2478" s="1215"/>
      <c r="H2478" s="1269"/>
      <c r="I2478" s="1291">
        <v>217500</v>
      </c>
    </row>
    <row r="2479" spans="1:9" ht="15" customHeight="1">
      <c r="A2479" s="1253">
        <v>44386</v>
      </c>
      <c r="B2479" s="1209">
        <v>1920</v>
      </c>
      <c r="C2479" s="1210">
        <v>33076</v>
      </c>
      <c r="D2479" s="1230">
        <v>31850</v>
      </c>
      <c r="E2479" s="1212">
        <f t="shared" si="720"/>
        <v>-1226</v>
      </c>
      <c r="F2479" s="1211">
        <f t="shared" si="710"/>
        <v>410</v>
      </c>
      <c r="G2479" s="1215"/>
      <c r="H2479" s="1269"/>
      <c r="I2479" s="1291">
        <v>220000</v>
      </c>
    </row>
    <row r="2480" spans="1:9" ht="15" customHeight="1">
      <c r="A2480" s="1253">
        <v>44389</v>
      </c>
      <c r="B2480" s="1209">
        <v>2215</v>
      </c>
      <c r="C2480" s="1210">
        <v>33510</v>
      </c>
      <c r="D2480" s="1230">
        <v>31962</v>
      </c>
      <c r="E2480" s="1212">
        <f t="shared" si="720"/>
        <v>-1548</v>
      </c>
      <c r="F2480" s="1211">
        <f t="shared" si="710"/>
        <v>434</v>
      </c>
      <c r="G2480" s="1215"/>
      <c r="H2480" s="1269"/>
      <c r="I2480" s="1291">
        <v>220000</v>
      </c>
    </row>
    <row r="2481" spans="1:9" ht="15" customHeight="1">
      <c r="A2481" s="1253">
        <v>44390</v>
      </c>
      <c r="B2481" s="1209">
        <v>2175</v>
      </c>
      <c r="C2481" s="1210">
        <v>33550</v>
      </c>
      <c r="D2481" s="1230">
        <v>32291</v>
      </c>
      <c r="E2481" s="1212">
        <f t="shared" si="720"/>
        <v>-1259</v>
      </c>
      <c r="F2481" s="1211">
        <f t="shared" si="710"/>
        <v>40</v>
      </c>
      <c r="G2481" s="1215"/>
      <c r="H2481" s="1269"/>
      <c r="I2481" s="1291">
        <v>222750</v>
      </c>
    </row>
    <row r="2482" spans="1:9" ht="15" customHeight="1">
      <c r="A2482" s="1253">
        <v>44391</v>
      </c>
      <c r="B2482" s="1209">
        <v>2160</v>
      </c>
      <c r="C2482" s="1210">
        <v>33639</v>
      </c>
      <c r="D2482" s="1230">
        <v>32498</v>
      </c>
      <c r="E2482" s="1212">
        <f t="shared" si="720"/>
        <v>-1141</v>
      </c>
      <c r="F2482" s="1211">
        <f t="shared" si="710"/>
        <v>89</v>
      </c>
      <c r="G2482" s="1215"/>
      <c r="H2482" s="1269"/>
      <c r="I2482" s="1291">
        <v>221750</v>
      </c>
    </row>
    <row r="2483" spans="1:9" ht="15" customHeight="1">
      <c r="A2483" s="1253">
        <v>44392</v>
      </c>
      <c r="B2483" s="1209">
        <v>2440</v>
      </c>
      <c r="C2483" s="1210">
        <v>33917</v>
      </c>
      <c r="D2483" s="1230">
        <v>32782</v>
      </c>
      <c r="E2483" s="1212">
        <f t="shared" si="720"/>
        <v>-1135</v>
      </c>
      <c r="F2483" s="1211">
        <f t="shared" si="710"/>
        <v>278</v>
      </c>
      <c r="G2483" s="1215"/>
      <c r="H2483" s="1269"/>
      <c r="I2483" s="1291">
        <v>223250</v>
      </c>
    </row>
    <row r="2484" spans="1:9" ht="15" customHeight="1">
      <c r="A2484" s="1253">
        <v>44393</v>
      </c>
      <c r="B2484" s="1209">
        <v>2305</v>
      </c>
      <c r="C2484" s="1210">
        <v>34177</v>
      </c>
      <c r="D2484" s="1230">
        <v>33401</v>
      </c>
      <c r="E2484" s="1212">
        <f t="shared" si="720"/>
        <v>-776</v>
      </c>
      <c r="F2484" s="1211">
        <f t="shared" si="710"/>
        <v>260</v>
      </c>
      <c r="G2484" s="1215"/>
      <c r="H2484" s="1269"/>
      <c r="I2484" s="1291">
        <v>228000</v>
      </c>
    </row>
    <row r="2485" spans="1:9" ht="15" customHeight="1">
      <c r="A2485" s="1253">
        <v>44396</v>
      </c>
      <c r="B2485" s="1209">
        <v>2275</v>
      </c>
      <c r="C2485" s="1210">
        <v>34610</v>
      </c>
      <c r="D2485" s="1230">
        <v>33680</v>
      </c>
      <c r="E2485" s="1212">
        <f t="shared" si="720"/>
        <v>-930</v>
      </c>
      <c r="F2485" s="1211">
        <f t="shared" si="710"/>
        <v>433</v>
      </c>
      <c r="G2485" s="1215"/>
      <c r="H2485" s="1269"/>
      <c r="I2485" s="1291">
        <v>234000</v>
      </c>
    </row>
    <row r="2486" spans="1:9" ht="15" customHeight="1">
      <c r="A2486" s="1253">
        <v>44397</v>
      </c>
      <c r="B2486" s="1209">
        <v>2305</v>
      </c>
      <c r="C2486" s="1210">
        <v>34767</v>
      </c>
      <c r="D2486" s="1230">
        <v>33653</v>
      </c>
      <c r="E2486" s="1212">
        <f t="shared" si="720"/>
        <v>-1114</v>
      </c>
      <c r="F2486" s="1211">
        <f t="shared" si="710"/>
        <v>157</v>
      </c>
      <c r="G2486" s="1215"/>
      <c r="H2486" s="1269"/>
      <c r="I2486" s="1291">
        <v>229250</v>
      </c>
    </row>
    <row r="2487" spans="1:9" ht="15" customHeight="1">
      <c r="A2487" s="1253">
        <v>44398</v>
      </c>
      <c r="B2487" s="1209">
        <v>2305</v>
      </c>
      <c r="C2487" s="1210">
        <v>34601</v>
      </c>
      <c r="D2487" s="1230">
        <v>33290</v>
      </c>
      <c r="E2487" s="1212">
        <f t="shared" si="720"/>
        <v>-1311</v>
      </c>
      <c r="F2487" s="1211">
        <f t="shared" si="710"/>
        <v>-166</v>
      </c>
      <c r="G2487" s="1215"/>
      <c r="H2487" s="1269"/>
      <c r="I2487" s="1291">
        <v>228000</v>
      </c>
    </row>
    <row r="2488" spans="1:9" ht="15" customHeight="1">
      <c r="A2488" s="1253">
        <v>44399</v>
      </c>
      <c r="B2488" s="1209">
        <v>2235</v>
      </c>
      <c r="C2488" s="1210">
        <v>34750</v>
      </c>
      <c r="D2488" s="1230">
        <v>33564</v>
      </c>
      <c r="E2488" s="1212">
        <f t="shared" si="720"/>
        <v>-1186</v>
      </c>
      <c r="F2488" s="1211">
        <f t="shared" si="710"/>
        <v>149</v>
      </c>
      <c r="G2488" s="1215"/>
      <c r="H2488" s="1269"/>
      <c r="I2488" s="1291">
        <v>227250</v>
      </c>
    </row>
    <row r="2489" spans="1:9" ht="15" customHeight="1">
      <c r="A2489" s="1253">
        <v>44400</v>
      </c>
      <c r="B2489" s="1209">
        <v>2350</v>
      </c>
      <c r="C2489" s="1210">
        <v>35101</v>
      </c>
      <c r="D2489" s="1230">
        <v>34177</v>
      </c>
      <c r="E2489" s="1212">
        <f t="shared" si="720"/>
        <v>-924</v>
      </c>
      <c r="F2489" s="1211">
        <f t="shared" si="710"/>
        <v>351</v>
      </c>
      <c r="G2489" s="1215"/>
      <c r="H2489" s="1269"/>
      <c r="I2489" s="1291">
        <v>235000</v>
      </c>
    </row>
    <row r="2490" spans="1:9" ht="15" customHeight="1">
      <c r="A2490" s="1253">
        <v>44403</v>
      </c>
      <c r="B2490" s="1209">
        <v>2350</v>
      </c>
      <c r="C2490" s="1210">
        <v>35671</v>
      </c>
      <c r="D2490" s="1230">
        <v>34476</v>
      </c>
      <c r="E2490" s="1212">
        <f t="shared" si="720"/>
        <v>-1195</v>
      </c>
      <c r="F2490" s="1211">
        <f t="shared" si="710"/>
        <v>570</v>
      </c>
      <c r="G2490" s="1215"/>
      <c r="H2490" s="1269"/>
      <c r="I2490" s="1291">
        <v>237250</v>
      </c>
    </row>
    <row r="2491" spans="1:9" ht="15" customHeight="1">
      <c r="A2491" s="1253">
        <v>44404</v>
      </c>
      <c r="B2491" s="1209">
        <v>2315</v>
      </c>
      <c r="C2491" s="1210">
        <v>35760</v>
      </c>
      <c r="D2491" s="1230">
        <v>34710</v>
      </c>
      <c r="E2491" s="1212">
        <f t="shared" si="720"/>
        <v>-1050</v>
      </c>
      <c r="F2491" s="1211">
        <f t="shared" si="710"/>
        <v>89</v>
      </c>
      <c r="G2491" s="1215"/>
      <c r="H2491" s="1269"/>
      <c r="I2491" s="1291">
        <v>237000</v>
      </c>
    </row>
    <row r="2492" spans="1:9" ht="15" customHeight="1">
      <c r="A2492" s="1253">
        <v>44405</v>
      </c>
      <c r="B2492" s="1209">
        <v>2365</v>
      </c>
      <c r="C2492" s="1210">
        <v>35671</v>
      </c>
      <c r="D2492" s="1230">
        <v>34695</v>
      </c>
      <c r="E2492" s="1212">
        <f t="shared" si="720"/>
        <v>-976</v>
      </c>
      <c r="F2492" s="1211">
        <f t="shared" si="710"/>
        <v>-89</v>
      </c>
      <c r="G2492" s="1215"/>
      <c r="H2492" s="1269"/>
      <c r="I2492" s="1291">
        <v>234000</v>
      </c>
    </row>
    <row r="2493" spans="1:9" ht="15" customHeight="1">
      <c r="A2493" s="1253">
        <v>44406</v>
      </c>
      <c r="B2493" s="1209">
        <v>2385</v>
      </c>
      <c r="C2493" s="1210">
        <v>35732</v>
      </c>
      <c r="D2493" s="1230">
        <v>34833</v>
      </c>
      <c r="E2493" s="1212">
        <f t="shared" si="720"/>
        <v>-899</v>
      </c>
      <c r="F2493" s="1211">
        <f t="shared" si="710"/>
        <v>61</v>
      </c>
      <c r="G2493" s="1215"/>
      <c r="H2493" s="1269"/>
      <c r="I2493" s="1291">
        <v>234000</v>
      </c>
    </row>
    <row r="2494" spans="1:9" ht="15" customHeight="1">
      <c r="A2494" s="1253">
        <v>44407</v>
      </c>
      <c r="B2494" s="1209">
        <v>2415</v>
      </c>
      <c r="C2494" s="1210">
        <v>35965</v>
      </c>
      <c r="D2494" s="1230">
        <v>34750</v>
      </c>
      <c r="E2494" s="1212">
        <f t="shared" si="720"/>
        <v>-1215</v>
      </c>
      <c r="F2494" s="1211">
        <f t="shared" si="710"/>
        <v>233</v>
      </c>
      <c r="G2494" s="1227">
        <f>AVERAGE($C$2473:C2494)</f>
        <v>34183</v>
      </c>
      <c r="H2494" s="1274">
        <f>AVERAGE($C$2345:C2494)</f>
        <v>29196.089041095889</v>
      </c>
      <c r="I2494" s="1291">
        <v>236500</v>
      </c>
    </row>
    <row r="2495" spans="1:9" ht="15" customHeight="1">
      <c r="A2495" s="1253">
        <v>44410</v>
      </c>
      <c r="B2495" s="1209">
        <v>2290</v>
      </c>
      <c r="C2495" s="1210">
        <v>36141</v>
      </c>
      <c r="D2495" s="1230">
        <v>34938</v>
      </c>
      <c r="E2495" s="1212">
        <f t="shared" si="720"/>
        <v>-1203</v>
      </c>
      <c r="F2495" s="1211">
        <f t="shared" si="710"/>
        <v>176</v>
      </c>
      <c r="G2495" s="1215"/>
      <c r="H2495" s="1269"/>
      <c r="I2495" s="1291">
        <v>237500</v>
      </c>
    </row>
    <row r="2496" spans="1:9" ht="15" customHeight="1">
      <c r="A2496" s="1253">
        <v>44411</v>
      </c>
      <c r="B2496" s="1209">
        <v>2290</v>
      </c>
      <c r="C2496" s="1210">
        <v>36437</v>
      </c>
      <c r="D2496" s="1230">
        <v>34698</v>
      </c>
      <c r="E2496" s="1212">
        <f t="shared" si="720"/>
        <v>-1739</v>
      </c>
      <c r="F2496" s="1211">
        <f t="shared" si="710"/>
        <v>296</v>
      </c>
      <c r="G2496" s="1215"/>
      <c r="H2496" s="1269"/>
      <c r="I2496" s="1291">
        <v>236250</v>
      </c>
    </row>
    <row r="2497" spans="1:9" ht="15" customHeight="1">
      <c r="A2497" s="1253">
        <v>44412</v>
      </c>
      <c r="B2497" s="1209">
        <v>2295</v>
      </c>
      <c r="C2497" s="1210">
        <v>36475</v>
      </c>
      <c r="D2497" s="1230">
        <v>34678</v>
      </c>
      <c r="E2497" s="1212">
        <f t="shared" si="720"/>
        <v>-1797</v>
      </c>
      <c r="F2497" s="1211">
        <f t="shared" si="710"/>
        <v>38</v>
      </c>
      <c r="G2497" s="1215"/>
      <c r="H2497" s="1269"/>
      <c r="I2497" s="1291">
        <v>233750</v>
      </c>
    </row>
    <row r="2498" spans="1:9" ht="15" customHeight="1">
      <c r="A2498" s="1253">
        <v>44413</v>
      </c>
      <c r="B2498" s="1209">
        <v>2270</v>
      </c>
      <c r="C2498" s="1210">
        <v>35982</v>
      </c>
      <c r="D2498" s="1230">
        <v>34758</v>
      </c>
      <c r="E2498" s="1212">
        <f t="shared" si="720"/>
        <v>-1224</v>
      </c>
      <c r="F2498" s="1211">
        <f t="shared" si="710"/>
        <v>-493</v>
      </c>
      <c r="G2498" s="1215"/>
      <c r="H2498" s="1269"/>
      <c r="I2498" s="1291">
        <v>233750</v>
      </c>
    </row>
    <row r="2499" spans="1:9" ht="15" customHeight="1">
      <c r="A2499" s="1253">
        <v>44414</v>
      </c>
      <c r="B2499" s="1209">
        <v>2245</v>
      </c>
      <c r="C2499" s="1210">
        <v>36065</v>
      </c>
      <c r="D2499" s="1230">
        <v>34771</v>
      </c>
      <c r="E2499" s="1212">
        <f t="shared" si="720"/>
        <v>-1294</v>
      </c>
      <c r="F2499" s="1211">
        <f t="shared" si="710"/>
        <v>83</v>
      </c>
      <c r="G2499" s="1215"/>
      <c r="H2499" s="1269"/>
      <c r="I2499" s="1291">
        <v>234500</v>
      </c>
    </row>
    <row r="2500" spans="1:9" ht="15" customHeight="1">
      <c r="A2500" s="1253">
        <v>44417</v>
      </c>
      <c r="B2500" s="1209">
        <v>2245</v>
      </c>
      <c r="C2500" s="1210">
        <v>35935</v>
      </c>
      <c r="D2500" s="1230">
        <v>34579</v>
      </c>
      <c r="E2500" s="1212">
        <f t="shared" si="720"/>
        <v>-1356</v>
      </c>
      <c r="F2500" s="1211">
        <f t="shared" si="710"/>
        <v>-130</v>
      </c>
      <c r="G2500" s="1215"/>
      <c r="H2500" s="1269"/>
      <c r="I2500" s="1291">
        <v>234500</v>
      </c>
    </row>
    <row r="2501" spans="1:9" ht="15" customHeight="1">
      <c r="A2501" s="1253">
        <v>44418</v>
      </c>
      <c r="B2501" s="1209">
        <v>2245</v>
      </c>
      <c r="C2501" s="1210">
        <v>36395</v>
      </c>
      <c r="D2501" s="1230">
        <v>35138</v>
      </c>
      <c r="E2501" s="1212">
        <f t="shared" si="720"/>
        <v>-1257</v>
      </c>
      <c r="F2501" s="1211">
        <f t="shared" si="710"/>
        <v>460</v>
      </c>
      <c r="G2501" s="1215"/>
      <c r="H2501" s="1269"/>
      <c r="I2501" s="1291">
        <v>238000</v>
      </c>
    </row>
    <row r="2502" spans="1:9" ht="15" customHeight="1">
      <c r="A2502" s="1253">
        <v>44419</v>
      </c>
      <c r="B2502" s="1209">
        <v>2245</v>
      </c>
      <c r="C2502" s="1210">
        <v>36240</v>
      </c>
      <c r="D2502" s="1230">
        <v>35350</v>
      </c>
      <c r="E2502" s="1212">
        <f t="shared" si="720"/>
        <v>-890</v>
      </c>
      <c r="F2502" s="1211">
        <f t="shared" si="710"/>
        <v>-155</v>
      </c>
      <c r="G2502" s="1215"/>
      <c r="H2502" s="1269"/>
      <c r="I2502" s="1291">
        <v>241500</v>
      </c>
    </row>
    <row r="2503" spans="1:9" ht="15" customHeight="1">
      <c r="A2503" s="1253">
        <v>44420</v>
      </c>
      <c r="B2503" s="1209">
        <v>2180</v>
      </c>
      <c r="C2503" s="1210">
        <v>36594</v>
      </c>
      <c r="D2503" s="1230">
        <v>35708</v>
      </c>
      <c r="E2503" s="1212">
        <f t="shared" si="720"/>
        <v>-886</v>
      </c>
      <c r="F2503" s="1211">
        <f t="shared" si="710"/>
        <v>354</v>
      </c>
      <c r="G2503" s="1215"/>
      <c r="H2503" s="1269"/>
      <c r="I2503" s="1291">
        <v>245750</v>
      </c>
    </row>
    <row r="2504" spans="1:9" ht="15" customHeight="1">
      <c r="A2504" s="1253">
        <v>44421</v>
      </c>
      <c r="B2504" s="1209">
        <v>2115</v>
      </c>
      <c r="C2504" s="1210">
        <v>36109</v>
      </c>
      <c r="D2504" s="1230">
        <v>35427</v>
      </c>
      <c r="E2504" s="1212">
        <f t="shared" si="720"/>
        <v>-682</v>
      </c>
      <c r="F2504" s="1211">
        <f t="shared" si="710"/>
        <v>-485</v>
      </c>
      <c r="G2504" s="1215"/>
      <c r="H2504" s="1269"/>
      <c r="I2504" s="1291">
        <v>241750</v>
      </c>
    </row>
    <row r="2505" spans="1:9" ht="15" customHeight="1">
      <c r="A2505" s="1253">
        <v>44424</v>
      </c>
      <c r="B2505" s="1209">
        <v>1710</v>
      </c>
      <c r="C2505" s="1210">
        <v>36064</v>
      </c>
      <c r="D2505" s="1230">
        <v>35417</v>
      </c>
      <c r="E2505" s="1212">
        <f t="shared" si="720"/>
        <v>-647</v>
      </c>
      <c r="F2505" s="1211">
        <f t="shared" si="710"/>
        <v>-45</v>
      </c>
      <c r="G2505" s="1215"/>
      <c r="H2505" s="1269"/>
      <c r="I2505" s="1291">
        <v>241000</v>
      </c>
    </row>
    <row r="2506" spans="1:9" ht="15" customHeight="1">
      <c r="A2506" s="1253">
        <v>44425</v>
      </c>
      <c r="B2506" s="1209">
        <v>1750</v>
      </c>
      <c r="C2506" s="1210">
        <v>36491</v>
      </c>
      <c r="D2506" s="1230">
        <v>35844</v>
      </c>
      <c r="E2506" s="1212">
        <f t="shared" si="720"/>
        <v>-647</v>
      </c>
      <c r="F2506" s="1211">
        <f t="shared" si="710"/>
        <v>427</v>
      </c>
      <c r="G2506" s="1215"/>
      <c r="H2506" s="1269"/>
      <c r="I2506" s="1291">
        <v>245500</v>
      </c>
    </row>
    <row r="2507" spans="1:9" ht="15" customHeight="1">
      <c r="A2507" s="1253">
        <v>44426</v>
      </c>
      <c r="B2507" s="1209">
        <v>1730</v>
      </c>
      <c r="C2507" s="1210">
        <v>35985</v>
      </c>
      <c r="D2507" s="1230">
        <v>35455</v>
      </c>
      <c r="E2507" s="1212">
        <f t="shared" si="720"/>
        <v>-530</v>
      </c>
      <c r="F2507" s="1211">
        <f t="shared" si="710"/>
        <v>-506</v>
      </c>
      <c r="G2507" s="1215"/>
      <c r="H2507" s="1269"/>
      <c r="I2507" s="1291">
        <v>246500</v>
      </c>
    </row>
    <row r="2508" spans="1:9" ht="15" customHeight="1">
      <c r="A2508" s="1253">
        <v>44427</v>
      </c>
      <c r="B2508" s="1209">
        <v>1860</v>
      </c>
      <c r="C2508" s="1210">
        <v>32735</v>
      </c>
      <c r="D2508" s="1230">
        <v>32222</v>
      </c>
      <c r="E2508" s="1212">
        <f t="shared" ref="E2508:E2537" si="721">D2508-C2508</f>
        <v>-513</v>
      </c>
      <c r="F2508" s="1211">
        <f t="shared" ref="F2508:F2571" si="722">C2508-C2507</f>
        <v>-3250</v>
      </c>
      <c r="G2508" s="1215"/>
      <c r="H2508" s="1269"/>
      <c r="I2508" s="1291">
        <v>246250</v>
      </c>
    </row>
    <row r="2509" spans="1:9" ht="15" customHeight="1">
      <c r="A2509" s="1253">
        <v>44428</v>
      </c>
      <c r="B2509" s="1209">
        <v>1715</v>
      </c>
      <c r="C2509" s="1210">
        <v>33693</v>
      </c>
      <c r="D2509" s="1230">
        <v>33100</v>
      </c>
      <c r="E2509" s="1212">
        <f t="shared" si="721"/>
        <v>-593</v>
      </c>
      <c r="F2509" s="1211">
        <f t="shared" si="722"/>
        <v>958</v>
      </c>
      <c r="G2509" s="1215"/>
      <c r="H2509" s="1269"/>
      <c r="I2509" s="1291">
        <v>239500</v>
      </c>
    </row>
    <row r="2510" spans="1:9" ht="15" customHeight="1">
      <c r="A2510" s="1253">
        <v>44431</v>
      </c>
      <c r="B2510" s="1209">
        <v>1670</v>
      </c>
      <c r="C2510" s="1210">
        <v>33170</v>
      </c>
      <c r="D2510" s="1230">
        <v>32634</v>
      </c>
      <c r="E2510" s="1212">
        <f t="shared" si="721"/>
        <v>-536</v>
      </c>
      <c r="F2510" s="1211">
        <f t="shared" si="722"/>
        <v>-523</v>
      </c>
      <c r="G2510" s="1215"/>
      <c r="H2510" s="1269"/>
      <c r="I2510" s="1291">
        <v>239500</v>
      </c>
    </row>
    <row r="2511" spans="1:9" ht="15" customHeight="1">
      <c r="A2511" s="1253">
        <v>44432</v>
      </c>
      <c r="B2511" s="1209">
        <v>1665</v>
      </c>
      <c r="C2511" s="1210">
        <v>32905</v>
      </c>
      <c r="D2511" s="1230">
        <v>32703</v>
      </c>
      <c r="E2511" s="1212">
        <f t="shared" si="721"/>
        <v>-202</v>
      </c>
      <c r="F2511" s="1211">
        <f t="shared" si="722"/>
        <v>-265</v>
      </c>
      <c r="G2511" s="1215"/>
      <c r="H2511" s="1269"/>
      <c r="I2511" s="1291">
        <v>241750</v>
      </c>
    </row>
    <row r="2512" spans="1:9" ht="15" customHeight="1">
      <c r="A2512" s="1253">
        <v>44433</v>
      </c>
      <c r="B2512" s="1209">
        <v>1660</v>
      </c>
      <c r="C2512" s="1210">
        <v>33579</v>
      </c>
      <c r="D2512" s="1230">
        <v>32896</v>
      </c>
      <c r="E2512" s="1212">
        <f t="shared" si="721"/>
        <v>-683</v>
      </c>
      <c r="F2512" s="1211">
        <f t="shared" si="722"/>
        <v>674</v>
      </c>
      <c r="G2512" s="1215"/>
      <c r="H2512" s="1269"/>
      <c r="I2512" s="1291">
        <v>244750</v>
      </c>
    </row>
    <row r="2513" spans="1:9" ht="15" customHeight="1">
      <c r="A2513" s="1253">
        <v>44434</v>
      </c>
      <c r="B2513" s="1209">
        <v>1635</v>
      </c>
      <c r="C2513" s="1210">
        <v>34077</v>
      </c>
      <c r="D2513" s="1230">
        <v>33366</v>
      </c>
      <c r="E2513" s="1212">
        <f t="shared" si="721"/>
        <v>-711</v>
      </c>
      <c r="F2513" s="1211">
        <f t="shared" si="722"/>
        <v>498</v>
      </c>
      <c r="G2513" s="1215"/>
      <c r="H2513" s="1269"/>
      <c r="I2513" s="1291">
        <v>247000</v>
      </c>
    </row>
    <row r="2514" spans="1:9" ht="15" customHeight="1">
      <c r="A2514" s="1253">
        <v>44435</v>
      </c>
      <c r="B2514" s="1209">
        <v>1585</v>
      </c>
      <c r="C2514" s="1210">
        <v>34452</v>
      </c>
      <c r="D2514" s="1230">
        <v>33576</v>
      </c>
      <c r="E2514" s="1212">
        <f t="shared" si="721"/>
        <v>-876</v>
      </c>
      <c r="F2514" s="1211">
        <f t="shared" si="722"/>
        <v>375</v>
      </c>
      <c r="G2514" s="1215"/>
      <c r="H2514" s="1269"/>
      <c r="I2514" s="1291">
        <v>245500</v>
      </c>
    </row>
    <row r="2515" spans="1:9" ht="15" customHeight="1">
      <c r="A2515" s="1253">
        <v>44438</v>
      </c>
      <c r="B2515" s="1434" t="s">
        <v>61</v>
      </c>
      <c r="C2515" s="1449"/>
      <c r="D2515" s="1449"/>
      <c r="E2515" s="1212"/>
      <c r="F2515" s="1211"/>
      <c r="G2515" s="1215"/>
      <c r="H2515" s="1269"/>
      <c r="I2515" s="1291">
        <v>246750</v>
      </c>
    </row>
    <row r="2516" spans="1:9" ht="15" customHeight="1">
      <c r="A2516" s="1253">
        <v>44439</v>
      </c>
      <c r="B2516" s="1209">
        <v>1555</v>
      </c>
      <c r="C2516" s="1210">
        <v>34781</v>
      </c>
      <c r="D2516" s="1230">
        <v>34127</v>
      </c>
      <c r="E2516" s="1212">
        <f t="shared" si="721"/>
        <v>-654</v>
      </c>
      <c r="F2516" s="1211">
        <f t="shared" si="722"/>
        <v>34781</v>
      </c>
      <c r="G2516" s="1227">
        <f>AVERAGE($C$2495:C2516)</f>
        <v>35252.619047619046</v>
      </c>
      <c r="H2516" s="1274">
        <f>AVERAGE($C$2345:C2516)</f>
        <v>29957.688622754493</v>
      </c>
      <c r="I2516" s="1291">
        <v>250750</v>
      </c>
    </row>
    <row r="2517" spans="1:9" ht="15" customHeight="1">
      <c r="A2517" s="1253">
        <v>44440</v>
      </c>
      <c r="B2517" s="1209">
        <v>1395</v>
      </c>
      <c r="C2517" s="1210">
        <v>34129</v>
      </c>
      <c r="D2517" s="1230">
        <v>33653</v>
      </c>
      <c r="E2517" s="1212">
        <f t="shared" si="721"/>
        <v>-476</v>
      </c>
      <c r="F2517" s="1211">
        <f t="shared" si="722"/>
        <v>-652</v>
      </c>
      <c r="G2517" s="1215"/>
      <c r="H2517" s="1269"/>
      <c r="I2517" s="1291">
        <v>249750</v>
      </c>
    </row>
    <row r="2518" spans="1:9" ht="15" customHeight="1">
      <c r="A2518" s="1253">
        <v>44441</v>
      </c>
      <c r="B2518" s="1209">
        <v>1370</v>
      </c>
      <c r="C2518" s="1210">
        <v>33942</v>
      </c>
      <c r="D2518" s="1230">
        <v>33533</v>
      </c>
      <c r="E2518" s="1212">
        <f t="shared" si="721"/>
        <v>-409</v>
      </c>
      <c r="F2518" s="1211">
        <f t="shared" si="722"/>
        <v>-187</v>
      </c>
      <c r="G2518" s="1215"/>
      <c r="H2518" s="1269"/>
      <c r="I2518" s="1291">
        <v>250500</v>
      </c>
    </row>
    <row r="2519" spans="1:9" ht="15" customHeight="1">
      <c r="A2519" s="1253">
        <v>44442</v>
      </c>
      <c r="B2519" s="1209">
        <v>1245</v>
      </c>
      <c r="C2519" s="1210">
        <v>33540</v>
      </c>
      <c r="D2519" s="1230">
        <v>33050</v>
      </c>
      <c r="E2519" s="1212">
        <f t="shared" si="721"/>
        <v>-490</v>
      </c>
      <c r="F2519" s="1211">
        <f t="shared" si="722"/>
        <v>-402</v>
      </c>
      <c r="G2519" s="1215"/>
      <c r="H2519" s="1269"/>
      <c r="I2519" s="1291">
        <v>249250</v>
      </c>
    </row>
    <row r="2520" spans="1:9" ht="15" customHeight="1">
      <c r="A2520" s="1253">
        <v>44445</v>
      </c>
      <c r="B2520" s="1209">
        <v>1220</v>
      </c>
      <c r="C2520" s="1210">
        <v>33250</v>
      </c>
      <c r="D2520" s="1230">
        <v>32830</v>
      </c>
      <c r="E2520" s="1212">
        <f t="shared" si="721"/>
        <v>-420</v>
      </c>
      <c r="F2520" s="1211">
        <f t="shared" si="722"/>
        <v>-290</v>
      </c>
      <c r="G2520" s="1215"/>
      <c r="H2520" s="1269"/>
      <c r="I2520" s="1291">
        <v>250000</v>
      </c>
    </row>
    <row r="2521" spans="1:9" ht="15" customHeight="1">
      <c r="A2521" s="1253">
        <v>44446</v>
      </c>
      <c r="B2521" s="1209">
        <v>1150</v>
      </c>
      <c r="C2521" s="1210">
        <v>33005</v>
      </c>
      <c r="D2521" s="1230">
        <v>32575</v>
      </c>
      <c r="E2521" s="1212">
        <f t="shared" si="721"/>
        <v>-430</v>
      </c>
      <c r="F2521" s="1211">
        <f t="shared" si="722"/>
        <v>-245</v>
      </c>
      <c r="G2521" s="1215"/>
      <c r="H2521" s="1269"/>
      <c r="I2521" s="1291">
        <v>249500</v>
      </c>
    </row>
    <row r="2522" spans="1:9" ht="15" customHeight="1">
      <c r="A2522" s="1253">
        <v>44447</v>
      </c>
      <c r="B2522" s="1209">
        <v>1245</v>
      </c>
      <c r="C2522" s="1210">
        <v>32850</v>
      </c>
      <c r="D2522" s="1230">
        <v>32450</v>
      </c>
      <c r="E2522" s="1212">
        <f t="shared" si="721"/>
        <v>-400</v>
      </c>
      <c r="F2522" s="1211">
        <f t="shared" si="722"/>
        <v>-155</v>
      </c>
      <c r="G2522" s="1215"/>
      <c r="H2522" s="1269"/>
      <c r="I2522" s="1291">
        <v>250000</v>
      </c>
    </row>
    <row r="2523" spans="1:9" ht="15" customHeight="1">
      <c r="A2523" s="1253">
        <v>44448</v>
      </c>
      <c r="B2523" s="1209">
        <v>1215</v>
      </c>
      <c r="C2523" s="1210">
        <v>33825</v>
      </c>
      <c r="D2523" s="1230">
        <v>33150</v>
      </c>
      <c r="E2523" s="1212">
        <f t="shared" si="721"/>
        <v>-675</v>
      </c>
      <c r="F2523" s="1211">
        <f t="shared" si="722"/>
        <v>975</v>
      </c>
      <c r="G2523" s="1215"/>
      <c r="H2523" s="1269"/>
      <c r="I2523" s="1291">
        <v>251250</v>
      </c>
    </row>
    <row r="2524" spans="1:9" ht="15" customHeight="1">
      <c r="A2524" s="1253">
        <v>44449</v>
      </c>
      <c r="B2524" s="1209">
        <v>1205</v>
      </c>
      <c r="C2524" s="1210">
        <v>34750</v>
      </c>
      <c r="D2524" s="1230">
        <v>34000</v>
      </c>
      <c r="E2524" s="1212">
        <f t="shared" si="721"/>
        <v>-750</v>
      </c>
      <c r="F2524" s="1211">
        <f t="shared" si="722"/>
        <v>925</v>
      </c>
      <c r="G2524" s="1215"/>
      <c r="H2524" s="1269"/>
      <c r="I2524" s="1291">
        <f>I2525-3500</f>
        <v>256500</v>
      </c>
    </row>
    <row r="2525" spans="1:9" ht="15" customHeight="1">
      <c r="A2525" s="1253">
        <v>44452</v>
      </c>
      <c r="B2525" s="1209">
        <v>1230</v>
      </c>
      <c r="C2525" s="1210">
        <v>34950</v>
      </c>
      <c r="D2525" s="1230">
        <v>34000</v>
      </c>
      <c r="E2525" s="1212">
        <f t="shared" si="721"/>
        <v>-950</v>
      </c>
      <c r="F2525" s="1211">
        <f t="shared" si="722"/>
        <v>200</v>
      </c>
      <c r="G2525" s="1215"/>
      <c r="H2525" s="1269"/>
      <c r="I2525" s="1291">
        <v>260000</v>
      </c>
    </row>
    <row r="2526" spans="1:9" ht="15" customHeight="1">
      <c r="A2526" s="1253">
        <v>44453</v>
      </c>
      <c r="B2526" s="1209">
        <v>1225</v>
      </c>
      <c r="C2526" s="1210">
        <v>34300</v>
      </c>
      <c r="D2526" s="1230">
        <v>33580</v>
      </c>
      <c r="E2526" s="1212">
        <f t="shared" si="721"/>
        <v>-720</v>
      </c>
      <c r="F2526" s="1211">
        <f t="shared" si="722"/>
        <v>-650</v>
      </c>
      <c r="G2526" s="1215"/>
      <c r="H2526" s="1269"/>
      <c r="I2526" s="1291">
        <v>256500</v>
      </c>
    </row>
    <row r="2527" spans="1:9" ht="15" customHeight="1">
      <c r="A2527" s="1253">
        <v>44454</v>
      </c>
      <c r="B2527" s="1209">
        <v>1265</v>
      </c>
      <c r="C2527" s="1210">
        <v>34375</v>
      </c>
      <c r="D2527" s="1230">
        <v>33575</v>
      </c>
      <c r="E2527" s="1212">
        <f t="shared" si="721"/>
        <v>-800</v>
      </c>
      <c r="F2527" s="1211">
        <f t="shared" si="722"/>
        <v>75</v>
      </c>
      <c r="G2527" s="1215"/>
      <c r="H2527" s="1269"/>
      <c r="I2527" s="1291">
        <v>258000</v>
      </c>
    </row>
    <row r="2528" spans="1:9" ht="15" customHeight="1">
      <c r="A2528" s="1253">
        <v>44455</v>
      </c>
      <c r="B2528" s="1209">
        <v>1310</v>
      </c>
      <c r="C2528" s="1210">
        <v>34950</v>
      </c>
      <c r="D2528" s="1230">
        <v>34000</v>
      </c>
      <c r="E2528" s="1212">
        <f t="shared" si="721"/>
        <v>-950</v>
      </c>
      <c r="F2528" s="1211">
        <f t="shared" si="722"/>
        <v>575</v>
      </c>
      <c r="G2528" s="1215"/>
      <c r="H2528" s="1269"/>
      <c r="I2528" s="1291">
        <v>264500</v>
      </c>
    </row>
    <row r="2529" spans="1:9" ht="15" customHeight="1">
      <c r="A2529" s="1253">
        <v>44456</v>
      </c>
      <c r="B2529" s="1209">
        <v>1235</v>
      </c>
      <c r="C2529" s="1210">
        <v>35375</v>
      </c>
      <c r="D2529" s="1230">
        <v>34245</v>
      </c>
      <c r="E2529" s="1212">
        <f t="shared" si="721"/>
        <v>-1130</v>
      </c>
      <c r="F2529" s="1211">
        <f t="shared" si="722"/>
        <v>425</v>
      </c>
      <c r="G2529" s="1215"/>
      <c r="H2529" s="1269"/>
      <c r="I2529" s="1283"/>
    </row>
    <row r="2530" spans="1:9" ht="15" customHeight="1">
      <c r="A2530" s="1253">
        <v>44459</v>
      </c>
      <c r="B2530" s="1209">
        <v>1205</v>
      </c>
      <c r="C2530" s="1210">
        <v>34750</v>
      </c>
      <c r="D2530" s="1230">
        <v>33750</v>
      </c>
      <c r="E2530" s="1212">
        <f t="shared" si="721"/>
        <v>-1000</v>
      </c>
      <c r="F2530" s="1211">
        <f t="shared" si="722"/>
        <v>-625</v>
      </c>
      <c r="G2530" s="1215"/>
      <c r="H2530" s="1269"/>
      <c r="I2530" s="1283"/>
    </row>
    <row r="2531" spans="1:9" ht="15" customHeight="1">
      <c r="A2531" s="1253">
        <v>44460</v>
      </c>
      <c r="B2531" s="1209">
        <v>1205</v>
      </c>
      <c r="C2531" s="1210">
        <v>35350</v>
      </c>
      <c r="D2531" s="1230">
        <v>34100</v>
      </c>
      <c r="E2531" s="1212">
        <f t="shared" si="721"/>
        <v>-1250</v>
      </c>
      <c r="F2531" s="1211">
        <f t="shared" si="722"/>
        <v>600</v>
      </c>
      <c r="G2531" s="1215"/>
      <c r="H2531" s="1269"/>
      <c r="I2531" s="1283"/>
    </row>
    <row r="2532" spans="1:9" ht="15" customHeight="1">
      <c r="A2532" s="1253">
        <v>44461</v>
      </c>
      <c r="B2532" s="1209">
        <v>1205</v>
      </c>
      <c r="C2532" s="1210">
        <v>36000</v>
      </c>
      <c r="D2532" s="1230">
        <v>35000</v>
      </c>
      <c r="E2532" s="1212">
        <f t="shared" si="721"/>
        <v>-1000</v>
      </c>
      <c r="F2532" s="1211">
        <f t="shared" si="722"/>
        <v>650</v>
      </c>
      <c r="G2532" s="1215"/>
      <c r="H2532" s="1269"/>
      <c r="I2532" s="1291">
        <v>271500</v>
      </c>
    </row>
    <row r="2533" spans="1:9" ht="15" customHeight="1">
      <c r="A2533" s="1253">
        <v>44462</v>
      </c>
      <c r="B2533" s="1209">
        <v>1180</v>
      </c>
      <c r="C2533" s="1210">
        <v>36600</v>
      </c>
      <c r="D2533" s="1230">
        <v>35100</v>
      </c>
      <c r="E2533" s="1212">
        <f t="shared" si="721"/>
        <v>-1500</v>
      </c>
      <c r="F2533" s="1211">
        <f t="shared" si="722"/>
        <v>600</v>
      </c>
      <c r="G2533" s="1215"/>
      <c r="H2533" s="1269"/>
      <c r="I2533" s="1291">
        <v>277000</v>
      </c>
    </row>
    <row r="2534" spans="1:9" ht="15" customHeight="1">
      <c r="A2534" s="1253">
        <v>44463</v>
      </c>
      <c r="B2534" s="1209">
        <v>1155</v>
      </c>
      <c r="C2534" s="1210">
        <v>37525</v>
      </c>
      <c r="D2534" s="1230">
        <v>36050</v>
      </c>
      <c r="E2534" s="1212">
        <f t="shared" si="721"/>
        <v>-1475</v>
      </c>
      <c r="F2534" s="1211">
        <f t="shared" si="722"/>
        <v>925</v>
      </c>
      <c r="G2534" s="1215"/>
      <c r="H2534" s="1269"/>
      <c r="I2534" s="1291">
        <v>283250</v>
      </c>
    </row>
    <row r="2535" spans="1:9" ht="15" customHeight="1">
      <c r="A2535" s="1253">
        <v>44466</v>
      </c>
      <c r="B2535" s="1209">
        <v>1155</v>
      </c>
      <c r="C2535" s="1210">
        <v>36595</v>
      </c>
      <c r="D2535" s="1230">
        <v>35000</v>
      </c>
      <c r="E2535" s="1212">
        <f t="shared" si="721"/>
        <v>-1595</v>
      </c>
      <c r="F2535" s="1211">
        <f t="shared" si="722"/>
        <v>-930</v>
      </c>
      <c r="G2535" s="1215"/>
      <c r="H2535" s="1269"/>
      <c r="I2535" s="1291">
        <v>287500</v>
      </c>
    </row>
    <row r="2536" spans="1:9" ht="15" customHeight="1">
      <c r="A2536" s="1253">
        <v>44467</v>
      </c>
      <c r="B2536" s="1209">
        <v>1110</v>
      </c>
      <c r="C2536" s="1210">
        <v>36800</v>
      </c>
      <c r="D2536" s="1230">
        <v>35500</v>
      </c>
      <c r="E2536" s="1212">
        <f t="shared" si="721"/>
        <v>-1300</v>
      </c>
      <c r="F2536" s="1211">
        <f t="shared" si="722"/>
        <v>205</v>
      </c>
      <c r="G2536" s="1215"/>
      <c r="H2536" s="1269"/>
      <c r="I2536" s="1291">
        <v>276500</v>
      </c>
    </row>
    <row r="2537" spans="1:9" ht="15" customHeight="1">
      <c r="A2537" s="1253">
        <v>44468</v>
      </c>
      <c r="B2537" s="1209">
        <v>1260</v>
      </c>
      <c r="C2537" s="1210">
        <v>37600</v>
      </c>
      <c r="D2537" s="1230">
        <v>35950</v>
      </c>
      <c r="E2537" s="1212">
        <f t="shared" si="721"/>
        <v>-1650</v>
      </c>
      <c r="F2537" s="1211">
        <f t="shared" si="722"/>
        <v>800</v>
      </c>
      <c r="G2537" s="1215"/>
      <c r="H2537" s="1269"/>
      <c r="I2537" s="1291">
        <v>279000</v>
      </c>
    </row>
    <row r="2538" spans="1:9" ht="15" customHeight="1">
      <c r="A2538" s="1253">
        <v>44469</v>
      </c>
      <c r="B2538" s="1209">
        <v>1260</v>
      </c>
      <c r="C2538" s="1210">
        <v>36600</v>
      </c>
      <c r="D2538" s="1230">
        <v>35300</v>
      </c>
      <c r="E2538" s="1212">
        <f t="shared" ref="E2538:E2571" si="723">D2538-C2538</f>
        <v>-1300</v>
      </c>
      <c r="F2538" s="1211">
        <f t="shared" si="722"/>
        <v>-1000</v>
      </c>
      <c r="G2538" s="1227">
        <f>AVERAGE($C$2517:C2538)</f>
        <v>35048.227272727272</v>
      </c>
      <c r="H2538" s="1274">
        <f>AVERAGE($C$2345:C2538)</f>
        <v>30550.238095238095</v>
      </c>
      <c r="I2538" s="1291">
        <v>278000</v>
      </c>
    </row>
    <row r="2539" spans="1:9" ht="15" customHeight="1">
      <c r="A2539" s="1253">
        <v>44470</v>
      </c>
      <c r="B2539" s="1209">
        <v>1235</v>
      </c>
      <c r="C2539" s="1210">
        <v>35600</v>
      </c>
      <c r="D2539" s="1230">
        <v>34000</v>
      </c>
      <c r="E2539" s="1212">
        <f t="shared" si="723"/>
        <v>-1600</v>
      </c>
      <c r="F2539" s="1211">
        <f t="shared" si="722"/>
        <v>-1000</v>
      </c>
      <c r="G2539" s="1215"/>
      <c r="H2539" s="1269"/>
      <c r="I2539" s="1283"/>
    </row>
    <row r="2540" spans="1:9" ht="15" customHeight="1">
      <c r="A2540" s="1253">
        <v>44473</v>
      </c>
      <c r="B2540" s="1209">
        <v>1210</v>
      </c>
      <c r="C2540" s="1210">
        <v>35800</v>
      </c>
      <c r="D2540" s="1230">
        <v>34400</v>
      </c>
      <c r="E2540" s="1212">
        <f t="shared" si="723"/>
        <v>-1400</v>
      </c>
      <c r="F2540" s="1211">
        <f t="shared" si="722"/>
        <v>200</v>
      </c>
      <c r="G2540" s="1215"/>
      <c r="H2540" s="1269"/>
      <c r="I2540" s="1283"/>
    </row>
    <row r="2541" spans="1:9" ht="15" customHeight="1">
      <c r="A2541" s="1253">
        <v>44474</v>
      </c>
      <c r="B2541" s="1209">
        <v>1205</v>
      </c>
      <c r="C2541" s="1210">
        <v>36400</v>
      </c>
      <c r="D2541" s="1230">
        <v>35175</v>
      </c>
      <c r="E2541" s="1212">
        <f t="shared" si="723"/>
        <v>-1225</v>
      </c>
      <c r="F2541" s="1211">
        <f t="shared" si="722"/>
        <v>600</v>
      </c>
      <c r="G2541" s="1215"/>
      <c r="H2541" s="1269"/>
      <c r="I2541" s="1283"/>
    </row>
    <row r="2542" spans="1:9" ht="15" customHeight="1">
      <c r="A2542" s="1253">
        <v>44475</v>
      </c>
      <c r="B2542" s="1209">
        <v>975</v>
      </c>
      <c r="C2542" s="1210">
        <v>36750</v>
      </c>
      <c r="D2542" s="1230">
        <v>35200</v>
      </c>
      <c r="E2542" s="1212">
        <f t="shared" si="723"/>
        <v>-1550</v>
      </c>
      <c r="F2542" s="1211">
        <f t="shared" si="722"/>
        <v>350</v>
      </c>
      <c r="G2542" s="1215"/>
      <c r="H2542" s="1269"/>
      <c r="I2542" s="1283"/>
    </row>
    <row r="2543" spans="1:9" ht="15" customHeight="1">
      <c r="A2543" s="1253">
        <v>44476</v>
      </c>
      <c r="B2543" s="1209">
        <v>1035</v>
      </c>
      <c r="C2543" s="1210">
        <v>36205</v>
      </c>
      <c r="D2543" s="1230">
        <v>35150</v>
      </c>
      <c r="E2543" s="1212">
        <f t="shared" si="723"/>
        <v>-1055</v>
      </c>
      <c r="F2543" s="1211">
        <f t="shared" si="722"/>
        <v>-545</v>
      </c>
      <c r="G2543" s="1215"/>
      <c r="H2543" s="1269"/>
      <c r="I2543" s="1283"/>
    </row>
    <row r="2544" spans="1:9" ht="15" customHeight="1">
      <c r="A2544" s="1253">
        <v>44477</v>
      </c>
      <c r="B2544" s="1209">
        <v>1050</v>
      </c>
      <c r="C2544" s="1210">
        <v>36925</v>
      </c>
      <c r="D2544" s="1230">
        <v>36000</v>
      </c>
      <c r="E2544" s="1212">
        <f t="shared" si="723"/>
        <v>-925</v>
      </c>
      <c r="F2544" s="1211">
        <f t="shared" si="722"/>
        <v>720</v>
      </c>
      <c r="G2544" s="1215"/>
      <c r="H2544" s="1269"/>
      <c r="I2544" s="1291">
        <v>283500</v>
      </c>
    </row>
    <row r="2545" spans="1:9" ht="15" customHeight="1">
      <c r="A2545" s="1253">
        <v>44480</v>
      </c>
      <c r="B2545" s="1209">
        <v>1045</v>
      </c>
      <c r="C2545" s="1210">
        <v>37700</v>
      </c>
      <c r="D2545" s="1230">
        <v>36500</v>
      </c>
      <c r="E2545" s="1212">
        <f t="shared" si="723"/>
        <v>-1200</v>
      </c>
      <c r="F2545" s="1211">
        <f t="shared" si="722"/>
        <v>775</v>
      </c>
      <c r="G2545" s="1215"/>
      <c r="H2545" s="1269"/>
      <c r="I2545" s="1291">
        <v>287000</v>
      </c>
    </row>
    <row r="2546" spans="1:9" ht="15" customHeight="1">
      <c r="A2546" s="1253">
        <v>44481</v>
      </c>
      <c r="B2546" s="1209">
        <v>1005</v>
      </c>
      <c r="C2546" s="1210">
        <v>37755</v>
      </c>
      <c r="D2546" s="1230">
        <v>36550</v>
      </c>
      <c r="E2546" s="1212">
        <f t="shared" si="723"/>
        <v>-1205</v>
      </c>
      <c r="F2546" s="1211">
        <f t="shared" si="722"/>
        <v>55</v>
      </c>
      <c r="G2546" s="1215"/>
      <c r="H2546" s="1269"/>
      <c r="I2546" s="1291">
        <v>282750</v>
      </c>
    </row>
    <row r="2547" spans="1:9" ht="15" customHeight="1">
      <c r="A2547" s="1253">
        <v>44482</v>
      </c>
      <c r="B2547" s="1209">
        <v>880</v>
      </c>
      <c r="C2547" s="1210">
        <v>37800</v>
      </c>
      <c r="D2547" s="1230">
        <v>36550</v>
      </c>
      <c r="E2547" s="1212">
        <f t="shared" si="723"/>
        <v>-1250</v>
      </c>
      <c r="F2547" s="1211">
        <f t="shared" si="722"/>
        <v>45</v>
      </c>
      <c r="G2547" s="1215"/>
      <c r="H2547" s="1269"/>
      <c r="I2547" s="1291">
        <v>281000</v>
      </c>
    </row>
    <row r="2548" spans="1:9" ht="15" customHeight="1">
      <c r="A2548" s="1253">
        <v>44483</v>
      </c>
      <c r="B2548" s="1209">
        <v>880</v>
      </c>
      <c r="C2548" s="1210">
        <v>37875</v>
      </c>
      <c r="D2548" s="1230">
        <v>36775</v>
      </c>
      <c r="E2548" s="1212">
        <f t="shared" si="723"/>
        <v>-1100</v>
      </c>
      <c r="F2548" s="1211">
        <f t="shared" si="722"/>
        <v>75</v>
      </c>
      <c r="G2548" s="1215"/>
      <c r="H2548" s="1269"/>
      <c r="I2548" s="1291">
        <v>282250</v>
      </c>
    </row>
    <row r="2549" spans="1:9" ht="15" customHeight="1">
      <c r="A2549" s="1253">
        <v>44484</v>
      </c>
      <c r="B2549" s="1209">
        <v>925</v>
      </c>
      <c r="C2549" s="1210">
        <v>38950</v>
      </c>
      <c r="D2549" s="1230">
        <v>37500</v>
      </c>
      <c r="E2549" s="1212">
        <f t="shared" si="723"/>
        <v>-1450</v>
      </c>
      <c r="F2549" s="1211">
        <f t="shared" si="722"/>
        <v>1075</v>
      </c>
      <c r="G2549" s="1215"/>
      <c r="H2549" s="1269"/>
      <c r="I2549" s="1291">
        <v>285250</v>
      </c>
    </row>
    <row r="2550" spans="1:9" ht="15" customHeight="1">
      <c r="A2550" s="1253">
        <v>44487</v>
      </c>
      <c r="B2550" s="1209">
        <v>925</v>
      </c>
      <c r="C2550" s="1210">
        <v>39600</v>
      </c>
      <c r="D2550" s="1230">
        <v>38250</v>
      </c>
      <c r="E2550" s="1212">
        <f t="shared" si="723"/>
        <v>-1350</v>
      </c>
      <c r="F2550" s="1211">
        <f t="shared" si="722"/>
        <v>650</v>
      </c>
      <c r="G2550" s="1215"/>
      <c r="H2550" s="1269"/>
      <c r="I2550" s="1291">
        <v>289500</v>
      </c>
    </row>
    <row r="2551" spans="1:9" ht="15" customHeight="1">
      <c r="A2551" s="1253">
        <v>44488</v>
      </c>
      <c r="B2551" s="1209">
        <v>990</v>
      </c>
      <c r="C2551" s="1210">
        <v>39650</v>
      </c>
      <c r="D2551" s="1230">
        <v>38350</v>
      </c>
      <c r="E2551" s="1212">
        <f t="shared" si="723"/>
        <v>-1300</v>
      </c>
      <c r="F2551" s="1211">
        <f t="shared" si="722"/>
        <v>50</v>
      </c>
      <c r="G2551" s="1215"/>
      <c r="H2551" s="1269"/>
      <c r="I2551" s="1291">
        <v>294250</v>
      </c>
    </row>
    <row r="2552" spans="1:9" ht="15" customHeight="1">
      <c r="A2552" s="1253">
        <v>44489</v>
      </c>
      <c r="B2552" s="1209">
        <v>980</v>
      </c>
      <c r="C2552" s="1210">
        <v>38900</v>
      </c>
      <c r="D2552" s="1230">
        <v>37750</v>
      </c>
      <c r="E2552" s="1212">
        <f t="shared" si="723"/>
        <v>-1150</v>
      </c>
      <c r="F2552" s="1211">
        <f t="shared" si="722"/>
        <v>-750</v>
      </c>
      <c r="G2552" s="1215"/>
      <c r="H2552" s="1269"/>
      <c r="I2552" s="1291">
        <v>287000</v>
      </c>
    </row>
    <row r="2553" spans="1:9" ht="15" customHeight="1">
      <c r="A2553" s="1253">
        <v>44490</v>
      </c>
      <c r="B2553" s="1209">
        <v>990</v>
      </c>
      <c r="C2553" s="1210">
        <v>38950</v>
      </c>
      <c r="D2553" s="1230">
        <v>37400</v>
      </c>
      <c r="E2553" s="1212">
        <f t="shared" si="723"/>
        <v>-1550</v>
      </c>
      <c r="F2553" s="1211">
        <f t="shared" si="722"/>
        <v>50</v>
      </c>
      <c r="G2553" s="1215"/>
      <c r="H2553" s="1269"/>
      <c r="I2553" s="1291">
        <v>298500</v>
      </c>
    </row>
    <row r="2554" spans="1:9" ht="15" customHeight="1">
      <c r="A2554" s="1253">
        <v>44491</v>
      </c>
      <c r="B2554" s="1209">
        <v>975</v>
      </c>
      <c r="C2554" s="1210">
        <v>38850</v>
      </c>
      <c r="D2554" s="1230">
        <v>37100</v>
      </c>
      <c r="E2554" s="1212">
        <f t="shared" si="723"/>
        <v>-1750</v>
      </c>
      <c r="F2554" s="1211">
        <f t="shared" si="722"/>
        <v>-100</v>
      </c>
      <c r="G2554" s="1215"/>
      <c r="H2554" s="1269"/>
      <c r="I2554" s="1291">
        <v>289250</v>
      </c>
    </row>
    <row r="2555" spans="1:9" ht="15" customHeight="1">
      <c r="A2555" s="1253">
        <v>44494</v>
      </c>
      <c r="B2555" s="1209">
        <v>995</v>
      </c>
      <c r="C2555" s="1210">
        <v>39300</v>
      </c>
      <c r="D2555" s="1230">
        <v>37550</v>
      </c>
      <c r="E2555" s="1212">
        <f t="shared" si="723"/>
        <v>-1750</v>
      </c>
      <c r="F2555" s="1211">
        <f t="shared" si="722"/>
        <v>450</v>
      </c>
      <c r="G2555" s="1215"/>
      <c r="H2555" s="1269"/>
      <c r="I2555" s="1291">
        <v>290000</v>
      </c>
    </row>
    <row r="2556" spans="1:9" ht="15" customHeight="1">
      <c r="A2556" s="1253">
        <v>44495</v>
      </c>
      <c r="B2556" s="1209">
        <v>915</v>
      </c>
      <c r="C2556" s="1210">
        <v>39050</v>
      </c>
      <c r="D2556" s="1230">
        <v>37400</v>
      </c>
      <c r="E2556" s="1212">
        <f t="shared" si="723"/>
        <v>-1650</v>
      </c>
      <c r="F2556" s="1211">
        <f t="shared" si="722"/>
        <v>-250</v>
      </c>
      <c r="G2556" s="1215"/>
      <c r="H2556" s="1269"/>
      <c r="I2556" s="1291">
        <v>287000</v>
      </c>
    </row>
    <row r="2557" spans="1:9" ht="15" customHeight="1">
      <c r="A2557" s="1253">
        <v>44496</v>
      </c>
      <c r="B2557" s="1209">
        <v>915</v>
      </c>
      <c r="C2557" s="1210">
        <v>38750</v>
      </c>
      <c r="D2557" s="1230">
        <v>37150</v>
      </c>
      <c r="E2557" s="1212">
        <f t="shared" si="723"/>
        <v>-1600</v>
      </c>
      <c r="F2557" s="1211">
        <f t="shared" si="722"/>
        <v>-300</v>
      </c>
      <c r="G2557" s="1215"/>
      <c r="H2557" s="1269"/>
      <c r="I2557" s="1291">
        <v>288000</v>
      </c>
    </row>
    <row r="2558" spans="1:9" ht="15" customHeight="1">
      <c r="A2558" s="1253">
        <v>44497</v>
      </c>
      <c r="B2558" s="1209">
        <v>965</v>
      </c>
      <c r="C2558" s="1210">
        <v>37650</v>
      </c>
      <c r="D2558" s="1230">
        <v>36150</v>
      </c>
      <c r="E2558" s="1212">
        <f t="shared" si="723"/>
        <v>-1500</v>
      </c>
      <c r="F2558" s="1211">
        <f t="shared" si="722"/>
        <v>-1100</v>
      </c>
      <c r="G2558" s="1215"/>
      <c r="H2558" s="1269"/>
      <c r="I2558" s="1291">
        <v>274500</v>
      </c>
    </row>
    <row r="2559" spans="1:9" ht="15" customHeight="1">
      <c r="A2559" s="1253">
        <v>44498</v>
      </c>
      <c r="B2559" s="1209">
        <v>680</v>
      </c>
      <c r="C2559" s="1210">
        <v>38750</v>
      </c>
      <c r="D2559" s="1230">
        <v>37000</v>
      </c>
      <c r="E2559" s="1212">
        <f t="shared" si="723"/>
        <v>-1750</v>
      </c>
      <c r="F2559" s="1211">
        <f t="shared" si="722"/>
        <v>1100</v>
      </c>
      <c r="G2559" s="1227">
        <f>AVERAGE($C$2539:C2559)</f>
        <v>37962.380952380954</v>
      </c>
      <c r="H2559" s="1274">
        <f>AVERAGE($C$2345:C2559)</f>
        <v>31291.452380952382</v>
      </c>
      <c r="I2559" s="1291">
        <v>277500</v>
      </c>
    </row>
    <row r="2560" spans="1:9" ht="15" customHeight="1">
      <c r="A2560" s="1253">
        <v>44501</v>
      </c>
      <c r="B2560" s="1209">
        <v>670</v>
      </c>
      <c r="C2560" s="1210">
        <v>38550</v>
      </c>
      <c r="D2560" s="1230">
        <v>36600</v>
      </c>
      <c r="E2560" s="1212">
        <f t="shared" si="723"/>
        <v>-1950</v>
      </c>
      <c r="F2560" s="1211">
        <f t="shared" si="722"/>
        <v>-200</v>
      </c>
      <c r="G2560" s="1215"/>
      <c r="H2560" s="1269"/>
      <c r="I2560" s="1291">
        <v>286500</v>
      </c>
    </row>
    <row r="2561" spans="1:9" ht="15" customHeight="1">
      <c r="A2561" s="1253">
        <v>44502</v>
      </c>
      <c r="B2561" s="1209">
        <v>645</v>
      </c>
      <c r="C2561" s="1210">
        <v>38400</v>
      </c>
      <c r="D2561" s="1230">
        <v>36950</v>
      </c>
      <c r="E2561" s="1212">
        <f t="shared" si="723"/>
        <v>-1450</v>
      </c>
      <c r="F2561" s="1211">
        <f t="shared" si="722"/>
        <v>-150</v>
      </c>
      <c r="G2561" s="1215"/>
      <c r="H2561" s="1269"/>
      <c r="I2561" s="1291">
        <v>289000</v>
      </c>
    </row>
    <row r="2562" spans="1:9" ht="15" customHeight="1">
      <c r="A2562" s="1253">
        <v>44503</v>
      </c>
      <c r="B2562" s="1209">
        <v>645</v>
      </c>
      <c r="C2562" s="1210">
        <v>38500</v>
      </c>
      <c r="D2562" s="1230">
        <v>37100</v>
      </c>
      <c r="E2562" s="1212">
        <f t="shared" si="723"/>
        <v>-1400</v>
      </c>
      <c r="F2562" s="1211">
        <f t="shared" si="722"/>
        <v>100</v>
      </c>
      <c r="G2562" s="1215"/>
      <c r="H2562" s="1269"/>
      <c r="I2562" s="1291">
        <v>288500</v>
      </c>
    </row>
    <row r="2563" spans="1:9" ht="15" customHeight="1">
      <c r="A2563" s="1253">
        <v>44504</v>
      </c>
      <c r="B2563" s="1209">
        <v>670</v>
      </c>
      <c r="C2563" s="1210">
        <v>38300</v>
      </c>
      <c r="D2563" s="1230">
        <v>37100</v>
      </c>
      <c r="E2563" s="1212">
        <f t="shared" si="723"/>
        <v>-1200</v>
      </c>
      <c r="F2563" s="1211">
        <f t="shared" si="722"/>
        <v>-200</v>
      </c>
      <c r="G2563" s="1215"/>
      <c r="H2563" s="1269"/>
      <c r="I2563" s="1291">
        <v>290000</v>
      </c>
    </row>
    <row r="2564" spans="1:9" ht="15" customHeight="1">
      <c r="A2564" s="1253">
        <v>44505</v>
      </c>
      <c r="B2564" s="1209">
        <v>670</v>
      </c>
      <c r="C2564" s="1210">
        <v>38400</v>
      </c>
      <c r="D2564" s="1230">
        <v>37000</v>
      </c>
      <c r="E2564" s="1212">
        <f t="shared" si="723"/>
        <v>-1400</v>
      </c>
      <c r="F2564" s="1211">
        <f t="shared" si="722"/>
        <v>100</v>
      </c>
      <c r="G2564" s="1215"/>
      <c r="H2564" s="1269"/>
      <c r="I2564" s="1291">
        <v>290000</v>
      </c>
    </row>
    <row r="2565" spans="1:9" ht="15" customHeight="1">
      <c r="A2565" s="1253">
        <v>44508</v>
      </c>
      <c r="B2565" s="1209">
        <v>720</v>
      </c>
      <c r="C2565" s="1210">
        <v>38800</v>
      </c>
      <c r="D2565" s="1230">
        <v>37500</v>
      </c>
      <c r="E2565" s="1212">
        <f t="shared" si="723"/>
        <v>-1300</v>
      </c>
      <c r="F2565" s="1211">
        <f t="shared" si="722"/>
        <v>400</v>
      </c>
      <c r="G2565" s="1215"/>
      <c r="H2565" s="1269"/>
      <c r="I2565" s="1291">
        <v>289500</v>
      </c>
    </row>
    <row r="2566" spans="1:9" ht="15" customHeight="1">
      <c r="A2566" s="1253">
        <v>44509</v>
      </c>
      <c r="B2566" s="1209">
        <v>730</v>
      </c>
      <c r="C2566" s="1210">
        <v>38600</v>
      </c>
      <c r="D2566" s="1230">
        <v>37450</v>
      </c>
      <c r="E2566" s="1212">
        <f t="shared" si="723"/>
        <v>-1150</v>
      </c>
      <c r="F2566" s="1211">
        <f t="shared" si="722"/>
        <v>-200</v>
      </c>
      <c r="G2566" s="1215"/>
      <c r="H2566" s="1269"/>
      <c r="I2566" s="1291">
        <v>289500</v>
      </c>
    </row>
    <row r="2567" spans="1:9" ht="15" customHeight="1">
      <c r="A2567" s="1253">
        <v>44510</v>
      </c>
      <c r="B2567" s="1209">
        <v>805</v>
      </c>
      <c r="C2567" s="1210">
        <v>38750</v>
      </c>
      <c r="D2567" s="1230">
        <v>37350</v>
      </c>
      <c r="E2567" s="1212">
        <f t="shared" si="723"/>
        <v>-1400</v>
      </c>
      <c r="F2567" s="1211">
        <f t="shared" si="722"/>
        <v>150</v>
      </c>
      <c r="G2567" s="1215"/>
      <c r="H2567" s="1269"/>
      <c r="I2567" s="1291">
        <v>288250</v>
      </c>
    </row>
    <row r="2568" spans="1:9" ht="15" customHeight="1">
      <c r="A2568" s="1253">
        <v>44511</v>
      </c>
      <c r="B2568" s="1209">
        <v>795</v>
      </c>
      <c r="C2568" s="1210">
        <v>39150</v>
      </c>
      <c r="D2568" s="1230">
        <v>37800</v>
      </c>
      <c r="E2568" s="1212">
        <f t="shared" si="723"/>
        <v>-1350</v>
      </c>
      <c r="F2568" s="1211">
        <f t="shared" si="722"/>
        <v>400</v>
      </c>
      <c r="G2568" s="1215"/>
      <c r="H2568" s="1269"/>
      <c r="I2568" s="1291">
        <v>292000</v>
      </c>
    </row>
    <row r="2569" spans="1:9" ht="15" customHeight="1">
      <c r="A2569" s="1253">
        <v>44512</v>
      </c>
      <c r="B2569" s="1209">
        <v>845</v>
      </c>
      <c r="C2569" s="1210">
        <v>39250</v>
      </c>
      <c r="D2569" s="1230">
        <v>37900</v>
      </c>
      <c r="E2569" s="1212">
        <f t="shared" si="723"/>
        <v>-1350</v>
      </c>
      <c r="F2569" s="1211">
        <f t="shared" si="722"/>
        <v>100</v>
      </c>
      <c r="G2569" s="1215"/>
      <c r="H2569" s="1269"/>
      <c r="I2569" s="1291">
        <v>296250</v>
      </c>
    </row>
    <row r="2570" spans="1:9" ht="15" customHeight="1">
      <c r="A2570" s="1253">
        <v>44515</v>
      </c>
      <c r="B2570" s="1209">
        <v>835</v>
      </c>
      <c r="C2570" s="1210">
        <v>38950</v>
      </c>
      <c r="D2570" s="1230">
        <v>37800</v>
      </c>
      <c r="E2570" s="1212">
        <f t="shared" si="723"/>
        <v>-1150</v>
      </c>
      <c r="F2570" s="1211">
        <f t="shared" si="722"/>
        <v>-300</v>
      </c>
      <c r="G2570" s="1215"/>
      <c r="H2570" s="1269"/>
      <c r="I2570" s="1291">
        <v>293000</v>
      </c>
    </row>
    <row r="2571" spans="1:9" ht="15" customHeight="1">
      <c r="A2571" s="1253">
        <v>44516</v>
      </c>
      <c r="B2571" s="1209">
        <v>850</v>
      </c>
      <c r="C2571" s="1210">
        <v>38900</v>
      </c>
      <c r="D2571" s="1230">
        <v>37455</v>
      </c>
      <c r="E2571" s="1212">
        <f t="shared" si="723"/>
        <v>-1445</v>
      </c>
      <c r="F2571" s="1211">
        <f t="shared" si="722"/>
        <v>-50</v>
      </c>
      <c r="G2571" s="1215"/>
      <c r="H2571" s="1269"/>
      <c r="I2571" s="1291">
        <v>293000</v>
      </c>
    </row>
    <row r="2572" spans="1:9" ht="15" customHeight="1">
      <c r="A2572" s="1253">
        <v>44517</v>
      </c>
      <c r="B2572" s="1209">
        <v>840</v>
      </c>
      <c r="C2572" s="1210">
        <v>39100</v>
      </c>
      <c r="D2572" s="1230">
        <v>37850</v>
      </c>
      <c r="E2572" s="1212">
        <f t="shared" ref="E2572" si="724">D2572-C2572</f>
        <v>-1250</v>
      </c>
      <c r="F2572" s="1211">
        <f t="shared" ref="F2572" si="725">C2572-C2571</f>
        <v>200</v>
      </c>
      <c r="G2572" s="1215"/>
      <c r="H2572" s="1269"/>
      <c r="I2572" s="1291">
        <v>293000</v>
      </c>
    </row>
    <row r="2573" spans="1:9" ht="15" customHeight="1">
      <c r="A2573" s="1253">
        <v>44518</v>
      </c>
      <c r="B2573" s="1209">
        <v>840</v>
      </c>
      <c r="C2573" s="1210">
        <v>39700</v>
      </c>
      <c r="D2573" s="1230">
        <v>38505</v>
      </c>
      <c r="E2573" s="1212">
        <f t="shared" ref="E2573:E2599" si="726">D2573-C2573</f>
        <v>-1195</v>
      </c>
      <c r="F2573" s="1211">
        <f t="shared" ref="F2573:F2599" si="727">C2573-C2572</f>
        <v>600</v>
      </c>
      <c r="G2573" s="1215"/>
      <c r="H2573" s="1269"/>
      <c r="I2573" s="1291">
        <v>295000</v>
      </c>
    </row>
    <row r="2574" spans="1:9" ht="15" customHeight="1">
      <c r="A2574" s="1253">
        <v>44519</v>
      </c>
      <c r="B2574" s="1209">
        <v>935</v>
      </c>
      <c r="C2574" s="1210">
        <v>39750</v>
      </c>
      <c r="D2574" s="1230">
        <v>38500</v>
      </c>
      <c r="E2574" s="1212">
        <f t="shared" si="726"/>
        <v>-1250</v>
      </c>
      <c r="F2574" s="1211">
        <f t="shared" si="727"/>
        <v>50</v>
      </c>
      <c r="G2574" s="1215"/>
      <c r="H2574" s="1269"/>
      <c r="I2574" s="1291">
        <v>297250</v>
      </c>
    </row>
    <row r="2575" spans="1:9" ht="15" customHeight="1">
      <c r="A2575" s="1253">
        <v>44522</v>
      </c>
      <c r="B2575" s="1209">
        <v>955</v>
      </c>
      <c r="C2575" s="1210">
        <v>39800</v>
      </c>
      <c r="D2575" s="1230">
        <v>38450</v>
      </c>
      <c r="E2575" s="1212">
        <f t="shared" si="726"/>
        <v>-1350</v>
      </c>
      <c r="F2575" s="1211">
        <f t="shared" si="727"/>
        <v>50</v>
      </c>
      <c r="G2575" s="1215"/>
      <c r="H2575" s="1269"/>
      <c r="I2575" s="1291">
        <v>298000</v>
      </c>
    </row>
    <row r="2576" spans="1:9" ht="15" customHeight="1">
      <c r="A2576" s="1253">
        <v>44523</v>
      </c>
      <c r="B2576" s="1209">
        <v>1015</v>
      </c>
      <c r="C2576" s="1210">
        <v>40200</v>
      </c>
      <c r="D2576" s="1230">
        <v>38760</v>
      </c>
      <c r="E2576" s="1212">
        <f t="shared" si="726"/>
        <v>-1440</v>
      </c>
      <c r="F2576" s="1211">
        <f t="shared" si="727"/>
        <v>400</v>
      </c>
      <c r="G2576" s="1215"/>
      <c r="H2576" s="1269"/>
      <c r="I2576" s="1291">
        <v>298000</v>
      </c>
    </row>
    <row r="2577" spans="1:9" ht="15" customHeight="1">
      <c r="A2577" s="1253">
        <v>44524</v>
      </c>
      <c r="B2577" s="1209">
        <v>1140</v>
      </c>
      <c r="C2577" s="1210">
        <v>40250</v>
      </c>
      <c r="D2577" s="1230">
        <v>39200</v>
      </c>
      <c r="E2577" s="1212">
        <f t="shared" si="726"/>
        <v>-1050</v>
      </c>
      <c r="F2577" s="1211">
        <f t="shared" si="727"/>
        <v>50</v>
      </c>
      <c r="G2577" s="1215"/>
      <c r="H2577" s="1269"/>
      <c r="I2577" s="1291">
        <v>295500</v>
      </c>
    </row>
    <row r="2578" spans="1:9" ht="15" customHeight="1">
      <c r="A2578" s="1253">
        <v>44525</v>
      </c>
      <c r="B2578" s="1209">
        <v>1190</v>
      </c>
      <c r="C2578" s="1210">
        <v>41000</v>
      </c>
      <c r="D2578" s="1230">
        <v>39755</v>
      </c>
      <c r="E2578" s="1212">
        <f t="shared" si="726"/>
        <v>-1245</v>
      </c>
      <c r="F2578" s="1211">
        <f t="shared" si="727"/>
        <v>750</v>
      </c>
      <c r="G2578" s="1215"/>
      <c r="H2578" s="1269"/>
      <c r="I2578" s="1291">
        <v>297500</v>
      </c>
    </row>
    <row r="2579" spans="1:9" ht="15" customHeight="1">
      <c r="A2579" s="1253">
        <v>44526</v>
      </c>
      <c r="B2579" s="1209">
        <v>1230</v>
      </c>
      <c r="C2579" s="1210">
        <v>40275</v>
      </c>
      <c r="D2579" s="1230">
        <v>39200</v>
      </c>
      <c r="E2579" s="1212">
        <f t="shared" si="726"/>
        <v>-1075</v>
      </c>
      <c r="F2579" s="1211">
        <f t="shared" si="727"/>
        <v>-725</v>
      </c>
      <c r="G2579" s="1215"/>
      <c r="H2579" s="1269"/>
      <c r="I2579" s="1291">
        <v>296000</v>
      </c>
    </row>
    <row r="2580" spans="1:9" ht="15" customHeight="1">
      <c r="A2580" s="1253">
        <v>44529</v>
      </c>
      <c r="B2580" s="1209">
        <v>1240</v>
      </c>
      <c r="C2580" s="1210">
        <v>40450</v>
      </c>
      <c r="D2580" s="1230">
        <v>39450</v>
      </c>
      <c r="E2580" s="1212">
        <f t="shared" si="726"/>
        <v>-1000</v>
      </c>
      <c r="F2580" s="1211">
        <f t="shared" si="727"/>
        <v>175</v>
      </c>
      <c r="G2580" s="1215"/>
      <c r="H2580" s="1269"/>
      <c r="I2580" s="1291">
        <v>296000</v>
      </c>
    </row>
    <row r="2581" spans="1:9" ht="15" customHeight="1">
      <c r="A2581" s="1253">
        <v>44530</v>
      </c>
      <c r="B2581" s="1209">
        <v>1250</v>
      </c>
      <c r="C2581" s="1210">
        <v>40245</v>
      </c>
      <c r="D2581" s="1230">
        <v>39250</v>
      </c>
      <c r="E2581" s="1212">
        <f t="shared" si="726"/>
        <v>-995</v>
      </c>
      <c r="F2581" s="1211">
        <f t="shared" si="727"/>
        <v>-205</v>
      </c>
      <c r="G2581" s="1227">
        <f>AVERAGE(C2560:C2581)</f>
        <v>39332.727272727272</v>
      </c>
      <c r="H2581" s="1274">
        <f>AVERAGE($C$2345:C2581)</f>
        <v>32053.987068965518</v>
      </c>
      <c r="I2581" s="1291">
        <v>297000</v>
      </c>
    </row>
    <row r="2582" spans="1:9" ht="15" customHeight="1">
      <c r="A2582" s="1253">
        <v>44531</v>
      </c>
      <c r="B2582" s="1209">
        <v>1285</v>
      </c>
      <c r="C2582" s="1210">
        <v>39950</v>
      </c>
      <c r="D2582" s="1230">
        <v>39075</v>
      </c>
      <c r="E2582" s="1212">
        <f t="shared" si="726"/>
        <v>-875</v>
      </c>
      <c r="F2582" s="1211">
        <f t="shared" si="727"/>
        <v>-295</v>
      </c>
      <c r="G2582" s="1215"/>
      <c r="H2582" s="1269"/>
      <c r="I2582" s="1291">
        <v>296250</v>
      </c>
    </row>
    <row r="2583" spans="1:9" ht="15" customHeight="1">
      <c r="A2583" s="1253">
        <v>44532</v>
      </c>
      <c r="B2583" s="1209">
        <v>1365</v>
      </c>
      <c r="C2583" s="1210">
        <v>39500</v>
      </c>
      <c r="D2583" s="1230">
        <v>38800</v>
      </c>
      <c r="E2583" s="1212">
        <f t="shared" si="726"/>
        <v>-700</v>
      </c>
      <c r="F2583" s="1211">
        <f t="shared" si="727"/>
        <v>-450</v>
      </c>
      <c r="G2583" s="1215"/>
      <c r="H2583" s="1269"/>
      <c r="I2583" s="1291">
        <v>295500</v>
      </c>
    </row>
    <row r="2584" spans="1:9" ht="15" customHeight="1">
      <c r="A2584" s="1253">
        <v>44533</v>
      </c>
      <c r="B2584" s="1209">
        <v>1440</v>
      </c>
      <c r="C2584" s="1210">
        <v>40200</v>
      </c>
      <c r="D2584" s="1230">
        <v>39500</v>
      </c>
      <c r="E2584" s="1212">
        <f t="shared" si="726"/>
        <v>-700</v>
      </c>
      <c r="F2584" s="1211">
        <f t="shared" si="727"/>
        <v>700</v>
      </c>
      <c r="G2584" s="1215"/>
      <c r="H2584" s="1269"/>
      <c r="I2584" s="1291">
        <v>295250</v>
      </c>
    </row>
    <row r="2585" spans="1:9" ht="15" customHeight="1">
      <c r="A2585" s="1253">
        <v>44536</v>
      </c>
      <c r="B2585" s="1209">
        <v>1480</v>
      </c>
      <c r="C2585" s="1210">
        <v>39400</v>
      </c>
      <c r="D2585" s="1230">
        <v>38850</v>
      </c>
      <c r="E2585" s="1212">
        <f t="shared" si="726"/>
        <v>-550</v>
      </c>
      <c r="F2585" s="1211">
        <f t="shared" si="727"/>
        <v>-800</v>
      </c>
      <c r="G2585" s="1215"/>
      <c r="H2585" s="1269"/>
      <c r="I2585" s="1291">
        <v>295250</v>
      </c>
    </row>
    <row r="2586" spans="1:9" ht="15" customHeight="1">
      <c r="A2586" s="1253">
        <v>44537</v>
      </c>
      <c r="B2586" s="1209">
        <v>1480</v>
      </c>
      <c r="C2586" s="1210">
        <v>39900</v>
      </c>
      <c r="D2586" s="1230">
        <v>39400</v>
      </c>
      <c r="E2586" s="1212">
        <f t="shared" si="726"/>
        <v>-500</v>
      </c>
      <c r="F2586" s="1211">
        <f t="shared" si="727"/>
        <v>500</v>
      </c>
      <c r="G2586" s="1215"/>
      <c r="H2586" s="1269"/>
      <c r="I2586" s="1291">
        <v>292750</v>
      </c>
    </row>
    <row r="2587" spans="1:9" ht="15" customHeight="1">
      <c r="A2587" s="1253">
        <v>44538</v>
      </c>
      <c r="B2587" s="1209">
        <v>1480</v>
      </c>
      <c r="C2587" s="1210">
        <v>39700</v>
      </c>
      <c r="D2587" s="1230">
        <v>39100</v>
      </c>
      <c r="E2587" s="1212">
        <f t="shared" si="726"/>
        <v>-600</v>
      </c>
      <c r="F2587" s="1211">
        <f t="shared" si="727"/>
        <v>-200</v>
      </c>
      <c r="G2587" s="1215"/>
      <c r="H2587" s="1269"/>
      <c r="I2587" s="1291">
        <v>294000</v>
      </c>
    </row>
    <row r="2588" spans="1:9" ht="15" customHeight="1">
      <c r="A2588" s="1253">
        <v>44539</v>
      </c>
      <c r="B2588" s="1209">
        <v>1555</v>
      </c>
      <c r="C2588" s="1210">
        <v>40150</v>
      </c>
      <c r="D2588" s="1230">
        <v>39550</v>
      </c>
      <c r="E2588" s="1212">
        <f t="shared" si="726"/>
        <v>-600</v>
      </c>
      <c r="F2588" s="1211">
        <f t="shared" si="727"/>
        <v>450</v>
      </c>
      <c r="G2588" s="1215"/>
      <c r="H2588" s="1269"/>
      <c r="I2588" s="1291">
        <v>294250</v>
      </c>
    </row>
    <row r="2589" spans="1:9" ht="15" customHeight="1">
      <c r="A2589" s="1253">
        <v>44540</v>
      </c>
      <c r="B2589" s="1209">
        <v>1555</v>
      </c>
      <c r="C2589" s="1210">
        <v>40150</v>
      </c>
      <c r="D2589" s="1230">
        <v>39450</v>
      </c>
      <c r="E2589" s="1212">
        <f t="shared" si="726"/>
        <v>-700</v>
      </c>
      <c r="F2589" s="1211">
        <f t="shared" si="727"/>
        <v>0</v>
      </c>
      <c r="G2589" s="1215"/>
      <c r="H2589" s="1269"/>
      <c r="I2589" s="1291">
        <v>294750</v>
      </c>
    </row>
    <row r="2590" spans="1:9" ht="15" customHeight="1">
      <c r="A2590" s="1253">
        <v>44543</v>
      </c>
      <c r="B2590" s="1209">
        <v>1640</v>
      </c>
      <c r="C2590" s="1210">
        <v>39525</v>
      </c>
      <c r="D2590" s="1230">
        <v>39400</v>
      </c>
      <c r="E2590" s="1212">
        <f t="shared" si="726"/>
        <v>-125</v>
      </c>
      <c r="F2590" s="1211">
        <f t="shared" si="727"/>
        <v>-625</v>
      </c>
      <c r="G2590" s="1215"/>
      <c r="H2590" s="1269"/>
      <c r="I2590" s="1291">
        <v>294750</v>
      </c>
    </row>
    <row r="2591" spans="1:9" ht="15" customHeight="1">
      <c r="A2591" s="1253">
        <v>44544</v>
      </c>
      <c r="B2591" s="1209">
        <v>1705</v>
      </c>
      <c r="C2591" s="1210">
        <v>39125</v>
      </c>
      <c r="D2591" s="1230">
        <v>38900</v>
      </c>
      <c r="E2591" s="1212">
        <f t="shared" si="726"/>
        <v>-225</v>
      </c>
      <c r="F2591" s="1211">
        <f t="shared" si="727"/>
        <v>-400</v>
      </c>
      <c r="G2591" s="1215"/>
      <c r="H2591" s="1269"/>
      <c r="I2591" s="1291">
        <v>295250</v>
      </c>
    </row>
    <row r="2592" spans="1:9" ht="15" customHeight="1">
      <c r="A2592" s="1253">
        <v>44545</v>
      </c>
      <c r="B2592" s="1209">
        <v>1735</v>
      </c>
      <c r="C2592" s="1210">
        <v>38700</v>
      </c>
      <c r="D2592" s="1230">
        <v>38300</v>
      </c>
      <c r="E2592" s="1212">
        <f t="shared" si="726"/>
        <v>-400</v>
      </c>
      <c r="F2592" s="1211">
        <f t="shared" si="727"/>
        <v>-425</v>
      </c>
      <c r="G2592" s="1215"/>
      <c r="H2592" s="1269"/>
      <c r="I2592" s="1291">
        <v>293000</v>
      </c>
    </row>
    <row r="2593" spans="1:9" ht="15" customHeight="1">
      <c r="A2593" s="1253">
        <v>44546</v>
      </c>
      <c r="B2593" s="1209">
        <v>1760</v>
      </c>
      <c r="C2593" s="1210">
        <v>39050</v>
      </c>
      <c r="D2593" s="1230">
        <v>38500</v>
      </c>
      <c r="E2593" s="1212">
        <f t="shared" si="726"/>
        <v>-550</v>
      </c>
      <c r="F2593" s="1211">
        <f t="shared" si="727"/>
        <v>350</v>
      </c>
      <c r="G2593" s="1215"/>
      <c r="H2593" s="1269"/>
      <c r="I2593" s="1291">
        <v>292500</v>
      </c>
    </row>
    <row r="2594" spans="1:9" ht="15" customHeight="1">
      <c r="A2594" s="1253">
        <v>44547</v>
      </c>
      <c r="B2594" s="1209">
        <v>1755</v>
      </c>
      <c r="C2594" s="1210">
        <v>39550</v>
      </c>
      <c r="D2594" s="1230">
        <v>38800</v>
      </c>
      <c r="E2594" s="1212">
        <f t="shared" si="726"/>
        <v>-750</v>
      </c>
      <c r="F2594" s="1211">
        <f t="shared" si="727"/>
        <v>500</v>
      </c>
      <c r="G2594" s="1215"/>
      <c r="H2594" s="1269"/>
      <c r="I2594" s="1291">
        <v>294500</v>
      </c>
    </row>
    <row r="2595" spans="1:9" ht="15" customHeight="1">
      <c r="A2595" s="1253">
        <v>44550</v>
      </c>
      <c r="B2595" s="1209">
        <v>1755</v>
      </c>
      <c r="C2595" s="1210">
        <v>38750</v>
      </c>
      <c r="D2595" s="1230">
        <v>38200</v>
      </c>
      <c r="E2595" s="1212">
        <f t="shared" si="726"/>
        <v>-550</v>
      </c>
      <c r="F2595" s="1211">
        <f t="shared" si="727"/>
        <v>-800</v>
      </c>
      <c r="G2595" s="1215"/>
      <c r="H2595" s="1269"/>
      <c r="I2595" s="1291">
        <v>293500</v>
      </c>
    </row>
    <row r="2596" spans="1:9" ht="15" customHeight="1">
      <c r="A2596" s="1253">
        <v>44551</v>
      </c>
      <c r="B2596" s="1209">
        <v>1755</v>
      </c>
      <c r="C2596" s="1210">
        <v>39100</v>
      </c>
      <c r="D2596" s="1230">
        <v>38500</v>
      </c>
      <c r="E2596" s="1212">
        <f t="shared" si="726"/>
        <v>-600</v>
      </c>
      <c r="F2596" s="1211">
        <f t="shared" si="727"/>
        <v>350</v>
      </c>
      <c r="G2596" s="1215"/>
      <c r="H2596" s="1269"/>
      <c r="I2596" s="1291">
        <v>294500</v>
      </c>
    </row>
    <row r="2597" spans="1:9" ht="15" customHeight="1">
      <c r="A2597" s="1253">
        <v>44552</v>
      </c>
      <c r="B2597" s="1209">
        <v>1755</v>
      </c>
      <c r="C2597" s="1210">
        <v>39450</v>
      </c>
      <c r="D2597" s="1230">
        <v>38600</v>
      </c>
      <c r="E2597" s="1212">
        <f t="shared" si="726"/>
        <v>-850</v>
      </c>
      <c r="F2597" s="1211">
        <f t="shared" si="727"/>
        <v>350</v>
      </c>
      <c r="G2597" s="1215"/>
      <c r="H2597" s="1269"/>
      <c r="I2597" s="1291">
        <v>295000</v>
      </c>
    </row>
    <row r="2598" spans="1:9" ht="15" customHeight="1">
      <c r="A2598" s="1253">
        <v>44553</v>
      </c>
      <c r="B2598" s="1209">
        <v>1805</v>
      </c>
      <c r="C2598" s="1210">
        <v>39690</v>
      </c>
      <c r="D2598" s="1230">
        <v>38900</v>
      </c>
      <c r="E2598" s="1212">
        <f t="shared" si="726"/>
        <v>-790</v>
      </c>
      <c r="F2598" s="1211">
        <f t="shared" si="727"/>
        <v>240</v>
      </c>
      <c r="G2598" s="1215"/>
      <c r="H2598" s="1269"/>
      <c r="I2598" s="1291">
        <v>295000</v>
      </c>
    </row>
    <row r="2599" spans="1:9" ht="15" customHeight="1">
      <c r="A2599" s="1253">
        <v>44554</v>
      </c>
      <c r="B2599" s="1209">
        <v>1795</v>
      </c>
      <c r="C2599" s="1210">
        <v>39850</v>
      </c>
      <c r="D2599" s="1230">
        <v>38905</v>
      </c>
      <c r="E2599" s="1212">
        <f t="shared" si="726"/>
        <v>-945</v>
      </c>
      <c r="F2599" s="1211">
        <f t="shared" si="727"/>
        <v>160</v>
      </c>
      <c r="G2599" s="1215"/>
      <c r="H2599" s="1269"/>
      <c r="I2599" s="1291">
        <v>297250</v>
      </c>
    </row>
    <row r="2600" spans="1:9" ht="15" customHeight="1">
      <c r="A2600" s="1253">
        <v>44557</v>
      </c>
      <c r="B2600" s="1444" t="s">
        <v>60</v>
      </c>
      <c r="C2600" s="1445"/>
      <c r="D2600" s="1445"/>
      <c r="E2600" s="1212"/>
      <c r="F2600" s="1211"/>
      <c r="G2600" s="1215"/>
      <c r="H2600" s="1269"/>
      <c r="I2600" s="1291">
        <v>297250</v>
      </c>
    </row>
    <row r="2601" spans="1:9" ht="15" customHeight="1">
      <c r="A2601" s="1253">
        <v>44558</v>
      </c>
      <c r="B2601" s="1446"/>
      <c r="C2601" s="1446"/>
      <c r="D2601" s="1446"/>
      <c r="E2601" s="1212"/>
      <c r="F2601" s="1211"/>
      <c r="G2601" s="1215"/>
      <c r="H2601" s="1269"/>
      <c r="I2601" s="1291">
        <v>297250</v>
      </c>
    </row>
    <row r="2602" spans="1:9" ht="15" customHeight="1">
      <c r="A2602" s="1253">
        <v>44559</v>
      </c>
      <c r="B2602" s="1209">
        <v>1865</v>
      </c>
      <c r="C2602" s="1210">
        <v>39750</v>
      </c>
      <c r="D2602" s="1230">
        <v>39100</v>
      </c>
      <c r="E2602" s="1212">
        <f t="shared" ref="E2602:E2613" si="728">D2602-C2602</f>
        <v>-650</v>
      </c>
      <c r="F2602" s="1211">
        <f>C2602-C2599</f>
        <v>-100</v>
      </c>
      <c r="G2602" s="1215"/>
      <c r="H2602" s="1269"/>
      <c r="I2602" s="1291">
        <v>297250</v>
      </c>
    </row>
    <row r="2603" spans="1:9" ht="15" customHeight="1">
      <c r="A2603" s="1253">
        <v>44560</v>
      </c>
      <c r="B2603" s="1209">
        <v>1985</v>
      </c>
      <c r="C2603" s="1210">
        <v>39925</v>
      </c>
      <c r="D2603" s="1230">
        <v>39150</v>
      </c>
      <c r="E2603" s="1212">
        <f t="shared" si="728"/>
        <v>-775</v>
      </c>
      <c r="F2603" s="1211">
        <f>C2603-C2602</f>
        <v>175</v>
      </c>
      <c r="G2603" s="1215"/>
      <c r="H2603" s="1269"/>
      <c r="I2603" s="1291">
        <v>298750</v>
      </c>
    </row>
    <row r="2604" spans="1:9" ht="15" customHeight="1">
      <c r="A2604" s="1253">
        <v>44561</v>
      </c>
      <c r="B2604" s="1209">
        <v>2020</v>
      </c>
      <c r="C2604" s="1210">
        <v>39635</v>
      </c>
      <c r="D2604" s="1230">
        <v>39100</v>
      </c>
      <c r="E2604" s="1212">
        <f t="shared" si="728"/>
        <v>-535</v>
      </c>
      <c r="F2604" s="1211">
        <f>C2604-C2603</f>
        <v>-290</v>
      </c>
      <c r="G2604" s="1227">
        <f>AVERAGE(C2582:C2604)</f>
        <v>39573.809523809527</v>
      </c>
      <c r="H2604" s="1274">
        <f>AVERAGE($C$2345:C2604)</f>
        <v>32678.162055335968</v>
      </c>
      <c r="I2604" s="1291">
        <v>299500</v>
      </c>
    </row>
    <row r="2605" spans="1:9" ht="15" customHeight="1">
      <c r="A2605" s="1253">
        <v>44564</v>
      </c>
      <c r="B2605" s="1434" t="s">
        <v>61</v>
      </c>
      <c r="C2605" s="1449"/>
      <c r="D2605" s="1449"/>
      <c r="E2605" s="1212"/>
      <c r="F2605" s="1220"/>
      <c r="G2605" s="1215"/>
      <c r="H2605" s="1269"/>
      <c r="I2605" s="1291"/>
    </row>
    <row r="2606" spans="1:9" ht="15" customHeight="1">
      <c r="A2606" s="1253">
        <v>44565</v>
      </c>
      <c r="B2606" s="1209">
        <v>2045</v>
      </c>
      <c r="C2606" s="1210">
        <v>39400</v>
      </c>
      <c r="D2606" s="1230">
        <v>38700</v>
      </c>
      <c r="E2606" s="1212">
        <f t="shared" si="728"/>
        <v>-700</v>
      </c>
      <c r="F2606" s="1211">
        <f>C2606-C2604</f>
        <v>-235</v>
      </c>
      <c r="G2606" s="1215"/>
      <c r="H2606" s="1269"/>
      <c r="I2606" s="1291">
        <v>299000</v>
      </c>
    </row>
    <row r="2607" spans="1:9" ht="15" customHeight="1">
      <c r="A2607" s="1253">
        <v>44566</v>
      </c>
      <c r="B2607" s="1209">
        <v>2020</v>
      </c>
      <c r="C2607" s="1210">
        <v>39700</v>
      </c>
      <c r="D2607" s="1230">
        <v>39175</v>
      </c>
      <c r="E2607" s="1212">
        <f t="shared" si="728"/>
        <v>-525</v>
      </c>
      <c r="F2607" s="1211">
        <f t="shared" ref="F2607:F2613" si="729">C2607-C2606</f>
        <v>300</v>
      </c>
      <c r="G2607" s="1215"/>
      <c r="H2607" s="1269"/>
      <c r="I2607" s="1291">
        <v>302500</v>
      </c>
    </row>
    <row r="2608" spans="1:9" ht="15" customHeight="1">
      <c r="A2608" s="1253">
        <v>44567</v>
      </c>
      <c r="B2608" s="1209">
        <v>2070</v>
      </c>
      <c r="C2608" s="1210">
        <v>39650</v>
      </c>
      <c r="D2608" s="1230">
        <v>39250</v>
      </c>
      <c r="E2608" s="1212">
        <f t="shared" si="728"/>
        <v>-400</v>
      </c>
      <c r="F2608" s="1211">
        <f t="shared" si="729"/>
        <v>-50</v>
      </c>
      <c r="G2608" s="1215"/>
      <c r="H2608" s="1269"/>
      <c r="I2608" s="1291">
        <v>303000</v>
      </c>
    </row>
    <row r="2609" spans="1:9" ht="15" customHeight="1">
      <c r="A2609" s="1253">
        <v>44568</v>
      </c>
      <c r="B2609" s="1209">
        <v>2070</v>
      </c>
      <c r="C2609" s="1210">
        <v>40650</v>
      </c>
      <c r="D2609" s="1230">
        <v>40150</v>
      </c>
      <c r="E2609" s="1212">
        <f t="shared" si="728"/>
        <v>-500</v>
      </c>
      <c r="F2609" s="1211">
        <f t="shared" si="729"/>
        <v>1000</v>
      </c>
      <c r="G2609" s="1215"/>
      <c r="H2609" s="1269"/>
      <c r="I2609" s="1291">
        <v>304250</v>
      </c>
    </row>
    <row r="2610" spans="1:9" ht="15" customHeight="1">
      <c r="A2610" s="1253">
        <v>44571</v>
      </c>
      <c r="B2610" s="1209">
        <v>2070</v>
      </c>
      <c r="C2610" s="1210">
        <v>40425</v>
      </c>
      <c r="D2610" s="1230">
        <v>40150</v>
      </c>
      <c r="E2610" s="1212">
        <f t="shared" si="728"/>
        <v>-275</v>
      </c>
      <c r="F2610" s="1211">
        <f t="shared" si="729"/>
        <v>-225</v>
      </c>
      <c r="G2610" s="1215"/>
      <c r="H2610" s="1269"/>
      <c r="I2610" s="1291">
        <v>305250</v>
      </c>
    </row>
    <row r="2611" spans="1:9" ht="15" customHeight="1">
      <c r="A2611" s="1253">
        <v>44572</v>
      </c>
      <c r="B2611" s="1209">
        <v>2055</v>
      </c>
      <c r="C2611" s="1210">
        <v>40700</v>
      </c>
      <c r="D2611" s="1230">
        <v>40400</v>
      </c>
      <c r="E2611" s="1212">
        <f t="shared" si="728"/>
        <v>-300</v>
      </c>
      <c r="F2611" s="1211">
        <f t="shared" si="729"/>
        <v>275</v>
      </c>
      <c r="G2611" s="1215"/>
      <c r="H2611" s="1269"/>
      <c r="I2611" s="1291">
        <v>305750</v>
      </c>
    </row>
    <row r="2612" spans="1:9" ht="15" customHeight="1">
      <c r="A2612" s="1253">
        <v>44573</v>
      </c>
      <c r="B2612" s="1209">
        <v>2085</v>
      </c>
      <c r="C2612" s="1210">
        <v>41750</v>
      </c>
      <c r="D2612" s="1230">
        <v>41380</v>
      </c>
      <c r="E2612" s="1212">
        <f t="shared" si="728"/>
        <v>-370</v>
      </c>
      <c r="F2612" s="1211">
        <f t="shared" si="729"/>
        <v>1050</v>
      </c>
      <c r="G2612" s="1215"/>
      <c r="H2612" s="1269"/>
      <c r="I2612" s="1291">
        <v>317000</v>
      </c>
    </row>
    <row r="2613" spans="1:9" ht="15" customHeight="1">
      <c r="A2613" s="1253">
        <v>44574</v>
      </c>
      <c r="B2613" s="1209">
        <v>2160</v>
      </c>
      <c r="C2613" s="1210">
        <v>41850</v>
      </c>
      <c r="D2613" s="1230">
        <v>41550</v>
      </c>
      <c r="E2613" s="1212">
        <f t="shared" si="728"/>
        <v>-300</v>
      </c>
      <c r="F2613" s="1211">
        <f t="shared" si="729"/>
        <v>100</v>
      </c>
      <c r="G2613" s="1215"/>
      <c r="H2613" s="1269"/>
      <c r="I2613" s="1291">
        <v>320000</v>
      </c>
    </row>
    <row r="2614" spans="1:9" ht="15" customHeight="1">
      <c r="A2614" s="1253">
        <v>44575</v>
      </c>
      <c r="B2614" s="1209">
        <v>2150</v>
      </c>
      <c r="C2614" s="1210">
        <v>40850</v>
      </c>
      <c r="D2614" s="1230">
        <v>40500</v>
      </c>
      <c r="E2614" s="1212">
        <f t="shared" ref="E2614:E2672" si="730">D2614-C2614</f>
        <v>-350</v>
      </c>
      <c r="F2614" s="1211">
        <f t="shared" ref="F2614:F2638" si="731">C2614-C2613</f>
        <v>-1000</v>
      </c>
      <c r="G2614" s="1215"/>
      <c r="H2614" s="1269"/>
      <c r="I2614" s="1291">
        <v>317500</v>
      </c>
    </row>
    <row r="2615" spans="1:9" ht="15" customHeight="1">
      <c r="A2615" s="1253">
        <v>44578</v>
      </c>
      <c r="B2615" s="1209">
        <v>2150</v>
      </c>
      <c r="C2615" s="1210">
        <v>41500</v>
      </c>
      <c r="D2615" s="1230">
        <v>41100</v>
      </c>
      <c r="E2615" s="1212">
        <f t="shared" si="730"/>
        <v>-400</v>
      </c>
      <c r="F2615" s="1211">
        <f t="shared" si="731"/>
        <v>650</v>
      </c>
      <c r="G2615" s="1215"/>
      <c r="H2615" s="1269"/>
      <c r="I2615" s="1291">
        <v>318000</v>
      </c>
    </row>
    <row r="2616" spans="1:9" ht="15" customHeight="1">
      <c r="A2616" s="1253">
        <v>44579</v>
      </c>
      <c r="B2616" s="1209">
        <v>2125</v>
      </c>
      <c r="C2616" s="1210">
        <v>42500</v>
      </c>
      <c r="D2616" s="1230">
        <v>42100</v>
      </c>
      <c r="E2616" s="1212">
        <f t="shared" si="730"/>
        <v>-400</v>
      </c>
      <c r="F2616" s="1211">
        <f t="shared" si="731"/>
        <v>1000</v>
      </c>
      <c r="G2616" s="1215"/>
      <c r="H2616" s="1269"/>
      <c r="I2616" s="1291">
        <v>326000</v>
      </c>
    </row>
    <row r="2617" spans="1:9" ht="15" customHeight="1">
      <c r="A2617" s="1253">
        <v>44580</v>
      </c>
      <c r="B2617" s="1209">
        <v>2155</v>
      </c>
      <c r="C2617" s="1210">
        <v>43050</v>
      </c>
      <c r="D2617" s="1230">
        <v>42650</v>
      </c>
      <c r="E2617" s="1212">
        <f t="shared" si="730"/>
        <v>-400</v>
      </c>
      <c r="F2617" s="1211">
        <f t="shared" si="731"/>
        <v>550</v>
      </c>
      <c r="G2617" s="1215"/>
      <c r="H2617" s="1269"/>
      <c r="I2617" s="1291">
        <v>327250</v>
      </c>
    </row>
    <row r="2618" spans="1:9" ht="15" customHeight="1">
      <c r="A2618" s="1253">
        <v>44581</v>
      </c>
      <c r="B2618" s="1209">
        <v>2200</v>
      </c>
      <c r="C2618" s="1210">
        <v>44195</v>
      </c>
      <c r="D2618" s="1230">
        <v>43600</v>
      </c>
      <c r="E2618" s="1212">
        <f t="shared" si="730"/>
        <v>-595</v>
      </c>
      <c r="F2618" s="1211">
        <f t="shared" si="731"/>
        <v>1145</v>
      </c>
      <c r="G2618" s="1215"/>
      <c r="H2618" s="1269"/>
      <c r="I2618" s="1291">
        <v>334500</v>
      </c>
    </row>
    <row r="2619" spans="1:9" ht="15" customHeight="1">
      <c r="A2619" s="1253">
        <v>44582</v>
      </c>
      <c r="B2619" s="1209">
        <v>2200</v>
      </c>
      <c r="C2619" s="1210">
        <v>43900</v>
      </c>
      <c r="D2619" s="1230">
        <v>43500</v>
      </c>
      <c r="E2619" s="1212">
        <f t="shared" si="730"/>
        <v>-400</v>
      </c>
      <c r="F2619" s="1211">
        <f t="shared" si="731"/>
        <v>-295</v>
      </c>
      <c r="G2619" s="1215"/>
      <c r="H2619" s="1269"/>
      <c r="I2619" s="1291">
        <v>335000</v>
      </c>
    </row>
    <row r="2620" spans="1:9" ht="15" customHeight="1">
      <c r="A2620" s="1253">
        <v>44585</v>
      </c>
      <c r="B2620" s="1209">
        <v>2175</v>
      </c>
      <c r="C2620" s="1210">
        <v>43375</v>
      </c>
      <c r="D2620" s="1230">
        <v>42805</v>
      </c>
      <c r="E2620" s="1212">
        <f t="shared" si="730"/>
        <v>-570</v>
      </c>
      <c r="F2620" s="1211">
        <f t="shared" si="731"/>
        <v>-525</v>
      </c>
      <c r="G2620" s="1215"/>
      <c r="H2620" s="1269"/>
      <c r="I2620" s="1291">
        <v>335000</v>
      </c>
    </row>
    <row r="2621" spans="1:9" ht="15" customHeight="1">
      <c r="A2621" s="1253">
        <v>44586</v>
      </c>
      <c r="B2621" s="1209">
        <v>2165</v>
      </c>
      <c r="C2621" s="1210">
        <v>41700</v>
      </c>
      <c r="D2621" s="1230">
        <v>41300</v>
      </c>
      <c r="E2621" s="1212">
        <f t="shared" si="730"/>
        <v>-400</v>
      </c>
      <c r="F2621" s="1211">
        <f t="shared" si="731"/>
        <v>-1675</v>
      </c>
      <c r="G2621" s="1215"/>
      <c r="H2621" s="1269"/>
      <c r="I2621" s="1291">
        <v>330000</v>
      </c>
    </row>
    <row r="2622" spans="1:9" ht="15" customHeight="1">
      <c r="A2622" s="1253">
        <v>44587</v>
      </c>
      <c r="B2622" s="1209">
        <v>2195</v>
      </c>
      <c r="C2622" s="1210">
        <v>42800</v>
      </c>
      <c r="D2622" s="1230">
        <v>42300</v>
      </c>
      <c r="E2622" s="1212">
        <f t="shared" si="730"/>
        <v>-500</v>
      </c>
      <c r="F2622" s="1211">
        <f t="shared" si="731"/>
        <v>1100</v>
      </c>
      <c r="G2622" s="1215"/>
      <c r="H2622" s="1269"/>
      <c r="I2622" s="1291">
        <v>329000</v>
      </c>
    </row>
    <row r="2623" spans="1:9" ht="15" customHeight="1">
      <c r="A2623" s="1253">
        <v>44588</v>
      </c>
      <c r="B2623" s="1209">
        <v>2225</v>
      </c>
      <c r="C2623" s="1210">
        <v>43145</v>
      </c>
      <c r="D2623" s="1230">
        <v>42600</v>
      </c>
      <c r="E2623" s="1212">
        <f t="shared" si="730"/>
        <v>-545</v>
      </c>
      <c r="F2623" s="1211">
        <f t="shared" si="731"/>
        <v>345</v>
      </c>
      <c r="G2623" s="1215"/>
      <c r="H2623" s="1269"/>
      <c r="I2623" s="1291">
        <v>329500</v>
      </c>
    </row>
    <row r="2624" spans="1:9" ht="15" customHeight="1">
      <c r="A2624" s="1253">
        <v>44589</v>
      </c>
      <c r="B2624" s="1209">
        <v>2350</v>
      </c>
      <c r="C2624" s="1210">
        <v>42450</v>
      </c>
      <c r="D2624" s="1230">
        <v>41750</v>
      </c>
      <c r="E2624" s="1212">
        <f t="shared" si="730"/>
        <v>-700</v>
      </c>
      <c r="F2624" s="1211">
        <f t="shared" si="731"/>
        <v>-695</v>
      </c>
      <c r="G2624" s="1215"/>
      <c r="H2624" s="1269"/>
      <c r="I2624" s="1291">
        <v>329500</v>
      </c>
    </row>
    <row r="2625" spans="1:9" ht="15" customHeight="1">
      <c r="A2625" s="1253">
        <v>44592</v>
      </c>
      <c r="B2625" s="1209">
        <v>2405</v>
      </c>
      <c r="C2625" s="1210">
        <v>42550</v>
      </c>
      <c r="D2625" s="1230">
        <v>41975</v>
      </c>
      <c r="E2625" s="1212">
        <f t="shared" si="730"/>
        <v>-575</v>
      </c>
      <c r="F2625" s="1211">
        <f t="shared" si="731"/>
        <v>100</v>
      </c>
      <c r="G2625" s="1227">
        <f>AVERAGE($C$2606:C2625)</f>
        <v>41807</v>
      </c>
      <c r="H2625" s="1274">
        <f>AVERAGE($C$2606:C2625)</f>
        <v>41807</v>
      </c>
      <c r="I2625" s="1300"/>
    </row>
    <row r="2626" spans="1:9" ht="15" customHeight="1">
      <c r="A2626" s="1253">
        <v>44593</v>
      </c>
      <c r="B2626" s="1209">
        <v>2390</v>
      </c>
      <c r="C2626" s="1210">
        <v>43600</v>
      </c>
      <c r="D2626" s="1230">
        <v>43050</v>
      </c>
      <c r="E2626" s="1212">
        <f t="shared" si="730"/>
        <v>-550</v>
      </c>
      <c r="F2626" s="1211">
        <f t="shared" si="731"/>
        <v>1050</v>
      </c>
      <c r="G2626" s="1215"/>
      <c r="H2626" s="1269"/>
      <c r="I2626" s="1300"/>
    </row>
    <row r="2627" spans="1:9" ht="15" customHeight="1">
      <c r="A2627" s="1253">
        <v>44594</v>
      </c>
      <c r="B2627" s="1209">
        <v>2465</v>
      </c>
      <c r="C2627" s="1210">
        <v>43750</v>
      </c>
      <c r="D2627" s="1230">
        <v>43300</v>
      </c>
      <c r="E2627" s="1212">
        <f t="shared" si="730"/>
        <v>-450</v>
      </c>
      <c r="F2627" s="1211">
        <f t="shared" si="731"/>
        <v>150</v>
      </c>
      <c r="G2627" s="1215"/>
      <c r="H2627" s="1269"/>
      <c r="I2627" s="1300"/>
    </row>
    <row r="2628" spans="1:9" ht="15" customHeight="1">
      <c r="A2628" s="1253">
        <v>44595</v>
      </c>
      <c r="B2628" s="1209">
        <v>2475</v>
      </c>
      <c r="C2628" s="1210">
        <v>43560</v>
      </c>
      <c r="D2628" s="1230">
        <v>43100</v>
      </c>
      <c r="E2628" s="1212">
        <f t="shared" si="730"/>
        <v>-460</v>
      </c>
      <c r="F2628" s="1211">
        <f t="shared" si="731"/>
        <v>-190</v>
      </c>
      <c r="G2628" s="1215"/>
      <c r="H2628" s="1269"/>
      <c r="I2628" s="1300"/>
    </row>
    <row r="2629" spans="1:9" ht="15" customHeight="1">
      <c r="A2629" s="1253">
        <v>44596</v>
      </c>
      <c r="B2629" s="1209">
        <v>2470</v>
      </c>
      <c r="C2629" s="1210">
        <v>43375</v>
      </c>
      <c r="D2629" s="1230">
        <v>43025</v>
      </c>
      <c r="E2629" s="1212">
        <f t="shared" si="730"/>
        <v>-350</v>
      </c>
      <c r="F2629" s="1211">
        <f t="shared" si="731"/>
        <v>-185</v>
      </c>
      <c r="G2629" s="1215"/>
      <c r="H2629" s="1269"/>
      <c r="I2629" s="1300"/>
    </row>
    <row r="2630" spans="1:9" ht="15" customHeight="1">
      <c r="A2630" s="1253">
        <v>44599</v>
      </c>
      <c r="B2630" s="1209">
        <v>2430</v>
      </c>
      <c r="C2630" s="1210">
        <v>43250</v>
      </c>
      <c r="D2630" s="1230">
        <v>42855</v>
      </c>
      <c r="E2630" s="1212">
        <f t="shared" si="730"/>
        <v>-395</v>
      </c>
      <c r="F2630" s="1211">
        <f t="shared" si="731"/>
        <v>-125</v>
      </c>
      <c r="G2630" s="1215"/>
      <c r="H2630" s="1269"/>
      <c r="I2630" s="1291">
        <v>332000</v>
      </c>
    </row>
    <row r="2631" spans="1:9" ht="15" customHeight="1">
      <c r="A2631" s="1253">
        <v>44600</v>
      </c>
      <c r="B2631" s="1209">
        <v>2430</v>
      </c>
      <c r="C2631" s="1210">
        <v>43375</v>
      </c>
      <c r="D2631" s="1230">
        <v>43100</v>
      </c>
      <c r="E2631" s="1212">
        <f t="shared" si="730"/>
        <v>-275</v>
      </c>
      <c r="F2631" s="1211">
        <f t="shared" si="731"/>
        <v>125</v>
      </c>
      <c r="G2631" s="1215"/>
      <c r="H2631" s="1269"/>
      <c r="I2631" s="1291">
        <v>335250</v>
      </c>
    </row>
    <row r="2632" spans="1:9" ht="15" customHeight="1">
      <c r="A2632" s="1253">
        <v>44601</v>
      </c>
      <c r="B2632" s="1209">
        <v>2430</v>
      </c>
      <c r="C2632" s="1210">
        <v>43400</v>
      </c>
      <c r="D2632" s="1230">
        <v>43250</v>
      </c>
      <c r="E2632" s="1212">
        <f t="shared" si="730"/>
        <v>-150</v>
      </c>
      <c r="F2632" s="1211">
        <f t="shared" si="731"/>
        <v>25</v>
      </c>
      <c r="G2632" s="1215"/>
      <c r="H2632" s="1269"/>
      <c r="I2632" s="1291">
        <v>334000</v>
      </c>
    </row>
    <row r="2633" spans="1:9" ht="15" customHeight="1">
      <c r="A2633" s="1253">
        <v>44602</v>
      </c>
      <c r="B2633" s="1209">
        <v>2410</v>
      </c>
      <c r="C2633" s="1210">
        <v>44445</v>
      </c>
      <c r="D2633" s="1230">
        <v>44300</v>
      </c>
      <c r="E2633" s="1212">
        <f t="shared" si="730"/>
        <v>-145</v>
      </c>
      <c r="F2633" s="1211">
        <f t="shared" si="731"/>
        <v>1045</v>
      </c>
      <c r="G2633" s="1215"/>
      <c r="H2633" s="1269"/>
      <c r="I2633" s="1291">
        <v>339000</v>
      </c>
    </row>
    <row r="2634" spans="1:9" ht="15" customHeight="1">
      <c r="A2634" s="1253">
        <v>44603</v>
      </c>
      <c r="B2634" s="1209">
        <v>2445</v>
      </c>
      <c r="C2634" s="1210">
        <v>44195</v>
      </c>
      <c r="D2634" s="1230">
        <v>43810</v>
      </c>
      <c r="E2634" s="1212">
        <f t="shared" si="730"/>
        <v>-385</v>
      </c>
      <c r="F2634" s="1211">
        <f t="shared" si="731"/>
        <v>-250</v>
      </c>
      <c r="G2634" s="1215"/>
      <c r="H2634" s="1269"/>
      <c r="I2634" s="1291">
        <v>340000</v>
      </c>
    </row>
    <row r="2635" spans="1:9" ht="15" customHeight="1">
      <c r="A2635" s="1253">
        <v>44606</v>
      </c>
      <c r="B2635" s="1209">
        <v>2390</v>
      </c>
      <c r="C2635" s="1210">
        <v>44000</v>
      </c>
      <c r="D2635" s="1230">
        <v>43800</v>
      </c>
      <c r="E2635" s="1212">
        <f t="shared" si="730"/>
        <v>-200</v>
      </c>
      <c r="F2635" s="1211">
        <f t="shared" si="731"/>
        <v>-195</v>
      </c>
      <c r="G2635" s="1215"/>
      <c r="H2635" s="1269"/>
      <c r="I2635" s="1291">
        <v>337000</v>
      </c>
    </row>
    <row r="2636" spans="1:9" ht="15" customHeight="1">
      <c r="A2636" s="1253">
        <v>44607</v>
      </c>
      <c r="B2636" s="1209">
        <v>2380</v>
      </c>
      <c r="C2636" s="1210">
        <v>43575</v>
      </c>
      <c r="D2636" s="1230">
        <v>43450</v>
      </c>
      <c r="E2636" s="1212">
        <f t="shared" si="730"/>
        <v>-125</v>
      </c>
      <c r="F2636" s="1211">
        <f t="shared" si="731"/>
        <v>-425</v>
      </c>
      <c r="G2636" s="1215"/>
      <c r="H2636" s="1269"/>
      <c r="I2636" s="1291">
        <v>335000</v>
      </c>
    </row>
    <row r="2637" spans="1:9" ht="15" customHeight="1">
      <c r="A2637" s="1253">
        <v>44608</v>
      </c>
      <c r="B2637" s="1209">
        <v>2360</v>
      </c>
      <c r="C2637" s="1210">
        <v>43785</v>
      </c>
      <c r="D2637" s="1230">
        <v>43700</v>
      </c>
      <c r="E2637" s="1212">
        <f t="shared" si="730"/>
        <v>-85</v>
      </c>
      <c r="F2637" s="1211">
        <f t="shared" si="731"/>
        <v>210</v>
      </c>
      <c r="G2637" s="1215"/>
      <c r="H2637" s="1269"/>
      <c r="I2637" s="1291">
        <v>337500</v>
      </c>
    </row>
    <row r="2638" spans="1:9" ht="15" customHeight="1">
      <c r="A2638" s="1253">
        <v>44609</v>
      </c>
      <c r="B2638" s="1209">
        <v>2360</v>
      </c>
      <c r="C2638" s="1210">
        <v>43750</v>
      </c>
      <c r="D2638" s="1230">
        <v>43600</v>
      </c>
      <c r="E2638" s="1212">
        <f t="shared" si="730"/>
        <v>-150</v>
      </c>
      <c r="F2638" s="1211">
        <f t="shared" si="731"/>
        <v>-35</v>
      </c>
      <c r="G2638" s="1215"/>
      <c r="H2638" s="1269"/>
      <c r="I2638" s="1291">
        <v>338000</v>
      </c>
    </row>
    <row r="2639" spans="1:9" ht="15" customHeight="1">
      <c r="A2639" s="1253">
        <v>44610</v>
      </c>
      <c r="B2639" s="1209">
        <v>2370</v>
      </c>
      <c r="C2639" s="1210">
        <v>44150</v>
      </c>
      <c r="D2639" s="1230">
        <v>43925</v>
      </c>
      <c r="E2639" s="1212">
        <f t="shared" si="730"/>
        <v>-225</v>
      </c>
      <c r="F2639" s="1211">
        <f t="shared" ref="F2639:F2672" si="732">C2639-C2638</f>
        <v>400</v>
      </c>
      <c r="G2639" s="1215"/>
      <c r="H2639" s="1269"/>
      <c r="I2639" s="1291">
        <v>340250</v>
      </c>
    </row>
    <row r="2640" spans="1:9" ht="15" customHeight="1">
      <c r="A2640" s="1253">
        <v>44613</v>
      </c>
      <c r="B2640" s="1209">
        <v>2360</v>
      </c>
      <c r="C2640" s="1210">
        <v>44150</v>
      </c>
      <c r="D2640" s="1230">
        <v>44000</v>
      </c>
      <c r="E2640" s="1212">
        <f t="shared" si="730"/>
        <v>-150</v>
      </c>
      <c r="F2640" s="1211">
        <f t="shared" si="732"/>
        <v>0</v>
      </c>
      <c r="G2640" s="1215"/>
      <c r="H2640" s="1269"/>
      <c r="I2640" s="1291">
        <v>339750</v>
      </c>
    </row>
    <row r="2641" spans="1:9" ht="15" customHeight="1">
      <c r="A2641" s="1253">
        <v>44614</v>
      </c>
      <c r="B2641" s="1209">
        <v>2275</v>
      </c>
      <c r="C2641" s="1210">
        <v>44700</v>
      </c>
      <c r="D2641" s="1230">
        <v>44400</v>
      </c>
      <c r="E2641" s="1212">
        <f t="shared" si="730"/>
        <v>-300</v>
      </c>
      <c r="F2641" s="1211">
        <f t="shared" si="732"/>
        <v>550</v>
      </c>
      <c r="G2641" s="1215"/>
      <c r="H2641" s="1269"/>
      <c r="I2641" s="1291">
        <v>339750</v>
      </c>
    </row>
    <row r="2642" spans="1:9" ht="15" customHeight="1">
      <c r="A2642" s="1253">
        <v>44615</v>
      </c>
      <c r="B2642" s="1209">
        <v>2250</v>
      </c>
      <c r="C2642" s="1210">
        <v>44750</v>
      </c>
      <c r="D2642" s="1230">
        <v>44450</v>
      </c>
      <c r="E2642" s="1212">
        <f t="shared" si="730"/>
        <v>-300</v>
      </c>
      <c r="F2642" s="1211">
        <f t="shared" si="732"/>
        <v>50</v>
      </c>
      <c r="G2642" s="1215"/>
      <c r="H2642" s="1269"/>
      <c r="I2642" s="1291">
        <v>339000</v>
      </c>
    </row>
    <row r="2643" spans="1:9" ht="15" customHeight="1">
      <c r="A2643" s="1253">
        <v>44616</v>
      </c>
      <c r="B2643" s="1209">
        <v>2240</v>
      </c>
      <c r="C2643" s="1210">
        <v>45795</v>
      </c>
      <c r="D2643" s="1230">
        <v>45325</v>
      </c>
      <c r="E2643" s="1212">
        <f t="shared" si="730"/>
        <v>-470</v>
      </c>
      <c r="F2643" s="1211">
        <f t="shared" si="732"/>
        <v>1045</v>
      </c>
      <c r="G2643" s="1215"/>
      <c r="H2643" s="1269"/>
      <c r="I2643" s="1291">
        <v>340500</v>
      </c>
    </row>
    <row r="2644" spans="1:9" ht="15" customHeight="1">
      <c r="A2644" s="1253">
        <v>44617</v>
      </c>
      <c r="B2644" s="1209">
        <v>2255</v>
      </c>
      <c r="C2644" s="1210">
        <v>45200</v>
      </c>
      <c r="D2644" s="1230">
        <v>44850</v>
      </c>
      <c r="E2644" s="1212">
        <f t="shared" si="730"/>
        <v>-350</v>
      </c>
      <c r="F2644" s="1211">
        <f t="shared" si="732"/>
        <v>-595</v>
      </c>
      <c r="G2644" s="1215"/>
      <c r="H2644" s="1269"/>
      <c r="I2644" s="1291">
        <v>340500</v>
      </c>
    </row>
    <row r="2645" spans="1:9" ht="15" customHeight="1">
      <c r="A2645" s="1253">
        <v>44620</v>
      </c>
      <c r="B2645" s="1209">
        <v>2265</v>
      </c>
      <c r="C2645" s="1210">
        <v>45550</v>
      </c>
      <c r="D2645" s="1230">
        <v>45100</v>
      </c>
      <c r="E2645" s="1212">
        <f t="shared" si="730"/>
        <v>-450</v>
      </c>
      <c r="F2645" s="1211">
        <f t="shared" si="732"/>
        <v>350</v>
      </c>
      <c r="G2645" s="1227">
        <f>AVERAGE(C2626:C2645)</f>
        <v>44117.75</v>
      </c>
      <c r="H2645" s="1274">
        <f>AVERAGE($C$2606:C2645)</f>
        <v>42962.375</v>
      </c>
      <c r="I2645" s="1291">
        <v>340500</v>
      </c>
    </row>
    <row r="2646" spans="1:9" ht="15" customHeight="1">
      <c r="A2646" s="1253">
        <v>44621</v>
      </c>
      <c r="B2646" s="1209">
        <v>2245</v>
      </c>
      <c r="C2646" s="1210">
        <v>46000</v>
      </c>
      <c r="D2646" s="1230">
        <v>45750</v>
      </c>
      <c r="E2646" s="1212">
        <f t="shared" si="730"/>
        <v>-250</v>
      </c>
      <c r="F2646" s="1211">
        <f t="shared" si="732"/>
        <v>450</v>
      </c>
      <c r="G2646" s="1215"/>
      <c r="H2646" s="1269"/>
      <c r="I2646" s="1291">
        <v>341000</v>
      </c>
    </row>
    <row r="2647" spans="1:9" ht="15" customHeight="1">
      <c r="A2647" s="1253">
        <v>44622</v>
      </c>
      <c r="B2647" s="1209">
        <v>2245</v>
      </c>
      <c r="C2647" s="1210">
        <v>46150</v>
      </c>
      <c r="D2647" s="1230">
        <v>45850</v>
      </c>
      <c r="E2647" s="1212">
        <f t="shared" si="730"/>
        <v>-300</v>
      </c>
      <c r="F2647" s="1211">
        <f t="shared" si="732"/>
        <v>150</v>
      </c>
      <c r="G2647" s="1215"/>
      <c r="H2647" s="1269"/>
      <c r="I2647" s="1291">
        <v>341250</v>
      </c>
    </row>
    <row r="2648" spans="1:9" ht="15" customHeight="1">
      <c r="A2648" s="1253">
        <v>44623</v>
      </c>
      <c r="B2648" s="1209">
        <v>2270</v>
      </c>
      <c r="C2648" s="1210">
        <v>46655</v>
      </c>
      <c r="D2648" s="1230">
        <v>46300</v>
      </c>
      <c r="E2648" s="1212">
        <f t="shared" si="730"/>
        <v>-355</v>
      </c>
      <c r="F2648" s="1211">
        <f t="shared" si="732"/>
        <v>505</v>
      </c>
      <c r="G2648" s="1215"/>
      <c r="H2648" s="1269"/>
      <c r="I2648" s="1291">
        <v>341750</v>
      </c>
    </row>
    <row r="2649" spans="1:9" ht="15" customHeight="1">
      <c r="A2649" s="1253">
        <v>44624</v>
      </c>
      <c r="B2649" s="1209">
        <v>2300</v>
      </c>
      <c r="C2649" s="1210">
        <v>47325</v>
      </c>
      <c r="D2649" s="1230">
        <v>47000</v>
      </c>
      <c r="E2649" s="1212">
        <f t="shared" si="730"/>
        <v>-325</v>
      </c>
      <c r="F2649" s="1211">
        <f t="shared" si="732"/>
        <v>670</v>
      </c>
      <c r="G2649" s="1215"/>
      <c r="H2649" s="1269"/>
      <c r="I2649" s="1291">
        <v>342250</v>
      </c>
    </row>
    <row r="2650" spans="1:9" ht="15" customHeight="1">
      <c r="A2650" s="1253">
        <v>44627</v>
      </c>
      <c r="B2650" s="1209">
        <v>2275</v>
      </c>
      <c r="C2650" s="1210">
        <v>48670</v>
      </c>
      <c r="D2650" s="1230">
        <v>48205</v>
      </c>
      <c r="E2650" s="1212">
        <f t="shared" si="730"/>
        <v>-465</v>
      </c>
      <c r="F2650" s="1211">
        <f t="shared" si="732"/>
        <v>1345</v>
      </c>
      <c r="G2650" s="1215"/>
      <c r="H2650" s="1269"/>
      <c r="I2650" s="1291">
        <v>351500</v>
      </c>
    </row>
    <row r="2651" spans="1:9" ht="15" customHeight="1">
      <c r="A2651" s="1253">
        <v>44628</v>
      </c>
      <c r="B2651" s="1209">
        <v>2275</v>
      </c>
      <c r="C2651" s="1210">
        <v>50050</v>
      </c>
      <c r="D2651" s="1230">
        <v>49500</v>
      </c>
      <c r="E2651" s="1212">
        <f t="shared" si="730"/>
        <v>-550</v>
      </c>
      <c r="F2651" s="1211">
        <f t="shared" si="732"/>
        <v>1380</v>
      </c>
      <c r="G2651" s="1215"/>
      <c r="H2651" s="1269"/>
      <c r="I2651" s="1291">
        <f>I2652-21000</f>
        <v>347500</v>
      </c>
    </row>
    <row r="2652" spans="1:9" ht="15" customHeight="1">
      <c r="A2652" s="1253">
        <v>44629</v>
      </c>
      <c r="B2652" s="1209">
        <v>2235</v>
      </c>
      <c r="C2652" s="1210">
        <v>48200</v>
      </c>
      <c r="D2652" s="1230">
        <v>48000</v>
      </c>
      <c r="E2652" s="1212">
        <f t="shared" si="730"/>
        <v>-200</v>
      </c>
      <c r="F2652" s="1211">
        <f t="shared" si="732"/>
        <v>-1850</v>
      </c>
      <c r="G2652" s="1215"/>
      <c r="H2652" s="1269"/>
      <c r="I2652" s="1291">
        <v>368500</v>
      </c>
    </row>
    <row r="2653" spans="1:9" ht="15" customHeight="1">
      <c r="A2653" s="1253">
        <v>44630</v>
      </c>
      <c r="B2653" s="1209">
        <v>2255</v>
      </c>
      <c r="C2653" s="1210">
        <v>42800</v>
      </c>
      <c r="D2653" s="1230">
        <v>42500</v>
      </c>
      <c r="E2653" s="1212">
        <f t="shared" si="730"/>
        <v>-300</v>
      </c>
      <c r="F2653" s="1211">
        <f t="shared" si="732"/>
        <v>-5400</v>
      </c>
      <c r="G2653" s="1215"/>
      <c r="H2653" s="1269"/>
      <c r="I2653" s="1291">
        <v>345000</v>
      </c>
    </row>
    <row r="2654" spans="1:9" ht="15" customHeight="1">
      <c r="A2654" s="1253">
        <v>44631</v>
      </c>
      <c r="B2654" s="1209">
        <v>2255</v>
      </c>
      <c r="C2654" s="1210">
        <v>44025</v>
      </c>
      <c r="D2654" s="1230">
        <v>43525</v>
      </c>
      <c r="E2654" s="1212">
        <f t="shared" si="730"/>
        <v>-500</v>
      </c>
      <c r="F2654" s="1211">
        <f t="shared" si="732"/>
        <v>1225</v>
      </c>
      <c r="G2654" s="1215"/>
      <c r="H2654" s="1269"/>
      <c r="I2654" s="1291">
        <v>344000</v>
      </c>
    </row>
    <row r="2655" spans="1:9" ht="15" customHeight="1">
      <c r="A2655" s="1253">
        <v>44634</v>
      </c>
      <c r="B2655" s="1209">
        <v>2210</v>
      </c>
      <c r="C2655" s="1210">
        <v>44100</v>
      </c>
      <c r="D2655" s="1230">
        <v>44100</v>
      </c>
      <c r="E2655" s="1212">
        <f t="shared" si="730"/>
        <v>0</v>
      </c>
      <c r="F2655" s="1211">
        <f t="shared" si="732"/>
        <v>75</v>
      </c>
      <c r="G2655" s="1215"/>
      <c r="H2655" s="1269"/>
      <c r="I2655" s="1291">
        <v>338500</v>
      </c>
    </row>
    <row r="2656" spans="1:9" ht="15" customHeight="1">
      <c r="A2656" s="1253">
        <v>44635</v>
      </c>
      <c r="B2656" s="1209">
        <v>2200</v>
      </c>
      <c r="C2656" s="1210">
        <v>42525</v>
      </c>
      <c r="D2656" s="1230">
        <v>42550</v>
      </c>
      <c r="E2656" s="1212">
        <f t="shared" si="730"/>
        <v>25</v>
      </c>
      <c r="F2656" s="1211">
        <f t="shared" si="732"/>
        <v>-1575</v>
      </c>
      <c r="G2656" s="1215"/>
      <c r="H2656" s="1269"/>
      <c r="I2656" s="1291">
        <v>333500</v>
      </c>
    </row>
    <row r="2657" spans="1:9" ht="15" customHeight="1">
      <c r="A2657" s="1253">
        <v>44636</v>
      </c>
      <c r="B2657" s="1209">
        <v>2250</v>
      </c>
      <c r="C2657" s="1210">
        <v>43100</v>
      </c>
      <c r="D2657" s="1230">
        <v>43100</v>
      </c>
      <c r="E2657" s="1212">
        <f t="shared" si="730"/>
        <v>0</v>
      </c>
      <c r="F2657" s="1211">
        <f t="shared" si="732"/>
        <v>575</v>
      </c>
      <c r="G2657" s="1215"/>
      <c r="H2657" s="1269"/>
      <c r="I2657" s="1291">
        <v>338000</v>
      </c>
    </row>
    <row r="2658" spans="1:9" ht="15" customHeight="1">
      <c r="A2658" s="1253">
        <v>44637</v>
      </c>
      <c r="B2658" s="1209">
        <v>2270</v>
      </c>
      <c r="C2658" s="1210">
        <v>41850</v>
      </c>
      <c r="D2658" s="1230">
        <v>41850</v>
      </c>
      <c r="E2658" s="1212">
        <f t="shared" si="730"/>
        <v>0</v>
      </c>
      <c r="F2658" s="1211">
        <f t="shared" si="732"/>
        <v>-1250</v>
      </c>
      <c r="G2658" s="1215"/>
      <c r="H2658" s="1269"/>
      <c r="I2658" s="1291">
        <v>337500</v>
      </c>
    </row>
    <row r="2659" spans="1:9" ht="15" customHeight="1">
      <c r="A2659" s="1253">
        <v>44638</v>
      </c>
      <c r="B2659" s="1209">
        <v>2270</v>
      </c>
      <c r="C2659" s="1210">
        <v>42450</v>
      </c>
      <c r="D2659" s="1230">
        <v>42400</v>
      </c>
      <c r="E2659" s="1212">
        <f t="shared" si="730"/>
        <v>-50</v>
      </c>
      <c r="F2659" s="1211">
        <f t="shared" si="732"/>
        <v>600</v>
      </c>
      <c r="G2659" s="1215"/>
      <c r="H2659" s="1269"/>
      <c r="I2659" s="1291">
        <v>340500</v>
      </c>
    </row>
    <row r="2660" spans="1:9" ht="15" customHeight="1">
      <c r="A2660" s="1253">
        <v>44641</v>
      </c>
      <c r="B2660" s="1209">
        <v>2295</v>
      </c>
      <c r="C2660" s="1210">
        <v>41425</v>
      </c>
      <c r="D2660" s="1230">
        <v>41605</v>
      </c>
      <c r="E2660" s="1212">
        <f t="shared" si="730"/>
        <v>180</v>
      </c>
      <c r="F2660" s="1211">
        <f t="shared" si="732"/>
        <v>-1025</v>
      </c>
      <c r="G2660" s="1215"/>
      <c r="H2660" s="1269"/>
      <c r="I2660" s="1291">
        <v>346750</v>
      </c>
    </row>
    <row r="2661" spans="1:9" ht="15" customHeight="1">
      <c r="A2661" s="1253">
        <v>44642</v>
      </c>
      <c r="B2661" s="1209">
        <v>2245</v>
      </c>
      <c r="C2661" s="1210">
        <v>41550</v>
      </c>
      <c r="D2661" s="1230">
        <v>41400</v>
      </c>
      <c r="E2661" s="1212">
        <f t="shared" si="730"/>
        <v>-150</v>
      </c>
      <c r="F2661" s="1211">
        <f t="shared" si="732"/>
        <v>125</v>
      </c>
      <c r="G2661" s="1215"/>
      <c r="H2661" s="1269"/>
      <c r="I2661" s="1291">
        <v>344250</v>
      </c>
    </row>
    <row r="2662" spans="1:9" ht="15" customHeight="1">
      <c r="A2662" s="1253">
        <v>44643</v>
      </c>
      <c r="B2662" s="1209">
        <v>2245</v>
      </c>
      <c r="C2662" s="1210">
        <v>42000</v>
      </c>
      <c r="D2662" s="1230">
        <v>41800</v>
      </c>
      <c r="E2662" s="1212">
        <f t="shared" si="730"/>
        <v>-200</v>
      </c>
      <c r="F2662" s="1211">
        <f t="shared" si="732"/>
        <v>450</v>
      </c>
      <c r="G2662" s="1215"/>
      <c r="H2662" s="1269"/>
      <c r="I2662" s="1291">
        <v>344750</v>
      </c>
    </row>
    <row r="2663" spans="1:9" ht="15" customHeight="1">
      <c r="A2663" s="1253">
        <v>44644</v>
      </c>
      <c r="B2663" s="1209">
        <v>2325</v>
      </c>
      <c r="C2663" s="1210">
        <v>42425</v>
      </c>
      <c r="D2663" s="1230">
        <v>41925</v>
      </c>
      <c r="E2663" s="1212">
        <f t="shared" si="730"/>
        <v>-500</v>
      </c>
      <c r="F2663" s="1211">
        <f t="shared" si="732"/>
        <v>425</v>
      </c>
      <c r="G2663" s="1215"/>
      <c r="H2663" s="1269"/>
      <c r="I2663" s="1291">
        <v>355500</v>
      </c>
    </row>
    <row r="2664" spans="1:9" ht="15" customHeight="1">
      <c r="A2664" s="1253">
        <v>44645</v>
      </c>
      <c r="B2664" s="1209">
        <v>2345</v>
      </c>
      <c r="C2664" s="1210">
        <v>42650</v>
      </c>
      <c r="D2664" s="1230">
        <v>42350</v>
      </c>
      <c r="E2664" s="1212">
        <f t="shared" si="730"/>
        <v>-300</v>
      </c>
      <c r="F2664" s="1211">
        <f t="shared" si="732"/>
        <v>225</v>
      </c>
      <c r="G2664" s="1215"/>
      <c r="H2664" s="1269"/>
      <c r="I2664" s="1291">
        <v>348750</v>
      </c>
    </row>
    <row r="2665" spans="1:9" ht="15" customHeight="1">
      <c r="A2665" s="1253">
        <v>44648</v>
      </c>
      <c r="B2665" s="1209">
        <v>2345</v>
      </c>
      <c r="C2665" s="1210">
        <v>42925</v>
      </c>
      <c r="D2665" s="1230">
        <v>42425</v>
      </c>
      <c r="E2665" s="1212">
        <f t="shared" si="730"/>
        <v>-500</v>
      </c>
      <c r="F2665" s="1211">
        <f t="shared" si="732"/>
        <v>275</v>
      </c>
      <c r="G2665" s="1215"/>
      <c r="H2665" s="1269"/>
      <c r="I2665" s="1291">
        <v>345500</v>
      </c>
    </row>
    <row r="2666" spans="1:9" ht="15" customHeight="1">
      <c r="A2666" s="1253">
        <v>44649</v>
      </c>
      <c r="B2666" s="1209">
        <v>2260</v>
      </c>
      <c r="C2666" s="1210">
        <v>42750</v>
      </c>
      <c r="D2666" s="1230">
        <v>42450</v>
      </c>
      <c r="E2666" s="1212">
        <f t="shared" si="730"/>
        <v>-300</v>
      </c>
      <c r="F2666" s="1211">
        <f t="shared" si="732"/>
        <v>-175</v>
      </c>
      <c r="G2666" s="1215"/>
      <c r="H2666" s="1269"/>
      <c r="I2666" s="1291">
        <v>349750</v>
      </c>
    </row>
    <row r="2667" spans="1:9" ht="15" customHeight="1">
      <c r="A2667" s="1253">
        <v>44650</v>
      </c>
      <c r="B2667" s="1209">
        <v>2110</v>
      </c>
      <c r="C2667" s="1210">
        <v>43900</v>
      </c>
      <c r="D2667" s="1230">
        <v>42600</v>
      </c>
      <c r="E2667" s="1212">
        <f t="shared" si="730"/>
        <v>-1300</v>
      </c>
      <c r="F2667" s="1211">
        <f t="shared" si="732"/>
        <v>1150</v>
      </c>
      <c r="G2667" s="1215"/>
      <c r="H2667" s="1269"/>
      <c r="I2667" s="1291">
        <v>349750</v>
      </c>
    </row>
    <row r="2668" spans="1:9" ht="15" customHeight="1">
      <c r="A2668" s="1253">
        <v>44651</v>
      </c>
      <c r="B2668" s="1209">
        <v>2110</v>
      </c>
      <c r="C2668" s="1210">
        <v>44200</v>
      </c>
      <c r="D2668" s="1230">
        <v>42900</v>
      </c>
      <c r="E2668" s="1212">
        <f t="shared" si="730"/>
        <v>-1300</v>
      </c>
      <c r="F2668" s="1211">
        <f t="shared" si="732"/>
        <v>300</v>
      </c>
      <c r="G2668" s="1227">
        <f>AVERAGE($C$2646:C2668)</f>
        <v>44248.913043478264</v>
      </c>
      <c r="H2668" s="1274">
        <f>AVERAGE($C$2606:C2668)</f>
        <v>43432.063492063491</v>
      </c>
      <c r="I2668" s="1291">
        <v>347500</v>
      </c>
    </row>
    <row r="2669" spans="1:9" ht="15" customHeight="1">
      <c r="A2669" s="1253">
        <v>44652</v>
      </c>
      <c r="B2669" s="1209">
        <v>2000</v>
      </c>
      <c r="C2669" s="1210">
        <v>44500</v>
      </c>
      <c r="D2669" s="1230">
        <v>43425</v>
      </c>
      <c r="E2669" s="1212">
        <f t="shared" si="730"/>
        <v>-1075</v>
      </c>
      <c r="F2669" s="1211">
        <f t="shared" si="732"/>
        <v>300</v>
      </c>
      <c r="G2669" s="1215"/>
      <c r="H2669" s="1269"/>
      <c r="I2669" s="1291">
        <v>347500</v>
      </c>
    </row>
    <row r="2670" spans="1:9" ht="15" customHeight="1">
      <c r="A2670" s="1253">
        <v>44655</v>
      </c>
      <c r="B2670" s="1209">
        <v>1975</v>
      </c>
      <c r="C2670" s="1210">
        <v>45500</v>
      </c>
      <c r="D2670" s="1230">
        <v>44600</v>
      </c>
      <c r="E2670" s="1212">
        <f t="shared" si="730"/>
        <v>-900</v>
      </c>
      <c r="F2670" s="1211">
        <f t="shared" si="732"/>
        <v>1000</v>
      </c>
      <c r="G2670" s="1215"/>
      <c r="H2670" s="1269"/>
      <c r="I2670" s="1291"/>
    </row>
    <row r="2671" spans="1:9" ht="15" customHeight="1">
      <c r="A2671" s="1253">
        <v>44656</v>
      </c>
      <c r="B2671" s="1209">
        <v>1915</v>
      </c>
      <c r="C2671" s="1210">
        <v>45400</v>
      </c>
      <c r="D2671" s="1230">
        <v>44525</v>
      </c>
      <c r="E2671" s="1212">
        <f t="shared" si="730"/>
        <v>-875</v>
      </c>
      <c r="F2671" s="1211">
        <f t="shared" si="732"/>
        <v>-100</v>
      </c>
      <c r="G2671" s="1215"/>
      <c r="H2671" s="1269"/>
      <c r="I2671" s="1291"/>
    </row>
    <row r="2672" spans="1:9" ht="15" customHeight="1">
      <c r="A2672" s="1253">
        <v>44657</v>
      </c>
      <c r="B2672" s="1209">
        <v>2650</v>
      </c>
      <c r="C2672" s="1210">
        <v>45175</v>
      </c>
      <c r="D2672" s="1230">
        <v>44450</v>
      </c>
      <c r="E2672" s="1212">
        <f t="shared" si="730"/>
        <v>-725</v>
      </c>
      <c r="F2672" s="1211">
        <f t="shared" si="732"/>
        <v>-225</v>
      </c>
      <c r="G2672" s="1215"/>
      <c r="H2672" s="1269"/>
      <c r="I2672" s="1291">
        <v>348250</v>
      </c>
    </row>
    <row r="2673" spans="1:9" ht="15" customHeight="1">
      <c r="A2673" s="1253">
        <v>44658</v>
      </c>
      <c r="B2673" s="1209">
        <v>2795</v>
      </c>
      <c r="C2673" s="1210">
        <v>44300</v>
      </c>
      <c r="D2673" s="1230">
        <v>43700</v>
      </c>
      <c r="E2673" s="1212">
        <f t="shared" ref="E2673:E2675" si="733">D2673-C2673</f>
        <v>-600</v>
      </c>
      <c r="F2673" s="1211">
        <f t="shared" ref="F2673:F2675" si="734">C2673-C2672</f>
        <v>-875</v>
      </c>
      <c r="G2673" s="1215"/>
      <c r="H2673" s="1269"/>
      <c r="I2673" s="1291">
        <v>345000</v>
      </c>
    </row>
    <row r="2674" spans="1:9" ht="15" customHeight="1">
      <c r="A2674" s="1253">
        <v>44659</v>
      </c>
      <c r="B2674" s="1209">
        <v>2820</v>
      </c>
      <c r="C2674" s="1210">
        <v>44295</v>
      </c>
      <c r="D2674" s="1230">
        <v>43825</v>
      </c>
      <c r="E2674" s="1212">
        <f t="shared" si="733"/>
        <v>-470</v>
      </c>
      <c r="F2674" s="1211">
        <f t="shared" si="734"/>
        <v>-5</v>
      </c>
      <c r="G2674" s="1215"/>
      <c r="H2674" s="1269"/>
      <c r="I2674" s="1291">
        <v>341500</v>
      </c>
    </row>
    <row r="2675" spans="1:9" ht="15" customHeight="1">
      <c r="A2675" s="1253">
        <v>44662</v>
      </c>
      <c r="B2675" s="1209">
        <v>2760</v>
      </c>
      <c r="C2675" s="1210">
        <v>43325</v>
      </c>
      <c r="D2675" s="1230">
        <v>43050</v>
      </c>
      <c r="E2675" s="1212">
        <f t="shared" si="733"/>
        <v>-275</v>
      </c>
      <c r="F2675" s="1211">
        <f t="shared" si="734"/>
        <v>-970</v>
      </c>
      <c r="G2675" s="1215"/>
      <c r="H2675" s="1269"/>
      <c r="I2675" s="1291">
        <v>344000</v>
      </c>
    </row>
    <row r="2676" spans="1:9" ht="15" customHeight="1">
      <c r="A2676" s="1253">
        <v>44663</v>
      </c>
      <c r="B2676" s="1209">
        <v>2765</v>
      </c>
      <c r="C2676" s="1210">
        <v>43650</v>
      </c>
      <c r="D2676" s="1230">
        <v>43595</v>
      </c>
      <c r="E2676" s="1212">
        <f t="shared" ref="E2676" si="735">D2676-C2676</f>
        <v>-55</v>
      </c>
      <c r="F2676" s="1211">
        <f t="shared" ref="F2676" si="736">C2676-C2675</f>
        <v>325</v>
      </c>
      <c r="G2676" s="1215"/>
      <c r="H2676" s="1269"/>
      <c r="I2676" s="1291">
        <v>344250</v>
      </c>
    </row>
    <row r="2677" spans="1:9" ht="15" customHeight="1">
      <c r="A2677" s="1253">
        <v>44664</v>
      </c>
      <c r="B2677" s="1209">
        <v>2665</v>
      </c>
      <c r="C2677" s="1210">
        <v>43450</v>
      </c>
      <c r="D2677" s="1230">
        <v>43000</v>
      </c>
      <c r="E2677" s="1212">
        <f t="shared" ref="E2677" si="737">D2677-C2677</f>
        <v>-450</v>
      </c>
      <c r="F2677" s="1211">
        <f t="shared" ref="F2677" si="738">C2677-C2676</f>
        <v>-200</v>
      </c>
      <c r="G2677" s="1215"/>
      <c r="H2677" s="1269"/>
      <c r="I2677" s="1291">
        <v>341500</v>
      </c>
    </row>
    <row r="2678" spans="1:9" ht="15" customHeight="1">
      <c r="A2678" s="1253">
        <v>44665</v>
      </c>
      <c r="B2678" s="1209">
        <v>2665</v>
      </c>
      <c r="C2678" s="1210">
        <v>43325</v>
      </c>
      <c r="D2678" s="1230">
        <v>43200</v>
      </c>
      <c r="E2678" s="1212">
        <f t="shared" ref="E2678" si="739">D2678-C2678</f>
        <v>-125</v>
      </c>
      <c r="F2678" s="1211">
        <f t="shared" ref="F2678" si="740">C2678-C2677</f>
        <v>-125</v>
      </c>
      <c r="G2678" s="1215"/>
      <c r="H2678" s="1269"/>
      <c r="I2678" s="1291">
        <v>345000</v>
      </c>
    </row>
    <row r="2679" spans="1:9" ht="15" customHeight="1">
      <c r="A2679" s="1253">
        <v>44666</v>
      </c>
      <c r="B2679" s="1444" t="s">
        <v>60</v>
      </c>
      <c r="C2679" s="1445"/>
      <c r="D2679" s="1445"/>
      <c r="E2679" s="1212"/>
      <c r="F2679" s="1220"/>
      <c r="G2679" s="1215"/>
      <c r="H2679" s="1269"/>
      <c r="I2679" s="1291">
        <v>344000</v>
      </c>
    </row>
    <row r="2680" spans="1:9" ht="15" customHeight="1">
      <c r="A2680" s="1253">
        <v>44669</v>
      </c>
      <c r="B2680" s="1446"/>
      <c r="C2680" s="1446"/>
      <c r="D2680" s="1446"/>
      <c r="E2680" s="1212"/>
      <c r="F2680" s="1220"/>
      <c r="G2680" s="1215"/>
      <c r="H2680" s="1269"/>
      <c r="I2680" s="1291">
        <v>343250</v>
      </c>
    </row>
    <row r="2681" spans="1:9" ht="15" customHeight="1">
      <c r="A2681" s="1253">
        <v>44670</v>
      </c>
      <c r="B2681" s="1209">
        <v>2715</v>
      </c>
      <c r="C2681" s="1210">
        <v>43600</v>
      </c>
      <c r="D2681" s="1230">
        <v>43250</v>
      </c>
      <c r="E2681" s="1212">
        <f t="shared" ref="E2681" si="741">D2681-C2681</f>
        <v>-350</v>
      </c>
      <c r="F2681" s="1211">
        <f t="shared" ref="F2681" si="742">C2681-C2680</f>
        <v>43600</v>
      </c>
      <c r="G2681" s="1215"/>
      <c r="H2681" s="1269"/>
      <c r="I2681" s="1291">
        <v>346750</v>
      </c>
    </row>
    <row r="2682" spans="1:9" ht="15" customHeight="1">
      <c r="A2682" s="1253">
        <v>44671</v>
      </c>
      <c r="B2682" s="1209">
        <v>2685</v>
      </c>
      <c r="C2682" s="1210">
        <v>43400</v>
      </c>
      <c r="D2682" s="1230">
        <v>42960</v>
      </c>
      <c r="E2682" s="1212">
        <f t="shared" ref="E2682" si="743">D2682-C2682</f>
        <v>-440</v>
      </c>
      <c r="F2682" s="1211">
        <f t="shared" ref="F2682" si="744">C2682-C2681</f>
        <v>-200</v>
      </c>
      <c r="G2682" s="1215"/>
      <c r="H2682" s="1269"/>
      <c r="I2682" s="1291">
        <f>I2683+2500</f>
        <v>346000</v>
      </c>
    </row>
    <row r="2683" spans="1:9" ht="15" customHeight="1">
      <c r="A2683" s="1253">
        <v>44672</v>
      </c>
      <c r="B2683" s="1209">
        <v>2700</v>
      </c>
      <c r="C2683" s="1210">
        <v>43275</v>
      </c>
      <c r="D2683" s="1230">
        <v>42950</v>
      </c>
      <c r="E2683" s="1212">
        <f t="shared" ref="E2683" si="745">D2683-C2683</f>
        <v>-325</v>
      </c>
      <c r="F2683" s="1211">
        <f t="shared" ref="F2683" si="746">C2683-C2682</f>
        <v>-125</v>
      </c>
      <c r="G2683" s="1215"/>
      <c r="H2683" s="1269"/>
      <c r="I2683" s="1291">
        <v>343500</v>
      </c>
    </row>
    <row r="2684" spans="1:9" ht="15" customHeight="1">
      <c r="A2684" s="1253">
        <v>44673</v>
      </c>
      <c r="B2684" s="1209">
        <v>2875</v>
      </c>
      <c r="C2684" s="1210">
        <v>42200</v>
      </c>
      <c r="D2684" s="1230">
        <v>41850</v>
      </c>
      <c r="E2684" s="1212">
        <f t="shared" ref="E2684" si="747">D2684-C2684</f>
        <v>-350</v>
      </c>
      <c r="F2684" s="1211">
        <f t="shared" ref="F2684" si="748">C2684-C2683</f>
        <v>-1075</v>
      </c>
      <c r="G2684" s="1215"/>
      <c r="H2684" s="1269"/>
      <c r="I2684" s="1291">
        <v>343500</v>
      </c>
    </row>
    <row r="2685" spans="1:9" ht="15" customHeight="1">
      <c r="A2685" s="1253">
        <v>44676</v>
      </c>
      <c r="B2685" s="1209">
        <v>2875</v>
      </c>
      <c r="C2685" s="1210">
        <v>40475</v>
      </c>
      <c r="D2685" s="1230">
        <v>40050</v>
      </c>
      <c r="E2685" s="1212">
        <f t="shared" ref="E2685" si="749">D2685-C2685</f>
        <v>-425</v>
      </c>
      <c r="F2685" s="1211">
        <f t="shared" ref="F2685" si="750">C2685-C2684</f>
        <v>-1725</v>
      </c>
      <c r="G2685" s="1215"/>
      <c r="H2685" s="1269"/>
      <c r="I2685" s="1291">
        <v>343500</v>
      </c>
    </row>
    <row r="2686" spans="1:9" ht="15" customHeight="1">
      <c r="A2686" s="1253">
        <v>44677</v>
      </c>
      <c r="B2686" s="1209">
        <v>2880</v>
      </c>
      <c r="C2686" s="1210">
        <v>41250</v>
      </c>
      <c r="D2686" s="1230">
        <v>41000</v>
      </c>
      <c r="E2686" s="1212">
        <f t="shared" ref="E2686" si="751">D2686-C2686</f>
        <v>-250</v>
      </c>
      <c r="F2686" s="1211">
        <f t="shared" ref="F2686" si="752">C2686-C2685</f>
        <v>775</v>
      </c>
      <c r="G2686" s="1215"/>
      <c r="H2686" s="1269"/>
      <c r="I2686" s="1291">
        <v>337250</v>
      </c>
    </row>
    <row r="2687" spans="1:9" ht="15" customHeight="1">
      <c r="A2687" s="1253">
        <v>44678</v>
      </c>
      <c r="B2687" s="1209">
        <v>3030</v>
      </c>
      <c r="C2687" s="1210">
        <v>40790</v>
      </c>
      <c r="D2687" s="1230">
        <v>40260</v>
      </c>
      <c r="E2687" s="1212">
        <f t="shared" ref="E2687" si="753">D2687-C2687</f>
        <v>-530</v>
      </c>
      <c r="F2687" s="1211">
        <f t="shared" ref="F2687" si="754">C2687-C2686</f>
        <v>-460</v>
      </c>
      <c r="G2687" s="1215"/>
      <c r="H2687" s="1269"/>
      <c r="I2687" s="1291">
        <v>337500</v>
      </c>
    </row>
    <row r="2688" spans="1:9" ht="15" customHeight="1">
      <c r="A2688" s="1253">
        <v>44679</v>
      </c>
      <c r="B2688" s="1209">
        <v>3030</v>
      </c>
      <c r="C2688" s="1210">
        <v>40600</v>
      </c>
      <c r="D2688" s="1230">
        <v>40150</v>
      </c>
      <c r="E2688" s="1212">
        <f t="shared" ref="E2688" si="755">D2688-C2688</f>
        <v>-450</v>
      </c>
      <c r="F2688" s="1211">
        <f t="shared" ref="F2688" si="756">C2688-C2687</f>
        <v>-190</v>
      </c>
      <c r="G2688" s="1215"/>
      <c r="H2688" s="1269"/>
      <c r="I2688" s="1291">
        <v>335750</v>
      </c>
    </row>
    <row r="2689" spans="1:10" ht="15" customHeight="1">
      <c r="A2689" s="1253">
        <v>44680</v>
      </c>
      <c r="B2689" s="1209">
        <v>3070</v>
      </c>
      <c r="C2689" s="1210">
        <v>40800</v>
      </c>
      <c r="D2689" s="1230">
        <v>40400</v>
      </c>
      <c r="E2689" s="1212">
        <f t="shared" ref="E2689" si="757">D2689-C2689</f>
        <v>-400</v>
      </c>
      <c r="F2689" s="1211">
        <f t="shared" ref="F2689" si="758">C2689-C2688</f>
        <v>200</v>
      </c>
      <c r="G2689" s="1227">
        <f>AVERAGE($C$2669:C2689)</f>
        <v>43121.57894736842</v>
      </c>
      <c r="H2689" s="1274">
        <f>AVERAGE($C$2606:C2689)</f>
        <v>43360.121951219509</v>
      </c>
      <c r="I2689" s="1291">
        <v>336000</v>
      </c>
    </row>
    <row r="2690" spans="1:10" ht="14.4">
      <c r="A2690" s="1253">
        <v>44683</v>
      </c>
      <c r="B2690" s="1434" t="s">
        <v>61</v>
      </c>
      <c r="C2690" s="1434"/>
      <c r="D2690" s="1434"/>
      <c r="E2690" s="1235"/>
      <c r="F2690" s="1235"/>
      <c r="G2690" s="1215"/>
      <c r="H2690" s="1269"/>
      <c r="I2690" s="1433"/>
    </row>
    <row r="2691" spans="1:10" ht="15" customHeight="1">
      <c r="A2691" s="1253">
        <v>44684</v>
      </c>
      <c r="B2691" s="1209">
        <v>3045</v>
      </c>
      <c r="C2691" s="1210">
        <v>41300</v>
      </c>
      <c r="D2691" s="1230">
        <v>40900</v>
      </c>
      <c r="E2691" s="1212">
        <f t="shared" ref="E2691" si="759">D2691-C2691</f>
        <v>-400</v>
      </c>
      <c r="F2691" s="1211">
        <f>C2691-C2689</f>
        <v>500</v>
      </c>
      <c r="G2691" s="1215"/>
      <c r="H2691" s="1269"/>
      <c r="I2691" s="1433"/>
    </row>
    <row r="2692" spans="1:10" ht="15" customHeight="1">
      <c r="A2692" s="1253">
        <v>44685</v>
      </c>
      <c r="B2692" s="1209">
        <v>3045</v>
      </c>
      <c r="C2692" s="1210">
        <v>40700</v>
      </c>
      <c r="D2692" s="1230">
        <v>40425</v>
      </c>
      <c r="E2692" s="1212">
        <f t="shared" ref="E2692" si="760">D2692-C2692</f>
        <v>-275</v>
      </c>
      <c r="F2692" s="1211">
        <f t="shared" ref="F2692" si="761">C2692-C2691</f>
        <v>-600</v>
      </c>
      <c r="G2692" s="1215"/>
      <c r="H2692" s="1269"/>
      <c r="I2692" s="1433"/>
    </row>
    <row r="2693" spans="1:10" ht="15" customHeight="1">
      <c r="A2693" s="1253">
        <v>44686</v>
      </c>
      <c r="B2693" s="1209">
        <v>3020</v>
      </c>
      <c r="C2693" s="1210">
        <v>40775</v>
      </c>
      <c r="D2693" s="1230">
        <v>40475</v>
      </c>
      <c r="E2693" s="1212">
        <f t="shared" ref="E2693" si="762">D2693-C2693</f>
        <v>-300</v>
      </c>
      <c r="F2693" s="1211">
        <f t="shared" ref="F2693" si="763">C2693-C2692</f>
        <v>75</v>
      </c>
      <c r="G2693" s="1215"/>
      <c r="H2693" s="1269"/>
      <c r="I2693" s="1291">
        <v>335250</v>
      </c>
    </row>
    <row r="2694" spans="1:10" ht="15" customHeight="1">
      <c r="A2694" s="1253">
        <v>44687</v>
      </c>
      <c r="B2694" s="1209">
        <v>3120</v>
      </c>
      <c r="C2694" s="1210">
        <v>40585</v>
      </c>
      <c r="D2694" s="1230">
        <v>40275</v>
      </c>
      <c r="E2694" s="1212">
        <f t="shared" ref="E2694" si="764">D2694-C2694</f>
        <v>-310</v>
      </c>
      <c r="F2694" s="1211">
        <f t="shared" ref="F2694" si="765">C2694-C2693</f>
        <v>-190</v>
      </c>
      <c r="G2694" s="1215"/>
      <c r="H2694" s="1269"/>
      <c r="I2694" s="1291">
        <v>335250</v>
      </c>
    </row>
    <row r="2695" spans="1:10" ht="15" customHeight="1">
      <c r="A2695" s="1253">
        <v>44690</v>
      </c>
      <c r="B2695" s="1209">
        <v>3120</v>
      </c>
      <c r="C2695" s="1210">
        <v>38000</v>
      </c>
      <c r="D2695" s="1230">
        <v>38000</v>
      </c>
      <c r="E2695" s="1212">
        <f t="shared" ref="E2695" si="766">D2695-C2695</f>
        <v>0</v>
      </c>
      <c r="F2695" s="1211">
        <f t="shared" ref="F2695" si="767">C2695-C2694</f>
        <v>-2585</v>
      </c>
      <c r="G2695" s="1215"/>
      <c r="H2695" s="1269"/>
      <c r="I2695" s="1291">
        <v>331250</v>
      </c>
    </row>
    <row r="2696" spans="1:10" ht="15" customHeight="1">
      <c r="A2696" s="1253">
        <v>44691</v>
      </c>
      <c r="B2696" s="1209">
        <v>3085</v>
      </c>
      <c r="C2696" s="1210">
        <v>36700</v>
      </c>
      <c r="D2696" s="1230">
        <v>36405</v>
      </c>
      <c r="E2696" s="1212">
        <f t="shared" ref="E2696" si="768">D2696-C2696</f>
        <v>-295</v>
      </c>
      <c r="F2696" s="1211">
        <f t="shared" ref="F2696" si="769">C2696-C2695</f>
        <v>-1300</v>
      </c>
      <c r="G2696" s="1215"/>
      <c r="H2696" s="1269"/>
      <c r="I2696" s="1291">
        <v>319000</v>
      </c>
    </row>
    <row r="2697" spans="1:10" ht="15" customHeight="1">
      <c r="A2697" s="1253">
        <v>44692</v>
      </c>
      <c r="B2697" s="1209">
        <v>3110</v>
      </c>
      <c r="C2697" s="1210">
        <v>35700</v>
      </c>
      <c r="D2697" s="1230">
        <v>35625</v>
      </c>
      <c r="E2697" s="1212">
        <f t="shared" ref="E2697" si="770">D2697-C2697</f>
        <v>-75</v>
      </c>
      <c r="F2697" s="1211">
        <f t="shared" ref="F2697" si="771">C2697-C2696</f>
        <v>-1000</v>
      </c>
      <c r="G2697" s="1215"/>
      <c r="H2697" s="1269"/>
      <c r="I2697" s="1291">
        <v>308500</v>
      </c>
    </row>
    <row r="2698" spans="1:10" ht="15" customHeight="1">
      <c r="A2698" s="1253">
        <v>44693</v>
      </c>
      <c r="B2698" s="1209">
        <v>3110</v>
      </c>
      <c r="C2698" s="1210">
        <v>33875</v>
      </c>
      <c r="D2698" s="1230">
        <v>33305</v>
      </c>
      <c r="E2698" s="1212">
        <f t="shared" ref="E2698" si="772">D2698-C2698</f>
        <v>-570</v>
      </c>
      <c r="F2698" s="1211">
        <f t="shared" ref="F2698" si="773">C2698-C2697</f>
        <v>-1825</v>
      </c>
      <c r="G2698" s="1215"/>
      <c r="H2698" s="1269"/>
      <c r="I2698" s="1291">
        <v>305500</v>
      </c>
    </row>
    <row r="2699" spans="1:10" ht="15" customHeight="1">
      <c r="A2699" s="1253">
        <v>44694</v>
      </c>
      <c r="B2699" s="1209">
        <v>3115</v>
      </c>
      <c r="C2699" s="1210">
        <v>34375</v>
      </c>
      <c r="D2699" s="1230">
        <v>33950</v>
      </c>
      <c r="E2699" s="1212">
        <f t="shared" ref="E2699" si="774">D2699-C2699</f>
        <v>-425</v>
      </c>
      <c r="F2699" s="1211">
        <f t="shared" ref="F2699" si="775">C2699-C2698</f>
        <v>500</v>
      </c>
      <c r="G2699" s="1215"/>
      <c r="H2699" s="1269"/>
      <c r="I2699" s="1291">
        <v>300500</v>
      </c>
    </row>
    <row r="2700" spans="1:10" ht="15" customHeight="1">
      <c r="A2700" s="1253">
        <v>44697</v>
      </c>
      <c r="B2700" s="1209">
        <v>3145</v>
      </c>
      <c r="C2700" s="1210">
        <v>35000</v>
      </c>
      <c r="D2700" s="1230">
        <v>34825</v>
      </c>
      <c r="E2700" s="1212">
        <f t="shared" ref="E2700:E2701" si="776">D2700-C2700</f>
        <v>-175</v>
      </c>
      <c r="F2700" s="1211">
        <f t="shared" ref="F2700:F2701" si="777">C2700-C2699</f>
        <v>625</v>
      </c>
      <c r="G2700" s="1215"/>
      <c r="H2700" s="1269"/>
      <c r="I2700" s="1291">
        <v>299500</v>
      </c>
      <c r="J2700" s="414"/>
    </row>
    <row r="2701" spans="1:10" ht="15" customHeight="1">
      <c r="A2701" s="1253">
        <v>44698</v>
      </c>
      <c r="B2701" s="1209">
        <v>3120</v>
      </c>
      <c r="C2701" s="1210">
        <v>34325</v>
      </c>
      <c r="D2701" s="1230">
        <v>34050</v>
      </c>
      <c r="E2701" s="1212">
        <f t="shared" si="776"/>
        <v>-275</v>
      </c>
      <c r="F2701" s="1211">
        <f t="shared" si="777"/>
        <v>-675</v>
      </c>
      <c r="G2701" s="1215"/>
      <c r="H2701" s="1269"/>
      <c r="I2701" s="1291">
        <v>296000</v>
      </c>
    </row>
    <row r="2702" spans="1:10" ht="15" customHeight="1">
      <c r="A2702" s="1253">
        <v>44699</v>
      </c>
      <c r="B2702" s="1209">
        <v>3120</v>
      </c>
      <c r="C2702" s="1210">
        <v>33925</v>
      </c>
      <c r="D2702" s="1230">
        <v>33625</v>
      </c>
      <c r="E2702" s="1212">
        <f t="shared" ref="E2702" si="778">D2702-C2702</f>
        <v>-300</v>
      </c>
      <c r="F2702" s="1211">
        <f t="shared" ref="F2702" si="779">C2702-C2701</f>
        <v>-400</v>
      </c>
      <c r="G2702" s="1215"/>
      <c r="H2702" s="1269"/>
      <c r="I2702" s="1291">
        <v>287500</v>
      </c>
    </row>
    <row r="2703" spans="1:10" ht="15" customHeight="1">
      <c r="A2703" s="1253">
        <v>44700</v>
      </c>
      <c r="B2703" s="1209">
        <v>3135</v>
      </c>
      <c r="C2703" s="1210">
        <v>33900</v>
      </c>
      <c r="D2703" s="1230">
        <v>33600</v>
      </c>
      <c r="E2703" s="1212">
        <f t="shared" ref="E2703:E2704" si="780">D2703-C2703</f>
        <v>-300</v>
      </c>
      <c r="F2703" s="1211">
        <f t="shared" ref="F2703:F2704" si="781">C2703-C2702</f>
        <v>-25</v>
      </c>
      <c r="G2703" s="1215"/>
      <c r="H2703" s="1269"/>
      <c r="I2703" s="1291">
        <v>288000</v>
      </c>
    </row>
    <row r="2704" spans="1:10" ht="15" customHeight="1">
      <c r="A2704" s="1253">
        <v>44701</v>
      </c>
      <c r="B2704" s="1209">
        <v>3285</v>
      </c>
      <c r="C2704" s="1210">
        <v>34705</v>
      </c>
      <c r="D2704" s="1230">
        <v>34325</v>
      </c>
      <c r="E2704" s="1212">
        <f t="shared" si="780"/>
        <v>-380</v>
      </c>
      <c r="F2704" s="1211">
        <f t="shared" si="781"/>
        <v>805</v>
      </c>
      <c r="G2704" s="1215"/>
      <c r="H2704" s="1269"/>
      <c r="I2704" s="1291">
        <v>288500</v>
      </c>
    </row>
    <row r="2705" spans="1:9" ht="15" customHeight="1">
      <c r="A2705" s="1253">
        <v>44704</v>
      </c>
      <c r="B2705" s="1209">
        <v>3240</v>
      </c>
      <c r="C2705" s="1210">
        <v>34800</v>
      </c>
      <c r="D2705" s="1230">
        <v>34500</v>
      </c>
      <c r="E2705" s="1212">
        <f t="shared" ref="E2705" si="782">D2705-C2705</f>
        <v>-300</v>
      </c>
      <c r="F2705" s="1211">
        <f t="shared" ref="F2705" si="783">C2705-C2704</f>
        <v>95</v>
      </c>
      <c r="G2705" s="1215"/>
      <c r="H2705" s="1269"/>
      <c r="I2705" s="1291">
        <v>286000</v>
      </c>
    </row>
    <row r="2706" spans="1:9" ht="15" customHeight="1">
      <c r="A2706" s="1253">
        <v>44705</v>
      </c>
      <c r="B2706" s="1209">
        <v>3190</v>
      </c>
      <c r="C2706" s="1210">
        <v>34200</v>
      </c>
      <c r="D2706" s="1230">
        <v>34000</v>
      </c>
      <c r="E2706" s="1212">
        <f t="shared" ref="E2706" si="784">D2706-C2706</f>
        <v>-200</v>
      </c>
      <c r="F2706" s="1211">
        <f t="shared" ref="F2706" si="785">C2706-C2705</f>
        <v>-600</v>
      </c>
      <c r="G2706" s="1215"/>
      <c r="H2706" s="1269"/>
      <c r="I2706" s="1291">
        <v>283000</v>
      </c>
    </row>
    <row r="2707" spans="1:9" ht="15" customHeight="1">
      <c r="A2707" s="1253">
        <v>44706</v>
      </c>
      <c r="B2707" s="1209">
        <v>3035</v>
      </c>
      <c r="C2707" s="1210">
        <v>34300</v>
      </c>
      <c r="D2707" s="1230">
        <v>33800</v>
      </c>
      <c r="E2707" s="1212">
        <f t="shared" ref="E2707" si="786">D2707-C2707</f>
        <v>-500</v>
      </c>
      <c r="F2707" s="1211">
        <f t="shared" ref="F2707" si="787">C2707-C2706</f>
        <v>100</v>
      </c>
      <c r="G2707" s="1215"/>
      <c r="H2707" s="1269"/>
      <c r="I2707" s="1291">
        <v>273500</v>
      </c>
    </row>
    <row r="2708" spans="1:9" ht="15" customHeight="1">
      <c r="A2708" s="1253">
        <v>44707</v>
      </c>
      <c r="B2708" s="1209">
        <v>2925</v>
      </c>
      <c r="C2708" s="1210">
        <v>33725</v>
      </c>
      <c r="D2708" s="1230">
        <v>33300</v>
      </c>
      <c r="E2708" s="1212">
        <f t="shared" ref="E2708" si="788">D2708-C2708</f>
        <v>-425</v>
      </c>
      <c r="F2708" s="1211">
        <f t="shared" ref="F2708" si="789">C2708-C2707</f>
        <v>-575</v>
      </c>
      <c r="G2708" s="1215"/>
      <c r="H2708" s="1269"/>
      <c r="I2708" s="1291">
        <v>259000</v>
      </c>
    </row>
    <row r="2709" spans="1:9" ht="15" customHeight="1">
      <c r="A2709" s="1253">
        <v>44708</v>
      </c>
      <c r="B2709" s="1209">
        <v>3150</v>
      </c>
      <c r="C2709" s="1210">
        <v>34050</v>
      </c>
      <c r="D2709" s="1230">
        <v>33600</v>
      </c>
      <c r="E2709" s="1212">
        <f t="shared" ref="E2709" si="790">D2709-C2709</f>
        <v>-450</v>
      </c>
      <c r="F2709" s="1211">
        <f t="shared" ref="F2709" si="791">C2709-C2708</f>
        <v>325</v>
      </c>
      <c r="G2709" s="1215"/>
      <c r="H2709" s="1269"/>
      <c r="I2709" s="1291">
        <v>261500</v>
      </c>
    </row>
    <row r="2710" spans="1:9" ht="15" customHeight="1">
      <c r="A2710" s="1253">
        <v>44711</v>
      </c>
      <c r="B2710" s="1209">
        <v>3125</v>
      </c>
      <c r="C2710" s="1210">
        <v>35000</v>
      </c>
      <c r="D2710" s="1230">
        <v>34700</v>
      </c>
      <c r="E2710" s="1212">
        <f t="shared" ref="E2710" si="792">D2710-C2710</f>
        <v>-300</v>
      </c>
      <c r="F2710" s="1211">
        <f t="shared" ref="F2710" si="793">C2710-C2709</f>
        <v>950</v>
      </c>
      <c r="G2710" s="1215"/>
      <c r="H2710" s="1269"/>
      <c r="I2710" s="1291">
        <v>273000</v>
      </c>
    </row>
    <row r="2711" spans="1:9" ht="15" customHeight="1">
      <c r="A2711" s="1253">
        <v>44712</v>
      </c>
      <c r="B2711" s="1209">
        <f>B2712+80</f>
        <v>3015</v>
      </c>
      <c r="C2711" s="1210">
        <v>34900</v>
      </c>
      <c r="D2711" s="1230">
        <v>34625</v>
      </c>
      <c r="E2711" s="1212">
        <f t="shared" ref="E2711:E2712" si="794">D2711-C2711</f>
        <v>-275</v>
      </c>
      <c r="F2711" s="1211">
        <f t="shared" ref="F2711:F2712" si="795">C2711-C2710</f>
        <v>-100</v>
      </c>
      <c r="G2711" s="1227">
        <f>AVERAGE($C$2690:C2711)</f>
        <v>35944.761904761908</v>
      </c>
      <c r="H2711" s="1274">
        <f>AVERAGE($C$2606:C2711)</f>
        <v>41848.252427184467</v>
      </c>
      <c r="I2711" s="1291">
        <v>273500</v>
      </c>
    </row>
    <row r="2712" spans="1:9" ht="14.4">
      <c r="A2712" s="1253">
        <v>44713</v>
      </c>
      <c r="B2712" s="1235">
        <v>2935</v>
      </c>
      <c r="C2712" s="1210">
        <v>35250</v>
      </c>
      <c r="D2712" s="1230">
        <v>35000</v>
      </c>
      <c r="E2712" s="1212">
        <f t="shared" si="794"/>
        <v>-250</v>
      </c>
      <c r="F2712" s="1211">
        <f t="shared" si="795"/>
        <v>350</v>
      </c>
      <c r="G2712" s="1215"/>
      <c r="H2712" s="1269"/>
      <c r="I2712" s="1291">
        <v>270500</v>
      </c>
    </row>
    <row r="2713" spans="1:9" ht="15" customHeight="1">
      <c r="A2713" s="1253">
        <v>44714</v>
      </c>
      <c r="B2713" s="1438" t="s">
        <v>61</v>
      </c>
      <c r="C2713" s="1438"/>
      <c r="D2713" s="1438"/>
      <c r="E2713" s="1438"/>
      <c r="F2713" s="1438"/>
      <c r="G2713" s="1235"/>
      <c r="H2713" s="1279"/>
      <c r="I2713" s="1291">
        <v>271000</v>
      </c>
    </row>
    <row r="2714" spans="1:9" ht="15" customHeight="1">
      <c r="A2714" s="1253">
        <v>44715</v>
      </c>
      <c r="B2714" s="1438"/>
      <c r="C2714" s="1438"/>
      <c r="D2714" s="1438"/>
      <c r="E2714" s="1438"/>
      <c r="F2714" s="1438"/>
      <c r="G2714" s="1215"/>
      <c r="H2714" s="1269"/>
      <c r="I2714" s="1291">
        <v>271000</v>
      </c>
    </row>
    <row r="2715" spans="1:9" ht="15" customHeight="1">
      <c r="A2715" s="1253">
        <v>44718</v>
      </c>
      <c r="B2715" s="1209">
        <v>2975</v>
      </c>
      <c r="C2715" s="1210">
        <v>35900</v>
      </c>
      <c r="D2715" s="1230">
        <v>35600</v>
      </c>
      <c r="E2715" s="1212">
        <f t="shared" ref="E2715:E2724" si="796">D2715-C2715</f>
        <v>-300</v>
      </c>
      <c r="F2715" s="1211">
        <f>C2715-C2712</f>
        <v>650</v>
      </c>
      <c r="G2715" s="1215"/>
      <c r="H2715" s="1269"/>
      <c r="I2715" s="1291">
        <v>262000</v>
      </c>
    </row>
    <row r="2716" spans="1:9" ht="15" customHeight="1">
      <c r="A2716" s="1253">
        <v>44719</v>
      </c>
      <c r="B2716" s="1209">
        <v>2975</v>
      </c>
      <c r="C2716" s="1210">
        <v>36200</v>
      </c>
      <c r="D2716" s="1230">
        <v>35605</v>
      </c>
      <c r="E2716" s="1212">
        <f t="shared" si="796"/>
        <v>-595</v>
      </c>
      <c r="F2716" s="1211">
        <f t="shared" ref="F2716:F2724" si="797">C2716-C2715</f>
        <v>300</v>
      </c>
      <c r="G2716" s="1215"/>
      <c r="H2716" s="1269"/>
      <c r="I2716" s="1291">
        <v>257750</v>
      </c>
    </row>
    <row r="2717" spans="1:9" ht="15" customHeight="1">
      <c r="A2717" s="1253">
        <v>44720</v>
      </c>
      <c r="B2717" s="1209">
        <v>3035</v>
      </c>
      <c r="C2717" s="1210">
        <v>37000</v>
      </c>
      <c r="D2717" s="1230">
        <v>36605</v>
      </c>
      <c r="E2717" s="1212">
        <f t="shared" si="796"/>
        <v>-395</v>
      </c>
      <c r="F2717" s="1211">
        <f t="shared" si="797"/>
        <v>800</v>
      </c>
      <c r="G2717" s="1215"/>
      <c r="H2717" s="1269"/>
      <c r="I2717" s="1291">
        <v>256500</v>
      </c>
    </row>
    <row r="2718" spans="1:9" ht="15" customHeight="1">
      <c r="A2718" s="1253">
        <v>44721</v>
      </c>
      <c r="B2718" s="1209">
        <v>3005</v>
      </c>
      <c r="C2718" s="1210">
        <v>37200</v>
      </c>
      <c r="D2718" s="1230">
        <v>36900</v>
      </c>
      <c r="E2718" s="1212">
        <f t="shared" si="796"/>
        <v>-300</v>
      </c>
      <c r="F2718" s="1211">
        <f t="shared" si="797"/>
        <v>200</v>
      </c>
      <c r="G2718" s="1215"/>
      <c r="H2718" s="1269"/>
      <c r="I2718" s="1291">
        <v>262500</v>
      </c>
    </row>
    <row r="2719" spans="1:9" ht="15" customHeight="1">
      <c r="A2719" s="1253">
        <v>44722</v>
      </c>
      <c r="B2719" s="1209">
        <v>3005</v>
      </c>
      <c r="C2719" s="1210">
        <v>36550</v>
      </c>
      <c r="D2719" s="1230">
        <v>36205.5</v>
      </c>
      <c r="E2719" s="1212">
        <f t="shared" si="796"/>
        <v>-344.5</v>
      </c>
      <c r="F2719" s="1211">
        <f t="shared" si="797"/>
        <v>-650</v>
      </c>
      <c r="G2719" s="1215"/>
      <c r="H2719" s="1269"/>
      <c r="I2719" s="1291">
        <v>260500</v>
      </c>
    </row>
    <row r="2720" spans="1:9" ht="15" customHeight="1">
      <c r="A2720" s="1253">
        <v>44725</v>
      </c>
      <c r="B2720" s="1209">
        <v>3005</v>
      </c>
      <c r="C2720" s="1210">
        <v>34500</v>
      </c>
      <c r="D2720" s="1230">
        <v>35180</v>
      </c>
      <c r="E2720" s="1212">
        <f t="shared" si="796"/>
        <v>680</v>
      </c>
      <c r="F2720" s="1211">
        <f t="shared" si="797"/>
        <v>-2050</v>
      </c>
      <c r="G2720" s="1215"/>
      <c r="H2720" s="1269"/>
      <c r="I2720" s="1291">
        <v>252750</v>
      </c>
    </row>
    <row r="2721" spans="1:9" ht="15" customHeight="1">
      <c r="A2721" s="1253">
        <v>44726</v>
      </c>
      <c r="B2721" s="1209">
        <v>3010</v>
      </c>
      <c r="C2721" s="1210">
        <v>31000</v>
      </c>
      <c r="D2721" s="1230">
        <v>31050</v>
      </c>
      <c r="E2721" s="1212">
        <f t="shared" si="796"/>
        <v>50</v>
      </c>
      <c r="F2721" s="1211">
        <f t="shared" si="797"/>
        <v>-3500</v>
      </c>
      <c r="G2721" s="1215"/>
      <c r="H2721" s="1269"/>
      <c r="I2721" s="1291">
        <v>244500</v>
      </c>
    </row>
    <row r="2722" spans="1:9" ht="15" customHeight="1">
      <c r="A2722" s="1253">
        <v>44727</v>
      </c>
      <c r="B2722" s="1209">
        <v>2970</v>
      </c>
      <c r="C2722" s="1210">
        <v>32850</v>
      </c>
      <c r="D2722" s="1230">
        <v>32250</v>
      </c>
      <c r="E2722" s="1212">
        <f t="shared" si="796"/>
        <v>-600</v>
      </c>
      <c r="F2722" s="1211">
        <f t="shared" si="797"/>
        <v>1850</v>
      </c>
      <c r="G2722" s="1215"/>
      <c r="H2722" s="1269"/>
      <c r="I2722" s="1291">
        <v>245500</v>
      </c>
    </row>
    <row r="2723" spans="1:9" ht="15" customHeight="1">
      <c r="A2723" s="1253">
        <v>44728</v>
      </c>
      <c r="B2723" s="1209">
        <v>3025</v>
      </c>
      <c r="C2723" s="1210">
        <v>32450</v>
      </c>
      <c r="D2723" s="1230">
        <v>32295</v>
      </c>
      <c r="E2723" s="1212">
        <f t="shared" si="796"/>
        <v>-155</v>
      </c>
      <c r="F2723" s="1211">
        <f t="shared" si="797"/>
        <v>-400</v>
      </c>
      <c r="G2723" s="1215"/>
      <c r="H2723" s="1269"/>
      <c r="I2723" s="1291">
        <v>258250</v>
      </c>
    </row>
    <row r="2724" spans="1:9" ht="15" customHeight="1">
      <c r="A2724" s="1253">
        <v>44729</v>
      </c>
      <c r="B2724" s="1209">
        <v>3260</v>
      </c>
      <c r="C2724" s="1210">
        <v>32600</v>
      </c>
      <c r="D2724" s="1230">
        <v>32300</v>
      </c>
      <c r="E2724" s="1212">
        <f t="shared" si="796"/>
        <v>-300</v>
      </c>
      <c r="F2724" s="1211">
        <f t="shared" si="797"/>
        <v>150</v>
      </c>
      <c r="G2724" s="1215"/>
      <c r="H2724" s="1269"/>
      <c r="I2724" s="1291">
        <v>249500</v>
      </c>
    </row>
    <row r="2725" spans="1:9" ht="15" customHeight="1">
      <c r="A2725" s="1253">
        <v>44732</v>
      </c>
      <c r="B2725" s="1209">
        <v>3330</v>
      </c>
      <c r="C2725" s="1210">
        <v>31025</v>
      </c>
      <c r="D2725" s="1230">
        <v>30900</v>
      </c>
      <c r="E2725" s="1212">
        <f t="shared" ref="E2725:E2737" si="798">D2725-C2725</f>
        <v>-125</v>
      </c>
      <c r="F2725" s="1211">
        <f t="shared" ref="F2725:F2737" si="799">C2725-C2724</f>
        <v>-1575</v>
      </c>
      <c r="G2725" s="1215"/>
      <c r="H2725" s="1269"/>
      <c r="I2725" s="1291">
        <v>243500</v>
      </c>
    </row>
    <row r="2726" spans="1:9" ht="15" customHeight="1">
      <c r="A2726" s="1253">
        <v>44733</v>
      </c>
      <c r="B2726" s="1209">
        <v>3345</v>
      </c>
      <c r="C2726" s="1210">
        <v>31560</v>
      </c>
      <c r="D2726" s="1230">
        <v>31250</v>
      </c>
      <c r="E2726" s="1212">
        <f t="shared" si="798"/>
        <v>-310</v>
      </c>
      <c r="F2726" s="1211">
        <f t="shared" si="799"/>
        <v>535</v>
      </c>
      <c r="G2726" s="1215"/>
      <c r="H2726" s="1269"/>
      <c r="I2726" s="1291">
        <v>244750</v>
      </c>
    </row>
    <row r="2727" spans="1:9" ht="15" customHeight="1">
      <c r="A2727" s="1253">
        <v>44734</v>
      </c>
      <c r="B2727" s="1209">
        <v>3335</v>
      </c>
      <c r="C2727" s="1210">
        <v>29525</v>
      </c>
      <c r="D2727" s="1230">
        <v>29375</v>
      </c>
      <c r="E2727" s="1212">
        <f t="shared" si="798"/>
        <v>-150</v>
      </c>
      <c r="F2727" s="1211">
        <f t="shared" si="799"/>
        <v>-2035</v>
      </c>
      <c r="G2727" s="1215"/>
      <c r="H2727" s="1269"/>
      <c r="I2727" s="1291">
        <v>235500</v>
      </c>
    </row>
    <row r="2728" spans="1:9" ht="15" customHeight="1">
      <c r="A2728" s="1253">
        <v>44735</v>
      </c>
      <c r="B2728" s="1209">
        <v>3255</v>
      </c>
      <c r="C2728" s="1210">
        <v>26850</v>
      </c>
      <c r="D2728" s="1230">
        <v>26750</v>
      </c>
      <c r="E2728" s="1212">
        <f t="shared" si="798"/>
        <v>-100</v>
      </c>
      <c r="F2728" s="1211">
        <f t="shared" si="799"/>
        <v>-2675</v>
      </c>
      <c r="G2728" s="1215"/>
      <c r="H2728" s="1269"/>
      <c r="I2728" s="1291">
        <v>228500</v>
      </c>
    </row>
    <row r="2729" spans="1:9" ht="15" customHeight="1">
      <c r="A2729" s="1253">
        <v>44736</v>
      </c>
      <c r="B2729" s="1209">
        <v>3435</v>
      </c>
      <c r="C2729" s="1210">
        <v>25050</v>
      </c>
      <c r="D2729" s="1230">
        <v>24325</v>
      </c>
      <c r="E2729" s="1212">
        <f t="shared" si="798"/>
        <v>-725</v>
      </c>
      <c r="F2729" s="1211">
        <f t="shared" si="799"/>
        <v>-1800</v>
      </c>
      <c r="G2729" s="1215"/>
      <c r="H2729" s="1269"/>
      <c r="I2729" s="1291">
        <v>219000</v>
      </c>
    </row>
    <row r="2730" spans="1:9" ht="15" customHeight="1">
      <c r="A2730" s="1253">
        <v>44739</v>
      </c>
      <c r="B2730" s="1209">
        <v>3435</v>
      </c>
      <c r="C2730" s="1210">
        <v>27500</v>
      </c>
      <c r="D2730" s="1230">
        <v>27000</v>
      </c>
      <c r="E2730" s="1212">
        <f t="shared" si="798"/>
        <v>-500</v>
      </c>
      <c r="F2730" s="1211">
        <f t="shared" si="799"/>
        <v>2450</v>
      </c>
      <c r="G2730" s="1215"/>
      <c r="H2730" s="1269"/>
      <c r="I2730" s="1291">
        <v>216500</v>
      </c>
    </row>
    <row r="2731" spans="1:9" ht="15" customHeight="1">
      <c r="A2731" s="1253">
        <v>44740</v>
      </c>
      <c r="B2731" s="1209">
        <v>3510</v>
      </c>
      <c r="C2731" s="1210">
        <v>28150</v>
      </c>
      <c r="D2731" s="1230">
        <v>27700</v>
      </c>
      <c r="E2731" s="1212">
        <f t="shared" si="798"/>
        <v>-450</v>
      </c>
      <c r="F2731" s="1211">
        <f t="shared" si="799"/>
        <v>650</v>
      </c>
      <c r="G2731" s="1215"/>
      <c r="H2731" s="1269"/>
      <c r="I2731" s="1291">
        <v>218750</v>
      </c>
    </row>
    <row r="2732" spans="1:9" ht="15" customHeight="1">
      <c r="A2732" s="1253">
        <v>44741</v>
      </c>
      <c r="B2732" s="1209">
        <v>3530</v>
      </c>
      <c r="C2732" s="1210">
        <v>27325</v>
      </c>
      <c r="D2732" s="1230">
        <v>27025</v>
      </c>
      <c r="E2732" s="1212">
        <f t="shared" si="798"/>
        <v>-300</v>
      </c>
      <c r="F2732" s="1211">
        <f t="shared" si="799"/>
        <v>-825</v>
      </c>
      <c r="G2732" s="1215"/>
      <c r="H2732" s="1269"/>
      <c r="I2732" s="1291">
        <v>212000</v>
      </c>
    </row>
    <row r="2733" spans="1:9" ht="15" customHeight="1">
      <c r="A2733" s="1253">
        <v>44742</v>
      </c>
      <c r="B2733" s="1209">
        <v>3500</v>
      </c>
      <c r="C2733" s="1210">
        <v>27050</v>
      </c>
      <c r="D2733" s="1230">
        <v>26700</v>
      </c>
      <c r="E2733" s="1212">
        <f t="shared" si="798"/>
        <v>-350</v>
      </c>
      <c r="F2733" s="1211">
        <f t="shared" si="799"/>
        <v>-275</v>
      </c>
      <c r="G2733" s="1227">
        <f>AVERAGE($C$2712:C2733)</f>
        <v>31776.75</v>
      </c>
      <c r="H2733" s="1274">
        <f>AVERAGE($C$2606:C2733)</f>
        <v>40210.609756097561</v>
      </c>
      <c r="I2733" s="1291">
        <v>210000</v>
      </c>
    </row>
    <row r="2734" spans="1:9" ht="15" customHeight="1">
      <c r="A2734" s="1253">
        <v>44743</v>
      </c>
      <c r="B2734" s="1209">
        <v>3560</v>
      </c>
      <c r="C2734" s="1210">
        <v>27000</v>
      </c>
      <c r="D2734" s="1230">
        <v>26600</v>
      </c>
      <c r="E2734" s="1212">
        <f t="shared" si="798"/>
        <v>-400</v>
      </c>
      <c r="F2734" s="1211">
        <f t="shared" si="799"/>
        <v>-50</v>
      </c>
      <c r="G2734" s="1215"/>
      <c r="H2734" s="1269"/>
      <c r="I2734" s="1291">
        <v>202250</v>
      </c>
    </row>
    <row r="2735" spans="1:9" ht="15" customHeight="1">
      <c r="A2735" s="1253">
        <v>44746</v>
      </c>
      <c r="B2735" s="1209">
        <v>3585</v>
      </c>
      <c r="C2735" s="1210">
        <v>27195</v>
      </c>
      <c r="D2735" s="1230">
        <v>26705</v>
      </c>
      <c r="E2735" s="1212">
        <f t="shared" si="798"/>
        <v>-490</v>
      </c>
      <c r="F2735" s="1211">
        <f t="shared" si="799"/>
        <v>195</v>
      </c>
      <c r="G2735" s="1215"/>
      <c r="H2735" s="1269"/>
      <c r="I2735" s="1291">
        <v>198500</v>
      </c>
    </row>
    <row r="2736" spans="1:9" ht="15" customHeight="1">
      <c r="A2736" s="1253">
        <v>44747</v>
      </c>
      <c r="B2736" s="1209">
        <v>3560</v>
      </c>
      <c r="C2736" s="1210">
        <v>25700</v>
      </c>
      <c r="D2736" s="1230">
        <v>25250</v>
      </c>
      <c r="E2736" s="1212">
        <f t="shared" si="798"/>
        <v>-450</v>
      </c>
      <c r="F2736" s="1211">
        <f t="shared" si="799"/>
        <v>-1495</v>
      </c>
      <c r="G2736" s="1215"/>
      <c r="H2736" s="1269"/>
      <c r="I2736" s="1291">
        <v>203750</v>
      </c>
    </row>
    <row r="2737" spans="1:10" ht="15" customHeight="1">
      <c r="A2737" s="1253">
        <v>44748</v>
      </c>
      <c r="B2737" s="1209">
        <v>3535</v>
      </c>
      <c r="C2737" s="1210">
        <v>25300</v>
      </c>
      <c r="D2737" s="1230">
        <v>25100</v>
      </c>
      <c r="E2737" s="1212">
        <f t="shared" si="798"/>
        <v>-200</v>
      </c>
      <c r="F2737" s="1211">
        <f t="shared" si="799"/>
        <v>-400</v>
      </c>
      <c r="G2737" s="1215"/>
      <c r="H2737" s="1269"/>
      <c r="I2737" s="1291">
        <v>191500</v>
      </c>
    </row>
    <row r="2738" spans="1:10" ht="15" customHeight="1">
      <c r="A2738" s="1253">
        <v>44749</v>
      </c>
      <c r="B2738" s="1209">
        <v>3605</v>
      </c>
      <c r="C2738" s="1210">
        <v>25625</v>
      </c>
      <c r="D2738" s="1230">
        <v>25010</v>
      </c>
      <c r="E2738" s="1212">
        <f t="shared" ref="E2738:E2739" si="800">D2738-C2738</f>
        <v>-615</v>
      </c>
      <c r="F2738" s="1211">
        <f t="shared" ref="F2738:F2739" si="801">C2738-C2737</f>
        <v>325</v>
      </c>
      <c r="G2738" s="1215"/>
      <c r="H2738" s="1269"/>
      <c r="I2738" s="1291">
        <v>187500</v>
      </c>
    </row>
    <row r="2739" spans="1:10" ht="15" customHeight="1">
      <c r="A2739" s="1253">
        <v>44750</v>
      </c>
      <c r="B2739" s="1209">
        <v>3595</v>
      </c>
      <c r="C2739" s="1210">
        <v>25800</v>
      </c>
      <c r="D2739" s="1230">
        <v>25155</v>
      </c>
      <c r="E2739" s="1212">
        <f t="shared" si="800"/>
        <v>-645</v>
      </c>
      <c r="F2739" s="1211">
        <f t="shared" si="801"/>
        <v>175</v>
      </c>
      <c r="G2739" s="1215"/>
      <c r="H2739" s="1269"/>
      <c r="I2739" s="1291">
        <v>192250</v>
      </c>
    </row>
    <row r="2740" spans="1:10" ht="15" customHeight="1">
      <c r="A2740" s="1253">
        <v>44753</v>
      </c>
      <c r="B2740" s="1209">
        <v>3555</v>
      </c>
      <c r="C2740" s="1210">
        <v>25800</v>
      </c>
      <c r="D2740" s="1230">
        <v>25600</v>
      </c>
      <c r="E2740" s="1212">
        <f t="shared" ref="E2740" si="802">D2740-C2740</f>
        <v>-200</v>
      </c>
      <c r="F2740" s="1211">
        <f t="shared" ref="F2740" si="803">C2740-C2739</f>
        <v>0</v>
      </c>
      <c r="G2740" s="1215"/>
      <c r="H2740" s="1269"/>
      <c r="I2740" s="1291">
        <v>193000</v>
      </c>
    </row>
    <row r="2741" spans="1:10" ht="15" customHeight="1">
      <c r="A2741" s="1253">
        <v>44754</v>
      </c>
      <c r="B2741" s="1209">
        <v>3530</v>
      </c>
      <c r="C2741" s="1210">
        <v>25700</v>
      </c>
      <c r="D2741" s="1230">
        <v>25550</v>
      </c>
      <c r="E2741" s="1212">
        <f t="shared" ref="E2741" si="804">D2741-C2741</f>
        <v>-150</v>
      </c>
      <c r="F2741" s="1211">
        <f t="shared" ref="F2741" si="805">C2741-C2740</f>
        <v>-100</v>
      </c>
      <c r="G2741" s="1215"/>
      <c r="H2741" s="1269"/>
      <c r="I2741" s="1291">
        <v>201000</v>
      </c>
    </row>
    <row r="2742" spans="1:10" ht="15" customHeight="1">
      <c r="A2742" s="1253">
        <v>44755</v>
      </c>
      <c r="B2742" s="1209">
        <v>3605</v>
      </c>
      <c r="C2742" s="1210">
        <v>24900</v>
      </c>
      <c r="D2742" s="1230">
        <v>24425</v>
      </c>
      <c r="E2742" s="1212">
        <f t="shared" ref="E2742:E2743" si="806">D2742-C2742</f>
        <v>-475</v>
      </c>
      <c r="F2742" s="1211">
        <f t="shared" ref="F2742:F2743" si="807">C2742-C2741</f>
        <v>-800</v>
      </c>
      <c r="G2742" s="1215"/>
      <c r="H2742" s="1269"/>
      <c r="I2742" s="1291">
        <v>198500</v>
      </c>
      <c r="J2742" s="414"/>
    </row>
    <row r="2743" spans="1:10" ht="15" customHeight="1">
      <c r="A2743" s="1253">
        <v>44756</v>
      </c>
      <c r="B2743" s="1209">
        <v>3525</v>
      </c>
      <c r="C2743" s="1210">
        <v>25600</v>
      </c>
      <c r="D2743" s="1230">
        <v>24925</v>
      </c>
      <c r="E2743" s="1212">
        <f t="shared" si="806"/>
        <v>-675</v>
      </c>
      <c r="F2743" s="1211">
        <f t="shared" si="807"/>
        <v>700</v>
      </c>
      <c r="G2743" s="1215"/>
      <c r="H2743" s="1269"/>
      <c r="I2743" s="1291">
        <v>196000</v>
      </c>
    </row>
    <row r="2744" spans="1:10" ht="15" customHeight="1">
      <c r="A2744" s="1253">
        <v>44757</v>
      </c>
      <c r="B2744" s="1209">
        <v>3550</v>
      </c>
      <c r="C2744" s="1210">
        <v>23600</v>
      </c>
      <c r="D2744" s="1230">
        <v>24245</v>
      </c>
      <c r="E2744" s="1212">
        <f t="shared" ref="E2744" si="808">D2744-C2744</f>
        <v>645</v>
      </c>
      <c r="F2744" s="1211">
        <f t="shared" ref="F2744" si="809">C2744-C2743</f>
        <v>-2000</v>
      </c>
      <c r="G2744" s="1215"/>
      <c r="H2744" s="1269"/>
      <c r="I2744" s="1291">
        <v>190500</v>
      </c>
    </row>
    <row r="2745" spans="1:10" ht="15" customHeight="1">
      <c r="A2745" s="1253">
        <v>44760</v>
      </c>
      <c r="B2745" s="1209">
        <v>3525</v>
      </c>
      <c r="C2745" s="1210">
        <v>24010</v>
      </c>
      <c r="D2745" s="1230">
        <v>24250</v>
      </c>
      <c r="E2745" s="1212">
        <f t="shared" ref="E2745" si="810">D2745-C2745</f>
        <v>240</v>
      </c>
      <c r="F2745" s="1211">
        <f t="shared" ref="F2745" si="811">C2745-C2744</f>
        <v>410</v>
      </c>
      <c r="G2745" s="1215"/>
      <c r="H2745" s="1269"/>
      <c r="I2745" s="1291">
        <v>196500</v>
      </c>
    </row>
    <row r="2746" spans="1:10" ht="15" customHeight="1">
      <c r="A2746" s="1253">
        <v>44761</v>
      </c>
      <c r="B2746" s="1209">
        <v>3440</v>
      </c>
      <c r="C2746" s="1210">
        <v>24900</v>
      </c>
      <c r="D2746" s="1230">
        <v>24600</v>
      </c>
      <c r="E2746" s="1212">
        <f t="shared" ref="E2746" si="812">D2746-C2746</f>
        <v>-300</v>
      </c>
      <c r="F2746" s="1211">
        <f t="shared" ref="F2746" si="813">C2746-C2745</f>
        <v>890</v>
      </c>
      <c r="G2746" s="1215"/>
      <c r="H2746" s="1269"/>
      <c r="I2746" s="1291">
        <v>194000</v>
      </c>
    </row>
    <row r="2747" spans="1:10" ht="15" customHeight="1">
      <c r="A2747" s="1253">
        <v>44762</v>
      </c>
      <c r="B2747" s="1209">
        <v>3440</v>
      </c>
      <c r="C2747" s="1210">
        <v>25000</v>
      </c>
      <c r="D2747" s="1230">
        <v>24550</v>
      </c>
      <c r="E2747" s="1212">
        <f t="shared" ref="E2747" si="814">D2747-C2747</f>
        <v>-450</v>
      </c>
      <c r="F2747" s="1211">
        <f t="shared" ref="F2747" si="815">C2747-C2746</f>
        <v>100</v>
      </c>
      <c r="G2747" s="1215"/>
      <c r="H2747" s="1269"/>
      <c r="I2747" s="1291">
        <v>190000</v>
      </c>
    </row>
    <row r="2748" spans="1:10" ht="15" customHeight="1">
      <c r="A2748" s="1253">
        <v>44763</v>
      </c>
      <c r="B2748" s="1209">
        <v>3440</v>
      </c>
      <c r="C2748" s="1210">
        <v>24475</v>
      </c>
      <c r="D2748" s="1230">
        <v>24100</v>
      </c>
      <c r="E2748" s="1212">
        <f t="shared" ref="E2748:E2749" si="816">D2748-C2748</f>
        <v>-375</v>
      </c>
      <c r="F2748" s="1211">
        <f t="shared" ref="F2748:F2749" si="817">C2748-C2747</f>
        <v>-525</v>
      </c>
      <c r="G2748" s="1215"/>
      <c r="H2748" s="1269"/>
      <c r="I2748" s="1291">
        <v>195500</v>
      </c>
    </row>
    <row r="2749" spans="1:10" ht="15" customHeight="1">
      <c r="A2749" s="1253">
        <v>44764</v>
      </c>
      <c r="B2749" s="1209">
        <v>3490</v>
      </c>
      <c r="C2749" s="1210">
        <v>24700</v>
      </c>
      <c r="D2749" s="1230">
        <v>24150</v>
      </c>
      <c r="E2749" s="1212">
        <f t="shared" si="816"/>
        <v>-550</v>
      </c>
      <c r="F2749" s="1211">
        <f t="shared" si="817"/>
        <v>225</v>
      </c>
      <c r="G2749" s="1215"/>
      <c r="H2749" s="1269"/>
      <c r="I2749" s="1291">
        <v>193250</v>
      </c>
    </row>
    <row r="2750" spans="1:10" ht="15" customHeight="1">
      <c r="A2750" s="1253">
        <v>44767</v>
      </c>
      <c r="B2750" s="1209">
        <v>3490</v>
      </c>
      <c r="C2750" s="1210">
        <v>25200</v>
      </c>
      <c r="D2750" s="1230">
        <v>24700</v>
      </c>
      <c r="E2750" s="1212">
        <f t="shared" ref="E2750:E2751" si="818">D2750-C2750</f>
        <v>-500</v>
      </c>
      <c r="F2750" s="1211">
        <f t="shared" ref="F2750:F2751" si="819">C2750-C2749</f>
        <v>500</v>
      </c>
      <c r="G2750" s="1215"/>
      <c r="H2750" s="1269"/>
      <c r="I2750" s="1291">
        <v>194500</v>
      </c>
    </row>
    <row r="2751" spans="1:10" ht="15" customHeight="1">
      <c r="A2751" s="1253">
        <v>44768</v>
      </c>
      <c r="B2751" s="1209">
        <v>3670</v>
      </c>
      <c r="C2751" s="1210">
        <v>25300</v>
      </c>
      <c r="D2751" s="1230">
        <v>24925</v>
      </c>
      <c r="E2751" s="1212">
        <f t="shared" si="818"/>
        <v>-375</v>
      </c>
      <c r="F2751" s="1211">
        <f t="shared" si="819"/>
        <v>100</v>
      </c>
      <c r="G2751" s="1215"/>
      <c r="H2751" s="1269"/>
      <c r="I2751" s="1291">
        <v>196000</v>
      </c>
    </row>
    <row r="2752" spans="1:10" ht="15" customHeight="1">
      <c r="A2752" s="1253">
        <v>44769</v>
      </c>
      <c r="B2752" s="1209">
        <v>3720</v>
      </c>
      <c r="C2752" s="1210">
        <v>24150</v>
      </c>
      <c r="D2752" s="1230">
        <v>24050</v>
      </c>
      <c r="E2752" s="1212">
        <f t="shared" ref="E2752" si="820">D2752-C2752</f>
        <v>-100</v>
      </c>
      <c r="F2752" s="1211">
        <f t="shared" ref="F2752" si="821">C2752-C2751</f>
        <v>-1150</v>
      </c>
      <c r="G2752" s="1215"/>
      <c r="H2752" s="1269"/>
      <c r="I2752" s="1291">
        <v>192000</v>
      </c>
    </row>
    <row r="2753" spans="1:9" ht="15" customHeight="1">
      <c r="A2753" s="1253">
        <v>44770</v>
      </c>
      <c r="B2753" s="1209">
        <v>3825</v>
      </c>
      <c r="C2753" s="1210">
        <v>24275</v>
      </c>
      <c r="D2753" s="1230">
        <v>23850</v>
      </c>
      <c r="E2753" s="1212">
        <f t="shared" ref="E2753" si="822">D2753-C2753</f>
        <v>-425</v>
      </c>
      <c r="F2753" s="1211">
        <f t="shared" ref="F2753" si="823">C2753-C2752</f>
        <v>125</v>
      </c>
      <c r="G2753" s="1215"/>
      <c r="H2753" s="1269"/>
      <c r="I2753" s="1291">
        <v>197000</v>
      </c>
    </row>
    <row r="2754" spans="1:9" ht="15" customHeight="1">
      <c r="A2754" s="1253">
        <v>44771</v>
      </c>
      <c r="B2754" s="1209">
        <v>3795</v>
      </c>
      <c r="C2754" s="1210">
        <v>24405</v>
      </c>
      <c r="D2754" s="1230">
        <v>24300</v>
      </c>
      <c r="E2754" s="1212">
        <f t="shared" ref="E2754" si="824">D2754-C2754</f>
        <v>-105</v>
      </c>
      <c r="F2754" s="1211">
        <f t="shared" ref="F2754" si="825">C2754-C2753</f>
        <v>130</v>
      </c>
      <c r="G2754" s="1227">
        <f>AVERAGE($C$2734:C2754)</f>
        <v>25173.095238095237</v>
      </c>
      <c r="H2754" s="1274">
        <f>AVERAGE($C$2606:C2754)</f>
        <v>38017.638888888891</v>
      </c>
      <c r="I2754" s="1291">
        <v>194500</v>
      </c>
    </row>
    <row r="2755" spans="1:9" ht="15" customHeight="1">
      <c r="A2755" s="1253">
        <v>44774</v>
      </c>
      <c r="B2755" s="1209">
        <v>3855</v>
      </c>
      <c r="C2755" s="1210">
        <v>25795</v>
      </c>
      <c r="D2755" s="1230">
        <v>25600</v>
      </c>
      <c r="E2755" s="1212">
        <f t="shared" ref="E2755" si="826">D2755-C2755</f>
        <v>-195</v>
      </c>
      <c r="F2755" s="1211">
        <f t="shared" ref="F2755" si="827">C2755-C2754</f>
        <v>1390</v>
      </c>
      <c r="G2755" s="1215"/>
      <c r="H2755" s="1269"/>
      <c r="I2755" s="1291">
        <v>201000</v>
      </c>
    </row>
    <row r="2756" spans="1:9" ht="15" customHeight="1">
      <c r="A2756" s="1253">
        <v>44775</v>
      </c>
      <c r="B2756" s="1209">
        <v>3985</v>
      </c>
      <c r="C2756" s="1210">
        <v>24700</v>
      </c>
      <c r="D2756" s="1230">
        <v>24550</v>
      </c>
      <c r="E2756" s="1212">
        <f t="shared" ref="E2756" si="828">D2756-C2756</f>
        <v>-150</v>
      </c>
      <c r="F2756" s="1211">
        <f t="shared" ref="F2756" si="829">C2756-C2755</f>
        <v>-1095</v>
      </c>
      <c r="G2756" s="1215"/>
      <c r="H2756" s="1269"/>
      <c r="I2756" s="1291">
        <v>196000</v>
      </c>
    </row>
    <row r="2757" spans="1:9" ht="15" customHeight="1">
      <c r="A2757" s="1253">
        <v>44776</v>
      </c>
      <c r="B2757" s="1209">
        <v>3965</v>
      </c>
      <c r="C2757" s="1210">
        <v>24350</v>
      </c>
      <c r="D2757" s="1230">
        <v>24000</v>
      </c>
      <c r="E2757" s="1212">
        <f t="shared" ref="E2757" si="830">D2757-C2757</f>
        <v>-350</v>
      </c>
      <c r="F2757" s="1211">
        <f t="shared" ref="F2757" si="831">C2757-C2756</f>
        <v>-350</v>
      </c>
      <c r="G2757" s="1215"/>
      <c r="H2757" s="1269"/>
      <c r="I2757" s="1291">
        <v>194250</v>
      </c>
    </row>
    <row r="2758" spans="1:9" ht="15" customHeight="1">
      <c r="A2758" s="1253">
        <v>44777</v>
      </c>
      <c r="B2758" s="1209">
        <v>4015</v>
      </c>
      <c r="C2758" s="1210">
        <v>24600</v>
      </c>
      <c r="D2758" s="1230">
        <v>24400</v>
      </c>
      <c r="E2758" s="1212">
        <f t="shared" ref="E2758" si="832">D2758-C2758</f>
        <v>-200</v>
      </c>
      <c r="F2758" s="1211">
        <f t="shared" ref="F2758" si="833">C2758-C2757</f>
        <v>250</v>
      </c>
      <c r="G2758" s="1215"/>
      <c r="H2758" s="1269"/>
      <c r="I2758" s="1291">
        <v>195000</v>
      </c>
    </row>
    <row r="2759" spans="1:9" ht="15" customHeight="1">
      <c r="A2759" s="1253">
        <v>44778</v>
      </c>
      <c r="B2759" s="1209">
        <v>4015</v>
      </c>
      <c r="C2759" s="1210">
        <v>24755</v>
      </c>
      <c r="D2759" s="1230">
        <v>24725</v>
      </c>
      <c r="E2759" s="1212">
        <f t="shared" ref="E2759" si="834">D2759-C2759</f>
        <v>-30</v>
      </c>
      <c r="F2759" s="1211">
        <f t="shared" ref="F2759" si="835">C2759-C2758</f>
        <v>155</v>
      </c>
      <c r="G2759" s="1215"/>
      <c r="H2759" s="1269"/>
      <c r="I2759" s="1291">
        <v>198500</v>
      </c>
    </row>
    <row r="2760" spans="1:9" ht="15" customHeight="1">
      <c r="A2760" s="1253">
        <v>44781</v>
      </c>
      <c r="B2760" s="1209">
        <v>4005</v>
      </c>
      <c r="C2760" s="1210">
        <v>23100</v>
      </c>
      <c r="D2760" s="1230">
        <v>23050</v>
      </c>
      <c r="E2760" s="1212">
        <f t="shared" ref="E2760" si="836">D2760-C2760</f>
        <v>-50</v>
      </c>
      <c r="F2760" s="1211">
        <f t="shared" ref="F2760:F2761" si="837">C2760-C2759</f>
        <v>-1655</v>
      </c>
      <c r="G2760" s="1215"/>
      <c r="H2760" s="1269"/>
      <c r="I2760" s="1291">
        <v>196500</v>
      </c>
    </row>
    <row r="2761" spans="1:9" ht="15" customHeight="1">
      <c r="A2761" s="1253">
        <v>44782</v>
      </c>
      <c r="B2761" s="1209">
        <v>3990</v>
      </c>
      <c r="C2761" s="1210">
        <v>24495</v>
      </c>
      <c r="D2761" s="1230">
        <v>24200</v>
      </c>
      <c r="E2761" s="1212">
        <f t="shared" ref="E2761" si="838">D2761-C2761</f>
        <v>-295</v>
      </c>
      <c r="F2761" s="1211">
        <f t="shared" si="837"/>
        <v>1395</v>
      </c>
      <c r="G2761" s="1215"/>
      <c r="H2761" s="1269"/>
      <c r="I2761" s="1291">
        <v>194500</v>
      </c>
    </row>
    <row r="2762" spans="1:9" ht="15" customHeight="1">
      <c r="A2762" s="1253">
        <v>44783</v>
      </c>
      <c r="B2762" s="1209">
        <v>3990</v>
      </c>
      <c r="C2762" s="1210">
        <v>23850</v>
      </c>
      <c r="D2762" s="1230">
        <v>23710</v>
      </c>
      <c r="E2762" s="1212">
        <f t="shared" ref="E2762" si="839">D2762-C2762</f>
        <v>-140</v>
      </c>
      <c r="F2762" s="1211">
        <f t="shared" ref="F2762" si="840">C2762-C2761</f>
        <v>-645</v>
      </c>
      <c r="G2762" s="1215"/>
      <c r="H2762" s="1269"/>
      <c r="I2762" s="1291">
        <v>199000</v>
      </c>
    </row>
    <row r="2763" spans="1:9" ht="15" customHeight="1">
      <c r="A2763" s="1253">
        <v>44784</v>
      </c>
      <c r="B2763" s="1209">
        <v>4015</v>
      </c>
      <c r="C2763" s="1210">
        <v>24875</v>
      </c>
      <c r="D2763" s="1230">
        <v>24750</v>
      </c>
      <c r="E2763" s="1212">
        <f t="shared" ref="E2763" si="841">D2763-C2763</f>
        <v>-125</v>
      </c>
      <c r="F2763" s="1211">
        <f t="shared" ref="F2763" si="842">C2763-C2762</f>
        <v>1025</v>
      </c>
      <c r="G2763" s="1215"/>
      <c r="H2763" s="1269"/>
      <c r="I2763" s="1291">
        <v>202500</v>
      </c>
    </row>
    <row r="2764" spans="1:9" ht="15" customHeight="1">
      <c r="A2764" s="1253">
        <v>44785</v>
      </c>
      <c r="B2764" s="1209">
        <v>4065</v>
      </c>
      <c r="C2764" s="1210">
        <v>25010</v>
      </c>
      <c r="D2764" s="1230">
        <v>24810</v>
      </c>
      <c r="E2764" s="1212">
        <f t="shared" ref="E2764" si="843">D2764-C2764</f>
        <v>-200</v>
      </c>
      <c r="F2764" s="1211">
        <f t="shared" ref="F2764" si="844">C2764-C2763</f>
        <v>135</v>
      </c>
      <c r="G2764" s="1215"/>
      <c r="H2764" s="1269"/>
      <c r="I2764" s="1291">
        <v>205750</v>
      </c>
    </row>
    <row r="2765" spans="1:9" ht="15" customHeight="1">
      <c r="A2765" s="1253">
        <v>44788</v>
      </c>
      <c r="B2765" s="1209">
        <v>4160</v>
      </c>
      <c r="C2765" s="1210">
        <v>24300</v>
      </c>
      <c r="D2765" s="1230">
        <v>24300</v>
      </c>
      <c r="E2765" s="1212">
        <f t="shared" ref="E2765" si="845">D2765-C2765</f>
        <v>0</v>
      </c>
      <c r="F2765" s="1211">
        <f t="shared" ref="F2765" si="846">C2765-C2764</f>
        <v>-710</v>
      </c>
      <c r="G2765" s="1215"/>
      <c r="H2765" s="1269"/>
      <c r="I2765" s="1291">
        <v>199000</v>
      </c>
    </row>
    <row r="2766" spans="1:9" ht="15" customHeight="1">
      <c r="A2766" s="1253">
        <v>44789</v>
      </c>
      <c r="B2766" s="1209">
        <v>4160</v>
      </c>
      <c r="C2766" s="1210">
        <v>24995</v>
      </c>
      <c r="D2766" s="1230">
        <v>24500</v>
      </c>
      <c r="E2766" s="1212">
        <f t="shared" ref="E2766" si="847">D2766-C2766</f>
        <v>-495</v>
      </c>
      <c r="F2766" s="1211">
        <f t="shared" ref="F2766" si="848">C2766-C2765</f>
        <v>695</v>
      </c>
      <c r="G2766" s="1215"/>
      <c r="H2766" s="1269"/>
      <c r="I2766" s="1291">
        <v>200250</v>
      </c>
    </row>
    <row r="2767" spans="1:9" ht="15" customHeight="1">
      <c r="A2767" s="1253">
        <v>44790</v>
      </c>
      <c r="B2767" s="1209">
        <v>4145</v>
      </c>
      <c r="C2767" s="1210">
        <v>24950</v>
      </c>
      <c r="D2767" s="1230">
        <v>24600</v>
      </c>
      <c r="E2767" s="1212">
        <f t="shared" ref="E2767" si="849">D2767-C2767</f>
        <v>-350</v>
      </c>
      <c r="F2767" s="1211">
        <f t="shared" ref="F2767" si="850">C2767-C2766</f>
        <v>-45</v>
      </c>
      <c r="G2767" s="1215"/>
      <c r="H2767" s="1269"/>
      <c r="I2767" s="1291">
        <v>200750</v>
      </c>
    </row>
    <row r="2768" spans="1:9" ht="15" customHeight="1">
      <c r="A2768" s="1253">
        <v>44791</v>
      </c>
      <c r="B2768" s="1209">
        <v>4170</v>
      </c>
      <c r="C2768" s="1210">
        <v>24550</v>
      </c>
      <c r="D2768" s="1230">
        <v>24425</v>
      </c>
      <c r="E2768" s="1212">
        <f t="shared" ref="E2768" si="851">D2768-C2768</f>
        <v>-125</v>
      </c>
      <c r="F2768" s="1211">
        <f t="shared" ref="F2768" si="852">C2768-C2767</f>
        <v>-400</v>
      </c>
      <c r="G2768" s="1229"/>
      <c r="H2768" s="1276"/>
      <c r="I2768" s="1291">
        <v>199750</v>
      </c>
    </row>
    <row r="2769" spans="1:9" ht="15" customHeight="1">
      <c r="A2769" s="1253">
        <v>44792</v>
      </c>
      <c r="B2769" s="1209">
        <v>4190</v>
      </c>
      <c r="C2769" s="1210">
        <v>24950</v>
      </c>
      <c r="D2769" s="1230">
        <v>24650</v>
      </c>
      <c r="E2769" s="1212">
        <f t="shared" ref="E2769" si="853">D2769-C2769</f>
        <v>-300</v>
      </c>
      <c r="F2769" s="1211">
        <f t="shared" ref="F2769" si="854">C2769-C2768</f>
        <v>400</v>
      </c>
      <c r="G2769" s="1229"/>
      <c r="H2769" s="1276"/>
      <c r="I2769" s="1291">
        <v>199750</v>
      </c>
    </row>
    <row r="2770" spans="1:9" ht="15" customHeight="1">
      <c r="A2770" s="1253">
        <v>44795</v>
      </c>
      <c r="B2770" s="1209">
        <v>4135</v>
      </c>
      <c r="C2770" s="1210">
        <v>24500</v>
      </c>
      <c r="D2770" s="1230">
        <v>24225</v>
      </c>
      <c r="E2770" s="1212">
        <f t="shared" ref="E2770" si="855">D2770-C2770</f>
        <v>-275</v>
      </c>
      <c r="F2770" s="1211">
        <f t="shared" ref="F2770" si="856">C2770-C2769</f>
        <v>-450</v>
      </c>
      <c r="G2770" s="1229"/>
      <c r="H2770" s="1276"/>
      <c r="I2770" s="1291">
        <v>204250</v>
      </c>
    </row>
    <row r="2771" spans="1:9" ht="15" customHeight="1">
      <c r="A2771" s="1253">
        <v>44796</v>
      </c>
      <c r="B2771" s="1209">
        <v>4090</v>
      </c>
      <c r="C2771" s="1210">
        <v>24545</v>
      </c>
      <c r="D2771" s="1230">
        <v>24200</v>
      </c>
      <c r="E2771" s="1212">
        <f>D2771-C2771</f>
        <v>-345</v>
      </c>
      <c r="F2771" s="1211">
        <f t="shared" ref="F2771" si="857">C2771-C2770</f>
        <v>45</v>
      </c>
      <c r="G2771" s="1229"/>
      <c r="H2771" s="1276"/>
      <c r="I2771" s="1291">
        <v>201750</v>
      </c>
    </row>
    <row r="2772" spans="1:9" ht="15" customHeight="1">
      <c r="A2772" s="1253">
        <v>44797</v>
      </c>
      <c r="B2772" s="1209">
        <v>4240</v>
      </c>
      <c r="C2772" s="1210">
        <v>24455</v>
      </c>
      <c r="D2772" s="1230">
        <v>24550</v>
      </c>
      <c r="E2772" s="1212">
        <f>D2772-C2772</f>
        <v>95</v>
      </c>
      <c r="F2772" s="1211">
        <f t="shared" ref="F2772" si="858">C2772-C2771</f>
        <v>-90</v>
      </c>
      <c r="G2772" s="1229"/>
      <c r="H2772" s="1276"/>
      <c r="I2772" s="1291">
        <v>201250</v>
      </c>
    </row>
    <row r="2773" spans="1:9" ht="15" customHeight="1">
      <c r="A2773" s="1253">
        <v>44798</v>
      </c>
      <c r="B2773" s="1209">
        <v>4335</v>
      </c>
      <c r="C2773" s="1210">
        <v>24650</v>
      </c>
      <c r="D2773" s="1230">
        <v>24225</v>
      </c>
      <c r="E2773" s="1212">
        <f>D2773-C2773</f>
        <v>-425</v>
      </c>
      <c r="F2773" s="1211">
        <f t="shared" ref="F2773" si="859">C2773-C2772</f>
        <v>195</v>
      </c>
      <c r="G2773" s="1215"/>
      <c r="H2773" s="1269"/>
      <c r="I2773" s="1291">
        <v>200750</v>
      </c>
    </row>
    <row r="2774" spans="1:9" ht="15" customHeight="1">
      <c r="A2774" s="1253">
        <v>44799</v>
      </c>
      <c r="B2774" s="1209">
        <v>4440</v>
      </c>
      <c r="C2774" s="1210">
        <v>24450</v>
      </c>
      <c r="D2774" s="1230">
        <v>24300</v>
      </c>
      <c r="E2774" s="1212">
        <f>D2774-C2774</f>
        <v>-150</v>
      </c>
      <c r="F2774" s="1211">
        <f t="shared" ref="F2774" si="860">C2774-C2773</f>
        <v>-200</v>
      </c>
      <c r="G2774" s="1215"/>
      <c r="H2774" s="1269"/>
      <c r="I2774" s="1291">
        <v>201500</v>
      </c>
    </row>
    <row r="2775" spans="1:9" ht="15" customHeight="1">
      <c r="A2775" s="1253">
        <v>44802</v>
      </c>
      <c r="B2775" s="1434" t="s">
        <v>61</v>
      </c>
      <c r="C2775" s="1434"/>
      <c r="D2775" s="1434"/>
      <c r="E2775" s="1434"/>
      <c r="F2775" s="1434"/>
      <c r="G2775" s="1215"/>
      <c r="H2775" s="1269"/>
      <c r="I2775" s="1291">
        <v>199000</v>
      </c>
    </row>
    <row r="2776" spans="1:9" ht="15" customHeight="1">
      <c r="A2776" s="1253">
        <v>44803</v>
      </c>
      <c r="B2776" s="1209">
        <v>4410</v>
      </c>
      <c r="C2776" s="1210">
        <v>23775</v>
      </c>
      <c r="D2776" s="1230">
        <v>23605</v>
      </c>
      <c r="E2776" s="1212">
        <f t="shared" ref="E2776:E2781" si="861">D2776-C2776</f>
        <v>-170</v>
      </c>
      <c r="F2776" s="1211">
        <f t="shared" ref="F2776" si="862">C2776-C2775</f>
        <v>23775</v>
      </c>
      <c r="G2776" s="1215"/>
      <c r="H2776" s="1269"/>
      <c r="I2776" s="1291">
        <v>196500</v>
      </c>
    </row>
    <row r="2777" spans="1:9" ht="15" customHeight="1">
      <c r="A2777" s="1253">
        <v>44804</v>
      </c>
      <c r="B2777" s="1209">
        <v>4520</v>
      </c>
      <c r="C2777" s="1210">
        <v>23600</v>
      </c>
      <c r="D2777" s="1230">
        <v>23025</v>
      </c>
      <c r="E2777" s="1212">
        <f t="shared" si="861"/>
        <v>-575</v>
      </c>
      <c r="F2777" s="1211">
        <f t="shared" ref="F2777" si="863">C2777-C2776</f>
        <v>-175</v>
      </c>
      <c r="G2777" s="1227">
        <f>AVERAGE($C$2755:C2777)</f>
        <v>24511.363636363636</v>
      </c>
      <c r="H2777" s="1274">
        <f>AVERAGE($C$2606:C2777)</f>
        <v>36227.650602409638</v>
      </c>
      <c r="I2777" s="1291">
        <v>195500</v>
      </c>
    </row>
    <row r="2778" spans="1:9" ht="15" customHeight="1">
      <c r="A2778" s="1253">
        <v>44805</v>
      </c>
      <c r="B2778" s="1209">
        <v>4495</v>
      </c>
      <c r="C2778" s="1210">
        <v>21625</v>
      </c>
      <c r="D2778" s="1230">
        <v>21650</v>
      </c>
      <c r="E2778" s="1212">
        <f t="shared" si="861"/>
        <v>25</v>
      </c>
      <c r="F2778" s="1211">
        <f t="shared" ref="F2778" si="864">C2778-C2777</f>
        <v>-1975</v>
      </c>
      <c r="G2778" s="1229"/>
      <c r="H2778" s="1276"/>
      <c r="I2778" s="1291">
        <v>186250</v>
      </c>
    </row>
    <row r="2779" spans="1:9" ht="15" customHeight="1">
      <c r="A2779" s="1253">
        <v>44806</v>
      </c>
      <c r="B2779" s="1209">
        <v>4610</v>
      </c>
      <c r="C2779" s="1210">
        <v>21700</v>
      </c>
      <c r="D2779" s="1230">
        <v>21250</v>
      </c>
      <c r="E2779" s="1212">
        <f t="shared" si="861"/>
        <v>-450</v>
      </c>
      <c r="F2779" s="1211">
        <f>C2779-C2778</f>
        <v>75</v>
      </c>
      <c r="G2779" s="1229"/>
      <c r="H2779" s="1276"/>
      <c r="I2779" s="1291">
        <v>180000</v>
      </c>
    </row>
    <row r="2780" spans="1:9" ht="15" customHeight="1">
      <c r="A2780" s="1253">
        <v>44809</v>
      </c>
      <c r="B2780" s="1209">
        <v>4610</v>
      </c>
      <c r="C2780" s="1210">
        <v>21650</v>
      </c>
      <c r="D2780" s="1230">
        <v>21700</v>
      </c>
      <c r="E2780" s="1212">
        <f t="shared" si="861"/>
        <v>50</v>
      </c>
      <c r="F2780" s="1211">
        <f>C2780-C2779</f>
        <v>-50</v>
      </c>
      <c r="G2780" s="1229"/>
      <c r="H2780" s="1276"/>
      <c r="I2780" s="1291">
        <v>181500</v>
      </c>
    </row>
    <row r="2781" spans="1:9" ht="15" customHeight="1">
      <c r="A2781" s="1253">
        <v>44810</v>
      </c>
      <c r="B2781" s="1209">
        <v>4610</v>
      </c>
      <c r="C2781" s="1210">
        <v>21750</v>
      </c>
      <c r="D2781" s="1230">
        <v>21500</v>
      </c>
      <c r="E2781" s="1212">
        <f t="shared" si="861"/>
        <v>-250</v>
      </c>
      <c r="F2781" s="1211">
        <f>C2781-C2780</f>
        <v>100</v>
      </c>
      <c r="G2781" s="1229"/>
      <c r="H2781" s="1276"/>
      <c r="I2781" s="1291">
        <v>185000</v>
      </c>
    </row>
    <row r="2782" spans="1:9" ht="15" customHeight="1">
      <c r="A2782" s="1253">
        <v>44811</v>
      </c>
      <c r="B2782" s="1209">
        <v>4605</v>
      </c>
      <c r="C2782" s="1210">
        <v>20525</v>
      </c>
      <c r="D2782" s="1230">
        <v>20525</v>
      </c>
      <c r="E2782" s="1212">
        <f t="shared" ref="E2782" si="865">D2782-C2782</f>
        <v>0</v>
      </c>
      <c r="F2782" s="1211">
        <f>C2782-C2781</f>
        <v>-1225</v>
      </c>
      <c r="G2782" s="1215"/>
      <c r="H2782" s="1269"/>
      <c r="I2782" s="1291">
        <v>182750</v>
      </c>
    </row>
    <row r="2783" spans="1:9" ht="15" customHeight="1">
      <c r="A2783" s="1253">
        <v>44812</v>
      </c>
      <c r="B2783" s="1209">
        <v>4660</v>
      </c>
      <c r="C2783" s="1210">
        <v>21700</v>
      </c>
      <c r="D2783" s="1230">
        <v>21600</v>
      </c>
      <c r="E2783" s="1212">
        <f t="shared" ref="E2783:E2786" si="866">D2783-C2783</f>
        <v>-100</v>
      </c>
      <c r="F2783" s="1211">
        <f t="shared" ref="F2783:F2786" si="867">C2783-C2782</f>
        <v>1175</v>
      </c>
      <c r="G2783" s="1215"/>
      <c r="H2783" s="1269"/>
      <c r="I2783" s="1291"/>
    </row>
    <row r="2784" spans="1:9" ht="15" customHeight="1">
      <c r="A2784" s="1253">
        <v>44813</v>
      </c>
      <c r="B2784" s="1209">
        <v>4715</v>
      </c>
      <c r="C2784" s="1210">
        <v>21305</v>
      </c>
      <c r="D2784" s="1230">
        <v>21225</v>
      </c>
      <c r="E2784" s="1212">
        <f t="shared" si="866"/>
        <v>-80</v>
      </c>
      <c r="F2784" s="1211">
        <f t="shared" si="867"/>
        <v>-395</v>
      </c>
      <c r="G2784" s="1215"/>
      <c r="H2784" s="1269"/>
      <c r="I2784" s="1291"/>
    </row>
    <row r="2785" spans="1:9" ht="15" customHeight="1">
      <c r="A2785" s="1253">
        <v>44816</v>
      </c>
      <c r="B2785" s="1209">
        <v>4710</v>
      </c>
      <c r="C2785" s="1210">
        <v>21550</v>
      </c>
      <c r="D2785" s="1230">
        <v>21400</v>
      </c>
      <c r="E2785" s="1212">
        <f t="shared" si="866"/>
        <v>-150</v>
      </c>
      <c r="F2785" s="1211">
        <f t="shared" si="867"/>
        <v>245</v>
      </c>
      <c r="G2785" s="1215"/>
      <c r="H2785" s="1269"/>
      <c r="I2785" s="1291">
        <v>186500</v>
      </c>
    </row>
    <row r="2786" spans="1:9" ht="15" customHeight="1">
      <c r="A2786" s="1253">
        <v>44817</v>
      </c>
      <c r="B2786" s="1209">
        <v>4785</v>
      </c>
      <c r="C2786" s="1210">
        <v>22245</v>
      </c>
      <c r="D2786" s="1230">
        <v>22000</v>
      </c>
      <c r="E2786" s="1212">
        <f t="shared" si="866"/>
        <v>-245</v>
      </c>
      <c r="F2786" s="1211">
        <f t="shared" si="867"/>
        <v>695</v>
      </c>
      <c r="G2786" s="1215"/>
      <c r="H2786" s="1269"/>
      <c r="I2786" s="1291">
        <v>188000</v>
      </c>
    </row>
    <row r="2787" spans="1:9" ht="15" customHeight="1">
      <c r="A2787" s="1253">
        <v>44818</v>
      </c>
      <c r="B2787" s="1209">
        <v>4785</v>
      </c>
      <c r="C2787" s="1210">
        <v>21350</v>
      </c>
      <c r="D2787" s="1230">
        <v>21050</v>
      </c>
      <c r="E2787" s="1212">
        <f t="shared" ref="E2787" si="868">D2787-C2787</f>
        <v>-300</v>
      </c>
      <c r="F2787" s="1211">
        <f t="shared" ref="F2787" si="869">C2787-C2786</f>
        <v>-895</v>
      </c>
      <c r="G2787" s="1215"/>
      <c r="H2787" s="1269"/>
      <c r="I2787" s="1291">
        <v>179000</v>
      </c>
    </row>
    <row r="2788" spans="1:9" ht="15" customHeight="1">
      <c r="A2788" s="1253">
        <v>44819</v>
      </c>
      <c r="B2788" s="1209">
        <v>4810</v>
      </c>
      <c r="C2788" s="1210">
        <v>20900</v>
      </c>
      <c r="D2788" s="1230">
        <v>20825</v>
      </c>
      <c r="E2788" s="1212">
        <f t="shared" ref="E2788" si="870">D2788-C2788</f>
        <v>-75</v>
      </c>
      <c r="F2788" s="1211">
        <f t="shared" ref="F2788" si="871">C2788-C2787</f>
        <v>-450</v>
      </c>
      <c r="G2788" s="1229"/>
      <c r="H2788" s="1276"/>
      <c r="I2788" s="1291">
        <v>185500</v>
      </c>
    </row>
    <row r="2789" spans="1:9" ht="15" customHeight="1">
      <c r="A2789" s="1253">
        <v>44820</v>
      </c>
      <c r="B2789" s="1209">
        <v>4855</v>
      </c>
      <c r="C2789" s="1210">
        <v>21185</v>
      </c>
      <c r="D2789" s="1230">
        <v>20910</v>
      </c>
      <c r="E2789" s="1212">
        <f t="shared" ref="E2789" si="872">D2789-C2789</f>
        <v>-275</v>
      </c>
      <c r="F2789" s="1211">
        <f t="shared" ref="F2789" si="873">C2789-C2788</f>
        <v>285</v>
      </c>
      <c r="G2789" s="1229"/>
      <c r="H2789" s="1276"/>
      <c r="I2789" s="1291">
        <v>183500</v>
      </c>
    </row>
    <row r="2790" spans="1:9" ht="15" customHeight="1">
      <c r="A2790" s="1253">
        <v>44823</v>
      </c>
      <c r="B2790" s="1209">
        <v>4855</v>
      </c>
      <c r="C2790" s="1210">
        <v>20450</v>
      </c>
      <c r="D2790" s="1230">
        <v>20450</v>
      </c>
      <c r="E2790" s="1212">
        <f t="shared" ref="E2790" si="874">D2790-C2790</f>
        <v>0</v>
      </c>
      <c r="F2790" s="1211">
        <f t="shared" ref="F2790" si="875">C2790-C2789</f>
        <v>-735</v>
      </c>
      <c r="G2790" s="1229"/>
      <c r="H2790" s="1276"/>
      <c r="I2790" s="1291">
        <v>184750</v>
      </c>
    </row>
    <row r="2791" spans="1:9" ht="15" customHeight="1">
      <c r="A2791" s="1253">
        <v>44824</v>
      </c>
      <c r="B2791" s="1209">
        <v>4835</v>
      </c>
      <c r="C2791" s="1210">
        <v>21200</v>
      </c>
      <c r="D2791" s="1230">
        <v>21100</v>
      </c>
      <c r="E2791" s="1212">
        <f t="shared" ref="E2791" si="876">D2791-C2791</f>
        <v>-100</v>
      </c>
      <c r="F2791" s="1211">
        <f t="shared" ref="F2791" si="877">C2791-C2790</f>
        <v>750</v>
      </c>
      <c r="G2791" s="1229"/>
      <c r="H2791" s="1276"/>
      <c r="I2791" s="1291">
        <v>184000</v>
      </c>
    </row>
    <row r="2792" spans="1:9" ht="15" customHeight="1">
      <c r="A2792" s="1253">
        <v>44825</v>
      </c>
      <c r="B2792" s="1209">
        <v>4885</v>
      </c>
      <c r="C2792" s="1210">
        <v>21635</v>
      </c>
      <c r="D2792" s="1230">
        <v>21355</v>
      </c>
      <c r="E2792" s="1212">
        <f t="shared" ref="E2792" si="878">D2792-C2792</f>
        <v>-280</v>
      </c>
      <c r="F2792" s="1211">
        <f t="shared" ref="F2792" si="879">C2792-C2791</f>
        <v>435</v>
      </c>
      <c r="G2792" s="1229"/>
      <c r="H2792" s="1276"/>
      <c r="I2792" s="1291">
        <v>186500</v>
      </c>
    </row>
    <row r="2793" spans="1:9" ht="15" customHeight="1">
      <c r="A2793" s="1253">
        <v>44826</v>
      </c>
      <c r="B2793" s="1209">
        <v>4965</v>
      </c>
      <c r="C2793" s="1210">
        <v>21745</v>
      </c>
      <c r="D2793" s="1230">
        <v>21625</v>
      </c>
      <c r="E2793" s="1212">
        <f t="shared" ref="E2793" si="880">D2793-C2793</f>
        <v>-120</v>
      </c>
      <c r="F2793" s="1211">
        <f t="shared" ref="F2793" si="881">C2793-C2792</f>
        <v>110</v>
      </c>
      <c r="G2793" s="1229"/>
      <c r="H2793" s="1276"/>
      <c r="I2793" s="1291">
        <v>189000</v>
      </c>
    </row>
    <row r="2794" spans="1:9" ht="15" customHeight="1">
      <c r="A2794" s="1253">
        <v>44827</v>
      </c>
      <c r="B2794" s="1209">
        <v>5160</v>
      </c>
      <c r="C2794" s="1210">
        <v>21410</v>
      </c>
      <c r="D2794" s="1230">
        <v>21400</v>
      </c>
      <c r="E2794" s="1212">
        <f t="shared" ref="E2794" si="882">D2794-C2794</f>
        <v>-10</v>
      </c>
      <c r="F2794" s="1211">
        <f t="shared" ref="F2794" si="883">C2794-C2793</f>
        <v>-335</v>
      </c>
      <c r="G2794" s="1229"/>
      <c r="H2794" s="1276"/>
      <c r="I2794" s="1291">
        <v>187750</v>
      </c>
    </row>
    <row r="2795" spans="1:9" ht="15" customHeight="1">
      <c r="A2795" s="1253">
        <v>44830</v>
      </c>
      <c r="B2795" s="1209">
        <v>5155</v>
      </c>
      <c r="C2795" s="1210">
        <v>20595</v>
      </c>
      <c r="D2795" s="1230">
        <v>20500</v>
      </c>
      <c r="E2795" s="1212">
        <f t="shared" ref="E2795" si="884">D2795-C2795</f>
        <v>-95</v>
      </c>
      <c r="F2795" s="1211">
        <f t="shared" ref="F2795" si="885">C2795-C2794</f>
        <v>-815</v>
      </c>
      <c r="G2795" s="1229"/>
      <c r="H2795" s="1276"/>
      <c r="I2795" s="1291">
        <v>183000</v>
      </c>
    </row>
    <row r="2796" spans="1:9" ht="15" customHeight="1">
      <c r="A2796" s="1253">
        <v>44831</v>
      </c>
      <c r="B2796" s="1209">
        <v>5080</v>
      </c>
      <c r="C2796" s="1210">
        <v>20900</v>
      </c>
      <c r="D2796" s="1230">
        <v>20900</v>
      </c>
      <c r="E2796" s="1212">
        <f t="shared" ref="E2796" si="886">D2796-C2796</f>
        <v>0</v>
      </c>
      <c r="F2796" s="1211">
        <f t="shared" ref="F2796" si="887">C2796-C2795</f>
        <v>305</v>
      </c>
      <c r="G2796" s="1229"/>
      <c r="H2796" s="1276"/>
      <c r="I2796" s="1291">
        <v>187000</v>
      </c>
    </row>
    <row r="2797" spans="1:9" ht="15" customHeight="1">
      <c r="A2797" s="1253">
        <v>44832</v>
      </c>
      <c r="B2797" s="1209">
        <v>5070</v>
      </c>
      <c r="C2797" s="1210">
        <v>20900</v>
      </c>
      <c r="D2797" s="1230">
        <v>20995</v>
      </c>
      <c r="E2797" s="1212">
        <f t="shared" ref="E2797" si="888">D2797-C2797</f>
        <v>95</v>
      </c>
      <c r="F2797" s="1211">
        <f t="shared" ref="F2797:F2802" si="889">C2797-C2796</f>
        <v>0</v>
      </c>
      <c r="G2797" s="1229"/>
      <c r="H2797" s="1276"/>
      <c r="I2797" s="1291">
        <v>186500</v>
      </c>
    </row>
    <row r="2798" spans="1:9" ht="15" customHeight="1">
      <c r="A2798" s="1253">
        <v>44833</v>
      </c>
      <c r="B2798" s="1209">
        <v>5095</v>
      </c>
      <c r="C2798" s="1210">
        <v>20605</v>
      </c>
      <c r="D2798" s="1230">
        <v>20600</v>
      </c>
      <c r="E2798" s="1212">
        <f t="shared" ref="E2798" si="890">D2798-C2798</f>
        <v>-5</v>
      </c>
      <c r="F2798" s="1211">
        <f t="shared" si="889"/>
        <v>-295</v>
      </c>
      <c r="G2798" s="1215"/>
      <c r="H2798" s="1269"/>
      <c r="I2798" s="1291">
        <v>187000</v>
      </c>
    </row>
    <row r="2799" spans="1:9" ht="15" customHeight="1">
      <c r="A2799" s="1253">
        <v>44834</v>
      </c>
      <c r="B2799" s="1209">
        <v>5075</v>
      </c>
      <c r="C2799" s="1210">
        <v>20750</v>
      </c>
      <c r="D2799" s="1230">
        <v>20750</v>
      </c>
      <c r="E2799" s="1212">
        <f t="shared" ref="E2799" si="891">D2799-C2799</f>
        <v>0</v>
      </c>
      <c r="F2799" s="1211">
        <f t="shared" si="889"/>
        <v>145</v>
      </c>
      <c r="G2799" s="1227">
        <f>AVERAGE($C$2778:C2799)</f>
        <v>21257.954545454544</v>
      </c>
      <c r="H2799" s="1274">
        <f>AVERAGE($C$2606:C2799)</f>
        <v>34475.877659574471</v>
      </c>
      <c r="I2799" s="1291">
        <v>185000</v>
      </c>
    </row>
    <row r="2800" spans="1:9" ht="15" customHeight="1">
      <c r="A2800" s="1253">
        <v>44837</v>
      </c>
      <c r="B2800" s="1209">
        <v>4875</v>
      </c>
      <c r="C2800" s="1210">
        <v>20345</v>
      </c>
      <c r="D2800" s="1230">
        <v>20250</v>
      </c>
      <c r="E2800" s="1212">
        <f t="shared" ref="E2800" si="892">D2800-C2800</f>
        <v>-95</v>
      </c>
      <c r="F2800" s="1211">
        <f t="shared" si="889"/>
        <v>-405</v>
      </c>
      <c r="G2800" s="1215"/>
      <c r="H2800" s="1269"/>
      <c r="I2800" s="1433"/>
    </row>
    <row r="2801" spans="1:9" ht="15" customHeight="1">
      <c r="A2801" s="1253">
        <v>44838</v>
      </c>
      <c r="B2801" s="1209">
        <v>4830</v>
      </c>
      <c r="C2801" s="1210">
        <v>20255</v>
      </c>
      <c r="D2801" s="1230">
        <v>20300</v>
      </c>
      <c r="E2801" s="1212">
        <f t="shared" ref="E2801" si="893">D2801-C2801</f>
        <v>45</v>
      </c>
      <c r="F2801" s="1211">
        <f t="shared" si="889"/>
        <v>-90</v>
      </c>
      <c r="G2801" s="1215"/>
      <c r="H2801" s="1269"/>
      <c r="I2801" s="1433"/>
    </row>
    <row r="2802" spans="1:9" ht="15" customHeight="1">
      <c r="A2802" s="1253">
        <v>44839</v>
      </c>
      <c r="B2802" s="1209">
        <v>4810</v>
      </c>
      <c r="C2802" s="1210">
        <v>20305</v>
      </c>
      <c r="D2802" s="1230">
        <v>20275</v>
      </c>
      <c r="E2802" s="1212">
        <f t="shared" ref="E2802" si="894">D2802-C2802</f>
        <v>-30</v>
      </c>
      <c r="F2802" s="1211">
        <f t="shared" si="889"/>
        <v>50</v>
      </c>
      <c r="G2802" s="1215"/>
      <c r="H2802" s="1269"/>
      <c r="I2802" s="1433"/>
    </row>
    <row r="2803" spans="1:9" ht="15" customHeight="1">
      <c r="A2803" s="1253">
        <v>44840</v>
      </c>
      <c r="B2803" s="1209">
        <v>4675</v>
      </c>
      <c r="C2803" s="1210">
        <v>20250</v>
      </c>
      <c r="D2803" s="1230">
        <v>20150</v>
      </c>
      <c r="E2803" s="1212">
        <f t="shared" ref="E2803" si="895">D2803-C2803</f>
        <v>-100</v>
      </c>
      <c r="F2803" s="1211">
        <f t="shared" ref="F2803" si="896">C2803-C2802</f>
        <v>-55</v>
      </c>
      <c r="G2803" s="1215"/>
      <c r="H2803" s="1269"/>
      <c r="I2803" s="1433"/>
    </row>
    <row r="2804" spans="1:9" ht="15" customHeight="1">
      <c r="A2804" s="1253">
        <v>44841</v>
      </c>
      <c r="B2804" s="1209">
        <v>4690</v>
      </c>
      <c r="C2804" s="1210">
        <v>20000</v>
      </c>
      <c r="D2804" s="1230">
        <v>19950</v>
      </c>
      <c r="E2804" s="1212">
        <f t="shared" ref="E2804" si="897">D2804-C2804</f>
        <v>-50</v>
      </c>
      <c r="F2804" s="1211">
        <f t="shared" ref="F2804" si="898">C2804-C2803</f>
        <v>-250</v>
      </c>
      <c r="G2804" s="1215"/>
      <c r="H2804" s="1269"/>
      <c r="I2804" s="1433"/>
    </row>
    <row r="2805" spans="1:9" ht="15" customHeight="1">
      <c r="A2805" s="1253">
        <v>44844</v>
      </c>
      <c r="B2805" s="1209">
        <v>4605</v>
      </c>
      <c r="C2805" s="1210">
        <v>20155</v>
      </c>
      <c r="D2805" s="1230">
        <v>20050</v>
      </c>
      <c r="E2805" s="1212">
        <f t="shared" ref="E2805" si="899">D2805-C2805</f>
        <v>-105</v>
      </c>
      <c r="F2805" s="1211">
        <f t="shared" ref="F2805" si="900">C2805-C2804</f>
        <v>155</v>
      </c>
      <c r="G2805" s="1215"/>
      <c r="H2805" s="1269"/>
      <c r="I2805" s="1291">
        <v>182000</v>
      </c>
    </row>
    <row r="2806" spans="1:9" ht="15" customHeight="1">
      <c r="A2806" s="1253">
        <v>44845</v>
      </c>
      <c r="B2806" s="1209">
        <v>4600</v>
      </c>
      <c r="C2806" s="1210">
        <v>20300</v>
      </c>
      <c r="D2806" s="1230">
        <v>20150</v>
      </c>
      <c r="E2806" s="1212">
        <f t="shared" ref="E2806" si="901">D2806-C2806</f>
        <v>-150</v>
      </c>
      <c r="F2806" s="1211">
        <f t="shared" ref="F2806" si="902">C2806-C2805</f>
        <v>145</v>
      </c>
      <c r="G2806" s="1215"/>
      <c r="H2806" s="1269"/>
      <c r="I2806" s="1291">
        <v>184000</v>
      </c>
    </row>
    <row r="2807" spans="1:9" ht="15" customHeight="1">
      <c r="A2807" s="1253">
        <v>44846</v>
      </c>
      <c r="B2807" s="1209">
        <v>4580</v>
      </c>
      <c r="C2807" s="1210">
        <v>20005</v>
      </c>
      <c r="D2807" s="1230">
        <v>19905</v>
      </c>
      <c r="E2807" s="1212">
        <f t="shared" ref="E2807" si="903">D2807-C2807</f>
        <v>-100</v>
      </c>
      <c r="F2807" s="1211">
        <f t="shared" ref="F2807" si="904">C2807-C2806</f>
        <v>-295</v>
      </c>
      <c r="G2807" s="1215"/>
      <c r="H2807" s="1269"/>
      <c r="I2807" s="1291">
        <v>181500</v>
      </c>
    </row>
    <row r="2808" spans="1:9" ht="15" customHeight="1">
      <c r="A2808" s="1253">
        <v>44847</v>
      </c>
      <c r="B2808" s="1209">
        <v>4570</v>
      </c>
      <c r="C2808" s="1210">
        <v>20125</v>
      </c>
      <c r="D2808" s="1230">
        <v>20100</v>
      </c>
      <c r="E2808" s="1212">
        <f t="shared" ref="E2808" si="905">D2808-C2808</f>
        <v>-25</v>
      </c>
      <c r="F2808" s="1211">
        <f t="shared" ref="F2808" si="906">C2808-C2807</f>
        <v>120</v>
      </c>
      <c r="G2808" s="1229"/>
      <c r="H2808" s="1276"/>
      <c r="I2808" s="1291">
        <v>182000</v>
      </c>
    </row>
    <row r="2809" spans="1:9" ht="15" customHeight="1">
      <c r="A2809" s="1253">
        <v>44848</v>
      </c>
      <c r="B2809" s="1209">
        <v>4575</v>
      </c>
      <c r="C2809" s="1210">
        <v>19975</v>
      </c>
      <c r="D2809" s="1230">
        <v>19950</v>
      </c>
      <c r="E2809" s="1212">
        <f t="shared" ref="E2809" si="907">D2809-C2809</f>
        <v>-25</v>
      </c>
      <c r="F2809" s="1211">
        <f t="shared" ref="F2809" si="908">C2809-C2808</f>
        <v>-150</v>
      </c>
      <c r="G2809" s="1229"/>
      <c r="H2809" s="1276"/>
      <c r="I2809" s="1291">
        <v>182000</v>
      </c>
    </row>
    <row r="2810" spans="1:9" ht="15" customHeight="1">
      <c r="A2810" s="1253">
        <v>44851</v>
      </c>
      <c r="B2810" s="1209">
        <v>4580</v>
      </c>
      <c r="C2810" s="1210">
        <v>19700</v>
      </c>
      <c r="D2810" s="1230">
        <v>19800</v>
      </c>
      <c r="E2810" s="1212">
        <f t="shared" ref="E2810" si="909">D2810-C2810</f>
        <v>100</v>
      </c>
      <c r="F2810" s="1211">
        <f t="shared" ref="F2810" si="910">C2810-C2809</f>
        <v>-275</v>
      </c>
      <c r="G2810" s="1229"/>
      <c r="H2810" s="1276"/>
      <c r="I2810" s="1291">
        <v>181000</v>
      </c>
    </row>
    <row r="2811" spans="1:9" ht="15" customHeight="1">
      <c r="A2811" s="1253">
        <v>44852</v>
      </c>
      <c r="B2811" s="1209">
        <v>4550</v>
      </c>
      <c r="C2811" s="1210">
        <v>19425</v>
      </c>
      <c r="D2811" s="1230">
        <v>19425</v>
      </c>
      <c r="E2811" s="1212">
        <f t="shared" ref="E2811" si="911">D2811-C2811</f>
        <v>0</v>
      </c>
      <c r="F2811" s="1211">
        <f t="shared" ref="F2811" si="912">C2811-C2810</f>
        <v>-275</v>
      </c>
      <c r="G2811" s="1229"/>
      <c r="H2811" s="1276"/>
      <c r="I2811" s="1291">
        <v>179000</v>
      </c>
    </row>
    <row r="2812" spans="1:9" ht="15" customHeight="1">
      <c r="A2812" s="1253">
        <v>44853</v>
      </c>
      <c r="B2812" s="1209">
        <v>4525</v>
      </c>
      <c r="C2812" s="1210">
        <v>19400</v>
      </c>
      <c r="D2812" s="1230">
        <v>19375</v>
      </c>
      <c r="E2812" s="1212">
        <f t="shared" ref="E2812" si="913">D2812-C2812</f>
        <v>-25</v>
      </c>
      <c r="F2812" s="1211">
        <f t="shared" ref="F2812" si="914">C2812-C2811</f>
        <v>-25</v>
      </c>
      <c r="G2812" s="1229"/>
      <c r="H2812" s="1276"/>
      <c r="I2812" s="1291">
        <v>180000</v>
      </c>
    </row>
    <row r="2813" spans="1:9" ht="15" customHeight="1">
      <c r="A2813" s="1253">
        <v>44854</v>
      </c>
      <c r="B2813" s="1209">
        <v>4495</v>
      </c>
      <c r="C2813" s="1210">
        <v>19025</v>
      </c>
      <c r="D2813" s="1230">
        <v>19100</v>
      </c>
      <c r="E2813" s="1212">
        <f t="shared" ref="E2813" si="915">D2813-C2813</f>
        <v>75</v>
      </c>
      <c r="F2813" s="1211">
        <f t="shared" ref="F2813" si="916">C2813-C2812</f>
        <v>-375</v>
      </c>
      <c r="G2813" s="1215"/>
      <c r="H2813" s="1269"/>
      <c r="I2813" s="1291">
        <v>178500</v>
      </c>
    </row>
    <row r="2814" spans="1:9" ht="15" customHeight="1">
      <c r="A2814" s="1253">
        <v>44855</v>
      </c>
      <c r="B2814" s="1209">
        <v>4625</v>
      </c>
      <c r="C2814" s="1210">
        <v>18435</v>
      </c>
      <c r="D2814" s="1230">
        <v>18435</v>
      </c>
      <c r="E2814" s="1212">
        <f t="shared" ref="E2814" si="917">D2814-C2814</f>
        <v>0</v>
      </c>
      <c r="F2814" s="1211">
        <f t="shared" ref="F2814" si="918">C2814-C2813</f>
        <v>-590</v>
      </c>
      <c r="G2814" s="1215"/>
      <c r="H2814" s="1269"/>
      <c r="I2814" s="1291">
        <v>176500</v>
      </c>
    </row>
    <row r="2815" spans="1:9" ht="15" customHeight="1">
      <c r="A2815" s="1253">
        <v>44858</v>
      </c>
      <c r="B2815" s="1209">
        <v>4595</v>
      </c>
      <c r="C2815" s="1210">
        <v>18350</v>
      </c>
      <c r="D2815" s="1230">
        <v>18355</v>
      </c>
      <c r="E2815" s="1212">
        <f t="shared" ref="E2815" si="919">D2815-C2815</f>
        <v>5</v>
      </c>
      <c r="F2815" s="1211">
        <f t="shared" ref="F2815" si="920">C2815-C2814</f>
        <v>-85</v>
      </c>
      <c r="G2815" s="1215"/>
      <c r="H2815" s="1269"/>
      <c r="I2815" s="1291">
        <v>175500</v>
      </c>
    </row>
    <row r="2816" spans="1:9" ht="15" customHeight="1">
      <c r="A2816" s="1253">
        <v>44859</v>
      </c>
      <c r="B2816" s="1209">
        <v>4565</v>
      </c>
      <c r="C2816" s="1210">
        <v>18055</v>
      </c>
      <c r="D2816" s="1230">
        <v>18055</v>
      </c>
      <c r="E2816" s="1212">
        <f t="shared" ref="E2816" si="921">D2816-C2816</f>
        <v>0</v>
      </c>
      <c r="F2816" s="1211">
        <f t="shared" ref="F2816" si="922">C2816-C2815</f>
        <v>-295</v>
      </c>
      <c r="G2816" s="1215"/>
      <c r="H2816" s="1269"/>
      <c r="I2816" s="1291">
        <v>174000</v>
      </c>
    </row>
    <row r="2817" spans="1:9" ht="15" customHeight="1">
      <c r="A2817" s="1253">
        <v>44860</v>
      </c>
      <c r="B2817" s="1209">
        <v>4515</v>
      </c>
      <c r="C2817" s="1210">
        <v>18650</v>
      </c>
      <c r="D2817" s="1230">
        <v>18650</v>
      </c>
      <c r="E2817" s="1212">
        <f t="shared" ref="E2817" si="923">D2817-C2817</f>
        <v>0</v>
      </c>
      <c r="F2817" s="1211">
        <f t="shared" ref="F2817" si="924">C2817-C2816</f>
        <v>595</v>
      </c>
      <c r="G2817" s="1215"/>
      <c r="H2817" s="1269"/>
      <c r="I2817" s="1291">
        <v>174750</v>
      </c>
    </row>
    <row r="2818" spans="1:9" ht="15" customHeight="1">
      <c r="A2818" s="1253">
        <v>44861</v>
      </c>
      <c r="B2818" s="1209">
        <v>4490</v>
      </c>
      <c r="C2818" s="1210">
        <v>18775</v>
      </c>
      <c r="D2818" s="1230">
        <v>18550</v>
      </c>
      <c r="E2818" s="1212">
        <f t="shared" ref="E2818" si="925">D2818-C2818</f>
        <v>-225</v>
      </c>
      <c r="F2818" s="1211">
        <f t="shared" ref="F2818" si="926">C2818-C2817</f>
        <v>125</v>
      </c>
      <c r="G2818" s="1229"/>
      <c r="H2818" s="1276"/>
      <c r="I2818" s="1291">
        <v>173750</v>
      </c>
    </row>
    <row r="2819" spans="1:9" ht="15" customHeight="1">
      <c r="A2819" s="1253">
        <v>44862</v>
      </c>
      <c r="B2819" s="1209">
        <v>4450</v>
      </c>
      <c r="C2819" s="1210">
        <v>18300</v>
      </c>
      <c r="D2819" s="1230">
        <v>18300</v>
      </c>
      <c r="E2819" s="1212">
        <f t="shared" ref="E2819" si="927">D2819-C2819</f>
        <v>0</v>
      </c>
      <c r="F2819" s="1211">
        <f t="shared" ref="F2819" si="928">C2819-C2818</f>
        <v>-475</v>
      </c>
      <c r="G2819" s="1229"/>
      <c r="H2819" s="1276"/>
      <c r="I2819" s="1291">
        <v>168500</v>
      </c>
    </row>
    <row r="2820" spans="1:9" ht="15" customHeight="1">
      <c r="A2820" s="1253">
        <v>44865</v>
      </c>
      <c r="B2820" s="1209">
        <v>4360</v>
      </c>
      <c r="C2820" s="1210">
        <v>17700</v>
      </c>
      <c r="D2820" s="1230">
        <v>17700</v>
      </c>
      <c r="E2820" s="1212">
        <f t="shared" ref="E2820" si="929">D2820-C2820</f>
        <v>0</v>
      </c>
      <c r="F2820" s="1211">
        <f t="shared" ref="F2820" si="930">C2820-C2819</f>
        <v>-600</v>
      </c>
      <c r="G2820" s="1227">
        <f>AVERAGE($C$2800:C2820)</f>
        <v>19406.190476190477</v>
      </c>
      <c r="H2820" s="1274">
        <f>AVERAGE($C$2606:C2820)</f>
        <v>32961.698564593302</v>
      </c>
      <c r="I2820" s="1291">
        <v>166500</v>
      </c>
    </row>
    <row r="2821" spans="1:9" ht="15" customHeight="1">
      <c r="A2821" s="1253">
        <v>44866</v>
      </c>
      <c r="B2821" s="1209">
        <v>4465</v>
      </c>
      <c r="C2821" s="1210">
        <v>18125</v>
      </c>
      <c r="D2821" s="1230">
        <v>18150</v>
      </c>
      <c r="E2821" s="1212">
        <f t="shared" ref="E2821" si="931">D2821-C2821</f>
        <v>25</v>
      </c>
      <c r="F2821" s="1211">
        <f t="shared" ref="F2821" si="932">C2821-C2820</f>
        <v>425</v>
      </c>
      <c r="G2821" s="1229"/>
      <c r="H2821" s="1276"/>
      <c r="I2821" s="1291">
        <v>165000</v>
      </c>
    </row>
    <row r="2822" spans="1:9" ht="15" customHeight="1">
      <c r="A2822" s="1253">
        <v>44867</v>
      </c>
      <c r="B2822" s="1209">
        <v>4430</v>
      </c>
      <c r="C2822" s="1210">
        <v>18050</v>
      </c>
      <c r="D2822" s="1230">
        <v>17950</v>
      </c>
      <c r="E2822" s="1212">
        <f t="shared" ref="E2822" si="933">D2822-C2822</f>
        <v>-100</v>
      </c>
      <c r="F2822" s="1211">
        <f t="shared" ref="F2822" si="934">C2822-C2821</f>
        <v>-75</v>
      </c>
      <c r="G2822" s="1229"/>
      <c r="H2822" s="1276"/>
      <c r="I2822" s="1291">
        <v>167000</v>
      </c>
    </row>
    <row r="2823" spans="1:9" ht="15" customHeight="1">
      <c r="A2823" s="1253">
        <v>44868</v>
      </c>
      <c r="B2823" s="1209">
        <v>4425</v>
      </c>
      <c r="C2823" s="1210">
        <v>18100</v>
      </c>
      <c r="D2823" s="1230">
        <v>17900</v>
      </c>
      <c r="E2823" s="1212">
        <f t="shared" ref="E2823" si="935">D2823-C2823</f>
        <v>-200</v>
      </c>
      <c r="F2823" s="1211">
        <f t="shared" ref="F2823" si="936">C2823-C2822</f>
        <v>50</v>
      </c>
      <c r="G2823" s="1215"/>
      <c r="H2823" s="1269"/>
      <c r="I2823" s="1291">
        <v>163250</v>
      </c>
    </row>
    <row r="2824" spans="1:9" ht="15" customHeight="1">
      <c r="A2824" s="1253">
        <v>44869</v>
      </c>
      <c r="B2824" s="1209">
        <v>4450</v>
      </c>
      <c r="C2824" s="1210">
        <v>18375</v>
      </c>
      <c r="D2824" s="1230">
        <v>18295</v>
      </c>
      <c r="E2824" s="1212">
        <f t="shared" ref="E2824" si="937">D2824-C2824</f>
        <v>-80</v>
      </c>
      <c r="F2824" s="1211">
        <f t="shared" ref="F2824" si="938">C2824-C2823</f>
        <v>275</v>
      </c>
      <c r="G2824" s="1215"/>
      <c r="H2824" s="1269"/>
      <c r="I2824" s="1291">
        <v>163500</v>
      </c>
    </row>
    <row r="2825" spans="1:9" ht="15" customHeight="1">
      <c r="A2825" s="1253">
        <v>44872</v>
      </c>
      <c r="B2825" s="1209">
        <v>4270</v>
      </c>
      <c r="C2825" s="1210">
        <v>18825</v>
      </c>
      <c r="D2825" s="1230">
        <v>18750</v>
      </c>
      <c r="E2825" s="1212">
        <f t="shared" ref="E2825" si="939">D2825-C2825</f>
        <v>-75</v>
      </c>
      <c r="F2825" s="1211">
        <f t="shared" ref="F2825" si="940">C2825-C2824</f>
        <v>450</v>
      </c>
      <c r="G2825" s="1215"/>
      <c r="H2825" s="1269"/>
      <c r="I2825" s="1291">
        <v>169000</v>
      </c>
    </row>
    <row r="2826" spans="1:9" ht="15" customHeight="1">
      <c r="A2826" s="1253">
        <v>44873</v>
      </c>
      <c r="B2826" s="1209">
        <v>4140</v>
      </c>
      <c r="C2826" s="1210">
        <v>19575</v>
      </c>
      <c r="D2826" s="1230">
        <v>19500</v>
      </c>
      <c r="E2826" s="1212">
        <f t="shared" ref="E2826" si="941">D2826-C2826</f>
        <v>-75</v>
      </c>
      <c r="F2826" s="1211">
        <f t="shared" ref="F2826" si="942">C2826-C2825</f>
        <v>750</v>
      </c>
      <c r="G2826" s="1215"/>
      <c r="H2826" s="1269"/>
      <c r="I2826" s="1291">
        <v>170000</v>
      </c>
    </row>
    <row r="2827" spans="1:9" ht="15" customHeight="1">
      <c r="A2827" s="1253">
        <v>44874</v>
      </c>
      <c r="B2827" s="1209">
        <v>4200</v>
      </c>
      <c r="C2827" s="1210">
        <v>19875</v>
      </c>
      <c r="D2827" s="1230">
        <v>19715</v>
      </c>
      <c r="E2827" s="1212">
        <f t="shared" ref="E2827" si="943">D2827-C2827</f>
        <v>-160</v>
      </c>
      <c r="F2827" s="1211">
        <f t="shared" ref="F2827" si="944">C2827-C2826</f>
        <v>300</v>
      </c>
      <c r="G2827" s="1215"/>
      <c r="H2827" s="1269"/>
      <c r="I2827" s="1291">
        <v>172250</v>
      </c>
    </row>
    <row r="2828" spans="1:9" ht="15" customHeight="1">
      <c r="A2828" s="1253">
        <v>44875</v>
      </c>
      <c r="B2828" s="1209">
        <v>3805</v>
      </c>
      <c r="C2828" s="1210">
        <v>19675</v>
      </c>
      <c r="D2828" s="1230">
        <v>19455</v>
      </c>
      <c r="E2828" s="1212">
        <f t="shared" ref="E2828" si="945">D2828-C2828</f>
        <v>-220</v>
      </c>
      <c r="F2828" s="1211">
        <f t="shared" ref="F2828" si="946">C2828-C2827</f>
        <v>-200</v>
      </c>
      <c r="G2828" s="1229"/>
      <c r="H2828" s="1276"/>
      <c r="I2828" s="1291">
        <v>169500</v>
      </c>
    </row>
    <row r="2829" spans="1:9" ht="15" customHeight="1">
      <c r="A2829" s="1253">
        <v>44876</v>
      </c>
      <c r="B2829" s="1209">
        <v>3660</v>
      </c>
      <c r="C2829" s="1210">
        <v>21150</v>
      </c>
      <c r="D2829" s="1230">
        <v>21000</v>
      </c>
      <c r="E2829" s="1212">
        <f t="shared" ref="E2829" si="947">D2829-C2829</f>
        <v>-150</v>
      </c>
      <c r="F2829" s="1211">
        <f t="shared" ref="F2829" si="948">C2829-C2828</f>
        <v>1475</v>
      </c>
      <c r="G2829" s="1229"/>
      <c r="H2829" s="1276"/>
      <c r="I2829" s="1291">
        <v>179000</v>
      </c>
    </row>
    <row r="2830" spans="1:9" ht="15" customHeight="1">
      <c r="A2830" s="1253">
        <v>44879</v>
      </c>
      <c r="B2830" s="1209">
        <v>3725</v>
      </c>
      <c r="C2830" s="1210">
        <v>21900</v>
      </c>
      <c r="D2830" s="1230">
        <v>21650</v>
      </c>
      <c r="E2830" s="1212">
        <f t="shared" ref="E2830" si="949">D2830-C2830</f>
        <v>-250</v>
      </c>
      <c r="F2830" s="1211">
        <f t="shared" ref="F2830" si="950">C2830-C2829</f>
        <v>750</v>
      </c>
      <c r="G2830" s="1229"/>
      <c r="H2830" s="1276"/>
      <c r="I2830" s="1291">
        <v>178500</v>
      </c>
    </row>
    <row r="2831" spans="1:9" ht="15" customHeight="1">
      <c r="A2831" s="1253">
        <v>44880</v>
      </c>
      <c r="B2831" s="1209">
        <v>3475</v>
      </c>
      <c r="C2831" s="1210">
        <v>23795</v>
      </c>
      <c r="D2831" s="1230">
        <v>23450</v>
      </c>
      <c r="E2831" s="1212">
        <f t="shared" ref="E2831" si="951">D2831-C2831</f>
        <v>-345</v>
      </c>
      <c r="F2831" s="1211">
        <f t="shared" ref="F2831" si="952">C2831-C2830</f>
        <v>1895</v>
      </c>
      <c r="G2831" s="1229"/>
      <c r="H2831" s="1276"/>
      <c r="I2831" s="1291">
        <v>179500</v>
      </c>
    </row>
    <row r="2832" spans="1:9" ht="15" customHeight="1">
      <c r="A2832" s="1253">
        <v>44881</v>
      </c>
      <c r="B2832" s="1209">
        <v>3475</v>
      </c>
      <c r="C2832" s="1210">
        <v>24525</v>
      </c>
      <c r="D2832" s="1230">
        <v>24150</v>
      </c>
      <c r="E2832" s="1212">
        <f t="shared" ref="E2832" si="953">D2832-C2832</f>
        <v>-375</v>
      </c>
      <c r="F2832" s="1211">
        <f t="shared" ref="F2832" si="954">C2832-C2831</f>
        <v>730</v>
      </c>
      <c r="G2832" s="1229"/>
      <c r="H2832" s="1276"/>
      <c r="I2832" s="1291">
        <v>185500</v>
      </c>
    </row>
    <row r="2833" spans="1:11" ht="15" customHeight="1">
      <c r="A2833" s="1253">
        <v>44882</v>
      </c>
      <c r="B2833" s="1209">
        <v>3455</v>
      </c>
      <c r="C2833" s="1210">
        <v>23400</v>
      </c>
      <c r="D2833" s="1230">
        <v>23100</v>
      </c>
      <c r="E2833" s="1212">
        <f t="shared" ref="E2833" si="955">D2833-C2833</f>
        <v>-300</v>
      </c>
      <c r="F2833" s="1211">
        <f t="shared" ref="F2833" si="956">C2833-C2832</f>
        <v>-1125</v>
      </c>
      <c r="G2833" s="1215"/>
      <c r="H2833" s="1269"/>
      <c r="I2833" s="1291">
        <v>184250</v>
      </c>
    </row>
    <row r="2834" spans="1:11" ht="15" customHeight="1">
      <c r="A2834" s="1253">
        <v>44883</v>
      </c>
      <c r="B2834" s="1209">
        <v>3415</v>
      </c>
      <c r="C2834" s="1210">
        <v>21750</v>
      </c>
      <c r="D2834" s="1230">
        <v>21550</v>
      </c>
      <c r="E2834" s="1212">
        <f t="shared" ref="E2834" si="957">D2834-C2834</f>
        <v>-200</v>
      </c>
      <c r="F2834" s="1211">
        <f t="shared" ref="F2834" si="958">C2834-C2833</f>
        <v>-1650</v>
      </c>
      <c r="G2834" s="1215"/>
      <c r="H2834" s="1269"/>
      <c r="I2834" s="1291">
        <v>185000</v>
      </c>
    </row>
    <row r="2835" spans="1:11" ht="15" customHeight="1">
      <c r="A2835" s="1253">
        <v>44886</v>
      </c>
      <c r="B2835" s="1209">
        <v>3415</v>
      </c>
      <c r="C2835" s="1210">
        <v>21650</v>
      </c>
      <c r="D2835" s="1230">
        <v>21600</v>
      </c>
      <c r="E2835" s="1212">
        <f t="shared" ref="E2835" si="959">D2835-C2835</f>
        <v>-50</v>
      </c>
      <c r="F2835" s="1211">
        <f t="shared" ref="F2835" si="960">C2835-C2834</f>
        <v>-100</v>
      </c>
      <c r="G2835" s="1215"/>
      <c r="H2835" s="1269"/>
      <c r="I2835" s="1291">
        <v>178250</v>
      </c>
      <c r="K2835" s="414"/>
    </row>
    <row r="2836" spans="1:11" ht="15" customHeight="1">
      <c r="A2836" s="1253">
        <v>44887</v>
      </c>
      <c r="B2836" s="1209">
        <v>3330</v>
      </c>
      <c r="C2836" s="1210">
        <v>21310</v>
      </c>
      <c r="D2836" s="1230">
        <v>21450</v>
      </c>
      <c r="E2836" s="1212">
        <f t="shared" ref="E2836" si="961">D2836-C2836</f>
        <v>140</v>
      </c>
      <c r="F2836" s="1211">
        <f t="shared" ref="F2836" si="962">C2836-C2835</f>
        <v>-340</v>
      </c>
      <c r="G2836" s="1215"/>
      <c r="H2836" s="1269"/>
      <c r="I2836" s="1291">
        <v>179250</v>
      </c>
    </row>
    <row r="2837" spans="1:11" ht="15" customHeight="1">
      <c r="A2837" s="1253">
        <v>44888</v>
      </c>
      <c r="B2837" s="1209">
        <v>3305</v>
      </c>
      <c r="C2837" s="1210">
        <v>21995</v>
      </c>
      <c r="D2837" s="1230">
        <v>21995</v>
      </c>
      <c r="E2837" s="1212">
        <f t="shared" ref="E2837" si="963">D2837-C2837</f>
        <v>0</v>
      </c>
      <c r="F2837" s="1211">
        <f t="shared" ref="F2837" si="964">C2837-C2836</f>
        <v>685</v>
      </c>
      <c r="G2837" s="1215"/>
      <c r="H2837" s="1269"/>
      <c r="I2837" s="1291">
        <v>182500</v>
      </c>
    </row>
    <row r="2838" spans="1:11" ht="15" customHeight="1">
      <c r="A2838" s="1253">
        <v>44889</v>
      </c>
      <c r="B2838" s="1209">
        <v>3260</v>
      </c>
      <c r="C2838" s="1210">
        <v>22450</v>
      </c>
      <c r="D2838" s="1230">
        <v>22350</v>
      </c>
      <c r="E2838" s="1212">
        <f t="shared" ref="E2838" si="965">D2838-C2838</f>
        <v>-100</v>
      </c>
      <c r="F2838" s="1211">
        <f t="shared" ref="F2838" si="966">C2838-C2837</f>
        <v>455</v>
      </c>
      <c r="G2838" s="1215"/>
      <c r="H2838" s="1269"/>
      <c r="I2838" s="1291">
        <v>184000</v>
      </c>
    </row>
    <row r="2839" spans="1:11" ht="15" customHeight="1">
      <c r="A2839" s="1253">
        <v>44890</v>
      </c>
      <c r="B2839" s="1209">
        <v>3255</v>
      </c>
      <c r="C2839" s="1210">
        <v>22450</v>
      </c>
      <c r="D2839" s="1230">
        <v>22400</v>
      </c>
      <c r="E2839" s="1212">
        <f t="shared" ref="E2839" si="967">D2839-C2839</f>
        <v>-50</v>
      </c>
      <c r="F2839" s="1211">
        <f t="shared" ref="F2839:F2844" si="968">C2839-C2838</f>
        <v>0</v>
      </c>
      <c r="G2839" s="1229"/>
      <c r="H2839" s="1276"/>
      <c r="I2839" s="1291">
        <v>184500</v>
      </c>
    </row>
    <row r="2840" spans="1:11" ht="15" customHeight="1">
      <c r="A2840" s="1253">
        <v>44893</v>
      </c>
      <c r="B2840" s="1209">
        <v>3190</v>
      </c>
      <c r="C2840" s="1210">
        <v>22450</v>
      </c>
      <c r="D2840" s="1230">
        <v>22300</v>
      </c>
      <c r="E2840" s="1212">
        <f t="shared" ref="E2840" si="969">D2840-C2840</f>
        <v>-150</v>
      </c>
      <c r="F2840" s="1211">
        <f t="shared" si="968"/>
        <v>0</v>
      </c>
      <c r="G2840" s="1229"/>
      <c r="H2840" s="1276"/>
      <c r="I2840" s="1291">
        <v>181500</v>
      </c>
    </row>
    <row r="2841" spans="1:11" ht="15" customHeight="1">
      <c r="A2841" s="1253">
        <v>44894</v>
      </c>
      <c r="B2841" s="1209">
        <v>3200</v>
      </c>
      <c r="C2841" s="1210">
        <v>22600</v>
      </c>
      <c r="D2841" s="1230">
        <v>22700</v>
      </c>
      <c r="E2841" s="1212">
        <f t="shared" ref="E2841" si="970">D2841-C2841</f>
        <v>100</v>
      </c>
      <c r="F2841" s="1211">
        <f t="shared" si="968"/>
        <v>150</v>
      </c>
      <c r="G2841" s="1229"/>
      <c r="H2841" s="1276"/>
      <c r="I2841" s="1291">
        <v>185500</v>
      </c>
    </row>
    <row r="2842" spans="1:11" ht="15" customHeight="1">
      <c r="A2842" s="1253">
        <v>44895</v>
      </c>
      <c r="B2842" s="1209">
        <v>3200</v>
      </c>
      <c r="C2842" s="1210">
        <v>22975</v>
      </c>
      <c r="D2842" s="1230">
        <v>22675</v>
      </c>
      <c r="E2842" s="1212">
        <f t="shared" ref="E2842:E2843" si="971">D2842-C2842</f>
        <v>-300</v>
      </c>
      <c r="F2842" s="1211">
        <f t="shared" si="968"/>
        <v>375</v>
      </c>
      <c r="G2842" s="1227">
        <f>AVERAGE($C$2821:C2842)</f>
        <v>21136.363636363636</v>
      </c>
      <c r="H2842" s="1274">
        <f>AVERAGE($C$2606:C2842)</f>
        <v>31835.476190476191</v>
      </c>
      <c r="I2842" s="1291">
        <v>184500</v>
      </c>
    </row>
    <row r="2843" spans="1:11" ht="15" customHeight="1">
      <c r="A2843" s="1253">
        <v>44896</v>
      </c>
      <c r="B2843" s="1209">
        <v>3080</v>
      </c>
      <c r="C2843" s="1210">
        <v>23105</v>
      </c>
      <c r="D2843" s="1230">
        <v>23150</v>
      </c>
      <c r="E2843" s="1212">
        <f t="shared" si="971"/>
        <v>45</v>
      </c>
      <c r="F2843" s="1211">
        <f t="shared" si="968"/>
        <v>130</v>
      </c>
      <c r="G2843" s="1215"/>
      <c r="H2843" s="1269"/>
      <c r="I2843" s="1291">
        <v>186500</v>
      </c>
    </row>
    <row r="2844" spans="1:11" ht="15" customHeight="1">
      <c r="A2844" s="1253">
        <v>44897</v>
      </c>
      <c r="B2844" s="1209">
        <v>3110</v>
      </c>
      <c r="C2844" s="1210">
        <v>23500</v>
      </c>
      <c r="D2844" s="1230">
        <v>23335</v>
      </c>
      <c r="E2844" s="1212">
        <f t="shared" ref="E2844" si="972">D2844-C2844</f>
        <v>-165</v>
      </c>
      <c r="F2844" s="1211">
        <f t="shared" si="968"/>
        <v>395</v>
      </c>
      <c r="G2844" s="1215"/>
      <c r="H2844" s="1269"/>
      <c r="I2844" s="1291">
        <v>186500</v>
      </c>
    </row>
    <row r="2845" spans="1:11" ht="15" customHeight="1">
      <c r="A2845" s="1253">
        <v>44900</v>
      </c>
      <c r="B2845" s="1209">
        <v>3085</v>
      </c>
      <c r="C2845" s="1210">
        <v>24475</v>
      </c>
      <c r="D2845" s="1230">
        <v>24200</v>
      </c>
      <c r="E2845" s="1212">
        <f t="shared" ref="E2845" si="973">D2845-C2845</f>
        <v>-275</v>
      </c>
      <c r="F2845" s="1211">
        <f t="shared" ref="F2845" si="974">C2845-C2844</f>
        <v>975</v>
      </c>
      <c r="G2845" s="1215"/>
      <c r="H2845" s="1269"/>
      <c r="I2845" s="1291">
        <v>194500</v>
      </c>
    </row>
    <row r="2846" spans="1:11" ht="15" customHeight="1">
      <c r="A2846" s="1253">
        <v>44901</v>
      </c>
      <c r="B2846" s="1209">
        <v>3075</v>
      </c>
      <c r="C2846" s="1210">
        <v>24600</v>
      </c>
      <c r="D2846" s="1230">
        <v>24450</v>
      </c>
      <c r="E2846" s="1212">
        <f t="shared" ref="E2846" si="975">D2846-C2846</f>
        <v>-150</v>
      </c>
      <c r="F2846" s="1211">
        <f t="shared" ref="F2846" si="976">C2846-C2845</f>
        <v>125</v>
      </c>
      <c r="G2846" s="1215"/>
      <c r="H2846" s="1269"/>
      <c r="I2846" s="1291">
        <v>194500</v>
      </c>
    </row>
    <row r="2847" spans="1:11" ht="15" customHeight="1">
      <c r="A2847" s="1253">
        <v>44902</v>
      </c>
      <c r="B2847" s="1209">
        <v>3105</v>
      </c>
      <c r="C2847" s="1210">
        <v>24475</v>
      </c>
      <c r="D2847" s="1230">
        <v>24325</v>
      </c>
      <c r="E2847" s="1212">
        <f t="shared" ref="E2847" si="977">D2847-C2847</f>
        <v>-150</v>
      </c>
      <c r="F2847" s="1211">
        <f>C2847-C2846</f>
        <v>-125</v>
      </c>
      <c r="G2847" s="1215"/>
      <c r="H2847" s="1269"/>
      <c r="I2847" s="1291">
        <v>196000</v>
      </c>
    </row>
    <row r="2848" spans="1:11" ht="15" customHeight="1">
      <c r="A2848" s="1253">
        <v>44903</v>
      </c>
      <c r="B2848" s="1209">
        <v>3110</v>
      </c>
      <c r="C2848" s="1210">
        <v>24400</v>
      </c>
      <c r="D2848" s="1230">
        <v>24425</v>
      </c>
      <c r="E2848" s="1212">
        <f t="shared" ref="E2848" si="978">D2848-C2848</f>
        <v>25</v>
      </c>
      <c r="F2848" s="1211">
        <f>C2848-C2847</f>
        <v>-75</v>
      </c>
      <c r="G2848" s="1229"/>
      <c r="H2848" s="1276"/>
      <c r="I2848" s="1291">
        <v>196000</v>
      </c>
    </row>
    <row r="2849" spans="1:10" ht="15" customHeight="1">
      <c r="A2849" s="1253">
        <v>44904</v>
      </c>
      <c r="B2849" s="1209">
        <v>3140</v>
      </c>
      <c r="C2849" s="1210">
        <v>24700</v>
      </c>
      <c r="D2849" s="1230">
        <v>24625</v>
      </c>
      <c r="E2849" s="1212">
        <f t="shared" ref="E2849" si="979">D2849-C2849</f>
        <v>-75</v>
      </c>
      <c r="F2849" s="1211">
        <f>C2849-C2848</f>
        <v>300</v>
      </c>
      <c r="G2849" s="1229"/>
      <c r="H2849" s="1276"/>
      <c r="I2849" s="1291">
        <v>196250</v>
      </c>
    </row>
    <row r="2850" spans="1:10" ht="15" customHeight="1">
      <c r="A2850" s="1253">
        <v>44907</v>
      </c>
      <c r="B2850" s="1209">
        <v>3015</v>
      </c>
      <c r="C2850" s="1210">
        <v>23900</v>
      </c>
      <c r="D2850" s="1230">
        <v>23855</v>
      </c>
      <c r="E2850" s="1212">
        <f t="shared" ref="E2850" si="980">D2850-C2850</f>
        <v>-45</v>
      </c>
      <c r="F2850" s="1211">
        <f t="shared" ref="F2850" si="981">C2850-C2849</f>
        <v>-800</v>
      </c>
      <c r="G2850" s="1229"/>
      <c r="H2850" s="1276"/>
      <c r="I2850" s="1291">
        <v>189500</v>
      </c>
    </row>
    <row r="2851" spans="1:10" ht="15" customHeight="1">
      <c r="A2851" s="1253">
        <v>44908</v>
      </c>
      <c r="B2851" s="1209">
        <v>3030</v>
      </c>
      <c r="C2851" s="1210">
        <v>24300</v>
      </c>
      <c r="D2851" s="1230">
        <v>24250</v>
      </c>
      <c r="E2851" s="1212">
        <f t="shared" ref="E2851" si="982">D2851-C2851</f>
        <v>-50</v>
      </c>
      <c r="F2851" s="1211">
        <f t="shared" ref="F2851" si="983">C2851-C2850</f>
        <v>400</v>
      </c>
      <c r="G2851" s="1229"/>
      <c r="H2851" s="1276"/>
      <c r="I2851" s="1291">
        <v>195000</v>
      </c>
    </row>
    <row r="2852" spans="1:10" ht="15" customHeight="1">
      <c r="A2852" s="1253">
        <v>44909</v>
      </c>
      <c r="B2852" s="1209">
        <v>3020</v>
      </c>
      <c r="C2852" s="1210">
        <v>24275</v>
      </c>
      <c r="D2852" s="1230">
        <v>24200</v>
      </c>
      <c r="E2852" s="1212">
        <f t="shared" ref="E2852" si="984">D2852-C2852</f>
        <v>-75</v>
      </c>
      <c r="F2852" s="1211">
        <f t="shared" ref="F2852" si="985">C2852-C2851</f>
        <v>-25</v>
      </c>
      <c r="G2852" s="1229"/>
      <c r="H2852" s="1276"/>
      <c r="I2852" s="1291">
        <v>195000</v>
      </c>
    </row>
    <row r="2853" spans="1:10" ht="15" customHeight="1">
      <c r="A2853" s="1253">
        <v>44910</v>
      </c>
      <c r="B2853" s="1209">
        <v>3045</v>
      </c>
      <c r="C2853" s="1210">
        <v>23650</v>
      </c>
      <c r="D2853" s="1230">
        <v>23550</v>
      </c>
      <c r="E2853" s="1212">
        <f t="shared" ref="E2853" si="986">D2853-C2853</f>
        <v>-100</v>
      </c>
      <c r="F2853" s="1211">
        <f t="shared" ref="F2853" si="987">C2853-C2852</f>
        <v>-625</v>
      </c>
      <c r="G2853" s="1215"/>
      <c r="H2853" s="1269"/>
      <c r="I2853" s="1291">
        <v>192500</v>
      </c>
    </row>
    <row r="2854" spans="1:10" ht="15" customHeight="1">
      <c r="A2854" s="1253">
        <v>44911</v>
      </c>
      <c r="B2854" s="1209">
        <v>3005</v>
      </c>
      <c r="C2854" s="1210">
        <v>23750</v>
      </c>
      <c r="D2854" s="1230">
        <v>23700</v>
      </c>
      <c r="E2854" s="1212">
        <f t="shared" ref="E2854:E2855" si="988">D2854-C2854</f>
        <v>-50</v>
      </c>
      <c r="F2854" s="1211">
        <f t="shared" ref="F2854:F2859" si="989">C2854-C2853</f>
        <v>100</v>
      </c>
      <c r="G2854" s="1215"/>
      <c r="H2854" s="1269"/>
      <c r="I2854" s="1291">
        <v>191250</v>
      </c>
      <c r="J2854" s="414"/>
    </row>
    <row r="2855" spans="1:10" ht="15" customHeight="1">
      <c r="A2855" s="1253">
        <v>44914</v>
      </c>
      <c r="B2855" s="1209">
        <v>2995</v>
      </c>
      <c r="C2855" s="1210">
        <v>23300</v>
      </c>
      <c r="D2855" s="1230">
        <v>23335</v>
      </c>
      <c r="E2855" s="1212">
        <f t="shared" si="988"/>
        <v>35</v>
      </c>
      <c r="F2855" s="1211">
        <f t="shared" si="989"/>
        <v>-450</v>
      </c>
      <c r="G2855" s="1215"/>
      <c r="H2855" s="1269"/>
      <c r="I2855" s="1291">
        <v>193500</v>
      </c>
    </row>
    <row r="2856" spans="1:10" ht="15" customHeight="1">
      <c r="A2856" s="1253">
        <v>44915</v>
      </c>
      <c r="B2856" s="1209">
        <v>2940</v>
      </c>
      <c r="C2856" s="1210">
        <v>23375</v>
      </c>
      <c r="D2856" s="1230">
        <v>23375</v>
      </c>
      <c r="E2856" s="1212">
        <f t="shared" ref="E2856" si="990">D2856-C2856</f>
        <v>0</v>
      </c>
      <c r="F2856" s="1211">
        <f t="shared" si="989"/>
        <v>75</v>
      </c>
      <c r="G2856" s="1215"/>
      <c r="H2856" s="1269"/>
      <c r="I2856" s="1291">
        <v>193000</v>
      </c>
    </row>
    <row r="2857" spans="1:10" ht="15" customHeight="1">
      <c r="A2857" s="1253">
        <v>44916</v>
      </c>
      <c r="B2857" s="1209">
        <v>2915</v>
      </c>
      <c r="C2857" s="1210">
        <v>23875</v>
      </c>
      <c r="D2857" s="1230">
        <v>23880</v>
      </c>
      <c r="E2857" s="1212">
        <f t="shared" ref="E2857" si="991">D2857-C2857</f>
        <v>5</v>
      </c>
      <c r="F2857" s="1211">
        <f t="shared" si="989"/>
        <v>500</v>
      </c>
      <c r="G2857" s="1215"/>
      <c r="H2857" s="1269"/>
      <c r="I2857" s="1291">
        <v>196000</v>
      </c>
    </row>
    <row r="2858" spans="1:10" ht="15" customHeight="1">
      <c r="A2858" s="1253">
        <v>44917</v>
      </c>
      <c r="B2858" s="1209">
        <v>2880</v>
      </c>
      <c r="C2858" s="1210">
        <v>23925</v>
      </c>
      <c r="D2858" s="1230">
        <v>23875</v>
      </c>
      <c r="E2858" s="1212">
        <f t="shared" ref="E2858" si="992">D2858-C2858</f>
        <v>-50</v>
      </c>
      <c r="F2858" s="1211">
        <f t="shared" si="989"/>
        <v>50</v>
      </c>
      <c r="G2858" s="1229"/>
      <c r="H2858" s="1276"/>
      <c r="I2858" s="1291">
        <v>196250</v>
      </c>
    </row>
    <row r="2859" spans="1:10" ht="15" customHeight="1">
      <c r="A2859" s="1253">
        <v>44918</v>
      </c>
      <c r="B2859" s="1209">
        <v>2855</v>
      </c>
      <c r="C2859" s="1210">
        <v>23950</v>
      </c>
      <c r="D2859" s="1230">
        <v>24075</v>
      </c>
      <c r="E2859" s="1212">
        <f t="shared" ref="E2859" si="993">D2859-C2859</f>
        <v>125</v>
      </c>
      <c r="F2859" s="1211">
        <f t="shared" si="989"/>
        <v>25</v>
      </c>
      <c r="G2859" s="1229"/>
      <c r="H2859" s="1276"/>
      <c r="I2859" s="1291">
        <v>196500</v>
      </c>
    </row>
    <row r="2860" spans="1:10" ht="15" customHeight="1">
      <c r="A2860" s="1253">
        <v>44921</v>
      </c>
      <c r="B2860" s="1439" t="s">
        <v>61</v>
      </c>
      <c r="C2860" s="1439"/>
      <c r="D2860" s="1439"/>
      <c r="E2860" s="1439"/>
      <c r="F2860" s="1439"/>
      <c r="G2860" s="1229"/>
      <c r="H2860" s="1276"/>
      <c r="I2860" s="1291">
        <v>196750</v>
      </c>
    </row>
    <row r="2861" spans="1:10" ht="15" customHeight="1">
      <c r="A2861" s="1253">
        <v>44922</v>
      </c>
      <c r="B2861" s="1439"/>
      <c r="C2861" s="1439"/>
      <c r="D2861" s="1439"/>
      <c r="E2861" s="1439"/>
      <c r="F2861" s="1439"/>
      <c r="G2861" s="1229"/>
      <c r="H2861" s="1276"/>
      <c r="I2861" s="1291">
        <v>197500</v>
      </c>
    </row>
    <row r="2862" spans="1:10" ht="15" customHeight="1">
      <c r="A2862" s="1253">
        <v>44923</v>
      </c>
      <c r="B2862" s="1209">
        <v>2930</v>
      </c>
      <c r="C2862" s="1210">
        <v>24900</v>
      </c>
      <c r="D2862" s="1230">
        <v>24700</v>
      </c>
      <c r="E2862" s="1212">
        <f t="shared" ref="E2862" si="994">D2862-C2862</f>
        <v>-200</v>
      </c>
      <c r="F2862" s="1211">
        <f>C2862-C2859</f>
        <v>950</v>
      </c>
      <c r="G2862" s="1229"/>
      <c r="H2862" s="1276"/>
      <c r="I2862" s="1291">
        <v>208000</v>
      </c>
    </row>
    <row r="2863" spans="1:10" ht="15" customHeight="1">
      <c r="A2863" s="1253">
        <v>44924</v>
      </c>
      <c r="B2863" s="1209">
        <v>2920</v>
      </c>
      <c r="C2863" s="1210">
        <v>24725</v>
      </c>
      <c r="D2863" s="1230">
        <v>24725</v>
      </c>
      <c r="E2863" s="1212">
        <f t="shared" ref="E2863" si="995">D2863-C2863</f>
        <v>0</v>
      </c>
      <c r="F2863" s="1211">
        <f>C2863-C2862</f>
        <v>-175</v>
      </c>
      <c r="G2863" s="1215"/>
      <c r="H2863" s="1269"/>
      <c r="I2863" s="1291">
        <v>205250</v>
      </c>
    </row>
    <row r="2864" spans="1:10" ht="15" customHeight="1">
      <c r="A2864" s="1253">
        <v>44925</v>
      </c>
      <c r="B2864" s="1209">
        <v>2990</v>
      </c>
      <c r="C2864" s="1210">
        <v>24800</v>
      </c>
      <c r="D2864" s="1230">
        <v>24900</v>
      </c>
      <c r="E2864" s="1212">
        <f t="shared" ref="E2864" si="996">D2864-C2864</f>
        <v>100</v>
      </c>
      <c r="F2864" s="1211">
        <f>C2864-C2863</f>
        <v>75</v>
      </c>
      <c r="G2864" s="1227">
        <f>AVERAGE($C$2843:C2864)</f>
        <v>24099</v>
      </c>
      <c r="H2864" s="1274">
        <f>AVERAGE($C$2606:C2864)</f>
        <v>31219.023904382469</v>
      </c>
      <c r="I2864" s="1291">
        <v>208000</v>
      </c>
    </row>
    <row r="2865" spans="1:10" ht="15" customHeight="1">
      <c r="A2865" s="1253">
        <v>44928</v>
      </c>
      <c r="B2865" s="1434" t="s">
        <v>61</v>
      </c>
      <c r="C2865" s="1434"/>
      <c r="D2865" s="1434"/>
      <c r="E2865" s="1434"/>
      <c r="F2865" s="1434"/>
      <c r="G2865" s="1215"/>
      <c r="H2865" s="1269"/>
      <c r="I2865" s="1291"/>
    </row>
    <row r="2866" spans="1:10" ht="15" customHeight="1">
      <c r="A2866" s="1253">
        <v>44929</v>
      </c>
      <c r="B2866" s="1209">
        <v>2995</v>
      </c>
      <c r="C2866" s="1210">
        <v>25050</v>
      </c>
      <c r="D2866" s="1230">
        <v>25200</v>
      </c>
      <c r="E2866" s="1212">
        <f t="shared" ref="E2866" si="997">D2866-C2866</f>
        <v>150</v>
      </c>
      <c r="F2866" s="1211">
        <f>C2866-C2864</f>
        <v>250</v>
      </c>
      <c r="G2866" s="1215"/>
      <c r="H2866" s="1269"/>
      <c r="I2866" s="1291">
        <v>208000</v>
      </c>
      <c r="J2866" s="455"/>
    </row>
    <row r="2867" spans="1:10" ht="15" customHeight="1">
      <c r="A2867" s="1264">
        <v>44930</v>
      </c>
      <c r="B2867" s="1209">
        <v>3025</v>
      </c>
      <c r="C2867" s="1210">
        <v>25250</v>
      </c>
      <c r="D2867" s="1230">
        <v>25135</v>
      </c>
      <c r="E2867" s="1212">
        <f t="shared" ref="E2867" si="998">D2867-C2867</f>
        <v>-115</v>
      </c>
      <c r="F2867" s="1211">
        <f t="shared" ref="F2867:F2872" si="999">C2867-C2866</f>
        <v>200</v>
      </c>
      <c r="G2867" s="1215"/>
      <c r="H2867" s="1269"/>
      <c r="I2867" s="1291">
        <v>209500</v>
      </c>
      <c r="J2867" s="455"/>
    </row>
    <row r="2868" spans="1:10" ht="15" customHeight="1">
      <c r="A2868" s="1253">
        <v>44931</v>
      </c>
      <c r="B2868" s="1209">
        <v>3005</v>
      </c>
      <c r="C2868" s="1210">
        <v>25100</v>
      </c>
      <c r="D2868" s="1230">
        <v>25135</v>
      </c>
      <c r="E2868" s="1212">
        <f t="shared" ref="E2868" si="1000">D2868-C2868</f>
        <v>35</v>
      </c>
      <c r="F2868" s="1211">
        <f t="shared" si="999"/>
        <v>-150</v>
      </c>
      <c r="G2868" s="1229"/>
      <c r="H2868" s="1276"/>
      <c r="I2868" s="1291">
        <v>207750</v>
      </c>
    </row>
    <row r="2869" spans="1:10" ht="15" customHeight="1">
      <c r="A2869" s="1253">
        <v>44932</v>
      </c>
      <c r="B2869" s="1209">
        <v>3030</v>
      </c>
      <c r="C2869" s="1210">
        <v>25250</v>
      </c>
      <c r="D2869" s="1230">
        <v>25300</v>
      </c>
      <c r="E2869" s="1212">
        <f t="shared" ref="E2869" si="1001">D2869-C2869</f>
        <v>50</v>
      </c>
      <c r="F2869" s="1211">
        <f t="shared" si="999"/>
        <v>150</v>
      </c>
      <c r="G2869" s="1229"/>
      <c r="H2869" s="1276"/>
      <c r="I2869" s="1291">
        <v>202500</v>
      </c>
    </row>
    <row r="2870" spans="1:10" ht="15" customHeight="1">
      <c r="A2870" s="1253">
        <v>44935</v>
      </c>
      <c r="B2870" s="1209">
        <v>3055</v>
      </c>
      <c r="C2870" s="1210">
        <v>25600</v>
      </c>
      <c r="D2870" s="1230">
        <v>25825</v>
      </c>
      <c r="E2870" s="1212">
        <f t="shared" ref="E2870" si="1002">D2870-C2870</f>
        <v>225</v>
      </c>
      <c r="F2870" s="1211">
        <f t="shared" si="999"/>
        <v>350</v>
      </c>
      <c r="G2870" s="1229"/>
      <c r="H2870" s="1276"/>
      <c r="I2870" s="1291">
        <v>206000</v>
      </c>
    </row>
    <row r="2871" spans="1:10" ht="15" customHeight="1">
      <c r="A2871" s="1253">
        <v>44936</v>
      </c>
      <c r="B2871" s="1209">
        <v>3070</v>
      </c>
      <c r="C2871" s="1210">
        <v>25600</v>
      </c>
      <c r="D2871" s="1230">
        <v>25705</v>
      </c>
      <c r="E2871" s="1212">
        <f t="shared" ref="E2871" si="1003">D2871-C2871</f>
        <v>105</v>
      </c>
      <c r="F2871" s="1211">
        <f t="shared" si="999"/>
        <v>0</v>
      </c>
      <c r="G2871" s="1229"/>
      <c r="H2871" s="1276"/>
      <c r="I2871" s="1291">
        <v>203750</v>
      </c>
    </row>
    <row r="2872" spans="1:10" ht="15" customHeight="1">
      <c r="A2872" s="1253">
        <v>44937</v>
      </c>
      <c r="B2872" s="1209">
        <v>3085</v>
      </c>
      <c r="C2872" s="1210">
        <v>26600</v>
      </c>
      <c r="D2872" s="1230">
        <v>26600</v>
      </c>
      <c r="E2872" s="1212">
        <f t="shared" ref="E2872" si="1004">D2872-C2872</f>
        <v>0</v>
      </c>
      <c r="F2872" s="1211">
        <f t="shared" si="999"/>
        <v>1000</v>
      </c>
      <c r="G2872" s="1229"/>
      <c r="H2872" s="1276"/>
      <c r="I2872" s="1291">
        <v>208500</v>
      </c>
    </row>
    <row r="2873" spans="1:10" ht="15" customHeight="1">
      <c r="A2873" s="1253">
        <v>44938</v>
      </c>
      <c r="B2873" s="1209">
        <v>3090</v>
      </c>
      <c r="C2873" s="1210">
        <v>27475</v>
      </c>
      <c r="D2873" s="1230">
        <v>27360</v>
      </c>
      <c r="E2873" s="1212">
        <f t="shared" ref="E2873:E2878" si="1005">D2873-C2873</f>
        <v>-115</v>
      </c>
      <c r="F2873" s="1211">
        <f t="shared" ref="F2873:F2878" si="1006">C2873-C2872</f>
        <v>875</v>
      </c>
      <c r="G2873" s="1215"/>
      <c r="H2873" s="1269"/>
      <c r="I2873" s="1291">
        <v>214250</v>
      </c>
    </row>
    <row r="2874" spans="1:10" ht="15" customHeight="1">
      <c r="A2874" s="1253">
        <v>44939</v>
      </c>
      <c r="B2874" s="1209">
        <v>3050</v>
      </c>
      <c r="C2874" s="1210">
        <v>28530</v>
      </c>
      <c r="D2874" s="1230">
        <v>28650</v>
      </c>
      <c r="E2874" s="1212">
        <f t="shared" si="1005"/>
        <v>120</v>
      </c>
      <c r="F2874" s="1211">
        <f t="shared" si="1006"/>
        <v>1055</v>
      </c>
      <c r="G2874" s="1215"/>
      <c r="H2874" s="1269"/>
      <c r="I2874" s="1291">
        <v>220500</v>
      </c>
    </row>
    <row r="2875" spans="1:10" ht="15" customHeight="1">
      <c r="A2875" s="1253">
        <v>44942</v>
      </c>
      <c r="B2875" s="1209">
        <v>2975</v>
      </c>
      <c r="C2875" s="1210">
        <v>28125</v>
      </c>
      <c r="D2875" s="1230">
        <v>28500</v>
      </c>
      <c r="E2875" s="1212">
        <f t="shared" si="1005"/>
        <v>375</v>
      </c>
      <c r="F2875" s="1211">
        <f t="shared" si="1006"/>
        <v>-405</v>
      </c>
      <c r="G2875" s="1215"/>
      <c r="H2875" s="1269"/>
      <c r="I2875" s="1291">
        <v>226750</v>
      </c>
    </row>
    <row r="2876" spans="1:10" ht="15" customHeight="1">
      <c r="A2876" s="1253">
        <v>44943</v>
      </c>
      <c r="B2876" s="1209">
        <v>2895</v>
      </c>
      <c r="C2876" s="1210">
        <v>28100</v>
      </c>
      <c r="D2876" s="1230">
        <v>28075</v>
      </c>
      <c r="E2876" s="1212">
        <f t="shared" si="1005"/>
        <v>-25</v>
      </c>
      <c r="F2876" s="1211">
        <f t="shared" si="1006"/>
        <v>-25</v>
      </c>
      <c r="G2876" s="1215"/>
      <c r="H2876" s="1269"/>
      <c r="I2876" s="1291">
        <v>225000</v>
      </c>
    </row>
    <row r="2877" spans="1:10" ht="15" customHeight="1">
      <c r="A2877" s="1253">
        <v>44944</v>
      </c>
      <c r="B2877" s="1209">
        <v>2855</v>
      </c>
      <c r="C2877" s="1210">
        <v>28650</v>
      </c>
      <c r="D2877" s="1230">
        <v>28625</v>
      </c>
      <c r="E2877" s="1212">
        <f t="shared" si="1005"/>
        <v>-25</v>
      </c>
      <c r="F2877" s="1211">
        <f t="shared" si="1006"/>
        <v>550</v>
      </c>
      <c r="G2877" s="1215"/>
      <c r="H2877" s="1269"/>
      <c r="I2877" s="1291">
        <v>226750</v>
      </c>
    </row>
    <row r="2878" spans="1:10" ht="15" customHeight="1">
      <c r="A2878" s="1253">
        <v>44945</v>
      </c>
      <c r="B2878" s="1209">
        <v>2825</v>
      </c>
      <c r="C2878" s="1210">
        <v>28650</v>
      </c>
      <c r="D2878" s="1230">
        <v>28700</v>
      </c>
      <c r="E2878" s="1212">
        <f t="shared" si="1005"/>
        <v>50</v>
      </c>
      <c r="F2878" s="1211">
        <f t="shared" si="1006"/>
        <v>0</v>
      </c>
      <c r="G2878" s="1215"/>
      <c r="H2878" s="1269"/>
      <c r="I2878" s="1291">
        <v>226750</v>
      </c>
    </row>
    <row r="2879" spans="1:10" ht="15" customHeight="1">
      <c r="A2879" s="1253">
        <v>44946</v>
      </c>
      <c r="B2879" s="1209">
        <v>2930</v>
      </c>
      <c r="C2879" s="1210">
        <v>29275</v>
      </c>
      <c r="D2879" s="1230">
        <v>29335</v>
      </c>
      <c r="E2879" s="1212">
        <f t="shared" ref="E2879:E2882" si="1007">D2879-C2879</f>
        <v>60</v>
      </c>
      <c r="F2879" s="1211">
        <f t="shared" ref="F2879:F2881" si="1008">C2879-C2878</f>
        <v>625</v>
      </c>
      <c r="G2879" s="1215"/>
      <c r="H2879" s="1269"/>
      <c r="I2879" s="1291">
        <v>229750</v>
      </c>
    </row>
    <row r="2880" spans="1:10" ht="15" customHeight="1">
      <c r="A2880" s="1253">
        <v>44949</v>
      </c>
      <c r="B2880" s="1209">
        <v>2945</v>
      </c>
      <c r="C2880" s="1210">
        <v>29900</v>
      </c>
      <c r="D2880" s="1230">
        <v>29500</v>
      </c>
      <c r="E2880" s="1212">
        <f t="shared" si="1007"/>
        <v>-400</v>
      </c>
      <c r="F2880" s="1211">
        <f t="shared" si="1008"/>
        <v>625</v>
      </c>
      <c r="G2880" s="1215"/>
      <c r="H2880" s="1269"/>
      <c r="I2880" s="1433"/>
    </row>
    <row r="2881" spans="1:9" ht="15" customHeight="1">
      <c r="A2881" s="1253">
        <v>44950</v>
      </c>
      <c r="B2881" s="1209">
        <v>2945</v>
      </c>
      <c r="C2881" s="1210">
        <v>29950</v>
      </c>
      <c r="D2881" s="1230">
        <v>29950</v>
      </c>
      <c r="E2881" s="1212">
        <f t="shared" si="1007"/>
        <v>0</v>
      </c>
      <c r="F2881" s="1211">
        <f t="shared" si="1008"/>
        <v>50</v>
      </c>
      <c r="G2881" s="1215"/>
      <c r="H2881" s="1269"/>
      <c r="I2881" s="1433"/>
    </row>
    <row r="2882" spans="1:9" ht="15" customHeight="1">
      <c r="A2882" s="1253">
        <v>44951</v>
      </c>
      <c r="B2882" s="1209">
        <v>2945</v>
      </c>
      <c r="C2882" s="1210">
        <v>30325</v>
      </c>
      <c r="D2882" s="1230">
        <v>30350</v>
      </c>
      <c r="E2882" s="1212">
        <f t="shared" si="1007"/>
        <v>25</v>
      </c>
      <c r="F2882" s="1211">
        <f t="shared" ref="F2882:F2887" si="1009">C2882-C2881</f>
        <v>375</v>
      </c>
      <c r="G2882" s="1236"/>
      <c r="H2882" s="1276"/>
      <c r="I2882" s="1433"/>
    </row>
    <row r="2883" spans="1:9" ht="15" customHeight="1">
      <c r="A2883" s="1253">
        <v>44952</v>
      </c>
      <c r="B2883" s="1209">
        <v>3020</v>
      </c>
      <c r="C2883" s="1210">
        <v>31450</v>
      </c>
      <c r="D2883" s="1230">
        <v>31400</v>
      </c>
      <c r="E2883" s="1212">
        <f t="shared" ref="E2883" si="1010">D2883-C2883</f>
        <v>-50</v>
      </c>
      <c r="F2883" s="1211">
        <f t="shared" si="1009"/>
        <v>1125</v>
      </c>
      <c r="G2883" s="1236"/>
      <c r="H2883" s="1276"/>
      <c r="I2883" s="1433"/>
    </row>
    <row r="2884" spans="1:9" ht="15" customHeight="1">
      <c r="A2884" s="1253">
        <v>44953</v>
      </c>
      <c r="B2884" s="1209">
        <v>3055</v>
      </c>
      <c r="C2884" s="1210">
        <v>32050</v>
      </c>
      <c r="D2884" s="1230">
        <v>32100</v>
      </c>
      <c r="E2884" s="1212">
        <f t="shared" ref="E2884" si="1011">D2884-C2884</f>
        <v>50</v>
      </c>
      <c r="F2884" s="1211">
        <f t="shared" si="1009"/>
        <v>600</v>
      </c>
      <c r="G2884" s="1236"/>
      <c r="H2884" s="1276"/>
      <c r="I2884" s="1433"/>
    </row>
    <row r="2885" spans="1:9" ht="15" customHeight="1">
      <c r="A2885" s="1253">
        <v>44956</v>
      </c>
      <c r="B2885" s="1209">
        <v>3000</v>
      </c>
      <c r="C2885" s="1210">
        <v>29515</v>
      </c>
      <c r="D2885" s="1230">
        <v>29700</v>
      </c>
      <c r="E2885" s="1212">
        <f t="shared" ref="E2885" si="1012">D2885-C2885</f>
        <v>185</v>
      </c>
      <c r="F2885" s="1211">
        <f t="shared" si="1009"/>
        <v>-2535</v>
      </c>
      <c r="G2885" s="1236"/>
      <c r="H2885" s="1276"/>
      <c r="I2885" s="1291">
        <v>238500</v>
      </c>
    </row>
    <row r="2886" spans="1:9" ht="15" customHeight="1">
      <c r="A2886" s="1253">
        <v>44957</v>
      </c>
      <c r="B2886" s="1209">
        <v>3015</v>
      </c>
      <c r="C2886" s="1210">
        <v>29250</v>
      </c>
      <c r="D2886" s="1230">
        <v>29300</v>
      </c>
      <c r="E2886" s="1212">
        <f t="shared" ref="E2886" si="1013">D2886-C2886</f>
        <v>50</v>
      </c>
      <c r="F2886" s="1211">
        <f t="shared" si="1009"/>
        <v>-265</v>
      </c>
      <c r="G2886" s="1237">
        <f>AVERAGE($C$2866:C2886)</f>
        <v>28080.714285714286</v>
      </c>
      <c r="H2886" s="1274">
        <f>AVERAGE($C$2865:C2886)</f>
        <v>28080.714285714286</v>
      </c>
      <c r="I2886" s="1291">
        <v>235500</v>
      </c>
    </row>
    <row r="2887" spans="1:9" ht="15" customHeight="1">
      <c r="A2887" s="1253">
        <v>44958</v>
      </c>
      <c r="B2887" s="1209">
        <v>3015</v>
      </c>
      <c r="C2887" s="1210">
        <v>29550</v>
      </c>
      <c r="D2887" s="1230">
        <v>29625</v>
      </c>
      <c r="E2887" s="1212">
        <f t="shared" ref="E2887" si="1014">D2887-C2887</f>
        <v>75</v>
      </c>
      <c r="F2887" s="1211">
        <f t="shared" si="1009"/>
        <v>300</v>
      </c>
      <c r="G2887" s="1236"/>
      <c r="H2887" s="1276"/>
      <c r="I2887" s="1291">
        <v>236500</v>
      </c>
    </row>
    <row r="2888" spans="1:9" ht="15" customHeight="1">
      <c r="A2888" s="1253">
        <v>44959</v>
      </c>
      <c r="B2888" s="1209">
        <v>3015</v>
      </c>
      <c r="C2888" s="1210">
        <v>29250</v>
      </c>
      <c r="D2888" s="1230">
        <v>29300</v>
      </c>
      <c r="E2888" s="1212">
        <f t="shared" ref="E2888:E2893" si="1015">D2888-C2888</f>
        <v>50</v>
      </c>
      <c r="F2888" s="1211">
        <f t="shared" ref="F2888:F2893" si="1016">C2888-C2887</f>
        <v>-300</v>
      </c>
      <c r="G2888" s="1215"/>
      <c r="H2888" s="1269"/>
      <c r="I2888" s="1291">
        <v>231000</v>
      </c>
    </row>
    <row r="2889" spans="1:9" ht="15" customHeight="1">
      <c r="A2889" s="1253">
        <v>44960</v>
      </c>
      <c r="B2889" s="1209">
        <v>3185</v>
      </c>
      <c r="C2889" s="1210">
        <v>28650</v>
      </c>
      <c r="D2889" s="1230">
        <v>28750</v>
      </c>
      <c r="E2889" s="1212">
        <f t="shared" si="1015"/>
        <v>100</v>
      </c>
      <c r="F2889" s="1211">
        <f t="shared" si="1016"/>
        <v>-600</v>
      </c>
      <c r="G2889" s="1215"/>
      <c r="H2889" s="1269"/>
      <c r="I2889" s="1291">
        <v>226750</v>
      </c>
    </row>
    <row r="2890" spans="1:9" ht="15" customHeight="1">
      <c r="A2890" s="1253">
        <v>44963</v>
      </c>
      <c r="B2890" s="1209">
        <v>3195</v>
      </c>
      <c r="C2890" s="1210">
        <v>26805</v>
      </c>
      <c r="D2890" s="1230">
        <v>27050</v>
      </c>
      <c r="E2890" s="1212">
        <f t="shared" si="1015"/>
        <v>245</v>
      </c>
      <c r="F2890" s="1211">
        <f t="shared" si="1016"/>
        <v>-1845</v>
      </c>
      <c r="G2890" s="1215"/>
      <c r="H2890" s="1269"/>
      <c r="I2890" s="1291">
        <v>218750</v>
      </c>
    </row>
    <row r="2891" spans="1:9" ht="15" customHeight="1">
      <c r="A2891" s="1253">
        <v>44964</v>
      </c>
      <c r="B2891" s="1209">
        <v>3195</v>
      </c>
      <c r="C2891" s="1210">
        <v>27050</v>
      </c>
      <c r="D2891" s="1230">
        <v>27100</v>
      </c>
      <c r="E2891" s="1212">
        <f t="shared" si="1015"/>
        <v>50</v>
      </c>
      <c r="F2891" s="1211">
        <f t="shared" si="1016"/>
        <v>245</v>
      </c>
      <c r="G2891" s="1215"/>
      <c r="H2891" s="1269"/>
      <c r="I2891" s="1291">
        <v>216250</v>
      </c>
    </row>
    <row r="2892" spans="1:9" ht="15" customHeight="1">
      <c r="A2892" s="1253">
        <v>44965</v>
      </c>
      <c r="B2892" s="1209">
        <v>3180</v>
      </c>
      <c r="C2892" s="1210">
        <v>28050</v>
      </c>
      <c r="D2892" s="1230">
        <v>28150</v>
      </c>
      <c r="E2892" s="1212">
        <f t="shared" si="1015"/>
        <v>100</v>
      </c>
      <c r="F2892" s="1211">
        <f t="shared" si="1016"/>
        <v>1000</v>
      </c>
      <c r="G2892" s="1215"/>
      <c r="H2892" s="1269"/>
      <c r="I2892" s="1291">
        <v>220000</v>
      </c>
    </row>
    <row r="2893" spans="1:9" ht="15" customHeight="1">
      <c r="A2893" s="1253">
        <v>44966</v>
      </c>
      <c r="B2893" s="1209">
        <v>3205</v>
      </c>
      <c r="C2893" s="1210">
        <v>27675</v>
      </c>
      <c r="D2893" s="1230">
        <v>27750</v>
      </c>
      <c r="E2893" s="1212">
        <f t="shared" si="1015"/>
        <v>75</v>
      </c>
      <c r="F2893" s="1211">
        <f t="shared" si="1016"/>
        <v>-375</v>
      </c>
      <c r="G2893" s="1215"/>
      <c r="H2893" s="1269"/>
      <c r="I2893" s="1291">
        <v>218750</v>
      </c>
    </row>
    <row r="2894" spans="1:9" ht="15" customHeight="1">
      <c r="A2894" s="1253">
        <v>44967</v>
      </c>
      <c r="B2894" s="1209">
        <v>3220</v>
      </c>
      <c r="C2894" s="1210">
        <v>27550</v>
      </c>
      <c r="D2894" s="1230">
        <v>27725</v>
      </c>
      <c r="E2894" s="1212">
        <f t="shared" ref="E2894" si="1017">D2894-C2894</f>
        <v>175</v>
      </c>
      <c r="F2894" s="1211">
        <f t="shared" ref="F2894" si="1018">C2894-C2893</f>
        <v>-125</v>
      </c>
      <c r="G2894" s="1215"/>
      <c r="H2894" s="1269"/>
      <c r="I2894" s="1291">
        <v>217500</v>
      </c>
    </row>
    <row r="2895" spans="1:9" ht="15" customHeight="1">
      <c r="A2895" s="1253">
        <v>44970</v>
      </c>
      <c r="B2895" s="1209">
        <v>3135</v>
      </c>
      <c r="C2895" s="1210">
        <v>27550</v>
      </c>
      <c r="D2895" s="1230">
        <v>27650</v>
      </c>
      <c r="E2895" s="1212">
        <f t="shared" ref="E2895" si="1019">D2895-C2895</f>
        <v>100</v>
      </c>
      <c r="F2895" s="1211">
        <f t="shared" ref="F2895" si="1020">C2895-C2894</f>
        <v>0</v>
      </c>
      <c r="G2895" s="1215"/>
      <c r="H2895" s="1269"/>
      <c r="I2895" s="1291">
        <v>216500</v>
      </c>
    </row>
    <row r="2896" spans="1:9" ht="15" customHeight="1">
      <c r="A2896" s="1253">
        <v>44971</v>
      </c>
      <c r="B2896" s="1209">
        <v>3130</v>
      </c>
      <c r="C2896" s="1210">
        <v>27125</v>
      </c>
      <c r="D2896" s="1230">
        <v>27400</v>
      </c>
      <c r="E2896" s="1212">
        <f t="shared" ref="E2896" si="1021">D2896-C2896</f>
        <v>275</v>
      </c>
      <c r="F2896" s="1211">
        <f t="shared" ref="F2896" si="1022">C2896-C2895</f>
        <v>-425</v>
      </c>
      <c r="G2896" s="1215"/>
      <c r="H2896" s="1269"/>
      <c r="I2896" s="1291">
        <v>215500</v>
      </c>
    </row>
    <row r="2897" spans="1:9" ht="15" customHeight="1">
      <c r="A2897" s="1253">
        <v>44972</v>
      </c>
      <c r="B2897" s="1209">
        <v>3145</v>
      </c>
      <c r="C2897" s="1210">
        <v>26325</v>
      </c>
      <c r="D2897" s="1230">
        <v>26550</v>
      </c>
      <c r="E2897" s="1212">
        <f t="shared" ref="E2897" si="1023">D2897-C2897</f>
        <v>225</v>
      </c>
      <c r="F2897" s="1211">
        <f t="shared" ref="F2897" si="1024">C2897-C2896</f>
        <v>-800</v>
      </c>
      <c r="G2897" s="1215"/>
      <c r="H2897" s="1269"/>
      <c r="I2897" s="1291">
        <v>214250</v>
      </c>
    </row>
    <row r="2898" spans="1:9" ht="15" customHeight="1">
      <c r="A2898" s="1253">
        <v>44973</v>
      </c>
      <c r="B2898" s="1209">
        <v>3070</v>
      </c>
      <c r="C2898" s="1210">
        <v>26700</v>
      </c>
      <c r="D2898" s="1230">
        <v>26950</v>
      </c>
      <c r="E2898" s="1212">
        <f t="shared" ref="E2898" si="1025">D2898-C2898</f>
        <v>250</v>
      </c>
      <c r="F2898" s="1211">
        <f t="shared" ref="F2898" si="1026">C2898-C2897</f>
        <v>375</v>
      </c>
      <c r="G2898" s="1236"/>
      <c r="H2898" s="1276"/>
      <c r="I2898" s="1291">
        <v>213500</v>
      </c>
    </row>
    <row r="2899" spans="1:9" ht="15" customHeight="1">
      <c r="A2899" s="1253">
        <v>44974</v>
      </c>
      <c r="B2899" s="1209">
        <v>3105</v>
      </c>
      <c r="C2899" s="1210">
        <v>26525</v>
      </c>
      <c r="D2899" s="1230">
        <v>26555</v>
      </c>
      <c r="E2899" s="1212">
        <f t="shared" ref="E2899" si="1027">D2899-C2899</f>
        <v>30</v>
      </c>
      <c r="F2899" s="1211">
        <f t="shared" ref="F2899" si="1028">C2899-C2898</f>
        <v>-175</v>
      </c>
      <c r="G2899" s="1236"/>
      <c r="H2899" s="1276"/>
      <c r="I2899" s="1291">
        <v>214250</v>
      </c>
    </row>
    <row r="2900" spans="1:9" ht="15" customHeight="1">
      <c r="A2900" s="1253">
        <v>44977</v>
      </c>
      <c r="B2900" s="1209">
        <v>3075</v>
      </c>
      <c r="C2900" s="1210">
        <v>26100</v>
      </c>
      <c r="D2900" s="1230">
        <v>26250</v>
      </c>
      <c r="E2900" s="1212">
        <f t="shared" ref="E2900" si="1029">D2900-C2900</f>
        <v>150</v>
      </c>
      <c r="F2900" s="1211">
        <f t="shared" ref="F2900" si="1030">C2900-C2899</f>
        <v>-425</v>
      </c>
      <c r="G2900" s="1236"/>
      <c r="H2900" s="1276"/>
      <c r="I2900" s="1291">
        <v>208250</v>
      </c>
    </row>
    <row r="2901" spans="1:9" ht="15" customHeight="1">
      <c r="A2901" s="1253">
        <v>44978</v>
      </c>
      <c r="B2901" s="1209">
        <v>3110</v>
      </c>
      <c r="C2901" s="1210">
        <v>26850</v>
      </c>
      <c r="D2901" s="1230">
        <v>27100</v>
      </c>
      <c r="E2901" s="1212">
        <f t="shared" ref="E2901:E2908" si="1031">D2901-C2901</f>
        <v>250</v>
      </c>
      <c r="F2901" s="1211">
        <f t="shared" ref="F2901:F2908" si="1032">C2901-C2900</f>
        <v>750</v>
      </c>
      <c r="G2901" s="1215"/>
      <c r="H2901" s="1269"/>
      <c r="I2901" s="1291">
        <v>215000</v>
      </c>
    </row>
    <row r="2902" spans="1:9" ht="15" customHeight="1">
      <c r="A2902" s="1253">
        <v>44979</v>
      </c>
      <c r="B2902" s="1209">
        <v>3110</v>
      </c>
      <c r="C2902" s="1210">
        <v>26850</v>
      </c>
      <c r="D2902" s="1230">
        <v>27050</v>
      </c>
      <c r="E2902" s="1212">
        <f t="shared" si="1031"/>
        <v>200</v>
      </c>
      <c r="F2902" s="1211">
        <f t="shared" si="1032"/>
        <v>0</v>
      </c>
      <c r="G2902" s="1215"/>
      <c r="H2902" s="1269"/>
      <c r="I2902" s="1291">
        <v>219750</v>
      </c>
    </row>
    <row r="2903" spans="1:9" ht="15" customHeight="1">
      <c r="A2903" s="1253">
        <v>44980</v>
      </c>
      <c r="B2903" s="1209">
        <v>3150</v>
      </c>
      <c r="C2903" s="1210">
        <v>26500</v>
      </c>
      <c r="D2903" s="1230">
        <v>26645</v>
      </c>
      <c r="E2903" s="1212">
        <f t="shared" si="1031"/>
        <v>145</v>
      </c>
      <c r="F2903" s="1211">
        <f t="shared" si="1032"/>
        <v>-350</v>
      </c>
      <c r="G2903" s="1215"/>
      <c r="H2903" s="1269"/>
      <c r="I2903" s="1291">
        <v>216250</v>
      </c>
    </row>
    <row r="2904" spans="1:9" ht="15" customHeight="1">
      <c r="A2904" s="1253">
        <v>44981</v>
      </c>
      <c r="B2904" s="1209">
        <v>3190</v>
      </c>
      <c r="C2904" s="1210">
        <v>25925</v>
      </c>
      <c r="D2904" s="1230">
        <v>26050</v>
      </c>
      <c r="E2904" s="1212">
        <f t="shared" si="1031"/>
        <v>125</v>
      </c>
      <c r="F2904" s="1211">
        <f t="shared" si="1032"/>
        <v>-575</v>
      </c>
      <c r="G2904" s="1215"/>
      <c r="H2904" s="1269"/>
      <c r="I2904" s="1291">
        <v>211500</v>
      </c>
    </row>
    <row r="2905" spans="1:9" ht="15" customHeight="1">
      <c r="A2905" s="1253">
        <v>44984</v>
      </c>
      <c r="B2905" s="1209">
        <v>3165</v>
      </c>
      <c r="C2905" s="1210">
        <v>25250</v>
      </c>
      <c r="D2905" s="1230">
        <v>25350</v>
      </c>
      <c r="E2905" s="1212">
        <f t="shared" si="1031"/>
        <v>100</v>
      </c>
      <c r="F2905" s="1211">
        <f t="shared" si="1032"/>
        <v>-675</v>
      </c>
      <c r="G2905" s="1215"/>
      <c r="H2905" s="1269"/>
      <c r="I2905" s="1291">
        <v>209500</v>
      </c>
    </row>
    <row r="2906" spans="1:9" ht="15" customHeight="1">
      <c r="A2906" s="1253">
        <v>44985</v>
      </c>
      <c r="B2906" s="1209">
        <v>2950</v>
      </c>
      <c r="C2906" s="1210">
        <v>25110</v>
      </c>
      <c r="D2906" s="1230">
        <v>25350</v>
      </c>
      <c r="E2906" s="1212">
        <f t="shared" si="1031"/>
        <v>240</v>
      </c>
      <c r="F2906" s="1211">
        <f t="shared" si="1032"/>
        <v>-140</v>
      </c>
      <c r="G2906" s="1237">
        <f>AVERAGE($C$2887:C2906)</f>
        <v>27069.5</v>
      </c>
      <c r="H2906" s="1274">
        <f>AVERAGE($C$2866:C2906)</f>
        <v>27587.439024390245</v>
      </c>
      <c r="I2906" s="1291">
        <v>209750</v>
      </c>
    </row>
    <row r="2907" spans="1:9" ht="15" customHeight="1">
      <c r="A2907" s="1253">
        <v>44986</v>
      </c>
      <c r="B2907" s="1209">
        <v>2940</v>
      </c>
      <c r="C2907" s="1210">
        <v>25650</v>
      </c>
      <c r="D2907" s="1230">
        <v>25900</v>
      </c>
      <c r="E2907" s="1212">
        <f t="shared" si="1031"/>
        <v>250</v>
      </c>
      <c r="F2907" s="1211">
        <f t="shared" si="1032"/>
        <v>540</v>
      </c>
      <c r="G2907" s="1215"/>
      <c r="H2907" s="1269"/>
      <c r="I2907" s="1291">
        <v>206500</v>
      </c>
    </row>
    <row r="2908" spans="1:9" ht="15" customHeight="1">
      <c r="A2908" s="1253">
        <v>44987</v>
      </c>
      <c r="B2908" s="1209">
        <v>2930</v>
      </c>
      <c r="C2908" s="1210">
        <v>24850</v>
      </c>
      <c r="D2908" s="1230">
        <v>25050</v>
      </c>
      <c r="E2908" s="1212">
        <f t="shared" si="1031"/>
        <v>200</v>
      </c>
      <c r="F2908" s="1211">
        <f t="shared" si="1032"/>
        <v>-800</v>
      </c>
      <c r="G2908" s="1215"/>
      <c r="H2908" s="1269"/>
      <c r="I2908" s="1291">
        <v>204750</v>
      </c>
    </row>
    <row r="2909" spans="1:9" ht="15" customHeight="1">
      <c r="A2909" s="1253">
        <v>44988</v>
      </c>
      <c r="B2909" s="1209">
        <v>2930</v>
      </c>
      <c r="C2909" s="1210">
        <v>24125</v>
      </c>
      <c r="D2909" s="1230">
        <v>24310</v>
      </c>
      <c r="E2909" s="1212">
        <f t="shared" ref="E2909" si="1033">D2909-C2909</f>
        <v>185</v>
      </c>
      <c r="F2909" s="1211">
        <f t="shared" ref="F2909" si="1034">C2909-C2908</f>
        <v>-725</v>
      </c>
      <c r="G2909" s="1215"/>
      <c r="H2909" s="1269"/>
      <c r="I2909" s="1291">
        <v>199000</v>
      </c>
    </row>
    <row r="2910" spans="1:9" ht="15" customHeight="1">
      <c r="A2910" s="1253">
        <v>44991</v>
      </c>
      <c r="B2910" s="1209">
        <v>2940</v>
      </c>
      <c r="C2910" s="1210">
        <v>24350</v>
      </c>
      <c r="D2910" s="1230">
        <v>24600</v>
      </c>
      <c r="E2910" s="1212">
        <f t="shared" ref="E2910" si="1035">D2910-C2910</f>
        <v>250</v>
      </c>
      <c r="F2910" s="1211">
        <f t="shared" ref="F2910" si="1036">C2910-C2909</f>
        <v>225</v>
      </c>
      <c r="G2910" s="1236"/>
      <c r="H2910" s="1276"/>
      <c r="I2910" s="1291">
        <v>198000</v>
      </c>
    </row>
    <row r="2911" spans="1:9" ht="15" customHeight="1">
      <c r="A2911" s="1253">
        <v>44992</v>
      </c>
      <c r="B2911" s="1209">
        <v>2910</v>
      </c>
      <c r="C2911" s="1210">
        <v>24350</v>
      </c>
      <c r="D2911" s="1230">
        <v>24450</v>
      </c>
      <c r="E2911" s="1212">
        <f t="shared" ref="E2911" si="1037">D2911-C2911</f>
        <v>100</v>
      </c>
      <c r="F2911" s="1211">
        <f t="shared" ref="F2911" si="1038">C2911-C2910</f>
        <v>0</v>
      </c>
      <c r="G2911" s="1215"/>
      <c r="H2911" s="1269"/>
      <c r="I2911" s="1291">
        <v>200250</v>
      </c>
    </row>
    <row r="2912" spans="1:9" ht="15" customHeight="1">
      <c r="A2912" s="1253">
        <v>44993</v>
      </c>
      <c r="B2912" s="1209">
        <v>2730</v>
      </c>
      <c r="C2912" s="1210">
        <v>23495</v>
      </c>
      <c r="D2912" s="1230">
        <v>23625</v>
      </c>
      <c r="E2912" s="1212">
        <f t="shared" ref="E2912" si="1039">D2912-C2912</f>
        <v>130</v>
      </c>
      <c r="F2912" s="1211">
        <f t="shared" ref="F2912" si="1040">C2912-C2911</f>
        <v>-855</v>
      </c>
      <c r="G2912" s="1215"/>
      <c r="H2912" s="1269"/>
      <c r="I2912" s="1291">
        <v>198500</v>
      </c>
    </row>
    <row r="2913" spans="1:13" ht="15" customHeight="1">
      <c r="A2913" s="1253">
        <v>44994</v>
      </c>
      <c r="B2913" s="1209">
        <v>2730</v>
      </c>
      <c r="C2913" s="1210">
        <v>23005</v>
      </c>
      <c r="D2913" s="1230">
        <v>23250</v>
      </c>
      <c r="E2913" s="1212">
        <f t="shared" ref="E2913" si="1041">D2913-C2913</f>
        <v>245</v>
      </c>
      <c r="F2913" s="1211">
        <f t="shared" ref="F2913" si="1042">C2913-C2912</f>
        <v>-490</v>
      </c>
      <c r="G2913" s="1236"/>
      <c r="H2913" s="1276"/>
      <c r="I2913" s="1291">
        <v>195750</v>
      </c>
    </row>
    <row r="2914" spans="1:13" ht="15" customHeight="1">
      <c r="A2914" s="1253">
        <v>44995</v>
      </c>
      <c r="B2914" s="1209">
        <v>2700</v>
      </c>
      <c r="C2914" s="1210">
        <v>22500</v>
      </c>
      <c r="D2914" s="1230">
        <v>22600</v>
      </c>
      <c r="E2914" s="1212">
        <f t="shared" ref="E2914" si="1043">D2914-C2914</f>
        <v>100</v>
      </c>
      <c r="F2914" s="1211">
        <f t="shared" ref="F2914" si="1044">C2914-C2913</f>
        <v>-505</v>
      </c>
      <c r="G2914" s="1236"/>
      <c r="H2914" s="1276"/>
      <c r="I2914" s="1291">
        <v>187000</v>
      </c>
      <c r="M2914" s="160"/>
    </row>
    <row r="2915" spans="1:13" ht="15" customHeight="1">
      <c r="A2915" s="1253">
        <v>44998</v>
      </c>
      <c r="B2915" s="1209">
        <v>2650</v>
      </c>
      <c r="C2915" s="1210">
        <v>22900</v>
      </c>
      <c r="D2915" s="1230">
        <v>23000</v>
      </c>
      <c r="E2915" s="1212">
        <f t="shared" ref="E2915" si="1045">D2915-C2915</f>
        <v>100</v>
      </c>
      <c r="F2915" s="1211">
        <f t="shared" ref="F2915" si="1046">C2915-C2914</f>
        <v>400</v>
      </c>
      <c r="G2915" s="1236"/>
      <c r="H2915" s="1276"/>
      <c r="I2915" s="1291">
        <v>185750</v>
      </c>
    </row>
    <row r="2916" spans="1:13" ht="15" customHeight="1">
      <c r="A2916" s="1253">
        <v>44999</v>
      </c>
      <c r="B2916" s="1209">
        <v>2520</v>
      </c>
      <c r="C2916" s="1210">
        <v>22550</v>
      </c>
      <c r="D2916" s="1230">
        <v>22885</v>
      </c>
      <c r="E2916" s="1212">
        <f t="shared" ref="E2916:E2923" si="1047">D2916-C2916</f>
        <v>335</v>
      </c>
      <c r="F2916" s="1211">
        <f t="shared" ref="F2916:F2923" si="1048">C2916-C2915</f>
        <v>-350</v>
      </c>
      <c r="G2916" s="1215"/>
      <c r="H2916" s="1269"/>
      <c r="I2916" s="1291">
        <v>187000</v>
      </c>
    </row>
    <row r="2917" spans="1:13" ht="15" customHeight="1">
      <c r="A2917" s="1253">
        <v>45000</v>
      </c>
      <c r="B2917" s="1209">
        <v>2410</v>
      </c>
      <c r="C2917" s="1210">
        <v>22675</v>
      </c>
      <c r="D2917" s="1230">
        <v>22800</v>
      </c>
      <c r="E2917" s="1212">
        <f t="shared" si="1047"/>
        <v>125</v>
      </c>
      <c r="F2917" s="1211">
        <f t="shared" si="1048"/>
        <v>125</v>
      </c>
      <c r="G2917" s="1215"/>
      <c r="H2917" s="1269"/>
      <c r="I2917" s="1291">
        <v>187750</v>
      </c>
    </row>
    <row r="2918" spans="1:13" ht="15" customHeight="1">
      <c r="A2918" s="1253">
        <v>45001</v>
      </c>
      <c r="B2918" s="1209">
        <v>2400</v>
      </c>
      <c r="C2918" s="1210">
        <v>22225</v>
      </c>
      <c r="D2918" s="1230">
        <v>22250</v>
      </c>
      <c r="E2918" s="1212">
        <f t="shared" si="1047"/>
        <v>25</v>
      </c>
      <c r="F2918" s="1211">
        <f t="shared" si="1048"/>
        <v>-450</v>
      </c>
      <c r="G2918" s="1215"/>
      <c r="H2918" s="1269"/>
      <c r="I2918" s="1291">
        <v>179750</v>
      </c>
    </row>
    <row r="2919" spans="1:13" ht="15" customHeight="1">
      <c r="A2919" s="1253">
        <v>45002</v>
      </c>
      <c r="B2919" s="1209">
        <v>2370</v>
      </c>
      <c r="C2919" s="1210">
        <v>22435</v>
      </c>
      <c r="D2919" s="1230">
        <v>22500</v>
      </c>
      <c r="E2919" s="1212">
        <f t="shared" si="1047"/>
        <v>65</v>
      </c>
      <c r="F2919" s="1211">
        <f t="shared" si="1048"/>
        <v>210</v>
      </c>
      <c r="G2919" s="1215"/>
      <c r="H2919" s="1269"/>
      <c r="I2919" s="1291">
        <v>184000</v>
      </c>
    </row>
    <row r="2920" spans="1:13" ht="15" customHeight="1">
      <c r="A2920" s="1253">
        <v>45005</v>
      </c>
      <c r="B2920" s="1209">
        <v>2370</v>
      </c>
      <c r="C2920" s="1210">
        <v>22800</v>
      </c>
      <c r="D2920" s="1230">
        <v>22945</v>
      </c>
      <c r="E2920" s="1212">
        <f t="shared" si="1047"/>
        <v>145</v>
      </c>
      <c r="F2920" s="1211">
        <f t="shared" si="1048"/>
        <v>365</v>
      </c>
      <c r="G2920" s="1215"/>
      <c r="H2920" s="1269"/>
      <c r="I2920" s="1291">
        <v>187750</v>
      </c>
    </row>
    <row r="2921" spans="1:13" ht="15" customHeight="1">
      <c r="A2921" s="1253">
        <v>45006</v>
      </c>
      <c r="B2921" s="1209">
        <v>2385</v>
      </c>
      <c r="C2921" s="1210">
        <v>23145</v>
      </c>
      <c r="D2921" s="1230">
        <v>23175</v>
      </c>
      <c r="E2921" s="1212">
        <f t="shared" si="1047"/>
        <v>30</v>
      </c>
      <c r="F2921" s="1211">
        <f t="shared" si="1048"/>
        <v>345</v>
      </c>
      <c r="G2921" s="1215"/>
      <c r="H2921" s="1269"/>
      <c r="I2921" s="1291">
        <v>185250</v>
      </c>
    </row>
    <row r="2922" spans="1:13" ht="15" customHeight="1">
      <c r="A2922" s="1253">
        <v>45007</v>
      </c>
      <c r="B2922" s="1209">
        <v>2380</v>
      </c>
      <c r="C2922" s="1210">
        <v>23300</v>
      </c>
      <c r="D2922" s="1230">
        <v>23400</v>
      </c>
      <c r="E2922" s="1212">
        <f t="shared" si="1047"/>
        <v>100</v>
      </c>
      <c r="F2922" s="1211">
        <f t="shared" si="1048"/>
        <v>155</v>
      </c>
      <c r="G2922" s="1215"/>
      <c r="H2922" s="1269"/>
      <c r="I2922" s="1291">
        <v>186750</v>
      </c>
    </row>
    <row r="2923" spans="1:13" ht="15" customHeight="1">
      <c r="A2923" s="1253">
        <v>45008</v>
      </c>
      <c r="B2923" s="1209">
        <v>2410</v>
      </c>
      <c r="C2923" s="1210">
        <v>23850</v>
      </c>
      <c r="D2923" s="1230">
        <v>23850</v>
      </c>
      <c r="E2923" s="1212">
        <f t="shared" si="1047"/>
        <v>0</v>
      </c>
      <c r="F2923" s="1211">
        <f t="shared" si="1048"/>
        <v>550</v>
      </c>
      <c r="G2923" s="1215"/>
      <c r="H2923" s="1269"/>
      <c r="I2923" s="1291">
        <v>188250</v>
      </c>
    </row>
    <row r="2924" spans="1:13" ht="15" customHeight="1">
      <c r="A2924" s="1253">
        <v>45009</v>
      </c>
      <c r="B2924" s="1209">
        <v>2410</v>
      </c>
      <c r="C2924" s="1210">
        <v>24375</v>
      </c>
      <c r="D2924" s="1230">
        <v>24265</v>
      </c>
      <c r="E2924" s="1212">
        <f t="shared" ref="E2924" si="1049">D2924-C2924</f>
        <v>-110</v>
      </c>
      <c r="F2924" s="1211">
        <f t="shared" ref="F2924" si="1050">C2924-C2923</f>
        <v>525</v>
      </c>
      <c r="G2924" s="1215"/>
      <c r="H2924" s="1269"/>
      <c r="I2924" s="1291">
        <v>196750</v>
      </c>
    </row>
    <row r="2925" spans="1:13" ht="15" customHeight="1">
      <c r="A2925" s="1253">
        <v>45012</v>
      </c>
      <c r="B2925" s="1209">
        <v>2480</v>
      </c>
      <c r="C2925" s="1210">
        <v>25625</v>
      </c>
      <c r="D2925" s="1230">
        <v>25475</v>
      </c>
      <c r="E2925" s="1212">
        <f t="shared" ref="E2925" si="1051">D2925-C2925</f>
        <v>-150</v>
      </c>
      <c r="F2925" s="1211">
        <f t="shared" ref="F2925" si="1052">C2925-C2924</f>
        <v>1250</v>
      </c>
      <c r="G2925" s="1215"/>
      <c r="H2925" s="1269"/>
      <c r="I2925" s="1291">
        <v>201500</v>
      </c>
    </row>
    <row r="2926" spans="1:13" ht="15" customHeight="1">
      <c r="A2926" s="1253">
        <v>45013</v>
      </c>
      <c r="B2926" s="1209">
        <v>2480</v>
      </c>
      <c r="C2926" s="1210">
        <v>26050</v>
      </c>
      <c r="D2926" s="1230">
        <v>25900</v>
      </c>
      <c r="E2926" s="1212">
        <f t="shared" ref="E2926" si="1053">D2926-C2926</f>
        <v>-150</v>
      </c>
      <c r="F2926" s="1211">
        <f t="shared" ref="F2926" si="1054">C2926-C2925</f>
        <v>425</v>
      </c>
      <c r="G2926" s="1215"/>
      <c r="H2926" s="1269"/>
      <c r="I2926" s="1291">
        <v>204500</v>
      </c>
    </row>
    <row r="2927" spans="1:13" ht="15" customHeight="1">
      <c r="A2927" s="1253">
        <v>45014</v>
      </c>
      <c r="B2927" s="1209">
        <v>2480</v>
      </c>
      <c r="C2927" s="1210">
        <v>26100</v>
      </c>
      <c r="D2927" s="1230">
        <v>26000</v>
      </c>
      <c r="E2927" s="1212">
        <f t="shared" ref="E2927" si="1055">D2927-C2927</f>
        <v>-100</v>
      </c>
      <c r="F2927" s="1211">
        <f t="shared" ref="F2927" si="1056">C2927-C2926</f>
        <v>50</v>
      </c>
      <c r="G2927" s="1215"/>
      <c r="H2927" s="1269"/>
      <c r="I2927" s="1291">
        <v>207750</v>
      </c>
    </row>
    <row r="2928" spans="1:13" ht="15" customHeight="1">
      <c r="A2928" s="1253">
        <v>45015</v>
      </c>
      <c r="B2928" s="1209">
        <v>2480</v>
      </c>
      <c r="C2928" s="1210">
        <v>25900</v>
      </c>
      <c r="D2928" s="1230">
        <v>25750</v>
      </c>
      <c r="E2928" s="1212">
        <f t="shared" ref="E2928" si="1057">D2928-C2928</f>
        <v>-150</v>
      </c>
      <c r="F2928" s="1211">
        <f t="shared" ref="F2928" si="1058">C2928-C2927</f>
        <v>-200</v>
      </c>
      <c r="G2928" s="1236"/>
      <c r="H2928" s="1276"/>
      <c r="I2928" s="1291">
        <v>204750</v>
      </c>
    </row>
    <row r="2929" spans="1:9" ht="15" customHeight="1">
      <c r="A2929" s="1253">
        <v>45016</v>
      </c>
      <c r="B2929" s="1209">
        <v>2345</v>
      </c>
      <c r="C2929" s="1210">
        <v>26075</v>
      </c>
      <c r="D2929" s="1230">
        <v>25760</v>
      </c>
      <c r="E2929" s="1212">
        <f t="shared" ref="E2929" si="1059">D2929-C2929</f>
        <v>-315</v>
      </c>
      <c r="F2929" s="1211">
        <f t="shared" ref="F2929" si="1060">C2929-C2928</f>
        <v>175</v>
      </c>
      <c r="G2929" s="1237">
        <f>AVERAGE($C$2907:C2929)</f>
        <v>24014.347826086956</v>
      </c>
      <c r="H2929" s="1274">
        <f>AVERAGE($C$2866:C2929)</f>
        <v>26303.359375</v>
      </c>
      <c r="I2929" s="1291">
        <v>208000</v>
      </c>
    </row>
    <row r="2930" spans="1:9" ht="15" customHeight="1">
      <c r="A2930" s="1253">
        <v>45019</v>
      </c>
      <c r="B2930" s="1209">
        <v>1990</v>
      </c>
      <c r="C2930" s="1210">
        <v>25900</v>
      </c>
      <c r="D2930" s="1230">
        <v>25950</v>
      </c>
      <c r="E2930" s="1212">
        <f t="shared" ref="E2930" si="1061">D2930-C2930</f>
        <v>50</v>
      </c>
      <c r="F2930" s="1211">
        <f t="shared" ref="F2930" si="1062">C2930-C2929</f>
        <v>-175</v>
      </c>
      <c r="G2930" s="1236"/>
      <c r="H2930" s="1276"/>
      <c r="I2930" s="1291">
        <v>204000</v>
      </c>
    </row>
    <row r="2931" spans="1:9" ht="15" customHeight="1">
      <c r="A2931" s="1253">
        <v>45020</v>
      </c>
      <c r="B2931" s="1209">
        <v>1855</v>
      </c>
      <c r="C2931" s="1210">
        <v>25825</v>
      </c>
      <c r="D2931" s="1230">
        <v>25600</v>
      </c>
      <c r="E2931" s="1212">
        <f t="shared" ref="E2931" si="1063">D2931-C2931</f>
        <v>-225</v>
      </c>
      <c r="F2931" s="1211">
        <f t="shared" ref="F2931" si="1064">C2931-C2930</f>
        <v>-75</v>
      </c>
      <c r="G2931" s="1236"/>
      <c r="H2931" s="1276"/>
      <c r="I2931" s="1291">
        <v>203500</v>
      </c>
    </row>
    <row r="2932" spans="1:9" ht="15" customHeight="1">
      <c r="A2932" s="1253">
        <v>45021</v>
      </c>
      <c r="B2932" s="1209">
        <v>1855</v>
      </c>
      <c r="C2932" s="1210">
        <v>24675</v>
      </c>
      <c r="D2932" s="1230">
        <v>24450</v>
      </c>
      <c r="E2932" s="1212">
        <f t="shared" ref="E2932" si="1065">D2932-C2932</f>
        <v>-225</v>
      </c>
      <c r="F2932" s="1211">
        <f t="shared" ref="F2932" si="1066">C2932-C2931</f>
        <v>-1150</v>
      </c>
      <c r="G2932" s="1236"/>
      <c r="H2932" s="1276"/>
      <c r="I2932" s="1291"/>
    </row>
    <row r="2933" spans="1:9" ht="15" customHeight="1">
      <c r="A2933" s="1253">
        <v>45022</v>
      </c>
      <c r="B2933" s="1209">
        <v>1825</v>
      </c>
      <c r="C2933" s="1210">
        <v>24950</v>
      </c>
      <c r="D2933" s="1230">
        <v>24950</v>
      </c>
      <c r="E2933" s="1212">
        <f t="shared" ref="E2933" si="1067">D2933-C2933</f>
        <v>0</v>
      </c>
      <c r="F2933" s="1211">
        <f t="shared" ref="F2933" si="1068">C2933-C2932</f>
        <v>275</v>
      </c>
      <c r="G2933" s="1215"/>
      <c r="H2933" s="1269"/>
      <c r="I2933" s="1291">
        <v>197750</v>
      </c>
    </row>
    <row r="2934" spans="1:9" ht="15" customHeight="1">
      <c r="A2934" s="1253">
        <v>45023</v>
      </c>
      <c r="B2934" s="1434"/>
      <c r="C2934" s="1434"/>
      <c r="D2934" s="1434"/>
      <c r="E2934" s="1434"/>
      <c r="F2934" s="1434"/>
      <c r="G2934" s="1215"/>
      <c r="H2934" s="1269"/>
      <c r="I2934" s="1291">
        <v>195750</v>
      </c>
    </row>
    <row r="2935" spans="1:9" ht="15" customHeight="1">
      <c r="A2935" s="1253">
        <v>45026</v>
      </c>
      <c r="B2935" s="1434"/>
      <c r="C2935" s="1434"/>
      <c r="D2935" s="1434"/>
      <c r="E2935" s="1434"/>
      <c r="F2935" s="1434"/>
      <c r="G2935" s="1215"/>
      <c r="H2935" s="1269"/>
      <c r="I2935" s="1291">
        <v>191750</v>
      </c>
    </row>
    <row r="2936" spans="1:9" ht="15" customHeight="1">
      <c r="A2936" s="1253">
        <v>45027</v>
      </c>
      <c r="B2936" s="1209">
        <v>1830</v>
      </c>
      <c r="C2936" s="1210">
        <v>24050</v>
      </c>
      <c r="D2936" s="1230">
        <v>24000</v>
      </c>
      <c r="E2936" s="1212">
        <f t="shared" ref="E2936:E2937" si="1069">D2936-C2936</f>
        <v>-50</v>
      </c>
      <c r="F2936" s="1211">
        <f>C2936-C2933</f>
        <v>-900</v>
      </c>
      <c r="G2936" s="1215"/>
      <c r="H2936" s="1269"/>
      <c r="I2936" s="1291">
        <v>190250</v>
      </c>
    </row>
    <row r="2937" spans="1:9" ht="15" customHeight="1">
      <c r="A2937" s="1253">
        <v>45028</v>
      </c>
      <c r="B2937" s="1209">
        <v>1780</v>
      </c>
      <c r="C2937" s="1210">
        <v>23940</v>
      </c>
      <c r="D2937" s="1230">
        <v>23900</v>
      </c>
      <c r="E2937" s="1212">
        <f t="shared" si="1069"/>
        <v>-40</v>
      </c>
      <c r="F2937" s="1211">
        <f t="shared" ref="F2937:F2942" si="1070">C2937-C2936</f>
        <v>-110</v>
      </c>
      <c r="G2937" s="1215"/>
      <c r="H2937" s="1269"/>
      <c r="I2937" s="1291">
        <v>191000</v>
      </c>
    </row>
    <row r="2938" spans="1:9" ht="15" customHeight="1">
      <c r="A2938" s="1253">
        <v>45029</v>
      </c>
      <c r="B2938" s="1209">
        <v>1780</v>
      </c>
      <c r="C2938" s="1210">
        <v>24795</v>
      </c>
      <c r="D2938" s="1230">
        <v>24825</v>
      </c>
      <c r="E2938" s="1212">
        <f t="shared" ref="E2938" si="1071">D2938-C2938</f>
        <v>30</v>
      </c>
      <c r="F2938" s="1211">
        <f t="shared" si="1070"/>
        <v>855</v>
      </c>
      <c r="G2938" s="1215"/>
      <c r="H2938" s="1269"/>
      <c r="I2938" s="1291">
        <v>193250</v>
      </c>
    </row>
    <row r="2939" spans="1:9" ht="15" customHeight="1">
      <c r="A2939" s="1253">
        <v>45030</v>
      </c>
      <c r="B2939" s="1209">
        <v>1780</v>
      </c>
      <c r="C2939" s="1210">
        <v>24800</v>
      </c>
      <c r="D2939" s="1230">
        <v>24715</v>
      </c>
      <c r="E2939" s="1212">
        <f t="shared" ref="E2939" si="1072">D2939-C2939</f>
        <v>-85</v>
      </c>
      <c r="F2939" s="1211">
        <f t="shared" si="1070"/>
        <v>5</v>
      </c>
      <c r="G2939" s="1215"/>
      <c r="H2939" s="1269"/>
      <c r="I2939" s="1291">
        <v>197250</v>
      </c>
    </row>
    <row r="2940" spans="1:9" ht="15" customHeight="1">
      <c r="A2940" s="1253">
        <v>45033</v>
      </c>
      <c r="B2940" s="1209">
        <v>1795</v>
      </c>
      <c r="C2940" s="1210">
        <v>27225</v>
      </c>
      <c r="D2940" s="1230">
        <v>26755</v>
      </c>
      <c r="E2940" s="1212">
        <f t="shared" ref="E2940" si="1073">D2940-C2940</f>
        <v>-470</v>
      </c>
      <c r="F2940" s="1211">
        <f t="shared" si="1070"/>
        <v>2425</v>
      </c>
      <c r="G2940" s="1215"/>
      <c r="H2940" s="1269"/>
      <c r="I2940" s="1291">
        <v>209250</v>
      </c>
    </row>
    <row r="2941" spans="1:9" ht="15" customHeight="1">
      <c r="A2941" s="1253">
        <v>45034</v>
      </c>
      <c r="B2941" s="1209">
        <v>1730</v>
      </c>
      <c r="C2941" s="1210">
        <v>27660</v>
      </c>
      <c r="D2941" s="1230">
        <v>27650</v>
      </c>
      <c r="E2941" s="1212">
        <f t="shared" ref="E2941" si="1074">D2941-C2941</f>
        <v>-10</v>
      </c>
      <c r="F2941" s="1211">
        <f t="shared" si="1070"/>
        <v>435</v>
      </c>
      <c r="G2941" s="1215"/>
      <c r="H2941" s="1269"/>
      <c r="I2941" s="1291">
        <v>223750</v>
      </c>
    </row>
    <row r="2942" spans="1:9" ht="15" customHeight="1">
      <c r="A2942" s="1253">
        <v>45035</v>
      </c>
      <c r="B2942" s="1209">
        <v>1660</v>
      </c>
      <c r="C2942" s="1210">
        <v>26750</v>
      </c>
      <c r="D2942" s="1230">
        <v>26450</v>
      </c>
      <c r="E2942" s="1212">
        <f t="shared" ref="E2942" si="1075">D2942-C2942</f>
        <v>-300</v>
      </c>
      <c r="F2942" s="1211">
        <f t="shared" si="1070"/>
        <v>-910</v>
      </c>
      <c r="G2942" s="1215"/>
      <c r="H2942" s="1269"/>
      <c r="I2942" s="1291">
        <v>219000</v>
      </c>
    </row>
    <row r="2943" spans="1:9" ht="15" customHeight="1">
      <c r="A2943" s="1253">
        <v>45036</v>
      </c>
      <c r="B2943" s="1209">
        <v>1555</v>
      </c>
      <c r="C2943" s="1210">
        <v>27250</v>
      </c>
      <c r="D2943" s="1230">
        <v>27100</v>
      </c>
      <c r="E2943" s="1212">
        <f t="shared" ref="E2943" si="1076">D2943-C2943</f>
        <v>-150</v>
      </c>
      <c r="F2943" s="1211">
        <f t="shared" ref="F2943" si="1077">C2943-C2942</f>
        <v>500</v>
      </c>
      <c r="G2943" s="1236"/>
      <c r="H2943" s="1276"/>
      <c r="I2943" s="1291">
        <v>219000</v>
      </c>
    </row>
    <row r="2944" spans="1:9" ht="15" customHeight="1">
      <c r="A2944" s="1253">
        <v>45037</v>
      </c>
      <c r="B2944" s="1209">
        <v>1535</v>
      </c>
      <c r="C2944" s="1210">
        <v>27000</v>
      </c>
      <c r="D2944" s="1230">
        <v>26750</v>
      </c>
      <c r="E2944" s="1212">
        <f t="shared" ref="E2944:E2945" si="1078">D2944-C2944</f>
        <v>-250</v>
      </c>
      <c r="F2944" s="1211">
        <f t="shared" ref="F2944:F2945" si="1079">C2944-C2943</f>
        <v>-250</v>
      </c>
      <c r="G2944" s="1215"/>
      <c r="H2944" s="1269"/>
      <c r="I2944" s="1291">
        <v>213250</v>
      </c>
    </row>
    <row r="2945" spans="1:9" ht="15" customHeight="1">
      <c r="A2945" s="1253">
        <v>45040</v>
      </c>
      <c r="B2945" s="1209">
        <v>1535</v>
      </c>
      <c r="C2945" s="1210">
        <v>26950</v>
      </c>
      <c r="D2945" s="1230">
        <v>26650</v>
      </c>
      <c r="E2945" s="1212">
        <f t="shared" si="1078"/>
        <v>-300</v>
      </c>
      <c r="F2945" s="1211">
        <f t="shared" si="1079"/>
        <v>-50</v>
      </c>
      <c r="G2945" s="1236"/>
      <c r="H2945" s="1280"/>
      <c r="I2945" s="1291">
        <v>213500</v>
      </c>
    </row>
    <row r="2946" spans="1:9" ht="15" customHeight="1">
      <c r="A2946" s="1253">
        <v>45041</v>
      </c>
      <c r="B2946" s="1209">
        <v>1535</v>
      </c>
      <c r="C2946" s="1210">
        <v>26270</v>
      </c>
      <c r="D2946" s="1230">
        <v>26150</v>
      </c>
      <c r="E2946" s="1212">
        <f t="shared" ref="E2946" si="1080">D2946-C2946</f>
        <v>-120</v>
      </c>
      <c r="F2946" s="1211">
        <f t="shared" ref="F2946" si="1081">C2946-C2945</f>
        <v>-680</v>
      </c>
      <c r="G2946" s="1236"/>
      <c r="H2946" s="1280"/>
      <c r="I2946" s="1291">
        <v>211900</v>
      </c>
    </row>
    <row r="2947" spans="1:9" ht="15" customHeight="1">
      <c r="A2947" s="1253">
        <v>45042</v>
      </c>
      <c r="B2947" s="1209">
        <v>1510</v>
      </c>
      <c r="C2947" s="1210">
        <v>25610</v>
      </c>
      <c r="D2947" s="1230">
        <v>25600</v>
      </c>
      <c r="E2947" s="1212">
        <f t="shared" ref="E2947" si="1082">D2947-C2947</f>
        <v>-10</v>
      </c>
      <c r="F2947" s="1211">
        <f t="shared" ref="F2947" si="1083">C2947-C2946</f>
        <v>-660</v>
      </c>
      <c r="G2947" s="1236"/>
      <c r="H2947" s="1280"/>
      <c r="I2947" s="1291">
        <v>207000</v>
      </c>
    </row>
    <row r="2948" spans="1:9" ht="15" customHeight="1">
      <c r="A2948" s="1253">
        <v>45043</v>
      </c>
      <c r="B2948" s="1209">
        <v>1515</v>
      </c>
      <c r="C2948" s="1210">
        <v>25950</v>
      </c>
      <c r="D2948" s="1230">
        <v>25800</v>
      </c>
      <c r="E2948" s="1212">
        <f t="shared" ref="E2948:E2949" si="1084">D2948-C2948</f>
        <v>-150</v>
      </c>
      <c r="F2948" s="1211">
        <f t="shared" ref="F2948:F2949" si="1085">C2948-C2947</f>
        <v>340</v>
      </c>
      <c r="G2948" s="1215"/>
      <c r="H2948" s="1269"/>
      <c r="I2948" s="1291">
        <v>206250</v>
      </c>
    </row>
    <row r="2949" spans="1:9" ht="15" customHeight="1">
      <c r="A2949" s="1253">
        <v>45044</v>
      </c>
      <c r="B2949" s="1209">
        <v>1525</v>
      </c>
      <c r="C2949" s="1210">
        <v>26350</v>
      </c>
      <c r="D2949" s="1230">
        <v>26100</v>
      </c>
      <c r="E2949" s="1212">
        <f t="shared" si="1084"/>
        <v>-250</v>
      </c>
      <c r="F2949" s="1211">
        <f t="shared" si="1085"/>
        <v>400</v>
      </c>
      <c r="G2949" s="1237">
        <f>AVERAGE($C2930:C$2949)</f>
        <v>25886.111111111109</v>
      </c>
      <c r="H2949" s="1274">
        <f>AVERAGE($C$2866:C2949)</f>
        <v>26211.768292682926</v>
      </c>
      <c r="I2949" s="1291">
        <v>209500</v>
      </c>
    </row>
    <row r="2950" spans="1:9" ht="15" customHeight="1">
      <c r="A2950" s="1253">
        <v>45047</v>
      </c>
      <c r="B2950" s="1434"/>
      <c r="C2950" s="1434"/>
      <c r="D2950" s="1434"/>
      <c r="E2950" s="1434"/>
      <c r="F2950" s="1434"/>
      <c r="G2950" s="1215"/>
      <c r="H2950" s="1269"/>
      <c r="I2950" s="1433"/>
    </row>
    <row r="2951" spans="1:9" ht="15" customHeight="1">
      <c r="A2951" s="1253">
        <v>45048</v>
      </c>
      <c r="B2951" s="1209">
        <v>1545</v>
      </c>
      <c r="C2951" s="1210">
        <v>26800</v>
      </c>
      <c r="D2951" s="1230">
        <v>26400</v>
      </c>
      <c r="E2951" s="1212">
        <f t="shared" ref="E2951:E2952" si="1086">D2951-C2951</f>
        <v>-400</v>
      </c>
      <c r="F2951" s="1211">
        <f>C2951-C2949</f>
        <v>450</v>
      </c>
      <c r="G2951" s="1215"/>
      <c r="H2951" s="1269"/>
      <c r="I2951" s="1433"/>
    </row>
    <row r="2952" spans="1:9" ht="15" customHeight="1">
      <c r="A2952" s="1253">
        <v>45049</v>
      </c>
      <c r="B2952" s="1209">
        <v>1535</v>
      </c>
      <c r="C2952" s="1210">
        <v>27125</v>
      </c>
      <c r="D2952" s="1230">
        <v>26875</v>
      </c>
      <c r="E2952" s="1212">
        <f t="shared" si="1086"/>
        <v>-250</v>
      </c>
      <c r="F2952" s="1211">
        <f t="shared" ref="F2952" si="1087">C2952-C2951</f>
        <v>325</v>
      </c>
      <c r="G2952" s="1215"/>
      <c r="H2952" s="1269"/>
      <c r="I2952" s="1433"/>
    </row>
    <row r="2953" spans="1:9" ht="15" customHeight="1">
      <c r="A2953" s="1253">
        <v>45050</v>
      </c>
      <c r="B2953" s="1209">
        <v>1560</v>
      </c>
      <c r="C2953" s="1210">
        <v>27000</v>
      </c>
      <c r="D2953" s="1230">
        <v>26675</v>
      </c>
      <c r="E2953" s="1212">
        <f t="shared" ref="E2953:E2954" si="1088">D2953-C2953</f>
        <v>-325</v>
      </c>
      <c r="F2953" s="1211">
        <f t="shared" ref="F2953:F2954" si="1089">C2953-C2952</f>
        <v>-125</v>
      </c>
      <c r="G2953" s="1215"/>
      <c r="H2953" s="1269"/>
      <c r="I2953" s="1291">
        <f>I2954+6750</f>
        <v>212000</v>
      </c>
    </row>
    <row r="2954" spans="1:9" ht="15" customHeight="1">
      <c r="A2954" s="1253">
        <v>45051</v>
      </c>
      <c r="B2954" s="1209">
        <v>1560</v>
      </c>
      <c r="C2954" s="1210">
        <v>26300</v>
      </c>
      <c r="D2954" s="1230">
        <v>25975</v>
      </c>
      <c r="E2954" s="1212">
        <f t="shared" si="1088"/>
        <v>-325</v>
      </c>
      <c r="F2954" s="1211">
        <f t="shared" si="1089"/>
        <v>-700</v>
      </c>
      <c r="G2954" s="1236"/>
      <c r="H2954" s="1280"/>
      <c r="I2954" s="1291">
        <v>205250</v>
      </c>
    </row>
    <row r="2955" spans="1:9" ht="15" customHeight="1">
      <c r="A2955" s="1253">
        <v>45054</v>
      </c>
      <c r="B2955" s="1439"/>
      <c r="C2955" s="1439"/>
      <c r="D2955" s="1439"/>
      <c r="E2955" s="1439"/>
      <c r="F2955" s="1439"/>
      <c r="G2955" s="1236"/>
      <c r="H2955" s="1280"/>
      <c r="I2955" s="1291">
        <v>207750</v>
      </c>
    </row>
    <row r="2956" spans="1:9" ht="15" customHeight="1">
      <c r="A2956" s="1253">
        <v>45055</v>
      </c>
      <c r="B2956" s="1209">
        <v>1610</v>
      </c>
      <c r="C2956" s="1210">
        <v>26325</v>
      </c>
      <c r="D2956" s="1230">
        <v>26050</v>
      </c>
      <c r="E2956" s="1212">
        <f t="shared" ref="E2956" si="1090">D2956-C2956</f>
        <v>-275</v>
      </c>
      <c r="F2956" s="1211">
        <f>C2956-C2954</f>
        <v>25</v>
      </c>
      <c r="G2956" s="1236"/>
      <c r="H2956" s="1280"/>
      <c r="I2956" s="1291">
        <v>209750</v>
      </c>
    </row>
    <row r="2957" spans="1:9" ht="15" customHeight="1">
      <c r="A2957" s="1253">
        <v>45056</v>
      </c>
      <c r="B2957" s="1209">
        <v>1610</v>
      </c>
      <c r="C2957" s="1210">
        <v>26010</v>
      </c>
      <c r="D2957" s="1230">
        <v>25950</v>
      </c>
      <c r="E2957" s="1212">
        <f t="shared" ref="E2957" si="1091">D2957-C2957</f>
        <v>-60</v>
      </c>
      <c r="F2957" s="1211">
        <f t="shared" ref="F2957" si="1092">C2957-C2956</f>
        <v>-315</v>
      </c>
      <c r="G2957" s="1236"/>
      <c r="H2957" s="1280"/>
      <c r="I2957" s="1291">
        <v>207500</v>
      </c>
    </row>
    <row r="2958" spans="1:9" ht="15" customHeight="1">
      <c r="A2958" s="1253">
        <v>45057</v>
      </c>
      <c r="B2958" s="1209">
        <v>1635</v>
      </c>
      <c r="C2958" s="1210">
        <v>26075</v>
      </c>
      <c r="D2958" s="1230">
        <v>25850</v>
      </c>
      <c r="E2958" s="1212">
        <f t="shared" ref="E2958:E2963" si="1093">D2958-C2958</f>
        <v>-225</v>
      </c>
      <c r="F2958" s="1211">
        <f t="shared" ref="F2958:F2963" si="1094">C2958-C2957</f>
        <v>65</v>
      </c>
      <c r="G2958" s="1215"/>
      <c r="H2958" s="1269"/>
      <c r="I2958" s="1291">
        <v>207000</v>
      </c>
    </row>
    <row r="2959" spans="1:9" ht="15" customHeight="1">
      <c r="A2959" s="1253">
        <v>45058</v>
      </c>
      <c r="B2959" s="1209">
        <v>1610</v>
      </c>
      <c r="C2959" s="1210">
        <v>25025</v>
      </c>
      <c r="D2959" s="1230">
        <v>24700</v>
      </c>
      <c r="E2959" s="1212">
        <f t="shared" si="1093"/>
        <v>-325</v>
      </c>
      <c r="F2959" s="1211">
        <f t="shared" si="1094"/>
        <v>-1050</v>
      </c>
      <c r="G2959" s="1215"/>
      <c r="H2959" s="1269"/>
      <c r="I2959" s="1291">
        <v>201500</v>
      </c>
    </row>
    <row r="2960" spans="1:9" ht="15" customHeight="1">
      <c r="A2960" s="1253">
        <v>45061</v>
      </c>
      <c r="B2960" s="1209">
        <v>1580</v>
      </c>
      <c r="C2960" s="1210">
        <v>25700</v>
      </c>
      <c r="D2960" s="1230">
        <v>25200</v>
      </c>
      <c r="E2960" s="1212">
        <f t="shared" si="1093"/>
        <v>-500</v>
      </c>
      <c r="F2960" s="1211">
        <f t="shared" si="1094"/>
        <v>675</v>
      </c>
      <c r="G2960" s="1215"/>
      <c r="H2960" s="1269"/>
      <c r="I2960" s="1291">
        <v>198000</v>
      </c>
    </row>
    <row r="2961" spans="1:9" ht="15" customHeight="1">
      <c r="A2961" s="1253">
        <v>45062</v>
      </c>
      <c r="B2961" s="1209">
        <v>1675</v>
      </c>
      <c r="C2961" s="1210">
        <v>24925</v>
      </c>
      <c r="D2961" s="1230">
        <v>24610</v>
      </c>
      <c r="E2961" s="1212">
        <f t="shared" si="1093"/>
        <v>-315</v>
      </c>
      <c r="F2961" s="1211">
        <f t="shared" si="1094"/>
        <v>-775</v>
      </c>
      <c r="G2961" s="1215"/>
      <c r="H2961" s="1269"/>
      <c r="I2961" s="1291">
        <v>199500</v>
      </c>
    </row>
    <row r="2962" spans="1:9" ht="15" customHeight="1">
      <c r="A2962" s="1253">
        <v>45063</v>
      </c>
      <c r="B2962" s="1209">
        <v>1710</v>
      </c>
      <c r="C2962" s="1210">
        <v>25150</v>
      </c>
      <c r="D2962" s="1230">
        <v>24900</v>
      </c>
      <c r="E2962" s="1212">
        <f t="shared" si="1093"/>
        <v>-250</v>
      </c>
      <c r="F2962" s="1211">
        <f t="shared" si="1094"/>
        <v>225</v>
      </c>
      <c r="G2962" s="1215"/>
      <c r="H2962" s="1269"/>
      <c r="I2962" s="1291">
        <v>197750</v>
      </c>
    </row>
    <row r="2963" spans="1:9" ht="15" customHeight="1">
      <c r="A2963" s="1253">
        <v>45064</v>
      </c>
      <c r="B2963" s="1209">
        <v>1710</v>
      </c>
      <c r="C2963" s="1210">
        <v>25405</v>
      </c>
      <c r="D2963" s="1230">
        <v>25250</v>
      </c>
      <c r="E2963" s="1212">
        <f t="shared" si="1093"/>
        <v>-155</v>
      </c>
      <c r="F2963" s="1211">
        <f t="shared" si="1094"/>
        <v>255</v>
      </c>
      <c r="G2963" s="1215"/>
      <c r="H2963" s="1269"/>
      <c r="I2963" s="1291">
        <v>198000</v>
      </c>
    </row>
    <row r="2964" spans="1:9" ht="15" customHeight="1">
      <c r="A2964" s="1253">
        <v>45065</v>
      </c>
      <c r="B2964" s="1209">
        <v>1835</v>
      </c>
      <c r="C2964" s="1210">
        <v>25550</v>
      </c>
      <c r="D2964" s="1230">
        <v>25225</v>
      </c>
      <c r="E2964" s="1212">
        <f t="shared" ref="E2964" si="1095">D2964-C2964</f>
        <v>-325</v>
      </c>
      <c r="F2964" s="1211">
        <f t="shared" ref="F2964" si="1096">C2964-C2963</f>
        <v>145</v>
      </c>
      <c r="G2964" s="1215"/>
      <c r="H2964" s="1269"/>
      <c r="I2964" s="1291">
        <v>196500</v>
      </c>
    </row>
    <row r="2965" spans="1:9" ht="15" customHeight="1">
      <c r="A2965" s="1253">
        <v>45068</v>
      </c>
      <c r="B2965" s="1209">
        <v>1830</v>
      </c>
      <c r="C2965" s="1210">
        <v>25150</v>
      </c>
      <c r="D2965" s="1230">
        <v>25075</v>
      </c>
      <c r="E2965" s="1212">
        <f t="shared" ref="E2965" si="1097">D2965-C2965</f>
        <v>-75</v>
      </c>
      <c r="F2965" s="1211">
        <f t="shared" ref="F2965" si="1098">C2965-C2964</f>
        <v>-400</v>
      </c>
      <c r="G2965" s="1215"/>
      <c r="H2965" s="1269"/>
      <c r="I2965" s="1291">
        <v>197250</v>
      </c>
    </row>
    <row r="2966" spans="1:9" ht="15" customHeight="1">
      <c r="A2966" s="1253">
        <v>45069</v>
      </c>
      <c r="B2966" s="1209">
        <v>1830</v>
      </c>
      <c r="C2966" s="1210">
        <v>24300</v>
      </c>
      <c r="D2966" s="1230">
        <v>24125</v>
      </c>
      <c r="E2966" s="1212">
        <f t="shared" ref="E2966" si="1099">D2966-C2966</f>
        <v>-175</v>
      </c>
      <c r="F2966" s="1211">
        <f t="shared" ref="F2966" si="1100">C2966-C2965</f>
        <v>-850</v>
      </c>
      <c r="G2966" s="1215"/>
      <c r="H2966" s="1269"/>
      <c r="I2966" s="1291">
        <v>197500</v>
      </c>
    </row>
    <row r="2967" spans="1:9" ht="15" customHeight="1">
      <c r="A2967" s="1253">
        <v>45070</v>
      </c>
      <c r="B2967" s="1209">
        <v>1890</v>
      </c>
      <c r="C2967" s="1210">
        <v>24550</v>
      </c>
      <c r="D2967" s="1230">
        <v>24275</v>
      </c>
      <c r="E2967" s="1212">
        <f t="shared" ref="E2967" si="1101">D2967-C2967</f>
        <v>-275</v>
      </c>
      <c r="F2967" s="1211">
        <f t="shared" ref="F2967" si="1102">C2967-C2966</f>
        <v>250</v>
      </c>
      <c r="G2967" s="1215"/>
      <c r="H2967" s="1269"/>
      <c r="I2967" s="1291">
        <v>195500</v>
      </c>
    </row>
    <row r="2968" spans="1:9" ht="15" customHeight="1">
      <c r="A2968" s="1253">
        <v>45071</v>
      </c>
      <c r="B2968" s="1209">
        <v>1890</v>
      </c>
      <c r="C2968" s="1210">
        <v>24725</v>
      </c>
      <c r="D2968" s="1230">
        <v>24450</v>
      </c>
      <c r="E2968" s="1212">
        <f t="shared" ref="E2968:E2969" si="1103">D2968-C2968</f>
        <v>-275</v>
      </c>
      <c r="F2968" s="1211">
        <f t="shared" ref="F2968:F2969" si="1104">C2968-C2967</f>
        <v>175</v>
      </c>
      <c r="G2968" s="1215"/>
      <c r="H2968" s="1269"/>
      <c r="I2968" s="1291">
        <v>199500</v>
      </c>
    </row>
    <row r="2969" spans="1:9" ht="15" customHeight="1">
      <c r="A2969" s="1253">
        <v>45072</v>
      </c>
      <c r="B2969" s="1209">
        <v>1925</v>
      </c>
      <c r="C2969" s="1210">
        <v>25000</v>
      </c>
      <c r="D2969" s="1230">
        <v>24750</v>
      </c>
      <c r="E2969" s="1212">
        <f t="shared" si="1103"/>
        <v>-250</v>
      </c>
      <c r="F2969" s="1211">
        <f t="shared" si="1104"/>
        <v>275</v>
      </c>
      <c r="G2969" s="1236"/>
      <c r="H2969" s="1280"/>
      <c r="I2969" s="1291">
        <v>199000</v>
      </c>
    </row>
    <row r="2970" spans="1:9" ht="15" customHeight="1">
      <c r="A2970" s="1253">
        <v>45075</v>
      </c>
      <c r="B2970" s="1434"/>
      <c r="C2970" s="1434"/>
      <c r="D2970" s="1434"/>
      <c r="E2970" s="1434"/>
      <c r="F2970" s="1434"/>
      <c r="G2970" s="1215"/>
      <c r="H2970" s="1269"/>
      <c r="I2970" s="1291">
        <v>202750</v>
      </c>
    </row>
    <row r="2971" spans="1:9" ht="15" customHeight="1">
      <c r="A2971" s="1253">
        <v>45076</v>
      </c>
      <c r="B2971" s="1209">
        <v>1925</v>
      </c>
      <c r="C2971" s="1210">
        <v>25705</v>
      </c>
      <c r="D2971" s="1230">
        <v>25350</v>
      </c>
      <c r="E2971" s="1212">
        <f t="shared" ref="E2971" si="1105">D2971-C2971</f>
        <v>-355</v>
      </c>
      <c r="F2971" s="1211">
        <f>C2971-C2969</f>
        <v>705</v>
      </c>
      <c r="G2971" s="1236"/>
      <c r="H2971" s="1280"/>
      <c r="I2971" s="1291">
        <v>210500</v>
      </c>
    </row>
    <row r="2972" spans="1:9" ht="15" customHeight="1">
      <c r="A2972" s="1253">
        <v>45077</v>
      </c>
      <c r="B2972" s="1209">
        <v>1895</v>
      </c>
      <c r="C2972" s="1210">
        <v>25375</v>
      </c>
      <c r="D2972" s="1230">
        <v>25210</v>
      </c>
      <c r="E2972" s="1212">
        <f t="shared" ref="E2972" si="1106">D2972-C2972</f>
        <v>-165</v>
      </c>
      <c r="F2972" s="1211">
        <f t="shared" ref="F2972" si="1107">C2972-C2971</f>
        <v>-330</v>
      </c>
      <c r="G2972" s="1237">
        <f>AVERAGE($C$2950:C2972)</f>
        <v>25609.75</v>
      </c>
      <c r="H2972" s="1274">
        <f>AVERAGE($C$2866:C2972)</f>
        <v>26093.725490196077</v>
      </c>
      <c r="I2972" s="1291">
        <v>207250</v>
      </c>
    </row>
    <row r="2973" spans="1:9" ht="15" customHeight="1">
      <c r="A2973" s="1253">
        <v>45078</v>
      </c>
      <c r="B2973" s="1209">
        <v>1970</v>
      </c>
      <c r="C2973" s="1210">
        <v>25575</v>
      </c>
      <c r="D2973" s="1230">
        <v>25400</v>
      </c>
      <c r="E2973" s="1212">
        <f t="shared" ref="E2973:E2978" si="1108">D2973-C2973</f>
        <v>-175</v>
      </c>
      <c r="F2973" s="1211">
        <f t="shared" ref="F2973:F2975" si="1109">C2973-C2972</f>
        <v>200</v>
      </c>
      <c r="G2973" s="1215"/>
      <c r="H2973" s="1269"/>
      <c r="I2973" s="1291">
        <v>208000</v>
      </c>
    </row>
    <row r="2974" spans="1:9" ht="15" customHeight="1">
      <c r="A2974" s="1253">
        <v>45079</v>
      </c>
      <c r="B2974" s="1209">
        <v>1970</v>
      </c>
      <c r="C2974" s="1210">
        <v>26295</v>
      </c>
      <c r="D2974" s="1230">
        <v>25950</v>
      </c>
      <c r="E2974" s="1212">
        <f t="shared" si="1108"/>
        <v>-345</v>
      </c>
      <c r="F2974" s="1211">
        <f t="shared" si="1109"/>
        <v>720</v>
      </c>
      <c r="G2974" s="1215"/>
      <c r="H2974" s="1269"/>
      <c r="I2974" s="1291">
        <v>210000</v>
      </c>
    </row>
    <row r="2975" spans="1:9" ht="15" customHeight="1">
      <c r="A2975" s="1253">
        <v>45082</v>
      </c>
      <c r="B2975" s="1209">
        <v>1950</v>
      </c>
      <c r="C2975" s="1210">
        <v>26000</v>
      </c>
      <c r="D2975" s="1230">
        <v>25625</v>
      </c>
      <c r="E2975" s="1212">
        <f t="shared" si="1108"/>
        <v>-375</v>
      </c>
      <c r="F2975" s="1211">
        <f t="shared" si="1109"/>
        <v>-295</v>
      </c>
      <c r="G2975" s="1215"/>
      <c r="H2975" s="1269"/>
      <c r="I2975" s="1291">
        <v>207250</v>
      </c>
    </row>
    <row r="2976" spans="1:9" ht="15" customHeight="1">
      <c r="A2976" s="1253">
        <v>45083</v>
      </c>
      <c r="B2976" s="1209">
        <v>1950</v>
      </c>
      <c r="C2976" s="1210">
        <v>26250</v>
      </c>
      <c r="D2976" s="1230">
        <v>25750</v>
      </c>
      <c r="E2976" s="1212">
        <f t="shared" si="1108"/>
        <v>-500</v>
      </c>
      <c r="F2976" s="1211">
        <f t="shared" ref="F2976:F2981" si="1110">C2976-C2975</f>
        <v>250</v>
      </c>
      <c r="G2976" s="1215"/>
      <c r="H2976" s="1269"/>
      <c r="I2976" s="1291">
        <v>209000</v>
      </c>
    </row>
    <row r="2977" spans="1:9" ht="15" customHeight="1">
      <c r="A2977" s="1253">
        <v>45084</v>
      </c>
      <c r="B2977" s="1209">
        <v>1960</v>
      </c>
      <c r="C2977" s="1210">
        <v>26050</v>
      </c>
      <c r="D2977" s="1230">
        <v>25600</v>
      </c>
      <c r="E2977" s="1212">
        <f t="shared" si="1108"/>
        <v>-450</v>
      </c>
      <c r="F2977" s="1211">
        <f t="shared" si="1110"/>
        <v>-200</v>
      </c>
      <c r="G2977" s="1215"/>
      <c r="H2977" s="1269"/>
      <c r="I2977" s="1291">
        <v>210250</v>
      </c>
    </row>
    <row r="2978" spans="1:9" ht="15" customHeight="1">
      <c r="A2978" s="1253">
        <v>45085</v>
      </c>
      <c r="B2978" s="1209">
        <v>1995</v>
      </c>
      <c r="C2978" s="1210">
        <v>25950</v>
      </c>
      <c r="D2978" s="1230">
        <v>25450</v>
      </c>
      <c r="E2978" s="1212">
        <f t="shared" si="1108"/>
        <v>-500</v>
      </c>
      <c r="F2978" s="1211">
        <f t="shared" si="1110"/>
        <v>-100</v>
      </c>
      <c r="G2978" s="1215"/>
      <c r="H2978" s="1269"/>
      <c r="I2978" s="1291">
        <v>207250</v>
      </c>
    </row>
    <row r="2979" spans="1:9" ht="15" customHeight="1">
      <c r="A2979" s="1253">
        <v>45086</v>
      </c>
      <c r="B2979" s="1209">
        <v>2025</v>
      </c>
      <c r="C2979" s="1210">
        <v>27075</v>
      </c>
      <c r="D2979" s="1230">
        <v>26450</v>
      </c>
      <c r="E2979" s="1212">
        <f t="shared" ref="E2979" si="1111">D2979-C2979</f>
        <v>-625</v>
      </c>
      <c r="F2979" s="1211">
        <f t="shared" si="1110"/>
        <v>1125</v>
      </c>
      <c r="G2979" s="1215"/>
      <c r="H2979" s="1269"/>
      <c r="I2979" s="1291">
        <v>214500</v>
      </c>
    </row>
    <row r="2980" spans="1:9" ht="15" customHeight="1">
      <c r="A2980" s="1253">
        <v>45089</v>
      </c>
      <c r="B2980" s="1209">
        <v>2060</v>
      </c>
      <c r="C2980" s="1210">
        <v>26350</v>
      </c>
      <c r="D2980" s="1230">
        <v>25900</v>
      </c>
      <c r="E2980" s="1212">
        <f t="shared" ref="E2980:E2981" si="1112">D2980-C2980</f>
        <v>-450</v>
      </c>
      <c r="F2980" s="1211">
        <f t="shared" si="1110"/>
        <v>-725</v>
      </c>
      <c r="G2980" s="1215"/>
      <c r="H2980" s="1269"/>
      <c r="I2980" s="1291">
        <v>210500</v>
      </c>
    </row>
    <row r="2981" spans="1:9" ht="15" customHeight="1">
      <c r="A2981" s="1253">
        <v>45090</v>
      </c>
      <c r="B2981" s="1209">
        <v>2030</v>
      </c>
      <c r="C2981" s="1210">
        <v>26625</v>
      </c>
      <c r="D2981" s="1230">
        <v>26200</v>
      </c>
      <c r="E2981" s="1212">
        <f t="shared" si="1112"/>
        <v>-425</v>
      </c>
      <c r="F2981" s="1211">
        <f t="shared" si="1110"/>
        <v>275</v>
      </c>
      <c r="G2981" s="1215"/>
      <c r="H2981" s="1269"/>
      <c r="I2981" s="1291">
        <v>208750</v>
      </c>
    </row>
    <row r="2982" spans="1:9" ht="15" customHeight="1">
      <c r="A2982" s="1253">
        <v>45091</v>
      </c>
      <c r="B2982" s="1209">
        <v>2020</v>
      </c>
      <c r="C2982" s="1210">
        <v>27100</v>
      </c>
      <c r="D2982" s="1230">
        <v>26350</v>
      </c>
      <c r="E2982" s="1212">
        <f t="shared" ref="E2982" si="1113">D2982-C2982</f>
        <v>-750</v>
      </c>
      <c r="F2982" s="1211">
        <f t="shared" ref="F2982" si="1114">C2982-C2981</f>
        <v>475</v>
      </c>
      <c r="G2982" s="1215"/>
      <c r="H2982" s="1269"/>
      <c r="I2982" s="1291">
        <v>211750</v>
      </c>
    </row>
    <row r="2983" spans="1:9" ht="15" customHeight="1">
      <c r="A2983" s="1253">
        <v>45092</v>
      </c>
      <c r="B2983" s="1209">
        <v>2025</v>
      </c>
      <c r="C2983" s="1210">
        <v>28900</v>
      </c>
      <c r="D2983" s="1230">
        <v>27325</v>
      </c>
      <c r="E2983" s="1212">
        <f t="shared" ref="E2983" si="1115">D2983-C2983</f>
        <v>-1575</v>
      </c>
      <c r="F2983" s="1211">
        <f t="shared" ref="F2983" si="1116">C2983-C2982</f>
        <v>1800</v>
      </c>
      <c r="G2983" s="1236"/>
      <c r="H2983" s="1280"/>
      <c r="I2983" s="1291">
        <v>213750</v>
      </c>
    </row>
    <row r="2984" spans="1:9" ht="15" customHeight="1">
      <c r="A2984" s="1253">
        <v>45093</v>
      </c>
      <c r="B2984" s="1209">
        <v>2060</v>
      </c>
      <c r="C2984" s="1210">
        <v>28325</v>
      </c>
      <c r="D2984" s="1230">
        <v>27250</v>
      </c>
      <c r="E2984" s="1212">
        <f t="shared" ref="E2984" si="1117">D2984-C2984</f>
        <v>-1075</v>
      </c>
      <c r="F2984" s="1211">
        <f t="shared" ref="F2984" si="1118">C2984-C2983</f>
        <v>-575</v>
      </c>
      <c r="G2984" s="1236"/>
      <c r="H2984" s="1280"/>
      <c r="I2984" s="1291">
        <v>218750</v>
      </c>
    </row>
    <row r="2985" spans="1:9" ht="15" customHeight="1">
      <c r="A2985" s="1253">
        <v>45096</v>
      </c>
      <c r="B2985" s="1209">
        <v>2060</v>
      </c>
      <c r="C2985" s="1210">
        <v>28600</v>
      </c>
      <c r="D2985" s="1230">
        <v>27150</v>
      </c>
      <c r="E2985" s="1212">
        <f t="shared" ref="E2985" si="1119">D2985-C2985</f>
        <v>-1450</v>
      </c>
      <c r="F2985" s="1211">
        <f t="shared" ref="F2985" si="1120">C2985-C2984</f>
        <v>275</v>
      </c>
      <c r="G2985" s="1236"/>
      <c r="H2985" s="1280"/>
      <c r="I2985" s="1291">
        <v>215250</v>
      </c>
    </row>
    <row r="2986" spans="1:9" ht="15" customHeight="1">
      <c r="A2986" s="1253">
        <v>45097</v>
      </c>
      <c r="B2986" s="1209">
        <v>2290</v>
      </c>
      <c r="C2986" s="1210">
        <v>28795</v>
      </c>
      <c r="D2986" s="1230">
        <v>27000</v>
      </c>
      <c r="E2986" s="1212">
        <f t="shared" ref="E2986" si="1121">D2986-C2986</f>
        <v>-1795</v>
      </c>
      <c r="F2986" s="1211">
        <f t="shared" ref="F2986" si="1122">C2986-C2985</f>
        <v>195</v>
      </c>
      <c r="G2986" s="1236"/>
      <c r="H2986" s="1280"/>
      <c r="I2986" s="1291">
        <v>216750</v>
      </c>
    </row>
    <row r="2987" spans="1:9" ht="15" customHeight="1">
      <c r="A2987" s="1253">
        <v>45098</v>
      </c>
      <c r="B2987" s="1209">
        <v>2380</v>
      </c>
      <c r="C2987" s="1210">
        <v>28595</v>
      </c>
      <c r="D2987" s="1230">
        <v>27200</v>
      </c>
      <c r="E2987" s="1212">
        <f t="shared" ref="E2987" si="1123">D2987-C2987</f>
        <v>-1395</v>
      </c>
      <c r="F2987" s="1211">
        <f t="shared" ref="F2987" si="1124">C2987-C2986</f>
        <v>-200</v>
      </c>
      <c r="G2987" s="1236"/>
      <c r="H2987" s="1280"/>
      <c r="I2987" s="1291">
        <v>219000</v>
      </c>
    </row>
    <row r="2988" spans="1:9" ht="15" customHeight="1">
      <c r="A2988" s="1253">
        <v>45099</v>
      </c>
      <c r="B2988" s="1209">
        <v>2565</v>
      </c>
      <c r="C2988" s="1210">
        <v>28650</v>
      </c>
      <c r="D2988" s="1230">
        <v>27300</v>
      </c>
      <c r="E2988" s="1212">
        <f t="shared" ref="E2988:E2992" si="1125">D2988-C2988</f>
        <v>-1350</v>
      </c>
      <c r="F2988" s="1211">
        <f t="shared" ref="F2988:F2992" si="1126">C2988-C2987</f>
        <v>55</v>
      </c>
      <c r="G2988" s="1215"/>
      <c r="H2988" s="1269"/>
      <c r="I2988" s="1476"/>
    </row>
    <row r="2989" spans="1:9" ht="15" customHeight="1">
      <c r="A2989" s="1253">
        <v>45100</v>
      </c>
      <c r="B2989" s="1209">
        <v>2730</v>
      </c>
      <c r="C2989" s="1210">
        <v>28195</v>
      </c>
      <c r="D2989" s="1230">
        <v>26575</v>
      </c>
      <c r="E2989" s="1212">
        <f t="shared" si="1125"/>
        <v>-1620</v>
      </c>
      <c r="F2989" s="1211">
        <f t="shared" si="1126"/>
        <v>-455</v>
      </c>
      <c r="G2989" s="1215"/>
      <c r="H2989" s="1269"/>
      <c r="I2989" s="1476"/>
    </row>
    <row r="2990" spans="1:9" ht="15" customHeight="1">
      <c r="A2990" s="1253">
        <v>45103</v>
      </c>
      <c r="B2990" s="1209">
        <v>2905</v>
      </c>
      <c r="C2990" s="1210">
        <v>26700</v>
      </c>
      <c r="D2990" s="1230">
        <v>25450</v>
      </c>
      <c r="E2990" s="1212">
        <f t="shared" si="1125"/>
        <v>-1250</v>
      </c>
      <c r="F2990" s="1211">
        <f t="shared" si="1126"/>
        <v>-1495</v>
      </c>
      <c r="G2990" s="1215"/>
      <c r="H2990" s="1269"/>
      <c r="I2990" s="1291">
        <v>214750</v>
      </c>
    </row>
    <row r="2991" spans="1:9" ht="15" customHeight="1">
      <c r="A2991" s="1253">
        <v>45104</v>
      </c>
      <c r="B2991" s="1209">
        <v>2905</v>
      </c>
      <c r="C2991" s="1210">
        <v>27650</v>
      </c>
      <c r="D2991" s="1230">
        <v>26050</v>
      </c>
      <c r="E2991" s="1212">
        <f t="shared" si="1125"/>
        <v>-1600</v>
      </c>
      <c r="F2991" s="1211">
        <f t="shared" si="1126"/>
        <v>950</v>
      </c>
      <c r="G2991" s="1215"/>
      <c r="H2991" s="1269"/>
      <c r="I2991" s="1291">
        <v>212000</v>
      </c>
    </row>
    <row r="2992" spans="1:9" ht="15" customHeight="1">
      <c r="A2992" s="1253">
        <v>45105</v>
      </c>
      <c r="B2992" s="1209">
        <v>2935</v>
      </c>
      <c r="C2992" s="1210">
        <v>27500</v>
      </c>
      <c r="D2992" s="1230">
        <v>26325</v>
      </c>
      <c r="E2992" s="1212">
        <f t="shared" si="1125"/>
        <v>-1175</v>
      </c>
      <c r="F2992" s="1211">
        <f t="shared" si="1126"/>
        <v>-150</v>
      </c>
      <c r="G2992" s="1236"/>
      <c r="H2992" s="1280"/>
      <c r="I2992" s="1291">
        <v>212750</v>
      </c>
    </row>
    <row r="2993" spans="1:16384" ht="15" customHeight="1">
      <c r="A2993" s="1253">
        <v>45106</v>
      </c>
      <c r="B2993" s="1209">
        <v>3490</v>
      </c>
      <c r="C2993" s="1210">
        <v>26900</v>
      </c>
      <c r="D2993" s="1230">
        <v>25900</v>
      </c>
      <c r="E2993" s="1212">
        <f t="shared" ref="E2993" si="1127">D2993-C2993</f>
        <v>-1000</v>
      </c>
      <c r="F2993" s="1211">
        <f t="shared" ref="F2993" si="1128">C2993-C2992</f>
        <v>-600</v>
      </c>
      <c r="G2993" s="1236"/>
      <c r="H2993" s="1280"/>
      <c r="I2993" s="1291">
        <v>213750</v>
      </c>
    </row>
    <row r="2994" spans="1:16384" ht="15" customHeight="1">
      <c r="A2994" s="1253">
        <v>45107</v>
      </c>
      <c r="B2994" s="1209">
        <v>3490</v>
      </c>
      <c r="C2994" s="1210">
        <v>27700</v>
      </c>
      <c r="D2994" s="1230">
        <v>26800</v>
      </c>
      <c r="E2994" s="1212">
        <f t="shared" ref="E2994" si="1129">D2994-C2994</f>
        <v>-900</v>
      </c>
      <c r="F2994" s="1211">
        <f t="shared" ref="F2994" si="1130">C2994-C2993</f>
        <v>800</v>
      </c>
      <c r="G2994" s="1237">
        <f>AVERAGE($C$2973:C2994)</f>
        <v>27262.727272727272</v>
      </c>
      <c r="H2994" s="1274">
        <f>AVERAGE($C$2866:C2994)</f>
        <v>26301.129032258064</v>
      </c>
      <c r="I2994" s="1291">
        <v>226500</v>
      </c>
      <c r="J2994" s="414"/>
    </row>
    <row r="2995" spans="1:16384" ht="15" customHeight="1">
      <c r="A2995" s="1253">
        <v>45110</v>
      </c>
      <c r="B2995" s="1209">
        <v>3605</v>
      </c>
      <c r="C2995" s="1210">
        <v>27700</v>
      </c>
      <c r="D2995" s="1230">
        <v>27125</v>
      </c>
      <c r="E2995" s="1212">
        <f t="shared" ref="E2995" si="1131">D2995-C2995</f>
        <v>-575</v>
      </c>
      <c r="F2995" s="1211">
        <f t="shared" ref="F2995" si="1132">C2995-C2994</f>
        <v>0</v>
      </c>
      <c r="G2995" s="1236"/>
      <c r="H2995" s="1280"/>
      <c r="I2995" s="1291">
        <v>217000</v>
      </c>
    </row>
    <row r="2996" spans="1:16384" ht="15" customHeight="1">
      <c r="A2996" s="1253">
        <v>45111</v>
      </c>
      <c r="B2996" s="1209">
        <v>3700</v>
      </c>
      <c r="C2996" s="1210">
        <v>28150</v>
      </c>
      <c r="D2996" s="1230">
        <v>27350</v>
      </c>
      <c r="E2996" s="1212">
        <f t="shared" ref="E2996" si="1133">D2996-C2996</f>
        <v>-800</v>
      </c>
      <c r="F2996" s="1211">
        <f t="shared" ref="F2996" si="1134">C2996-C2995</f>
        <v>450</v>
      </c>
      <c r="G2996" s="1215"/>
      <c r="H2996" s="1269"/>
      <c r="I2996" s="1291">
        <v>225500</v>
      </c>
      <c r="J2996" s="81"/>
      <c r="K2996" s="160"/>
      <c r="L2996" s="555"/>
      <c r="M2996" s="125"/>
      <c r="N2996" s="470"/>
      <c r="R2996" s="81"/>
      <c r="S2996" s="160"/>
      <c r="T2996" s="555"/>
      <c r="U2996" s="125"/>
      <c r="V2996" s="470"/>
      <c r="W2996" s="449"/>
      <c r="X2996" s="462"/>
      <c r="Y2996" s="299"/>
      <c r="Z2996" s="81"/>
      <c r="AA2996" s="160"/>
      <c r="AB2996" s="555"/>
      <c r="AC2996" s="125"/>
      <c r="AD2996" s="470"/>
      <c r="AE2996" s="449"/>
      <c r="AF2996" s="462"/>
      <c r="AG2996" s="299"/>
      <c r="AH2996" s="81"/>
      <c r="AI2996" s="160"/>
      <c r="AJ2996" s="555"/>
      <c r="AK2996" s="125"/>
      <c r="AL2996" s="470"/>
      <c r="AM2996" s="449"/>
      <c r="AN2996" s="462"/>
      <c r="AO2996" s="299"/>
      <c r="AP2996" s="81"/>
      <c r="AQ2996" s="160"/>
      <c r="AR2996" s="555"/>
      <c r="AS2996" s="125"/>
      <c r="AT2996" s="470"/>
      <c r="AU2996" s="449"/>
      <c r="AV2996" s="462"/>
      <c r="AW2996" s="299"/>
      <c r="AX2996" s="81"/>
      <c r="AY2996" s="160"/>
      <c r="AZ2996" s="555"/>
      <c r="BA2996" s="125"/>
      <c r="BB2996" s="470"/>
      <c r="BC2996" s="449"/>
      <c r="BD2996" s="462"/>
      <c r="BE2996" s="299"/>
      <c r="BF2996" s="81"/>
      <c r="BG2996" s="160"/>
      <c r="BH2996" s="555"/>
      <c r="BI2996" s="125"/>
      <c r="BJ2996" s="470"/>
      <c r="BK2996" s="449"/>
      <c r="BL2996" s="462"/>
      <c r="BM2996" s="299"/>
      <c r="BN2996" s="81"/>
      <c r="BO2996" s="160"/>
      <c r="BP2996" s="555"/>
      <c r="BQ2996" s="125"/>
      <c r="BR2996" s="470"/>
      <c r="BS2996" s="449"/>
      <c r="BT2996" s="462"/>
      <c r="BU2996" s="299"/>
      <c r="BV2996" s="81"/>
      <c r="BW2996" s="160"/>
      <c r="BX2996" s="555"/>
      <c r="BY2996" s="125"/>
      <c r="BZ2996" s="470"/>
      <c r="CA2996" s="449"/>
      <c r="CB2996" s="462"/>
      <c r="CC2996" s="299"/>
      <c r="CD2996" s="81"/>
      <c r="CE2996" s="160"/>
      <c r="CF2996" s="555"/>
      <c r="CG2996" s="125"/>
      <c r="CH2996" s="470"/>
      <c r="CI2996" s="449"/>
      <c r="CJ2996" s="462"/>
      <c r="CK2996" s="299"/>
      <c r="CL2996" s="81"/>
      <c r="CM2996" s="160"/>
      <c r="CN2996" s="555"/>
      <c r="CO2996" s="125"/>
      <c r="CP2996" s="470"/>
      <c r="CQ2996" s="449"/>
      <c r="CR2996" s="462"/>
      <c r="CS2996" s="299"/>
      <c r="CT2996" s="81"/>
      <c r="CU2996" s="160"/>
      <c r="CV2996" s="555"/>
      <c r="CW2996" s="125"/>
      <c r="CX2996" s="470"/>
      <c r="CY2996" s="449"/>
      <c r="CZ2996" s="462"/>
      <c r="DA2996" s="299"/>
      <c r="DB2996" s="81"/>
      <c r="DC2996" s="160"/>
      <c r="DD2996" s="555"/>
      <c r="DE2996" s="125"/>
      <c r="DF2996" s="470"/>
      <c r="DG2996" s="449"/>
      <c r="DH2996" s="462"/>
      <c r="DI2996" s="299"/>
      <c r="DJ2996" s="81"/>
      <c r="DK2996" s="160"/>
      <c r="DL2996" s="555"/>
      <c r="DM2996" s="125"/>
      <c r="DN2996" s="470"/>
      <c r="DO2996" s="449"/>
      <c r="DP2996" s="462"/>
      <c r="DQ2996" s="299"/>
      <c r="DR2996" s="81"/>
      <c r="DS2996" s="160"/>
      <c r="DT2996" s="555"/>
      <c r="DU2996" s="125"/>
      <c r="DV2996" s="470"/>
      <c r="DW2996" s="449"/>
      <c r="DX2996" s="462"/>
      <c r="DY2996" s="299"/>
      <c r="DZ2996" s="81"/>
      <c r="EA2996" s="160"/>
      <c r="EB2996" s="555"/>
      <c r="EC2996" s="125"/>
      <c r="ED2996" s="470"/>
      <c r="EE2996" s="449"/>
      <c r="EF2996" s="462"/>
      <c r="EG2996" s="299"/>
      <c r="EH2996" s="81"/>
      <c r="EI2996" s="160"/>
      <c r="EJ2996" s="555"/>
      <c r="EK2996" s="125"/>
      <c r="EL2996" s="470"/>
      <c r="EM2996" s="449"/>
      <c r="EN2996" s="462"/>
      <c r="EO2996" s="299"/>
      <c r="EP2996" s="81"/>
      <c r="EQ2996" s="160"/>
      <c r="ER2996" s="555"/>
      <c r="ES2996" s="125"/>
      <c r="ET2996" s="470"/>
      <c r="EU2996" s="449"/>
      <c r="EV2996" s="462"/>
      <c r="EW2996" s="299"/>
      <c r="EX2996" s="81"/>
      <c r="EY2996" s="160"/>
      <c r="EZ2996" s="555"/>
      <c r="FA2996" s="125"/>
      <c r="FB2996" s="470"/>
      <c r="FC2996" s="449"/>
      <c r="FD2996" s="462"/>
      <c r="FE2996" s="299"/>
      <c r="FF2996" s="81"/>
      <c r="FG2996" s="160"/>
      <c r="FH2996" s="555"/>
      <c r="FI2996" s="125"/>
      <c r="FJ2996" s="470"/>
      <c r="FK2996" s="449"/>
      <c r="FL2996" s="462"/>
      <c r="FM2996" s="299"/>
      <c r="FN2996" s="81"/>
      <c r="FO2996" s="160"/>
      <c r="FP2996" s="555"/>
      <c r="FQ2996" s="125"/>
      <c r="FR2996" s="470"/>
      <c r="FS2996" s="449"/>
      <c r="FT2996" s="462"/>
      <c r="FU2996" s="299"/>
      <c r="FV2996" s="81"/>
      <c r="FW2996" s="160"/>
      <c r="FX2996" s="555"/>
      <c r="FY2996" s="125"/>
      <c r="FZ2996" s="470"/>
      <c r="GA2996" s="449"/>
      <c r="GB2996" s="462"/>
      <c r="GC2996" s="299"/>
      <c r="GD2996" s="81"/>
      <c r="GE2996" s="160"/>
      <c r="GF2996" s="555"/>
      <c r="GG2996" s="125"/>
      <c r="GH2996" s="470"/>
      <c r="GI2996" s="449"/>
      <c r="GJ2996" s="462"/>
      <c r="GK2996" s="299"/>
      <c r="GL2996" s="81"/>
      <c r="GM2996" s="160"/>
      <c r="GN2996" s="555"/>
      <c r="GO2996" s="125"/>
      <c r="GP2996" s="470"/>
      <c r="GQ2996" s="449"/>
      <c r="GR2996" s="462"/>
      <c r="GS2996" s="299"/>
      <c r="GT2996" s="81"/>
      <c r="GU2996" s="160"/>
      <c r="GV2996" s="555"/>
      <c r="GW2996" s="125"/>
      <c r="GX2996" s="470"/>
      <c r="GY2996" s="449"/>
      <c r="GZ2996" s="462"/>
      <c r="HA2996" s="299"/>
      <c r="HB2996" s="81"/>
      <c r="HC2996" s="160"/>
      <c r="HD2996" s="555"/>
      <c r="HE2996" s="125"/>
      <c r="HF2996" s="470"/>
      <c r="HG2996" s="449"/>
      <c r="HH2996" s="462"/>
      <c r="HI2996" s="299"/>
      <c r="HJ2996" s="81"/>
      <c r="HK2996" s="160"/>
      <c r="HL2996" s="555"/>
      <c r="HM2996" s="125"/>
      <c r="HN2996" s="470"/>
      <c r="HO2996" s="449"/>
      <c r="HP2996" s="462"/>
      <c r="HQ2996" s="299"/>
      <c r="HR2996" s="81"/>
      <c r="HS2996" s="160"/>
      <c r="HT2996" s="555"/>
      <c r="HU2996" s="125"/>
      <c r="HV2996" s="470"/>
      <c r="HW2996" s="449"/>
      <c r="HX2996" s="462"/>
      <c r="HY2996" s="299"/>
      <c r="HZ2996" s="81"/>
      <c r="IA2996" s="160"/>
      <c r="IB2996" s="555"/>
      <c r="IC2996" s="125"/>
      <c r="ID2996" s="470"/>
      <c r="IE2996" s="449"/>
      <c r="IF2996" s="462"/>
      <c r="IG2996" s="299"/>
      <c r="IH2996" s="81"/>
      <c r="II2996" s="160"/>
      <c r="IJ2996" s="555"/>
      <c r="IK2996" s="125"/>
      <c r="IL2996" s="470"/>
      <c r="IM2996" s="449"/>
      <c r="IN2996" s="462"/>
      <c r="IO2996" s="299"/>
      <c r="IP2996" s="81"/>
      <c r="IQ2996" s="160"/>
      <c r="IR2996" s="555"/>
      <c r="IS2996" s="125"/>
      <c r="IT2996" s="470"/>
      <c r="IU2996" s="449"/>
      <c r="IV2996" s="462"/>
      <c r="IW2996" s="299"/>
      <c r="IX2996" s="81"/>
      <c r="IY2996" s="160"/>
      <c r="IZ2996" s="555"/>
      <c r="JA2996" s="125"/>
      <c r="JB2996" s="470"/>
      <c r="JC2996" s="449"/>
      <c r="JD2996" s="462"/>
      <c r="JE2996" s="299"/>
      <c r="JF2996" s="81"/>
      <c r="JG2996" s="160"/>
      <c r="JH2996" s="555"/>
      <c r="JI2996" s="125"/>
      <c r="JJ2996" s="470"/>
      <c r="JK2996" s="449"/>
      <c r="JL2996" s="462"/>
      <c r="JM2996" s="299"/>
      <c r="JN2996" s="81"/>
      <c r="JO2996" s="160"/>
      <c r="JP2996" s="555"/>
      <c r="JQ2996" s="125"/>
      <c r="JR2996" s="470"/>
      <c r="JS2996" s="449"/>
      <c r="JT2996" s="462"/>
      <c r="JU2996" s="299"/>
      <c r="JV2996" s="81"/>
      <c r="JW2996" s="160"/>
      <c r="JX2996" s="555"/>
      <c r="JY2996" s="125"/>
      <c r="JZ2996" s="470"/>
      <c r="KA2996" s="449"/>
      <c r="KB2996" s="462"/>
      <c r="KC2996" s="299"/>
      <c r="KD2996" s="81"/>
      <c r="KE2996" s="160"/>
      <c r="KF2996" s="555"/>
      <c r="KG2996" s="125"/>
      <c r="KH2996" s="470"/>
      <c r="KI2996" s="449"/>
      <c r="KJ2996" s="462"/>
      <c r="KK2996" s="299"/>
      <c r="KL2996" s="81"/>
      <c r="KM2996" s="160"/>
      <c r="KN2996" s="555"/>
      <c r="KO2996" s="125"/>
      <c r="KP2996" s="470"/>
      <c r="KQ2996" s="449"/>
      <c r="KR2996" s="462"/>
      <c r="KS2996" s="299"/>
      <c r="KT2996" s="81"/>
      <c r="KU2996" s="160"/>
      <c r="KV2996" s="555"/>
      <c r="KW2996" s="125"/>
      <c r="KX2996" s="470"/>
      <c r="KY2996" s="449"/>
      <c r="KZ2996" s="462"/>
      <c r="LA2996" s="299"/>
      <c r="LB2996" s="81"/>
      <c r="LC2996" s="160"/>
      <c r="LD2996" s="555"/>
      <c r="LE2996" s="125"/>
      <c r="LF2996" s="470"/>
      <c r="LG2996" s="449"/>
      <c r="LH2996" s="462"/>
      <c r="LI2996" s="299"/>
      <c r="LJ2996" s="81"/>
      <c r="LK2996" s="160"/>
      <c r="LL2996" s="555"/>
      <c r="LM2996" s="125"/>
      <c r="LN2996" s="470"/>
      <c r="LO2996" s="449"/>
      <c r="LP2996" s="462"/>
      <c r="LQ2996" s="299"/>
      <c r="LR2996" s="81"/>
      <c r="LS2996" s="160"/>
      <c r="LT2996" s="555"/>
      <c r="LU2996" s="125"/>
      <c r="LV2996" s="470"/>
      <c r="LW2996" s="449"/>
      <c r="LX2996" s="462"/>
      <c r="LY2996" s="299"/>
      <c r="LZ2996" s="81"/>
      <c r="MA2996" s="160"/>
      <c r="MB2996" s="555"/>
      <c r="MC2996" s="125"/>
      <c r="MD2996" s="470"/>
      <c r="ME2996" s="449"/>
      <c r="MF2996" s="462"/>
      <c r="MG2996" s="299"/>
      <c r="MH2996" s="81"/>
      <c r="MI2996" s="160"/>
      <c r="MJ2996" s="555"/>
      <c r="MK2996" s="125"/>
      <c r="ML2996" s="470"/>
      <c r="MM2996" s="449"/>
      <c r="MN2996" s="462"/>
      <c r="MO2996" s="299"/>
      <c r="MP2996" s="81"/>
      <c r="MQ2996" s="160"/>
      <c r="MR2996" s="555"/>
      <c r="MS2996" s="125"/>
      <c r="MT2996" s="470"/>
      <c r="MU2996" s="449"/>
      <c r="MV2996" s="462"/>
      <c r="MW2996" s="299"/>
      <c r="MX2996" s="81"/>
      <c r="MY2996" s="160"/>
      <c r="MZ2996" s="555"/>
      <c r="NA2996" s="125"/>
      <c r="NB2996" s="470"/>
      <c r="NC2996" s="449"/>
      <c r="ND2996" s="462"/>
      <c r="NE2996" s="299"/>
      <c r="NF2996" s="81"/>
      <c r="NG2996" s="160"/>
      <c r="NH2996" s="555"/>
      <c r="NI2996" s="125"/>
      <c r="NJ2996" s="470"/>
      <c r="NK2996" s="449"/>
      <c r="NL2996" s="462"/>
      <c r="NM2996" s="299"/>
      <c r="NN2996" s="81"/>
      <c r="NO2996" s="160"/>
      <c r="NP2996" s="555"/>
      <c r="NQ2996" s="125"/>
      <c r="NR2996" s="470"/>
      <c r="NS2996" s="449"/>
      <c r="NT2996" s="462"/>
      <c r="NU2996" s="299"/>
      <c r="NV2996" s="81"/>
      <c r="NW2996" s="160"/>
      <c r="NX2996" s="555"/>
      <c r="NY2996" s="125"/>
      <c r="NZ2996" s="470"/>
      <c r="OA2996" s="449"/>
      <c r="OB2996" s="462"/>
      <c r="OC2996" s="299"/>
      <c r="OD2996" s="81"/>
      <c r="OE2996" s="160"/>
      <c r="OF2996" s="555"/>
      <c r="OG2996" s="125"/>
      <c r="OH2996" s="470"/>
      <c r="OI2996" s="449"/>
      <c r="OJ2996" s="462"/>
      <c r="OK2996" s="299"/>
      <c r="OL2996" s="81"/>
      <c r="OM2996" s="160"/>
      <c r="ON2996" s="555"/>
      <c r="OO2996" s="125"/>
      <c r="OP2996" s="470"/>
      <c r="OQ2996" s="449"/>
      <c r="OR2996" s="462"/>
      <c r="OS2996" s="299"/>
      <c r="OT2996" s="81"/>
      <c r="OU2996" s="160"/>
      <c r="OV2996" s="555"/>
      <c r="OW2996" s="125"/>
      <c r="OX2996" s="470"/>
      <c r="OY2996" s="449"/>
      <c r="OZ2996" s="462"/>
      <c r="PA2996" s="299"/>
      <c r="PB2996" s="81"/>
      <c r="PC2996" s="160"/>
      <c r="PD2996" s="555"/>
      <c r="PE2996" s="125"/>
      <c r="PF2996" s="470"/>
      <c r="PG2996" s="449"/>
      <c r="PH2996" s="462"/>
      <c r="PI2996" s="299"/>
      <c r="PJ2996" s="81"/>
      <c r="PK2996" s="160"/>
      <c r="PL2996" s="555"/>
      <c r="PM2996" s="125"/>
      <c r="PN2996" s="470"/>
      <c r="PO2996" s="449"/>
      <c r="PP2996" s="462"/>
      <c r="PQ2996" s="299"/>
      <c r="PR2996" s="81"/>
      <c r="PS2996" s="160"/>
      <c r="PT2996" s="555"/>
      <c r="PU2996" s="125"/>
      <c r="PV2996" s="470"/>
      <c r="PW2996" s="449"/>
      <c r="PX2996" s="462"/>
      <c r="PY2996" s="299"/>
      <c r="PZ2996" s="81"/>
      <c r="QA2996" s="160"/>
      <c r="QB2996" s="555"/>
      <c r="QC2996" s="125"/>
      <c r="QD2996" s="470"/>
      <c r="QE2996" s="449"/>
      <c r="QF2996" s="462"/>
      <c r="QG2996" s="299"/>
      <c r="QH2996" s="81"/>
      <c r="QI2996" s="160"/>
      <c r="QJ2996" s="555"/>
      <c r="QK2996" s="125"/>
      <c r="QL2996" s="470"/>
      <c r="QM2996" s="449"/>
      <c r="QN2996" s="462"/>
      <c r="QO2996" s="299"/>
      <c r="QP2996" s="81"/>
      <c r="QQ2996" s="160"/>
      <c r="QR2996" s="555"/>
      <c r="QS2996" s="125"/>
      <c r="QT2996" s="470"/>
      <c r="QU2996" s="449"/>
      <c r="QV2996" s="462"/>
      <c r="QW2996" s="299"/>
      <c r="QX2996" s="81"/>
      <c r="QY2996" s="160"/>
      <c r="QZ2996" s="555"/>
      <c r="RA2996" s="125"/>
      <c r="RB2996" s="470"/>
      <c r="RC2996" s="449"/>
      <c r="RD2996" s="462"/>
      <c r="RE2996" s="299"/>
      <c r="RF2996" s="81"/>
      <c r="RG2996" s="160"/>
      <c r="RH2996" s="555"/>
      <c r="RI2996" s="125"/>
      <c r="RJ2996" s="470"/>
      <c r="RK2996" s="449"/>
      <c r="RL2996" s="462"/>
      <c r="RM2996" s="299"/>
      <c r="RN2996" s="81"/>
      <c r="RO2996" s="160"/>
      <c r="RP2996" s="555"/>
      <c r="RQ2996" s="125"/>
      <c r="RR2996" s="470"/>
      <c r="RS2996" s="449"/>
      <c r="RT2996" s="462"/>
      <c r="RU2996" s="299"/>
      <c r="RV2996" s="81"/>
      <c r="RW2996" s="160"/>
      <c r="RX2996" s="555"/>
      <c r="RY2996" s="125"/>
      <c r="RZ2996" s="470"/>
      <c r="SA2996" s="449"/>
      <c r="SB2996" s="462"/>
      <c r="SC2996" s="299"/>
      <c r="SD2996" s="81"/>
      <c r="SE2996" s="160"/>
      <c r="SF2996" s="555"/>
      <c r="SG2996" s="125"/>
      <c r="SH2996" s="470"/>
      <c r="SI2996" s="449"/>
      <c r="SJ2996" s="462"/>
      <c r="SK2996" s="299"/>
      <c r="SL2996" s="81"/>
      <c r="SM2996" s="160"/>
      <c r="SN2996" s="555"/>
      <c r="SO2996" s="125"/>
      <c r="SP2996" s="470"/>
      <c r="SQ2996" s="449"/>
      <c r="SR2996" s="462"/>
      <c r="SS2996" s="299"/>
      <c r="ST2996" s="81"/>
      <c r="SU2996" s="160"/>
      <c r="SV2996" s="555"/>
      <c r="SW2996" s="125"/>
      <c r="SX2996" s="470"/>
      <c r="SY2996" s="449"/>
      <c r="SZ2996" s="462"/>
      <c r="TA2996" s="299"/>
      <c r="TB2996" s="81"/>
      <c r="TC2996" s="160"/>
      <c r="TD2996" s="555"/>
      <c r="TE2996" s="125"/>
      <c r="TF2996" s="470"/>
      <c r="TG2996" s="449"/>
      <c r="TH2996" s="462"/>
      <c r="TI2996" s="299"/>
      <c r="TJ2996" s="81"/>
      <c r="TK2996" s="160"/>
      <c r="TL2996" s="555"/>
      <c r="TM2996" s="125"/>
      <c r="TN2996" s="470"/>
      <c r="TO2996" s="449"/>
      <c r="TP2996" s="462"/>
      <c r="TQ2996" s="299"/>
      <c r="TR2996" s="81"/>
      <c r="TS2996" s="160"/>
      <c r="TT2996" s="555"/>
      <c r="TU2996" s="125"/>
      <c r="TV2996" s="470"/>
      <c r="TW2996" s="449"/>
      <c r="TX2996" s="462"/>
      <c r="TY2996" s="299"/>
      <c r="TZ2996" s="81"/>
      <c r="UA2996" s="160"/>
      <c r="UB2996" s="555"/>
      <c r="UC2996" s="125"/>
      <c r="UD2996" s="470"/>
      <c r="UE2996" s="449"/>
      <c r="UF2996" s="462"/>
      <c r="UG2996" s="299"/>
      <c r="UH2996" s="81"/>
      <c r="UI2996" s="160"/>
      <c r="UJ2996" s="555"/>
      <c r="UK2996" s="125"/>
      <c r="UL2996" s="470"/>
      <c r="UM2996" s="449"/>
      <c r="UN2996" s="462"/>
      <c r="UO2996" s="299"/>
      <c r="UP2996" s="81"/>
      <c r="UQ2996" s="160"/>
      <c r="UR2996" s="555"/>
      <c r="US2996" s="125"/>
      <c r="UT2996" s="470"/>
      <c r="UU2996" s="449"/>
      <c r="UV2996" s="462"/>
      <c r="UW2996" s="299"/>
      <c r="UX2996" s="81"/>
      <c r="UY2996" s="160"/>
      <c r="UZ2996" s="555"/>
      <c r="VA2996" s="125"/>
      <c r="VB2996" s="470"/>
      <c r="VC2996" s="449"/>
      <c r="VD2996" s="462"/>
      <c r="VE2996" s="299"/>
      <c r="VF2996" s="81"/>
      <c r="VG2996" s="160"/>
      <c r="VH2996" s="555"/>
      <c r="VI2996" s="125"/>
      <c r="VJ2996" s="470"/>
      <c r="VK2996" s="449"/>
      <c r="VL2996" s="462"/>
      <c r="VM2996" s="299"/>
      <c r="VN2996" s="81"/>
      <c r="VO2996" s="160"/>
      <c r="VP2996" s="555"/>
      <c r="VQ2996" s="125"/>
      <c r="VR2996" s="470"/>
      <c r="VS2996" s="449"/>
      <c r="VT2996" s="462"/>
      <c r="VU2996" s="299"/>
      <c r="VV2996" s="81"/>
      <c r="VW2996" s="160"/>
      <c r="VX2996" s="555"/>
      <c r="VY2996" s="125"/>
      <c r="VZ2996" s="470"/>
      <c r="WA2996" s="449"/>
      <c r="WB2996" s="462"/>
      <c r="WC2996" s="299"/>
      <c r="WD2996" s="81"/>
      <c r="WE2996" s="160"/>
      <c r="WF2996" s="555"/>
      <c r="WG2996" s="125"/>
      <c r="WH2996" s="470"/>
      <c r="WI2996" s="449"/>
      <c r="WJ2996" s="462"/>
      <c r="WK2996" s="299"/>
      <c r="WL2996" s="81"/>
      <c r="WM2996" s="160"/>
      <c r="WN2996" s="555"/>
      <c r="WO2996" s="125"/>
      <c r="WP2996" s="470"/>
      <c r="WQ2996" s="449"/>
      <c r="WR2996" s="462"/>
      <c r="WS2996" s="299"/>
      <c r="WT2996" s="81"/>
      <c r="WU2996" s="160"/>
      <c r="WV2996" s="555"/>
      <c r="WW2996" s="125"/>
      <c r="WX2996" s="470"/>
      <c r="WY2996" s="449"/>
      <c r="WZ2996" s="462"/>
      <c r="XA2996" s="299"/>
      <c r="XB2996" s="81"/>
      <c r="XC2996" s="160"/>
      <c r="XD2996" s="555"/>
      <c r="XE2996" s="125"/>
      <c r="XF2996" s="470"/>
      <c r="XG2996" s="449"/>
      <c r="XH2996" s="462"/>
      <c r="XI2996" s="299"/>
      <c r="XJ2996" s="81"/>
      <c r="XK2996" s="160"/>
      <c r="XL2996" s="555"/>
      <c r="XM2996" s="125"/>
      <c r="XN2996" s="470"/>
      <c r="XO2996" s="449"/>
      <c r="XP2996" s="462"/>
      <c r="XQ2996" s="299"/>
      <c r="XR2996" s="81"/>
      <c r="XS2996" s="160"/>
      <c r="XT2996" s="555"/>
      <c r="XU2996" s="125"/>
      <c r="XV2996" s="470"/>
      <c r="XW2996" s="449"/>
      <c r="XX2996" s="462"/>
      <c r="XY2996" s="299"/>
      <c r="XZ2996" s="81"/>
      <c r="YA2996" s="160"/>
      <c r="YB2996" s="555"/>
      <c r="YC2996" s="125"/>
      <c r="YD2996" s="470"/>
      <c r="YE2996" s="449"/>
      <c r="YF2996" s="462"/>
      <c r="YG2996" s="299"/>
      <c r="YH2996" s="81"/>
      <c r="YI2996" s="160"/>
      <c r="YJ2996" s="555"/>
      <c r="YK2996" s="125"/>
      <c r="YL2996" s="470"/>
      <c r="YM2996" s="449"/>
      <c r="YN2996" s="462"/>
      <c r="YO2996" s="299"/>
      <c r="YP2996" s="81"/>
      <c r="YQ2996" s="160"/>
      <c r="YR2996" s="555"/>
      <c r="YS2996" s="125"/>
      <c r="YT2996" s="470"/>
      <c r="YU2996" s="449"/>
      <c r="YV2996" s="462"/>
      <c r="YW2996" s="299"/>
      <c r="YX2996" s="81"/>
      <c r="YY2996" s="160"/>
      <c r="YZ2996" s="555"/>
      <c r="ZA2996" s="125"/>
      <c r="ZB2996" s="470"/>
      <c r="ZC2996" s="449"/>
      <c r="ZD2996" s="462"/>
      <c r="ZE2996" s="299"/>
      <c r="ZF2996" s="81"/>
      <c r="ZG2996" s="160"/>
      <c r="ZH2996" s="555"/>
      <c r="ZI2996" s="125"/>
      <c r="ZJ2996" s="470"/>
      <c r="ZK2996" s="449"/>
      <c r="ZL2996" s="462"/>
      <c r="ZM2996" s="299"/>
      <c r="ZN2996" s="81"/>
      <c r="ZO2996" s="160"/>
      <c r="ZP2996" s="555"/>
      <c r="ZQ2996" s="125"/>
      <c r="ZR2996" s="470"/>
      <c r="ZS2996" s="449"/>
      <c r="ZT2996" s="462"/>
      <c r="ZU2996" s="299"/>
      <c r="ZV2996" s="81"/>
      <c r="ZW2996" s="160"/>
      <c r="ZX2996" s="555"/>
      <c r="ZY2996" s="125"/>
      <c r="ZZ2996" s="470"/>
      <c r="AAA2996" s="449"/>
      <c r="AAB2996" s="462"/>
      <c r="AAC2996" s="299"/>
      <c r="AAD2996" s="81"/>
      <c r="AAE2996" s="160"/>
      <c r="AAF2996" s="555"/>
      <c r="AAG2996" s="125"/>
      <c r="AAH2996" s="470"/>
      <c r="AAI2996" s="449"/>
      <c r="AAJ2996" s="462"/>
      <c r="AAK2996" s="299"/>
      <c r="AAL2996" s="81"/>
      <c r="AAM2996" s="160"/>
      <c r="AAN2996" s="555"/>
      <c r="AAO2996" s="125"/>
      <c r="AAP2996" s="470"/>
      <c r="AAQ2996" s="449"/>
      <c r="AAR2996" s="462"/>
      <c r="AAS2996" s="299"/>
      <c r="AAT2996" s="81"/>
      <c r="AAU2996" s="160"/>
      <c r="AAV2996" s="555"/>
      <c r="AAW2996" s="125"/>
      <c r="AAX2996" s="470"/>
      <c r="AAY2996" s="449"/>
      <c r="AAZ2996" s="462"/>
      <c r="ABA2996" s="299"/>
      <c r="ABB2996" s="81"/>
      <c r="ABC2996" s="160"/>
      <c r="ABD2996" s="555"/>
      <c r="ABE2996" s="125"/>
      <c r="ABF2996" s="470"/>
      <c r="ABG2996" s="449"/>
      <c r="ABH2996" s="462"/>
      <c r="ABI2996" s="299"/>
      <c r="ABJ2996" s="81"/>
      <c r="ABK2996" s="160"/>
      <c r="ABL2996" s="555"/>
      <c r="ABM2996" s="125"/>
      <c r="ABN2996" s="470"/>
      <c r="ABO2996" s="449"/>
      <c r="ABP2996" s="462"/>
      <c r="ABQ2996" s="299"/>
      <c r="ABR2996" s="81"/>
      <c r="ABS2996" s="160"/>
      <c r="ABT2996" s="555"/>
      <c r="ABU2996" s="125"/>
      <c r="ABV2996" s="470"/>
      <c r="ABW2996" s="449"/>
      <c r="ABX2996" s="462"/>
      <c r="ABY2996" s="299"/>
      <c r="ABZ2996" s="81"/>
      <c r="ACA2996" s="160"/>
      <c r="ACB2996" s="555"/>
      <c r="ACC2996" s="125"/>
      <c r="ACD2996" s="470"/>
      <c r="ACE2996" s="449"/>
      <c r="ACF2996" s="462"/>
      <c r="ACG2996" s="299"/>
      <c r="ACH2996" s="81"/>
      <c r="ACI2996" s="160"/>
      <c r="ACJ2996" s="555"/>
      <c r="ACK2996" s="125"/>
      <c r="ACL2996" s="470"/>
      <c r="ACM2996" s="449"/>
      <c r="ACN2996" s="462"/>
      <c r="ACO2996" s="299"/>
      <c r="ACP2996" s="81"/>
      <c r="ACQ2996" s="160"/>
      <c r="ACR2996" s="555"/>
      <c r="ACS2996" s="125"/>
      <c r="ACT2996" s="470"/>
      <c r="ACU2996" s="449"/>
      <c r="ACV2996" s="462"/>
      <c r="ACW2996" s="299"/>
      <c r="ACX2996" s="81"/>
      <c r="ACY2996" s="160"/>
      <c r="ACZ2996" s="555"/>
      <c r="ADA2996" s="125"/>
      <c r="ADB2996" s="470"/>
      <c r="ADC2996" s="449"/>
      <c r="ADD2996" s="462"/>
      <c r="ADE2996" s="299"/>
      <c r="ADF2996" s="81"/>
      <c r="ADG2996" s="160"/>
      <c r="ADH2996" s="555"/>
      <c r="ADI2996" s="125"/>
      <c r="ADJ2996" s="470"/>
      <c r="ADK2996" s="449"/>
      <c r="ADL2996" s="462"/>
      <c r="ADM2996" s="299"/>
      <c r="ADN2996" s="81"/>
      <c r="ADO2996" s="160"/>
      <c r="ADP2996" s="555"/>
      <c r="ADQ2996" s="125"/>
      <c r="ADR2996" s="470"/>
      <c r="ADS2996" s="449"/>
      <c r="ADT2996" s="462"/>
      <c r="ADU2996" s="299"/>
      <c r="ADV2996" s="81"/>
      <c r="ADW2996" s="160"/>
      <c r="ADX2996" s="555"/>
      <c r="ADY2996" s="125"/>
      <c r="ADZ2996" s="470"/>
      <c r="AEA2996" s="449"/>
      <c r="AEB2996" s="462"/>
      <c r="AEC2996" s="299"/>
      <c r="AED2996" s="81"/>
      <c r="AEE2996" s="160"/>
      <c r="AEF2996" s="555"/>
      <c r="AEG2996" s="125"/>
      <c r="AEH2996" s="470"/>
      <c r="AEI2996" s="449"/>
      <c r="AEJ2996" s="462"/>
      <c r="AEK2996" s="299"/>
      <c r="AEL2996" s="81"/>
      <c r="AEM2996" s="160"/>
      <c r="AEN2996" s="555"/>
      <c r="AEO2996" s="125"/>
      <c r="AEP2996" s="470"/>
      <c r="AEQ2996" s="449"/>
      <c r="AER2996" s="462"/>
      <c r="AES2996" s="299"/>
      <c r="AET2996" s="81"/>
      <c r="AEU2996" s="160"/>
      <c r="AEV2996" s="555"/>
      <c r="AEW2996" s="125"/>
      <c r="AEX2996" s="470"/>
      <c r="AEY2996" s="449"/>
      <c r="AEZ2996" s="462"/>
      <c r="AFA2996" s="299"/>
      <c r="AFB2996" s="81"/>
      <c r="AFC2996" s="160"/>
      <c r="AFD2996" s="555"/>
      <c r="AFE2996" s="125"/>
      <c r="AFF2996" s="470"/>
      <c r="AFG2996" s="449"/>
      <c r="AFH2996" s="462"/>
      <c r="AFI2996" s="299"/>
      <c r="AFJ2996" s="81"/>
      <c r="AFK2996" s="160"/>
      <c r="AFL2996" s="555"/>
      <c r="AFM2996" s="125"/>
      <c r="AFN2996" s="470"/>
      <c r="AFO2996" s="449"/>
      <c r="AFP2996" s="462"/>
      <c r="AFQ2996" s="299"/>
      <c r="AFR2996" s="81"/>
      <c r="AFS2996" s="160"/>
      <c r="AFT2996" s="555"/>
      <c r="AFU2996" s="125"/>
      <c r="AFV2996" s="470"/>
      <c r="AFW2996" s="449"/>
      <c r="AFX2996" s="462"/>
      <c r="AFY2996" s="299"/>
      <c r="AFZ2996" s="81"/>
      <c r="AGA2996" s="160"/>
      <c r="AGB2996" s="555"/>
      <c r="AGC2996" s="125"/>
      <c r="AGD2996" s="470"/>
      <c r="AGE2996" s="449"/>
      <c r="AGF2996" s="462"/>
      <c r="AGG2996" s="299"/>
      <c r="AGH2996" s="81"/>
      <c r="AGI2996" s="160"/>
      <c r="AGJ2996" s="555"/>
      <c r="AGK2996" s="125"/>
      <c r="AGL2996" s="470"/>
      <c r="AGM2996" s="449"/>
      <c r="AGN2996" s="462"/>
      <c r="AGO2996" s="299"/>
      <c r="AGP2996" s="81"/>
      <c r="AGQ2996" s="160"/>
      <c r="AGR2996" s="555"/>
      <c r="AGS2996" s="125"/>
      <c r="AGT2996" s="470"/>
      <c r="AGU2996" s="449"/>
      <c r="AGV2996" s="462"/>
      <c r="AGW2996" s="299"/>
      <c r="AGX2996" s="81"/>
      <c r="AGY2996" s="160"/>
      <c r="AGZ2996" s="555"/>
      <c r="AHA2996" s="125"/>
      <c r="AHB2996" s="470"/>
      <c r="AHC2996" s="449"/>
      <c r="AHD2996" s="462"/>
      <c r="AHE2996" s="299"/>
      <c r="AHF2996" s="81"/>
      <c r="AHG2996" s="160"/>
      <c r="AHH2996" s="555"/>
      <c r="AHI2996" s="125"/>
      <c r="AHJ2996" s="470"/>
      <c r="AHK2996" s="449"/>
      <c r="AHL2996" s="462"/>
      <c r="AHM2996" s="299"/>
      <c r="AHN2996" s="81"/>
      <c r="AHO2996" s="160"/>
      <c r="AHP2996" s="555"/>
      <c r="AHQ2996" s="125"/>
      <c r="AHR2996" s="470"/>
      <c r="AHS2996" s="449"/>
      <c r="AHT2996" s="462"/>
      <c r="AHU2996" s="299"/>
      <c r="AHV2996" s="81"/>
      <c r="AHW2996" s="160"/>
      <c r="AHX2996" s="555"/>
      <c r="AHY2996" s="125"/>
      <c r="AHZ2996" s="470"/>
      <c r="AIA2996" s="449"/>
      <c r="AIB2996" s="462"/>
      <c r="AIC2996" s="299"/>
      <c r="AID2996" s="81"/>
      <c r="AIE2996" s="160"/>
      <c r="AIF2996" s="555"/>
      <c r="AIG2996" s="125"/>
      <c r="AIH2996" s="470"/>
      <c r="AII2996" s="449"/>
      <c r="AIJ2996" s="462"/>
      <c r="AIK2996" s="299"/>
      <c r="AIL2996" s="81"/>
      <c r="AIM2996" s="160"/>
      <c r="AIN2996" s="555"/>
      <c r="AIO2996" s="125"/>
      <c r="AIP2996" s="470"/>
      <c r="AIQ2996" s="449"/>
      <c r="AIR2996" s="462"/>
      <c r="AIS2996" s="299"/>
      <c r="AIT2996" s="81"/>
      <c r="AIU2996" s="160"/>
      <c r="AIV2996" s="555"/>
      <c r="AIW2996" s="125"/>
      <c r="AIX2996" s="470"/>
      <c r="AIY2996" s="449"/>
      <c r="AIZ2996" s="462"/>
      <c r="AJA2996" s="299"/>
      <c r="AJB2996" s="81"/>
      <c r="AJC2996" s="160"/>
      <c r="AJD2996" s="555"/>
      <c r="AJE2996" s="125"/>
      <c r="AJF2996" s="470"/>
      <c r="AJG2996" s="449"/>
      <c r="AJH2996" s="462"/>
      <c r="AJI2996" s="299"/>
      <c r="AJJ2996" s="81"/>
      <c r="AJK2996" s="160"/>
      <c r="AJL2996" s="555"/>
      <c r="AJM2996" s="125"/>
      <c r="AJN2996" s="470"/>
      <c r="AJO2996" s="449"/>
      <c r="AJP2996" s="462"/>
      <c r="AJQ2996" s="299"/>
      <c r="AJR2996" s="81"/>
      <c r="AJS2996" s="160"/>
      <c r="AJT2996" s="555"/>
      <c r="AJU2996" s="125"/>
      <c r="AJV2996" s="470"/>
      <c r="AJW2996" s="449"/>
      <c r="AJX2996" s="462"/>
      <c r="AJY2996" s="299"/>
      <c r="AJZ2996" s="81"/>
      <c r="AKA2996" s="160"/>
      <c r="AKB2996" s="555"/>
      <c r="AKC2996" s="125"/>
      <c r="AKD2996" s="470"/>
      <c r="AKE2996" s="449"/>
      <c r="AKF2996" s="462"/>
      <c r="AKG2996" s="299"/>
      <c r="AKH2996" s="81"/>
      <c r="AKI2996" s="160"/>
      <c r="AKJ2996" s="555"/>
      <c r="AKK2996" s="125"/>
      <c r="AKL2996" s="470"/>
      <c r="AKM2996" s="449"/>
      <c r="AKN2996" s="462"/>
      <c r="AKO2996" s="299"/>
      <c r="AKP2996" s="81"/>
      <c r="AKQ2996" s="160"/>
      <c r="AKR2996" s="555"/>
      <c r="AKS2996" s="125"/>
      <c r="AKT2996" s="470"/>
      <c r="AKU2996" s="449"/>
      <c r="AKV2996" s="462"/>
      <c r="AKW2996" s="299"/>
      <c r="AKX2996" s="81"/>
      <c r="AKY2996" s="160"/>
      <c r="AKZ2996" s="555"/>
      <c r="ALA2996" s="125"/>
      <c r="ALB2996" s="470"/>
      <c r="ALC2996" s="449"/>
      <c r="ALD2996" s="462"/>
      <c r="ALE2996" s="299"/>
      <c r="ALF2996" s="81"/>
      <c r="ALG2996" s="160"/>
      <c r="ALH2996" s="555"/>
      <c r="ALI2996" s="125"/>
      <c r="ALJ2996" s="470"/>
      <c r="ALK2996" s="449"/>
      <c r="ALL2996" s="462"/>
      <c r="ALM2996" s="299"/>
      <c r="ALN2996" s="81"/>
      <c r="ALO2996" s="160"/>
      <c r="ALP2996" s="555"/>
      <c r="ALQ2996" s="125"/>
      <c r="ALR2996" s="470"/>
      <c r="ALS2996" s="449"/>
      <c r="ALT2996" s="462"/>
      <c r="ALU2996" s="299"/>
      <c r="ALV2996" s="81"/>
      <c r="ALW2996" s="160"/>
      <c r="ALX2996" s="555"/>
      <c r="ALY2996" s="125"/>
      <c r="ALZ2996" s="470"/>
      <c r="AMA2996" s="449"/>
      <c r="AMB2996" s="462"/>
      <c r="AMC2996" s="299"/>
      <c r="AMD2996" s="81"/>
      <c r="AME2996" s="160"/>
      <c r="AMF2996" s="555"/>
      <c r="AMG2996" s="125"/>
      <c r="AMH2996" s="470"/>
      <c r="AMI2996" s="449"/>
      <c r="AMJ2996" s="462"/>
      <c r="AMK2996" s="299"/>
      <c r="AML2996" s="81"/>
      <c r="AMM2996" s="160"/>
      <c r="AMN2996" s="555"/>
      <c r="AMO2996" s="125"/>
      <c r="AMP2996" s="470"/>
      <c r="AMQ2996" s="449"/>
      <c r="AMR2996" s="462"/>
      <c r="AMS2996" s="299"/>
      <c r="AMT2996" s="81"/>
      <c r="AMU2996" s="160"/>
      <c r="AMV2996" s="555"/>
      <c r="AMW2996" s="125"/>
      <c r="AMX2996" s="470"/>
      <c r="AMY2996" s="449"/>
      <c r="AMZ2996" s="462"/>
      <c r="ANA2996" s="299"/>
      <c r="ANB2996" s="81"/>
      <c r="ANC2996" s="160"/>
      <c r="AND2996" s="555"/>
      <c r="ANE2996" s="125"/>
      <c r="ANF2996" s="470"/>
      <c r="ANG2996" s="449"/>
      <c r="ANH2996" s="462"/>
      <c r="ANI2996" s="299"/>
      <c r="ANJ2996" s="81"/>
      <c r="ANK2996" s="160"/>
      <c r="ANL2996" s="555"/>
      <c r="ANM2996" s="125"/>
      <c r="ANN2996" s="470"/>
      <c r="ANO2996" s="449"/>
      <c r="ANP2996" s="462"/>
      <c r="ANQ2996" s="299"/>
      <c r="ANR2996" s="81"/>
      <c r="ANS2996" s="160"/>
      <c r="ANT2996" s="555"/>
      <c r="ANU2996" s="125"/>
      <c r="ANV2996" s="470"/>
      <c r="ANW2996" s="449"/>
      <c r="ANX2996" s="462"/>
      <c r="ANY2996" s="299"/>
      <c r="ANZ2996" s="81"/>
      <c r="AOA2996" s="160"/>
      <c r="AOB2996" s="555"/>
      <c r="AOC2996" s="125"/>
      <c r="AOD2996" s="470"/>
      <c r="AOE2996" s="449"/>
      <c r="AOF2996" s="462"/>
      <c r="AOG2996" s="299"/>
      <c r="AOH2996" s="81"/>
      <c r="AOI2996" s="160"/>
      <c r="AOJ2996" s="555"/>
      <c r="AOK2996" s="125"/>
      <c r="AOL2996" s="470"/>
      <c r="AOM2996" s="449"/>
      <c r="AON2996" s="462"/>
      <c r="AOO2996" s="299"/>
      <c r="AOP2996" s="81"/>
      <c r="AOQ2996" s="160"/>
      <c r="AOR2996" s="555"/>
      <c r="AOS2996" s="125"/>
      <c r="AOT2996" s="470"/>
      <c r="AOU2996" s="449"/>
      <c r="AOV2996" s="462"/>
      <c r="AOW2996" s="299"/>
      <c r="AOX2996" s="81"/>
      <c r="AOY2996" s="160"/>
      <c r="AOZ2996" s="555"/>
      <c r="APA2996" s="125"/>
      <c r="APB2996" s="470"/>
      <c r="APC2996" s="449"/>
      <c r="APD2996" s="462"/>
      <c r="APE2996" s="299"/>
      <c r="APF2996" s="81"/>
      <c r="APG2996" s="160"/>
      <c r="APH2996" s="555"/>
      <c r="API2996" s="125"/>
      <c r="APJ2996" s="470"/>
      <c r="APK2996" s="449"/>
      <c r="APL2996" s="462"/>
      <c r="APM2996" s="299"/>
      <c r="APN2996" s="81"/>
      <c r="APO2996" s="160"/>
      <c r="APP2996" s="555"/>
      <c r="APQ2996" s="125"/>
      <c r="APR2996" s="470"/>
      <c r="APS2996" s="449"/>
      <c r="APT2996" s="462"/>
      <c r="APU2996" s="299"/>
      <c r="APV2996" s="81"/>
      <c r="APW2996" s="160"/>
      <c r="APX2996" s="555"/>
      <c r="APY2996" s="125"/>
      <c r="APZ2996" s="470"/>
      <c r="AQA2996" s="449"/>
      <c r="AQB2996" s="462"/>
      <c r="AQC2996" s="299"/>
      <c r="AQD2996" s="81"/>
      <c r="AQE2996" s="160"/>
      <c r="AQF2996" s="555"/>
      <c r="AQG2996" s="125"/>
      <c r="AQH2996" s="470"/>
      <c r="AQI2996" s="449"/>
      <c r="AQJ2996" s="462"/>
      <c r="AQK2996" s="299"/>
      <c r="AQL2996" s="81"/>
      <c r="AQM2996" s="160"/>
      <c r="AQN2996" s="555"/>
      <c r="AQO2996" s="125"/>
      <c r="AQP2996" s="470"/>
      <c r="AQQ2996" s="449"/>
      <c r="AQR2996" s="462"/>
      <c r="AQS2996" s="299"/>
      <c r="AQT2996" s="81"/>
      <c r="AQU2996" s="160"/>
      <c r="AQV2996" s="555"/>
      <c r="AQW2996" s="125"/>
      <c r="AQX2996" s="470"/>
      <c r="AQY2996" s="449"/>
      <c r="AQZ2996" s="462"/>
      <c r="ARA2996" s="299"/>
      <c r="ARB2996" s="81"/>
      <c r="ARC2996" s="160"/>
      <c r="ARD2996" s="555"/>
      <c r="ARE2996" s="125"/>
      <c r="ARF2996" s="470"/>
      <c r="ARG2996" s="449"/>
      <c r="ARH2996" s="462"/>
      <c r="ARI2996" s="299"/>
      <c r="ARJ2996" s="81"/>
      <c r="ARK2996" s="160"/>
      <c r="ARL2996" s="555"/>
      <c r="ARM2996" s="125"/>
      <c r="ARN2996" s="470"/>
      <c r="ARO2996" s="449"/>
      <c r="ARP2996" s="462"/>
      <c r="ARQ2996" s="299"/>
      <c r="ARR2996" s="81"/>
      <c r="ARS2996" s="160"/>
      <c r="ART2996" s="555"/>
      <c r="ARU2996" s="125"/>
      <c r="ARV2996" s="470"/>
      <c r="ARW2996" s="449"/>
      <c r="ARX2996" s="462"/>
      <c r="ARY2996" s="299"/>
      <c r="ARZ2996" s="81"/>
      <c r="ASA2996" s="160"/>
      <c r="ASB2996" s="555"/>
      <c r="ASC2996" s="125"/>
      <c r="ASD2996" s="470"/>
      <c r="ASE2996" s="449"/>
      <c r="ASF2996" s="462"/>
      <c r="ASG2996" s="299"/>
      <c r="ASH2996" s="81"/>
      <c r="ASI2996" s="160"/>
      <c r="ASJ2996" s="555"/>
      <c r="ASK2996" s="125"/>
      <c r="ASL2996" s="470"/>
      <c r="ASM2996" s="449"/>
      <c r="ASN2996" s="462"/>
      <c r="ASO2996" s="299"/>
      <c r="ASP2996" s="81"/>
      <c r="ASQ2996" s="160"/>
      <c r="ASR2996" s="555"/>
      <c r="ASS2996" s="125"/>
      <c r="AST2996" s="470"/>
      <c r="ASU2996" s="449"/>
      <c r="ASV2996" s="462"/>
      <c r="ASW2996" s="299"/>
      <c r="ASX2996" s="81"/>
      <c r="ASY2996" s="160"/>
      <c r="ASZ2996" s="555"/>
      <c r="ATA2996" s="125"/>
      <c r="ATB2996" s="470"/>
      <c r="ATC2996" s="449"/>
      <c r="ATD2996" s="462"/>
      <c r="ATE2996" s="299"/>
      <c r="ATF2996" s="81"/>
      <c r="ATG2996" s="160"/>
      <c r="ATH2996" s="555"/>
      <c r="ATI2996" s="125"/>
      <c r="ATJ2996" s="470"/>
      <c r="ATK2996" s="449"/>
      <c r="ATL2996" s="462"/>
      <c r="ATM2996" s="299"/>
      <c r="ATN2996" s="81"/>
      <c r="ATO2996" s="160"/>
      <c r="ATP2996" s="555"/>
      <c r="ATQ2996" s="125"/>
      <c r="ATR2996" s="470"/>
      <c r="ATS2996" s="449"/>
      <c r="ATT2996" s="462"/>
      <c r="ATU2996" s="299"/>
      <c r="ATV2996" s="81"/>
      <c r="ATW2996" s="160"/>
      <c r="ATX2996" s="555"/>
      <c r="ATY2996" s="125"/>
      <c r="ATZ2996" s="470"/>
      <c r="AUA2996" s="449"/>
      <c r="AUB2996" s="462"/>
      <c r="AUC2996" s="299"/>
      <c r="AUD2996" s="81"/>
      <c r="AUE2996" s="160"/>
      <c r="AUF2996" s="555"/>
      <c r="AUG2996" s="125"/>
      <c r="AUH2996" s="470"/>
      <c r="AUI2996" s="449"/>
      <c r="AUJ2996" s="462"/>
      <c r="AUK2996" s="299"/>
      <c r="AUL2996" s="81"/>
      <c r="AUM2996" s="160"/>
      <c r="AUN2996" s="555"/>
      <c r="AUO2996" s="125"/>
      <c r="AUP2996" s="470"/>
      <c r="AUQ2996" s="449"/>
      <c r="AUR2996" s="462"/>
      <c r="AUS2996" s="299"/>
      <c r="AUT2996" s="81"/>
      <c r="AUU2996" s="160"/>
      <c r="AUV2996" s="555"/>
      <c r="AUW2996" s="125"/>
      <c r="AUX2996" s="470"/>
      <c r="AUY2996" s="449"/>
      <c r="AUZ2996" s="462"/>
      <c r="AVA2996" s="299"/>
      <c r="AVB2996" s="81"/>
      <c r="AVC2996" s="160"/>
      <c r="AVD2996" s="555"/>
      <c r="AVE2996" s="125"/>
      <c r="AVF2996" s="470"/>
      <c r="AVG2996" s="449"/>
      <c r="AVH2996" s="462"/>
      <c r="AVI2996" s="299"/>
      <c r="AVJ2996" s="81"/>
      <c r="AVK2996" s="160"/>
      <c r="AVL2996" s="555"/>
      <c r="AVM2996" s="125"/>
      <c r="AVN2996" s="470"/>
      <c r="AVO2996" s="449"/>
      <c r="AVP2996" s="462"/>
      <c r="AVQ2996" s="299"/>
      <c r="AVR2996" s="81"/>
      <c r="AVS2996" s="160"/>
      <c r="AVT2996" s="555"/>
      <c r="AVU2996" s="125"/>
      <c r="AVV2996" s="470"/>
      <c r="AVW2996" s="449"/>
      <c r="AVX2996" s="462"/>
      <c r="AVY2996" s="299"/>
      <c r="AVZ2996" s="81"/>
      <c r="AWA2996" s="160"/>
      <c r="AWB2996" s="555"/>
      <c r="AWC2996" s="125"/>
      <c r="AWD2996" s="470"/>
      <c r="AWE2996" s="449"/>
      <c r="AWF2996" s="462"/>
      <c r="AWG2996" s="299"/>
      <c r="AWH2996" s="81"/>
      <c r="AWI2996" s="160"/>
      <c r="AWJ2996" s="555"/>
      <c r="AWK2996" s="125"/>
      <c r="AWL2996" s="470"/>
      <c r="AWM2996" s="449"/>
      <c r="AWN2996" s="462"/>
      <c r="AWO2996" s="299"/>
      <c r="AWP2996" s="81"/>
      <c r="AWQ2996" s="160"/>
      <c r="AWR2996" s="555"/>
      <c r="AWS2996" s="125"/>
      <c r="AWT2996" s="470"/>
      <c r="AWU2996" s="449"/>
      <c r="AWV2996" s="462"/>
      <c r="AWW2996" s="299"/>
      <c r="AWX2996" s="81"/>
      <c r="AWY2996" s="160"/>
      <c r="AWZ2996" s="555"/>
      <c r="AXA2996" s="125"/>
      <c r="AXB2996" s="470"/>
      <c r="AXC2996" s="449"/>
      <c r="AXD2996" s="462"/>
      <c r="AXE2996" s="299"/>
      <c r="AXF2996" s="81"/>
      <c r="AXG2996" s="160"/>
      <c r="AXH2996" s="555"/>
      <c r="AXI2996" s="125"/>
      <c r="AXJ2996" s="470"/>
      <c r="AXK2996" s="449"/>
      <c r="AXL2996" s="462"/>
      <c r="AXM2996" s="299"/>
      <c r="AXN2996" s="81"/>
      <c r="AXO2996" s="160"/>
      <c r="AXP2996" s="555"/>
      <c r="AXQ2996" s="125"/>
      <c r="AXR2996" s="470"/>
      <c r="AXS2996" s="449"/>
      <c r="AXT2996" s="462"/>
      <c r="AXU2996" s="299"/>
      <c r="AXV2996" s="81"/>
      <c r="AXW2996" s="160"/>
      <c r="AXX2996" s="555"/>
      <c r="AXY2996" s="125"/>
      <c r="AXZ2996" s="470"/>
      <c r="AYA2996" s="449"/>
      <c r="AYB2996" s="462"/>
      <c r="AYC2996" s="299"/>
      <c r="AYD2996" s="81"/>
      <c r="AYE2996" s="160"/>
      <c r="AYF2996" s="555"/>
      <c r="AYG2996" s="125"/>
      <c r="AYH2996" s="470"/>
      <c r="AYI2996" s="449"/>
      <c r="AYJ2996" s="462"/>
      <c r="AYK2996" s="299"/>
      <c r="AYL2996" s="81"/>
      <c r="AYM2996" s="160"/>
      <c r="AYN2996" s="555"/>
      <c r="AYO2996" s="125"/>
      <c r="AYP2996" s="470"/>
      <c r="AYQ2996" s="449"/>
      <c r="AYR2996" s="462"/>
      <c r="AYS2996" s="299"/>
      <c r="AYT2996" s="81"/>
      <c r="AYU2996" s="160"/>
      <c r="AYV2996" s="555"/>
      <c r="AYW2996" s="125"/>
      <c r="AYX2996" s="470"/>
      <c r="AYY2996" s="449"/>
      <c r="AYZ2996" s="462"/>
      <c r="AZA2996" s="299"/>
      <c r="AZB2996" s="81"/>
      <c r="AZC2996" s="160"/>
      <c r="AZD2996" s="555"/>
      <c r="AZE2996" s="125"/>
      <c r="AZF2996" s="470"/>
      <c r="AZG2996" s="449"/>
      <c r="AZH2996" s="462"/>
      <c r="AZI2996" s="299"/>
      <c r="AZJ2996" s="81"/>
      <c r="AZK2996" s="160"/>
      <c r="AZL2996" s="555"/>
      <c r="AZM2996" s="125"/>
      <c r="AZN2996" s="470"/>
      <c r="AZO2996" s="449"/>
      <c r="AZP2996" s="462"/>
      <c r="AZQ2996" s="299"/>
      <c r="AZR2996" s="81"/>
      <c r="AZS2996" s="160"/>
      <c r="AZT2996" s="555"/>
      <c r="AZU2996" s="125"/>
      <c r="AZV2996" s="470"/>
      <c r="AZW2996" s="449"/>
      <c r="AZX2996" s="462"/>
      <c r="AZY2996" s="299"/>
      <c r="AZZ2996" s="81"/>
      <c r="BAA2996" s="160"/>
      <c r="BAB2996" s="555"/>
      <c r="BAC2996" s="125"/>
      <c r="BAD2996" s="470"/>
      <c r="BAE2996" s="449"/>
      <c r="BAF2996" s="462"/>
      <c r="BAG2996" s="299"/>
      <c r="BAH2996" s="81"/>
      <c r="BAI2996" s="160"/>
      <c r="BAJ2996" s="555"/>
      <c r="BAK2996" s="125"/>
      <c r="BAL2996" s="470"/>
      <c r="BAM2996" s="449"/>
      <c r="BAN2996" s="462"/>
      <c r="BAO2996" s="299"/>
      <c r="BAP2996" s="81"/>
      <c r="BAQ2996" s="160"/>
      <c r="BAR2996" s="555"/>
      <c r="BAS2996" s="125"/>
      <c r="BAT2996" s="470"/>
      <c r="BAU2996" s="449"/>
      <c r="BAV2996" s="462"/>
      <c r="BAW2996" s="299"/>
      <c r="BAX2996" s="81"/>
      <c r="BAY2996" s="160"/>
      <c r="BAZ2996" s="555"/>
      <c r="BBA2996" s="125"/>
      <c r="BBB2996" s="470"/>
      <c r="BBC2996" s="449"/>
      <c r="BBD2996" s="462"/>
      <c r="BBE2996" s="299"/>
      <c r="BBF2996" s="81"/>
      <c r="BBG2996" s="160"/>
      <c r="BBH2996" s="555"/>
      <c r="BBI2996" s="125"/>
      <c r="BBJ2996" s="470"/>
      <c r="BBK2996" s="449"/>
      <c r="BBL2996" s="462"/>
      <c r="BBM2996" s="299"/>
      <c r="BBN2996" s="81"/>
      <c r="BBO2996" s="160"/>
      <c r="BBP2996" s="555"/>
      <c r="BBQ2996" s="125"/>
      <c r="BBR2996" s="470"/>
      <c r="BBS2996" s="449"/>
      <c r="BBT2996" s="462"/>
      <c r="BBU2996" s="299"/>
      <c r="BBV2996" s="81"/>
      <c r="BBW2996" s="160"/>
      <c r="BBX2996" s="555"/>
      <c r="BBY2996" s="125"/>
      <c r="BBZ2996" s="470"/>
      <c r="BCA2996" s="449"/>
      <c r="BCB2996" s="462"/>
      <c r="BCC2996" s="299"/>
      <c r="BCD2996" s="81"/>
      <c r="BCE2996" s="160"/>
      <c r="BCF2996" s="555"/>
      <c r="BCG2996" s="125"/>
      <c r="BCH2996" s="470"/>
      <c r="BCI2996" s="449"/>
      <c r="BCJ2996" s="462"/>
      <c r="BCK2996" s="299"/>
      <c r="BCL2996" s="81"/>
      <c r="BCM2996" s="160"/>
      <c r="BCN2996" s="555"/>
      <c r="BCO2996" s="125"/>
      <c r="BCP2996" s="470"/>
      <c r="BCQ2996" s="449"/>
      <c r="BCR2996" s="462"/>
      <c r="BCS2996" s="299"/>
      <c r="BCT2996" s="81"/>
      <c r="BCU2996" s="160"/>
      <c r="BCV2996" s="555"/>
      <c r="BCW2996" s="125"/>
      <c r="BCX2996" s="470"/>
      <c r="BCY2996" s="449"/>
      <c r="BCZ2996" s="462"/>
      <c r="BDA2996" s="299"/>
      <c r="BDB2996" s="81"/>
      <c r="BDC2996" s="160"/>
      <c r="BDD2996" s="555"/>
      <c r="BDE2996" s="125"/>
      <c r="BDF2996" s="470"/>
      <c r="BDG2996" s="449"/>
      <c r="BDH2996" s="462"/>
      <c r="BDI2996" s="299"/>
      <c r="BDJ2996" s="81"/>
      <c r="BDK2996" s="160"/>
      <c r="BDL2996" s="555"/>
      <c r="BDM2996" s="125"/>
      <c r="BDN2996" s="470"/>
      <c r="BDO2996" s="449"/>
      <c r="BDP2996" s="462"/>
      <c r="BDQ2996" s="299"/>
      <c r="BDR2996" s="81"/>
      <c r="BDS2996" s="160"/>
      <c r="BDT2996" s="555"/>
      <c r="BDU2996" s="125"/>
      <c r="BDV2996" s="470"/>
      <c r="BDW2996" s="449"/>
      <c r="BDX2996" s="462"/>
      <c r="BDY2996" s="299"/>
      <c r="BDZ2996" s="81"/>
      <c r="BEA2996" s="160"/>
      <c r="BEB2996" s="555"/>
      <c r="BEC2996" s="125"/>
      <c r="BED2996" s="470"/>
      <c r="BEE2996" s="449"/>
      <c r="BEF2996" s="462"/>
      <c r="BEG2996" s="299"/>
      <c r="BEH2996" s="81"/>
      <c r="BEI2996" s="160"/>
      <c r="BEJ2996" s="555"/>
      <c r="BEK2996" s="125"/>
      <c r="BEL2996" s="470"/>
      <c r="BEM2996" s="449"/>
      <c r="BEN2996" s="462"/>
      <c r="BEO2996" s="299"/>
      <c r="BEP2996" s="81"/>
      <c r="BEQ2996" s="160"/>
      <c r="BER2996" s="555"/>
      <c r="BES2996" s="125"/>
      <c r="BET2996" s="470"/>
      <c r="BEU2996" s="449"/>
      <c r="BEV2996" s="462"/>
      <c r="BEW2996" s="299"/>
      <c r="BEX2996" s="81"/>
      <c r="BEY2996" s="160"/>
      <c r="BEZ2996" s="555"/>
      <c r="BFA2996" s="125"/>
      <c r="BFB2996" s="470"/>
      <c r="BFC2996" s="449"/>
      <c r="BFD2996" s="462"/>
      <c r="BFE2996" s="299"/>
      <c r="BFF2996" s="81"/>
      <c r="BFG2996" s="160"/>
      <c r="BFH2996" s="555"/>
      <c r="BFI2996" s="125"/>
      <c r="BFJ2996" s="470"/>
      <c r="BFK2996" s="449"/>
      <c r="BFL2996" s="462"/>
      <c r="BFM2996" s="299"/>
      <c r="BFN2996" s="81"/>
      <c r="BFO2996" s="160"/>
      <c r="BFP2996" s="555"/>
      <c r="BFQ2996" s="125"/>
      <c r="BFR2996" s="470"/>
      <c r="BFS2996" s="449"/>
      <c r="BFT2996" s="462"/>
      <c r="BFU2996" s="299"/>
      <c r="BFV2996" s="81"/>
      <c r="BFW2996" s="160"/>
      <c r="BFX2996" s="555"/>
      <c r="BFY2996" s="125"/>
      <c r="BFZ2996" s="470"/>
      <c r="BGA2996" s="449"/>
      <c r="BGB2996" s="462"/>
      <c r="BGC2996" s="299"/>
      <c r="BGD2996" s="81"/>
      <c r="BGE2996" s="160"/>
      <c r="BGF2996" s="555"/>
      <c r="BGG2996" s="125"/>
      <c r="BGH2996" s="470"/>
      <c r="BGI2996" s="449"/>
      <c r="BGJ2996" s="462"/>
      <c r="BGK2996" s="299"/>
      <c r="BGL2996" s="81"/>
      <c r="BGM2996" s="160"/>
      <c r="BGN2996" s="555"/>
      <c r="BGO2996" s="125"/>
      <c r="BGP2996" s="470"/>
      <c r="BGQ2996" s="449"/>
      <c r="BGR2996" s="462"/>
      <c r="BGS2996" s="299"/>
      <c r="BGT2996" s="81"/>
      <c r="BGU2996" s="160"/>
      <c r="BGV2996" s="555"/>
      <c r="BGW2996" s="125"/>
      <c r="BGX2996" s="470"/>
      <c r="BGY2996" s="449"/>
      <c r="BGZ2996" s="462"/>
      <c r="BHA2996" s="299"/>
      <c r="BHB2996" s="81"/>
      <c r="BHC2996" s="160"/>
      <c r="BHD2996" s="555"/>
      <c r="BHE2996" s="125"/>
      <c r="BHF2996" s="470"/>
      <c r="BHG2996" s="449"/>
      <c r="BHH2996" s="462"/>
      <c r="BHI2996" s="299"/>
      <c r="BHJ2996" s="81"/>
      <c r="BHK2996" s="160"/>
      <c r="BHL2996" s="555"/>
      <c r="BHM2996" s="125"/>
      <c r="BHN2996" s="470"/>
      <c r="BHO2996" s="449"/>
      <c r="BHP2996" s="462"/>
      <c r="BHQ2996" s="299"/>
      <c r="BHR2996" s="81"/>
      <c r="BHS2996" s="160"/>
      <c r="BHT2996" s="555"/>
      <c r="BHU2996" s="125"/>
      <c r="BHV2996" s="470"/>
      <c r="BHW2996" s="449"/>
      <c r="BHX2996" s="462"/>
      <c r="BHY2996" s="299"/>
      <c r="BHZ2996" s="81"/>
      <c r="BIA2996" s="160"/>
      <c r="BIB2996" s="555"/>
      <c r="BIC2996" s="125"/>
      <c r="BID2996" s="470"/>
      <c r="BIE2996" s="449"/>
      <c r="BIF2996" s="462"/>
      <c r="BIG2996" s="299"/>
      <c r="BIH2996" s="81"/>
      <c r="BII2996" s="160"/>
      <c r="BIJ2996" s="555"/>
      <c r="BIK2996" s="125"/>
      <c r="BIL2996" s="470"/>
      <c r="BIM2996" s="449"/>
      <c r="BIN2996" s="462"/>
      <c r="BIO2996" s="299"/>
      <c r="BIP2996" s="81"/>
      <c r="BIQ2996" s="160"/>
      <c r="BIR2996" s="555"/>
      <c r="BIS2996" s="125"/>
      <c r="BIT2996" s="470"/>
      <c r="BIU2996" s="449"/>
      <c r="BIV2996" s="462"/>
      <c r="BIW2996" s="299"/>
      <c r="BIX2996" s="81"/>
      <c r="BIY2996" s="160"/>
      <c r="BIZ2996" s="555"/>
      <c r="BJA2996" s="125"/>
      <c r="BJB2996" s="470"/>
      <c r="BJC2996" s="449"/>
      <c r="BJD2996" s="462"/>
      <c r="BJE2996" s="299"/>
      <c r="BJF2996" s="81"/>
      <c r="BJG2996" s="160"/>
      <c r="BJH2996" s="555"/>
      <c r="BJI2996" s="125"/>
      <c r="BJJ2996" s="470"/>
      <c r="BJK2996" s="449"/>
      <c r="BJL2996" s="462"/>
      <c r="BJM2996" s="299"/>
      <c r="BJN2996" s="81"/>
      <c r="BJO2996" s="160"/>
      <c r="BJP2996" s="555"/>
      <c r="BJQ2996" s="125"/>
      <c r="BJR2996" s="470"/>
      <c r="BJS2996" s="449"/>
      <c r="BJT2996" s="462"/>
      <c r="BJU2996" s="299"/>
      <c r="BJV2996" s="81"/>
      <c r="BJW2996" s="160"/>
      <c r="BJX2996" s="555"/>
      <c r="BJY2996" s="125"/>
      <c r="BJZ2996" s="470"/>
      <c r="BKA2996" s="449"/>
      <c r="BKB2996" s="462"/>
      <c r="BKC2996" s="299"/>
      <c r="BKD2996" s="81"/>
      <c r="BKE2996" s="160"/>
      <c r="BKF2996" s="555"/>
      <c r="BKG2996" s="125"/>
      <c r="BKH2996" s="470"/>
      <c r="BKI2996" s="449"/>
      <c r="BKJ2996" s="462"/>
      <c r="BKK2996" s="299"/>
      <c r="BKL2996" s="81"/>
      <c r="BKM2996" s="160"/>
      <c r="BKN2996" s="555"/>
      <c r="BKO2996" s="125"/>
      <c r="BKP2996" s="470"/>
      <c r="BKQ2996" s="449"/>
      <c r="BKR2996" s="462"/>
      <c r="BKS2996" s="299"/>
      <c r="BKT2996" s="81"/>
      <c r="BKU2996" s="160"/>
      <c r="BKV2996" s="555"/>
      <c r="BKW2996" s="125"/>
      <c r="BKX2996" s="470"/>
      <c r="BKY2996" s="449"/>
      <c r="BKZ2996" s="462"/>
      <c r="BLA2996" s="299"/>
      <c r="BLB2996" s="81"/>
      <c r="BLC2996" s="160"/>
      <c r="BLD2996" s="555"/>
      <c r="BLE2996" s="125"/>
      <c r="BLF2996" s="470"/>
      <c r="BLG2996" s="449"/>
      <c r="BLH2996" s="462"/>
      <c r="BLI2996" s="299"/>
      <c r="BLJ2996" s="81"/>
      <c r="BLK2996" s="160"/>
      <c r="BLL2996" s="555"/>
      <c r="BLM2996" s="125"/>
      <c r="BLN2996" s="470"/>
      <c r="BLO2996" s="449"/>
      <c r="BLP2996" s="462"/>
      <c r="BLQ2996" s="299"/>
      <c r="BLR2996" s="81"/>
      <c r="BLS2996" s="160"/>
      <c r="BLT2996" s="555"/>
      <c r="BLU2996" s="125"/>
      <c r="BLV2996" s="470"/>
      <c r="BLW2996" s="449"/>
      <c r="BLX2996" s="462"/>
      <c r="BLY2996" s="299"/>
      <c r="BLZ2996" s="81"/>
      <c r="BMA2996" s="160"/>
      <c r="BMB2996" s="555"/>
      <c r="BMC2996" s="125"/>
      <c r="BMD2996" s="470"/>
      <c r="BME2996" s="449"/>
      <c r="BMF2996" s="462"/>
      <c r="BMG2996" s="299"/>
      <c r="BMH2996" s="81"/>
      <c r="BMI2996" s="160"/>
      <c r="BMJ2996" s="555"/>
      <c r="BMK2996" s="125"/>
      <c r="BML2996" s="470"/>
      <c r="BMM2996" s="449"/>
      <c r="BMN2996" s="462"/>
      <c r="BMO2996" s="299"/>
      <c r="BMP2996" s="81"/>
      <c r="BMQ2996" s="160"/>
      <c r="BMR2996" s="555"/>
      <c r="BMS2996" s="125"/>
      <c r="BMT2996" s="470"/>
      <c r="BMU2996" s="449"/>
      <c r="BMV2996" s="462"/>
      <c r="BMW2996" s="299"/>
      <c r="BMX2996" s="81"/>
      <c r="BMY2996" s="160"/>
      <c r="BMZ2996" s="555"/>
      <c r="BNA2996" s="125"/>
      <c r="BNB2996" s="470"/>
      <c r="BNC2996" s="449"/>
      <c r="BND2996" s="462"/>
      <c r="BNE2996" s="299"/>
      <c r="BNF2996" s="81"/>
      <c r="BNG2996" s="160"/>
      <c r="BNH2996" s="555"/>
      <c r="BNI2996" s="125"/>
      <c r="BNJ2996" s="470"/>
      <c r="BNK2996" s="449"/>
      <c r="BNL2996" s="462"/>
      <c r="BNM2996" s="299"/>
      <c r="BNN2996" s="81"/>
      <c r="BNO2996" s="160"/>
      <c r="BNP2996" s="555"/>
      <c r="BNQ2996" s="125"/>
      <c r="BNR2996" s="470"/>
      <c r="BNS2996" s="449"/>
      <c r="BNT2996" s="462"/>
      <c r="BNU2996" s="299"/>
      <c r="BNV2996" s="81"/>
      <c r="BNW2996" s="160"/>
      <c r="BNX2996" s="555"/>
      <c r="BNY2996" s="125"/>
      <c r="BNZ2996" s="470"/>
      <c r="BOA2996" s="449"/>
      <c r="BOB2996" s="462"/>
      <c r="BOC2996" s="299"/>
      <c r="BOD2996" s="81"/>
      <c r="BOE2996" s="160"/>
      <c r="BOF2996" s="555"/>
      <c r="BOG2996" s="125"/>
      <c r="BOH2996" s="470"/>
      <c r="BOI2996" s="449"/>
      <c r="BOJ2996" s="462"/>
      <c r="BOK2996" s="299"/>
      <c r="BOL2996" s="81"/>
      <c r="BOM2996" s="160"/>
      <c r="BON2996" s="555"/>
      <c r="BOO2996" s="125"/>
      <c r="BOP2996" s="470"/>
      <c r="BOQ2996" s="449"/>
      <c r="BOR2996" s="462"/>
      <c r="BOS2996" s="299"/>
      <c r="BOT2996" s="81"/>
      <c r="BOU2996" s="160"/>
      <c r="BOV2996" s="555"/>
      <c r="BOW2996" s="125"/>
      <c r="BOX2996" s="470"/>
      <c r="BOY2996" s="449"/>
      <c r="BOZ2996" s="462"/>
      <c r="BPA2996" s="299"/>
      <c r="BPB2996" s="81"/>
      <c r="BPC2996" s="160"/>
      <c r="BPD2996" s="555"/>
      <c r="BPE2996" s="125"/>
      <c r="BPF2996" s="470"/>
      <c r="BPG2996" s="449"/>
      <c r="BPH2996" s="462"/>
      <c r="BPI2996" s="299"/>
      <c r="BPJ2996" s="81"/>
      <c r="BPK2996" s="160"/>
      <c r="BPL2996" s="555"/>
      <c r="BPM2996" s="125"/>
      <c r="BPN2996" s="470"/>
      <c r="BPO2996" s="449"/>
      <c r="BPP2996" s="462"/>
      <c r="BPQ2996" s="299"/>
      <c r="BPR2996" s="81"/>
      <c r="BPS2996" s="160"/>
      <c r="BPT2996" s="555"/>
      <c r="BPU2996" s="125"/>
      <c r="BPV2996" s="470"/>
      <c r="BPW2996" s="449"/>
      <c r="BPX2996" s="462"/>
      <c r="BPY2996" s="299"/>
      <c r="BPZ2996" s="81"/>
      <c r="BQA2996" s="160"/>
      <c r="BQB2996" s="555"/>
      <c r="BQC2996" s="125"/>
      <c r="BQD2996" s="470"/>
      <c r="BQE2996" s="449"/>
      <c r="BQF2996" s="462"/>
      <c r="BQG2996" s="299"/>
      <c r="BQH2996" s="81"/>
      <c r="BQI2996" s="160"/>
      <c r="BQJ2996" s="555"/>
      <c r="BQK2996" s="125"/>
      <c r="BQL2996" s="470"/>
      <c r="BQM2996" s="449"/>
      <c r="BQN2996" s="462"/>
      <c r="BQO2996" s="299"/>
      <c r="BQP2996" s="81"/>
      <c r="BQQ2996" s="160"/>
      <c r="BQR2996" s="555"/>
      <c r="BQS2996" s="125"/>
      <c r="BQT2996" s="470"/>
      <c r="BQU2996" s="449"/>
      <c r="BQV2996" s="462"/>
      <c r="BQW2996" s="299"/>
      <c r="BQX2996" s="81"/>
      <c r="BQY2996" s="160"/>
      <c r="BQZ2996" s="555"/>
      <c r="BRA2996" s="125"/>
      <c r="BRB2996" s="470"/>
      <c r="BRC2996" s="449"/>
      <c r="BRD2996" s="462"/>
      <c r="BRE2996" s="299"/>
      <c r="BRF2996" s="81"/>
      <c r="BRG2996" s="160"/>
      <c r="BRH2996" s="555"/>
      <c r="BRI2996" s="125"/>
      <c r="BRJ2996" s="470"/>
      <c r="BRK2996" s="449"/>
      <c r="BRL2996" s="462"/>
      <c r="BRM2996" s="299"/>
      <c r="BRN2996" s="81"/>
      <c r="BRO2996" s="160"/>
      <c r="BRP2996" s="555"/>
      <c r="BRQ2996" s="125"/>
      <c r="BRR2996" s="470"/>
      <c r="BRS2996" s="449"/>
      <c r="BRT2996" s="462"/>
      <c r="BRU2996" s="299"/>
      <c r="BRV2996" s="81"/>
      <c r="BRW2996" s="160"/>
      <c r="BRX2996" s="555"/>
      <c r="BRY2996" s="125"/>
      <c r="BRZ2996" s="470"/>
      <c r="BSA2996" s="449"/>
      <c r="BSB2996" s="462"/>
      <c r="BSC2996" s="299"/>
      <c r="BSD2996" s="81"/>
      <c r="BSE2996" s="160"/>
      <c r="BSF2996" s="555"/>
      <c r="BSG2996" s="125"/>
      <c r="BSH2996" s="470"/>
      <c r="BSI2996" s="449"/>
      <c r="BSJ2996" s="462"/>
      <c r="BSK2996" s="299"/>
      <c r="BSL2996" s="81"/>
      <c r="BSM2996" s="160"/>
      <c r="BSN2996" s="555"/>
      <c r="BSO2996" s="125"/>
      <c r="BSP2996" s="470"/>
      <c r="BSQ2996" s="449"/>
      <c r="BSR2996" s="462"/>
      <c r="BSS2996" s="299"/>
      <c r="BST2996" s="81"/>
      <c r="BSU2996" s="160"/>
      <c r="BSV2996" s="555"/>
      <c r="BSW2996" s="125"/>
      <c r="BSX2996" s="470"/>
      <c r="BSY2996" s="449"/>
      <c r="BSZ2996" s="462"/>
      <c r="BTA2996" s="299"/>
      <c r="BTB2996" s="81"/>
      <c r="BTC2996" s="160"/>
      <c r="BTD2996" s="555"/>
      <c r="BTE2996" s="125"/>
      <c r="BTF2996" s="470"/>
      <c r="BTG2996" s="449"/>
      <c r="BTH2996" s="462"/>
      <c r="BTI2996" s="299"/>
      <c r="BTJ2996" s="81"/>
      <c r="BTK2996" s="160"/>
      <c r="BTL2996" s="555"/>
      <c r="BTM2996" s="125"/>
      <c r="BTN2996" s="470"/>
      <c r="BTO2996" s="449"/>
      <c r="BTP2996" s="462"/>
      <c r="BTQ2996" s="299"/>
      <c r="BTR2996" s="81"/>
      <c r="BTS2996" s="160"/>
      <c r="BTT2996" s="555"/>
      <c r="BTU2996" s="125"/>
      <c r="BTV2996" s="470"/>
      <c r="BTW2996" s="449"/>
      <c r="BTX2996" s="462"/>
      <c r="BTY2996" s="299"/>
      <c r="BTZ2996" s="81"/>
      <c r="BUA2996" s="160"/>
      <c r="BUB2996" s="555"/>
      <c r="BUC2996" s="125"/>
      <c r="BUD2996" s="470"/>
      <c r="BUE2996" s="449"/>
      <c r="BUF2996" s="462"/>
      <c r="BUG2996" s="299"/>
      <c r="BUH2996" s="81"/>
      <c r="BUI2996" s="160"/>
      <c r="BUJ2996" s="555"/>
      <c r="BUK2996" s="125"/>
      <c r="BUL2996" s="470"/>
      <c r="BUM2996" s="449"/>
      <c r="BUN2996" s="462"/>
      <c r="BUO2996" s="299"/>
      <c r="BUP2996" s="81"/>
      <c r="BUQ2996" s="160"/>
      <c r="BUR2996" s="555"/>
      <c r="BUS2996" s="125"/>
      <c r="BUT2996" s="470"/>
      <c r="BUU2996" s="449"/>
      <c r="BUV2996" s="462"/>
      <c r="BUW2996" s="299"/>
      <c r="BUX2996" s="81"/>
      <c r="BUY2996" s="160"/>
      <c r="BUZ2996" s="555"/>
      <c r="BVA2996" s="125"/>
      <c r="BVB2996" s="470"/>
      <c r="BVC2996" s="449"/>
      <c r="BVD2996" s="462"/>
      <c r="BVE2996" s="299"/>
      <c r="BVF2996" s="81"/>
      <c r="BVG2996" s="160"/>
      <c r="BVH2996" s="555"/>
      <c r="BVI2996" s="125"/>
      <c r="BVJ2996" s="470"/>
      <c r="BVK2996" s="449"/>
      <c r="BVL2996" s="462"/>
      <c r="BVM2996" s="299"/>
      <c r="BVN2996" s="81"/>
      <c r="BVO2996" s="160"/>
      <c r="BVP2996" s="555"/>
      <c r="BVQ2996" s="125"/>
      <c r="BVR2996" s="470"/>
      <c r="BVS2996" s="449"/>
      <c r="BVT2996" s="462"/>
      <c r="BVU2996" s="299"/>
      <c r="BVV2996" s="81"/>
      <c r="BVW2996" s="160"/>
      <c r="BVX2996" s="555"/>
      <c r="BVY2996" s="125"/>
      <c r="BVZ2996" s="470"/>
      <c r="BWA2996" s="449"/>
      <c r="BWB2996" s="462"/>
      <c r="BWC2996" s="299"/>
      <c r="BWD2996" s="81"/>
      <c r="BWE2996" s="160"/>
      <c r="BWF2996" s="555"/>
      <c r="BWG2996" s="125"/>
      <c r="BWH2996" s="470"/>
      <c r="BWI2996" s="449"/>
      <c r="BWJ2996" s="462"/>
      <c r="BWK2996" s="299"/>
      <c r="BWL2996" s="81"/>
      <c r="BWM2996" s="160"/>
      <c r="BWN2996" s="555"/>
      <c r="BWO2996" s="125"/>
      <c r="BWP2996" s="470"/>
      <c r="BWQ2996" s="449"/>
      <c r="BWR2996" s="462"/>
      <c r="BWS2996" s="299"/>
      <c r="BWT2996" s="81"/>
      <c r="BWU2996" s="160"/>
      <c r="BWV2996" s="555"/>
      <c r="BWW2996" s="125"/>
      <c r="BWX2996" s="470"/>
      <c r="BWY2996" s="449"/>
      <c r="BWZ2996" s="462"/>
      <c r="BXA2996" s="299"/>
      <c r="BXB2996" s="81"/>
      <c r="BXC2996" s="160"/>
      <c r="BXD2996" s="555"/>
      <c r="BXE2996" s="125"/>
      <c r="BXF2996" s="470"/>
      <c r="BXG2996" s="449"/>
      <c r="BXH2996" s="462"/>
      <c r="BXI2996" s="299"/>
      <c r="BXJ2996" s="81"/>
      <c r="BXK2996" s="160"/>
      <c r="BXL2996" s="555"/>
      <c r="BXM2996" s="125"/>
      <c r="BXN2996" s="470"/>
      <c r="BXO2996" s="449"/>
      <c r="BXP2996" s="462"/>
      <c r="BXQ2996" s="299"/>
      <c r="BXR2996" s="81"/>
      <c r="BXS2996" s="160"/>
      <c r="BXT2996" s="555"/>
      <c r="BXU2996" s="125"/>
      <c r="BXV2996" s="470"/>
      <c r="BXW2996" s="449"/>
      <c r="BXX2996" s="462"/>
      <c r="BXY2996" s="299"/>
      <c r="BXZ2996" s="81"/>
      <c r="BYA2996" s="160"/>
      <c r="BYB2996" s="555"/>
      <c r="BYC2996" s="125"/>
      <c r="BYD2996" s="470"/>
      <c r="BYE2996" s="449"/>
      <c r="BYF2996" s="462"/>
      <c r="BYG2996" s="299"/>
      <c r="BYH2996" s="81"/>
      <c r="BYI2996" s="160"/>
      <c r="BYJ2996" s="555"/>
      <c r="BYK2996" s="125"/>
      <c r="BYL2996" s="470"/>
      <c r="BYM2996" s="449"/>
      <c r="BYN2996" s="462"/>
      <c r="BYO2996" s="299"/>
      <c r="BYP2996" s="81"/>
      <c r="BYQ2996" s="160"/>
      <c r="BYR2996" s="555"/>
      <c r="BYS2996" s="125"/>
      <c r="BYT2996" s="470"/>
      <c r="BYU2996" s="449"/>
      <c r="BYV2996" s="462"/>
      <c r="BYW2996" s="299"/>
      <c r="BYX2996" s="81"/>
      <c r="BYY2996" s="160"/>
      <c r="BYZ2996" s="555"/>
      <c r="BZA2996" s="125"/>
      <c r="BZB2996" s="470"/>
      <c r="BZC2996" s="449"/>
      <c r="BZD2996" s="462"/>
      <c r="BZE2996" s="299"/>
      <c r="BZF2996" s="81"/>
      <c r="BZG2996" s="160"/>
      <c r="BZH2996" s="555"/>
      <c r="BZI2996" s="125"/>
      <c r="BZJ2996" s="470"/>
      <c r="BZK2996" s="449"/>
      <c r="BZL2996" s="462"/>
      <c r="BZM2996" s="299"/>
      <c r="BZN2996" s="81"/>
      <c r="BZO2996" s="160"/>
      <c r="BZP2996" s="555"/>
      <c r="BZQ2996" s="125"/>
      <c r="BZR2996" s="470"/>
      <c r="BZS2996" s="449"/>
      <c r="BZT2996" s="462"/>
      <c r="BZU2996" s="299"/>
      <c r="BZV2996" s="81"/>
      <c r="BZW2996" s="160"/>
      <c r="BZX2996" s="555"/>
      <c r="BZY2996" s="125"/>
      <c r="BZZ2996" s="470"/>
      <c r="CAA2996" s="449"/>
      <c r="CAB2996" s="462"/>
      <c r="CAC2996" s="299"/>
      <c r="CAD2996" s="81"/>
      <c r="CAE2996" s="160"/>
      <c r="CAF2996" s="555"/>
      <c r="CAG2996" s="125"/>
      <c r="CAH2996" s="470"/>
      <c r="CAI2996" s="449"/>
      <c r="CAJ2996" s="462"/>
      <c r="CAK2996" s="299"/>
      <c r="CAL2996" s="81"/>
      <c r="CAM2996" s="160"/>
      <c r="CAN2996" s="555"/>
      <c r="CAO2996" s="125"/>
      <c r="CAP2996" s="470"/>
      <c r="CAQ2996" s="449"/>
      <c r="CAR2996" s="462"/>
      <c r="CAS2996" s="299"/>
      <c r="CAT2996" s="81"/>
      <c r="CAU2996" s="160"/>
      <c r="CAV2996" s="555"/>
      <c r="CAW2996" s="125"/>
      <c r="CAX2996" s="470"/>
      <c r="CAY2996" s="449"/>
      <c r="CAZ2996" s="462"/>
      <c r="CBA2996" s="299"/>
      <c r="CBB2996" s="81"/>
      <c r="CBC2996" s="160"/>
      <c r="CBD2996" s="555"/>
      <c r="CBE2996" s="125"/>
      <c r="CBF2996" s="470"/>
      <c r="CBG2996" s="449"/>
      <c r="CBH2996" s="462"/>
      <c r="CBI2996" s="299"/>
      <c r="CBJ2996" s="81"/>
      <c r="CBK2996" s="160"/>
      <c r="CBL2996" s="555"/>
      <c r="CBM2996" s="125"/>
      <c r="CBN2996" s="470"/>
      <c r="CBO2996" s="449"/>
      <c r="CBP2996" s="462"/>
      <c r="CBQ2996" s="299"/>
      <c r="CBR2996" s="81"/>
      <c r="CBS2996" s="160"/>
      <c r="CBT2996" s="555"/>
      <c r="CBU2996" s="125"/>
      <c r="CBV2996" s="470"/>
      <c r="CBW2996" s="449"/>
      <c r="CBX2996" s="462"/>
      <c r="CBY2996" s="299"/>
      <c r="CBZ2996" s="81"/>
      <c r="CCA2996" s="160"/>
      <c r="CCB2996" s="555"/>
      <c r="CCC2996" s="125"/>
      <c r="CCD2996" s="470"/>
      <c r="CCE2996" s="449"/>
      <c r="CCF2996" s="462"/>
      <c r="CCG2996" s="299"/>
      <c r="CCH2996" s="81"/>
      <c r="CCI2996" s="160"/>
      <c r="CCJ2996" s="555"/>
      <c r="CCK2996" s="125"/>
      <c r="CCL2996" s="470"/>
      <c r="CCM2996" s="449"/>
      <c r="CCN2996" s="462"/>
      <c r="CCO2996" s="299"/>
      <c r="CCP2996" s="81"/>
      <c r="CCQ2996" s="160"/>
      <c r="CCR2996" s="555"/>
      <c r="CCS2996" s="125"/>
      <c r="CCT2996" s="470"/>
      <c r="CCU2996" s="449"/>
      <c r="CCV2996" s="462"/>
      <c r="CCW2996" s="299"/>
      <c r="CCX2996" s="81"/>
      <c r="CCY2996" s="160"/>
      <c r="CCZ2996" s="555"/>
      <c r="CDA2996" s="125"/>
      <c r="CDB2996" s="470"/>
      <c r="CDC2996" s="449"/>
      <c r="CDD2996" s="462"/>
      <c r="CDE2996" s="299"/>
      <c r="CDF2996" s="81"/>
      <c r="CDG2996" s="160"/>
      <c r="CDH2996" s="555"/>
      <c r="CDI2996" s="125"/>
      <c r="CDJ2996" s="470"/>
      <c r="CDK2996" s="449"/>
      <c r="CDL2996" s="462"/>
      <c r="CDM2996" s="299"/>
      <c r="CDN2996" s="81"/>
      <c r="CDO2996" s="160"/>
      <c r="CDP2996" s="555"/>
      <c r="CDQ2996" s="125"/>
      <c r="CDR2996" s="470"/>
      <c r="CDS2996" s="449"/>
      <c r="CDT2996" s="462"/>
      <c r="CDU2996" s="299"/>
      <c r="CDV2996" s="81"/>
      <c r="CDW2996" s="160"/>
      <c r="CDX2996" s="555"/>
      <c r="CDY2996" s="125"/>
      <c r="CDZ2996" s="470"/>
      <c r="CEA2996" s="449"/>
      <c r="CEB2996" s="462"/>
      <c r="CEC2996" s="299"/>
      <c r="CED2996" s="81"/>
      <c r="CEE2996" s="160"/>
      <c r="CEF2996" s="555"/>
      <c r="CEG2996" s="125"/>
      <c r="CEH2996" s="470"/>
      <c r="CEI2996" s="449"/>
      <c r="CEJ2996" s="462"/>
      <c r="CEK2996" s="299"/>
      <c r="CEL2996" s="81"/>
      <c r="CEM2996" s="160"/>
      <c r="CEN2996" s="555"/>
      <c r="CEO2996" s="125"/>
      <c r="CEP2996" s="470"/>
      <c r="CEQ2996" s="449"/>
      <c r="CER2996" s="462"/>
      <c r="CES2996" s="299"/>
      <c r="CET2996" s="81"/>
      <c r="CEU2996" s="160"/>
      <c r="CEV2996" s="555"/>
      <c r="CEW2996" s="125"/>
      <c r="CEX2996" s="470"/>
      <c r="CEY2996" s="449"/>
      <c r="CEZ2996" s="462"/>
      <c r="CFA2996" s="299"/>
      <c r="CFB2996" s="81"/>
      <c r="CFC2996" s="160"/>
      <c r="CFD2996" s="555"/>
      <c r="CFE2996" s="125"/>
      <c r="CFF2996" s="470"/>
      <c r="CFG2996" s="449"/>
      <c r="CFH2996" s="462"/>
      <c r="CFI2996" s="299"/>
      <c r="CFJ2996" s="81"/>
      <c r="CFK2996" s="160"/>
      <c r="CFL2996" s="555"/>
      <c r="CFM2996" s="125"/>
      <c r="CFN2996" s="470"/>
      <c r="CFO2996" s="449"/>
      <c r="CFP2996" s="462"/>
      <c r="CFQ2996" s="299"/>
      <c r="CFR2996" s="81"/>
      <c r="CFS2996" s="160"/>
      <c r="CFT2996" s="555"/>
      <c r="CFU2996" s="125"/>
      <c r="CFV2996" s="470"/>
      <c r="CFW2996" s="449"/>
      <c r="CFX2996" s="462"/>
      <c r="CFY2996" s="299"/>
      <c r="CFZ2996" s="81"/>
      <c r="CGA2996" s="160"/>
      <c r="CGB2996" s="555"/>
      <c r="CGC2996" s="125"/>
      <c r="CGD2996" s="470"/>
      <c r="CGE2996" s="449"/>
      <c r="CGF2996" s="462"/>
      <c r="CGG2996" s="299"/>
      <c r="CGH2996" s="81"/>
      <c r="CGI2996" s="160"/>
      <c r="CGJ2996" s="555"/>
      <c r="CGK2996" s="125"/>
      <c r="CGL2996" s="470"/>
      <c r="CGM2996" s="449"/>
      <c r="CGN2996" s="462"/>
      <c r="CGO2996" s="299"/>
      <c r="CGP2996" s="81"/>
      <c r="CGQ2996" s="160"/>
      <c r="CGR2996" s="555"/>
      <c r="CGS2996" s="125"/>
      <c r="CGT2996" s="470"/>
      <c r="CGU2996" s="449"/>
      <c r="CGV2996" s="462"/>
      <c r="CGW2996" s="299"/>
      <c r="CGX2996" s="81"/>
      <c r="CGY2996" s="160"/>
      <c r="CGZ2996" s="555"/>
      <c r="CHA2996" s="125"/>
      <c r="CHB2996" s="470"/>
      <c r="CHC2996" s="449"/>
      <c r="CHD2996" s="462"/>
      <c r="CHE2996" s="299"/>
      <c r="CHF2996" s="81"/>
      <c r="CHG2996" s="160"/>
      <c r="CHH2996" s="555"/>
      <c r="CHI2996" s="125"/>
      <c r="CHJ2996" s="470"/>
      <c r="CHK2996" s="449"/>
      <c r="CHL2996" s="462"/>
      <c r="CHM2996" s="299"/>
      <c r="CHN2996" s="81"/>
      <c r="CHO2996" s="160"/>
      <c r="CHP2996" s="555"/>
      <c r="CHQ2996" s="125"/>
      <c r="CHR2996" s="470"/>
      <c r="CHS2996" s="449"/>
      <c r="CHT2996" s="462"/>
      <c r="CHU2996" s="299"/>
      <c r="CHV2996" s="81"/>
      <c r="CHW2996" s="160"/>
      <c r="CHX2996" s="555"/>
      <c r="CHY2996" s="125"/>
      <c r="CHZ2996" s="470"/>
      <c r="CIA2996" s="449"/>
      <c r="CIB2996" s="462"/>
      <c r="CIC2996" s="299"/>
      <c r="CID2996" s="81"/>
      <c r="CIE2996" s="160"/>
      <c r="CIF2996" s="555"/>
      <c r="CIG2996" s="125"/>
      <c r="CIH2996" s="470"/>
      <c r="CII2996" s="449"/>
      <c r="CIJ2996" s="462"/>
      <c r="CIK2996" s="299"/>
      <c r="CIL2996" s="81"/>
      <c r="CIM2996" s="160"/>
      <c r="CIN2996" s="555"/>
      <c r="CIO2996" s="125"/>
      <c r="CIP2996" s="470"/>
      <c r="CIQ2996" s="449"/>
      <c r="CIR2996" s="462"/>
      <c r="CIS2996" s="299"/>
      <c r="CIT2996" s="81"/>
      <c r="CIU2996" s="160"/>
      <c r="CIV2996" s="555"/>
      <c r="CIW2996" s="125"/>
      <c r="CIX2996" s="470"/>
      <c r="CIY2996" s="449"/>
      <c r="CIZ2996" s="462"/>
      <c r="CJA2996" s="299"/>
      <c r="CJB2996" s="81"/>
      <c r="CJC2996" s="160"/>
      <c r="CJD2996" s="555"/>
      <c r="CJE2996" s="125"/>
      <c r="CJF2996" s="470"/>
      <c r="CJG2996" s="449"/>
      <c r="CJH2996" s="462"/>
      <c r="CJI2996" s="299"/>
      <c r="CJJ2996" s="81"/>
      <c r="CJK2996" s="160"/>
      <c r="CJL2996" s="555"/>
      <c r="CJM2996" s="125"/>
      <c r="CJN2996" s="470"/>
      <c r="CJO2996" s="449"/>
      <c r="CJP2996" s="462"/>
      <c r="CJQ2996" s="299"/>
      <c r="CJR2996" s="81"/>
      <c r="CJS2996" s="160"/>
      <c r="CJT2996" s="555"/>
      <c r="CJU2996" s="125"/>
      <c r="CJV2996" s="470"/>
      <c r="CJW2996" s="449"/>
      <c r="CJX2996" s="462"/>
      <c r="CJY2996" s="299"/>
      <c r="CJZ2996" s="81"/>
      <c r="CKA2996" s="160"/>
      <c r="CKB2996" s="555"/>
      <c r="CKC2996" s="125"/>
      <c r="CKD2996" s="470"/>
      <c r="CKE2996" s="449"/>
      <c r="CKF2996" s="462"/>
      <c r="CKG2996" s="299"/>
      <c r="CKH2996" s="81"/>
      <c r="CKI2996" s="160"/>
      <c r="CKJ2996" s="555"/>
      <c r="CKK2996" s="125"/>
      <c r="CKL2996" s="470"/>
      <c r="CKM2996" s="449"/>
      <c r="CKN2996" s="462"/>
      <c r="CKO2996" s="299"/>
      <c r="CKP2996" s="81"/>
      <c r="CKQ2996" s="160"/>
      <c r="CKR2996" s="555"/>
      <c r="CKS2996" s="125"/>
      <c r="CKT2996" s="470"/>
      <c r="CKU2996" s="449"/>
      <c r="CKV2996" s="462"/>
      <c r="CKW2996" s="299"/>
      <c r="CKX2996" s="81"/>
      <c r="CKY2996" s="160"/>
      <c r="CKZ2996" s="555"/>
      <c r="CLA2996" s="125"/>
      <c r="CLB2996" s="470"/>
      <c r="CLC2996" s="449"/>
      <c r="CLD2996" s="462"/>
      <c r="CLE2996" s="299"/>
      <c r="CLF2996" s="81"/>
      <c r="CLG2996" s="160"/>
      <c r="CLH2996" s="555"/>
      <c r="CLI2996" s="125"/>
      <c r="CLJ2996" s="470"/>
      <c r="CLK2996" s="449"/>
      <c r="CLL2996" s="462"/>
      <c r="CLM2996" s="299"/>
      <c r="CLN2996" s="81"/>
      <c r="CLO2996" s="160"/>
      <c r="CLP2996" s="555"/>
      <c r="CLQ2996" s="125"/>
      <c r="CLR2996" s="470"/>
      <c r="CLS2996" s="449"/>
      <c r="CLT2996" s="462"/>
      <c r="CLU2996" s="299"/>
      <c r="CLV2996" s="81"/>
      <c r="CLW2996" s="160"/>
      <c r="CLX2996" s="555"/>
      <c r="CLY2996" s="125"/>
      <c r="CLZ2996" s="470"/>
      <c r="CMA2996" s="449"/>
      <c r="CMB2996" s="462"/>
      <c r="CMC2996" s="299"/>
      <c r="CMD2996" s="81"/>
      <c r="CME2996" s="160"/>
      <c r="CMF2996" s="555"/>
      <c r="CMG2996" s="125"/>
      <c r="CMH2996" s="470"/>
      <c r="CMI2996" s="449"/>
      <c r="CMJ2996" s="462"/>
      <c r="CMK2996" s="299"/>
      <c r="CML2996" s="81"/>
      <c r="CMM2996" s="160"/>
      <c r="CMN2996" s="555"/>
      <c r="CMO2996" s="125"/>
      <c r="CMP2996" s="470"/>
      <c r="CMQ2996" s="449"/>
      <c r="CMR2996" s="462"/>
      <c r="CMS2996" s="299"/>
      <c r="CMT2996" s="81"/>
      <c r="CMU2996" s="160"/>
      <c r="CMV2996" s="555"/>
      <c r="CMW2996" s="125"/>
      <c r="CMX2996" s="470"/>
      <c r="CMY2996" s="449"/>
      <c r="CMZ2996" s="462"/>
      <c r="CNA2996" s="299"/>
      <c r="CNB2996" s="81"/>
      <c r="CNC2996" s="160"/>
      <c r="CND2996" s="555"/>
      <c r="CNE2996" s="125"/>
      <c r="CNF2996" s="470"/>
      <c r="CNG2996" s="449"/>
      <c r="CNH2996" s="462"/>
      <c r="CNI2996" s="299"/>
      <c r="CNJ2996" s="81"/>
      <c r="CNK2996" s="160"/>
      <c r="CNL2996" s="555"/>
      <c r="CNM2996" s="125"/>
      <c r="CNN2996" s="470"/>
      <c r="CNO2996" s="449"/>
      <c r="CNP2996" s="462"/>
      <c r="CNQ2996" s="299"/>
      <c r="CNR2996" s="81"/>
      <c r="CNS2996" s="160"/>
      <c r="CNT2996" s="555"/>
      <c r="CNU2996" s="125"/>
      <c r="CNV2996" s="470"/>
      <c r="CNW2996" s="449"/>
      <c r="CNX2996" s="462"/>
      <c r="CNY2996" s="299"/>
      <c r="CNZ2996" s="81"/>
      <c r="COA2996" s="160"/>
      <c r="COB2996" s="555"/>
      <c r="COC2996" s="125"/>
      <c r="COD2996" s="470"/>
      <c r="COE2996" s="449"/>
      <c r="COF2996" s="462"/>
      <c r="COG2996" s="299"/>
      <c r="COH2996" s="81"/>
      <c r="COI2996" s="160"/>
      <c r="COJ2996" s="555"/>
      <c r="COK2996" s="125"/>
      <c r="COL2996" s="470"/>
      <c r="COM2996" s="449"/>
      <c r="CON2996" s="462"/>
      <c r="COO2996" s="299"/>
      <c r="COP2996" s="81"/>
      <c r="COQ2996" s="160"/>
      <c r="COR2996" s="555"/>
      <c r="COS2996" s="125"/>
      <c r="COT2996" s="470"/>
      <c r="COU2996" s="449"/>
      <c r="COV2996" s="462"/>
      <c r="COW2996" s="299"/>
      <c r="COX2996" s="81"/>
      <c r="COY2996" s="160"/>
      <c r="COZ2996" s="555"/>
      <c r="CPA2996" s="125"/>
      <c r="CPB2996" s="470"/>
      <c r="CPC2996" s="449"/>
      <c r="CPD2996" s="462"/>
      <c r="CPE2996" s="299"/>
      <c r="CPF2996" s="81"/>
      <c r="CPG2996" s="160"/>
      <c r="CPH2996" s="555"/>
      <c r="CPI2996" s="125"/>
      <c r="CPJ2996" s="470"/>
      <c r="CPK2996" s="449"/>
      <c r="CPL2996" s="462"/>
      <c r="CPM2996" s="299"/>
      <c r="CPN2996" s="81"/>
      <c r="CPO2996" s="160"/>
      <c r="CPP2996" s="555"/>
      <c r="CPQ2996" s="125"/>
      <c r="CPR2996" s="470"/>
      <c r="CPS2996" s="449"/>
      <c r="CPT2996" s="462"/>
      <c r="CPU2996" s="299"/>
      <c r="CPV2996" s="81"/>
      <c r="CPW2996" s="160"/>
      <c r="CPX2996" s="555"/>
      <c r="CPY2996" s="125"/>
      <c r="CPZ2996" s="470"/>
      <c r="CQA2996" s="449"/>
      <c r="CQB2996" s="462"/>
      <c r="CQC2996" s="299"/>
      <c r="CQD2996" s="81"/>
      <c r="CQE2996" s="160"/>
      <c r="CQF2996" s="555"/>
      <c r="CQG2996" s="125"/>
      <c r="CQH2996" s="470"/>
      <c r="CQI2996" s="449"/>
      <c r="CQJ2996" s="462"/>
      <c r="CQK2996" s="299"/>
      <c r="CQL2996" s="81"/>
      <c r="CQM2996" s="160"/>
      <c r="CQN2996" s="555"/>
      <c r="CQO2996" s="125"/>
      <c r="CQP2996" s="470"/>
      <c r="CQQ2996" s="449"/>
      <c r="CQR2996" s="462"/>
      <c r="CQS2996" s="299"/>
      <c r="CQT2996" s="81"/>
      <c r="CQU2996" s="160"/>
      <c r="CQV2996" s="555"/>
      <c r="CQW2996" s="125"/>
      <c r="CQX2996" s="470"/>
      <c r="CQY2996" s="449"/>
      <c r="CQZ2996" s="462"/>
      <c r="CRA2996" s="299"/>
      <c r="CRB2996" s="81"/>
      <c r="CRC2996" s="160"/>
      <c r="CRD2996" s="555"/>
      <c r="CRE2996" s="125"/>
      <c r="CRF2996" s="470"/>
      <c r="CRG2996" s="449"/>
      <c r="CRH2996" s="462"/>
      <c r="CRI2996" s="299"/>
      <c r="CRJ2996" s="81"/>
      <c r="CRK2996" s="160"/>
      <c r="CRL2996" s="555"/>
      <c r="CRM2996" s="125"/>
      <c r="CRN2996" s="470"/>
      <c r="CRO2996" s="449"/>
      <c r="CRP2996" s="462"/>
      <c r="CRQ2996" s="299"/>
      <c r="CRR2996" s="81"/>
      <c r="CRS2996" s="160"/>
      <c r="CRT2996" s="555"/>
      <c r="CRU2996" s="125"/>
      <c r="CRV2996" s="470"/>
      <c r="CRW2996" s="449"/>
      <c r="CRX2996" s="462"/>
      <c r="CRY2996" s="299"/>
      <c r="CRZ2996" s="81"/>
      <c r="CSA2996" s="160"/>
      <c r="CSB2996" s="555"/>
      <c r="CSC2996" s="125"/>
      <c r="CSD2996" s="470"/>
      <c r="CSE2996" s="449"/>
      <c r="CSF2996" s="462"/>
      <c r="CSG2996" s="299"/>
      <c r="CSH2996" s="81"/>
      <c r="CSI2996" s="160"/>
      <c r="CSJ2996" s="555"/>
      <c r="CSK2996" s="125"/>
      <c r="CSL2996" s="470"/>
      <c r="CSM2996" s="449"/>
      <c r="CSN2996" s="462"/>
      <c r="CSO2996" s="299"/>
      <c r="CSP2996" s="81"/>
      <c r="CSQ2996" s="160"/>
      <c r="CSR2996" s="555"/>
      <c r="CSS2996" s="125"/>
      <c r="CST2996" s="470"/>
      <c r="CSU2996" s="449"/>
      <c r="CSV2996" s="462"/>
      <c r="CSW2996" s="299"/>
      <c r="CSX2996" s="81"/>
      <c r="CSY2996" s="160"/>
      <c r="CSZ2996" s="555"/>
      <c r="CTA2996" s="125"/>
      <c r="CTB2996" s="470"/>
      <c r="CTC2996" s="449"/>
      <c r="CTD2996" s="462"/>
      <c r="CTE2996" s="299"/>
      <c r="CTF2996" s="81"/>
      <c r="CTG2996" s="160"/>
      <c r="CTH2996" s="555"/>
      <c r="CTI2996" s="125"/>
      <c r="CTJ2996" s="470"/>
      <c r="CTK2996" s="449"/>
      <c r="CTL2996" s="462"/>
      <c r="CTM2996" s="299"/>
      <c r="CTN2996" s="81"/>
      <c r="CTO2996" s="160"/>
      <c r="CTP2996" s="555"/>
      <c r="CTQ2996" s="125"/>
      <c r="CTR2996" s="470"/>
      <c r="CTS2996" s="449"/>
      <c r="CTT2996" s="462"/>
      <c r="CTU2996" s="299"/>
      <c r="CTV2996" s="81"/>
      <c r="CTW2996" s="160"/>
      <c r="CTX2996" s="555"/>
      <c r="CTY2996" s="125"/>
      <c r="CTZ2996" s="470"/>
      <c r="CUA2996" s="449"/>
      <c r="CUB2996" s="462"/>
      <c r="CUC2996" s="299"/>
      <c r="CUD2996" s="81"/>
      <c r="CUE2996" s="160"/>
      <c r="CUF2996" s="555"/>
      <c r="CUG2996" s="125"/>
      <c r="CUH2996" s="470"/>
      <c r="CUI2996" s="449"/>
      <c r="CUJ2996" s="462"/>
      <c r="CUK2996" s="299"/>
      <c r="CUL2996" s="81"/>
      <c r="CUM2996" s="160"/>
      <c r="CUN2996" s="555"/>
      <c r="CUO2996" s="125"/>
      <c r="CUP2996" s="470"/>
      <c r="CUQ2996" s="449"/>
      <c r="CUR2996" s="462"/>
      <c r="CUS2996" s="299"/>
      <c r="CUT2996" s="81"/>
      <c r="CUU2996" s="160"/>
      <c r="CUV2996" s="555"/>
      <c r="CUW2996" s="125"/>
      <c r="CUX2996" s="470"/>
      <c r="CUY2996" s="449"/>
      <c r="CUZ2996" s="462"/>
      <c r="CVA2996" s="299"/>
      <c r="CVB2996" s="81"/>
      <c r="CVC2996" s="160"/>
      <c r="CVD2996" s="555"/>
      <c r="CVE2996" s="125"/>
      <c r="CVF2996" s="470"/>
      <c r="CVG2996" s="449"/>
      <c r="CVH2996" s="462"/>
      <c r="CVI2996" s="299"/>
      <c r="CVJ2996" s="81"/>
      <c r="CVK2996" s="160"/>
      <c r="CVL2996" s="555"/>
      <c r="CVM2996" s="125"/>
      <c r="CVN2996" s="470"/>
      <c r="CVO2996" s="449"/>
      <c r="CVP2996" s="462"/>
      <c r="CVQ2996" s="299"/>
      <c r="CVR2996" s="81"/>
      <c r="CVS2996" s="160"/>
      <c r="CVT2996" s="555"/>
      <c r="CVU2996" s="125"/>
      <c r="CVV2996" s="470"/>
      <c r="CVW2996" s="449"/>
      <c r="CVX2996" s="462"/>
      <c r="CVY2996" s="299"/>
      <c r="CVZ2996" s="81"/>
      <c r="CWA2996" s="160"/>
      <c r="CWB2996" s="555"/>
      <c r="CWC2996" s="125"/>
      <c r="CWD2996" s="470"/>
      <c r="CWE2996" s="449"/>
      <c r="CWF2996" s="462"/>
      <c r="CWG2996" s="299"/>
      <c r="CWH2996" s="81"/>
      <c r="CWI2996" s="160"/>
      <c r="CWJ2996" s="555"/>
      <c r="CWK2996" s="125"/>
      <c r="CWL2996" s="470"/>
      <c r="CWM2996" s="449"/>
      <c r="CWN2996" s="462"/>
      <c r="CWO2996" s="299"/>
      <c r="CWP2996" s="81"/>
      <c r="CWQ2996" s="160"/>
      <c r="CWR2996" s="555"/>
      <c r="CWS2996" s="125"/>
      <c r="CWT2996" s="470"/>
      <c r="CWU2996" s="449"/>
      <c r="CWV2996" s="462"/>
      <c r="CWW2996" s="299"/>
      <c r="CWX2996" s="81"/>
      <c r="CWY2996" s="160"/>
      <c r="CWZ2996" s="555"/>
      <c r="CXA2996" s="125"/>
      <c r="CXB2996" s="470"/>
      <c r="CXC2996" s="449"/>
      <c r="CXD2996" s="462"/>
      <c r="CXE2996" s="299"/>
      <c r="CXF2996" s="81"/>
      <c r="CXG2996" s="160"/>
      <c r="CXH2996" s="555"/>
      <c r="CXI2996" s="125"/>
      <c r="CXJ2996" s="470"/>
      <c r="CXK2996" s="449"/>
      <c r="CXL2996" s="462"/>
      <c r="CXM2996" s="299"/>
      <c r="CXN2996" s="81"/>
      <c r="CXO2996" s="160"/>
      <c r="CXP2996" s="555"/>
      <c r="CXQ2996" s="125"/>
      <c r="CXR2996" s="470"/>
      <c r="CXS2996" s="449"/>
      <c r="CXT2996" s="462"/>
      <c r="CXU2996" s="299"/>
      <c r="CXV2996" s="81"/>
      <c r="CXW2996" s="160"/>
      <c r="CXX2996" s="555"/>
      <c r="CXY2996" s="125"/>
      <c r="CXZ2996" s="470"/>
      <c r="CYA2996" s="449"/>
      <c r="CYB2996" s="462"/>
      <c r="CYC2996" s="299"/>
      <c r="CYD2996" s="81"/>
      <c r="CYE2996" s="160"/>
      <c r="CYF2996" s="555"/>
      <c r="CYG2996" s="125"/>
      <c r="CYH2996" s="470"/>
      <c r="CYI2996" s="449"/>
      <c r="CYJ2996" s="462"/>
      <c r="CYK2996" s="299"/>
      <c r="CYL2996" s="81"/>
      <c r="CYM2996" s="160"/>
      <c r="CYN2996" s="555"/>
      <c r="CYO2996" s="125"/>
      <c r="CYP2996" s="470"/>
      <c r="CYQ2996" s="449"/>
      <c r="CYR2996" s="462"/>
      <c r="CYS2996" s="299"/>
      <c r="CYT2996" s="81"/>
      <c r="CYU2996" s="160"/>
      <c r="CYV2996" s="555"/>
      <c r="CYW2996" s="125"/>
      <c r="CYX2996" s="470"/>
      <c r="CYY2996" s="449"/>
      <c r="CYZ2996" s="462"/>
      <c r="CZA2996" s="299"/>
      <c r="CZB2996" s="81"/>
      <c r="CZC2996" s="160"/>
      <c r="CZD2996" s="555"/>
      <c r="CZE2996" s="125"/>
      <c r="CZF2996" s="470"/>
      <c r="CZG2996" s="449"/>
      <c r="CZH2996" s="462"/>
      <c r="CZI2996" s="299"/>
      <c r="CZJ2996" s="81"/>
      <c r="CZK2996" s="160"/>
      <c r="CZL2996" s="555"/>
      <c r="CZM2996" s="125"/>
      <c r="CZN2996" s="470"/>
      <c r="CZO2996" s="449"/>
      <c r="CZP2996" s="462"/>
      <c r="CZQ2996" s="299"/>
      <c r="CZR2996" s="81"/>
      <c r="CZS2996" s="160"/>
      <c r="CZT2996" s="555"/>
      <c r="CZU2996" s="125"/>
      <c r="CZV2996" s="470"/>
      <c r="CZW2996" s="449"/>
      <c r="CZX2996" s="462"/>
      <c r="CZY2996" s="299"/>
      <c r="CZZ2996" s="81"/>
      <c r="DAA2996" s="160"/>
      <c r="DAB2996" s="555"/>
      <c r="DAC2996" s="125"/>
      <c r="DAD2996" s="470"/>
      <c r="DAE2996" s="449"/>
      <c r="DAF2996" s="462"/>
      <c r="DAG2996" s="299"/>
      <c r="DAH2996" s="81"/>
      <c r="DAI2996" s="160"/>
      <c r="DAJ2996" s="555"/>
      <c r="DAK2996" s="125"/>
      <c r="DAL2996" s="470"/>
      <c r="DAM2996" s="449"/>
      <c r="DAN2996" s="462"/>
      <c r="DAO2996" s="299"/>
      <c r="DAP2996" s="81"/>
      <c r="DAQ2996" s="160"/>
      <c r="DAR2996" s="555"/>
      <c r="DAS2996" s="125"/>
      <c r="DAT2996" s="470"/>
      <c r="DAU2996" s="449"/>
      <c r="DAV2996" s="462"/>
      <c r="DAW2996" s="299"/>
      <c r="DAX2996" s="81"/>
      <c r="DAY2996" s="160"/>
      <c r="DAZ2996" s="555"/>
      <c r="DBA2996" s="125"/>
      <c r="DBB2996" s="470"/>
      <c r="DBC2996" s="449"/>
      <c r="DBD2996" s="462"/>
      <c r="DBE2996" s="299"/>
      <c r="DBF2996" s="81"/>
      <c r="DBG2996" s="160"/>
      <c r="DBH2996" s="555"/>
      <c r="DBI2996" s="125"/>
      <c r="DBJ2996" s="470"/>
      <c r="DBK2996" s="449"/>
      <c r="DBL2996" s="462"/>
      <c r="DBM2996" s="299"/>
      <c r="DBN2996" s="81"/>
      <c r="DBO2996" s="160"/>
      <c r="DBP2996" s="555"/>
      <c r="DBQ2996" s="125"/>
      <c r="DBR2996" s="470"/>
      <c r="DBS2996" s="449"/>
      <c r="DBT2996" s="462"/>
      <c r="DBU2996" s="299"/>
      <c r="DBV2996" s="81"/>
      <c r="DBW2996" s="160"/>
      <c r="DBX2996" s="555"/>
      <c r="DBY2996" s="125"/>
      <c r="DBZ2996" s="470"/>
      <c r="DCA2996" s="449"/>
      <c r="DCB2996" s="462"/>
      <c r="DCC2996" s="299"/>
      <c r="DCD2996" s="81"/>
      <c r="DCE2996" s="160"/>
      <c r="DCF2996" s="555"/>
      <c r="DCG2996" s="125"/>
      <c r="DCH2996" s="470"/>
      <c r="DCI2996" s="449"/>
      <c r="DCJ2996" s="462"/>
      <c r="DCK2996" s="299"/>
      <c r="DCL2996" s="81"/>
      <c r="DCM2996" s="160"/>
      <c r="DCN2996" s="555"/>
      <c r="DCO2996" s="125"/>
      <c r="DCP2996" s="470"/>
      <c r="DCQ2996" s="449"/>
      <c r="DCR2996" s="462"/>
      <c r="DCS2996" s="299"/>
      <c r="DCT2996" s="81"/>
      <c r="DCU2996" s="160"/>
      <c r="DCV2996" s="555"/>
      <c r="DCW2996" s="125"/>
      <c r="DCX2996" s="470"/>
      <c r="DCY2996" s="449"/>
      <c r="DCZ2996" s="462"/>
      <c r="DDA2996" s="299"/>
      <c r="DDB2996" s="81"/>
      <c r="DDC2996" s="160"/>
      <c r="DDD2996" s="555"/>
      <c r="DDE2996" s="125"/>
      <c r="DDF2996" s="470"/>
      <c r="DDG2996" s="449"/>
      <c r="DDH2996" s="462"/>
      <c r="DDI2996" s="299"/>
      <c r="DDJ2996" s="81"/>
      <c r="DDK2996" s="160"/>
      <c r="DDL2996" s="555"/>
      <c r="DDM2996" s="125"/>
      <c r="DDN2996" s="470"/>
      <c r="DDO2996" s="449"/>
      <c r="DDP2996" s="462"/>
      <c r="DDQ2996" s="299"/>
      <c r="DDR2996" s="81"/>
      <c r="DDS2996" s="160"/>
      <c r="DDT2996" s="555"/>
      <c r="DDU2996" s="125"/>
      <c r="DDV2996" s="470"/>
      <c r="DDW2996" s="449"/>
      <c r="DDX2996" s="462"/>
      <c r="DDY2996" s="299"/>
      <c r="DDZ2996" s="81"/>
      <c r="DEA2996" s="160"/>
      <c r="DEB2996" s="555"/>
      <c r="DEC2996" s="125"/>
      <c r="DED2996" s="470"/>
      <c r="DEE2996" s="449"/>
      <c r="DEF2996" s="462"/>
      <c r="DEG2996" s="299"/>
      <c r="DEH2996" s="81"/>
      <c r="DEI2996" s="160"/>
      <c r="DEJ2996" s="555"/>
      <c r="DEK2996" s="125"/>
      <c r="DEL2996" s="470"/>
      <c r="DEM2996" s="449"/>
      <c r="DEN2996" s="462"/>
      <c r="DEO2996" s="299"/>
      <c r="DEP2996" s="81"/>
      <c r="DEQ2996" s="160"/>
      <c r="DER2996" s="555"/>
      <c r="DES2996" s="125"/>
      <c r="DET2996" s="470"/>
      <c r="DEU2996" s="449"/>
      <c r="DEV2996" s="462"/>
      <c r="DEW2996" s="299"/>
      <c r="DEX2996" s="81"/>
      <c r="DEY2996" s="160"/>
      <c r="DEZ2996" s="555"/>
      <c r="DFA2996" s="125"/>
      <c r="DFB2996" s="470"/>
      <c r="DFC2996" s="449"/>
      <c r="DFD2996" s="462"/>
      <c r="DFE2996" s="299"/>
      <c r="DFF2996" s="81"/>
      <c r="DFG2996" s="160"/>
      <c r="DFH2996" s="555"/>
      <c r="DFI2996" s="125"/>
      <c r="DFJ2996" s="470"/>
      <c r="DFK2996" s="449"/>
      <c r="DFL2996" s="462"/>
      <c r="DFM2996" s="299"/>
      <c r="DFN2996" s="81"/>
      <c r="DFO2996" s="160"/>
      <c r="DFP2996" s="555"/>
      <c r="DFQ2996" s="125"/>
      <c r="DFR2996" s="470"/>
      <c r="DFS2996" s="449"/>
      <c r="DFT2996" s="462"/>
      <c r="DFU2996" s="299"/>
      <c r="DFV2996" s="81"/>
      <c r="DFW2996" s="160"/>
      <c r="DFX2996" s="555"/>
      <c r="DFY2996" s="125"/>
      <c r="DFZ2996" s="470"/>
      <c r="DGA2996" s="449"/>
      <c r="DGB2996" s="462"/>
      <c r="DGC2996" s="299"/>
      <c r="DGD2996" s="81"/>
      <c r="DGE2996" s="160"/>
      <c r="DGF2996" s="555"/>
      <c r="DGG2996" s="125"/>
      <c r="DGH2996" s="470"/>
      <c r="DGI2996" s="449"/>
      <c r="DGJ2996" s="462"/>
      <c r="DGK2996" s="299"/>
      <c r="DGL2996" s="81"/>
      <c r="DGM2996" s="160"/>
      <c r="DGN2996" s="555"/>
      <c r="DGO2996" s="125"/>
      <c r="DGP2996" s="470"/>
      <c r="DGQ2996" s="449"/>
      <c r="DGR2996" s="462"/>
      <c r="DGS2996" s="299"/>
      <c r="DGT2996" s="81"/>
      <c r="DGU2996" s="160"/>
      <c r="DGV2996" s="555"/>
      <c r="DGW2996" s="125"/>
      <c r="DGX2996" s="470"/>
      <c r="DGY2996" s="449"/>
      <c r="DGZ2996" s="462"/>
      <c r="DHA2996" s="299"/>
      <c r="DHB2996" s="81"/>
      <c r="DHC2996" s="160"/>
      <c r="DHD2996" s="555"/>
      <c r="DHE2996" s="125"/>
      <c r="DHF2996" s="470"/>
      <c r="DHG2996" s="449"/>
      <c r="DHH2996" s="462"/>
      <c r="DHI2996" s="299"/>
      <c r="DHJ2996" s="81"/>
      <c r="DHK2996" s="160"/>
      <c r="DHL2996" s="555"/>
      <c r="DHM2996" s="125"/>
      <c r="DHN2996" s="470"/>
      <c r="DHO2996" s="449"/>
      <c r="DHP2996" s="462"/>
      <c r="DHQ2996" s="299"/>
      <c r="DHR2996" s="81"/>
      <c r="DHS2996" s="160"/>
      <c r="DHT2996" s="555"/>
      <c r="DHU2996" s="125"/>
      <c r="DHV2996" s="470"/>
      <c r="DHW2996" s="449"/>
      <c r="DHX2996" s="462"/>
      <c r="DHY2996" s="299"/>
      <c r="DHZ2996" s="81"/>
      <c r="DIA2996" s="160"/>
      <c r="DIB2996" s="555"/>
      <c r="DIC2996" s="125"/>
      <c r="DID2996" s="470"/>
      <c r="DIE2996" s="449"/>
      <c r="DIF2996" s="462"/>
      <c r="DIG2996" s="299"/>
      <c r="DIH2996" s="81"/>
      <c r="DII2996" s="160"/>
      <c r="DIJ2996" s="555"/>
      <c r="DIK2996" s="125"/>
      <c r="DIL2996" s="470"/>
      <c r="DIM2996" s="449"/>
      <c r="DIN2996" s="462"/>
      <c r="DIO2996" s="299"/>
      <c r="DIP2996" s="81"/>
      <c r="DIQ2996" s="160"/>
      <c r="DIR2996" s="555"/>
      <c r="DIS2996" s="125"/>
      <c r="DIT2996" s="470"/>
      <c r="DIU2996" s="449"/>
      <c r="DIV2996" s="462"/>
      <c r="DIW2996" s="299"/>
      <c r="DIX2996" s="81"/>
      <c r="DIY2996" s="160"/>
      <c r="DIZ2996" s="555"/>
      <c r="DJA2996" s="125"/>
      <c r="DJB2996" s="470"/>
      <c r="DJC2996" s="449"/>
      <c r="DJD2996" s="462"/>
      <c r="DJE2996" s="299"/>
      <c r="DJF2996" s="81"/>
      <c r="DJG2996" s="160"/>
      <c r="DJH2996" s="555"/>
      <c r="DJI2996" s="125"/>
      <c r="DJJ2996" s="470"/>
      <c r="DJK2996" s="449"/>
      <c r="DJL2996" s="462"/>
      <c r="DJM2996" s="299"/>
      <c r="DJN2996" s="81"/>
      <c r="DJO2996" s="160"/>
      <c r="DJP2996" s="555"/>
      <c r="DJQ2996" s="125"/>
      <c r="DJR2996" s="470"/>
      <c r="DJS2996" s="449"/>
      <c r="DJT2996" s="462"/>
      <c r="DJU2996" s="299"/>
      <c r="DJV2996" s="81"/>
      <c r="DJW2996" s="160"/>
      <c r="DJX2996" s="555"/>
      <c r="DJY2996" s="125"/>
      <c r="DJZ2996" s="470"/>
      <c r="DKA2996" s="449"/>
      <c r="DKB2996" s="462"/>
      <c r="DKC2996" s="299"/>
      <c r="DKD2996" s="81"/>
      <c r="DKE2996" s="160"/>
      <c r="DKF2996" s="555"/>
      <c r="DKG2996" s="125"/>
      <c r="DKH2996" s="470"/>
      <c r="DKI2996" s="449"/>
      <c r="DKJ2996" s="462"/>
      <c r="DKK2996" s="299"/>
      <c r="DKL2996" s="81"/>
      <c r="DKM2996" s="160"/>
      <c r="DKN2996" s="555"/>
      <c r="DKO2996" s="125"/>
      <c r="DKP2996" s="470"/>
      <c r="DKQ2996" s="449"/>
      <c r="DKR2996" s="462"/>
      <c r="DKS2996" s="299"/>
      <c r="DKT2996" s="81"/>
      <c r="DKU2996" s="160"/>
      <c r="DKV2996" s="555"/>
      <c r="DKW2996" s="125"/>
      <c r="DKX2996" s="470"/>
      <c r="DKY2996" s="449"/>
      <c r="DKZ2996" s="462"/>
      <c r="DLA2996" s="299"/>
      <c r="DLB2996" s="81"/>
      <c r="DLC2996" s="160"/>
      <c r="DLD2996" s="555"/>
      <c r="DLE2996" s="125"/>
      <c r="DLF2996" s="470"/>
      <c r="DLG2996" s="449"/>
      <c r="DLH2996" s="462"/>
      <c r="DLI2996" s="299"/>
      <c r="DLJ2996" s="81"/>
      <c r="DLK2996" s="160"/>
      <c r="DLL2996" s="555"/>
      <c r="DLM2996" s="125"/>
      <c r="DLN2996" s="470"/>
      <c r="DLO2996" s="449"/>
      <c r="DLP2996" s="462"/>
      <c r="DLQ2996" s="299"/>
      <c r="DLR2996" s="81"/>
      <c r="DLS2996" s="160"/>
      <c r="DLT2996" s="555"/>
      <c r="DLU2996" s="125"/>
      <c r="DLV2996" s="470"/>
      <c r="DLW2996" s="449"/>
      <c r="DLX2996" s="462"/>
      <c r="DLY2996" s="299"/>
      <c r="DLZ2996" s="81"/>
      <c r="DMA2996" s="160"/>
      <c r="DMB2996" s="555"/>
      <c r="DMC2996" s="125"/>
      <c r="DMD2996" s="470"/>
      <c r="DME2996" s="449"/>
      <c r="DMF2996" s="462"/>
      <c r="DMG2996" s="299"/>
      <c r="DMH2996" s="81"/>
      <c r="DMI2996" s="160"/>
      <c r="DMJ2996" s="555"/>
      <c r="DMK2996" s="125"/>
      <c r="DML2996" s="470"/>
      <c r="DMM2996" s="449"/>
      <c r="DMN2996" s="462"/>
      <c r="DMO2996" s="299"/>
      <c r="DMP2996" s="81"/>
      <c r="DMQ2996" s="160"/>
      <c r="DMR2996" s="555"/>
      <c r="DMS2996" s="125"/>
      <c r="DMT2996" s="470"/>
      <c r="DMU2996" s="449"/>
      <c r="DMV2996" s="462"/>
      <c r="DMW2996" s="299"/>
      <c r="DMX2996" s="81"/>
      <c r="DMY2996" s="160"/>
      <c r="DMZ2996" s="555"/>
      <c r="DNA2996" s="125"/>
      <c r="DNB2996" s="470"/>
      <c r="DNC2996" s="449"/>
      <c r="DND2996" s="462"/>
      <c r="DNE2996" s="299"/>
      <c r="DNF2996" s="81"/>
      <c r="DNG2996" s="160"/>
      <c r="DNH2996" s="555"/>
      <c r="DNI2996" s="125"/>
      <c r="DNJ2996" s="470"/>
      <c r="DNK2996" s="449"/>
      <c r="DNL2996" s="462"/>
      <c r="DNM2996" s="299"/>
      <c r="DNN2996" s="81"/>
      <c r="DNO2996" s="160"/>
      <c r="DNP2996" s="555"/>
      <c r="DNQ2996" s="125"/>
      <c r="DNR2996" s="470"/>
      <c r="DNS2996" s="449"/>
      <c r="DNT2996" s="462"/>
      <c r="DNU2996" s="299"/>
      <c r="DNV2996" s="81"/>
      <c r="DNW2996" s="160"/>
      <c r="DNX2996" s="555"/>
      <c r="DNY2996" s="125"/>
      <c r="DNZ2996" s="470"/>
      <c r="DOA2996" s="449"/>
      <c r="DOB2996" s="462"/>
      <c r="DOC2996" s="299"/>
      <c r="DOD2996" s="81"/>
      <c r="DOE2996" s="160"/>
      <c r="DOF2996" s="555"/>
      <c r="DOG2996" s="125"/>
      <c r="DOH2996" s="470"/>
      <c r="DOI2996" s="449"/>
      <c r="DOJ2996" s="462"/>
      <c r="DOK2996" s="299"/>
      <c r="DOL2996" s="81"/>
      <c r="DOM2996" s="160"/>
      <c r="DON2996" s="555"/>
      <c r="DOO2996" s="125"/>
      <c r="DOP2996" s="470"/>
      <c r="DOQ2996" s="449"/>
      <c r="DOR2996" s="462"/>
      <c r="DOS2996" s="299"/>
      <c r="DOT2996" s="81"/>
      <c r="DOU2996" s="160"/>
      <c r="DOV2996" s="555"/>
      <c r="DOW2996" s="125"/>
      <c r="DOX2996" s="470"/>
      <c r="DOY2996" s="449"/>
      <c r="DOZ2996" s="462"/>
      <c r="DPA2996" s="299"/>
      <c r="DPB2996" s="81"/>
      <c r="DPC2996" s="160"/>
      <c r="DPD2996" s="555"/>
      <c r="DPE2996" s="125"/>
      <c r="DPF2996" s="470"/>
      <c r="DPG2996" s="449"/>
      <c r="DPH2996" s="462"/>
      <c r="DPI2996" s="299"/>
      <c r="DPJ2996" s="81"/>
      <c r="DPK2996" s="160"/>
      <c r="DPL2996" s="555"/>
      <c r="DPM2996" s="125"/>
      <c r="DPN2996" s="470"/>
      <c r="DPO2996" s="449"/>
      <c r="DPP2996" s="462"/>
      <c r="DPQ2996" s="299"/>
      <c r="DPR2996" s="81"/>
      <c r="DPS2996" s="160"/>
      <c r="DPT2996" s="555"/>
      <c r="DPU2996" s="125"/>
      <c r="DPV2996" s="470"/>
      <c r="DPW2996" s="449"/>
      <c r="DPX2996" s="462"/>
      <c r="DPY2996" s="299"/>
      <c r="DPZ2996" s="81"/>
      <c r="DQA2996" s="160"/>
      <c r="DQB2996" s="555"/>
      <c r="DQC2996" s="125"/>
      <c r="DQD2996" s="470"/>
      <c r="DQE2996" s="449"/>
      <c r="DQF2996" s="462"/>
      <c r="DQG2996" s="299"/>
      <c r="DQH2996" s="81"/>
      <c r="DQI2996" s="160"/>
      <c r="DQJ2996" s="555"/>
      <c r="DQK2996" s="125"/>
      <c r="DQL2996" s="470"/>
      <c r="DQM2996" s="449"/>
      <c r="DQN2996" s="462"/>
      <c r="DQO2996" s="299"/>
      <c r="DQP2996" s="81"/>
      <c r="DQQ2996" s="160"/>
      <c r="DQR2996" s="555"/>
      <c r="DQS2996" s="125"/>
      <c r="DQT2996" s="470"/>
      <c r="DQU2996" s="449"/>
      <c r="DQV2996" s="462"/>
      <c r="DQW2996" s="299"/>
      <c r="DQX2996" s="81"/>
      <c r="DQY2996" s="160"/>
      <c r="DQZ2996" s="555"/>
      <c r="DRA2996" s="125"/>
      <c r="DRB2996" s="470"/>
      <c r="DRC2996" s="449"/>
      <c r="DRD2996" s="462"/>
      <c r="DRE2996" s="299"/>
      <c r="DRF2996" s="81"/>
      <c r="DRG2996" s="160"/>
      <c r="DRH2996" s="555"/>
      <c r="DRI2996" s="125"/>
      <c r="DRJ2996" s="470"/>
      <c r="DRK2996" s="449"/>
      <c r="DRL2996" s="462"/>
      <c r="DRM2996" s="299"/>
      <c r="DRN2996" s="81"/>
      <c r="DRO2996" s="160"/>
      <c r="DRP2996" s="555"/>
      <c r="DRQ2996" s="125"/>
      <c r="DRR2996" s="470"/>
      <c r="DRS2996" s="449"/>
      <c r="DRT2996" s="462"/>
      <c r="DRU2996" s="299"/>
      <c r="DRV2996" s="81"/>
      <c r="DRW2996" s="160"/>
      <c r="DRX2996" s="555"/>
      <c r="DRY2996" s="125"/>
      <c r="DRZ2996" s="470"/>
      <c r="DSA2996" s="449"/>
      <c r="DSB2996" s="462"/>
      <c r="DSC2996" s="299"/>
      <c r="DSD2996" s="81"/>
      <c r="DSE2996" s="160"/>
      <c r="DSF2996" s="555"/>
      <c r="DSG2996" s="125"/>
      <c r="DSH2996" s="470"/>
      <c r="DSI2996" s="449"/>
      <c r="DSJ2996" s="462"/>
      <c r="DSK2996" s="299"/>
      <c r="DSL2996" s="81"/>
      <c r="DSM2996" s="160"/>
      <c r="DSN2996" s="555"/>
      <c r="DSO2996" s="125"/>
      <c r="DSP2996" s="470"/>
      <c r="DSQ2996" s="449"/>
      <c r="DSR2996" s="462"/>
      <c r="DSS2996" s="299"/>
      <c r="DST2996" s="81"/>
      <c r="DSU2996" s="160"/>
      <c r="DSV2996" s="555"/>
      <c r="DSW2996" s="125"/>
      <c r="DSX2996" s="470"/>
      <c r="DSY2996" s="449"/>
      <c r="DSZ2996" s="462"/>
      <c r="DTA2996" s="299"/>
      <c r="DTB2996" s="81"/>
      <c r="DTC2996" s="160"/>
      <c r="DTD2996" s="555"/>
      <c r="DTE2996" s="125"/>
      <c r="DTF2996" s="470"/>
      <c r="DTG2996" s="449"/>
      <c r="DTH2996" s="462"/>
      <c r="DTI2996" s="299"/>
      <c r="DTJ2996" s="81"/>
      <c r="DTK2996" s="160"/>
      <c r="DTL2996" s="555"/>
      <c r="DTM2996" s="125"/>
      <c r="DTN2996" s="470"/>
      <c r="DTO2996" s="449"/>
      <c r="DTP2996" s="462"/>
      <c r="DTQ2996" s="299"/>
      <c r="DTR2996" s="81"/>
      <c r="DTS2996" s="160"/>
      <c r="DTT2996" s="555"/>
      <c r="DTU2996" s="125"/>
      <c r="DTV2996" s="470"/>
      <c r="DTW2996" s="449"/>
      <c r="DTX2996" s="462"/>
      <c r="DTY2996" s="299"/>
      <c r="DTZ2996" s="81"/>
      <c r="DUA2996" s="160"/>
      <c r="DUB2996" s="555"/>
      <c r="DUC2996" s="125"/>
      <c r="DUD2996" s="470"/>
      <c r="DUE2996" s="449"/>
      <c r="DUF2996" s="462"/>
      <c r="DUG2996" s="299"/>
      <c r="DUH2996" s="81"/>
      <c r="DUI2996" s="160"/>
      <c r="DUJ2996" s="555"/>
      <c r="DUK2996" s="125"/>
      <c r="DUL2996" s="470"/>
      <c r="DUM2996" s="449"/>
      <c r="DUN2996" s="462"/>
      <c r="DUO2996" s="299"/>
      <c r="DUP2996" s="81"/>
      <c r="DUQ2996" s="160"/>
      <c r="DUR2996" s="555"/>
      <c r="DUS2996" s="125"/>
      <c r="DUT2996" s="470"/>
      <c r="DUU2996" s="449"/>
      <c r="DUV2996" s="462"/>
      <c r="DUW2996" s="299"/>
      <c r="DUX2996" s="81"/>
      <c r="DUY2996" s="160"/>
      <c r="DUZ2996" s="555"/>
      <c r="DVA2996" s="125"/>
      <c r="DVB2996" s="470"/>
      <c r="DVC2996" s="449"/>
      <c r="DVD2996" s="462"/>
      <c r="DVE2996" s="299"/>
      <c r="DVF2996" s="81"/>
      <c r="DVG2996" s="160"/>
      <c r="DVH2996" s="555"/>
      <c r="DVI2996" s="125"/>
      <c r="DVJ2996" s="470"/>
      <c r="DVK2996" s="449"/>
      <c r="DVL2996" s="462"/>
      <c r="DVM2996" s="299"/>
      <c r="DVN2996" s="81"/>
      <c r="DVO2996" s="160"/>
      <c r="DVP2996" s="555"/>
      <c r="DVQ2996" s="125"/>
      <c r="DVR2996" s="470"/>
      <c r="DVS2996" s="449"/>
      <c r="DVT2996" s="462"/>
      <c r="DVU2996" s="299"/>
      <c r="DVV2996" s="81"/>
      <c r="DVW2996" s="160"/>
      <c r="DVX2996" s="555"/>
      <c r="DVY2996" s="125"/>
      <c r="DVZ2996" s="470"/>
      <c r="DWA2996" s="449"/>
      <c r="DWB2996" s="462"/>
      <c r="DWC2996" s="299"/>
      <c r="DWD2996" s="81"/>
      <c r="DWE2996" s="160"/>
      <c r="DWF2996" s="555"/>
      <c r="DWG2996" s="125"/>
      <c r="DWH2996" s="470"/>
      <c r="DWI2996" s="449"/>
      <c r="DWJ2996" s="462"/>
      <c r="DWK2996" s="299"/>
      <c r="DWL2996" s="81"/>
      <c r="DWM2996" s="160"/>
      <c r="DWN2996" s="555"/>
      <c r="DWO2996" s="125"/>
      <c r="DWP2996" s="470"/>
      <c r="DWQ2996" s="449"/>
      <c r="DWR2996" s="462"/>
      <c r="DWS2996" s="299"/>
      <c r="DWT2996" s="81"/>
      <c r="DWU2996" s="160"/>
      <c r="DWV2996" s="555"/>
      <c r="DWW2996" s="125"/>
      <c r="DWX2996" s="470"/>
      <c r="DWY2996" s="449"/>
      <c r="DWZ2996" s="462"/>
      <c r="DXA2996" s="299"/>
      <c r="DXB2996" s="81"/>
      <c r="DXC2996" s="160"/>
      <c r="DXD2996" s="555"/>
      <c r="DXE2996" s="125"/>
      <c r="DXF2996" s="470"/>
      <c r="DXG2996" s="449"/>
      <c r="DXH2996" s="462"/>
      <c r="DXI2996" s="299"/>
      <c r="DXJ2996" s="81"/>
      <c r="DXK2996" s="160"/>
      <c r="DXL2996" s="555"/>
      <c r="DXM2996" s="125"/>
      <c r="DXN2996" s="470"/>
      <c r="DXO2996" s="449"/>
      <c r="DXP2996" s="462"/>
      <c r="DXQ2996" s="299"/>
      <c r="DXR2996" s="81"/>
      <c r="DXS2996" s="160"/>
      <c r="DXT2996" s="555"/>
      <c r="DXU2996" s="125"/>
      <c r="DXV2996" s="470"/>
      <c r="DXW2996" s="449"/>
      <c r="DXX2996" s="462"/>
      <c r="DXY2996" s="299"/>
      <c r="DXZ2996" s="81"/>
      <c r="DYA2996" s="160"/>
      <c r="DYB2996" s="555"/>
      <c r="DYC2996" s="125"/>
      <c r="DYD2996" s="470"/>
      <c r="DYE2996" s="449"/>
      <c r="DYF2996" s="462"/>
      <c r="DYG2996" s="299"/>
      <c r="DYH2996" s="81"/>
      <c r="DYI2996" s="160"/>
      <c r="DYJ2996" s="555"/>
      <c r="DYK2996" s="125"/>
      <c r="DYL2996" s="470"/>
      <c r="DYM2996" s="449"/>
      <c r="DYN2996" s="462"/>
      <c r="DYO2996" s="299"/>
      <c r="DYP2996" s="81"/>
      <c r="DYQ2996" s="160"/>
      <c r="DYR2996" s="555"/>
      <c r="DYS2996" s="125"/>
      <c r="DYT2996" s="470"/>
      <c r="DYU2996" s="449"/>
      <c r="DYV2996" s="462"/>
      <c r="DYW2996" s="299"/>
      <c r="DYX2996" s="81"/>
      <c r="DYY2996" s="160"/>
      <c r="DYZ2996" s="555"/>
      <c r="DZA2996" s="125"/>
      <c r="DZB2996" s="470"/>
      <c r="DZC2996" s="449"/>
      <c r="DZD2996" s="462"/>
      <c r="DZE2996" s="299"/>
      <c r="DZF2996" s="81"/>
      <c r="DZG2996" s="160"/>
      <c r="DZH2996" s="555"/>
      <c r="DZI2996" s="125"/>
      <c r="DZJ2996" s="470"/>
      <c r="DZK2996" s="449"/>
      <c r="DZL2996" s="462"/>
      <c r="DZM2996" s="299"/>
      <c r="DZN2996" s="81"/>
      <c r="DZO2996" s="160"/>
      <c r="DZP2996" s="555"/>
      <c r="DZQ2996" s="125"/>
      <c r="DZR2996" s="470"/>
      <c r="DZS2996" s="449"/>
      <c r="DZT2996" s="462"/>
      <c r="DZU2996" s="299"/>
      <c r="DZV2996" s="81"/>
      <c r="DZW2996" s="160"/>
      <c r="DZX2996" s="555"/>
      <c r="DZY2996" s="125"/>
      <c r="DZZ2996" s="470"/>
      <c r="EAA2996" s="449"/>
      <c r="EAB2996" s="462"/>
      <c r="EAC2996" s="299"/>
      <c r="EAD2996" s="81"/>
      <c r="EAE2996" s="160"/>
      <c r="EAF2996" s="555"/>
      <c r="EAG2996" s="125"/>
      <c r="EAH2996" s="470"/>
      <c r="EAI2996" s="449"/>
      <c r="EAJ2996" s="462"/>
      <c r="EAK2996" s="299"/>
      <c r="EAL2996" s="81"/>
      <c r="EAM2996" s="160"/>
      <c r="EAN2996" s="555"/>
      <c r="EAO2996" s="125"/>
      <c r="EAP2996" s="470"/>
      <c r="EAQ2996" s="449"/>
      <c r="EAR2996" s="462"/>
      <c r="EAS2996" s="299"/>
      <c r="EAT2996" s="81"/>
      <c r="EAU2996" s="160"/>
      <c r="EAV2996" s="555"/>
      <c r="EAW2996" s="125"/>
      <c r="EAX2996" s="470"/>
      <c r="EAY2996" s="449"/>
      <c r="EAZ2996" s="462"/>
      <c r="EBA2996" s="299"/>
      <c r="EBB2996" s="81"/>
      <c r="EBC2996" s="160"/>
      <c r="EBD2996" s="555"/>
      <c r="EBE2996" s="125"/>
      <c r="EBF2996" s="470"/>
      <c r="EBG2996" s="449"/>
      <c r="EBH2996" s="462"/>
      <c r="EBI2996" s="299"/>
      <c r="EBJ2996" s="81"/>
      <c r="EBK2996" s="160"/>
      <c r="EBL2996" s="555"/>
      <c r="EBM2996" s="125"/>
      <c r="EBN2996" s="470"/>
      <c r="EBO2996" s="449"/>
      <c r="EBP2996" s="462"/>
      <c r="EBQ2996" s="299"/>
      <c r="EBR2996" s="81"/>
      <c r="EBS2996" s="160"/>
      <c r="EBT2996" s="555"/>
      <c r="EBU2996" s="125"/>
      <c r="EBV2996" s="470"/>
      <c r="EBW2996" s="449"/>
      <c r="EBX2996" s="462"/>
      <c r="EBY2996" s="299"/>
      <c r="EBZ2996" s="81"/>
      <c r="ECA2996" s="160"/>
      <c r="ECB2996" s="555"/>
      <c r="ECC2996" s="125"/>
      <c r="ECD2996" s="470"/>
      <c r="ECE2996" s="449"/>
      <c r="ECF2996" s="462"/>
      <c r="ECG2996" s="299"/>
      <c r="ECH2996" s="81"/>
      <c r="ECI2996" s="160"/>
      <c r="ECJ2996" s="555"/>
      <c r="ECK2996" s="125"/>
      <c r="ECL2996" s="470"/>
      <c r="ECM2996" s="449"/>
      <c r="ECN2996" s="462"/>
      <c r="ECO2996" s="299"/>
      <c r="ECP2996" s="81"/>
      <c r="ECQ2996" s="160"/>
      <c r="ECR2996" s="555"/>
      <c r="ECS2996" s="125"/>
      <c r="ECT2996" s="470"/>
      <c r="ECU2996" s="449"/>
      <c r="ECV2996" s="462"/>
      <c r="ECW2996" s="299"/>
      <c r="ECX2996" s="81"/>
      <c r="ECY2996" s="160"/>
      <c r="ECZ2996" s="555"/>
      <c r="EDA2996" s="125"/>
      <c r="EDB2996" s="470"/>
      <c r="EDC2996" s="449"/>
      <c r="EDD2996" s="462"/>
      <c r="EDE2996" s="299"/>
      <c r="EDF2996" s="81"/>
      <c r="EDG2996" s="160"/>
      <c r="EDH2996" s="555"/>
      <c r="EDI2996" s="125"/>
      <c r="EDJ2996" s="470"/>
      <c r="EDK2996" s="449"/>
      <c r="EDL2996" s="462"/>
      <c r="EDM2996" s="299"/>
      <c r="EDN2996" s="81"/>
      <c r="EDO2996" s="160"/>
      <c r="EDP2996" s="555"/>
      <c r="EDQ2996" s="125"/>
      <c r="EDR2996" s="470"/>
      <c r="EDS2996" s="449"/>
      <c r="EDT2996" s="462"/>
      <c r="EDU2996" s="299"/>
      <c r="EDV2996" s="81"/>
      <c r="EDW2996" s="160"/>
      <c r="EDX2996" s="555"/>
      <c r="EDY2996" s="125"/>
      <c r="EDZ2996" s="470"/>
      <c r="EEA2996" s="449"/>
      <c r="EEB2996" s="462"/>
      <c r="EEC2996" s="299"/>
      <c r="EED2996" s="81"/>
      <c r="EEE2996" s="160"/>
      <c r="EEF2996" s="555"/>
      <c r="EEG2996" s="125"/>
      <c r="EEH2996" s="470"/>
      <c r="EEI2996" s="449"/>
      <c r="EEJ2996" s="462"/>
      <c r="EEK2996" s="299"/>
      <c r="EEL2996" s="81"/>
      <c r="EEM2996" s="160"/>
      <c r="EEN2996" s="555"/>
      <c r="EEO2996" s="125"/>
      <c r="EEP2996" s="470"/>
      <c r="EEQ2996" s="449"/>
      <c r="EER2996" s="462"/>
      <c r="EES2996" s="299"/>
      <c r="EET2996" s="81"/>
      <c r="EEU2996" s="160"/>
      <c r="EEV2996" s="555"/>
      <c r="EEW2996" s="125"/>
      <c r="EEX2996" s="470"/>
      <c r="EEY2996" s="449"/>
      <c r="EEZ2996" s="462"/>
      <c r="EFA2996" s="299"/>
      <c r="EFB2996" s="81"/>
      <c r="EFC2996" s="160"/>
      <c r="EFD2996" s="555"/>
      <c r="EFE2996" s="125"/>
      <c r="EFF2996" s="470"/>
      <c r="EFG2996" s="449"/>
      <c r="EFH2996" s="462"/>
      <c r="EFI2996" s="299"/>
      <c r="EFJ2996" s="81"/>
      <c r="EFK2996" s="160"/>
      <c r="EFL2996" s="555"/>
      <c r="EFM2996" s="125"/>
      <c r="EFN2996" s="470"/>
      <c r="EFO2996" s="449"/>
      <c r="EFP2996" s="462"/>
      <c r="EFQ2996" s="299"/>
      <c r="EFR2996" s="81"/>
      <c r="EFS2996" s="160"/>
      <c r="EFT2996" s="555"/>
      <c r="EFU2996" s="125"/>
      <c r="EFV2996" s="470"/>
      <c r="EFW2996" s="449"/>
      <c r="EFX2996" s="462"/>
      <c r="EFY2996" s="299"/>
      <c r="EFZ2996" s="81"/>
      <c r="EGA2996" s="160"/>
      <c r="EGB2996" s="555"/>
      <c r="EGC2996" s="125"/>
      <c r="EGD2996" s="470"/>
      <c r="EGE2996" s="449"/>
      <c r="EGF2996" s="462"/>
      <c r="EGG2996" s="299"/>
      <c r="EGH2996" s="81"/>
      <c r="EGI2996" s="160"/>
      <c r="EGJ2996" s="555"/>
      <c r="EGK2996" s="125"/>
      <c r="EGL2996" s="470"/>
      <c r="EGM2996" s="449"/>
      <c r="EGN2996" s="462"/>
      <c r="EGO2996" s="299"/>
      <c r="EGP2996" s="81"/>
      <c r="EGQ2996" s="160"/>
      <c r="EGR2996" s="555"/>
      <c r="EGS2996" s="125"/>
      <c r="EGT2996" s="470"/>
      <c r="EGU2996" s="449"/>
      <c r="EGV2996" s="462"/>
      <c r="EGW2996" s="299"/>
      <c r="EGX2996" s="81"/>
      <c r="EGY2996" s="160"/>
      <c r="EGZ2996" s="555"/>
      <c r="EHA2996" s="125"/>
      <c r="EHB2996" s="470"/>
      <c r="EHC2996" s="449"/>
      <c r="EHD2996" s="462"/>
      <c r="EHE2996" s="299"/>
      <c r="EHF2996" s="81"/>
      <c r="EHG2996" s="160"/>
      <c r="EHH2996" s="555"/>
      <c r="EHI2996" s="125"/>
      <c r="EHJ2996" s="470"/>
      <c r="EHK2996" s="449"/>
      <c r="EHL2996" s="462"/>
      <c r="EHM2996" s="299"/>
      <c r="EHN2996" s="81"/>
      <c r="EHO2996" s="160"/>
      <c r="EHP2996" s="555"/>
      <c r="EHQ2996" s="125"/>
      <c r="EHR2996" s="470"/>
      <c r="EHS2996" s="449"/>
      <c r="EHT2996" s="462"/>
      <c r="EHU2996" s="299"/>
      <c r="EHV2996" s="81"/>
      <c r="EHW2996" s="160"/>
      <c r="EHX2996" s="555"/>
      <c r="EHY2996" s="125"/>
      <c r="EHZ2996" s="470"/>
      <c r="EIA2996" s="449"/>
      <c r="EIB2996" s="462"/>
      <c r="EIC2996" s="299"/>
      <c r="EID2996" s="81"/>
      <c r="EIE2996" s="160"/>
      <c r="EIF2996" s="555"/>
      <c r="EIG2996" s="125"/>
      <c r="EIH2996" s="470"/>
      <c r="EII2996" s="449"/>
      <c r="EIJ2996" s="462"/>
      <c r="EIK2996" s="299"/>
      <c r="EIL2996" s="81"/>
      <c r="EIM2996" s="160"/>
      <c r="EIN2996" s="555"/>
      <c r="EIO2996" s="125"/>
      <c r="EIP2996" s="470"/>
      <c r="EIQ2996" s="449"/>
      <c r="EIR2996" s="462"/>
      <c r="EIS2996" s="299"/>
      <c r="EIT2996" s="81"/>
      <c r="EIU2996" s="160"/>
      <c r="EIV2996" s="555"/>
      <c r="EIW2996" s="125"/>
      <c r="EIX2996" s="470"/>
      <c r="EIY2996" s="449"/>
      <c r="EIZ2996" s="462"/>
      <c r="EJA2996" s="299"/>
      <c r="EJB2996" s="81"/>
      <c r="EJC2996" s="160"/>
      <c r="EJD2996" s="555"/>
      <c r="EJE2996" s="125"/>
      <c r="EJF2996" s="470"/>
      <c r="EJG2996" s="449"/>
      <c r="EJH2996" s="462"/>
      <c r="EJI2996" s="299"/>
      <c r="EJJ2996" s="81"/>
      <c r="EJK2996" s="160"/>
      <c r="EJL2996" s="555"/>
      <c r="EJM2996" s="125"/>
      <c r="EJN2996" s="470"/>
      <c r="EJO2996" s="449"/>
      <c r="EJP2996" s="462"/>
      <c r="EJQ2996" s="299"/>
      <c r="EJR2996" s="81"/>
      <c r="EJS2996" s="160"/>
      <c r="EJT2996" s="555"/>
      <c r="EJU2996" s="125"/>
      <c r="EJV2996" s="470"/>
      <c r="EJW2996" s="449"/>
      <c r="EJX2996" s="462"/>
      <c r="EJY2996" s="299"/>
      <c r="EJZ2996" s="81"/>
      <c r="EKA2996" s="160"/>
      <c r="EKB2996" s="555"/>
      <c r="EKC2996" s="125"/>
      <c r="EKD2996" s="470"/>
      <c r="EKE2996" s="449"/>
      <c r="EKF2996" s="462"/>
      <c r="EKG2996" s="299"/>
      <c r="EKH2996" s="81"/>
      <c r="EKI2996" s="160"/>
      <c r="EKJ2996" s="555"/>
      <c r="EKK2996" s="125"/>
      <c r="EKL2996" s="470"/>
      <c r="EKM2996" s="449"/>
      <c r="EKN2996" s="462"/>
      <c r="EKO2996" s="299"/>
      <c r="EKP2996" s="81"/>
      <c r="EKQ2996" s="160"/>
      <c r="EKR2996" s="555"/>
      <c r="EKS2996" s="125"/>
      <c r="EKT2996" s="470"/>
      <c r="EKU2996" s="449"/>
      <c r="EKV2996" s="462"/>
      <c r="EKW2996" s="299"/>
      <c r="EKX2996" s="81"/>
      <c r="EKY2996" s="160"/>
      <c r="EKZ2996" s="555"/>
      <c r="ELA2996" s="125"/>
      <c r="ELB2996" s="470"/>
      <c r="ELC2996" s="449"/>
      <c r="ELD2996" s="462"/>
      <c r="ELE2996" s="299"/>
      <c r="ELF2996" s="81"/>
      <c r="ELG2996" s="160"/>
      <c r="ELH2996" s="555"/>
      <c r="ELI2996" s="125"/>
      <c r="ELJ2996" s="470"/>
      <c r="ELK2996" s="449"/>
      <c r="ELL2996" s="462"/>
      <c r="ELM2996" s="299"/>
      <c r="ELN2996" s="81"/>
      <c r="ELO2996" s="160"/>
      <c r="ELP2996" s="555"/>
      <c r="ELQ2996" s="125"/>
      <c r="ELR2996" s="470"/>
      <c r="ELS2996" s="449"/>
      <c r="ELT2996" s="462"/>
      <c r="ELU2996" s="299"/>
      <c r="ELV2996" s="81"/>
      <c r="ELW2996" s="160"/>
      <c r="ELX2996" s="555"/>
      <c r="ELY2996" s="125"/>
      <c r="ELZ2996" s="470"/>
      <c r="EMA2996" s="449"/>
      <c r="EMB2996" s="462"/>
      <c r="EMC2996" s="299"/>
      <c r="EMD2996" s="81"/>
      <c r="EME2996" s="160"/>
      <c r="EMF2996" s="555"/>
      <c r="EMG2996" s="125"/>
      <c r="EMH2996" s="470"/>
      <c r="EMI2996" s="449"/>
      <c r="EMJ2996" s="462"/>
      <c r="EMK2996" s="299"/>
      <c r="EML2996" s="81"/>
      <c r="EMM2996" s="160"/>
      <c r="EMN2996" s="555"/>
      <c r="EMO2996" s="125"/>
      <c r="EMP2996" s="470"/>
      <c r="EMQ2996" s="449"/>
      <c r="EMR2996" s="462"/>
      <c r="EMS2996" s="299"/>
      <c r="EMT2996" s="81"/>
      <c r="EMU2996" s="160"/>
      <c r="EMV2996" s="555"/>
      <c r="EMW2996" s="125"/>
      <c r="EMX2996" s="470"/>
      <c r="EMY2996" s="449"/>
      <c r="EMZ2996" s="462"/>
      <c r="ENA2996" s="299"/>
      <c r="ENB2996" s="81"/>
      <c r="ENC2996" s="160"/>
      <c r="END2996" s="555"/>
      <c r="ENE2996" s="125"/>
      <c r="ENF2996" s="470"/>
      <c r="ENG2996" s="449"/>
      <c r="ENH2996" s="462"/>
      <c r="ENI2996" s="299"/>
      <c r="ENJ2996" s="81"/>
      <c r="ENK2996" s="160"/>
      <c r="ENL2996" s="555"/>
      <c r="ENM2996" s="125"/>
      <c r="ENN2996" s="470"/>
      <c r="ENO2996" s="449"/>
      <c r="ENP2996" s="462"/>
      <c r="ENQ2996" s="299"/>
      <c r="ENR2996" s="81"/>
      <c r="ENS2996" s="160"/>
      <c r="ENT2996" s="555"/>
      <c r="ENU2996" s="125"/>
      <c r="ENV2996" s="470"/>
      <c r="ENW2996" s="449"/>
      <c r="ENX2996" s="462"/>
      <c r="ENY2996" s="299"/>
      <c r="ENZ2996" s="81"/>
      <c r="EOA2996" s="160"/>
      <c r="EOB2996" s="555"/>
      <c r="EOC2996" s="125"/>
      <c r="EOD2996" s="470"/>
      <c r="EOE2996" s="449"/>
      <c r="EOF2996" s="462"/>
      <c r="EOG2996" s="299"/>
      <c r="EOH2996" s="81"/>
      <c r="EOI2996" s="160"/>
      <c r="EOJ2996" s="555"/>
      <c r="EOK2996" s="125"/>
      <c r="EOL2996" s="470"/>
      <c r="EOM2996" s="449"/>
      <c r="EON2996" s="462"/>
      <c r="EOO2996" s="299"/>
      <c r="EOP2996" s="81"/>
      <c r="EOQ2996" s="160"/>
      <c r="EOR2996" s="555"/>
      <c r="EOS2996" s="125"/>
      <c r="EOT2996" s="470"/>
      <c r="EOU2996" s="449"/>
      <c r="EOV2996" s="462"/>
      <c r="EOW2996" s="299"/>
      <c r="EOX2996" s="81"/>
      <c r="EOY2996" s="160"/>
      <c r="EOZ2996" s="555"/>
      <c r="EPA2996" s="125"/>
      <c r="EPB2996" s="470"/>
      <c r="EPC2996" s="449"/>
      <c r="EPD2996" s="462"/>
      <c r="EPE2996" s="299"/>
      <c r="EPF2996" s="81"/>
      <c r="EPG2996" s="160"/>
      <c r="EPH2996" s="555"/>
      <c r="EPI2996" s="125"/>
      <c r="EPJ2996" s="470"/>
      <c r="EPK2996" s="449"/>
      <c r="EPL2996" s="462"/>
      <c r="EPM2996" s="299"/>
      <c r="EPN2996" s="81"/>
      <c r="EPO2996" s="160"/>
      <c r="EPP2996" s="555"/>
      <c r="EPQ2996" s="125"/>
      <c r="EPR2996" s="470"/>
      <c r="EPS2996" s="449"/>
      <c r="EPT2996" s="462"/>
      <c r="EPU2996" s="299"/>
      <c r="EPV2996" s="81"/>
      <c r="EPW2996" s="160"/>
      <c r="EPX2996" s="555"/>
      <c r="EPY2996" s="125"/>
      <c r="EPZ2996" s="470"/>
      <c r="EQA2996" s="449"/>
      <c r="EQB2996" s="462"/>
      <c r="EQC2996" s="299"/>
      <c r="EQD2996" s="81"/>
      <c r="EQE2996" s="160"/>
      <c r="EQF2996" s="555"/>
      <c r="EQG2996" s="125"/>
      <c r="EQH2996" s="470"/>
      <c r="EQI2996" s="449"/>
      <c r="EQJ2996" s="462"/>
      <c r="EQK2996" s="299"/>
      <c r="EQL2996" s="81"/>
      <c r="EQM2996" s="160"/>
      <c r="EQN2996" s="555"/>
      <c r="EQO2996" s="125"/>
      <c r="EQP2996" s="470"/>
      <c r="EQQ2996" s="449"/>
      <c r="EQR2996" s="462"/>
      <c r="EQS2996" s="299"/>
      <c r="EQT2996" s="81"/>
      <c r="EQU2996" s="160"/>
      <c r="EQV2996" s="555"/>
      <c r="EQW2996" s="125"/>
      <c r="EQX2996" s="470"/>
      <c r="EQY2996" s="449"/>
      <c r="EQZ2996" s="462"/>
      <c r="ERA2996" s="299"/>
      <c r="ERB2996" s="81"/>
      <c r="ERC2996" s="160"/>
      <c r="ERD2996" s="555"/>
      <c r="ERE2996" s="125"/>
      <c r="ERF2996" s="470"/>
      <c r="ERG2996" s="449"/>
      <c r="ERH2996" s="462"/>
      <c r="ERI2996" s="299"/>
      <c r="ERJ2996" s="81"/>
      <c r="ERK2996" s="160"/>
      <c r="ERL2996" s="555"/>
      <c r="ERM2996" s="125"/>
      <c r="ERN2996" s="470"/>
      <c r="ERO2996" s="449"/>
      <c r="ERP2996" s="462"/>
      <c r="ERQ2996" s="299"/>
      <c r="ERR2996" s="81"/>
      <c r="ERS2996" s="160"/>
      <c r="ERT2996" s="555"/>
      <c r="ERU2996" s="125"/>
      <c r="ERV2996" s="470"/>
      <c r="ERW2996" s="449"/>
      <c r="ERX2996" s="462"/>
      <c r="ERY2996" s="299"/>
      <c r="ERZ2996" s="81"/>
      <c r="ESA2996" s="160"/>
      <c r="ESB2996" s="555"/>
      <c r="ESC2996" s="125"/>
      <c r="ESD2996" s="470"/>
      <c r="ESE2996" s="449"/>
      <c r="ESF2996" s="462"/>
      <c r="ESG2996" s="299"/>
      <c r="ESH2996" s="81"/>
      <c r="ESI2996" s="160"/>
      <c r="ESJ2996" s="555"/>
      <c r="ESK2996" s="125"/>
      <c r="ESL2996" s="470"/>
      <c r="ESM2996" s="449"/>
      <c r="ESN2996" s="462"/>
      <c r="ESO2996" s="299"/>
      <c r="ESP2996" s="81"/>
      <c r="ESQ2996" s="160"/>
      <c r="ESR2996" s="555"/>
      <c r="ESS2996" s="125"/>
      <c r="EST2996" s="470"/>
      <c r="ESU2996" s="449"/>
      <c r="ESV2996" s="462"/>
      <c r="ESW2996" s="299"/>
      <c r="ESX2996" s="81"/>
      <c r="ESY2996" s="160"/>
      <c r="ESZ2996" s="555"/>
      <c r="ETA2996" s="125"/>
      <c r="ETB2996" s="470"/>
      <c r="ETC2996" s="449"/>
      <c r="ETD2996" s="462"/>
      <c r="ETE2996" s="299"/>
      <c r="ETF2996" s="81"/>
      <c r="ETG2996" s="160"/>
      <c r="ETH2996" s="555"/>
      <c r="ETI2996" s="125"/>
      <c r="ETJ2996" s="470"/>
      <c r="ETK2996" s="449"/>
      <c r="ETL2996" s="462"/>
      <c r="ETM2996" s="299"/>
      <c r="ETN2996" s="81"/>
      <c r="ETO2996" s="160"/>
      <c r="ETP2996" s="555"/>
      <c r="ETQ2996" s="125"/>
      <c r="ETR2996" s="470"/>
      <c r="ETS2996" s="449"/>
      <c r="ETT2996" s="462"/>
      <c r="ETU2996" s="299"/>
      <c r="ETV2996" s="81"/>
      <c r="ETW2996" s="160"/>
      <c r="ETX2996" s="555"/>
      <c r="ETY2996" s="125"/>
      <c r="ETZ2996" s="470"/>
      <c r="EUA2996" s="449"/>
      <c r="EUB2996" s="462"/>
      <c r="EUC2996" s="299"/>
      <c r="EUD2996" s="81"/>
      <c r="EUE2996" s="160"/>
      <c r="EUF2996" s="555"/>
      <c r="EUG2996" s="125"/>
      <c r="EUH2996" s="470"/>
      <c r="EUI2996" s="449"/>
      <c r="EUJ2996" s="462"/>
      <c r="EUK2996" s="299"/>
      <c r="EUL2996" s="81"/>
      <c r="EUM2996" s="160"/>
      <c r="EUN2996" s="555"/>
      <c r="EUO2996" s="125"/>
      <c r="EUP2996" s="470"/>
      <c r="EUQ2996" s="449"/>
      <c r="EUR2996" s="462"/>
      <c r="EUS2996" s="299"/>
      <c r="EUT2996" s="81"/>
      <c r="EUU2996" s="160"/>
      <c r="EUV2996" s="555"/>
      <c r="EUW2996" s="125"/>
      <c r="EUX2996" s="470"/>
      <c r="EUY2996" s="449"/>
      <c r="EUZ2996" s="462"/>
      <c r="EVA2996" s="299"/>
      <c r="EVB2996" s="81"/>
      <c r="EVC2996" s="160"/>
      <c r="EVD2996" s="555"/>
      <c r="EVE2996" s="125"/>
      <c r="EVF2996" s="470"/>
      <c r="EVG2996" s="449"/>
      <c r="EVH2996" s="462"/>
      <c r="EVI2996" s="299"/>
      <c r="EVJ2996" s="81"/>
      <c r="EVK2996" s="160"/>
      <c r="EVL2996" s="555"/>
      <c r="EVM2996" s="125"/>
      <c r="EVN2996" s="470"/>
      <c r="EVO2996" s="449"/>
      <c r="EVP2996" s="462"/>
      <c r="EVQ2996" s="299"/>
      <c r="EVR2996" s="81"/>
      <c r="EVS2996" s="160"/>
      <c r="EVT2996" s="555"/>
      <c r="EVU2996" s="125"/>
      <c r="EVV2996" s="470"/>
      <c r="EVW2996" s="449"/>
      <c r="EVX2996" s="462"/>
      <c r="EVY2996" s="299"/>
      <c r="EVZ2996" s="81"/>
      <c r="EWA2996" s="160"/>
      <c r="EWB2996" s="555"/>
      <c r="EWC2996" s="125"/>
      <c r="EWD2996" s="470"/>
      <c r="EWE2996" s="449"/>
      <c r="EWF2996" s="462"/>
      <c r="EWG2996" s="299"/>
      <c r="EWH2996" s="81"/>
      <c r="EWI2996" s="160"/>
      <c r="EWJ2996" s="555"/>
      <c r="EWK2996" s="125"/>
      <c r="EWL2996" s="470"/>
      <c r="EWM2996" s="449"/>
      <c r="EWN2996" s="462"/>
      <c r="EWO2996" s="299"/>
      <c r="EWP2996" s="81"/>
      <c r="EWQ2996" s="160"/>
      <c r="EWR2996" s="555"/>
      <c r="EWS2996" s="125"/>
      <c r="EWT2996" s="470"/>
      <c r="EWU2996" s="449"/>
      <c r="EWV2996" s="462"/>
      <c r="EWW2996" s="299"/>
      <c r="EWX2996" s="81"/>
      <c r="EWY2996" s="160"/>
      <c r="EWZ2996" s="555"/>
      <c r="EXA2996" s="125"/>
      <c r="EXB2996" s="470"/>
      <c r="EXC2996" s="449"/>
      <c r="EXD2996" s="462"/>
      <c r="EXE2996" s="299"/>
      <c r="EXF2996" s="81"/>
      <c r="EXG2996" s="160"/>
      <c r="EXH2996" s="555"/>
      <c r="EXI2996" s="125"/>
      <c r="EXJ2996" s="470"/>
      <c r="EXK2996" s="449"/>
      <c r="EXL2996" s="462"/>
      <c r="EXM2996" s="299"/>
      <c r="EXN2996" s="81"/>
      <c r="EXO2996" s="160"/>
      <c r="EXP2996" s="555"/>
      <c r="EXQ2996" s="125"/>
      <c r="EXR2996" s="470"/>
      <c r="EXS2996" s="449"/>
      <c r="EXT2996" s="462"/>
      <c r="EXU2996" s="299"/>
      <c r="EXV2996" s="81"/>
      <c r="EXW2996" s="160"/>
      <c r="EXX2996" s="555"/>
      <c r="EXY2996" s="125"/>
      <c r="EXZ2996" s="470"/>
      <c r="EYA2996" s="449"/>
      <c r="EYB2996" s="462"/>
      <c r="EYC2996" s="299"/>
      <c r="EYD2996" s="81"/>
      <c r="EYE2996" s="160"/>
      <c r="EYF2996" s="555"/>
      <c r="EYG2996" s="125"/>
      <c r="EYH2996" s="470"/>
      <c r="EYI2996" s="449"/>
      <c r="EYJ2996" s="462"/>
      <c r="EYK2996" s="299"/>
      <c r="EYL2996" s="81"/>
      <c r="EYM2996" s="160"/>
      <c r="EYN2996" s="555"/>
      <c r="EYO2996" s="125"/>
      <c r="EYP2996" s="470"/>
      <c r="EYQ2996" s="449"/>
      <c r="EYR2996" s="462"/>
      <c r="EYS2996" s="299"/>
      <c r="EYT2996" s="81"/>
      <c r="EYU2996" s="160"/>
      <c r="EYV2996" s="555"/>
      <c r="EYW2996" s="125"/>
      <c r="EYX2996" s="470"/>
      <c r="EYY2996" s="449"/>
      <c r="EYZ2996" s="462"/>
      <c r="EZA2996" s="299"/>
      <c r="EZB2996" s="81"/>
      <c r="EZC2996" s="160"/>
      <c r="EZD2996" s="555"/>
      <c r="EZE2996" s="125"/>
      <c r="EZF2996" s="470"/>
      <c r="EZG2996" s="449"/>
      <c r="EZH2996" s="462"/>
      <c r="EZI2996" s="299"/>
      <c r="EZJ2996" s="81"/>
      <c r="EZK2996" s="160"/>
      <c r="EZL2996" s="555"/>
      <c r="EZM2996" s="125"/>
      <c r="EZN2996" s="470"/>
      <c r="EZO2996" s="449"/>
      <c r="EZP2996" s="462"/>
      <c r="EZQ2996" s="299"/>
      <c r="EZR2996" s="81"/>
      <c r="EZS2996" s="160"/>
      <c r="EZT2996" s="555"/>
      <c r="EZU2996" s="125"/>
      <c r="EZV2996" s="470"/>
      <c r="EZW2996" s="449"/>
      <c r="EZX2996" s="462"/>
      <c r="EZY2996" s="299"/>
      <c r="EZZ2996" s="81"/>
      <c r="FAA2996" s="160"/>
      <c r="FAB2996" s="555"/>
      <c r="FAC2996" s="125"/>
      <c r="FAD2996" s="470"/>
      <c r="FAE2996" s="449"/>
      <c r="FAF2996" s="462"/>
      <c r="FAG2996" s="299"/>
      <c r="FAH2996" s="81"/>
      <c r="FAI2996" s="160"/>
      <c r="FAJ2996" s="555"/>
      <c r="FAK2996" s="125"/>
      <c r="FAL2996" s="470"/>
      <c r="FAM2996" s="449"/>
      <c r="FAN2996" s="462"/>
      <c r="FAO2996" s="299"/>
      <c r="FAP2996" s="81"/>
      <c r="FAQ2996" s="160"/>
      <c r="FAR2996" s="555"/>
      <c r="FAS2996" s="125"/>
      <c r="FAT2996" s="470"/>
      <c r="FAU2996" s="449"/>
      <c r="FAV2996" s="462"/>
      <c r="FAW2996" s="299"/>
      <c r="FAX2996" s="81"/>
      <c r="FAY2996" s="160"/>
      <c r="FAZ2996" s="555"/>
      <c r="FBA2996" s="125"/>
      <c r="FBB2996" s="470"/>
      <c r="FBC2996" s="449"/>
      <c r="FBD2996" s="462"/>
      <c r="FBE2996" s="299"/>
      <c r="FBF2996" s="81"/>
      <c r="FBG2996" s="160"/>
      <c r="FBH2996" s="555"/>
      <c r="FBI2996" s="125"/>
      <c r="FBJ2996" s="470"/>
      <c r="FBK2996" s="449"/>
      <c r="FBL2996" s="462"/>
      <c r="FBM2996" s="299"/>
      <c r="FBN2996" s="81"/>
      <c r="FBO2996" s="160"/>
      <c r="FBP2996" s="555"/>
      <c r="FBQ2996" s="125"/>
      <c r="FBR2996" s="470"/>
      <c r="FBS2996" s="449"/>
      <c r="FBT2996" s="462"/>
      <c r="FBU2996" s="299"/>
      <c r="FBV2996" s="81"/>
      <c r="FBW2996" s="160"/>
      <c r="FBX2996" s="555"/>
      <c r="FBY2996" s="125"/>
      <c r="FBZ2996" s="470"/>
      <c r="FCA2996" s="449"/>
      <c r="FCB2996" s="462"/>
      <c r="FCC2996" s="299"/>
      <c r="FCD2996" s="81"/>
      <c r="FCE2996" s="160"/>
      <c r="FCF2996" s="555"/>
      <c r="FCG2996" s="125"/>
      <c r="FCH2996" s="470"/>
      <c r="FCI2996" s="449"/>
      <c r="FCJ2996" s="462"/>
      <c r="FCK2996" s="299"/>
      <c r="FCL2996" s="81"/>
      <c r="FCM2996" s="160"/>
      <c r="FCN2996" s="555"/>
      <c r="FCO2996" s="125"/>
      <c r="FCP2996" s="470"/>
      <c r="FCQ2996" s="449"/>
      <c r="FCR2996" s="462"/>
      <c r="FCS2996" s="299"/>
      <c r="FCT2996" s="81"/>
      <c r="FCU2996" s="160"/>
      <c r="FCV2996" s="555"/>
      <c r="FCW2996" s="125"/>
      <c r="FCX2996" s="470"/>
      <c r="FCY2996" s="449"/>
      <c r="FCZ2996" s="462"/>
      <c r="FDA2996" s="299"/>
      <c r="FDB2996" s="81"/>
      <c r="FDC2996" s="160"/>
      <c r="FDD2996" s="555"/>
      <c r="FDE2996" s="125"/>
      <c r="FDF2996" s="470"/>
      <c r="FDG2996" s="449"/>
      <c r="FDH2996" s="462"/>
      <c r="FDI2996" s="299"/>
      <c r="FDJ2996" s="81"/>
      <c r="FDK2996" s="160"/>
      <c r="FDL2996" s="555"/>
      <c r="FDM2996" s="125"/>
      <c r="FDN2996" s="470"/>
      <c r="FDO2996" s="449"/>
      <c r="FDP2996" s="462"/>
      <c r="FDQ2996" s="299"/>
      <c r="FDR2996" s="81"/>
      <c r="FDS2996" s="160"/>
      <c r="FDT2996" s="555"/>
      <c r="FDU2996" s="125"/>
      <c r="FDV2996" s="470"/>
      <c r="FDW2996" s="449"/>
      <c r="FDX2996" s="462"/>
      <c r="FDY2996" s="299"/>
      <c r="FDZ2996" s="81"/>
      <c r="FEA2996" s="160"/>
      <c r="FEB2996" s="555"/>
      <c r="FEC2996" s="125"/>
      <c r="FED2996" s="470"/>
      <c r="FEE2996" s="449"/>
      <c r="FEF2996" s="462"/>
      <c r="FEG2996" s="299"/>
      <c r="FEH2996" s="81"/>
      <c r="FEI2996" s="160"/>
      <c r="FEJ2996" s="555"/>
      <c r="FEK2996" s="125"/>
      <c r="FEL2996" s="470"/>
      <c r="FEM2996" s="449"/>
      <c r="FEN2996" s="462"/>
      <c r="FEO2996" s="299"/>
      <c r="FEP2996" s="81"/>
      <c r="FEQ2996" s="160"/>
      <c r="FER2996" s="555"/>
      <c r="FES2996" s="125"/>
      <c r="FET2996" s="470"/>
      <c r="FEU2996" s="449"/>
      <c r="FEV2996" s="462"/>
      <c r="FEW2996" s="299"/>
      <c r="FEX2996" s="81"/>
      <c r="FEY2996" s="160"/>
      <c r="FEZ2996" s="555"/>
      <c r="FFA2996" s="125"/>
      <c r="FFB2996" s="470"/>
      <c r="FFC2996" s="449"/>
      <c r="FFD2996" s="462"/>
      <c r="FFE2996" s="299"/>
      <c r="FFF2996" s="81"/>
      <c r="FFG2996" s="160"/>
      <c r="FFH2996" s="555"/>
      <c r="FFI2996" s="125"/>
      <c r="FFJ2996" s="470"/>
      <c r="FFK2996" s="449"/>
      <c r="FFL2996" s="462"/>
      <c r="FFM2996" s="299"/>
      <c r="FFN2996" s="81"/>
      <c r="FFO2996" s="160"/>
      <c r="FFP2996" s="555"/>
      <c r="FFQ2996" s="125"/>
      <c r="FFR2996" s="470"/>
      <c r="FFS2996" s="449"/>
      <c r="FFT2996" s="462"/>
      <c r="FFU2996" s="299"/>
      <c r="FFV2996" s="81"/>
      <c r="FFW2996" s="160"/>
      <c r="FFX2996" s="555"/>
      <c r="FFY2996" s="125"/>
      <c r="FFZ2996" s="470"/>
      <c r="FGA2996" s="449"/>
      <c r="FGB2996" s="462"/>
      <c r="FGC2996" s="299"/>
      <c r="FGD2996" s="81"/>
      <c r="FGE2996" s="160"/>
      <c r="FGF2996" s="555"/>
      <c r="FGG2996" s="125"/>
      <c r="FGH2996" s="470"/>
      <c r="FGI2996" s="449"/>
      <c r="FGJ2996" s="462"/>
      <c r="FGK2996" s="299"/>
      <c r="FGL2996" s="81"/>
      <c r="FGM2996" s="160"/>
      <c r="FGN2996" s="555"/>
      <c r="FGO2996" s="125"/>
      <c r="FGP2996" s="470"/>
      <c r="FGQ2996" s="449"/>
      <c r="FGR2996" s="462"/>
      <c r="FGS2996" s="299"/>
      <c r="FGT2996" s="81"/>
      <c r="FGU2996" s="160"/>
      <c r="FGV2996" s="555"/>
      <c r="FGW2996" s="125"/>
      <c r="FGX2996" s="470"/>
      <c r="FGY2996" s="449"/>
      <c r="FGZ2996" s="462"/>
      <c r="FHA2996" s="299"/>
      <c r="FHB2996" s="81"/>
      <c r="FHC2996" s="160"/>
      <c r="FHD2996" s="555"/>
      <c r="FHE2996" s="125"/>
      <c r="FHF2996" s="470"/>
      <c r="FHG2996" s="449"/>
      <c r="FHH2996" s="462"/>
      <c r="FHI2996" s="299"/>
      <c r="FHJ2996" s="81"/>
      <c r="FHK2996" s="160"/>
      <c r="FHL2996" s="555"/>
      <c r="FHM2996" s="125"/>
      <c r="FHN2996" s="470"/>
      <c r="FHO2996" s="449"/>
      <c r="FHP2996" s="462"/>
      <c r="FHQ2996" s="299"/>
      <c r="FHR2996" s="81"/>
      <c r="FHS2996" s="160"/>
      <c r="FHT2996" s="555"/>
      <c r="FHU2996" s="125"/>
      <c r="FHV2996" s="470"/>
      <c r="FHW2996" s="449"/>
      <c r="FHX2996" s="462"/>
      <c r="FHY2996" s="299"/>
      <c r="FHZ2996" s="81"/>
      <c r="FIA2996" s="160"/>
      <c r="FIB2996" s="555"/>
      <c r="FIC2996" s="125"/>
      <c r="FID2996" s="470"/>
      <c r="FIE2996" s="449"/>
      <c r="FIF2996" s="462"/>
      <c r="FIG2996" s="299"/>
      <c r="FIH2996" s="81"/>
      <c r="FII2996" s="160"/>
      <c r="FIJ2996" s="555"/>
      <c r="FIK2996" s="125"/>
      <c r="FIL2996" s="470"/>
      <c r="FIM2996" s="449"/>
      <c r="FIN2996" s="462"/>
      <c r="FIO2996" s="299"/>
      <c r="FIP2996" s="81"/>
      <c r="FIQ2996" s="160"/>
      <c r="FIR2996" s="555"/>
      <c r="FIS2996" s="125"/>
      <c r="FIT2996" s="470"/>
      <c r="FIU2996" s="449"/>
      <c r="FIV2996" s="462"/>
      <c r="FIW2996" s="299"/>
      <c r="FIX2996" s="81"/>
      <c r="FIY2996" s="160"/>
      <c r="FIZ2996" s="555"/>
      <c r="FJA2996" s="125"/>
      <c r="FJB2996" s="470"/>
      <c r="FJC2996" s="449"/>
      <c r="FJD2996" s="462"/>
      <c r="FJE2996" s="299"/>
      <c r="FJF2996" s="81"/>
      <c r="FJG2996" s="160"/>
      <c r="FJH2996" s="555"/>
      <c r="FJI2996" s="125"/>
      <c r="FJJ2996" s="470"/>
      <c r="FJK2996" s="449"/>
      <c r="FJL2996" s="462"/>
      <c r="FJM2996" s="299"/>
      <c r="FJN2996" s="81"/>
      <c r="FJO2996" s="160"/>
      <c r="FJP2996" s="555"/>
      <c r="FJQ2996" s="125"/>
      <c r="FJR2996" s="470"/>
      <c r="FJS2996" s="449"/>
      <c r="FJT2996" s="462"/>
      <c r="FJU2996" s="299"/>
      <c r="FJV2996" s="81"/>
      <c r="FJW2996" s="160"/>
      <c r="FJX2996" s="555"/>
      <c r="FJY2996" s="125"/>
      <c r="FJZ2996" s="470"/>
      <c r="FKA2996" s="449"/>
      <c r="FKB2996" s="462"/>
      <c r="FKC2996" s="299"/>
      <c r="FKD2996" s="81"/>
      <c r="FKE2996" s="160"/>
      <c r="FKF2996" s="555"/>
      <c r="FKG2996" s="125"/>
      <c r="FKH2996" s="470"/>
      <c r="FKI2996" s="449"/>
      <c r="FKJ2996" s="462"/>
      <c r="FKK2996" s="299"/>
      <c r="FKL2996" s="81"/>
      <c r="FKM2996" s="160"/>
      <c r="FKN2996" s="555"/>
      <c r="FKO2996" s="125"/>
      <c r="FKP2996" s="470"/>
      <c r="FKQ2996" s="449"/>
      <c r="FKR2996" s="462"/>
      <c r="FKS2996" s="299"/>
      <c r="FKT2996" s="81"/>
      <c r="FKU2996" s="160"/>
      <c r="FKV2996" s="555"/>
      <c r="FKW2996" s="125"/>
      <c r="FKX2996" s="470"/>
      <c r="FKY2996" s="449"/>
      <c r="FKZ2996" s="462"/>
      <c r="FLA2996" s="299"/>
      <c r="FLB2996" s="81"/>
      <c r="FLC2996" s="160"/>
      <c r="FLD2996" s="555"/>
      <c r="FLE2996" s="125"/>
      <c r="FLF2996" s="470"/>
      <c r="FLG2996" s="449"/>
      <c r="FLH2996" s="462"/>
      <c r="FLI2996" s="299"/>
      <c r="FLJ2996" s="81"/>
      <c r="FLK2996" s="160"/>
      <c r="FLL2996" s="555"/>
      <c r="FLM2996" s="125"/>
      <c r="FLN2996" s="470"/>
      <c r="FLO2996" s="449"/>
      <c r="FLP2996" s="462"/>
      <c r="FLQ2996" s="299"/>
      <c r="FLR2996" s="81"/>
      <c r="FLS2996" s="160"/>
      <c r="FLT2996" s="555"/>
      <c r="FLU2996" s="125"/>
      <c r="FLV2996" s="470"/>
      <c r="FLW2996" s="449"/>
      <c r="FLX2996" s="462"/>
      <c r="FLY2996" s="299"/>
      <c r="FLZ2996" s="81"/>
      <c r="FMA2996" s="160"/>
      <c r="FMB2996" s="555"/>
      <c r="FMC2996" s="125"/>
      <c r="FMD2996" s="470"/>
      <c r="FME2996" s="449"/>
      <c r="FMF2996" s="462"/>
      <c r="FMG2996" s="299"/>
      <c r="FMH2996" s="81"/>
      <c r="FMI2996" s="160"/>
      <c r="FMJ2996" s="555"/>
      <c r="FMK2996" s="125"/>
      <c r="FML2996" s="470"/>
      <c r="FMM2996" s="449"/>
      <c r="FMN2996" s="462"/>
      <c r="FMO2996" s="299"/>
      <c r="FMP2996" s="81"/>
      <c r="FMQ2996" s="160"/>
      <c r="FMR2996" s="555"/>
      <c r="FMS2996" s="125"/>
      <c r="FMT2996" s="470"/>
      <c r="FMU2996" s="449"/>
      <c r="FMV2996" s="462"/>
      <c r="FMW2996" s="299"/>
      <c r="FMX2996" s="81"/>
      <c r="FMY2996" s="160"/>
      <c r="FMZ2996" s="555"/>
      <c r="FNA2996" s="125"/>
      <c r="FNB2996" s="470"/>
      <c r="FNC2996" s="449"/>
      <c r="FND2996" s="462"/>
      <c r="FNE2996" s="299"/>
      <c r="FNF2996" s="81"/>
      <c r="FNG2996" s="160"/>
      <c r="FNH2996" s="555"/>
      <c r="FNI2996" s="125"/>
      <c r="FNJ2996" s="470"/>
      <c r="FNK2996" s="449"/>
      <c r="FNL2996" s="462"/>
      <c r="FNM2996" s="299"/>
      <c r="FNN2996" s="81"/>
      <c r="FNO2996" s="160"/>
      <c r="FNP2996" s="555"/>
      <c r="FNQ2996" s="125"/>
      <c r="FNR2996" s="470"/>
      <c r="FNS2996" s="449"/>
      <c r="FNT2996" s="462"/>
      <c r="FNU2996" s="299"/>
      <c r="FNV2996" s="81"/>
      <c r="FNW2996" s="160"/>
      <c r="FNX2996" s="555"/>
      <c r="FNY2996" s="125"/>
      <c r="FNZ2996" s="470"/>
      <c r="FOA2996" s="449"/>
      <c r="FOB2996" s="462"/>
      <c r="FOC2996" s="299"/>
      <c r="FOD2996" s="81"/>
      <c r="FOE2996" s="160"/>
      <c r="FOF2996" s="555"/>
      <c r="FOG2996" s="125"/>
      <c r="FOH2996" s="470"/>
      <c r="FOI2996" s="449"/>
      <c r="FOJ2996" s="462"/>
      <c r="FOK2996" s="299"/>
      <c r="FOL2996" s="81"/>
      <c r="FOM2996" s="160"/>
      <c r="FON2996" s="555"/>
      <c r="FOO2996" s="125"/>
      <c r="FOP2996" s="470"/>
      <c r="FOQ2996" s="449"/>
      <c r="FOR2996" s="462"/>
      <c r="FOS2996" s="299"/>
      <c r="FOT2996" s="81"/>
      <c r="FOU2996" s="160"/>
      <c r="FOV2996" s="555"/>
      <c r="FOW2996" s="125"/>
      <c r="FOX2996" s="470"/>
      <c r="FOY2996" s="449"/>
      <c r="FOZ2996" s="462"/>
      <c r="FPA2996" s="299"/>
      <c r="FPB2996" s="81"/>
      <c r="FPC2996" s="160"/>
      <c r="FPD2996" s="555"/>
      <c r="FPE2996" s="125"/>
      <c r="FPF2996" s="470"/>
      <c r="FPG2996" s="449"/>
      <c r="FPH2996" s="462"/>
      <c r="FPI2996" s="299"/>
      <c r="FPJ2996" s="81"/>
      <c r="FPK2996" s="160"/>
      <c r="FPL2996" s="555"/>
      <c r="FPM2996" s="125"/>
      <c r="FPN2996" s="470"/>
      <c r="FPO2996" s="449"/>
      <c r="FPP2996" s="462"/>
      <c r="FPQ2996" s="299"/>
      <c r="FPR2996" s="81"/>
      <c r="FPS2996" s="160"/>
      <c r="FPT2996" s="555"/>
      <c r="FPU2996" s="125"/>
      <c r="FPV2996" s="470"/>
      <c r="FPW2996" s="449"/>
      <c r="FPX2996" s="462"/>
      <c r="FPY2996" s="299"/>
      <c r="FPZ2996" s="81"/>
      <c r="FQA2996" s="160"/>
      <c r="FQB2996" s="555"/>
      <c r="FQC2996" s="125"/>
      <c r="FQD2996" s="470"/>
      <c r="FQE2996" s="449"/>
      <c r="FQF2996" s="462"/>
      <c r="FQG2996" s="299"/>
      <c r="FQH2996" s="81"/>
      <c r="FQI2996" s="160"/>
      <c r="FQJ2996" s="555"/>
      <c r="FQK2996" s="125"/>
      <c r="FQL2996" s="470"/>
      <c r="FQM2996" s="449"/>
      <c r="FQN2996" s="462"/>
      <c r="FQO2996" s="299"/>
      <c r="FQP2996" s="81"/>
      <c r="FQQ2996" s="160"/>
      <c r="FQR2996" s="555"/>
      <c r="FQS2996" s="125"/>
      <c r="FQT2996" s="470"/>
      <c r="FQU2996" s="449"/>
      <c r="FQV2996" s="462"/>
      <c r="FQW2996" s="299"/>
      <c r="FQX2996" s="81"/>
      <c r="FQY2996" s="160"/>
      <c r="FQZ2996" s="555"/>
      <c r="FRA2996" s="125"/>
      <c r="FRB2996" s="470"/>
      <c r="FRC2996" s="449"/>
      <c r="FRD2996" s="462"/>
      <c r="FRE2996" s="299"/>
      <c r="FRF2996" s="81"/>
      <c r="FRG2996" s="160"/>
      <c r="FRH2996" s="555"/>
      <c r="FRI2996" s="125"/>
      <c r="FRJ2996" s="470"/>
      <c r="FRK2996" s="449"/>
      <c r="FRL2996" s="462"/>
      <c r="FRM2996" s="299"/>
      <c r="FRN2996" s="81"/>
      <c r="FRO2996" s="160"/>
      <c r="FRP2996" s="555"/>
      <c r="FRQ2996" s="125"/>
      <c r="FRR2996" s="470"/>
      <c r="FRS2996" s="449"/>
      <c r="FRT2996" s="462"/>
      <c r="FRU2996" s="299"/>
      <c r="FRV2996" s="81"/>
      <c r="FRW2996" s="160"/>
      <c r="FRX2996" s="555"/>
      <c r="FRY2996" s="125"/>
      <c r="FRZ2996" s="470"/>
      <c r="FSA2996" s="449"/>
      <c r="FSB2996" s="462"/>
      <c r="FSC2996" s="299"/>
      <c r="FSD2996" s="81"/>
      <c r="FSE2996" s="160"/>
      <c r="FSF2996" s="555"/>
      <c r="FSG2996" s="125"/>
      <c r="FSH2996" s="470"/>
      <c r="FSI2996" s="449"/>
      <c r="FSJ2996" s="462"/>
      <c r="FSK2996" s="299"/>
      <c r="FSL2996" s="81"/>
      <c r="FSM2996" s="160"/>
      <c r="FSN2996" s="555"/>
      <c r="FSO2996" s="125"/>
      <c r="FSP2996" s="470"/>
      <c r="FSQ2996" s="449"/>
      <c r="FSR2996" s="462"/>
      <c r="FSS2996" s="299"/>
      <c r="FST2996" s="81"/>
      <c r="FSU2996" s="160"/>
      <c r="FSV2996" s="555"/>
      <c r="FSW2996" s="125"/>
      <c r="FSX2996" s="470"/>
      <c r="FSY2996" s="449"/>
      <c r="FSZ2996" s="462"/>
      <c r="FTA2996" s="299"/>
      <c r="FTB2996" s="81"/>
      <c r="FTC2996" s="160"/>
      <c r="FTD2996" s="555"/>
      <c r="FTE2996" s="125"/>
      <c r="FTF2996" s="470"/>
      <c r="FTG2996" s="449"/>
      <c r="FTH2996" s="462"/>
      <c r="FTI2996" s="299"/>
      <c r="FTJ2996" s="81"/>
      <c r="FTK2996" s="160"/>
      <c r="FTL2996" s="555"/>
      <c r="FTM2996" s="125"/>
      <c r="FTN2996" s="470"/>
      <c r="FTO2996" s="449"/>
      <c r="FTP2996" s="462"/>
      <c r="FTQ2996" s="299"/>
      <c r="FTR2996" s="81"/>
      <c r="FTS2996" s="160"/>
      <c r="FTT2996" s="555"/>
      <c r="FTU2996" s="125"/>
      <c r="FTV2996" s="470"/>
      <c r="FTW2996" s="449"/>
      <c r="FTX2996" s="462"/>
      <c r="FTY2996" s="299"/>
      <c r="FTZ2996" s="81"/>
      <c r="FUA2996" s="160"/>
      <c r="FUB2996" s="555"/>
      <c r="FUC2996" s="125"/>
      <c r="FUD2996" s="470"/>
      <c r="FUE2996" s="449"/>
      <c r="FUF2996" s="462"/>
      <c r="FUG2996" s="299"/>
      <c r="FUH2996" s="81"/>
      <c r="FUI2996" s="160"/>
      <c r="FUJ2996" s="555"/>
      <c r="FUK2996" s="125"/>
      <c r="FUL2996" s="470"/>
      <c r="FUM2996" s="449"/>
      <c r="FUN2996" s="462"/>
      <c r="FUO2996" s="299"/>
      <c r="FUP2996" s="81"/>
      <c r="FUQ2996" s="160"/>
      <c r="FUR2996" s="555"/>
      <c r="FUS2996" s="125"/>
      <c r="FUT2996" s="470"/>
      <c r="FUU2996" s="449"/>
      <c r="FUV2996" s="462"/>
      <c r="FUW2996" s="299"/>
      <c r="FUX2996" s="81"/>
      <c r="FUY2996" s="160"/>
      <c r="FUZ2996" s="555"/>
      <c r="FVA2996" s="125"/>
      <c r="FVB2996" s="470"/>
      <c r="FVC2996" s="449"/>
      <c r="FVD2996" s="462"/>
      <c r="FVE2996" s="299"/>
      <c r="FVF2996" s="81"/>
      <c r="FVG2996" s="160"/>
      <c r="FVH2996" s="555"/>
      <c r="FVI2996" s="125"/>
      <c r="FVJ2996" s="470"/>
      <c r="FVK2996" s="449"/>
      <c r="FVL2996" s="462"/>
      <c r="FVM2996" s="299"/>
      <c r="FVN2996" s="81"/>
      <c r="FVO2996" s="160"/>
      <c r="FVP2996" s="555"/>
      <c r="FVQ2996" s="125"/>
      <c r="FVR2996" s="470"/>
      <c r="FVS2996" s="449"/>
      <c r="FVT2996" s="462"/>
      <c r="FVU2996" s="299"/>
      <c r="FVV2996" s="81"/>
      <c r="FVW2996" s="160"/>
      <c r="FVX2996" s="555"/>
      <c r="FVY2996" s="125"/>
      <c r="FVZ2996" s="470"/>
      <c r="FWA2996" s="449"/>
      <c r="FWB2996" s="462"/>
      <c r="FWC2996" s="299"/>
      <c r="FWD2996" s="81"/>
      <c r="FWE2996" s="160"/>
      <c r="FWF2996" s="555"/>
      <c r="FWG2996" s="125"/>
      <c r="FWH2996" s="470"/>
      <c r="FWI2996" s="449"/>
      <c r="FWJ2996" s="462"/>
      <c r="FWK2996" s="299"/>
      <c r="FWL2996" s="81"/>
      <c r="FWM2996" s="160"/>
      <c r="FWN2996" s="555"/>
      <c r="FWO2996" s="125"/>
      <c r="FWP2996" s="470"/>
      <c r="FWQ2996" s="449"/>
      <c r="FWR2996" s="462"/>
      <c r="FWS2996" s="299"/>
      <c r="FWT2996" s="81"/>
      <c r="FWU2996" s="160"/>
      <c r="FWV2996" s="555"/>
      <c r="FWW2996" s="125"/>
      <c r="FWX2996" s="470"/>
      <c r="FWY2996" s="449"/>
      <c r="FWZ2996" s="462"/>
      <c r="FXA2996" s="299"/>
      <c r="FXB2996" s="81"/>
      <c r="FXC2996" s="160"/>
      <c r="FXD2996" s="555"/>
      <c r="FXE2996" s="125"/>
      <c r="FXF2996" s="470"/>
      <c r="FXG2996" s="449"/>
      <c r="FXH2996" s="462"/>
      <c r="FXI2996" s="299"/>
      <c r="FXJ2996" s="81"/>
      <c r="FXK2996" s="160"/>
      <c r="FXL2996" s="555"/>
      <c r="FXM2996" s="125"/>
      <c r="FXN2996" s="470"/>
      <c r="FXO2996" s="449"/>
      <c r="FXP2996" s="462"/>
      <c r="FXQ2996" s="299"/>
      <c r="FXR2996" s="81"/>
      <c r="FXS2996" s="160"/>
      <c r="FXT2996" s="555"/>
      <c r="FXU2996" s="125"/>
      <c r="FXV2996" s="470"/>
      <c r="FXW2996" s="449"/>
      <c r="FXX2996" s="462"/>
      <c r="FXY2996" s="299"/>
      <c r="FXZ2996" s="81"/>
      <c r="FYA2996" s="160"/>
      <c r="FYB2996" s="555"/>
      <c r="FYC2996" s="125"/>
      <c r="FYD2996" s="470"/>
      <c r="FYE2996" s="449"/>
      <c r="FYF2996" s="462"/>
      <c r="FYG2996" s="299"/>
      <c r="FYH2996" s="81"/>
      <c r="FYI2996" s="160"/>
      <c r="FYJ2996" s="555"/>
      <c r="FYK2996" s="125"/>
      <c r="FYL2996" s="470"/>
      <c r="FYM2996" s="449"/>
      <c r="FYN2996" s="462"/>
      <c r="FYO2996" s="299"/>
      <c r="FYP2996" s="81"/>
      <c r="FYQ2996" s="160"/>
      <c r="FYR2996" s="555"/>
      <c r="FYS2996" s="125"/>
      <c r="FYT2996" s="470"/>
      <c r="FYU2996" s="449"/>
      <c r="FYV2996" s="462"/>
      <c r="FYW2996" s="299"/>
      <c r="FYX2996" s="81"/>
      <c r="FYY2996" s="160"/>
      <c r="FYZ2996" s="555"/>
      <c r="FZA2996" s="125"/>
      <c r="FZB2996" s="470"/>
      <c r="FZC2996" s="449"/>
      <c r="FZD2996" s="462"/>
      <c r="FZE2996" s="299"/>
      <c r="FZF2996" s="81"/>
      <c r="FZG2996" s="160"/>
      <c r="FZH2996" s="555"/>
      <c r="FZI2996" s="125"/>
      <c r="FZJ2996" s="470"/>
      <c r="FZK2996" s="449"/>
      <c r="FZL2996" s="462"/>
      <c r="FZM2996" s="299"/>
      <c r="FZN2996" s="81"/>
      <c r="FZO2996" s="160"/>
      <c r="FZP2996" s="555"/>
      <c r="FZQ2996" s="125"/>
      <c r="FZR2996" s="470"/>
      <c r="FZS2996" s="449"/>
      <c r="FZT2996" s="462"/>
      <c r="FZU2996" s="299"/>
      <c r="FZV2996" s="81"/>
      <c r="FZW2996" s="160"/>
      <c r="FZX2996" s="555"/>
      <c r="FZY2996" s="125"/>
      <c r="FZZ2996" s="470"/>
      <c r="GAA2996" s="449"/>
      <c r="GAB2996" s="462"/>
      <c r="GAC2996" s="299"/>
      <c r="GAD2996" s="81"/>
      <c r="GAE2996" s="160"/>
      <c r="GAF2996" s="555"/>
      <c r="GAG2996" s="125"/>
      <c r="GAH2996" s="470"/>
      <c r="GAI2996" s="449"/>
      <c r="GAJ2996" s="462"/>
      <c r="GAK2996" s="299"/>
      <c r="GAL2996" s="81"/>
      <c r="GAM2996" s="160"/>
      <c r="GAN2996" s="555"/>
      <c r="GAO2996" s="125"/>
      <c r="GAP2996" s="470"/>
      <c r="GAQ2996" s="449"/>
      <c r="GAR2996" s="462"/>
      <c r="GAS2996" s="299"/>
      <c r="GAT2996" s="81"/>
      <c r="GAU2996" s="160"/>
      <c r="GAV2996" s="555"/>
      <c r="GAW2996" s="125"/>
      <c r="GAX2996" s="470"/>
      <c r="GAY2996" s="449"/>
      <c r="GAZ2996" s="462"/>
      <c r="GBA2996" s="299"/>
      <c r="GBB2996" s="81"/>
      <c r="GBC2996" s="160"/>
      <c r="GBD2996" s="555"/>
      <c r="GBE2996" s="125"/>
      <c r="GBF2996" s="470"/>
      <c r="GBG2996" s="449"/>
      <c r="GBH2996" s="462"/>
      <c r="GBI2996" s="299"/>
      <c r="GBJ2996" s="81"/>
      <c r="GBK2996" s="160"/>
      <c r="GBL2996" s="555"/>
      <c r="GBM2996" s="125"/>
      <c r="GBN2996" s="470"/>
      <c r="GBO2996" s="449"/>
      <c r="GBP2996" s="462"/>
      <c r="GBQ2996" s="299"/>
      <c r="GBR2996" s="81"/>
      <c r="GBS2996" s="160"/>
      <c r="GBT2996" s="555"/>
      <c r="GBU2996" s="125"/>
      <c r="GBV2996" s="470"/>
      <c r="GBW2996" s="449"/>
      <c r="GBX2996" s="462"/>
      <c r="GBY2996" s="299"/>
      <c r="GBZ2996" s="81"/>
      <c r="GCA2996" s="160"/>
      <c r="GCB2996" s="555"/>
      <c r="GCC2996" s="125"/>
      <c r="GCD2996" s="470"/>
      <c r="GCE2996" s="449"/>
      <c r="GCF2996" s="462"/>
      <c r="GCG2996" s="299"/>
      <c r="GCH2996" s="81"/>
      <c r="GCI2996" s="160"/>
      <c r="GCJ2996" s="555"/>
      <c r="GCK2996" s="125"/>
      <c r="GCL2996" s="470"/>
      <c r="GCM2996" s="449"/>
      <c r="GCN2996" s="462"/>
      <c r="GCO2996" s="299"/>
      <c r="GCP2996" s="81"/>
      <c r="GCQ2996" s="160"/>
      <c r="GCR2996" s="555"/>
      <c r="GCS2996" s="125"/>
      <c r="GCT2996" s="470"/>
      <c r="GCU2996" s="449"/>
      <c r="GCV2996" s="462"/>
      <c r="GCW2996" s="299"/>
      <c r="GCX2996" s="81"/>
      <c r="GCY2996" s="160"/>
      <c r="GCZ2996" s="555"/>
      <c r="GDA2996" s="125"/>
      <c r="GDB2996" s="470"/>
      <c r="GDC2996" s="449"/>
      <c r="GDD2996" s="462"/>
      <c r="GDE2996" s="299"/>
      <c r="GDF2996" s="81"/>
      <c r="GDG2996" s="160"/>
      <c r="GDH2996" s="555"/>
      <c r="GDI2996" s="125"/>
      <c r="GDJ2996" s="470"/>
      <c r="GDK2996" s="449"/>
      <c r="GDL2996" s="462"/>
      <c r="GDM2996" s="299"/>
      <c r="GDN2996" s="81"/>
      <c r="GDO2996" s="160"/>
      <c r="GDP2996" s="555"/>
      <c r="GDQ2996" s="125"/>
      <c r="GDR2996" s="470"/>
      <c r="GDS2996" s="449"/>
      <c r="GDT2996" s="462"/>
      <c r="GDU2996" s="299"/>
      <c r="GDV2996" s="81"/>
      <c r="GDW2996" s="160"/>
      <c r="GDX2996" s="555"/>
      <c r="GDY2996" s="125"/>
      <c r="GDZ2996" s="470"/>
      <c r="GEA2996" s="449"/>
      <c r="GEB2996" s="462"/>
      <c r="GEC2996" s="299"/>
      <c r="GED2996" s="81"/>
      <c r="GEE2996" s="160"/>
      <c r="GEF2996" s="555"/>
      <c r="GEG2996" s="125"/>
      <c r="GEH2996" s="470"/>
      <c r="GEI2996" s="449"/>
      <c r="GEJ2996" s="462"/>
      <c r="GEK2996" s="299"/>
      <c r="GEL2996" s="81"/>
      <c r="GEM2996" s="160"/>
      <c r="GEN2996" s="555"/>
      <c r="GEO2996" s="125"/>
      <c r="GEP2996" s="470"/>
      <c r="GEQ2996" s="449"/>
      <c r="GER2996" s="462"/>
      <c r="GES2996" s="299"/>
      <c r="GET2996" s="81"/>
      <c r="GEU2996" s="160"/>
      <c r="GEV2996" s="555"/>
      <c r="GEW2996" s="125"/>
      <c r="GEX2996" s="470"/>
      <c r="GEY2996" s="449"/>
      <c r="GEZ2996" s="462"/>
      <c r="GFA2996" s="299"/>
      <c r="GFB2996" s="81"/>
      <c r="GFC2996" s="160"/>
      <c r="GFD2996" s="555"/>
      <c r="GFE2996" s="125"/>
      <c r="GFF2996" s="470"/>
      <c r="GFG2996" s="449"/>
      <c r="GFH2996" s="462"/>
      <c r="GFI2996" s="299"/>
      <c r="GFJ2996" s="81"/>
      <c r="GFK2996" s="160"/>
      <c r="GFL2996" s="555"/>
      <c r="GFM2996" s="125"/>
      <c r="GFN2996" s="470"/>
      <c r="GFO2996" s="449"/>
      <c r="GFP2996" s="462"/>
      <c r="GFQ2996" s="299"/>
      <c r="GFR2996" s="81"/>
      <c r="GFS2996" s="160"/>
      <c r="GFT2996" s="555"/>
      <c r="GFU2996" s="125"/>
      <c r="GFV2996" s="470"/>
      <c r="GFW2996" s="449"/>
      <c r="GFX2996" s="462"/>
      <c r="GFY2996" s="299"/>
      <c r="GFZ2996" s="81"/>
      <c r="GGA2996" s="160"/>
      <c r="GGB2996" s="555"/>
      <c r="GGC2996" s="125"/>
      <c r="GGD2996" s="470"/>
      <c r="GGE2996" s="449"/>
      <c r="GGF2996" s="462"/>
      <c r="GGG2996" s="299"/>
      <c r="GGH2996" s="81"/>
      <c r="GGI2996" s="160"/>
      <c r="GGJ2996" s="555"/>
      <c r="GGK2996" s="125"/>
      <c r="GGL2996" s="470"/>
      <c r="GGM2996" s="449"/>
      <c r="GGN2996" s="462"/>
      <c r="GGO2996" s="299"/>
      <c r="GGP2996" s="81"/>
      <c r="GGQ2996" s="160"/>
      <c r="GGR2996" s="555"/>
      <c r="GGS2996" s="125"/>
      <c r="GGT2996" s="470"/>
      <c r="GGU2996" s="449"/>
      <c r="GGV2996" s="462"/>
      <c r="GGW2996" s="299"/>
      <c r="GGX2996" s="81"/>
      <c r="GGY2996" s="160"/>
      <c r="GGZ2996" s="555"/>
      <c r="GHA2996" s="125"/>
      <c r="GHB2996" s="470"/>
      <c r="GHC2996" s="449"/>
      <c r="GHD2996" s="462"/>
      <c r="GHE2996" s="299"/>
      <c r="GHF2996" s="81"/>
      <c r="GHG2996" s="160"/>
      <c r="GHH2996" s="555"/>
      <c r="GHI2996" s="125"/>
      <c r="GHJ2996" s="470"/>
      <c r="GHK2996" s="449"/>
      <c r="GHL2996" s="462"/>
      <c r="GHM2996" s="299"/>
      <c r="GHN2996" s="81"/>
      <c r="GHO2996" s="160"/>
      <c r="GHP2996" s="555"/>
      <c r="GHQ2996" s="125"/>
      <c r="GHR2996" s="470"/>
      <c r="GHS2996" s="449"/>
      <c r="GHT2996" s="462"/>
      <c r="GHU2996" s="299"/>
      <c r="GHV2996" s="81"/>
      <c r="GHW2996" s="160"/>
      <c r="GHX2996" s="555"/>
      <c r="GHY2996" s="125"/>
      <c r="GHZ2996" s="470"/>
      <c r="GIA2996" s="449"/>
      <c r="GIB2996" s="462"/>
      <c r="GIC2996" s="299"/>
      <c r="GID2996" s="81"/>
      <c r="GIE2996" s="160"/>
      <c r="GIF2996" s="555"/>
      <c r="GIG2996" s="125"/>
      <c r="GIH2996" s="470"/>
      <c r="GII2996" s="449"/>
      <c r="GIJ2996" s="462"/>
      <c r="GIK2996" s="299"/>
      <c r="GIL2996" s="81"/>
      <c r="GIM2996" s="160"/>
      <c r="GIN2996" s="555"/>
      <c r="GIO2996" s="125"/>
      <c r="GIP2996" s="470"/>
      <c r="GIQ2996" s="449"/>
      <c r="GIR2996" s="462"/>
      <c r="GIS2996" s="299"/>
      <c r="GIT2996" s="81"/>
      <c r="GIU2996" s="160"/>
      <c r="GIV2996" s="555"/>
      <c r="GIW2996" s="125"/>
      <c r="GIX2996" s="470"/>
      <c r="GIY2996" s="449"/>
      <c r="GIZ2996" s="462"/>
      <c r="GJA2996" s="299"/>
      <c r="GJB2996" s="81"/>
      <c r="GJC2996" s="160"/>
      <c r="GJD2996" s="555"/>
      <c r="GJE2996" s="125"/>
      <c r="GJF2996" s="470"/>
      <c r="GJG2996" s="449"/>
      <c r="GJH2996" s="462"/>
      <c r="GJI2996" s="299"/>
      <c r="GJJ2996" s="81"/>
      <c r="GJK2996" s="160"/>
      <c r="GJL2996" s="555"/>
      <c r="GJM2996" s="125"/>
      <c r="GJN2996" s="470"/>
      <c r="GJO2996" s="449"/>
      <c r="GJP2996" s="462"/>
      <c r="GJQ2996" s="299"/>
      <c r="GJR2996" s="81"/>
      <c r="GJS2996" s="160"/>
      <c r="GJT2996" s="555"/>
      <c r="GJU2996" s="125"/>
      <c r="GJV2996" s="470"/>
      <c r="GJW2996" s="449"/>
      <c r="GJX2996" s="462"/>
      <c r="GJY2996" s="299"/>
      <c r="GJZ2996" s="81"/>
      <c r="GKA2996" s="160"/>
      <c r="GKB2996" s="555"/>
      <c r="GKC2996" s="125"/>
      <c r="GKD2996" s="470"/>
      <c r="GKE2996" s="449"/>
      <c r="GKF2996" s="462"/>
      <c r="GKG2996" s="299"/>
      <c r="GKH2996" s="81"/>
      <c r="GKI2996" s="160"/>
      <c r="GKJ2996" s="555"/>
      <c r="GKK2996" s="125"/>
      <c r="GKL2996" s="470"/>
      <c r="GKM2996" s="449"/>
      <c r="GKN2996" s="462"/>
      <c r="GKO2996" s="299"/>
      <c r="GKP2996" s="81"/>
      <c r="GKQ2996" s="160"/>
      <c r="GKR2996" s="555"/>
      <c r="GKS2996" s="125"/>
      <c r="GKT2996" s="470"/>
      <c r="GKU2996" s="449"/>
      <c r="GKV2996" s="462"/>
      <c r="GKW2996" s="299"/>
      <c r="GKX2996" s="81"/>
      <c r="GKY2996" s="160"/>
      <c r="GKZ2996" s="555"/>
      <c r="GLA2996" s="125"/>
      <c r="GLB2996" s="470"/>
      <c r="GLC2996" s="449"/>
      <c r="GLD2996" s="462"/>
      <c r="GLE2996" s="299"/>
      <c r="GLF2996" s="81"/>
      <c r="GLG2996" s="160"/>
      <c r="GLH2996" s="555"/>
      <c r="GLI2996" s="125"/>
      <c r="GLJ2996" s="470"/>
      <c r="GLK2996" s="449"/>
      <c r="GLL2996" s="462"/>
      <c r="GLM2996" s="299"/>
      <c r="GLN2996" s="81"/>
      <c r="GLO2996" s="160"/>
      <c r="GLP2996" s="555"/>
      <c r="GLQ2996" s="125"/>
      <c r="GLR2996" s="470"/>
      <c r="GLS2996" s="449"/>
      <c r="GLT2996" s="462"/>
      <c r="GLU2996" s="299"/>
      <c r="GLV2996" s="81"/>
      <c r="GLW2996" s="160"/>
      <c r="GLX2996" s="555"/>
      <c r="GLY2996" s="125"/>
      <c r="GLZ2996" s="470"/>
      <c r="GMA2996" s="449"/>
      <c r="GMB2996" s="462"/>
      <c r="GMC2996" s="299"/>
      <c r="GMD2996" s="81"/>
      <c r="GME2996" s="160"/>
      <c r="GMF2996" s="555"/>
      <c r="GMG2996" s="125"/>
      <c r="GMH2996" s="470"/>
      <c r="GMI2996" s="449"/>
      <c r="GMJ2996" s="462"/>
      <c r="GMK2996" s="299"/>
      <c r="GML2996" s="81"/>
      <c r="GMM2996" s="160"/>
      <c r="GMN2996" s="555"/>
      <c r="GMO2996" s="125"/>
      <c r="GMP2996" s="470"/>
      <c r="GMQ2996" s="449"/>
      <c r="GMR2996" s="462"/>
      <c r="GMS2996" s="299"/>
      <c r="GMT2996" s="81"/>
      <c r="GMU2996" s="160"/>
      <c r="GMV2996" s="555"/>
      <c r="GMW2996" s="125"/>
      <c r="GMX2996" s="470"/>
      <c r="GMY2996" s="449"/>
      <c r="GMZ2996" s="462"/>
      <c r="GNA2996" s="299"/>
      <c r="GNB2996" s="81"/>
      <c r="GNC2996" s="160"/>
      <c r="GND2996" s="555"/>
      <c r="GNE2996" s="125"/>
      <c r="GNF2996" s="470"/>
      <c r="GNG2996" s="449"/>
      <c r="GNH2996" s="462"/>
      <c r="GNI2996" s="299"/>
      <c r="GNJ2996" s="81"/>
      <c r="GNK2996" s="160"/>
      <c r="GNL2996" s="555"/>
      <c r="GNM2996" s="125"/>
      <c r="GNN2996" s="470"/>
      <c r="GNO2996" s="449"/>
      <c r="GNP2996" s="462"/>
      <c r="GNQ2996" s="299"/>
      <c r="GNR2996" s="81"/>
      <c r="GNS2996" s="160"/>
      <c r="GNT2996" s="555"/>
      <c r="GNU2996" s="125"/>
      <c r="GNV2996" s="470"/>
      <c r="GNW2996" s="449"/>
      <c r="GNX2996" s="462"/>
      <c r="GNY2996" s="299"/>
      <c r="GNZ2996" s="81"/>
      <c r="GOA2996" s="160"/>
      <c r="GOB2996" s="555"/>
      <c r="GOC2996" s="125"/>
      <c r="GOD2996" s="470"/>
      <c r="GOE2996" s="449"/>
      <c r="GOF2996" s="462"/>
      <c r="GOG2996" s="299"/>
      <c r="GOH2996" s="81"/>
      <c r="GOI2996" s="160"/>
      <c r="GOJ2996" s="555"/>
      <c r="GOK2996" s="125"/>
      <c r="GOL2996" s="470"/>
      <c r="GOM2996" s="449"/>
      <c r="GON2996" s="462"/>
      <c r="GOO2996" s="299"/>
      <c r="GOP2996" s="81"/>
      <c r="GOQ2996" s="160"/>
      <c r="GOR2996" s="555"/>
      <c r="GOS2996" s="125"/>
      <c r="GOT2996" s="470"/>
      <c r="GOU2996" s="449"/>
      <c r="GOV2996" s="462"/>
      <c r="GOW2996" s="299"/>
      <c r="GOX2996" s="81"/>
      <c r="GOY2996" s="160"/>
      <c r="GOZ2996" s="555"/>
      <c r="GPA2996" s="125"/>
      <c r="GPB2996" s="470"/>
      <c r="GPC2996" s="449"/>
      <c r="GPD2996" s="462"/>
      <c r="GPE2996" s="299"/>
      <c r="GPF2996" s="81"/>
      <c r="GPG2996" s="160"/>
      <c r="GPH2996" s="555"/>
      <c r="GPI2996" s="125"/>
      <c r="GPJ2996" s="470"/>
      <c r="GPK2996" s="449"/>
      <c r="GPL2996" s="462"/>
      <c r="GPM2996" s="299"/>
      <c r="GPN2996" s="81"/>
      <c r="GPO2996" s="160"/>
      <c r="GPP2996" s="555"/>
      <c r="GPQ2996" s="125"/>
      <c r="GPR2996" s="470"/>
      <c r="GPS2996" s="449"/>
      <c r="GPT2996" s="462"/>
      <c r="GPU2996" s="299"/>
      <c r="GPV2996" s="81"/>
      <c r="GPW2996" s="160"/>
      <c r="GPX2996" s="555"/>
      <c r="GPY2996" s="125"/>
      <c r="GPZ2996" s="470"/>
      <c r="GQA2996" s="449"/>
      <c r="GQB2996" s="462"/>
      <c r="GQC2996" s="299"/>
      <c r="GQD2996" s="81"/>
      <c r="GQE2996" s="160"/>
      <c r="GQF2996" s="555"/>
      <c r="GQG2996" s="125"/>
      <c r="GQH2996" s="470"/>
      <c r="GQI2996" s="449"/>
      <c r="GQJ2996" s="462"/>
      <c r="GQK2996" s="299"/>
      <c r="GQL2996" s="81"/>
      <c r="GQM2996" s="160"/>
      <c r="GQN2996" s="555"/>
      <c r="GQO2996" s="125"/>
      <c r="GQP2996" s="470"/>
      <c r="GQQ2996" s="449"/>
      <c r="GQR2996" s="462"/>
      <c r="GQS2996" s="299"/>
      <c r="GQT2996" s="81"/>
      <c r="GQU2996" s="160"/>
      <c r="GQV2996" s="555"/>
      <c r="GQW2996" s="125"/>
      <c r="GQX2996" s="470"/>
      <c r="GQY2996" s="449"/>
      <c r="GQZ2996" s="462"/>
      <c r="GRA2996" s="299"/>
      <c r="GRB2996" s="81"/>
      <c r="GRC2996" s="160"/>
      <c r="GRD2996" s="555"/>
      <c r="GRE2996" s="125"/>
      <c r="GRF2996" s="470"/>
      <c r="GRG2996" s="449"/>
      <c r="GRH2996" s="462"/>
      <c r="GRI2996" s="299"/>
      <c r="GRJ2996" s="81"/>
      <c r="GRK2996" s="160"/>
      <c r="GRL2996" s="555"/>
      <c r="GRM2996" s="125"/>
      <c r="GRN2996" s="470"/>
      <c r="GRO2996" s="449"/>
      <c r="GRP2996" s="462"/>
      <c r="GRQ2996" s="299"/>
      <c r="GRR2996" s="81"/>
      <c r="GRS2996" s="160"/>
      <c r="GRT2996" s="555"/>
      <c r="GRU2996" s="125"/>
      <c r="GRV2996" s="470"/>
      <c r="GRW2996" s="449"/>
      <c r="GRX2996" s="462"/>
      <c r="GRY2996" s="299"/>
      <c r="GRZ2996" s="81"/>
      <c r="GSA2996" s="160"/>
      <c r="GSB2996" s="555"/>
      <c r="GSC2996" s="125"/>
      <c r="GSD2996" s="470"/>
      <c r="GSE2996" s="449"/>
      <c r="GSF2996" s="462"/>
      <c r="GSG2996" s="299"/>
      <c r="GSH2996" s="81"/>
      <c r="GSI2996" s="160"/>
      <c r="GSJ2996" s="555"/>
      <c r="GSK2996" s="125"/>
      <c r="GSL2996" s="470"/>
      <c r="GSM2996" s="449"/>
      <c r="GSN2996" s="462"/>
      <c r="GSO2996" s="299"/>
      <c r="GSP2996" s="81"/>
      <c r="GSQ2996" s="160"/>
      <c r="GSR2996" s="555"/>
      <c r="GSS2996" s="125"/>
      <c r="GST2996" s="470"/>
      <c r="GSU2996" s="449"/>
      <c r="GSV2996" s="462"/>
      <c r="GSW2996" s="299"/>
      <c r="GSX2996" s="81"/>
      <c r="GSY2996" s="160"/>
      <c r="GSZ2996" s="555"/>
      <c r="GTA2996" s="125"/>
      <c r="GTB2996" s="470"/>
      <c r="GTC2996" s="449"/>
      <c r="GTD2996" s="462"/>
      <c r="GTE2996" s="299"/>
      <c r="GTF2996" s="81"/>
      <c r="GTG2996" s="160"/>
      <c r="GTH2996" s="555"/>
      <c r="GTI2996" s="125"/>
      <c r="GTJ2996" s="470"/>
      <c r="GTK2996" s="449"/>
      <c r="GTL2996" s="462"/>
      <c r="GTM2996" s="299"/>
      <c r="GTN2996" s="81"/>
      <c r="GTO2996" s="160"/>
      <c r="GTP2996" s="555"/>
      <c r="GTQ2996" s="125"/>
      <c r="GTR2996" s="470"/>
      <c r="GTS2996" s="449"/>
      <c r="GTT2996" s="462"/>
      <c r="GTU2996" s="299"/>
      <c r="GTV2996" s="81"/>
      <c r="GTW2996" s="160"/>
      <c r="GTX2996" s="555"/>
      <c r="GTY2996" s="125"/>
      <c r="GTZ2996" s="470"/>
      <c r="GUA2996" s="449"/>
      <c r="GUB2996" s="462"/>
      <c r="GUC2996" s="299"/>
      <c r="GUD2996" s="81"/>
      <c r="GUE2996" s="160"/>
      <c r="GUF2996" s="555"/>
      <c r="GUG2996" s="125"/>
      <c r="GUH2996" s="470"/>
      <c r="GUI2996" s="449"/>
      <c r="GUJ2996" s="462"/>
      <c r="GUK2996" s="299"/>
      <c r="GUL2996" s="81"/>
      <c r="GUM2996" s="160"/>
      <c r="GUN2996" s="555"/>
      <c r="GUO2996" s="125"/>
      <c r="GUP2996" s="470"/>
      <c r="GUQ2996" s="449"/>
      <c r="GUR2996" s="462"/>
      <c r="GUS2996" s="299"/>
      <c r="GUT2996" s="81"/>
      <c r="GUU2996" s="160"/>
      <c r="GUV2996" s="555"/>
      <c r="GUW2996" s="125"/>
      <c r="GUX2996" s="470"/>
      <c r="GUY2996" s="449"/>
      <c r="GUZ2996" s="462"/>
      <c r="GVA2996" s="299"/>
      <c r="GVB2996" s="81"/>
      <c r="GVC2996" s="160"/>
      <c r="GVD2996" s="555"/>
      <c r="GVE2996" s="125"/>
      <c r="GVF2996" s="470"/>
      <c r="GVG2996" s="449"/>
      <c r="GVH2996" s="462"/>
      <c r="GVI2996" s="299"/>
      <c r="GVJ2996" s="81"/>
      <c r="GVK2996" s="160"/>
      <c r="GVL2996" s="555"/>
      <c r="GVM2996" s="125"/>
      <c r="GVN2996" s="470"/>
      <c r="GVO2996" s="449"/>
      <c r="GVP2996" s="462"/>
      <c r="GVQ2996" s="299"/>
      <c r="GVR2996" s="81"/>
      <c r="GVS2996" s="160"/>
      <c r="GVT2996" s="555"/>
      <c r="GVU2996" s="125"/>
      <c r="GVV2996" s="470"/>
      <c r="GVW2996" s="449"/>
      <c r="GVX2996" s="462"/>
      <c r="GVY2996" s="299"/>
      <c r="GVZ2996" s="81"/>
      <c r="GWA2996" s="160"/>
      <c r="GWB2996" s="555"/>
      <c r="GWC2996" s="125"/>
      <c r="GWD2996" s="470"/>
      <c r="GWE2996" s="449"/>
      <c r="GWF2996" s="462"/>
      <c r="GWG2996" s="299"/>
      <c r="GWH2996" s="81"/>
      <c r="GWI2996" s="160"/>
      <c r="GWJ2996" s="555"/>
      <c r="GWK2996" s="125"/>
      <c r="GWL2996" s="470"/>
      <c r="GWM2996" s="449"/>
      <c r="GWN2996" s="462"/>
      <c r="GWO2996" s="299"/>
      <c r="GWP2996" s="81"/>
      <c r="GWQ2996" s="160"/>
      <c r="GWR2996" s="555"/>
      <c r="GWS2996" s="125"/>
      <c r="GWT2996" s="470"/>
      <c r="GWU2996" s="449"/>
      <c r="GWV2996" s="462"/>
      <c r="GWW2996" s="299"/>
      <c r="GWX2996" s="81"/>
      <c r="GWY2996" s="160"/>
      <c r="GWZ2996" s="555"/>
      <c r="GXA2996" s="125"/>
      <c r="GXB2996" s="470"/>
      <c r="GXC2996" s="449"/>
      <c r="GXD2996" s="462"/>
      <c r="GXE2996" s="299"/>
      <c r="GXF2996" s="81"/>
      <c r="GXG2996" s="160"/>
      <c r="GXH2996" s="555"/>
      <c r="GXI2996" s="125"/>
      <c r="GXJ2996" s="470"/>
      <c r="GXK2996" s="449"/>
      <c r="GXL2996" s="462"/>
      <c r="GXM2996" s="299"/>
      <c r="GXN2996" s="81"/>
      <c r="GXO2996" s="160"/>
      <c r="GXP2996" s="555"/>
      <c r="GXQ2996" s="125"/>
      <c r="GXR2996" s="470"/>
      <c r="GXS2996" s="449"/>
      <c r="GXT2996" s="462"/>
      <c r="GXU2996" s="299"/>
      <c r="GXV2996" s="81"/>
      <c r="GXW2996" s="160"/>
      <c r="GXX2996" s="555"/>
      <c r="GXY2996" s="125"/>
      <c r="GXZ2996" s="470"/>
      <c r="GYA2996" s="449"/>
      <c r="GYB2996" s="462"/>
      <c r="GYC2996" s="299"/>
      <c r="GYD2996" s="81"/>
      <c r="GYE2996" s="160"/>
      <c r="GYF2996" s="555"/>
      <c r="GYG2996" s="125"/>
      <c r="GYH2996" s="470"/>
      <c r="GYI2996" s="449"/>
      <c r="GYJ2996" s="462"/>
      <c r="GYK2996" s="299"/>
      <c r="GYL2996" s="81"/>
      <c r="GYM2996" s="160"/>
      <c r="GYN2996" s="555"/>
      <c r="GYO2996" s="125"/>
      <c r="GYP2996" s="470"/>
      <c r="GYQ2996" s="449"/>
      <c r="GYR2996" s="462"/>
      <c r="GYS2996" s="299"/>
      <c r="GYT2996" s="81"/>
      <c r="GYU2996" s="160"/>
      <c r="GYV2996" s="555"/>
      <c r="GYW2996" s="125"/>
      <c r="GYX2996" s="470"/>
      <c r="GYY2996" s="449"/>
      <c r="GYZ2996" s="462"/>
      <c r="GZA2996" s="299"/>
      <c r="GZB2996" s="81"/>
      <c r="GZC2996" s="160"/>
      <c r="GZD2996" s="555"/>
      <c r="GZE2996" s="125"/>
      <c r="GZF2996" s="470"/>
      <c r="GZG2996" s="449"/>
      <c r="GZH2996" s="462"/>
      <c r="GZI2996" s="299"/>
      <c r="GZJ2996" s="81"/>
      <c r="GZK2996" s="160"/>
      <c r="GZL2996" s="555"/>
      <c r="GZM2996" s="125"/>
      <c r="GZN2996" s="470"/>
      <c r="GZO2996" s="449"/>
      <c r="GZP2996" s="462"/>
      <c r="GZQ2996" s="299"/>
      <c r="GZR2996" s="81"/>
      <c r="GZS2996" s="160"/>
      <c r="GZT2996" s="555"/>
      <c r="GZU2996" s="125"/>
      <c r="GZV2996" s="470"/>
      <c r="GZW2996" s="449"/>
      <c r="GZX2996" s="462"/>
      <c r="GZY2996" s="299"/>
      <c r="GZZ2996" s="81"/>
      <c r="HAA2996" s="160"/>
      <c r="HAB2996" s="555"/>
      <c r="HAC2996" s="125"/>
      <c r="HAD2996" s="470"/>
      <c r="HAE2996" s="449"/>
      <c r="HAF2996" s="462"/>
      <c r="HAG2996" s="299"/>
      <c r="HAH2996" s="81"/>
      <c r="HAI2996" s="160"/>
      <c r="HAJ2996" s="555"/>
      <c r="HAK2996" s="125"/>
      <c r="HAL2996" s="470"/>
      <c r="HAM2996" s="449"/>
      <c r="HAN2996" s="462"/>
      <c r="HAO2996" s="299"/>
      <c r="HAP2996" s="81"/>
      <c r="HAQ2996" s="160"/>
      <c r="HAR2996" s="555"/>
      <c r="HAS2996" s="125"/>
      <c r="HAT2996" s="470"/>
      <c r="HAU2996" s="449"/>
      <c r="HAV2996" s="462"/>
      <c r="HAW2996" s="299"/>
      <c r="HAX2996" s="81"/>
      <c r="HAY2996" s="160"/>
      <c r="HAZ2996" s="555"/>
      <c r="HBA2996" s="125"/>
      <c r="HBB2996" s="470"/>
      <c r="HBC2996" s="449"/>
      <c r="HBD2996" s="462"/>
      <c r="HBE2996" s="299"/>
      <c r="HBF2996" s="81"/>
      <c r="HBG2996" s="160"/>
      <c r="HBH2996" s="555"/>
      <c r="HBI2996" s="125"/>
      <c r="HBJ2996" s="470"/>
      <c r="HBK2996" s="449"/>
      <c r="HBL2996" s="462"/>
      <c r="HBM2996" s="299"/>
      <c r="HBN2996" s="81"/>
      <c r="HBO2996" s="160"/>
      <c r="HBP2996" s="555"/>
      <c r="HBQ2996" s="125"/>
      <c r="HBR2996" s="470"/>
      <c r="HBS2996" s="449"/>
      <c r="HBT2996" s="462"/>
      <c r="HBU2996" s="299"/>
      <c r="HBV2996" s="81"/>
      <c r="HBW2996" s="160"/>
      <c r="HBX2996" s="555"/>
      <c r="HBY2996" s="125"/>
      <c r="HBZ2996" s="470"/>
      <c r="HCA2996" s="449"/>
      <c r="HCB2996" s="462"/>
      <c r="HCC2996" s="299"/>
      <c r="HCD2996" s="81"/>
      <c r="HCE2996" s="160"/>
      <c r="HCF2996" s="555"/>
      <c r="HCG2996" s="125"/>
      <c r="HCH2996" s="470"/>
      <c r="HCI2996" s="449"/>
      <c r="HCJ2996" s="462"/>
      <c r="HCK2996" s="299"/>
      <c r="HCL2996" s="81"/>
      <c r="HCM2996" s="160"/>
      <c r="HCN2996" s="555"/>
      <c r="HCO2996" s="125"/>
      <c r="HCP2996" s="470"/>
      <c r="HCQ2996" s="449"/>
      <c r="HCR2996" s="462"/>
      <c r="HCS2996" s="299"/>
      <c r="HCT2996" s="81"/>
      <c r="HCU2996" s="160"/>
      <c r="HCV2996" s="555"/>
      <c r="HCW2996" s="125"/>
      <c r="HCX2996" s="470"/>
      <c r="HCY2996" s="449"/>
      <c r="HCZ2996" s="462"/>
      <c r="HDA2996" s="299"/>
      <c r="HDB2996" s="81"/>
      <c r="HDC2996" s="160"/>
      <c r="HDD2996" s="555"/>
      <c r="HDE2996" s="125"/>
      <c r="HDF2996" s="470"/>
      <c r="HDG2996" s="449"/>
      <c r="HDH2996" s="462"/>
      <c r="HDI2996" s="299"/>
      <c r="HDJ2996" s="81"/>
      <c r="HDK2996" s="160"/>
      <c r="HDL2996" s="555"/>
      <c r="HDM2996" s="125"/>
      <c r="HDN2996" s="470"/>
      <c r="HDO2996" s="449"/>
      <c r="HDP2996" s="462"/>
      <c r="HDQ2996" s="299"/>
      <c r="HDR2996" s="81"/>
      <c r="HDS2996" s="160"/>
      <c r="HDT2996" s="555"/>
      <c r="HDU2996" s="125"/>
      <c r="HDV2996" s="470"/>
      <c r="HDW2996" s="449"/>
      <c r="HDX2996" s="462"/>
      <c r="HDY2996" s="299"/>
      <c r="HDZ2996" s="81"/>
      <c r="HEA2996" s="160"/>
      <c r="HEB2996" s="555"/>
      <c r="HEC2996" s="125"/>
      <c r="HED2996" s="470"/>
      <c r="HEE2996" s="449"/>
      <c r="HEF2996" s="462"/>
      <c r="HEG2996" s="299"/>
      <c r="HEH2996" s="81"/>
      <c r="HEI2996" s="160"/>
      <c r="HEJ2996" s="555"/>
      <c r="HEK2996" s="125"/>
      <c r="HEL2996" s="470"/>
      <c r="HEM2996" s="449"/>
      <c r="HEN2996" s="462"/>
      <c r="HEO2996" s="299"/>
      <c r="HEP2996" s="81"/>
      <c r="HEQ2996" s="160"/>
      <c r="HER2996" s="555"/>
      <c r="HES2996" s="125"/>
      <c r="HET2996" s="470"/>
      <c r="HEU2996" s="449"/>
      <c r="HEV2996" s="462"/>
      <c r="HEW2996" s="299"/>
      <c r="HEX2996" s="81"/>
      <c r="HEY2996" s="160"/>
      <c r="HEZ2996" s="555"/>
      <c r="HFA2996" s="125"/>
      <c r="HFB2996" s="470"/>
      <c r="HFC2996" s="449"/>
      <c r="HFD2996" s="462"/>
      <c r="HFE2996" s="299"/>
      <c r="HFF2996" s="81"/>
      <c r="HFG2996" s="160"/>
      <c r="HFH2996" s="555"/>
      <c r="HFI2996" s="125"/>
      <c r="HFJ2996" s="470"/>
      <c r="HFK2996" s="449"/>
      <c r="HFL2996" s="462"/>
      <c r="HFM2996" s="299"/>
      <c r="HFN2996" s="81"/>
      <c r="HFO2996" s="160"/>
      <c r="HFP2996" s="555"/>
      <c r="HFQ2996" s="125"/>
      <c r="HFR2996" s="470"/>
      <c r="HFS2996" s="449"/>
      <c r="HFT2996" s="462"/>
      <c r="HFU2996" s="299"/>
      <c r="HFV2996" s="81"/>
      <c r="HFW2996" s="160"/>
      <c r="HFX2996" s="555"/>
      <c r="HFY2996" s="125"/>
      <c r="HFZ2996" s="470"/>
      <c r="HGA2996" s="449"/>
      <c r="HGB2996" s="462"/>
      <c r="HGC2996" s="299"/>
      <c r="HGD2996" s="81"/>
      <c r="HGE2996" s="160"/>
      <c r="HGF2996" s="555"/>
      <c r="HGG2996" s="125"/>
      <c r="HGH2996" s="470"/>
      <c r="HGI2996" s="449"/>
      <c r="HGJ2996" s="462"/>
      <c r="HGK2996" s="299"/>
      <c r="HGL2996" s="81"/>
      <c r="HGM2996" s="160"/>
      <c r="HGN2996" s="555"/>
      <c r="HGO2996" s="125"/>
      <c r="HGP2996" s="470"/>
      <c r="HGQ2996" s="449"/>
      <c r="HGR2996" s="462"/>
      <c r="HGS2996" s="299"/>
      <c r="HGT2996" s="81"/>
      <c r="HGU2996" s="160"/>
      <c r="HGV2996" s="555"/>
      <c r="HGW2996" s="125"/>
      <c r="HGX2996" s="470"/>
      <c r="HGY2996" s="449"/>
      <c r="HGZ2996" s="462"/>
      <c r="HHA2996" s="299"/>
      <c r="HHB2996" s="81"/>
      <c r="HHC2996" s="160"/>
      <c r="HHD2996" s="555"/>
      <c r="HHE2996" s="125"/>
      <c r="HHF2996" s="470"/>
      <c r="HHG2996" s="449"/>
      <c r="HHH2996" s="462"/>
      <c r="HHI2996" s="299"/>
      <c r="HHJ2996" s="81"/>
      <c r="HHK2996" s="160"/>
      <c r="HHL2996" s="555"/>
      <c r="HHM2996" s="125"/>
      <c r="HHN2996" s="470"/>
      <c r="HHO2996" s="449"/>
      <c r="HHP2996" s="462"/>
      <c r="HHQ2996" s="299"/>
      <c r="HHR2996" s="81"/>
      <c r="HHS2996" s="160"/>
      <c r="HHT2996" s="555"/>
      <c r="HHU2996" s="125"/>
      <c r="HHV2996" s="470"/>
      <c r="HHW2996" s="449"/>
      <c r="HHX2996" s="462"/>
      <c r="HHY2996" s="299"/>
      <c r="HHZ2996" s="81"/>
      <c r="HIA2996" s="160"/>
      <c r="HIB2996" s="555"/>
      <c r="HIC2996" s="125"/>
      <c r="HID2996" s="470"/>
      <c r="HIE2996" s="449"/>
      <c r="HIF2996" s="462"/>
      <c r="HIG2996" s="299"/>
      <c r="HIH2996" s="81"/>
      <c r="HII2996" s="160"/>
      <c r="HIJ2996" s="555"/>
      <c r="HIK2996" s="125"/>
      <c r="HIL2996" s="470"/>
      <c r="HIM2996" s="449"/>
      <c r="HIN2996" s="462"/>
      <c r="HIO2996" s="299"/>
      <c r="HIP2996" s="81"/>
      <c r="HIQ2996" s="160"/>
      <c r="HIR2996" s="555"/>
      <c r="HIS2996" s="125"/>
      <c r="HIT2996" s="470"/>
      <c r="HIU2996" s="449"/>
      <c r="HIV2996" s="462"/>
      <c r="HIW2996" s="299"/>
      <c r="HIX2996" s="81"/>
      <c r="HIY2996" s="160"/>
      <c r="HIZ2996" s="555"/>
      <c r="HJA2996" s="125"/>
      <c r="HJB2996" s="470"/>
      <c r="HJC2996" s="449"/>
      <c r="HJD2996" s="462"/>
      <c r="HJE2996" s="299"/>
      <c r="HJF2996" s="81"/>
      <c r="HJG2996" s="160"/>
      <c r="HJH2996" s="555"/>
      <c r="HJI2996" s="125"/>
      <c r="HJJ2996" s="470"/>
      <c r="HJK2996" s="449"/>
      <c r="HJL2996" s="462"/>
      <c r="HJM2996" s="299"/>
      <c r="HJN2996" s="81"/>
      <c r="HJO2996" s="160"/>
      <c r="HJP2996" s="555"/>
      <c r="HJQ2996" s="125"/>
      <c r="HJR2996" s="470"/>
      <c r="HJS2996" s="449"/>
      <c r="HJT2996" s="462"/>
      <c r="HJU2996" s="299"/>
      <c r="HJV2996" s="81"/>
      <c r="HJW2996" s="160"/>
      <c r="HJX2996" s="555"/>
      <c r="HJY2996" s="125"/>
      <c r="HJZ2996" s="470"/>
      <c r="HKA2996" s="449"/>
      <c r="HKB2996" s="462"/>
      <c r="HKC2996" s="299"/>
      <c r="HKD2996" s="81"/>
      <c r="HKE2996" s="160"/>
      <c r="HKF2996" s="555"/>
      <c r="HKG2996" s="125"/>
      <c r="HKH2996" s="470"/>
      <c r="HKI2996" s="449"/>
      <c r="HKJ2996" s="462"/>
      <c r="HKK2996" s="299"/>
      <c r="HKL2996" s="81"/>
      <c r="HKM2996" s="160"/>
      <c r="HKN2996" s="555"/>
      <c r="HKO2996" s="125"/>
      <c r="HKP2996" s="470"/>
      <c r="HKQ2996" s="449"/>
      <c r="HKR2996" s="462"/>
      <c r="HKS2996" s="299"/>
      <c r="HKT2996" s="81"/>
      <c r="HKU2996" s="160"/>
      <c r="HKV2996" s="555"/>
      <c r="HKW2996" s="125"/>
      <c r="HKX2996" s="470"/>
      <c r="HKY2996" s="449"/>
      <c r="HKZ2996" s="462"/>
      <c r="HLA2996" s="299"/>
      <c r="HLB2996" s="81"/>
      <c r="HLC2996" s="160"/>
      <c r="HLD2996" s="555"/>
      <c r="HLE2996" s="125"/>
      <c r="HLF2996" s="470"/>
      <c r="HLG2996" s="449"/>
      <c r="HLH2996" s="462"/>
      <c r="HLI2996" s="299"/>
      <c r="HLJ2996" s="81"/>
      <c r="HLK2996" s="160"/>
      <c r="HLL2996" s="555"/>
      <c r="HLM2996" s="125"/>
      <c r="HLN2996" s="470"/>
      <c r="HLO2996" s="449"/>
      <c r="HLP2996" s="462"/>
      <c r="HLQ2996" s="299"/>
      <c r="HLR2996" s="81"/>
      <c r="HLS2996" s="160"/>
      <c r="HLT2996" s="555"/>
      <c r="HLU2996" s="125"/>
      <c r="HLV2996" s="470"/>
      <c r="HLW2996" s="449"/>
      <c r="HLX2996" s="462"/>
      <c r="HLY2996" s="299"/>
      <c r="HLZ2996" s="81"/>
      <c r="HMA2996" s="160"/>
      <c r="HMB2996" s="555"/>
      <c r="HMC2996" s="125"/>
      <c r="HMD2996" s="470"/>
      <c r="HME2996" s="449"/>
      <c r="HMF2996" s="462"/>
      <c r="HMG2996" s="299"/>
      <c r="HMH2996" s="81"/>
      <c r="HMI2996" s="160"/>
      <c r="HMJ2996" s="555"/>
      <c r="HMK2996" s="125"/>
      <c r="HML2996" s="470"/>
      <c r="HMM2996" s="449"/>
      <c r="HMN2996" s="462"/>
      <c r="HMO2996" s="299"/>
      <c r="HMP2996" s="81"/>
      <c r="HMQ2996" s="160"/>
      <c r="HMR2996" s="555"/>
      <c r="HMS2996" s="125"/>
      <c r="HMT2996" s="470"/>
      <c r="HMU2996" s="449"/>
      <c r="HMV2996" s="462"/>
      <c r="HMW2996" s="299"/>
      <c r="HMX2996" s="81"/>
      <c r="HMY2996" s="160"/>
      <c r="HMZ2996" s="555"/>
      <c r="HNA2996" s="125"/>
      <c r="HNB2996" s="470"/>
      <c r="HNC2996" s="449"/>
      <c r="HND2996" s="462"/>
      <c r="HNE2996" s="299"/>
      <c r="HNF2996" s="81"/>
      <c r="HNG2996" s="160"/>
      <c r="HNH2996" s="555"/>
      <c r="HNI2996" s="125"/>
      <c r="HNJ2996" s="470"/>
      <c r="HNK2996" s="449"/>
      <c r="HNL2996" s="462"/>
      <c r="HNM2996" s="299"/>
      <c r="HNN2996" s="81"/>
      <c r="HNO2996" s="160"/>
      <c r="HNP2996" s="555"/>
      <c r="HNQ2996" s="125"/>
      <c r="HNR2996" s="470"/>
      <c r="HNS2996" s="449"/>
      <c r="HNT2996" s="462"/>
      <c r="HNU2996" s="299"/>
      <c r="HNV2996" s="81"/>
      <c r="HNW2996" s="160"/>
      <c r="HNX2996" s="555"/>
      <c r="HNY2996" s="125"/>
      <c r="HNZ2996" s="470"/>
      <c r="HOA2996" s="449"/>
      <c r="HOB2996" s="462"/>
      <c r="HOC2996" s="299"/>
      <c r="HOD2996" s="81"/>
      <c r="HOE2996" s="160"/>
      <c r="HOF2996" s="555"/>
      <c r="HOG2996" s="125"/>
      <c r="HOH2996" s="470"/>
      <c r="HOI2996" s="449"/>
      <c r="HOJ2996" s="462"/>
      <c r="HOK2996" s="299"/>
      <c r="HOL2996" s="81"/>
      <c r="HOM2996" s="160"/>
      <c r="HON2996" s="555"/>
      <c r="HOO2996" s="125"/>
      <c r="HOP2996" s="470"/>
      <c r="HOQ2996" s="449"/>
      <c r="HOR2996" s="462"/>
      <c r="HOS2996" s="299"/>
      <c r="HOT2996" s="81"/>
      <c r="HOU2996" s="160"/>
      <c r="HOV2996" s="555"/>
      <c r="HOW2996" s="125"/>
      <c r="HOX2996" s="470"/>
      <c r="HOY2996" s="449"/>
      <c r="HOZ2996" s="462"/>
      <c r="HPA2996" s="299"/>
      <c r="HPB2996" s="81"/>
      <c r="HPC2996" s="160"/>
      <c r="HPD2996" s="555"/>
      <c r="HPE2996" s="125"/>
      <c r="HPF2996" s="470"/>
      <c r="HPG2996" s="449"/>
      <c r="HPH2996" s="462"/>
      <c r="HPI2996" s="299"/>
      <c r="HPJ2996" s="81"/>
      <c r="HPK2996" s="160"/>
      <c r="HPL2996" s="555"/>
      <c r="HPM2996" s="125"/>
      <c r="HPN2996" s="470"/>
      <c r="HPO2996" s="449"/>
      <c r="HPP2996" s="462"/>
      <c r="HPQ2996" s="299"/>
      <c r="HPR2996" s="81"/>
      <c r="HPS2996" s="160"/>
      <c r="HPT2996" s="555"/>
      <c r="HPU2996" s="125"/>
      <c r="HPV2996" s="470"/>
      <c r="HPW2996" s="449"/>
      <c r="HPX2996" s="462"/>
      <c r="HPY2996" s="299"/>
      <c r="HPZ2996" s="81"/>
      <c r="HQA2996" s="160"/>
      <c r="HQB2996" s="555"/>
      <c r="HQC2996" s="125"/>
      <c r="HQD2996" s="470"/>
      <c r="HQE2996" s="449"/>
      <c r="HQF2996" s="462"/>
      <c r="HQG2996" s="299"/>
      <c r="HQH2996" s="81"/>
      <c r="HQI2996" s="160"/>
      <c r="HQJ2996" s="555"/>
      <c r="HQK2996" s="125"/>
      <c r="HQL2996" s="470"/>
      <c r="HQM2996" s="449"/>
      <c r="HQN2996" s="462"/>
      <c r="HQO2996" s="299"/>
      <c r="HQP2996" s="81"/>
      <c r="HQQ2996" s="160"/>
      <c r="HQR2996" s="555"/>
      <c r="HQS2996" s="125"/>
      <c r="HQT2996" s="470"/>
      <c r="HQU2996" s="449"/>
      <c r="HQV2996" s="462"/>
      <c r="HQW2996" s="299"/>
      <c r="HQX2996" s="81"/>
      <c r="HQY2996" s="160"/>
      <c r="HQZ2996" s="555"/>
      <c r="HRA2996" s="125"/>
      <c r="HRB2996" s="470"/>
      <c r="HRC2996" s="449"/>
      <c r="HRD2996" s="462"/>
      <c r="HRE2996" s="299"/>
      <c r="HRF2996" s="81"/>
      <c r="HRG2996" s="160"/>
      <c r="HRH2996" s="555"/>
      <c r="HRI2996" s="125"/>
      <c r="HRJ2996" s="470"/>
      <c r="HRK2996" s="449"/>
      <c r="HRL2996" s="462"/>
      <c r="HRM2996" s="299"/>
      <c r="HRN2996" s="81"/>
      <c r="HRO2996" s="160"/>
      <c r="HRP2996" s="555"/>
      <c r="HRQ2996" s="125"/>
      <c r="HRR2996" s="470"/>
      <c r="HRS2996" s="449"/>
      <c r="HRT2996" s="462"/>
      <c r="HRU2996" s="299"/>
      <c r="HRV2996" s="81"/>
      <c r="HRW2996" s="160"/>
      <c r="HRX2996" s="555"/>
      <c r="HRY2996" s="125"/>
      <c r="HRZ2996" s="470"/>
      <c r="HSA2996" s="449"/>
      <c r="HSB2996" s="462"/>
      <c r="HSC2996" s="299"/>
      <c r="HSD2996" s="81"/>
      <c r="HSE2996" s="160"/>
      <c r="HSF2996" s="555"/>
      <c r="HSG2996" s="125"/>
      <c r="HSH2996" s="470"/>
      <c r="HSI2996" s="449"/>
      <c r="HSJ2996" s="462"/>
      <c r="HSK2996" s="299"/>
      <c r="HSL2996" s="81"/>
      <c r="HSM2996" s="160"/>
      <c r="HSN2996" s="555"/>
      <c r="HSO2996" s="125"/>
      <c r="HSP2996" s="470"/>
      <c r="HSQ2996" s="449"/>
      <c r="HSR2996" s="462"/>
      <c r="HSS2996" s="299"/>
      <c r="HST2996" s="81"/>
      <c r="HSU2996" s="160"/>
      <c r="HSV2996" s="555"/>
      <c r="HSW2996" s="125"/>
      <c r="HSX2996" s="470"/>
      <c r="HSY2996" s="449"/>
      <c r="HSZ2996" s="462"/>
      <c r="HTA2996" s="299"/>
      <c r="HTB2996" s="81"/>
      <c r="HTC2996" s="160"/>
      <c r="HTD2996" s="555"/>
      <c r="HTE2996" s="125"/>
      <c r="HTF2996" s="470"/>
      <c r="HTG2996" s="449"/>
      <c r="HTH2996" s="462"/>
      <c r="HTI2996" s="299"/>
      <c r="HTJ2996" s="81"/>
      <c r="HTK2996" s="160"/>
      <c r="HTL2996" s="555"/>
      <c r="HTM2996" s="125"/>
      <c r="HTN2996" s="470"/>
      <c r="HTO2996" s="449"/>
      <c r="HTP2996" s="462"/>
      <c r="HTQ2996" s="299"/>
      <c r="HTR2996" s="81"/>
      <c r="HTS2996" s="160"/>
      <c r="HTT2996" s="555"/>
      <c r="HTU2996" s="125"/>
      <c r="HTV2996" s="470"/>
      <c r="HTW2996" s="449"/>
      <c r="HTX2996" s="462"/>
      <c r="HTY2996" s="299"/>
      <c r="HTZ2996" s="81"/>
      <c r="HUA2996" s="160"/>
      <c r="HUB2996" s="555"/>
      <c r="HUC2996" s="125"/>
      <c r="HUD2996" s="470"/>
      <c r="HUE2996" s="449"/>
      <c r="HUF2996" s="462"/>
      <c r="HUG2996" s="299"/>
      <c r="HUH2996" s="81"/>
      <c r="HUI2996" s="160"/>
      <c r="HUJ2996" s="555"/>
      <c r="HUK2996" s="125"/>
      <c r="HUL2996" s="470"/>
      <c r="HUM2996" s="449"/>
      <c r="HUN2996" s="462"/>
      <c r="HUO2996" s="299"/>
      <c r="HUP2996" s="81"/>
      <c r="HUQ2996" s="160"/>
      <c r="HUR2996" s="555"/>
      <c r="HUS2996" s="125"/>
      <c r="HUT2996" s="470"/>
      <c r="HUU2996" s="449"/>
      <c r="HUV2996" s="462"/>
      <c r="HUW2996" s="299"/>
      <c r="HUX2996" s="81"/>
      <c r="HUY2996" s="160"/>
      <c r="HUZ2996" s="555"/>
      <c r="HVA2996" s="125"/>
      <c r="HVB2996" s="470"/>
      <c r="HVC2996" s="449"/>
      <c r="HVD2996" s="462"/>
      <c r="HVE2996" s="299"/>
      <c r="HVF2996" s="81"/>
      <c r="HVG2996" s="160"/>
      <c r="HVH2996" s="555"/>
      <c r="HVI2996" s="125"/>
      <c r="HVJ2996" s="470"/>
      <c r="HVK2996" s="449"/>
      <c r="HVL2996" s="462"/>
      <c r="HVM2996" s="299"/>
      <c r="HVN2996" s="81"/>
      <c r="HVO2996" s="160"/>
      <c r="HVP2996" s="555"/>
      <c r="HVQ2996" s="125"/>
      <c r="HVR2996" s="470"/>
      <c r="HVS2996" s="449"/>
      <c r="HVT2996" s="462"/>
      <c r="HVU2996" s="299"/>
      <c r="HVV2996" s="81"/>
      <c r="HVW2996" s="160"/>
      <c r="HVX2996" s="555"/>
      <c r="HVY2996" s="125"/>
      <c r="HVZ2996" s="470"/>
      <c r="HWA2996" s="449"/>
      <c r="HWB2996" s="462"/>
      <c r="HWC2996" s="299"/>
      <c r="HWD2996" s="81"/>
      <c r="HWE2996" s="160"/>
      <c r="HWF2996" s="555"/>
      <c r="HWG2996" s="125"/>
      <c r="HWH2996" s="470"/>
      <c r="HWI2996" s="449"/>
      <c r="HWJ2996" s="462"/>
      <c r="HWK2996" s="299"/>
      <c r="HWL2996" s="81"/>
      <c r="HWM2996" s="160"/>
      <c r="HWN2996" s="555"/>
      <c r="HWO2996" s="125"/>
      <c r="HWP2996" s="470"/>
      <c r="HWQ2996" s="449"/>
      <c r="HWR2996" s="462"/>
      <c r="HWS2996" s="299"/>
      <c r="HWT2996" s="81"/>
      <c r="HWU2996" s="160"/>
      <c r="HWV2996" s="555"/>
      <c r="HWW2996" s="125"/>
      <c r="HWX2996" s="470"/>
      <c r="HWY2996" s="449"/>
      <c r="HWZ2996" s="462"/>
      <c r="HXA2996" s="299"/>
      <c r="HXB2996" s="81"/>
      <c r="HXC2996" s="160"/>
      <c r="HXD2996" s="555"/>
      <c r="HXE2996" s="125"/>
      <c r="HXF2996" s="470"/>
      <c r="HXG2996" s="449"/>
      <c r="HXH2996" s="462"/>
      <c r="HXI2996" s="299"/>
      <c r="HXJ2996" s="81"/>
      <c r="HXK2996" s="160"/>
      <c r="HXL2996" s="555"/>
      <c r="HXM2996" s="125"/>
      <c r="HXN2996" s="470"/>
      <c r="HXO2996" s="449"/>
      <c r="HXP2996" s="462"/>
      <c r="HXQ2996" s="299"/>
      <c r="HXR2996" s="81"/>
      <c r="HXS2996" s="160"/>
      <c r="HXT2996" s="555"/>
      <c r="HXU2996" s="125"/>
      <c r="HXV2996" s="470"/>
      <c r="HXW2996" s="449"/>
      <c r="HXX2996" s="462"/>
      <c r="HXY2996" s="299"/>
      <c r="HXZ2996" s="81"/>
      <c r="HYA2996" s="160"/>
      <c r="HYB2996" s="555"/>
      <c r="HYC2996" s="125"/>
      <c r="HYD2996" s="470"/>
      <c r="HYE2996" s="449"/>
      <c r="HYF2996" s="462"/>
      <c r="HYG2996" s="299"/>
      <c r="HYH2996" s="81"/>
      <c r="HYI2996" s="160"/>
      <c r="HYJ2996" s="555"/>
      <c r="HYK2996" s="125"/>
      <c r="HYL2996" s="470"/>
      <c r="HYM2996" s="449"/>
      <c r="HYN2996" s="462"/>
      <c r="HYO2996" s="299"/>
      <c r="HYP2996" s="81"/>
      <c r="HYQ2996" s="160"/>
      <c r="HYR2996" s="555"/>
      <c r="HYS2996" s="125"/>
      <c r="HYT2996" s="470"/>
      <c r="HYU2996" s="449"/>
      <c r="HYV2996" s="462"/>
      <c r="HYW2996" s="299"/>
      <c r="HYX2996" s="81"/>
      <c r="HYY2996" s="160"/>
      <c r="HYZ2996" s="555"/>
      <c r="HZA2996" s="125"/>
      <c r="HZB2996" s="470"/>
      <c r="HZC2996" s="449"/>
      <c r="HZD2996" s="462"/>
      <c r="HZE2996" s="299"/>
      <c r="HZF2996" s="81"/>
      <c r="HZG2996" s="160"/>
      <c r="HZH2996" s="555"/>
      <c r="HZI2996" s="125"/>
      <c r="HZJ2996" s="470"/>
      <c r="HZK2996" s="449"/>
      <c r="HZL2996" s="462"/>
      <c r="HZM2996" s="299"/>
      <c r="HZN2996" s="81"/>
      <c r="HZO2996" s="160"/>
      <c r="HZP2996" s="555"/>
      <c r="HZQ2996" s="125"/>
      <c r="HZR2996" s="470"/>
      <c r="HZS2996" s="449"/>
      <c r="HZT2996" s="462"/>
      <c r="HZU2996" s="299"/>
      <c r="HZV2996" s="81"/>
      <c r="HZW2996" s="160"/>
      <c r="HZX2996" s="555"/>
      <c r="HZY2996" s="125"/>
      <c r="HZZ2996" s="470"/>
      <c r="IAA2996" s="449"/>
      <c r="IAB2996" s="462"/>
      <c r="IAC2996" s="299"/>
      <c r="IAD2996" s="81"/>
      <c r="IAE2996" s="160"/>
      <c r="IAF2996" s="555"/>
      <c r="IAG2996" s="125"/>
      <c r="IAH2996" s="470"/>
      <c r="IAI2996" s="449"/>
      <c r="IAJ2996" s="462"/>
      <c r="IAK2996" s="299"/>
      <c r="IAL2996" s="81"/>
      <c r="IAM2996" s="160"/>
      <c r="IAN2996" s="555"/>
      <c r="IAO2996" s="125"/>
      <c r="IAP2996" s="470"/>
      <c r="IAQ2996" s="449"/>
      <c r="IAR2996" s="462"/>
      <c r="IAS2996" s="299"/>
      <c r="IAT2996" s="81"/>
      <c r="IAU2996" s="160"/>
      <c r="IAV2996" s="555"/>
      <c r="IAW2996" s="125"/>
      <c r="IAX2996" s="470"/>
      <c r="IAY2996" s="449"/>
      <c r="IAZ2996" s="462"/>
      <c r="IBA2996" s="299"/>
      <c r="IBB2996" s="81"/>
      <c r="IBC2996" s="160"/>
      <c r="IBD2996" s="555"/>
      <c r="IBE2996" s="125"/>
      <c r="IBF2996" s="470"/>
      <c r="IBG2996" s="449"/>
      <c r="IBH2996" s="462"/>
      <c r="IBI2996" s="299"/>
      <c r="IBJ2996" s="81"/>
      <c r="IBK2996" s="160"/>
      <c r="IBL2996" s="555"/>
      <c r="IBM2996" s="125"/>
      <c r="IBN2996" s="470"/>
      <c r="IBO2996" s="449"/>
      <c r="IBP2996" s="462"/>
      <c r="IBQ2996" s="299"/>
      <c r="IBR2996" s="81"/>
      <c r="IBS2996" s="160"/>
      <c r="IBT2996" s="555"/>
      <c r="IBU2996" s="125"/>
      <c r="IBV2996" s="470"/>
      <c r="IBW2996" s="449"/>
      <c r="IBX2996" s="462"/>
      <c r="IBY2996" s="299"/>
      <c r="IBZ2996" s="81"/>
      <c r="ICA2996" s="160"/>
      <c r="ICB2996" s="555"/>
      <c r="ICC2996" s="125"/>
      <c r="ICD2996" s="470"/>
      <c r="ICE2996" s="449"/>
      <c r="ICF2996" s="462"/>
      <c r="ICG2996" s="299"/>
      <c r="ICH2996" s="81"/>
      <c r="ICI2996" s="160"/>
      <c r="ICJ2996" s="555"/>
      <c r="ICK2996" s="125"/>
      <c r="ICL2996" s="470"/>
      <c r="ICM2996" s="449"/>
      <c r="ICN2996" s="462"/>
      <c r="ICO2996" s="299"/>
      <c r="ICP2996" s="81"/>
      <c r="ICQ2996" s="160"/>
      <c r="ICR2996" s="555"/>
      <c r="ICS2996" s="125"/>
      <c r="ICT2996" s="470"/>
      <c r="ICU2996" s="449"/>
      <c r="ICV2996" s="462"/>
      <c r="ICW2996" s="299"/>
      <c r="ICX2996" s="81"/>
      <c r="ICY2996" s="160"/>
      <c r="ICZ2996" s="555"/>
      <c r="IDA2996" s="125"/>
      <c r="IDB2996" s="470"/>
      <c r="IDC2996" s="449"/>
      <c r="IDD2996" s="462"/>
      <c r="IDE2996" s="299"/>
      <c r="IDF2996" s="81"/>
      <c r="IDG2996" s="160"/>
      <c r="IDH2996" s="555"/>
      <c r="IDI2996" s="125"/>
      <c r="IDJ2996" s="470"/>
      <c r="IDK2996" s="449"/>
      <c r="IDL2996" s="462"/>
      <c r="IDM2996" s="299"/>
      <c r="IDN2996" s="81"/>
      <c r="IDO2996" s="160"/>
      <c r="IDP2996" s="555"/>
      <c r="IDQ2996" s="125"/>
      <c r="IDR2996" s="470"/>
      <c r="IDS2996" s="449"/>
      <c r="IDT2996" s="462"/>
      <c r="IDU2996" s="299"/>
      <c r="IDV2996" s="81"/>
      <c r="IDW2996" s="160"/>
      <c r="IDX2996" s="555"/>
      <c r="IDY2996" s="125"/>
      <c r="IDZ2996" s="470"/>
      <c r="IEA2996" s="449"/>
      <c r="IEB2996" s="462"/>
      <c r="IEC2996" s="299"/>
      <c r="IED2996" s="81"/>
      <c r="IEE2996" s="160"/>
      <c r="IEF2996" s="555"/>
      <c r="IEG2996" s="125"/>
      <c r="IEH2996" s="470"/>
      <c r="IEI2996" s="449"/>
      <c r="IEJ2996" s="462"/>
      <c r="IEK2996" s="299"/>
      <c r="IEL2996" s="81"/>
      <c r="IEM2996" s="160"/>
      <c r="IEN2996" s="555"/>
      <c r="IEO2996" s="125"/>
      <c r="IEP2996" s="470"/>
      <c r="IEQ2996" s="449"/>
      <c r="IER2996" s="462"/>
      <c r="IES2996" s="299"/>
      <c r="IET2996" s="81"/>
      <c r="IEU2996" s="160"/>
      <c r="IEV2996" s="555"/>
      <c r="IEW2996" s="125"/>
      <c r="IEX2996" s="470"/>
      <c r="IEY2996" s="449"/>
      <c r="IEZ2996" s="462"/>
      <c r="IFA2996" s="299"/>
      <c r="IFB2996" s="81"/>
      <c r="IFC2996" s="160"/>
      <c r="IFD2996" s="555"/>
      <c r="IFE2996" s="125"/>
      <c r="IFF2996" s="470"/>
      <c r="IFG2996" s="449"/>
      <c r="IFH2996" s="462"/>
      <c r="IFI2996" s="299"/>
      <c r="IFJ2996" s="81"/>
      <c r="IFK2996" s="160"/>
      <c r="IFL2996" s="555"/>
      <c r="IFM2996" s="125"/>
      <c r="IFN2996" s="470"/>
      <c r="IFO2996" s="449"/>
      <c r="IFP2996" s="462"/>
      <c r="IFQ2996" s="299"/>
      <c r="IFR2996" s="81"/>
      <c r="IFS2996" s="160"/>
      <c r="IFT2996" s="555"/>
      <c r="IFU2996" s="125"/>
      <c r="IFV2996" s="470"/>
      <c r="IFW2996" s="449"/>
      <c r="IFX2996" s="462"/>
      <c r="IFY2996" s="299"/>
      <c r="IFZ2996" s="81"/>
      <c r="IGA2996" s="160"/>
      <c r="IGB2996" s="555"/>
      <c r="IGC2996" s="125"/>
      <c r="IGD2996" s="470"/>
      <c r="IGE2996" s="449"/>
      <c r="IGF2996" s="462"/>
      <c r="IGG2996" s="299"/>
      <c r="IGH2996" s="81"/>
      <c r="IGI2996" s="160"/>
      <c r="IGJ2996" s="555"/>
      <c r="IGK2996" s="125"/>
      <c r="IGL2996" s="470"/>
      <c r="IGM2996" s="449"/>
      <c r="IGN2996" s="462"/>
      <c r="IGO2996" s="299"/>
      <c r="IGP2996" s="81"/>
      <c r="IGQ2996" s="160"/>
      <c r="IGR2996" s="555"/>
      <c r="IGS2996" s="125"/>
      <c r="IGT2996" s="470"/>
      <c r="IGU2996" s="449"/>
      <c r="IGV2996" s="462"/>
      <c r="IGW2996" s="299"/>
      <c r="IGX2996" s="81"/>
      <c r="IGY2996" s="160"/>
      <c r="IGZ2996" s="555"/>
      <c r="IHA2996" s="125"/>
      <c r="IHB2996" s="470"/>
      <c r="IHC2996" s="449"/>
      <c r="IHD2996" s="462"/>
      <c r="IHE2996" s="299"/>
      <c r="IHF2996" s="81"/>
      <c r="IHG2996" s="160"/>
      <c r="IHH2996" s="555"/>
      <c r="IHI2996" s="125"/>
      <c r="IHJ2996" s="470"/>
      <c r="IHK2996" s="449"/>
      <c r="IHL2996" s="462"/>
      <c r="IHM2996" s="299"/>
      <c r="IHN2996" s="81"/>
      <c r="IHO2996" s="160"/>
      <c r="IHP2996" s="555"/>
      <c r="IHQ2996" s="125"/>
      <c r="IHR2996" s="470"/>
      <c r="IHS2996" s="449"/>
      <c r="IHT2996" s="462"/>
      <c r="IHU2996" s="299"/>
      <c r="IHV2996" s="81"/>
      <c r="IHW2996" s="160"/>
      <c r="IHX2996" s="555"/>
      <c r="IHY2996" s="125"/>
      <c r="IHZ2996" s="470"/>
      <c r="IIA2996" s="449"/>
      <c r="IIB2996" s="462"/>
      <c r="IIC2996" s="299"/>
      <c r="IID2996" s="81"/>
      <c r="IIE2996" s="160"/>
      <c r="IIF2996" s="555"/>
      <c r="IIG2996" s="125"/>
      <c r="IIH2996" s="470"/>
      <c r="III2996" s="449"/>
      <c r="IIJ2996" s="462"/>
      <c r="IIK2996" s="299"/>
      <c r="IIL2996" s="81"/>
      <c r="IIM2996" s="160"/>
      <c r="IIN2996" s="555"/>
      <c r="IIO2996" s="125"/>
      <c r="IIP2996" s="470"/>
      <c r="IIQ2996" s="449"/>
      <c r="IIR2996" s="462"/>
      <c r="IIS2996" s="299"/>
      <c r="IIT2996" s="81"/>
      <c r="IIU2996" s="160"/>
      <c r="IIV2996" s="555"/>
      <c r="IIW2996" s="125"/>
      <c r="IIX2996" s="470"/>
      <c r="IIY2996" s="449"/>
      <c r="IIZ2996" s="462"/>
      <c r="IJA2996" s="299"/>
      <c r="IJB2996" s="81"/>
      <c r="IJC2996" s="160"/>
      <c r="IJD2996" s="555"/>
      <c r="IJE2996" s="125"/>
      <c r="IJF2996" s="470"/>
      <c r="IJG2996" s="449"/>
      <c r="IJH2996" s="462"/>
      <c r="IJI2996" s="299"/>
      <c r="IJJ2996" s="81"/>
      <c r="IJK2996" s="160"/>
      <c r="IJL2996" s="555"/>
      <c r="IJM2996" s="125"/>
      <c r="IJN2996" s="470"/>
      <c r="IJO2996" s="449"/>
      <c r="IJP2996" s="462"/>
      <c r="IJQ2996" s="299"/>
      <c r="IJR2996" s="81"/>
      <c r="IJS2996" s="160"/>
      <c r="IJT2996" s="555"/>
      <c r="IJU2996" s="125"/>
      <c r="IJV2996" s="470"/>
      <c r="IJW2996" s="449"/>
      <c r="IJX2996" s="462"/>
      <c r="IJY2996" s="299"/>
      <c r="IJZ2996" s="81"/>
      <c r="IKA2996" s="160"/>
      <c r="IKB2996" s="555"/>
      <c r="IKC2996" s="125"/>
      <c r="IKD2996" s="470"/>
      <c r="IKE2996" s="449"/>
      <c r="IKF2996" s="462"/>
      <c r="IKG2996" s="299"/>
      <c r="IKH2996" s="81"/>
      <c r="IKI2996" s="160"/>
      <c r="IKJ2996" s="555"/>
      <c r="IKK2996" s="125"/>
      <c r="IKL2996" s="470"/>
      <c r="IKM2996" s="449"/>
      <c r="IKN2996" s="462"/>
      <c r="IKO2996" s="299"/>
      <c r="IKP2996" s="81"/>
      <c r="IKQ2996" s="160"/>
      <c r="IKR2996" s="555"/>
      <c r="IKS2996" s="125"/>
      <c r="IKT2996" s="470"/>
      <c r="IKU2996" s="449"/>
      <c r="IKV2996" s="462"/>
      <c r="IKW2996" s="299"/>
      <c r="IKX2996" s="81"/>
      <c r="IKY2996" s="160"/>
      <c r="IKZ2996" s="555"/>
      <c r="ILA2996" s="125"/>
      <c r="ILB2996" s="470"/>
      <c r="ILC2996" s="449"/>
      <c r="ILD2996" s="462"/>
      <c r="ILE2996" s="299"/>
      <c r="ILF2996" s="81"/>
      <c r="ILG2996" s="160"/>
      <c r="ILH2996" s="555"/>
      <c r="ILI2996" s="125"/>
      <c r="ILJ2996" s="470"/>
      <c r="ILK2996" s="449"/>
      <c r="ILL2996" s="462"/>
      <c r="ILM2996" s="299"/>
      <c r="ILN2996" s="81"/>
      <c r="ILO2996" s="160"/>
      <c r="ILP2996" s="555"/>
      <c r="ILQ2996" s="125"/>
      <c r="ILR2996" s="470"/>
      <c r="ILS2996" s="449"/>
      <c r="ILT2996" s="462"/>
      <c r="ILU2996" s="299"/>
      <c r="ILV2996" s="81"/>
      <c r="ILW2996" s="160"/>
      <c r="ILX2996" s="555"/>
      <c r="ILY2996" s="125"/>
      <c r="ILZ2996" s="470"/>
      <c r="IMA2996" s="449"/>
      <c r="IMB2996" s="462"/>
      <c r="IMC2996" s="299"/>
      <c r="IMD2996" s="81"/>
      <c r="IME2996" s="160"/>
      <c r="IMF2996" s="555"/>
      <c r="IMG2996" s="125"/>
      <c r="IMH2996" s="470"/>
      <c r="IMI2996" s="449"/>
      <c r="IMJ2996" s="462"/>
      <c r="IMK2996" s="299"/>
      <c r="IML2996" s="81"/>
      <c r="IMM2996" s="160"/>
      <c r="IMN2996" s="555"/>
      <c r="IMO2996" s="125"/>
      <c r="IMP2996" s="470"/>
      <c r="IMQ2996" s="449"/>
      <c r="IMR2996" s="462"/>
      <c r="IMS2996" s="299"/>
      <c r="IMT2996" s="81"/>
      <c r="IMU2996" s="160"/>
      <c r="IMV2996" s="555"/>
      <c r="IMW2996" s="125"/>
      <c r="IMX2996" s="470"/>
      <c r="IMY2996" s="449"/>
      <c r="IMZ2996" s="462"/>
      <c r="INA2996" s="299"/>
      <c r="INB2996" s="81"/>
      <c r="INC2996" s="160"/>
      <c r="IND2996" s="555"/>
      <c r="INE2996" s="125"/>
      <c r="INF2996" s="470"/>
      <c r="ING2996" s="449"/>
      <c r="INH2996" s="462"/>
      <c r="INI2996" s="299"/>
      <c r="INJ2996" s="81"/>
      <c r="INK2996" s="160"/>
      <c r="INL2996" s="555"/>
      <c r="INM2996" s="125"/>
      <c r="INN2996" s="470"/>
      <c r="INO2996" s="449"/>
      <c r="INP2996" s="462"/>
      <c r="INQ2996" s="299"/>
      <c r="INR2996" s="81"/>
      <c r="INS2996" s="160"/>
      <c r="INT2996" s="555"/>
      <c r="INU2996" s="125"/>
      <c r="INV2996" s="470"/>
      <c r="INW2996" s="449"/>
      <c r="INX2996" s="462"/>
      <c r="INY2996" s="299"/>
      <c r="INZ2996" s="81"/>
      <c r="IOA2996" s="160"/>
      <c r="IOB2996" s="555"/>
      <c r="IOC2996" s="125"/>
      <c r="IOD2996" s="470"/>
      <c r="IOE2996" s="449"/>
      <c r="IOF2996" s="462"/>
      <c r="IOG2996" s="299"/>
      <c r="IOH2996" s="81"/>
      <c r="IOI2996" s="160"/>
      <c r="IOJ2996" s="555"/>
      <c r="IOK2996" s="125"/>
      <c r="IOL2996" s="470"/>
      <c r="IOM2996" s="449"/>
      <c r="ION2996" s="462"/>
      <c r="IOO2996" s="299"/>
      <c r="IOP2996" s="81"/>
      <c r="IOQ2996" s="160"/>
      <c r="IOR2996" s="555"/>
      <c r="IOS2996" s="125"/>
      <c r="IOT2996" s="470"/>
      <c r="IOU2996" s="449"/>
      <c r="IOV2996" s="462"/>
      <c r="IOW2996" s="299"/>
      <c r="IOX2996" s="81"/>
      <c r="IOY2996" s="160"/>
      <c r="IOZ2996" s="555"/>
      <c r="IPA2996" s="125"/>
      <c r="IPB2996" s="470"/>
      <c r="IPC2996" s="449"/>
      <c r="IPD2996" s="462"/>
      <c r="IPE2996" s="299"/>
      <c r="IPF2996" s="81"/>
      <c r="IPG2996" s="160"/>
      <c r="IPH2996" s="555"/>
      <c r="IPI2996" s="125"/>
      <c r="IPJ2996" s="470"/>
      <c r="IPK2996" s="449"/>
      <c r="IPL2996" s="462"/>
      <c r="IPM2996" s="299"/>
      <c r="IPN2996" s="81"/>
      <c r="IPO2996" s="160"/>
      <c r="IPP2996" s="555"/>
      <c r="IPQ2996" s="125"/>
      <c r="IPR2996" s="470"/>
      <c r="IPS2996" s="449"/>
      <c r="IPT2996" s="462"/>
      <c r="IPU2996" s="299"/>
      <c r="IPV2996" s="81"/>
      <c r="IPW2996" s="160"/>
      <c r="IPX2996" s="555"/>
      <c r="IPY2996" s="125"/>
      <c r="IPZ2996" s="470"/>
      <c r="IQA2996" s="449"/>
      <c r="IQB2996" s="462"/>
      <c r="IQC2996" s="299"/>
      <c r="IQD2996" s="81"/>
      <c r="IQE2996" s="160"/>
      <c r="IQF2996" s="555"/>
      <c r="IQG2996" s="125"/>
      <c r="IQH2996" s="470"/>
      <c r="IQI2996" s="449"/>
      <c r="IQJ2996" s="462"/>
      <c r="IQK2996" s="299"/>
      <c r="IQL2996" s="81"/>
      <c r="IQM2996" s="160"/>
      <c r="IQN2996" s="555"/>
      <c r="IQO2996" s="125"/>
      <c r="IQP2996" s="470"/>
      <c r="IQQ2996" s="449"/>
      <c r="IQR2996" s="462"/>
      <c r="IQS2996" s="299"/>
      <c r="IQT2996" s="81"/>
      <c r="IQU2996" s="160"/>
      <c r="IQV2996" s="555"/>
      <c r="IQW2996" s="125"/>
      <c r="IQX2996" s="470"/>
      <c r="IQY2996" s="449"/>
      <c r="IQZ2996" s="462"/>
      <c r="IRA2996" s="299"/>
      <c r="IRB2996" s="81"/>
      <c r="IRC2996" s="160"/>
      <c r="IRD2996" s="555"/>
      <c r="IRE2996" s="125"/>
      <c r="IRF2996" s="470"/>
      <c r="IRG2996" s="449"/>
      <c r="IRH2996" s="462"/>
      <c r="IRI2996" s="299"/>
      <c r="IRJ2996" s="81"/>
      <c r="IRK2996" s="160"/>
      <c r="IRL2996" s="555"/>
      <c r="IRM2996" s="125"/>
      <c r="IRN2996" s="470"/>
      <c r="IRO2996" s="449"/>
      <c r="IRP2996" s="462"/>
      <c r="IRQ2996" s="299"/>
      <c r="IRR2996" s="81"/>
      <c r="IRS2996" s="160"/>
      <c r="IRT2996" s="555"/>
      <c r="IRU2996" s="125"/>
      <c r="IRV2996" s="470"/>
      <c r="IRW2996" s="449"/>
      <c r="IRX2996" s="462"/>
      <c r="IRY2996" s="299"/>
      <c r="IRZ2996" s="81"/>
      <c r="ISA2996" s="160"/>
      <c r="ISB2996" s="555"/>
      <c r="ISC2996" s="125"/>
      <c r="ISD2996" s="470"/>
      <c r="ISE2996" s="449"/>
      <c r="ISF2996" s="462"/>
      <c r="ISG2996" s="299"/>
      <c r="ISH2996" s="81"/>
      <c r="ISI2996" s="160"/>
      <c r="ISJ2996" s="555"/>
      <c r="ISK2996" s="125"/>
      <c r="ISL2996" s="470"/>
      <c r="ISM2996" s="449"/>
      <c r="ISN2996" s="462"/>
      <c r="ISO2996" s="299"/>
      <c r="ISP2996" s="81"/>
      <c r="ISQ2996" s="160"/>
      <c r="ISR2996" s="555"/>
      <c r="ISS2996" s="125"/>
      <c r="IST2996" s="470"/>
      <c r="ISU2996" s="449"/>
      <c r="ISV2996" s="462"/>
      <c r="ISW2996" s="299"/>
      <c r="ISX2996" s="81"/>
      <c r="ISY2996" s="160"/>
      <c r="ISZ2996" s="555"/>
      <c r="ITA2996" s="125"/>
      <c r="ITB2996" s="470"/>
      <c r="ITC2996" s="449"/>
      <c r="ITD2996" s="462"/>
      <c r="ITE2996" s="299"/>
      <c r="ITF2996" s="81"/>
      <c r="ITG2996" s="160"/>
      <c r="ITH2996" s="555"/>
      <c r="ITI2996" s="125"/>
      <c r="ITJ2996" s="470"/>
      <c r="ITK2996" s="449"/>
      <c r="ITL2996" s="462"/>
      <c r="ITM2996" s="299"/>
      <c r="ITN2996" s="81"/>
      <c r="ITO2996" s="160"/>
      <c r="ITP2996" s="555"/>
      <c r="ITQ2996" s="125"/>
      <c r="ITR2996" s="470"/>
      <c r="ITS2996" s="449"/>
      <c r="ITT2996" s="462"/>
      <c r="ITU2996" s="299"/>
      <c r="ITV2996" s="81"/>
      <c r="ITW2996" s="160"/>
      <c r="ITX2996" s="555"/>
      <c r="ITY2996" s="125"/>
      <c r="ITZ2996" s="470"/>
      <c r="IUA2996" s="449"/>
      <c r="IUB2996" s="462"/>
      <c r="IUC2996" s="299"/>
      <c r="IUD2996" s="81"/>
      <c r="IUE2996" s="160"/>
      <c r="IUF2996" s="555"/>
      <c r="IUG2996" s="125"/>
      <c r="IUH2996" s="470"/>
      <c r="IUI2996" s="449"/>
      <c r="IUJ2996" s="462"/>
      <c r="IUK2996" s="299"/>
      <c r="IUL2996" s="81"/>
      <c r="IUM2996" s="160"/>
      <c r="IUN2996" s="555"/>
      <c r="IUO2996" s="125"/>
      <c r="IUP2996" s="470"/>
      <c r="IUQ2996" s="449"/>
      <c r="IUR2996" s="462"/>
      <c r="IUS2996" s="299"/>
      <c r="IUT2996" s="81"/>
      <c r="IUU2996" s="160"/>
      <c r="IUV2996" s="555"/>
      <c r="IUW2996" s="125"/>
      <c r="IUX2996" s="470"/>
      <c r="IUY2996" s="449"/>
      <c r="IUZ2996" s="462"/>
      <c r="IVA2996" s="299"/>
      <c r="IVB2996" s="81"/>
      <c r="IVC2996" s="160"/>
      <c r="IVD2996" s="555"/>
      <c r="IVE2996" s="125"/>
      <c r="IVF2996" s="470"/>
      <c r="IVG2996" s="449"/>
      <c r="IVH2996" s="462"/>
      <c r="IVI2996" s="299"/>
      <c r="IVJ2996" s="81"/>
      <c r="IVK2996" s="160"/>
      <c r="IVL2996" s="555"/>
      <c r="IVM2996" s="125"/>
      <c r="IVN2996" s="470"/>
      <c r="IVO2996" s="449"/>
      <c r="IVP2996" s="462"/>
      <c r="IVQ2996" s="299"/>
      <c r="IVR2996" s="81"/>
      <c r="IVS2996" s="160"/>
      <c r="IVT2996" s="555"/>
      <c r="IVU2996" s="125"/>
      <c r="IVV2996" s="470"/>
      <c r="IVW2996" s="449"/>
      <c r="IVX2996" s="462"/>
      <c r="IVY2996" s="299"/>
      <c r="IVZ2996" s="81"/>
      <c r="IWA2996" s="160"/>
      <c r="IWB2996" s="555"/>
      <c r="IWC2996" s="125"/>
      <c r="IWD2996" s="470"/>
      <c r="IWE2996" s="449"/>
      <c r="IWF2996" s="462"/>
      <c r="IWG2996" s="299"/>
      <c r="IWH2996" s="81"/>
      <c r="IWI2996" s="160"/>
      <c r="IWJ2996" s="555"/>
      <c r="IWK2996" s="125"/>
      <c r="IWL2996" s="470"/>
      <c r="IWM2996" s="449"/>
      <c r="IWN2996" s="462"/>
      <c r="IWO2996" s="299"/>
      <c r="IWP2996" s="81"/>
      <c r="IWQ2996" s="160"/>
      <c r="IWR2996" s="555"/>
      <c r="IWS2996" s="125"/>
      <c r="IWT2996" s="470"/>
      <c r="IWU2996" s="449"/>
      <c r="IWV2996" s="462"/>
      <c r="IWW2996" s="299"/>
      <c r="IWX2996" s="81"/>
      <c r="IWY2996" s="160"/>
      <c r="IWZ2996" s="555"/>
      <c r="IXA2996" s="125"/>
      <c r="IXB2996" s="470"/>
      <c r="IXC2996" s="449"/>
      <c r="IXD2996" s="462"/>
      <c r="IXE2996" s="299"/>
      <c r="IXF2996" s="81"/>
      <c r="IXG2996" s="160"/>
      <c r="IXH2996" s="555"/>
      <c r="IXI2996" s="125"/>
      <c r="IXJ2996" s="470"/>
      <c r="IXK2996" s="449"/>
      <c r="IXL2996" s="462"/>
      <c r="IXM2996" s="299"/>
      <c r="IXN2996" s="81"/>
      <c r="IXO2996" s="160"/>
      <c r="IXP2996" s="555"/>
      <c r="IXQ2996" s="125"/>
      <c r="IXR2996" s="470"/>
      <c r="IXS2996" s="449"/>
      <c r="IXT2996" s="462"/>
      <c r="IXU2996" s="299"/>
      <c r="IXV2996" s="81"/>
      <c r="IXW2996" s="160"/>
      <c r="IXX2996" s="555"/>
      <c r="IXY2996" s="125"/>
      <c r="IXZ2996" s="470"/>
      <c r="IYA2996" s="449"/>
      <c r="IYB2996" s="462"/>
      <c r="IYC2996" s="299"/>
      <c r="IYD2996" s="81"/>
      <c r="IYE2996" s="160"/>
      <c r="IYF2996" s="555"/>
      <c r="IYG2996" s="125"/>
      <c r="IYH2996" s="470"/>
      <c r="IYI2996" s="449"/>
      <c r="IYJ2996" s="462"/>
      <c r="IYK2996" s="299"/>
      <c r="IYL2996" s="81"/>
      <c r="IYM2996" s="160"/>
      <c r="IYN2996" s="555"/>
      <c r="IYO2996" s="125"/>
      <c r="IYP2996" s="470"/>
      <c r="IYQ2996" s="449"/>
      <c r="IYR2996" s="462"/>
      <c r="IYS2996" s="299"/>
      <c r="IYT2996" s="81"/>
      <c r="IYU2996" s="160"/>
      <c r="IYV2996" s="555"/>
      <c r="IYW2996" s="125"/>
      <c r="IYX2996" s="470"/>
      <c r="IYY2996" s="449"/>
      <c r="IYZ2996" s="462"/>
      <c r="IZA2996" s="299"/>
      <c r="IZB2996" s="81"/>
      <c r="IZC2996" s="160"/>
      <c r="IZD2996" s="555"/>
      <c r="IZE2996" s="125"/>
      <c r="IZF2996" s="470"/>
      <c r="IZG2996" s="449"/>
      <c r="IZH2996" s="462"/>
      <c r="IZI2996" s="299"/>
      <c r="IZJ2996" s="81"/>
      <c r="IZK2996" s="160"/>
      <c r="IZL2996" s="555"/>
      <c r="IZM2996" s="125"/>
      <c r="IZN2996" s="470"/>
      <c r="IZO2996" s="449"/>
      <c r="IZP2996" s="462"/>
      <c r="IZQ2996" s="299"/>
      <c r="IZR2996" s="81"/>
      <c r="IZS2996" s="160"/>
      <c r="IZT2996" s="555"/>
      <c r="IZU2996" s="125"/>
      <c r="IZV2996" s="470"/>
      <c r="IZW2996" s="449"/>
      <c r="IZX2996" s="462"/>
      <c r="IZY2996" s="299"/>
      <c r="IZZ2996" s="81"/>
      <c r="JAA2996" s="160"/>
      <c r="JAB2996" s="555"/>
      <c r="JAC2996" s="125"/>
      <c r="JAD2996" s="470"/>
      <c r="JAE2996" s="449"/>
      <c r="JAF2996" s="462"/>
      <c r="JAG2996" s="299"/>
      <c r="JAH2996" s="81"/>
      <c r="JAI2996" s="160"/>
      <c r="JAJ2996" s="555"/>
      <c r="JAK2996" s="125"/>
      <c r="JAL2996" s="470"/>
      <c r="JAM2996" s="449"/>
      <c r="JAN2996" s="462"/>
      <c r="JAO2996" s="299"/>
      <c r="JAP2996" s="81"/>
      <c r="JAQ2996" s="160"/>
      <c r="JAR2996" s="555"/>
      <c r="JAS2996" s="125"/>
      <c r="JAT2996" s="470"/>
      <c r="JAU2996" s="449"/>
      <c r="JAV2996" s="462"/>
      <c r="JAW2996" s="299"/>
      <c r="JAX2996" s="81"/>
      <c r="JAY2996" s="160"/>
      <c r="JAZ2996" s="555"/>
      <c r="JBA2996" s="125"/>
      <c r="JBB2996" s="470"/>
      <c r="JBC2996" s="449"/>
      <c r="JBD2996" s="462"/>
      <c r="JBE2996" s="299"/>
      <c r="JBF2996" s="81"/>
      <c r="JBG2996" s="160"/>
      <c r="JBH2996" s="555"/>
      <c r="JBI2996" s="125"/>
      <c r="JBJ2996" s="470"/>
      <c r="JBK2996" s="449"/>
      <c r="JBL2996" s="462"/>
      <c r="JBM2996" s="299"/>
      <c r="JBN2996" s="81"/>
      <c r="JBO2996" s="160"/>
      <c r="JBP2996" s="555"/>
      <c r="JBQ2996" s="125"/>
      <c r="JBR2996" s="470"/>
      <c r="JBS2996" s="449"/>
      <c r="JBT2996" s="462"/>
      <c r="JBU2996" s="299"/>
      <c r="JBV2996" s="81"/>
      <c r="JBW2996" s="160"/>
      <c r="JBX2996" s="555"/>
      <c r="JBY2996" s="125"/>
      <c r="JBZ2996" s="470"/>
      <c r="JCA2996" s="449"/>
      <c r="JCB2996" s="462"/>
      <c r="JCC2996" s="299"/>
      <c r="JCD2996" s="81"/>
      <c r="JCE2996" s="160"/>
      <c r="JCF2996" s="555"/>
      <c r="JCG2996" s="125"/>
      <c r="JCH2996" s="470"/>
      <c r="JCI2996" s="449"/>
      <c r="JCJ2996" s="462"/>
      <c r="JCK2996" s="299"/>
      <c r="JCL2996" s="81"/>
      <c r="JCM2996" s="160"/>
      <c r="JCN2996" s="555"/>
      <c r="JCO2996" s="125"/>
      <c r="JCP2996" s="470"/>
      <c r="JCQ2996" s="449"/>
      <c r="JCR2996" s="462"/>
      <c r="JCS2996" s="299"/>
      <c r="JCT2996" s="81"/>
      <c r="JCU2996" s="160"/>
      <c r="JCV2996" s="555"/>
      <c r="JCW2996" s="125"/>
      <c r="JCX2996" s="470"/>
      <c r="JCY2996" s="449"/>
      <c r="JCZ2996" s="462"/>
      <c r="JDA2996" s="299"/>
      <c r="JDB2996" s="81"/>
      <c r="JDC2996" s="160"/>
      <c r="JDD2996" s="555"/>
      <c r="JDE2996" s="125"/>
      <c r="JDF2996" s="470"/>
      <c r="JDG2996" s="449"/>
      <c r="JDH2996" s="462"/>
      <c r="JDI2996" s="299"/>
      <c r="JDJ2996" s="81"/>
      <c r="JDK2996" s="160"/>
      <c r="JDL2996" s="555"/>
      <c r="JDM2996" s="125"/>
      <c r="JDN2996" s="470"/>
      <c r="JDO2996" s="449"/>
      <c r="JDP2996" s="462"/>
      <c r="JDQ2996" s="299"/>
      <c r="JDR2996" s="81"/>
      <c r="JDS2996" s="160"/>
      <c r="JDT2996" s="555"/>
      <c r="JDU2996" s="125"/>
      <c r="JDV2996" s="470"/>
      <c r="JDW2996" s="449"/>
      <c r="JDX2996" s="462"/>
      <c r="JDY2996" s="299"/>
      <c r="JDZ2996" s="81"/>
      <c r="JEA2996" s="160"/>
      <c r="JEB2996" s="555"/>
      <c r="JEC2996" s="125"/>
      <c r="JED2996" s="470"/>
      <c r="JEE2996" s="449"/>
      <c r="JEF2996" s="462"/>
      <c r="JEG2996" s="299"/>
      <c r="JEH2996" s="81"/>
      <c r="JEI2996" s="160"/>
      <c r="JEJ2996" s="555"/>
      <c r="JEK2996" s="125"/>
      <c r="JEL2996" s="470"/>
      <c r="JEM2996" s="449"/>
      <c r="JEN2996" s="462"/>
      <c r="JEO2996" s="299"/>
      <c r="JEP2996" s="81"/>
      <c r="JEQ2996" s="160"/>
      <c r="JER2996" s="555"/>
      <c r="JES2996" s="125"/>
      <c r="JET2996" s="470"/>
      <c r="JEU2996" s="449"/>
      <c r="JEV2996" s="462"/>
      <c r="JEW2996" s="299"/>
      <c r="JEX2996" s="81"/>
      <c r="JEY2996" s="160"/>
      <c r="JEZ2996" s="555"/>
      <c r="JFA2996" s="125"/>
      <c r="JFB2996" s="470"/>
      <c r="JFC2996" s="449"/>
      <c r="JFD2996" s="462"/>
      <c r="JFE2996" s="299"/>
      <c r="JFF2996" s="81"/>
      <c r="JFG2996" s="160"/>
      <c r="JFH2996" s="555"/>
      <c r="JFI2996" s="125"/>
      <c r="JFJ2996" s="470"/>
      <c r="JFK2996" s="449"/>
      <c r="JFL2996" s="462"/>
      <c r="JFM2996" s="299"/>
      <c r="JFN2996" s="81"/>
      <c r="JFO2996" s="160"/>
      <c r="JFP2996" s="555"/>
      <c r="JFQ2996" s="125"/>
      <c r="JFR2996" s="470"/>
      <c r="JFS2996" s="449"/>
      <c r="JFT2996" s="462"/>
      <c r="JFU2996" s="299"/>
      <c r="JFV2996" s="81"/>
      <c r="JFW2996" s="160"/>
      <c r="JFX2996" s="555"/>
      <c r="JFY2996" s="125"/>
      <c r="JFZ2996" s="470"/>
      <c r="JGA2996" s="449"/>
      <c r="JGB2996" s="462"/>
      <c r="JGC2996" s="299"/>
      <c r="JGD2996" s="81"/>
      <c r="JGE2996" s="160"/>
      <c r="JGF2996" s="555"/>
      <c r="JGG2996" s="125"/>
      <c r="JGH2996" s="470"/>
      <c r="JGI2996" s="449"/>
      <c r="JGJ2996" s="462"/>
      <c r="JGK2996" s="299"/>
      <c r="JGL2996" s="81"/>
      <c r="JGM2996" s="160"/>
      <c r="JGN2996" s="555"/>
      <c r="JGO2996" s="125"/>
      <c r="JGP2996" s="470"/>
      <c r="JGQ2996" s="449"/>
      <c r="JGR2996" s="462"/>
      <c r="JGS2996" s="299"/>
      <c r="JGT2996" s="81"/>
      <c r="JGU2996" s="160"/>
      <c r="JGV2996" s="555"/>
      <c r="JGW2996" s="125"/>
      <c r="JGX2996" s="470"/>
      <c r="JGY2996" s="449"/>
      <c r="JGZ2996" s="462"/>
      <c r="JHA2996" s="299"/>
      <c r="JHB2996" s="81"/>
      <c r="JHC2996" s="160"/>
      <c r="JHD2996" s="555"/>
      <c r="JHE2996" s="125"/>
      <c r="JHF2996" s="470"/>
      <c r="JHG2996" s="449"/>
      <c r="JHH2996" s="462"/>
      <c r="JHI2996" s="299"/>
      <c r="JHJ2996" s="81"/>
      <c r="JHK2996" s="160"/>
      <c r="JHL2996" s="555"/>
      <c r="JHM2996" s="125"/>
      <c r="JHN2996" s="470"/>
      <c r="JHO2996" s="449"/>
      <c r="JHP2996" s="462"/>
      <c r="JHQ2996" s="299"/>
      <c r="JHR2996" s="81"/>
      <c r="JHS2996" s="160"/>
      <c r="JHT2996" s="555"/>
      <c r="JHU2996" s="125"/>
      <c r="JHV2996" s="470"/>
      <c r="JHW2996" s="449"/>
      <c r="JHX2996" s="462"/>
      <c r="JHY2996" s="299"/>
      <c r="JHZ2996" s="81"/>
      <c r="JIA2996" s="160"/>
      <c r="JIB2996" s="555"/>
      <c r="JIC2996" s="125"/>
      <c r="JID2996" s="470"/>
      <c r="JIE2996" s="449"/>
      <c r="JIF2996" s="462"/>
      <c r="JIG2996" s="299"/>
      <c r="JIH2996" s="81"/>
      <c r="JII2996" s="160"/>
      <c r="JIJ2996" s="555"/>
      <c r="JIK2996" s="125"/>
      <c r="JIL2996" s="470"/>
      <c r="JIM2996" s="449"/>
      <c r="JIN2996" s="462"/>
      <c r="JIO2996" s="299"/>
      <c r="JIP2996" s="81"/>
      <c r="JIQ2996" s="160"/>
      <c r="JIR2996" s="555"/>
      <c r="JIS2996" s="125"/>
      <c r="JIT2996" s="470"/>
      <c r="JIU2996" s="449"/>
      <c r="JIV2996" s="462"/>
      <c r="JIW2996" s="299"/>
      <c r="JIX2996" s="81"/>
      <c r="JIY2996" s="160"/>
      <c r="JIZ2996" s="555"/>
      <c r="JJA2996" s="125"/>
      <c r="JJB2996" s="470"/>
      <c r="JJC2996" s="449"/>
      <c r="JJD2996" s="462"/>
      <c r="JJE2996" s="299"/>
      <c r="JJF2996" s="81"/>
      <c r="JJG2996" s="160"/>
      <c r="JJH2996" s="555"/>
      <c r="JJI2996" s="125"/>
      <c r="JJJ2996" s="470"/>
      <c r="JJK2996" s="449"/>
      <c r="JJL2996" s="462"/>
      <c r="JJM2996" s="299"/>
      <c r="JJN2996" s="81"/>
      <c r="JJO2996" s="160"/>
      <c r="JJP2996" s="555"/>
      <c r="JJQ2996" s="125"/>
      <c r="JJR2996" s="470"/>
      <c r="JJS2996" s="449"/>
      <c r="JJT2996" s="462"/>
      <c r="JJU2996" s="299"/>
      <c r="JJV2996" s="81"/>
      <c r="JJW2996" s="160"/>
      <c r="JJX2996" s="555"/>
      <c r="JJY2996" s="125"/>
      <c r="JJZ2996" s="470"/>
      <c r="JKA2996" s="449"/>
      <c r="JKB2996" s="462"/>
      <c r="JKC2996" s="299"/>
      <c r="JKD2996" s="81"/>
      <c r="JKE2996" s="160"/>
      <c r="JKF2996" s="555"/>
      <c r="JKG2996" s="125"/>
      <c r="JKH2996" s="470"/>
      <c r="JKI2996" s="449"/>
      <c r="JKJ2996" s="462"/>
      <c r="JKK2996" s="299"/>
      <c r="JKL2996" s="81"/>
      <c r="JKM2996" s="160"/>
      <c r="JKN2996" s="555"/>
      <c r="JKO2996" s="125"/>
      <c r="JKP2996" s="470"/>
      <c r="JKQ2996" s="449"/>
      <c r="JKR2996" s="462"/>
      <c r="JKS2996" s="299"/>
      <c r="JKT2996" s="81"/>
      <c r="JKU2996" s="160"/>
      <c r="JKV2996" s="555"/>
      <c r="JKW2996" s="125"/>
      <c r="JKX2996" s="470"/>
      <c r="JKY2996" s="449"/>
      <c r="JKZ2996" s="462"/>
      <c r="JLA2996" s="299"/>
      <c r="JLB2996" s="81"/>
      <c r="JLC2996" s="160"/>
      <c r="JLD2996" s="555"/>
      <c r="JLE2996" s="125"/>
      <c r="JLF2996" s="470"/>
      <c r="JLG2996" s="449"/>
      <c r="JLH2996" s="462"/>
      <c r="JLI2996" s="299"/>
      <c r="JLJ2996" s="81"/>
      <c r="JLK2996" s="160"/>
      <c r="JLL2996" s="555"/>
      <c r="JLM2996" s="125"/>
      <c r="JLN2996" s="470"/>
      <c r="JLO2996" s="449"/>
      <c r="JLP2996" s="462"/>
      <c r="JLQ2996" s="299"/>
      <c r="JLR2996" s="81"/>
      <c r="JLS2996" s="160"/>
      <c r="JLT2996" s="555"/>
      <c r="JLU2996" s="125"/>
      <c r="JLV2996" s="470"/>
      <c r="JLW2996" s="449"/>
      <c r="JLX2996" s="462"/>
      <c r="JLY2996" s="299"/>
      <c r="JLZ2996" s="81"/>
      <c r="JMA2996" s="160"/>
      <c r="JMB2996" s="555"/>
      <c r="JMC2996" s="125"/>
      <c r="JMD2996" s="470"/>
      <c r="JME2996" s="449"/>
      <c r="JMF2996" s="462"/>
      <c r="JMG2996" s="299"/>
      <c r="JMH2996" s="81"/>
      <c r="JMI2996" s="160"/>
      <c r="JMJ2996" s="555"/>
      <c r="JMK2996" s="125"/>
      <c r="JML2996" s="470"/>
      <c r="JMM2996" s="449"/>
      <c r="JMN2996" s="462"/>
      <c r="JMO2996" s="299"/>
      <c r="JMP2996" s="81"/>
      <c r="JMQ2996" s="160"/>
      <c r="JMR2996" s="555"/>
      <c r="JMS2996" s="125"/>
      <c r="JMT2996" s="470"/>
      <c r="JMU2996" s="449"/>
      <c r="JMV2996" s="462"/>
      <c r="JMW2996" s="299"/>
      <c r="JMX2996" s="81"/>
      <c r="JMY2996" s="160"/>
      <c r="JMZ2996" s="555"/>
      <c r="JNA2996" s="125"/>
      <c r="JNB2996" s="470"/>
      <c r="JNC2996" s="449"/>
      <c r="JND2996" s="462"/>
      <c r="JNE2996" s="299"/>
      <c r="JNF2996" s="81"/>
      <c r="JNG2996" s="160"/>
      <c r="JNH2996" s="555"/>
      <c r="JNI2996" s="125"/>
      <c r="JNJ2996" s="470"/>
      <c r="JNK2996" s="449"/>
      <c r="JNL2996" s="462"/>
      <c r="JNM2996" s="299"/>
      <c r="JNN2996" s="81"/>
      <c r="JNO2996" s="160"/>
      <c r="JNP2996" s="555"/>
      <c r="JNQ2996" s="125"/>
      <c r="JNR2996" s="470"/>
      <c r="JNS2996" s="449"/>
      <c r="JNT2996" s="462"/>
      <c r="JNU2996" s="299"/>
      <c r="JNV2996" s="81"/>
      <c r="JNW2996" s="160"/>
      <c r="JNX2996" s="555"/>
      <c r="JNY2996" s="125"/>
      <c r="JNZ2996" s="470"/>
      <c r="JOA2996" s="449"/>
      <c r="JOB2996" s="462"/>
      <c r="JOC2996" s="299"/>
      <c r="JOD2996" s="81"/>
      <c r="JOE2996" s="160"/>
      <c r="JOF2996" s="555"/>
      <c r="JOG2996" s="125"/>
      <c r="JOH2996" s="470"/>
      <c r="JOI2996" s="449"/>
      <c r="JOJ2996" s="462"/>
      <c r="JOK2996" s="299"/>
      <c r="JOL2996" s="81"/>
      <c r="JOM2996" s="160"/>
      <c r="JON2996" s="555"/>
      <c r="JOO2996" s="125"/>
      <c r="JOP2996" s="470"/>
      <c r="JOQ2996" s="449"/>
      <c r="JOR2996" s="462"/>
      <c r="JOS2996" s="299"/>
      <c r="JOT2996" s="81"/>
      <c r="JOU2996" s="160"/>
      <c r="JOV2996" s="555"/>
      <c r="JOW2996" s="125"/>
      <c r="JOX2996" s="470"/>
      <c r="JOY2996" s="449"/>
      <c r="JOZ2996" s="462"/>
      <c r="JPA2996" s="299"/>
      <c r="JPB2996" s="81"/>
      <c r="JPC2996" s="160"/>
      <c r="JPD2996" s="555"/>
      <c r="JPE2996" s="125"/>
      <c r="JPF2996" s="470"/>
      <c r="JPG2996" s="449"/>
      <c r="JPH2996" s="462"/>
      <c r="JPI2996" s="299"/>
      <c r="JPJ2996" s="81"/>
      <c r="JPK2996" s="160"/>
      <c r="JPL2996" s="555"/>
      <c r="JPM2996" s="125"/>
      <c r="JPN2996" s="470"/>
      <c r="JPO2996" s="449"/>
      <c r="JPP2996" s="462"/>
      <c r="JPQ2996" s="299"/>
      <c r="JPR2996" s="81"/>
      <c r="JPS2996" s="160"/>
      <c r="JPT2996" s="555"/>
      <c r="JPU2996" s="125"/>
      <c r="JPV2996" s="470"/>
      <c r="JPW2996" s="449"/>
      <c r="JPX2996" s="462"/>
      <c r="JPY2996" s="299"/>
      <c r="JPZ2996" s="81"/>
      <c r="JQA2996" s="160"/>
      <c r="JQB2996" s="555"/>
      <c r="JQC2996" s="125"/>
      <c r="JQD2996" s="470"/>
      <c r="JQE2996" s="449"/>
      <c r="JQF2996" s="462"/>
      <c r="JQG2996" s="299"/>
      <c r="JQH2996" s="81"/>
      <c r="JQI2996" s="160"/>
      <c r="JQJ2996" s="555"/>
      <c r="JQK2996" s="125"/>
      <c r="JQL2996" s="470"/>
      <c r="JQM2996" s="449"/>
      <c r="JQN2996" s="462"/>
      <c r="JQO2996" s="299"/>
      <c r="JQP2996" s="81"/>
      <c r="JQQ2996" s="160"/>
      <c r="JQR2996" s="555"/>
      <c r="JQS2996" s="125"/>
      <c r="JQT2996" s="470"/>
      <c r="JQU2996" s="449"/>
      <c r="JQV2996" s="462"/>
      <c r="JQW2996" s="299"/>
      <c r="JQX2996" s="81"/>
      <c r="JQY2996" s="160"/>
      <c r="JQZ2996" s="555"/>
      <c r="JRA2996" s="125"/>
      <c r="JRB2996" s="470"/>
      <c r="JRC2996" s="449"/>
      <c r="JRD2996" s="462"/>
      <c r="JRE2996" s="299"/>
      <c r="JRF2996" s="81"/>
      <c r="JRG2996" s="160"/>
      <c r="JRH2996" s="555"/>
      <c r="JRI2996" s="125"/>
      <c r="JRJ2996" s="470"/>
      <c r="JRK2996" s="449"/>
      <c r="JRL2996" s="462"/>
      <c r="JRM2996" s="299"/>
      <c r="JRN2996" s="81"/>
      <c r="JRO2996" s="160"/>
      <c r="JRP2996" s="555"/>
      <c r="JRQ2996" s="125"/>
      <c r="JRR2996" s="470"/>
      <c r="JRS2996" s="449"/>
      <c r="JRT2996" s="462"/>
      <c r="JRU2996" s="299"/>
      <c r="JRV2996" s="81"/>
      <c r="JRW2996" s="160"/>
      <c r="JRX2996" s="555"/>
      <c r="JRY2996" s="125"/>
      <c r="JRZ2996" s="470"/>
      <c r="JSA2996" s="449"/>
      <c r="JSB2996" s="462"/>
      <c r="JSC2996" s="299"/>
      <c r="JSD2996" s="81"/>
      <c r="JSE2996" s="160"/>
      <c r="JSF2996" s="555"/>
      <c r="JSG2996" s="125"/>
      <c r="JSH2996" s="470"/>
      <c r="JSI2996" s="449"/>
      <c r="JSJ2996" s="462"/>
      <c r="JSK2996" s="299"/>
      <c r="JSL2996" s="81"/>
      <c r="JSM2996" s="160"/>
      <c r="JSN2996" s="555"/>
      <c r="JSO2996" s="125"/>
      <c r="JSP2996" s="470"/>
      <c r="JSQ2996" s="449"/>
      <c r="JSR2996" s="462"/>
      <c r="JSS2996" s="299"/>
      <c r="JST2996" s="81"/>
      <c r="JSU2996" s="160"/>
      <c r="JSV2996" s="555"/>
      <c r="JSW2996" s="125"/>
      <c r="JSX2996" s="470"/>
      <c r="JSY2996" s="449"/>
      <c r="JSZ2996" s="462"/>
      <c r="JTA2996" s="299"/>
      <c r="JTB2996" s="81"/>
      <c r="JTC2996" s="160"/>
      <c r="JTD2996" s="555"/>
      <c r="JTE2996" s="125"/>
      <c r="JTF2996" s="470"/>
      <c r="JTG2996" s="449"/>
      <c r="JTH2996" s="462"/>
      <c r="JTI2996" s="299"/>
      <c r="JTJ2996" s="81"/>
      <c r="JTK2996" s="160"/>
      <c r="JTL2996" s="555"/>
      <c r="JTM2996" s="125"/>
      <c r="JTN2996" s="470"/>
      <c r="JTO2996" s="449"/>
      <c r="JTP2996" s="462"/>
      <c r="JTQ2996" s="299"/>
      <c r="JTR2996" s="81"/>
      <c r="JTS2996" s="160"/>
      <c r="JTT2996" s="555"/>
      <c r="JTU2996" s="125"/>
      <c r="JTV2996" s="470"/>
      <c r="JTW2996" s="449"/>
      <c r="JTX2996" s="462"/>
      <c r="JTY2996" s="299"/>
      <c r="JTZ2996" s="81"/>
      <c r="JUA2996" s="160"/>
      <c r="JUB2996" s="555"/>
      <c r="JUC2996" s="125"/>
      <c r="JUD2996" s="470"/>
      <c r="JUE2996" s="449"/>
      <c r="JUF2996" s="462"/>
      <c r="JUG2996" s="299"/>
      <c r="JUH2996" s="81"/>
      <c r="JUI2996" s="160"/>
      <c r="JUJ2996" s="555"/>
      <c r="JUK2996" s="125"/>
      <c r="JUL2996" s="470"/>
      <c r="JUM2996" s="449"/>
      <c r="JUN2996" s="462"/>
      <c r="JUO2996" s="299"/>
      <c r="JUP2996" s="81"/>
      <c r="JUQ2996" s="160"/>
      <c r="JUR2996" s="555"/>
      <c r="JUS2996" s="125"/>
      <c r="JUT2996" s="470"/>
      <c r="JUU2996" s="449"/>
      <c r="JUV2996" s="462"/>
      <c r="JUW2996" s="299"/>
      <c r="JUX2996" s="81"/>
      <c r="JUY2996" s="160"/>
      <c r="JUZ2996" s="555"/>
      <c r="JVA2996" s="125"/>
      <c r="JVB2996" s="470"/>
      <c r="JVC2996" s="449"/>
      <c r="JVD2996" s="462"/>
      <c r="JVE2996" s="299"/>
      <c r="JVF2996" s="81"/>
      <c r="JVG2996" s="160"/>
      <c r="JVH2996" s="555"/>
      <c r="JVI2996" s="125"/>
      <c r="JVJ2996" s="470"/>
      <c r="JVK2996" s="449"/>
      <c r="JVL2996" s="462"/>
      <c r="JVM2996" s="299"/>
      <c r="JVN2996" s="81"/>
      <c r="JVO2996" s="160"/>
      <c r="JVP2996" s="555"/>
      <c r="JVQ2996" s="125"/>
      <c r="JVR2996" s="470"/>
      <c r="JVS2996" s="449"/>
      <c r="JVT2996" s="462"/>
      <c r="JVU2996" s="299"/>
      <c r="JVV2996" s="81"/>
      <c r="JVW2996" s="160"/>
      <c r="JVX2996" s="555"/>
      <c r="JVY2996" s="125"/>
      <c r="JVZ2996" s="470"/>
      <c r="JWA2996" s="449"/>
      <c r="JWB2996" s="462"/>
      <c r="JWC2996" s="299"/>
      <c r="JWD2996" s="81"/>
      <c r="JWE2996" s="160"/>
      <c r="JWF2996" s="555"/>
      <c r="JWG2996" s="125"/>
      <c r="JWH2996" s="470"/>
      <c r="JWI2996" s="449"/>
      <c r="JWJ2996" s="462"/>
      <c r="JWK2996" s="299"/>
      <c r="JWL2996" s="81"/>
      <c r="JWM2996" s="160"/>
      <c r="JWN2996" s="555"/>
      <c r="JWO2996" s="125"/>
      <c r="JWP2996" s="470"/>
      <c r="JWQ2996" s="449"/>
      <c r="JWR2996" s="462"/>
      <c r="JWS2996" s="299"/>
      <c r="JWT2996" s="81"/>
      <c r="JWU2996" s="160"/>
      <c r="JWV2996" s="555"/>
      <c r="JWW2996" s="125"/>
      <c r="JWX2996" s="470"/>
      <c r="JWY2996" s="449"/>
      <c r="JWZ2996" s="462"/>
      <c r="JXA2996" s="299"/>
      <c r="JXB2996" s="81"/>
      <c r="JXC2996" s="160"/>
      <c r="JXD2996" s="555"/>
      <c r="JXE2996" s="125"/>
      <c r="JXF2996" s="470"/>
      <c r="JXG2996" s="449"/>
      <c r="JXH2996" s="462"/>
      <c r="JXI2996" s="299"/>
      <c r="JXJ2996" s="81"/>
      <c r="JXK2996" s="160"/>
      <c r="JXL2996" s="555"/>
      <c r="JXM2996" s="125"/>
      <c r="JXN2996" s="470"/>
      <c r="JXO2996" s="449"/>
      <c r="JXP2996" s="462"/>
      <c r="JXQ2996" s="299"/>
      <c r="JXR2996" s="81"/>
      <c r="JXS2996" s="160"/>
      <c r="JXT2996" s="555"/>
      <c r="JXU2996" s="125"/>
      <c r="JXV2996" s="470"/>
      <c r="JXW2996" s="449"/>
      <c r="JXX2996" s="462"/>
      <c r="JXY2996" s="299"/>
      <c r="JXZ2996" s="81"/>
      <c r="JYA2996" s="160"/>
      <c r="JYB2996" s="555"/>
      <c r="JYC2996" s="125"/>
      <c r="JYD2996" s="470"/>
      <c r="JYE2996" s="449"/>
      <c r="JYF2996" s="462"/>
      <c r="JYG2996" s="299"/>
      <c r="JYH2996" s="81"/>
      <c r="JYI2996" s="160"/>
      <c r="JYJ2996" s="555"/>
      <c r="JYK2996" s="125"/>
      <c r="JYL2996" s="470"/>
      <c r="JYM2996" s="449"/>
      <c r="JYN2996" s="462"/>
      <c r="JYO2996" s="299"/>
      <c r="JYP2996" s="81"/>
      <c r="JYQ2996" s="160"/>
      <c r="JYR2996" s="555"/>
      <c r="JYS2996" s="125"/>
      <c r="JYT2996" s="470"/>
      <c r="JYU2996" s="449"/>
      <c r="JYV2996" s="462"/>
      <c r="JYW2996" s="299"/>
      <c r="JYX2996" s="81"/>
      <c r="JYY2996" s="160"/>
      <c r="JYZ2996" s="555"/>
      <c r="JZA2996" s="125"/>
      <c r="JZB2996" s="470"/>
      <c r="JZC2996" s="449"/>
      <c r="JZD2996" s="462"/>
      <c r="JZE2996" s="299"/>
      <c r="JZF2996" s="81"/>
      <c r="JZG2996" s="160"/>
      <c r="JZH2996" s="555"/>
      <c r="JZI2996" s="125"/>
      <c r="JZJ2996" s="470"/>
      <c r="JZK2996" s="449"/>
      <c r="JZL2996" s="462"/>
      <c r="JZM2996" s="299"/>
      <c r="JZN2996" s="81"/>
      <c r="JZO2996" s="160"/>
      <c r="JZP2996" s="555"/>
      <c r="JZQ2996" s="125"/>
      <c r="JZR2996" s="470"/>
      <c r="JZS2996" s="449"/>
      <c r="JZT2996" s="462"/>
      <c r="JZU2996" s="299"/>
      <c r="JZV2996" s="81"/>
      <c r="JZW2996" s="160"/>
      <c r="JZX2996" s="555"/>
      <c r="JZY2996" s="125"/>
      <c r="JZZ2996" s="470"/>
      <c r="KAA2996" s="449"/>
      <c r="KAB2996" s="462"/>
      <c r="KAC2996" s="299"/>
      <c r="KAD2996" s="81"/>
      <c r="KAE2996" s="160"/>
      <c r="KAF2996" s="555"/>
      <c r="KAG2996" s="125"/>
      <c r="KAH2996" s="470"/>
      <c r="KAI2996" s="449"/>
      <c r="KAJ2996" s="462"/>
      <c r="KAK2996" s="299"/>
      <c r="KAL2996" s="81"/>
      <c r="KAM2996" s="160"/>
      <c r="KAN2996" s="555"/>
      <c r="KAO2996" s="125"/>
      <c r="KAP2996" s="470"/>
      <c r="KAQ2996" s="449"/>
      <c r="KAR2996" s="462"/>
      <c r="KAS2996" s="299"/>
      <c r="KAT2996" s="81"/>
      <c r="KAU2996" s="160"/>
      <c r="KAV2996" s="555"/>
      <c r="KAW2996" s="125"/>
      <c r="KAX2996" s="470"/>
      <c r="KAY2996" s="449"/>
      <c r="KAZ2996" s="462"/>
      <c r="KBA2996" s="299"/>
      <c r="KBB2996" s="81"/>
      <c r="KBC2996" s="160"/>
      <c r="KBD2996" s="555"/>
      <c r="KBE2996" s="125"/>
      <c r="KBF2996" s="470"/>
      <c r="KBG2996" s="449"/>
      <c r="KBH2996" s="462"/>
      <c r="KBI2996" s="299"/>
      <c r="KBJ2996" s="81"/>
      <c r="KBK2996" s="160"/>
      <c r="KBL2996" s="555"/>
      <c r="KBM2996" s="125"/>
      <c r="KBN2996" s="470"/>
      <c r="KBO2996" s="449"/>
      <c r="KBP2996" s="462"/>
      <c r="KBQ2996" s="299"/>
      <c r="KBR2996" s="81"/>
      <c r="KBS2996" s="160"/>
      <c r="KBT2996" s="555"/>
      <c r="KBU2996" s="125"/>
      <c r="KBV2996" s="470"/>
      <c r="KBW2996" s="449"/>
      <c r="KBX2996" s="462"/>
      <c r="KBY2996" s="299"/>
      <c r="KBZ2996" s="81"/>
      <c r="KCA2996" s="160"/>
      <c r="KCB2996" s="555"/>
      <c r="KCC2996" s="125"/>
      <c r="KCD2996" s="470"/>
      <c r="KCE2996" s="449"/>
      <c r="KCF2996" s="462"/>
      <c r="KCG2996" s="299"/>
      <c r="KCH2996" s="81"/>
      <c r="KCI2996" s="160"/>
      <c r="KCJ2996" s="555"/>
      <c r="KCK2996" s="125"/>
      <c r="KCL2996" s="470"/>
      <c r="KCM2996" s="449"/>
      <c r="KCN2996" s="462"/>
      <c r="KCO2996" s="299"/>
      <c r="KCP2996" s="81"/>
      <c r="KCQ2996" s="160"/>
      <c r="KCR2996" s="555"/>
      <c r="KCS2996" s="125"/>
      <c r="KCT2996" s="470"/>
      <c r="KCU2996" s="449"/>
      <c r="KCV2996" s="462"/>
      <c r="KCW2996" s="299"/>
      <c r="KCX2996" s="81"/>
      <c r="KCY2996" s="160"/>
      <c r="KCZ2996" s="555"/>
      <c r="KDA2996" s="125"/>
      <c r="KDB2996" s="470"/>
      <c r="KDC2996" s="449"/>
      <c r="KDD2996" s="462"/>
      <c r="KDE2996" s="299"/>
      <c r="KDF2996" s="81"/>
      <c r="KDG2996" s="160"/>
      <c r="KDH2996" s="555"/>
      <c r="KDI2996" s="125"/>
      <c r="KDJ2996" s="470"/>
      <c r="KDK2996" s="449"/>
      <c r="KDL2996" s="462"/>
      <c r="KDM2996" s="299"/>
      <c r="KDN2996" s="81"/>
      <c r="KDO2996" s="160"/>
      <c r="KDP2996" s="555"/>
      <c r="KDQ2996" s="125"/>
      <c r="KDR2996" s="470"/>
      <c r="KDS2996" s="449"/>
      <c r="KDT2996" s="462"/>
      <c r="KDU2996" s="299"/>
      <c r="KDV2996" s="81"/>
      <c r="KDW2996" s="160"/>
      <c r="KDX2996" s="555"/>
      <c r="KDY2996" s="125"/>
      <c r="KDZ2996" s="470"/>
      <c r="KEA2996" s="449"/>
      <c r="KEB2996" s="462"/>
      <c r="KEC2996" s="299"/>
      <c r="KED2996" s="81"/>
      <c r="KEE2996" s="160"/>
      <c r="KEF2996" s="555"/>
      <c r="KEG2996" s="125"/>
      <c r="KEH2996" s="470"/>
      <c r="KEI2996" s="449"/>
      <c r="KEJ2996" s="462"/>
      <c r="KEK2996" s="299"/>
      <c r="KEL2996" s="81"/>
      <c r="KEM2996" s="160"/>
      <c r="KEN2996" s="555"/>
      <c r="KEO2996" s="125"/>
      <c r="KEP2996" s="470"/>
      <c r="KEQ2996" s="449"/>
      <c r="KER2996" s="462"/>
      <c r="KES2996" s="299"/>
      <c r="KET2996" s="81"/>
      <c r="KEU2996" s="160"/>
      <c r="KEV2996" s="555"/>
      <c r="KEW2996" s="125"/>
      <c r="KEX2996" s="470"/>
      <c r="KEY2996" s="449"/>
      <c r="KEZ2996" s="462"/>
      <c r="KFA2996" s="299"/>
      <c r="KFB2996" s="81"/>
      <c r="KFC2996" s="160"/>
      <c r="KFD2996" s="555"/>
      <c r="KFE2996" s="125"/>
      <c r="KFF2996" s="470"/>
      <c r="KFG2996" s="449"/>
      <c r="KFH2996" s="462"/>
      <c r="KFI2996" s="299"/>
      <c r="KFJ2996" s="81"/>
      <c r="KFK2996" s="160"/>
      <c r="KFL2996" s="555"/>
      <c r="KFM2996" s="125"/>
      <c r="KFN2996" s="470"/>
      <c r="KFO2996" s="449"/>
      <c r="KFP2996" s="462"/>
      <c r="KFQ2996" s="299"/>
      <c r="KFR2996" s="81"/>
      <c r="KFS2996" s="160"/>
      <c r="KFT2996" s="555"/>
      <c r="KFU2996" s="125"/>
      <c r="KFV2996" s="470"/>
      <c r="KFW2996" s="449"/>
      <c r="KFX2996" s="462"/>
      <c r="KFY2996" s="299"/>
      <c r="KFZ2996" s="81"/>
      <c r="KGA2996" s="160"/>
      <c r="KGB2996" s="555"/>
      <c r="KGC2996" s="125"/>
      <c r="KGD2996" s="470"/>
      <c r="KGE2996" s="449"/>
      <c r="KGF2996" s="462"/>
      <c r="KGG2996" s="299"/>
      <c r="KGH2996" s="81"/>
      <c r="KGI2996" s="160"/>
      <c r="KGJ2996" s="555"/>
      <c r="KGK2996" s="125"/>
      <c r="KGL2996" s="470"/>
      <c r="KGM2996" s="449"/>
      <c r="KGN2996" s="462"/>
      <c r="KGO2996" s="299"/>
      <c r="KGP2996" s="81"/>
      <c r="KGQ2996" s="160"/>
      <c r="KGR2996" s="555"/>
      <c r="KGS2996" s="125"/>
      <c r="KGT2996" s="470"/>
      <c r="KGU2996" s="449"/>
      <c r="KGV2996" s="462"/>
      <c r="KGW2996" s="299"/>
      <c r="KGX2996" s="81"/>
      <c r="KGY2996" s="160"/>
      <c r="KGZ2996" s="555"/>
      <c r="KHA2996" s="125"/>
      <c r="KHB2996" s="470"/>
      <c r="KHC2996" s="449"/>
      <c r="KHD2996" s="462"/>
      <c r="KHE2996" s="299"/>
      <c r="KHF2996" s="81"/>
      <c r="KHG2996" s="160"/>
      <c r="KHH2996" s="555"/>
      <c r="KHI2996" s="125"/>
      <c r="KHJ2996" s="470"/>
      <c r="KHK2996" s="449"/>
      <c r="KHL2996" s="462"/>
      <c r="KHM2996" s="299"/>
      <c r="KHN2996" s="81"/>
      <c r="KHO2996" s="160"/>
      <c r="KHP2996" s="555"/>
      <c r="KHQ2996" s="125"/>
      <c r="KHR2996" s="470"/>
      <c r="KHS2996" s="449"/>
      <c r="KHT2996" s="462"/>
      <c r="KHU2996" s="299"/>
      <c r="KHV2996" s="81"/>
      <c r="KHW2996" s="160"/>
      <c r="KHX2996" s="555"/>
      <c r="KHY2996" s="125"/>
      <c r="KHZ2996" s="470"/>
      <c r="KIA2996" s="449"/>
      <c r="KIB2996" s="462"/>
      <c r="KIC2996" s="299"/>
      <c r="KID2996" s="81"/>
      <c r="KIE2996" s="160"/>
      <c r="KIF2996" s="555"/>
      <c r="KIG2996" s="125"/>
      <c r="KIH2996" s="470"/>
      <c r="KII2996" s="449"/>
      <c r="KIJ2996" s="462"/>
      <c r="KIK2996" s="299"/>
      <c r="KIL2996" s="81"/>
      <c r="KIM2996" s="160"/>
      <c r="KIN2996" s="555"/>
      <c r="KIO2996" s="125"/>
      <c r="KIP2996" s="470"/>
      <c r="KIQ2996" s="449"/>
      <c r="KIR2996" s="462"/>
      <c r="KIS2996" s="299"/>
      <c r="KIT2996" s="81"/>
      <c r="KIU2996" s="160"/>
      <c r="KIV2996" s="555"/>
      <c r="KIW2996" s="125"/>
      <c r="KIX2996" s="470"/>
      <c r="KIY2996" s="449"/>
      <c r="KIZ2996" s="462"/>
      <c r="KJA2996" s="299"/>
      <c r="KJB2996" s="81"/>
      <c r="KJC2996" s="160"/>
      <c r="KJD2996" s="555"/>
      <c r="KJE2996" s="125"/>
      <c r="KJF2996" s="470"/>
      <c r="KJG2996" s="449"/>
      <c r="KJH2996" s="462"/>
      <c r="KJI2996" s="299"/>
      <c r="KJJ2996" s="81"/>
      <c r="KJK2996" s="160"/>
      <c r="KJL2996" s="555"/>
      <c r="KJM2996" s="125"/>
      <c r="KJN2996" s="470"/>
      <c r="KJO2996" s="449"/>
      <c r="KJP2996" s="462"/>
      <c r="KJQ2996" s="299"/>
      <c r="KJR2996" s="81"/>
      <c r="KJS2996" s="160"/>
      <c r="KJT2996" s="555"/>
      <c r="KJU2996" s="125"/>
      <c r="KJV2996" s="470"/>
      <c r="KJW2996" s="449"/>
      <c r="KJX2996" s="462"/>
      <c r="KJY2996" s="299"/>
      <c r="KJZ2996" s="81"/>
      <c r="KKA2996" s="160"/>
      <c r="KKB2996" s="555"/>
      <c r="KKC2996" s="125"/>
      <c r="KKD2996" s="470"/>
      <c r="KKE2996" s="449"/>
      <c r="KKF2996" s="462"/>
      <c r="KKG2996" s="299"/>
      <c r="KKH2996" s="81"/>
      <c r="KKI2996" s="160"/>
      <c r="KKJ2996" s="555"/>
      <c r="KKK2996" s="125"/>
      <c r="KKL2996" s="470"/>
      <c r="KKM2996" s="449"/>
      <c r="KKN2996" s="462"/>
      <c r="KKO2996" s="299"/>
      <c r="KKP2996" s="81"/>
      <c r="KKQ2996" s="160"/>
      <c r="KKR2996" s="555"/>
      <c r="KKS2996" s="125"/>
      <c r="KKT2996" s="470"/>
      <c r="KKU2996" s="449"/>
      <c r="KKV2996" s="462"/>
      <c r="KKW2996" s="299"/>
      <c r="KKX2996" s="81"/>
      <c r="KKY2996" s="160"/>
      <c r="KKZ2996" s="555"/>
      <c r="KLA2996" s="125"/>
      <c r="KLB2996" s="470"/>
      <c r="KLC2996" s="449"/>
      <c r="KLD2996" s="462"/>
      <c r="KLE2996" s="299"/>
      <c r="KLF2996" s="81"/>
      <c r="KLG2996" s="160"/>
      <c r="KLH2996" s="555"/>
      <c r="KLI2996" s="125"/>
      <c r="KLJ2996" s="470"/>
      <c r="KLK2996" s="449"/>
      <c r="KLL2996" s="462"/>
      <c r="KLM2996" s="299"/>
      <c r="KLN2996" s="81"/>
      <c r="KLO2996" s="160"/>
      <c r="KLP2996" s="555"/>
      <c r="KLQ2996" s="125"/>
      <c r="KLR2996" s="470"/>
      <c r="KLS2996" s="449"/>
      <c r="KLT2996" s="462"/>
      <c r="KLU2996" s="299"/>
      <c r="KLV2996" s="81"/>
      <c r="KLW2996" s="160"/>
      <c r="KLX2996" s="555"/>
      <c r="KLY2996" s="125"/>
      <c r="KLZ2996" s="470"/>
      <c r="KMA2996" s="449"/>
      <c r="KMB2996" s="462"/>
      <c r="KMC2996" s="299"/>
      <c r="KMD2996" s="81"/>
      <c r="KME2996" s="160"/>
      <c r="KMF2996" s="555"/>
      <c r="KMG2996" s="125"/>
      <c r="KMH2996" s="470"/>
      <c r="KMI2996" s="449"/>
      <c r="KMJ2996" s="462"/>
      <c r="KMK2996" s="299"/>
      <c r="KML2996" s="81"/>
      <c r="KMM2996" s="160"/>
      <c r="KMN2996" s="555"/>
      <c r="KMO2996" s="125"/>
      <c r="KMP2996" s="470"/>
      <c r="KMQ2996" s="449"/>
      <c r="KMR2996" s="462"/>
      <c r="KMS2996" s="299"/>
      <c r="KMT2996" s="81"/>
      <c r="KMU2996" s="160"/>
      <c r="KMV2996" s="555"/>
      <c r="KMW2996" s="125"/>
      <c r="KMX2996" s="470"/>
      <c r="KMY2996" s="449"/>
      <c r="KMZ2996" s="462"/>
      <c r="KNA2996" s="299"/>
      <c r="KNB2996" s="81"/>
      <c r="KNC2996" s="160"/>
      <c r="KND2996" s="555"/>
      <c r="KNE2996" s="125"/>
      <c r="KNF2996" s="470"/>
      <c r="KNG2996" s="449"/>
      <c r="KNH2996" s="462"/>
      <c r="KNI2996" s="299"/>
      <c r="KNJ2996" s="81"/>
      <c r="KNK2996" s="160"/>
      <c r="KNL2996" s="555"/>
      <c r="KNM2996" s="125"/>
      <c r="KNN2996" s="470"/>
      <c r="KNO2996" s="449"/>
      <c r="KNP2996" s="462"/>
      <c r="KNQ2996" s="299"/>
      <c r="KNR2996" s="81"/>
      <c r="KNS2996" s="160"/>
      <c r="KNT2996" s="555"/>
      <c r="KNU2996" s="125"/>
      <c r="KNV2996" s="470"/>
      <c r="KNW2996" s="449"/>
      <c r="KNX2996" s="462"/>
      <c r="KNY2996" s="299"/>
      <c r="KNZ2996" s="81"/>
      <c r="KOA2996" s="160"/>
      <c r="KOB2996" s="555"/>
      <c r="KOC2996" s="125"/>
      <c r="KOD2996" s="470"/>
      <c r="KOE2996" s="449"/>
      <c r="KOF2996" s="462"/>
      <c r="KOG2996" s="299"/>
      <c r="KOH2996" s="81"/>
      <c r="KOI2996" s="160"/>
      <c r="KOJ2996" s="555"/>
      <c r="KOK2996" s="125"/>
      <c r="KOL2996" s="470"/>
      <c r="KOM2996" s="449"/>
      <c r="KON2996" s="462"/>
      <c r="KOO2996" s="299"/>
      <c r="KOP2996" s="81"/>
      <c r="KOQ2996" s="160"/>
      <c r="KOR2996" s="555"/>
      <c r="KOS2996" s="125"/>
      <c r="KOT2996" s="470"/>
      <c r="KOU2996" s="449"/>
      <c r="KOV2996" s="462"/>
      <c r="KOW2996" s="299"/>
      <c r="KOX2996" s="81"/>
      <c r="KOY2996" s="160"/>
      <c r="KOZ2996" s="555"/>
      <c r="KPA2996" s="125"/>
      <c r="KPB2996" s="470"/>
      <c r="KPC2996" s="449"/>
      <c r="KPD2996" s="462"/>
      <c r="KPE2996" s="299"/>
      <c r="KPF2996" s="81"/>
      <c r="KPG2996" s="160"/>
      <c r="KPH2996" s="555"/>
      <c r="KPI2996" s="125"/>
      <c r="KPJ2996" s="470"/>
      <c r="KPK2996" s="449"/>
      <c r="KPL2996" s="462"/>
      <c r="KPM2996" s="299"/>
      <c r="KPN2996" s="81"/>
      <c r="KPO2996" s="160"/>
      <c r="KPP2996" s="555"/>
      <c r="KPQ2996" s="125"/>
      <c r="KPR2996" s="470"/>
      <c r="KPS2996" s="449"/>
      <c r="KPT2996" s="462"/>
      <c r="KPU2996" s="299"/>
      <c r="KPV2996" s="81"/>
      <c r="KPW2996" s="160"/>
      <c r="KPX2996" s="555"/>
      <c r="KPY2996" s="125"/>
      <c r="KPZ2996" s="470"/>
      <c r="KQA2996" s="449"/>
      <c r="KQB2996" s="462"/>
      <c r="KQC2996" s="299"/>
      <c r="KQD2996" s="81"/>
      <c r="KQE2996" s="160"/>
      <c r="KQF2996" s="555"/>
      <c r="KQG2996" s="125"/>
      <c r="KQH2996" s="470"/>
      <c r="KQI2996" s="449"/>
      <c r="KQJ2996" s="462"/>
      <c r="KQK2996" s="299"/>
      <c r="KQL2996" s="81"/>
      <c r="KQM2996" s="160"/>
      <c r="KQN2996" s="555"/>
      <c r="KQO2996" s="125"/>
      <c r="KQP2996" s="470"/>
      <c r="KQQ2996" s="449"/>
      <c r="KQR2996" s="462"/>
      <c r="KQS2996" s="299"/>
      <c r="KQT2996" s="81"/>
      <c r="KQU2996" s="160"/>
      <c r="KQV2996" s="555"/>
      <c r="KQW2996" s="125"/>
      <c r="KQX2996" s="470"/>
      <c r="KQY2996" s="449"/>
      <c r="KQZ2996" s="462"/>
      <c r="KRA2996" s="299"/>
      <c r="KRB2996" s="81"/>
      <c r="KRC2996" s="160"/>
      <c r="KRD2996" s="555"/>
      <c r="KRE2996" s="125"/>
      <c r="KRF2996" s="470"/>
      <c r="KRG2996" s="449"/>
      <c r="KRH2996" s="462"/>
      <c r="KRI2996" s="299"/>
      <c r="KRJ2996" s="81"/>
      <c r="KRK2996" s="160"/>
      <c r="KRL2996" s="555"/>
      <c r="KRM2996" s="125"/>
      <c r="KRN2996" s="470"/>
      <c r="KRO2996" s="449"/>
      <c r="KRP2996" s="462"/>
      <c r="KRQ2996" s="299"/>
      <c r="KRR2996" s="81"/>
      <c r="KRS2996" s="160"/>
      <c r="KRT2996" s="555"/>
      <c r="KRU2996" s="125"/>
      <c r="KRV2996" s="470"/>
      <c r="KRW2996" s="449"/>
      <c r="KRX2996" s="462"/>
      <c r="KRY2996" s="299"/>
      <c r="KRZ2996" s="81"/>
      <c r="KSA2996" s="160"/>
      <c r="KSB2996" s="555"/>
      <c r="KSC2996" s="125"/>
      <c r="KSD2996" s="470"/>
      <c r="KSE2996" s="449"/>
      <c r="KSF2996" s="462"/>
      <c r="KSG2996" s="299"/>
      <c r="KSH2996" s="81"/>
      <c r="KSI2996" s="160"/>
      <c r="KSJ2996" s="555"/>
      <c r="KSK2996" s="125"/>
      <c r="KSL2996" s="470"/>
      <c r="KSM2996" s="449"/>
      <c r="KSN2996" s="462"/>
      <c r="KSO2996" s="299"/>
      <c r="KSP2996" s="81"/>
      <c r="KSQ2996" s="160"/>
      <c r="KSR2996" s="555"/>
      <c r="KSS2996" s="125"/>
      <c r="KST2996" s="470"/>
      <c r="KSU2996" s="449"/>
      <c r="KSV2996" s="462"/>
      <c r="KSW2996" s="299"/>
      <c r="KSX2996" s="81"/>
      <c r="KSY2996" s="160"/>
      <c r="KSZ2996" s="555"/>
      <c r="KTA2996" s="125"/>
      <c r="KTB2996" s="470"/>
      <c r="KTC2996" s="449"/>
      <c r="KTD2996" s="462"/>
      <c r="KTE2996" s="299"/>
      <c r="KTF2996" s="81"/>
      <c r="KTG2996" s="160"/>
      <c r="KTH2996" s="555"/>
      <c r="KTI2996" s="125"/>
      <c r="KTJ2996" s="470"/>
      <c r="KTK2996" s="449"/>
      <c r="KTL2996" s="462"/>
      <c r="KTM2996" s="299"/>
      <c r="KTN2996" s="81"/>
      <c r="KTO2996" s="160"/>
      <c r="KTP2996" s="555"/>
      <c r="KTQ2996" s="125"/>
      <c r="KTR2996" s="470"/>
      <c r="KTS2996" s="449"/>
      <c r="KTT2996" s="462"/>
      <c r="KTU2996" s="299"/>
      <c r="KTV2996" s="81"/>
      <c r="KTW2996" s="160"/>
      <c r="KTX2996" s="555"/>
      <c r="KTY2996" s="125"/>
      <c r="KTZ2996" s="470"/>
      <c r="KUA2996" s="449"/>
      <c r="KUB2996" s="462"/>
      <c r="KUC2996" s="299"/>
      <c r="KUD2996" s="81"/>
      <c r="KUE2996" s="160"/>
      <c r="KUF2996" s="555"/>
      <c r="KUG2996" s="125"/>
      <c r="KUH2996" s="470"/>
      <c r="KUI2996" s="449"/>
      <c r="KUJ2996" s="462"/>
      <c r="KUK2996" s="299"/>
      <c r="KUL2996" s="81"/>
      <c r="KUM2996" s="160"/>
      <c r="KUN2996" s="555"/>
      <c r="KUO2996" s="125"/>
      <c r="KUP2996" s="470"/>
      <c r="KUQ2996" s="449"/>
      <c r="KUR2996" s="462"/>
      <c r="KUS2996" s="299"/>
      <c r="KUT2996" s="81"/>
      <c r="KUU2996" s="160"/>
      <c r="KUV2996" s="555"/>
      <c r="KUW2996" s="125"/>
      <c r="KUX2996" s="470"/>
      <c r="KUY2996" s="449"/>
      <c r="KUZ2996" s="462"/>
      <c r="KVA2996" s="299"/>
      <c r="KVB2996" s="81"/>
      <c r="KVC2996" s="160"/>
      <c r="KVD2996" s="555"/>
      <c r="KVE2996" s="125"/>
      <c r="KVF2996" s="470"/>
      <c r="KVG2996" s="449"/>
      <c r="KVH2996" s="462"/>
      <c r="KVI2996" s="299"/>
      <c r="KVJ2996" s="81"/>
      <c r="KVK2996" s="160"/>
      <c r="KVL2996" s="555"/>
      <c r="KVM2996" s="125"/>
      <c r="KVN2996" s="470"/>
      <c r="KVO2996" s="449"/>
      <c r="KVP2996" s="462"/>
      <c r="KVQ2996" s="299"/>
      <c r="KVR2996" s="81"/>
      <c r="KVS2996" s="160"/>
      <c r="KVT2996" s="555"/>
      <c r="KVU2996" s="125"/>
      <c r="KVV2996" s="470"/>
      <c r="KVW2996" s="449"/>
      <c r="KVX2996" s="462"/>
      <c r="KVY2996" s="299"/>
      <c r="KVZ2996" s="81"/>
      <c r="KWA2996" s="160"/>
      <c r="KWB2996" s="555"/>
      <c r="KWC2996" s="125"/>
      <c r="KWD2996" s="470"/>
      <c r="KWE2996" s="449"/>
      <c r="KWF2996" s="462"/>
      <c r="KWG2996" s="299"/>
      <c r="KWH2996" s="81"/>
      <c r="KWI2996" s="160"/>
      <c r="KWJ2996" s="555"/>
      <c r="KWK2996" s="125"/>
      <c r="KWL2996" s="470"/>
      <c r="KWM2996" s="449"/>
      <c r="KWN2996" s="462"/>
      <c r="KWO2996" s="299"/>
      <c r="KWP2996" s="81"/>
      <c r="KWQ2996" s="160"/>
      <c r="KWR2996" s="555"/>
      <c r="KWS2996" s="125"/>
      <c r="KWT2996" s="470"/>
      <c r="KWU2996" s="449"/>
      <c r="KWV2996" s="462"/>
      <c r="KWW2996" s="299"/>
      <c r="KWX2996" s="81"/>
      <c r="KWY2996" s="160"/>
      <c r="KWZ2996" s="555"/>
      <c r="KXA2996" s="125"/>
      <c r="KXB2996" s="470"/>
      <c r="KXC2996" s="449"/>
      <c r="KXD2996" s="462"/>
      <c r="KXE2996" s="299"/>
      <c r="KXF2996" s="81"/>
      <c r="KXG2996" s="160"/>
      <c r="KXH2996" s="555"/>
      <c r="KXI2996" s="125"/>
      <c r="KXJ2996" s="470"/>
      <c r="KXK2996" s="449"/>
      <c r="KXL2996" s="462"/>
      <c r="KXM2996" s="299"/>
      <c r="KXN2996" s="81"/>
      <c r="KXO2996" s="160"/>
      <c r="KXP2996" s="555"/>
      <c r="KXQ2996" s="125"/>
      <c r="KXR2996" s="470"/>
      <c r="KXS2996" s="449"/>
      <c r="KXT2996" s="462"/>
      <c r="KXU2996" s="299"/>
      <c r="KXV2996" s="81"/>
      <c r="KXW2996" s="160"/>
      <c r="KXX2996" s="555"/>
      <c r="KXY2996" s="125"/>
      <c r="KXZ2996" s="470"/>
      <c r="KYA2996" s="449"/>
      <c r="KYB2996" s="462"/>
      <c r="KYC2996" s="299"/>
      <c r="KYD2996" s="81"/>
      <c r="KYE2996" s="160"/>
      <c r="KYF2996" s="555"/>
      <c r="KYG2996" s="125"/>
      <c r="KYH2996" s="470"/>
      <c r="KYI2996" s="449"/>
      <c r="KYJ2996" s="462"/>
      <c r="KYK2996" s="299"/>
      <c r="KYL2996" s="81"/>
      <c r="KYM2996" s="160"/>
      <c r="KYN2996" s="555"/>
      <c r="KYO2996" s="125"/>
      <c r="KYP2996" s="470"/>
      <c r="KYQ2996" s="449"/>
      <c r="KYR2996" s="462"/>
      <c r="KYS2996" s="299"/>
      <c r="KYT2996" s="81"/>
      <c r="KYU2996" s="160"/>
      <c r="KYV2996" s="555"/>
      <c r="KYW2996" s="125"/>
      <c r="KYX2996" s="470"/>
      <c r="KYY2996" s="449"/>
      <c r="KYZ2996" s="462"/>
      <c r="KZA2996" s="299"/>
      <c r="KZB2996" s="81"/>
      <c r="KZC2996" s="160"/>
      <c r="KZD2996" s="555"/>
      <c r="KZE2996" s="125"/>
      <c r="KZF2996" s="470"/>
      <c r="KZG2996" s="449"/>
      <c r="KZH2996" s="462"/>
      <c r="KZI2996" s="299"/>
      <c r="KZJ2996" s="81"/>
      <c r="KZK2996" s="160"/>
      <c r="KZL2996" s="555"/>
      <c r="KZM2996" s="125"/>
      <c r="KZN2996" s="470"/>
      <c r="KZO2996" s="449"/>
      <c r="KZP2996" s="462"/>
      <c r="KZQ2996" s="299"/>
      <c r="KZR2996" s="81"/>
      <c r="KZS2996" s="160"/>
      <c r="KZT2996" s="555"/>
      <c r="KZU2996" s="125"/>
      <c r="KZV2996" s="470"/>
      <c r="KZW2996" s="449"/>
      <c r="KZX2996" s="462"/>
      <c r="KZY2996" s="299"/>
      <c r="KZZ2996" s="81"/>
      <c r="LAA2996" s="160"/>
      <c r="LAB2996" s="555"/>
      <c r="LAC2996" s="125"/>
      <c r="LAD2996" s="470"/>
      <c r="LAE2996" s="449"/>
      <c r="LAF2996" s="462"/>
      <c r="LAG2996" s="299"/>
      <c r="LAH2996" s="81"/>
      <c r="LAI2996" s="160"/>
      <c r="LAJ2996" s="555"/>
      <c r="LAK2996" s="125"/>
      <c r="LAL2996" s="470"/>
      <c r="LAM2996" s="449"/>
      <c r="LAN2996" s="462"/>
      <c r="LAO2996" s="299"/>
      <c r="LAP2996" s="81"/>
      <c r="LAQ2996" s="160"/>
      <c r="LAR2996" s="555"/>
      <c r="LAS2996" s="125"/>
      <c r="LAT2996" s="470"/>
      <c r="LAU2996" s="449"/>
      <c r="LAV2996" s="462"/>
      <c r="LAW2996" s="299"/>
      <c r="LAX2996" s="81"/>
      <c r="LAY2996" s="160"/>
      <c r="LAZ2996" s="555"/>
      <c r="LBA2996" s="125"/>
      <c r="LBB2996" s="470"/>
      <c r="LBC2996" s="449"/>
      <c r="LBD2996" s="462"/>
      <c r="LBE2996" s="299"/>
      <c r="LBF2996" s="81"/>
      <c r="LBG2996" s="160"/>
      <c r="LBH2996" s="555"/>
      <c r="LBI2996" s="125"/>
      <c r="LBJ2996" s="470"/>
      <c r="LBK2996" s="449"/>
      <c r="LBL2996" s="462"/>
      <c r="LBM2996" s="299"/>
      <c r="LBN2996" s="81"/>
      <c r="LBO2996" s="160"/>
      <c r="LBP2996" s="555"/>
      <c r="LBQ2996" s="125"/>
      <c r="LBR2996" s="470"/>
      <c r="LBS2996" s="449"/>
      <c r="LBT2996" s="462"/>
      <c r="LBU2996" s="299"/>
      <c r="LBV2996" s="81"/>
      <c r="LBW2996" s="160"/>
      <c r="LBX2996" s="555"/>
      <c r="LBY2996" s="125"/>
      <c r="LBZ2996" s="470"/>
      <c r="LCA2996" s="449"/>
      <c r="LCB2996" s="462"/>
      <c r="LCC2996" s="299"/>
      <c r="LCD2996" s="81"/>
      <c r="LCE2996" s="160"/>
      <c r="LCF2996" s="555"/>
      <c r="LCG2996" s="125"/>
      <c r="LCH2996" s="470"/>
      <c r="LCI2996" s="449"/>
      <c r="LCJ2996" s="462"/>
      <c r="LCK2996" s="299"/>
      <c r="LCL2996" s="81"/>
      <c r="LCM2996" s="160"/>
      <c r="LCN2996" s="555"/>
      <c r="LCO2996" s="125"/>
      <c r="LCP2996" s="470"/>
      <c r="LCQ2996" s="449"/>
      <c r="LCR2996" s="462"/>
      <c r="LCS2996" s="299"/>
      <c r="LCT2996" s="81"/>
      <c r="LCU2996" s="160"/>
      <c r="LCV2996" s="555"/>
      <c r="LCW2996" s="125"/>
      <c r="LCX2996" s="470"/>
      <c r="LCY2996" s="449"/>
      <c r="LCZ2996" s="462"/>
      <c r="LDA2996" s="299"/>
      <c r="LDB2996" s="81"/>
      <c r="LDC2996" s="160"/>
      <c r="LDD2996" s="555"/>
      <c r="LDE2996" s="125"/>
      <c r="LDF2996" s="470"/>
      <c r="LDG2996" s="449"/>
      <c r="LDH2996" s="462"/>
      <c r="LDI2996" s="299"/>
      <c r="LDJ2996" s="81"/>
      <c r="LDK2996" s="160"/>
      <c r="LDL2996" s="555"/>
      <c r="LDM2996" s="125"/>
      <c r="LDN2996" s="470"/>
      <c r="LDO2996" s="449"/>
      <c r="LDP2996" s="462"/>
      <c r="LDQ2996" s="299"/>
      <c r="LDR2996" s="81"/>
      <c r="LDS2996" s="160"/>
      <c r="LDT2996" s="555"/>
      <c r="LDU2996" s="125"/>
      <c r="LDV2996" s="470"/>
      <c r="LDW2996" s="449"/>
      <c r="LDX2996" s="462"/>
      <c r="LDY2996" s="299"/>
      <c r="LDZ2996" s="81"/>
      <c r="LEA2996" s="160"/>
      <c r="LEB2996" s="555"/>
      <c r="LEC2996" s="125"/>
      <c r="LED2996" s="470"/>
      <c r="LEE2996" s="449"/>
      <c r="LEF2996" s="462"/>
      <c r="LEG2996" s="299"/>
      <c r="LEH2996" s="81"/>
      <c r="LEI2996" s="160"/>
      <c r="LEJ2996" s="555"/>
      <c r="LEK2996" s="125"/>
      <c r="LEL2996" s="470"/>
      <c r="LEM2996" s="449"/>
      <c r="LEN2996" s="462"/>
      <c r="LEO2996" s="299"/>
      <c r="LEP2996" s="81"/>
      <c r="LEQ2996" s="160"/>
      <c r="LER2996" s="555"/>
      <c r="LES2996" s="125"/>
      <c r="LET2996" s="470"/>
      <c r="LEU2996" s="449"/>
      <c r="LEV2996" s="462"/>
      <c r="LEW2996" s="299"/>
      <c r="LEX2996" s="81"/>
      <c r="LEY2996" s="160"/>
      <c r="LEZ2996" s="555"/>
      <c r="LFA2996" s="125"/>
      <c r="LFB2996" s="470"/>
      <c r="LFC2996" s="449"/>
      <c r="LFD2996" s="462"/>
      <c r="LFE2996" s="299"/>
      <c r="LFF2996" s="81"/>
      <c r="LFG2996" s="160"/>
      <c r="LFH2996" s="555"/>
      <c r="LFI2996" s="125"/>
      <c r="LFJ2996" s="470"/>
      <c r="LFK2996" s="449"/>
      <c r="LFL2996" s="462"/>
      <c r="LFM2996" s="299"/>
      <c r="LFN2996" s="81"/>
      <c r="LFO2996" s="160"/>
      <c r="LFP2996" s="555"/>
      <c r="LFQ2996" s="125"/>
      <c r="LFR2996" s="470"/>
      <c r="LFS2996" s="449"/>
      <c r="LFT2996" s="462"/>
      <c r="LFU2996" s="299"/>
      <c r="LFV2996" s="81"/>
      <c r="LFW2996" s="160"/>
      <c r="LFX2996" s="555"/>
      <c r="LFY2996" s="125"/>
      <c r="LFZ2996" s="470"/>
      <c r="LGA2996" s="449"/>
      <c r="LGB2996" s="462"/>
      <c r="LGC2996" s="299"/>
      <c r="LGD2996" s="81"/>
      <c r="LGE2996" s="160"/>
      <c r="LGF2996" s="555"/>
      <c r="LGG2996" s="125"/>
      <c r="LGH2996" s="470"/>
      <c r="LGI2996" s="449"/>
      <c r="LGJ2996" s="462"/>
      <c r="LGK2996" s="299"/>
      <c r="LGL2996" s="81"/>
      <c r="LGM2996" s="160"/>
      <c r="LGN2996" s="555"/>
      <c r="LGO2996" s="125"/>
      <c r="LGP2996" s="470"/>
      <c r="LGQ2996" s="449"/>
      <c r="LGR2996" s="462"/>
      <c r="LGS2996" s="299"/>
      <c r="LGT2996" s="81"/>
      <c r="LGU2996" s="160"/>
      <c r="LGV2996" s="555"/>
      <c r="LGW2996" s="125"/>
      <c r="LGX2996" s="470"/>
      <c r="LGY2996" s="449"/>
      <c r="LGZ2996" s="462"/>
      <c r="LHA2996" s="299"/>
      <c r="LHB2996" s="81"/>
      <c r="LHC2996" s="160"/>
      <c r="LHD2996" s="555"/>
      <c r="LHE2996" s="125"/>
      <c r="LHF2996" s="470"/>
      <c r="LHG2996" s="449"/>
      <c r="LHH2996" s="462"/>
      <c r="LHI2996" s="299"/>
      <c r="LHJ2996" s="81"/>
      <c r="LHK2996" s="160"/>
      <c r="LHL2996" s="555"/>
      <c r="LHM2996" s="125"/>
      <c r="LHN2996" s="470"/>
      <c r="LHO2996" s="449"/>
      <c r="LHP2996" s="462"/>
      <c r="LHQ2996" s="299"/>
      <c r="LHR2996" s="81"/>
      <c r="LHS2996" s="160"/>
      <c r="LHT2996" s="555"/>
      <c r="LHU2996" s="125"/>
      <c r="LHV2996" s="470"/>
      <c r="LHW2996" s="449"/>
      <c r="LHX2996" s="462"/>
      <c r="LHY2996" s="299"/>
      <c r="LHZ2996" s="81"/>
      <c r="LIA2996" s="160"/>
      <c r="LIB2996" s="555"/>
      <c r="LIC2996" s="125"/>
      <c r="LID2996" s="470"/>
      <c r="LIE2996" s="449"/>
      <c r="LIF2996" s="462"/>
      <c r="LIG2996" s="299"/>
      <c r="LIH2996" s="81"/>
      <c r="LII2996" s="160"/>
      <c r="LIJ2996" s="555"/>
      <c r="LIK2996" s="125"/>
      <c r="LIL2996" s="470"/>
      <c r="LIM2996" s="449"/>
      <c r="LIN2996" s="462"/>
      <c r="LIO2996" s="299"/>
      <c r="LIP2996" s="81"/>
      <c r="LIQ2996" s="160"/>
      <c r="LIR2996" s="555"/>
      <c r="LIS2996" s="125"/>
      <c r="LIT2996" s="470"/>
      <c r="LIU2996" s="449"/>
      <c r="LIV2996" s="462"/>
      <c r="LIW2996" s="299"/>
      <c r="LIX2996" s="81"/>
      <c r="LIY2996" s="160"/>
      <c r="LIZ2996" s="555"/>
      <c r="LJA2996" s="125"/>
      <c r="LJB2996" s="470"/>
      <c r="LJC2996" s="449"/>
      <c r="LJD2996" s="462"/>
      <c r="LJE2996" s="299"/>
      <c r="LJF2996" s="81"/>
      <c r="LJG2996" s="160"/>
      <c r="LJH2996" s="555"/>
      <c r="LJI2996" s="125"/>
      <c r="LJJ2996" s="470"/>
      <c r="LJK2996" s="449"/>
      <c r="LJL2996" s="462"/>
      <c r="LJM2996" s="299"/>
      <c r="LJN2996" s="81"/>
      <c r="LJO2996" s="160"/>
      <c r="LJP2996" s="555"/>
      <c r="LJQ2996" s="125"/>
      <c r="LJR2996" s="470"/>
      <c r="LJS2996" s="449"/>
      <c r="LJT2996" s="462"/>
      <c r="LJU2996" s="299"/>
      <c r="LJV2996" s="81"/>
      <c r="LJW2996" s="160"/>
      <c r="LJX2996" s="555"/>
      <c r="LJY2996" s="125"/>
      <c r="LJZ2996" s="470"/>
      <c r="LKA2996" s="449"/>
      <c r="LKB2996" s="462"/>
      <c r="LKC2996" s="299"/>
      <c r="LKD2996" s="81"/>
      <c r="LKE2996" s="160"/>
      <c r="LKF2996" s="555"/>
      <c r="LKG2996" s="125"/>
      <c r="LKH2996" s="470"/>
      <c r="LKI2996" s="449"/>
      <c r="LKJ2996" s="462"/>
      <c r="LKK2996" s="299"/>
      <c r="LKL2996" s="81"/>
      <c r="LKM2996" s="160"/>
      <c r="LKN2996" s="555"/>
      <c r="LKO2996" s="125"/>
      <c r="LKP2996" s="470"/>
      <c r="LKQ2996" s="449"/>
      <c r="LKR2996" s="462"/>
      <c r="LKS2996" s="299"/>
      <c r="LKT2996" s="81"/>
      <c r="LKU2996" s="160"/>
      <c r="LKV2996" s="555"/>
      <c r="LKW2996" s="125"/>
      <c r="LKX2996" s="470"/>
      <c r="LKY2996" s="449"/>
      <c r="LKZ2996" s="462"/>
      <c r="LLA2996" s="299"/>
      <c r="LLB2996" s="81"/>
      <c r="LLC2996" s="160"/>
      <c r="LLD2996" s="555"/>
      <c r="LLE2996" s="125"/>
      <c r="LLF2996" s="470"/>
      <c r="LLG2996" s="449"/>
      <c r="LLH2996" s="462"/>
      <c r="LLI2996" s="299"/>
      <c r="LLJ2996" s="81"/>
      <c r="LLK2996" s="160"/>
      <c r="LLL2996" s="555"/>
      <c r="LLM2996" s="125"/>
      <c r="LLN2996" s="470"/>
      <c r="LLO2996" s="449"/>
      <c r="LLP2996" s="462"/>
      <c r="LLQ2996" s="299"/>
      <c r="LLR2996" s="81"/>
      <c r="LLS2996" s="160"/>
      <c r="LLT2996" s="555"/>
      <c r="LLU2996" s="125"/>
      <c r="LLV2996" s="470"/>
      <c r="LLW2996" s="449"/>
      <c r="LLX2996" s="462"/>
      <c r="LLY2996" s="299"/>
      <c r="LLZ2996" s="81"/>
      <c r="LMA2996" s="160"/>
      <c r="LMB2996" s="555"/>
      <c r="LMC2996" s="125"/>
      <c r="LMD2996" s="470"/>
      <c r="LME2996" s="449"/>
      <c r="LMF2996" s="462"/>
      <c r="LMG2996" s="299"/>
      <c r="LMH2996" s="81"/>
      <c r="LMI2996" s="160"/>
      <c r="LMJ2996" s="555"/>
      <c r="LMK2996" s="125"/>
      <c r="LML2996" s="470"/>
      <c r="LMM2996" s="449"/>
      <c r="LMN2996" s="462"/>
      <c r="LMO2996" s="299"/>
      <c r="LMP2996" s="81"/>
      <c r="LMQ2996" s="160"/>
      <c r="LMR2996" s="555"/>
      <c r="LMS2996" s="125"/>
      <c r="LMT2996" s="470"/>
      <c r="LMU2996" s="449"/>
      <c r="LMV2996" s="462"/>
      <c r="LMW2996" s="299"/>
      <c r="LMX2996" s="81"/>
      <c r="LMY2996" s="160"/>
      <c r="LMZ2996" s="555"/>
      <c r="LNA2996" s="125"/>
      <c r="LNB2996" s="470"/>
      <c r="LNC2996" s="449"/>
      <c r="LND2996" s="462"/>
      <c r="LNE2996" s="299"/>
      <c r="LNF2996" s="81"/>
      <c r="LNG2996" s="160"/>
      <c r="LNH2996" s="555"/>
      <c r="LNI2996" s="125"/>
      <c r="LNJ2996" s="470"/>
      <c r="LNK2996" s="449"/>
      <c r="LNL2996" s="462"/>
      <c r="LNM2996" s="299"/>
      <c r="LNN2996" s="81"/>
      <c r="LNO2996" s="160"/>
      <c r="LNP2996" s="555"/>
      <c r="LNQ2996" s="125"/>
      <c r="LNR2996" s="470"/>
      <c r="LNS2996" s="449"/>
      <c r="LNT2996" s="462"/>
      <c r="LNU2996" s="299"/>
      <c r="LNV2996" s="81"/>
      <c r="LNW2996" s="160"/>
      <c r="LNX2996" s="555"/>
      <c r="LNY2996" s="125"/>
      <c r="LNZ2996" s="470"/>
      <c r="LOA2996" s="449"/>
      <c r="LOB2996" s="462"/>
      <c r="LOC2996" s="299"/>
      <c r="LOD2996" s="81"/>
      <c r="LOE2996" s="160"/>
      <c r="LOF2996" s="555"/>
      <c r="LOG2996" s="125"/>
      <c r="LOH2996" s="470"/>
      <c r="LOI2996" s="449"/>
      <c r="LOJ2996" s="462"/>
      <c r="LOK2996" s="299"/>
      <c r="LOL2996" s="81"/>
      <c r="LOM2996" s="160"/>
      <c r="LON2996" s="555"/>
      <c r="LOO2996" s="125"/>
      <c r="LOP2996" s="470"/>
      <c r="LOQ2996" s="449"/>
      <c r="LOR2996" s="462"/>
      <c r="LOS2996" s="299"/>
      <c r="LOT2996" s="81"/>
      <c r="LOU2996" s="160"/>
      <c r="LOV2996" s="555"/>
      <c r="LOW2996" s="125"/>
      <c r="LOX2996" s="470"/>
      <c r="LOY2996" s="449"/>
      <c r="LOZ2996" s="462"/>
      <c r="LPA2996" s="299"/>
      <c r="LPB2996" s="81"/>
      <c r="LPC2996" s="160"/>
      <c r="LPD2996" s="555"/>
      <c r="LPE2996" s="125"/>
      <c r="LPF2996" s="470"/>
      <c r="LPG2996" s="449"/>
      <c r="LPH2996" s="462"/>
      <c r="LPI2996" s="299"/>
      <c r="LPJ2996" s="81"/>
      <c r="LPK2996" s="160"/>
      <c r="LPL2996" s="555"/>
      <c r="LPM2996" s="125"/>
      <c r="LPN2996" s="470"/>
      <c r="LPO2996" s="449"/>
      <c r="LPP2996" s="462"/>
      <c r="LPQ2996" s="299"/>
      <c r="LPR2996" s="81"/>
      <c r="LPS2996" s="160"/>
      <c r="LPT2996" s="555"/>
      <c r="LPU2996" s="125"/>
      <c r="LPV2996" s="470"/>
      <c r="LPW2996" s="449"/>
      <c r="LPX2996" s="462"/>
      <c r="LPY2996" s="299"/>
      <c r="LPZ2996" s="81"/>
      <c r="LQA2996" s="160"/>
      <c r="LQB2996" s="555"/>
      <c r="LQC2996" s="125"/>
      <c r="LQD2996" s="470"/>
      <c r="LQE2996" s="449"/>
      <c r="LQF2996" s="462"/>
      <c r="LQG2996" s="299"/>
      <c r="LQH2996" s="81"/>
      <c r="LQI2996" s="160"/>
      <c r="LQJ2996" s="555"/>
      <c r="LQK2996" s="125"/>
      <c r="LQL2996" s="470"/>
      <c r="LQM2996" s="449"/>
      <c r="LQN2996" s="462"/>
      <c r="LQO2996" s="299"/>
      <c r="LQP2996" s="81"/>
      <c r="LQQ2996" s="160"/>
      <c r="LQR2996" s="555"/>
      <c r="LQS2996" s="125"/>
      <c r="LQT2996" s="470"/>
      <c r="LQU2996" s="449"/>
      <c r="LQV2996" s="462"/>
      <c r="LQW2996" s="299"/>
      <c r="LQX2996" s="81"/>
      <c r="LQY2996" s="160"/>
      <c r="LQZ2996" s="555"/>
      <c r="LRA2996" s="125"/>
      <c r="LRB2996" s="470"/>
      <c r="LRC2996" s="449"/>
      <c r="LRD2996" s="462"/>
      <c r="LRE2996" s="299"/>
      <c r="LRF2996" s="81"/>
      <c r="LRG2996" s="160"/>
      <c r="LRH2996" s="555"/>
      <c r="LRI2996" s="125"/>
      <c r="LRJ2996" s="470"/>
      <c r="LRK2996" s="449"/>
      <c r="LRL2996" s="462"/>
      <c r="LRM2996" s="299"/>
      <c r="LRN2996" s="81"/>
      <c r="LRO2996" s="160"/>
      <c r="LRP2996" s="555"/>
      <c r="LRQ2996" s="125"/>
      <c r="LRR2996" s="470"/>
      <c r="LRS2996" s="449"/>
      <c r="LRT2996" s="462"/>
      <c r="LRU2996" s="299"/>
      <c r="LRV2996" s="81"/>
      <c r="LRW2996" s="160"/>
      <c r="LRX2996" s="555"/>
      <c r="LRY2996" s="125"/>
      <c r="LRZ2996" s="470"/>
      <c r="LSA2996" s="449"/>
      <c r="LSB2996" s="462"/>
      <c r="LSC2996" s="299"/>
      <c r="LSD2996" s="81"/>
      <c r="LSE2996" s="160"/>
      <c r="LSF2996" s="555"/>
      <c r="LSG2996" s="125"/>
      <c r="LSH2996" s="470"/>
      <c r="LSI2996" s="449"/>
      <c r="LSJ2996" s="462"/>
      <c r="LSK2996" s="299"/>
      <c r="LSL2996" s="81"/>
      <c r="LSM2996" s="160"/>
      <c r="LSN2996" s="555"/>
      <c r="LSO2996" s="125"/>
      <c r="LSP2996" s="470"/>
      <c r="LSQ2996" s="449"/>
      <c r="LSR2996" s="462"/>
      <c r="LSS2996" s="299"/>
      <c r="LST2996" s="81"/>
      <c r="LSU2996" s="160"/>
      <c r="LSV2996" s="555"/>
      <c r="LSW2996" s="125"/>
      <c r="LSX2996" s="470"/>
      <c r="LSY2996" s="449"/>
      <c r="LSZ2996" s="462"/>
      <c r="LTA2996" s="299"/>
      <c r="LTB2996" s="81"/>
      <c r="LTC2996" s="160"/>
      <c r="LTD2996" s="555"/>
      <c r="LTE2996" s="125"/>
      <c r="LTF2996" s="470"/>
      <c r="LTG2996" s="449"/>
      <c r="LTH2996" s="462"/>
      <c r="LTI2996" s="299"/>
      <c r="LTJ2996" s="81"/>
      <c r="LTK2996" s="160"/>
      <c r="LTL2996" s="555"/>
      <c r="LTM2996" s="125"/>
      <c r="LTN2996" s="470"/>
      <c r="LTO2996" s="449"/>
      <c r="LTP2996" s="462"/>
      <c r="LTQ2996" s="299"/>
      <c r="LTR2996" s="81"/>
      <c r="LTS2996" s="160"/>
      <c r="LTT2996" s="555"/>
      <c r="LTU2996" s="125"/>
      <c r="LTV2996" s="470"/>
      <c r="LTW2996" s="449"/>
      <c r="LTX2996" s="462"/>
      <c r="LTY2996" s="299"/>
      <c r="LTZ2996" s="81"/>
      <c r="LUA2996" s="160"/>
      <c r="LUB2996" s="555"/>
      <c r="LUC2996" s="125"/>
      <c r="LUD2996" s="470"/>
      <c r="LUE2996" s="449"/>
      <c r="LUF2996" s="462"/>
      <c r="LUG2996" s="299"/>
      <c r="LUH2996" s="81"/>
      <c r="LUI2996" s="160"/>
      <c r="LUJ2996" s="555"/>
      <c r="LUK2996" s="125"/>
      <c r="LUL2996" s="470"/>
      <c r="LUM2996" s="449"/>
      <c r="LUN2996" s="462"/>
      <c r="LUO2996" s="299"/>
      <c r="LUP2996" s="81"/>
      <c r="LUQ2996" s="160"/>
      <c r="LUR2996" s="555"/>
      <c r="LUS2996" s="125"/>
      <c r="LUT2996" s="470"/>
      <c r="LUU2996" s="449"/>
      <c r="LUV2996" s="462"/>
      <c r="LUW2996" s="299"/>
      <c r="LUX2996" s="81"/>
      <c r="LUY2996" s="160"/>
      <c r="LUZ2996" s="555"/>
      <c r="LVA2996" s="125"/>
      <c r="LVB2996" s="470"/>
      <c r="LVC2996" s="449"/>
      <c r="LVD2996" s="462"/>
      <c r="LVE2996" s="299"/>
      <c r="LVF2996" s="81"/>
      <c r="LVG2996" s="160"/>
      <c r="LVH2996" s="555"/>
      <c r="LVI2996" s="125"/>
      <c r="LVJ2996" s="470"/>
      <c r="LVK2996" s="449"/>
      <c r="LVL2996" s="462"/>
      <c r="LVM2996" s="299"/>
      <c r="LVN2996" s="81"/>
      <c r="LVO2996" s="160"/>
      <c r="LVP2996" s="555"/>
      <c r="LVQ2996" s="125"/>
      <c r="LVR2996" s="470"/>
      <c r="LVS2996" s="449"/>
      <c r="LVT2996" s="462"/>
      <c r="LVU2996" s="299"/>
      <c r="LVV2996" s="81"/>
      <c r="LVW2996" s="160"/>
      <c r="LVX2996" s="555"/>
      <c r="LVY2996" s="125"/>
      <c r="LVZ2996" s="470"/>
      <c r="LWA2996" s="449"/>
      <c r="LWB2996" s="462"/>
      <c r="LWC2996" s="299"/>
      <c r="LWD2996" s="81"/>
      <c r="LWE2996" s="160"/>
      <c r="LWF2996" s="555"/>
      <c r="LWG2996" s="125"/>
      <c r="LWH2996" s="470"/>
      <c r="LWI2996" s="449"/>
      <c r="LWJ2996" s="462"/>
      <c r="LWK2996" s="299"/>
      <c r="LWL2996" s="81"/>
      <c r="LWM2996" s="160"/>
      <c r="LWN2996" s="555"/>
      <c r="LWO2996" s="125"/>
      <c r="LWP2996" s="470"/>
      <c r="LWQ2996" s="449"/>
      <c r="LWR2996" s="462"/>
      <c r="LWS2996" s="299"/>
      <c r="LWT2996" s="81"/>
      <c r="LWU2996" s="160"/>
      <c r="LWV2996" s="555"/>
      <c r="LWW2996" s="125"/>
      <c r="LWX2996" s="470"/>
      <c r="LWY2996" s="449"/>
      <c r="LWZ2996" s="462"/>
      <c r="LXA2996" s="299"/>
      <c r="LXB2996" s="81"/>
      <c r="LXC2996" s="160"/>
      <c r="LXD2996" s="555"/>
      <c r="LXE2996" s="125"/>
      <c r="LXF2996" s="470"/>
      <c r="LXG2996" s="449"/>
      <c r="LXH2996" s="462"/>
      <c r="LXI2996" s="299"/>
      <c r="LXJ2996" s="81"/>
      <c r="LXK2996" s="160"/>
      <c r="LXL2996" s="555"/>
      <c r="LXM2996" s="125"/>
      <c r="LXN2996" s="470"/>
      <c r="LXO2996" s="449"/>
      <c r="LXP2996" s="462"/>
      <c r="LXQ2996" s="299"/>
      <c r="LXR2996" s="81"/>
      <c r="LXS2996" s="160"/>
      <c r="LXT2996" s="555"/>
      <c r="LXU2996" s="125"/>
      <c r="LXV2996" s="470"/>
      <c r="LXW2996" s="449"/>
      <c r="LXX2996" s="462"/>
      <c r="LXY2996" s="299"/>
      <c r="LXZ2996" s="81"/>
      <c r="LYA2996" s="160"/>
      <c r="LYB2996" s="555"/>
      <c r="LYC2996" s="125"/>
      <c r="LYD2996" s="470"/>
      <c r="LYE2996" s="449"/>
      <c r="LYF2996" s="462"/>
      <c r="LYG2996" s="299"/>
      <c r="LYH2996" s="81"/>
      <c r="LYI2996" s="160"/>
      <c r="LYJ2996" s="555"/>
      <c r="LYK2996" s="125"/>
      <c r="LYL2996" s="470"/>
      <c r="LYM2996" s="449"/>
      <c r="LYN2996" s="462"/>
      <c r="LYO2996" s="299"/>
      <c r="LYP2996" s="81"/>
      <c r="LYQ2996" s="160"/>
      <c r="LYR2996" s="555"/>
      <c r="LYS2996" s="125"/>
      <c r="LYT2996" s="470"/>
      <c r="LYU2996" s="449"/>
      <c r="LYV2996" s="462"/>
      <c r="LYW2996" s="299"/>
      <c r="LYX2996" s="81"/>
      <c r="LYY2996" s="160"/>
      <c r="LYZ2996" s="555"/>
      <c r="LZA2996" s="125"/>
      <c r="LZB2996" s="470"/>
      <c r="LZC2996" s="449"/>
      <c r="LZD2996" s="462"/>
      <c r="LZE2996" s="299"/>
      <c r="LZF2996" s="81"/>
      <c r="LZG2996" s="160"/>
      <c r="LZH2996" s="555"/>
      <c r="LZI2996" s="125"/>
      <c r="LZJ2996" s="470"/>
      <c r="LZK2996" s="449"/>
      <c r="LZL2996" s="462"/>
      <c r="LZM2996" s="299"/>
      <c r="LZN2996" s="81"/>
      <c r="LZO2996" s="160"/>
      <c r="LZP2996" s="555"/>
      <c r="LZQ2996" s="125"/>
      <c r="LZR2996" s="470"/>
      <c r="LZS2996" s="449"/>
      <c r="LZT2996" s="462"/>
      <c r="LZU2996" s="299"/>
      <c r="LZV2996" s="81"/>
      <c r="LZW2996" s="160"/>
      <c r="LZX2996" s="555"/>
      <c r="LZY2996" s="125"/>
      <c r="LZZ2996" s="470"/>
      <c r="MAA2996" s="449"/>
      <c r="MAB2996" s="462"/>
      <c r="MAC2996" s="299"/>
      <c r="MAD2996" s="81"/>
      <c r="MAE2996" s="160"/>
      <c r="MAF2996" s="555"/>
      <c r="MAG2996" s="125"/>
      <c r="MAH2996" s="470"/>
      <c r="MAI2996" s="449"/>
      <c r="MAJ2996" s="462"/>
      <c r="MAK2996" s="299"/>
      <c r="MAL2996" s="81"/>
      <c r="MAM2996" s="160"/>
      <c r="MAN2996" s="555"/>
      <c r="MAO2996" s="125"/>
      <c r="MAP2996" s="470"/>
      <c r="MAQ2996" s="449"/>
      <c r="MAR2996" s="462"/>
      <c r="MAS2996" s="299"/>
      <c r="MAT2996" s="81"/>
      <c r="MAU2996" s="160"/>
      <c r="MAV2996" s="555"/>
      <c r="MAW2996" s="125"/>
      <c r="MAX2996" s="470"/>
      <c r="MAY2996" s="449"/>
      <c r="MAZ2996" s="462"/>
      <c r="MBA2996" s="299"/>
      <c r="MBB2996" s="81"/>
      <c r="MBC2996" s="160"/>
      <c r="MBD2996" s="555"/>
      <c r="MBE2996" s="125"/>
      <c r="MBF2996" s="470"/>
      <c r="MBG2996" s="449"/>
      <c r="MBH2996" s="462"/>
      <c r="MBI2996" s="299"/>
      <c r="MBJ2996" s="81"/>
      <c r="MBK2996" s="160"/>
      <c r="MBL2996" s="555"/>
      <c r="MBM2996" s="125"/>
      <c r="MBN2996" s="470"/>
      <c r="MBO2996" s="449"/>
      <c r="MBP2996" s="462"/>
      <c r="MBQ2996" s="299"/>
      <c r="MBR2996" s="81"/>
      <c r="MBS2996" s="160"/>
      <c r="MBT2996" s="555"/>
      <c r="MBU2996" s="125"/>
      <c r="MBV2996" s="470"/>
      <c r="MBW2996" s="449"/>
      <c r="MBX2996" s="462"/>
      <c r="MBY2996" s="299"/>
      <c r="MBZ2996" s="81"/>
      <c r="MCA2996" s="160"/>
      <c r="MCB2996" s="555"/>
      <c r="MCC2996" s="125"/>
      <c r="MCD2996" s="470"/>
      <c r="MCE2996" s="449"/>
      <c r="MCF2996" s="462"/>
      <c r="MCG2996" s="299"/>
      <c r="MCH2996" s="81"/>
      <c r="MCI2996" s="160"/>
      <c r="MCJ2996" s="555"/>
      <c r="MCK2996" s="125"/>
      <c r="MCL2996" s="470"/>
      <c r="MCM2996" s="449"/>
      <c r="MCN2996" s="462"/>
      <c r="MCO2996" s="299"/>
      <c r="MCP2996" s="81"/>
      <c r="MCQ2996" s="160"/>
      <c r="MCR2996" s="555"/>
      <c r="MCS2996" s="125"/>
      <c r="MCT2996" s="470"/>
      <c r="MCU2996" s="449"/>
      <c r="MCV2996" s="462"/>
      <c r="MCW2996" s="299"/>
      <c r="MCX2996" s="81"/>
      <c r="MCY2996" s="160"/>
      <c r="MCZ2996" s="555"/>
      <c r="MDA2996" s="125"/>
      <c r="MDB2996" s="470"/>
      <c r="MDC2996" s="449"/>
      <c r="MDD2996" s="462"/>
      <c r="MDE2996" s="299"/>
      <c r="MDF2996" s="81"/>
      <c r="MDG2996" s="160"/>
      <c r="MDH2996" s="555"/>
      <c r="MDI2996" s="125"/>
      <c r="MDJ2996" s="470"/>
      <c r="MDK2996" s="449"/>
      <c r="MDL2996" s="462"/>
      <c r="MDM2996" s="299"/>
      <c r="MDN2996" s="81"/>
      <c r="MDO2996" s="160"/>
      <c r="MDP2996" s="555"/>
      <c r="MDQ2996" s="125"/>
      <c r="MDR2996" s="470"/>
      <c r="MDS2996" s="449"/>
      <c r="MDT2996" s="462"/>
      <c r="MDU2996" s="299"/>
      <c r="MDV2996" s="81"/>
      <c r="MDW2996" s="160"/>
      <c r="MDX2996" s="555"/>
      <c r="MDY2996" s="125"/>
      <c r="MDZ2996" s="470"/>
      <c r="MEA2996" s="449"/>
      <c r="MEB2996" s="462"/>
      <c r="MEC2996" s="299"/>
      <c r="MED2996" s="81"/>
      <c r="MEE2996" s="160"/>
      <c r="MEF2996" s="555"/>
      <c r="MEG2996" s="125"/>
      <c r="MEH2996" s="470"/>
      <c r="MEI2996" s="449"/>
      <c r="MEJ2996" s="462"/>
      <c r="MEK2996" s="299"/>
      <c r="MEL2996" s="81"/>
      <c r="MEM2996" s="160"/>
      <c r="MEN2996" s="555"/>
      <c r="MEO2996" s="125"/>
      <c r="MEP2996" s="470"/>
      <c r="MEQ2996" s="449"/>
      <c r="MER2996" s="462"/>
      <c r="MES2996" s="299"/>
      <c r="MET2996" s="81"/>
      <c r="MEU2996" s="160"/>
      <c r="MEV2996" s="555"/>
      <c r="MEW2996" s="125"/>
      <c r="MEX2996" s="470"/>
      <c r="MEY2996" s="449"/>
      <c r="MEZ2996" s="462"/>
      <c r="MFA2996" s="299"/>
      <c r="MFB2996" s="81"/>
      <c r="MFC2996" s="160"/>
      <c r="MFD2996" s="555"/>
      <c r="MFE2996" s="125"/>
      <c r="MFF2996" s="470"/>
      <c r="MFG2996" s="449"/>
      <c r="MFH2996" s="462"/>
      <c r="MFI2996" s="299"/>
      <c r="MFJ2996" s="81"/>
      <c r="MFK2996" s="160"/>
      <c r="MFL2996" s="555"/>
      <c r="MFM2996" s="125"/>
      <c r="MFN2996" s="470"/>
      <c r="MFO2996" s="449"/>
      <c r="MFP2996" s="462"/>
      <c r="MFQ2996" s="299"/>
      <c r="MFR2996" s="81"/>
      <c r="MFS2996" s="160"/>
      <c r="MFT2996" s="555"/>
      <c r="MFU2996" s="125"/>
      <c r="MFV2996" s="470"/>
      <c r="MFW2996" s="449"/>
      <c r="MFX2996" s="462"/>
      <c r="MFY2996" s="299"/>
      <c r="MFZ2996" s="81"/>
      <c r="MGA2996" s="160"/>
      <c r="MGB2996" s="555"/>
      <c r="MGC2996" s="125"/>
      <c r="MGD2996" s="470"/>
      <c r="MGE2996" s="449"/>
      <c r="MGF2996" s="462"/>
      <c r="MGG2996" s="299"/>
      <c r="MGH2996" s="81"/>
      <c r="MGI2996" s="160"/>
      <c r="MGJ2996" s="555"/>
      <c r="MGK2996" s="125"/>
      <c r="MGL2996" s="470"/>
      <c r="MGM2996" s="449"/>
      <c r="MGN2996" s="462"/>
      <c r="MGO2996" s="299"/>
      <c r="MGP2996" s="81"/>
      <c r="MGQ2996" s="160"/>
      <c r="MGR2996" s="555"/>
      <c r="MGS2996" s="125"/>
      <c r="MGT2996" s="470"/>
      <c r="MGU2996" s="449"/>
      <c r="MGV2996" s="462"/>
      <c r="MGW2996" s="299"/>
      <c r="MGX2996" s="81"/>
      <c r="MGY2996" s="160"/>
      <c r="MGZ2996" s="555"/>
      <c r="MHA2996" s="125"/>
      <c r="MHB2996" s="470"/>
      <c r="MHC2996" s="449"/>
      <c r="MHD2996" s="462"/>
      <c r="MHE2996" s="299"/>
      <c r="MHF2996" s="81"/>
      <c r="MHG2996" s="160"/>
      <c r="MHH2996" s="555"/>
      <c r="MHI2996" s="125"/>
      <c r="MHJ2996" s="470"/>
      <c r="MHK2996" s="449"/>
      <c r="MHL2996" s="462"/>
      <c r="MHM2996" s="299"/>
      <c r="MHN2996" s="81"/>
      <c r="MHO2996" s="160"/>
      <c r="MHP2996" s="555"/>
      <c r="MHQ2996" s="125"/>
      <c r="MHR2996" s="470"/>
      <c r="MHS2996" s="449"/>
      <c r="MHT2996" s="462"/>
      <c r="MHU2996" s="299"/>
      <c r="MHV2996" s="81"/>
      <c r="MHW2996" s="160"/>
      <c r="MHX2996" s="555"/>
      <c r="MHY2996" s="125"/>
      <c r="MHZ2996" s="470"/>
      <c r="MIA2996" s="449"/>
      <c r="MIB2996" s="462"/>
      <c r="MIC2996" s="299"/>
      <c r="MID2996" s="81"/>
      <c r="MIE2996" s="160"/>
      <c r="MIF2996" s="555"/>
      <c r="MIG2996" s="125"/>
      <c r="MIH2996" s="470"/>
      <c r="MII2996" s="449"/>
      <c r="MIJ2996" s="462"/>
      <c r="MIK2996" s="299"/>
      <c r="MIL2996" s="81"/>
      <c r="MIM2996" s="160"/>
      <c r="MIN2996" s="555"/>
      <c r="MIO2996" s="125"/>
      <c r="MIP2996" s="470"/>
      <c r="MIQ2996" s="449"/>
      <c r="MIR2996" s="462"/>
      <c r="MIS2996" s="299"/>
      <c r="MIT2996" s="81"/>
      <c r="MIU2996" s="160"/>
      <c r="MIV2996" s="555"/>
      <c r="MIW2996" s="125"/>
      <c r="MIX2996" s="470"/>
      <c r="MIY2996" s="449"/>
      <c r="MIZ2996" s="462"/>
      <c r="MJA2996" s="299"/>
      <c r="MJB2996" s="81"/>
      <c r="MJC2996" s="160"/>
      <c r="MJD2996" s="555"/>
      <c r="MJE2996" s="125"/>
      <c r="MJF2996" s="470"/>
      <c r="MJG2996" s="449"/>
      <c r="MJH2996" s="462"/>
      <c r="MJI2996" s="299"/>
      <c r="MJJ2996" s="81"/>
      <c r="MJK2996" s="160"/>
      <c r="MJL2996" s="555"/>
      <c r="MJM2996" s="125"/>
      <c r="MJN2996" s="470"/>
      <c r="MJO2996" s="449"/>
      <c r="MJP2996" s="462"/>
      <c r="MJQ2996" s="299"/>
      <c r="MJR2996" s="81"/>
      <c r="MJS2996" s="160"/>
      <c r="MJT2996" s="555"/>
      <c r="MJU2996" s="125"/>
      <c r="MJV2996" s="470"/>
      <c r="MJW2996" s="449"/>
      <c r="MJX2996" s="462"/>
      <c r="MJY2996" s="299"/>
      <c r="MJZ2996" s="81"/>
      <c r="MKA2996" s="160"/>
      <c r="MKB2996" s="555"/>
      <c r="MKC2996" s="125"/>
      <c r="MKD2996" s="470"/>
      <c r="MKE2996" s="449"/>
      <c r="MKF2996" s="462"/>
      <c r="MKG2996" s="299"/>
      <c r="MKH2996" s="81"/>
      <c r="MKI2996" s="160"/>
      <c r="MKJ2996" s="555"/>
      <c r="MKK2996" s="125"/>
      <c r="MKL2996" s="470"/>
      <c r="MKM2996" s="449"/>
      <c r="MKN2996" s="462"/>
      <c r="MKO2996" s="299"/>
      <c r="MKP2996" s="81"/>
      <c r="MKQ2996" s="160"/>
      <c r="MKR2996" s="555"/>
      <c r="MKS2996" s="125"/>
      <c r="MKT2996" s="470"/>
      <c r="MKU2996" s="449"/>
      <c r="MKV2996" s="462"/>
      <c r="MKW2996" s="299"/>
      <c r="MKX2996" s="81"/>
      <c r="MKY2996" s="160"/>
      <c r="MKZ2996" s="555"/>
      <c r="MLA2996" s="125"/>
      <c r="MLB2996" s="470"/>
      <c r="MLC2996" s="449"/>
      <c r="MLD2996" s="462"/>
      <c r="MLE2996" s="299"/>
      <c r="MLF2996" s="81"/>
      <c r="MLG2996" s="160"/>
      <c r="MLH2996" s="555"/>
      <c r="MLI2996" s="125"/>
      <c r="MLJ2996" s="470"/>
      <c r="MLK2996" s="449"/>
      <c r="MLL2996" s="462"/>
      <c r="MLM2996" s="299"/>
      <c r="MLN2996" s="81"/>
      <c r="MLO2996" s="160"/>
      <c r="MLP2996" s="555"/>
      <c r="MLQ2996" s="125"/>
      <c r="MLR2996" s="470"/>
      <c r="MLS2996" s="449"/>
      <c r="MLT2996" s="462"/>
      <c r="MLU2996" s="299"/>
      <c r="MLV2996" s="81"/>
      <c r="MLW2996" s="160"/>
      <c r="MLX2996" s="555"/>
      <c r="MLY2996" s="125"/>
      <c r="MLZ2996" s="470"/>
      <c r="MMA2996" s="449"/>
      <c r="MMB2996" s="462"/>
      <c r="MMC2996" s="299"/>
      <c r="MMD2996" s="81"/>
      <c r="MME2996" s="160"/>
      <c r="MMF2996" s="555"/>
      <c r="MMG2996" s="125"/>
      <c r="MMH2996" s="470"/>
      <c r="MMI2996" s="449"/>
      <c r="MMJ2996" s="462"/>
      <c r="MMK2996" s="299"/>
      <c r="MML2996" s="81"/>
      <c r="MMM2996" s="160"/>
      <c r="MMN2996" s="555"/>
      <c r="MMO2996" s="125"/>
      <c r="MMP2996" s="470"/>
      <c r="MMQ2996" s="449"/>
      <c r="MMR2996" s="462"/>
      <c r="MMS2996" s="299"/>
      <c r="MMT2996" s="81"/>
      <c r="MMU2996" s="160"/>
      <c r="MMV2996" s="555"/>
      <c r="MMW2996" s="125"/>
      <c r="MMX2996" s="470"/>
      <c r="MMY2996" s="449"/>
      <c r="MMZ2996" s="462"/>
      <c r="MNA2996" s="299"/>
      <c r="MNB2996" s="81"/>
      <c r="MNC2996" s="160"/>
      <c r="MND2996" s="555"/>
      <c r="MNE2996" s="125"/>
      <c r="MNF2996" s="470"/>
      <c r="MNG2996" s="449"/>
      <c r="MNH2996" s="462"/>
      <c r="MNI2996" s="299"/>
      <c r="MNJ2996" s="81"/>
      <c r="MNK2996" s="160"/>
      <c r="MNL2996" s="555"/>
      <c r="MNM2996" s="125"/>
      <c r="MNN2996" s="470"/>
      <c r="MNO2996" s="449"/>
      <c r="MNP2996" s="462"/>
      <c r="MNQ2996" s="299"/>
      <c r="MNR2996" s="81"/>
      <c r="MNS2996" s="160"/>
      <c r="MNT2996" s="555"/>
      <c r="MNU2996" s="125"/>
      <c r="MNV2996" s="470"/>
      <c r="MNW2996" s="449"/>
      <c r="MNX2996" s="462"/>
      <c r="MNY2996" s="299"/>
      <c r="MNZ2996" s="81"/>
      <c r="MOA2996" s="160"/>
      <c r="MOB2996" s="555"/>
      <c r="MOC2996" s="125"/>
      <c r="MOD2996" s="470"/>
      <c r="MOE2996" s="449"/>
      <c r="MOF2996" s="462"/>
      <c r="MOG2996" s="299"/>
      <c r="MOH2996" s="81"/>
      <c r="MOI2996" s="160"/>
      <c r="MOJ2996" s="555"/>
      <c r="MOK2996" s="125"/>
      <c r="MOL2996" s="470"/>
      <c r="MOM2996" s="449"/>
      <c r="MON2996" s="462"/>
      <c r="MOO2996" s="299"/>
      <c r="MOP2996" s="81"/>
      <c r="MOQ2996" s="160"/>
      <c r="MOR2996" s="555"/>
      <c r="MOS2996" s="125"/>
      <c r="MOT2996" s="470"/>
      <c r="MOU2996" s="449"/>
      <c r="MOV2996" s="462"/>
      <c r="MOW2996" s="299"/>
      <c r="MOX2996" s="81"/>
      <c r="MOY2996" s="160"/>
      <c r="MOZ2996" s="555"/>
      <c r="MPA2996" s="125"/>
      <c r="MPB2996" s="470"/>
      <c r="MPC2996" s="449"/>
      <c r="MPD2996" s="462"/>
      <c r="MPE2996" s="299"/>
      <c r="MPF2996" s="81"/>
      <c r="MPG2996" s="160"/>
      <c r="MPH2996" s="555"/>
      <c r="MPI2996" s="125"/>
      <c r="MPJ2996" s="470"/>
      <c r="MPK2996" s="449"/>
      <c r="MPL2996" s="462"/>
      <c r="MPM2996" s="299"/>
      <c r="MPN2996" s="81"/>
      <c r="MPO2996" s="160"/>
      <c r="MPP2996" s="555"/>
      <c r="MPQ2996" s="125"/>
      <c r="MPR2996" s="470"/>
      <c r="MPS2996" s="449"/>
      <c r="MPT2996" s="462"/>
      <c r="MPU2996" s="299"/>
      <c r="MPV2996" s="81"/>
      <c r="MPW2996" s="160"/>
      <c r="MPX2996" s="555"/>
      <c r="MPY2996" s="125"/>
      <c r="MPZ2996" s="470"/>
      <c r="MQA2996" s="449"/>
      <c r="MQB2996" s="462"/>
      <c r="MQC2996" s="299"/>
      <c r="MQD2996" s="81"/>
      <c r="MQE2996" s="160"/>
      <c r="MQF2996" s="555"/>
      <c r="MQG2996" s="125"/>
      <c r="MQH2996" s="470"/>
      <c r="MQI2996" s="449"/>
      <c r="MQJ2996" s="462"/>
      <c r="MQK2996" s="299"/>
      <c r="MQL2996" s="81"/>
      <c r="MQM2996" s="160"/>
      <c r="MQN2996" s="555"/>
      <c r="MQO2996" s="125"/>
      <c r="MQP2996" s="470"/>
      <c r="MQQ2996" s="449"/>
      <c r="MQR2996" s="462"/>
      <c r="MQS2996" s="299"/>
      <c r="MQT2996" s="81"/>
      <c r="MQU2996" s="160"/>
      <c r="MQV2996" s="555"/>
      <c r="MQW2996" s="125"/>
      <c r="MQX2996" s="470"/>
      <c r="MQY2996" s="449"/>
      <c r="MQZ2996" s="462"/>
      <c r="MRA2996" s="299"/>
      <c r="MRB2996" s="81"/>
      <c r="MRC2996" s="160"/>
      <c r="MRD2996" s="555"/>
      <c r="MRE2996" s="125"/>
      <c r="MRF2996" s="470"/>
      <c r="MRG2996" s="449"/>
      <c r="MRH2996" s="462"/>
      <c r="MRI2996" s="299"/>
      <c r="MRJ2996" s="81"/>
      <c r="MRK2996" s="160"/>
      <c r="MRL2996" s="555"/>
      <c r="MRM2996" s="125"/>
      <c r="MRN2996" s="470"/>
      <c r="MRO2996" s="449"/>
      <c r="MRP2996" s="462"/>
      <c r="MRQ2996" s="299"/>
      <c r="MRR2996" s="81"/>
      <c r="MRS2996" s="160"/>
      <c r="MRT2996" s="555"/>
      <c r="MRU2996" s="125"/>
      <c r="MRV2996" s="470"/>
      <c r="MRW2996" s="449"/>
      <c r="MRX2996" s="462"/>
      <c r="MRY2996" s="299"/>
      <c r="MRZ2996" s="81"/>
      <c r="MSA2996" s="160"/>
      <c r="MSB2996" s="555"/>
      <c r="MSC2996" s="125"/>
      <c r="MSD2996" s="470"/>
      <c r="MSE2996" s="449"/>
      <c r="MSF2996" s="462"/>
      <c r="MSG2996" s="299"/>
      <c r="MSH2996" s="81"/>
      <c r="MSI2996" s="160"/>
      <c r="MSJ2996" s="555"/>
      <c r="MSK2996" s="125"/>
      <c r="MSL2996" s="470"/>
      <c r="MSM2996" s="449"/>
      <c r="MSN2996" s="462"/>
      <c r="MSO2996" s="299"/>
      <c r="MSP2996" s="81"/>
      <c r="MSQ2996" s="160"/>
      <c r="MSR2996" s="555"/>
      <c r="MSS2996" s="125"/>
      <c r="MST2996" s="470"/>
      <c r="MSU2996" s="449"/>
      <c r="MSV2996" s="462"/>
      <c r="MSW2996" s="299"/>
      <c r="MSX2996" s="81"/>
      <c r="MSY2996" s="160"/>
      <c r="MSZ2996" s="555"/>
      <c r="MTA2996" s="125"/>
      <c r="MTB2996" s="470"/>
      <c r="MTC2996" s="449"/>
      <c r="MTD2996" s="462"/>
      <c r="MTE2996" s="299"/>
      <c r="MTF2996" s="81"/>
      <c r="MTG2996" s="160"/>
      <c r="MTH2996" s="555"/>
      <c r="MTI2996" s="125"/>
      <c r="MTJ2996" s="470"/>
      <c r="MTK2996" s="449"/>
      <c r="MTL2996" s="462"/>
      <c r="MTM2996" s="299"/>
      <c r="MTN2996" s="81"/>
      <c r="MTO2996" s="160"/>
      <c r="MTP2996" s="555"/>
      <c r="MTQ2996" s="125"/>
      <c r="MTR2996" s="470"/>
      <c r="MTS2996" s="449"/>
      <c r="MTT2996" s="462"/>
      <c r="MTU2996" s="299"/>
      <c r="MTV2996" s="81"/>
      <c r="MTW2996" s="160"/>
      <c r="MTX2996" s="555"/>
      <c r="MTY2996" s="125"/>
      <c r="MTZ2996" s="470"/>
      <c r="MUA2996" s="449"/>
      <c r="MUB2996" s="462"/>
      <c r="MUC2996" s="299"/>
      <c r="MUD2996" s="81"/>
      <c r="MUE2996" s="160"/>
      <c r="MUF2996" s="555"/>
      <c r="MUG2996" s="125"/>
      <c r="MUH2996" s="470"/>
      <c r="MUI2996" s="449"/>
      <c r="MUJ2996" s="462"/>
      <c r="MUK2996" s="299"/>
      <c r="MUL2996" s="81"/>
      <c r="MUM2996" s="160"/>
      <c r="MUN2996" s="555"/>
      <c r="MUO2996" s="125"/>
      <c r="MUP2996" s="470"/>
      <c r="MUQ2996" s="449"/>
      <c r="MUR2996" s="462"/>
      <c r="MUS2996" s="299"/>
      <c r="MUT2996" s="81"/>
      <c r="MUU2996" s="160"/>
      <c r="MUV2996" s="555"/>
      <c r="MUW2996" s="125"/>
      <c r="MUX2996" s="470"/>
      <c r="MUY2996" s="449"/>
      <c r="MUZ2996" s="462"/>
      <c r="MVA2996" s="299"/>
      <c r="MVB2996" s="81"/>
      <c r="MVC2996" s="160"/>
      <c r="MVD2996" s="555"/>
      <c r="MVE2996" s="125"/>
      <c r="MVF2996" s="470"/>
      <c r="MVG2996" s="449"/>
      <c r="MVH2996" s="462"/>
      <c r="MVI2996" s="299"/>
      <c r="MVJ2996" s="81"/>
      <c r="MVK2996" s="160"/>
      <c r="MVL2996" s="555"/>
      <c r="MVM2996" s="125"/>
      <c r="MVN2996" s="470"/>
      <c r="MVO2996" s="449"/>
      <c r="MVP2996" s="462"/>
      <c r="MVQ2996" s="299"/>
      <c r="MVR2996" s="81"/>
      <c r="MVS2996" s="160"/>
      <c r="MVT2996" s="555"/>
      <c r="MVU2996" s="125"/>
      <c r="MVV2996" s="470"/>
      <c r="MVW2996" s="449"/>
      <c r="MVX2996" s="462"/>
      <c r="MVY2996" s="299"/>
      <c r="MVZ2996" s="81"/>
      <c r="MWA2996" s="160"/>
      <c r="MWB2996" s="555"/>
      <c r="MWC2996" s="125"/>
      <c r="MWD2996" s="470"/>
      <c r="MWE2996" s="449"/>
      <c r="MWF2996" s="462"/>
      <c r="MWG2996" s="299"/>
      <c r="MWH2996" s="81"/>
      <c r="MWI2996" s="160"/>
      <c r="MWJ2996" s="555"/>
      <c r="MWK2996" s="125"/>
      <c r="MWL2996" s="470"/>
      <c r="MWM2996" s="449"/>
      <c r="MWN2996" s="462"/>
      <c r="MWO2996" s="299"/>
      <c r="MWP2996" s="81"/>
      <c r="MWQ2996" s="160"/>
      <c r="MWR2996" s="555"/>
      <c r="MWS2996" s="125"/>
      <c r="MWT2996" s="470"/>
      <c r="MWU2996" s="449"/>
      <c r="MWV2996" s="462"/>
      <c r="MWW2996" s="299"/>
      <c r="MWX2996" s="81"/>
      <c r="MWY2996" s="160"/>
      <c r="MWZ2996" s="555"/>
      <c r="MXA2996" s="125"/>
      <c r="MXB2996" s="470"/>
      <c r="MXC2996" s="449"/>
      <c r="MXD2996" s="462"/>
      <c r="MXE2996" s="299"/>
      <c r="MXF2996" s="81"/>
      <c r="MXG2996" s="160"/>
      <c r="MXH2996" s="555"/>
      <c r="MXI2996" s="125"/>
      <c r="MXJ2996" s="470"/>
      <c r="MXK2996" s="449"/>
      <c r="MXL2996" s="462"/>
      <c r="MXM2996" s="299"/>
      <c r="MXN2996" s="81"/>
      <c r="MXO2996" s="160"/>
      <c r="MXP2996" s="555"/>
      <c r="MXQ2996" s="125"/>
      <c r="MXR2996" s="470"/>
      <c r="MXS2996" s="449"/>
      <c r="MXT2996" s="462"/>
      <c r="MXU2996" s="299"/>
      <c r="MXV2996" s="81"/>
      <c r="MXW2996" s="160"/>
      <c r="MXX2996" s="555"/>
      <c r="MXY2996" s="125"/>
      <c r="MXZ2996" s="470"/>
      <c r="MYA2996" s="449"/>
      <c r="MYB2996" s="462"/>
      <c r="MYC2996" s="299"/>
      <c r="MYD2996" s="81"/>
      <c r="MYE2996" s="160"/>
      <c r="MYF2996" s="555"/>
      <c r="MYG2996" s="125"/>
      <c r="MYH2996" s="470"/>
      <c r="MYI2996" s="449"/>
      <c r="MYJ2996" s="462"/>
      <c r="MYK2996" s="299"/>
      <c r="MYL2996" s="81"/>
      <c r="MYM2996" s="160"/>
      <c r="MYN2996" s="555"/>
      <c r="MYO2996" s="125"/>
      <c r="MYP2996" s="470"/>
      <c r="MYQ2996" s="449"/>
      <c r="MYR2996" s="462"/>
      <c r="MYS2996" s="299"/>
      <c r="MYT2996" s="81"/>
      <c r="MYU2996" s="160"/>
      <c r="MYV2996" s="555"/>
      <c r="MYW2996" s="125"/>
      <c r="MYX2996" s="470"/>
      <c r="MYY2996" s="449"/>
      <c r="MYZ2996" s="462"/>
      <c r="MZA2996" s="299"/>
      <c r="MZB2996" s="81"/>
      <c r="MZC2996" s="160"/>
      <c r="MZD2996" s="555"/>
      <c r="MZE2996" s="125"/>
      <c r="MZF2996" s="470"/>
      <c r="MZG2996" s="449"/>
      <c r="MZH2996" s="462"/>
      <c r="MZI2996" s="299"/>
      <c r="MZJ2996" s="81"/>
      <c r="MZK2996" s="160"/>
      <c r="MZL2996" s="555"/>
      <c r="MZM2996" s="125"/>
      <c r="MZN2996" s="470"/>
      <c r="MZO2996" s="449"/>
      <c r="MZP2996" s="462"/>
      <c r="MZQ2996" s="299"/>
      <c r="MZR2996" s="81"/>
      <c r="MZS2996" s="160"/>
      <c r="MZT2996" s="555"/>
      <c r="MZU2996" s="125"/>
      <c r="MZV2996" s="470"/>
      <c r="MZW2996" s="449"/>
      <c r="MZX2996" s="462"/>
      <c r="MZY2996" s="299"/>
      <c r="MZZ2996" s="81"/>
      <c r="NAA2996" s="160"/>
      <c r="NAB2996" s="555"/>
      <c r="NAC2996" s="125"/>
      <c r="NAD2996" s="470"/>
      <c r="NAE2996" s="449"/>
      <c r="NAF2996" s="462"/>
      <c r="NAG2996" s="299"/>
      <c r="NAH2996" s="81"/>
      <c r="NAI2996" s="160"/>
      <c r="NAJ2996" s="555"/>
      <c r="NAK2996" s="125"/>
      <c r="NAL2996" s="470"/>
      <c r="NAM2996" s="449"/>
      <c r="NAN2996" s="462"/>
      <c r="NAO2996" s="299"/>
      <c r="NAP2996" s="81"/>
      <c r="NAQ2996" s="160"/>
      <c r="NAR2996" s="555"/>
      <c r="NAS2996" s="125"/>
      <c r="NAT2996" s="470"/>
      <c r="NAU2996" s="449"/>
      <c r="NAV2996" s="462"/>
      <c r="NAW2996" s="299"/>
      <c r="NAX2996" s="81"/>
      <c r="NAY2996" s="160"/>
      <c r="NAZ2996" s="555"/>
      <c r="NBA2996" s="125"/>
      <c r="NBB2996" s="470"/>
      <c r="NBC2996" s="449"/>
      <c r="NBD2996" s="462"/>
      <c r="NBE2996" s="299"/>
      <c r="NBF2996" s="81"/>
      <c r="NBG2996" s="160"/>
      <c r="NBH2996" s="555"/>
      <c r="NBI2996" s="125"/>
      <c r="NBJ2996" s="470"/>
      <c r="NBK2996" s="449"/>
      <c r="NBL2996" s="462"/>
      <c r="NBM2996" s="299"/>
      <c r="NBN2996" s="81"/>
      <c r="NBO2996" s="160"/>
      <c r="NBP2996" s="555"/>
      <c r="NBQ2996" s="125"/>
      <c r="NBR2996" s="470"/>
      <c r="NBS2996" s="449"/>
      <c r="NBT2996" s="462"/>
      <c r="NBU2996" s="299"/>
      <c r="NBV2996" s="81"/>
      <c r="NBW2996" s="160"/>
      <c r="NBX2996" s="555"/>
      <c r="NBY2996" s="125"/>
      <c r="NBZ2996" s="470"/>
      <c r="NCA2996" s="449"/>
      <c r="NCB2996" s="462"/>
      <c r="NCC2996" s="299"/>
      <c r="NCD2996" s="81"/>
      <c r="NCE2996" s="160"/>
      <c r="NCF2996" s="555"/>
      <c r="NCG2996" s="125"/>
      <c r="NCH2996" s="470"/>
      <c r="NCI2996" s="449"/>
      <c r="NCJ2996" s="462"/>
      <c r="NCK2996" s="299"/>
      <c r="NCL2996" s="81"/>
      <c r="NCM2996" s="160"/>
      <c r="NCN2996" s="555"/>
      <c r="NCO2996" s="125"/>
      <c r="NCP2996" s="470"/>
      <c r="NCQ2996" s="449"/>
      <c r="NCR2996" s="462"/>
      <c r="NCS2996" s="299"/>
      <c r="NCT2996" s="81"/>
      <c r="NCU2996" s="160"/>
      <c r="NCV2996" s="555"/>
      <c r="NCW2996" s="125"/>
      <c r="NCX2996" s="470"/>
      <c r="NCY2996" s="449"/>
      <c r="NCZ2996" s="462"/>
      <c r="NDA2996" s="299"/>
      <c r="NDB2996" s="81"/>
      <c r="NDC2996" s="160"/>
      <c r="NDD2996" s="555"/>
      <c r="NDE2996" s="125"/>
      <c r="NDF2996" s="470"/>
      <c r="NDG2996" s="449"/>
      <c r="NDH2996" s="462"/>
      <c r="NDI2996" s="299"/>
      <c r="NDJ2996" s="81"/>
      <c r="NDK2996" s="160"/>
      <c r="NDL2996" s="555"/>
      <c r="NDM2996" s="125"/>
      <c r="NDN2996" s="470"/>
      <c r="NDO2996" s="449"/>
      <c r="NDP2996" s="462"/>
      <c r="NDQ2996" s="299"/>
      <c r="NDR2996" s="81"/>
      <c r="NDS2996" s="160"/>
      <c r="NDT2996" s="555"/>
      <c r="NDU2996" s="125"/>
      <c r="NDV2996" s="470"/>
      <c r="NDW2996" s="449"/>
      <c r="NDX2996" s="462"/>
      <c r="NDY2996" s="299"/>
      <c r="NDZ2996" s="81"/>
      <c r="NEA2996" s="160"/>
      <c r="NEB2996" s="555"/>
      <c r="NEC2996" s="125"/>
      <c r="NED2996" s="470"/>
      <c r="NEE2996" s="449"/>
      <c r="NEF2996" s="462"/>
      <c r="NEG2996" s="299"/>
      <c r="NEH2996" s="81"/>
      <c r="NEI2996" s="160"/>
      <c r="NEJ2996" s="555"/>
      <c r="NEK2996" s="125"/>
      <c r="NEL2996" s="470"/>
      <c r="NEM2996" s="449"/>
      <c r="NEN2996" s="462"/>
      <c r="NEO2996" s="299"/>
      <c r="NEP2996" s="81"/>
      <c r="NEQ2996" s="160"/>
      <c r="NER2996" s="555"/>
      <c r="NES2996" s="125"/>
      <c r="NET2996" s="470"/>
      <c r="NEU2996" s="449"/>
      <c r="NEV2996" s="462"/>
      <c r="NEW2996" s="299"/>
      <c r="NEX2996" s="81"/>
      <c r="NEY2996" s="160"/>
      <c r="NEZ2996" s="555"/>
      <c r="NFA2996" s="125"/>
      <c r="NFB2996" s="470"/>
      <c r="NFC2996" s="449"/>
      <c r="NFD2996" s="462"/>
      <c r="NFE2996" s="299"/>
      <c r="NFF2996" s="81"/>
      <c r="NFG2996" s="160"/>
      <c r="NFH2996" s="555"/>
      <c r="NFI2996" s="125"/>
      <c r="NFJ2996" s="470"/>
      <c r="NFK2996" s="449"/>
      <c r="NFL2996" s="462"/>
      <c r="NFM2996" s="299"/>
      <c r="NFN2996" s="81"/>
      <c r="NFO2996" s="160"/>
      <c r="NFP2996" s="555"/>
      <c r="NFQ2996" s="125"/>
      <c r="NFR2996" s="470"/>
      <c r="NFS2996" s="449"/>
      <c r="NFT2996" s="462"/>
      <c r="NFU2996" s="299"/>
      <c r="NFV2996" s="81"/>
      <c r="NFW2996" s="160"/>
      <c r="NFX2996" s="555"/>
      <c r="NFY2996" s="125"/>
      <c r="NFZ2996" s="470"/>
      <c r="NGA2996" s="449"/>
      <c r="NGB2996" s="462"/>
      <c r="NGC2996" s="299"/>
      <c r="NGD2996" s="81"/>
      <c r="NGE2996" s="160"/>
      <c r="NGF2996" s="555"/>
      <c r="NGG2996" s="125"/>
      <c r="NGH2996" s="470"/>
      <c r="NGI2996" s="449"/>
      <c r="NGJ2996" s="462"/>
      <c r="NGK2996" s="299"/>
      <c r="NGL2996" s="81"/>
      <c r="NGM2996" s="160"/>
      <c r="NGN2996" s="555"/>
      <c r="NGO2996" s="125"/>
      <c r="NGP2996" s="470"/>
      <c r="NGQ2996" s="449"/>
      <c r="NGR2996" s="462"/>
      <c r="NGS2996" s="299"/>
      <c r="NGT2996" s="81"/>
      <c r="NGU2996" s="160"/>
      <c r="NGV2996" s="555"/>
      <c r="NGW2996" s="125"/>
      <c r="NGX2996" s="470"/>
      <c r="NGY2996" s="449"/>
      <c r="NGZ2996" s="462"/>
      <c r="NHA2996" s="299"/>
      <c r="NHB2996" s="81"/>
      <c r="NHC2996" s="160"/>
      <c r="NHD2996" s="555"/>
      <c r="NHE2996" s="125"/>
      <c r="NHF2996" s="470"/>
      <c r="NHG2996" s="449"/>
      <c r="NHH2996" s="462"/>
      <c r="NHI2996" s="299"/>
      <c r="NHJ2996" s="81"/>
      <c r="NHK2996" s="160"/>
      <c r="NHL2996" s="555"/>
      <c r="NHM2996" s="125"/>
      <c r="NHN2996" s="470"/>
      <c r="NHO2996" s="449"/>
      <c r="NHP2996" s="462"/>
      <c r="NHQ2996" s="299"/>
      <c r="NHR2996" s="81"/>
      <c r="NHS2996" s="160"/>
      <c r="NHT2996" s="555"/>
      <c r="NHU2996" s="125"/>
      <c r="NHV2996" s="470"/>
      <c r="NHW2996" s="449"/>
      <c r="NHX2996" s="462"/>
      <c r="NHY2996" s="299"/>
      <c r="NHZ2996" s="81"/>
      <c r="NIA2996" s="160"/>
      <c r="NIB2996" s="555"/>
      <c r="NIC2996" s="125"/>
      <c r="NID2996" s="470"/>
      <c r="NIE2996" s="449"/>
      <c r="NIF2996" s="462"/>
      <c r="NIG2996" s="299"/>
      <c r="NIH2996" s="81"/>
      <c r="NII2996" s="160"/>
      <c r="NIJ2996" s="555"/>
      <c r="NIK2996" s="125"/>
      <c r="NIL2996" s="470"/>
      <c r="NIM2996" s="449"/>
      <c r="NIN2996" s="462"/>
      <c r="NIO2996" s="299"/>
      <c r="NIP2996" s="81"/>
      <c r="NIQ2996" s="160"/>
      <c r="NIR2996" s="555"/>
      <c r="NIS2996" s="125"/>
      <c r="NIT2996" s="470"/>
      <c r="NIU2996" s="449"/>
      <c r="NIV2996" s="462"/>
      <c r="NIW2996" s="299"/>
      <c r="NIX2996" s="81"/>
      <c r="NIY2996" s="160"/>
      <c r="NIZ2996" s="555"/>
      <c r="NJA2996" s="125"/>
      <c r="NJB2996" s="470"/>
      <c r="NJC2996" s="449"/>
      <c r="NJD2996" s="462"/>
      <c r="NJE2996" s="299"/>
      <c r="NJF2996" s="81"/>
      <c r="NJG2996" s="160"/>
      <c r="NJH2996" s="555"/>
      <c r="NJI2996" s="125"/>
      <c r="NJJ2996" s="470"/>
      <c r="NJK2996" s="449"/>
      <c r="NJL2996" s="462"/>
      <c r="NJM2996" s="299"/>
      <c r="NJN2996" s="81"/>
      <c r="NJO2996" s="160"/>
      <c r="NJP2996" s="555"/>
      <c r="NJQ2996" s="125"/>
      <c r="NJR2996" s="470"/>
      <c r="NJS2996" s="449"/>
      <c r="NJT2996" s="462"/>
      <c r="NJU2996" s="299"/>
      <c r="NJV2996" s="81"/>
      <c r="NJW2996" s="160"/>
      <c r="NJX2996" s="555"/>
      <c r="NJY2996" s="125"/>
      <c r="NJZ2996" s="470"/>
      <c r="NKA2996" s="449"/>
      <c r="NKB2996" s="462"/>
      <c r="NKC2996" s="299"/>
      <c r="NKD2996" s="81"/>
      <c r="NKE2996" s="160"/>
      <c r="NKF2996" s="555"/>
      <c r="NKG2996" s="125"/>
      <c r="NKH2996" s="470"/>
      <c r="NKI2996" s="449"/>
      <c r="NKJ2996" s="462"/>
      <c r="NKK2996" s="299"/>
      <c r="NKL2996" s="81"/>
      <c r="NKM2996" s="160"/>
      <c r="NKN2996" s="555"/>
      <c r="NKO2996" s="125"/>
      <c r="NKP2996" s="470"/>
      <c r="NKQ2996" s="449"/>
      <c r="NKR2996" s="462"/>
      <c r="NKS2996" s="299"/>
      <c r="NKT2996" s="81"/>
      <c r="NKU2996" s="160"/>
      <c r="NKV2996" s="555"/>
      <c r="NKW2996" s="125"/>
      <c r="NKX2996" s="470"/>
      <c r="NKY2996" s="449"/>
      <c r="NKZ2996" s="462"/>
      <c r="NLA2996" s="299"/>
      <c r="NLB2996" s="81"/>
      <c r="NLC2996" s="160"/>
      <c r="NLD2996" s="555"/>
      <c r="NLE2996" s="125"/>
      <c r="NLF2996" s="470"/>
      <c r="NLG2996" s="449"/>
      <c r="NLH2996" s="462"/>
      <c r="NLI2996" s="299"/>
      <c r="NLJ2996" s="81"/>
      <c r="NLK2996" s="160"/>
      <c r="NLL2996" s="555"/>
      <c r="NLM2996" s="125"/>
      <c r="NLN2996" s="470"/>
      <c r="NLO2996" s="449"/>
      <c r="NLP2996" s="462"/>
      <c r="NLQ2996" s="299"/>
      <c r="NLR2996" s="81"/>
      <c r="NLS2996" s="160"/>
      <c r="NLT2996" s="555"/>
      <c r="NLU2996" s="125"/>
      <c r="NLV2996" s="470"/>
      <c r="NLW2996" s="449"/>
      <c r="NLX2996" s="462"/>
      <c r="NLY2996" s="299"/>
      <c r="NLZ2996" s="81"/>
      <c r="NMA2996" s="160"/>
      <c r="NMB2996" s="555"/>
      <c r="NMC2996" s="125"/>
      <c r="NMD2996" s="470"/>
      <c r="NME2996" s="449"/>
      <c r="NMF2996" s="462"/>
      <c r="NMG2996" s="299"/>
      <c r="NMH2996" s="81"/>
      <c r="NMI2996" s="160"/>
      <c r="NMJ2996" s="555"/>
      <c r="NMK2996" s="125"/>
      <c r="NML2996" s="470"/>
      <c r="NMM2996" s="449"/>
      <c r="NMN2996" s="462"/>
      <c r="NMO2996" s="299"/>
      <c r="NMP2996" s="81"/>
      <c r="NMQ2996" s="160"/>
      <c r="NMR2996" s="555"/>
      <c r="NMS2996" s="125"/>
      <c r="NMT2996" s="470"/>
      <c r="NMU2996" s="449"/>
      <c r="NMV2996" s="462"/>
      <c r="NMW2996" s="299"/>
      <c r="NMX2996" s="81"/>
      <c r="NMY2996" s="160"/>
      <c r="NMZ2996" s="555"/>
      <c r="NNA2996" s="125"/>
      <c r="NNB2996" s="470"/>
      <c r="NNC2996" s="449"/>
      <c r="NND2996" s="462"/>
      <c r="NNE2996" s="299"/>
      <c r="NNF2996" s="81"/>
      <c r="NNG2996" s="160"/>
      <c r="NNH2996" s="555"/>
      <c r="NNI2996" s="125"/>
      <c r="NNJ2996" s="470"/>
      <c r="NNK2996" s="449"/>
      <c r="NNL2996" s="462"/>
      <c r="NNM2996" s="299"/>
      <c r="NNN2996" s="81"/>
      <c r="NNO2996" s="160"/>
      <c r="NNP2996" s="555"/>
      <c r="NNQ2996" s="125"/>
      <c r="NNR2996" s="470"/>
      <c r="NNS2996" s="449"/>
      <c r="NNT2996" s="462"/>
      <c r="NNU2996" s="299"/>
      <c r="NNV2996" s="81"/>
      <c r="NNW2996" s="160"/>
      <c r="NNX2996" s="555"/>
      <c r="NNY2996" s="125"/>
      <c r="NNZ2996" s="470"/>
      <c r="NOA2996" s="449"/>
      <c r="NOB2996" s="462"/>
      <c r="NOC2996" s="299"/>
      <c r="NOD2996" s="81"/>
      <c r="NOE2996" s="160"/>
      <c r="NOF2996" s="555"/>
      <c r="NOG2996" s="125"/>
      <c r="NOH2996" s="470"/>
      <c r="NOI2996" s="449"/>
      <c r="NOJ2996" s="462"/>
      <c r="NOK2996" s="299"/>
      <c r="NOL2996" s="81"/>
      <c r="NOM2996" s="160"/>
      <c r="NON2996" s="555"/>
      <c r="NOO2996" s="125"/>
      <c r="NOP2996" s="470"/>
      <c r="NOQ2996" s="449"/>
      <c r="NOR2996" s="462"/>
      <c r="NOS2996" s="299"/>
      <c r="NOT2996" s="81"/>
      <c r="NOU2996" s="160"/>
      <c r="NOV2996" s="555"/>
      <c r="NOW2996" s="125"/>
      <c r="NOX2996" s="470"/>
      <c r="NOY2996" s="449"/>
      <c r="NOZ2996" s="462"/>
      <c r="NPA2996" s="299"/>
      <c r="NPB2996" s="81"/>
      <c r="NPC2996" s="160"/>
      <c r="NPD2996" s="555"/>
      <c r="NPE2996" s="125"/>
      <c r="NPF2996" s="470"/>
      <c r="NPG2996" s="449"/>
      <c r="NPH2996" s="462"/>
      <c r="NPI2996" s="299"/>
      <c r="NPJ2996" s="81"/>
      <c r="NPK2996" s="160"/>
      <c r="NPL2996" s="555"/>
      <c r="NPM2996" s="125"/>
      <c r="NPN2996" s="470"/>
      <c r="NPO2996" s="449"/>
      <c r="NPP2996" s="462"/>
      <c r="NPQ2996" s="299"/>
      <c r="NPR2996" s="81"/>
      <c r="NPS2996" s="160"/>
      <c r="NPT2996" s="555"/>
      <c r="NPU2996" s="125"/>
      <c r="NPV2996" s="470"/>
      <c r="NPW2996" s="449"/>
      <c r="NPX2996" s="462"/>
      <c r="NPY2996" s="299"/>
      <c r="NPZ2996" s="81"/>
      <c r="NQA2996" s="160"/>
      <c r="NQB2996" s="555"/>
      <c r="NQC2996" s="125"/>
      <c r="NQD2996" s="470"/>
      <c r="NQE2996" s="449"/>
      <c r="NQF2996" s="462"/>
      <c r="NQG2996" s="299"/>
      <c r="NQH2996" s="81"/>
      <c r="NQI2996" s="160"/>
      <c r="NQJ2996" s="555"/>
      <c r="NQK2996" s="125"/>
      <c r="NQL2996" s="470"/>
      <c r="NQM2996" s="449"/>
      <c r="NQN2996" s="462"/>
      <c r="NQO2996" s="299"/>
      <c r="NQP2996" s="81"/>
      <c r="NQQ2996" s="160"/>
      <c r="NQR2996" s="555"/>
      <c r="NQS2996" s="125"/>
      <c r="NQT2996" s="470"/>
      <c r="NQU2996" s="449"/>
      <c r="NQV2996" s="462"/>
      <c r="NQW2996" s="299"/>
      <c r="NQX2996" s="81"/>
      <c r="NQY2996" s="160"/>
      <c r="NQZ2996" s="555"/>
      <c r="NRA2996" s="125"/>
      <c r="NRB2996" s="470"/>
      <c r="NRC2996" s="449"/>
      <c r="NRD2996" s="462"/>
      <c r="NRE2996" s="299"/>
      <c r="NRF2996" s="81"/>
      <c r="NRG2996" s="160"/>
      <c r="NRH2996" s="555"/>
      <c r="NRI2996" s="125"/>
      <c r="NRJ2996" s="470"/>
      <c r="NRK2996" s="449"/>
      <c r="NRL2996" s="462"/>
      <c r="NRM2996" s="299"/>
      <c r="NRN2996" s="81"/>
      <c r="NRO2996" s="160"/>
      <c r="NRP2996" s="555"/>
      <c r="NRQ2996" s="125"/>
      <c r="NRR2996" s="470"/>
      <c r="NRS2996" s="449"/>
      <c r="NRT2996" s="462"/>
      <c r="NRU2996" s="299"/>
      <c r="NRV2996" s="81"/>
      <c r="NRW2996" s="160"/>
      <c r="NRX2996" s="555"/>
      <c r="NRY2996" s="125"/>
      <c r="NRZ2996" s="470"/>
      <c r="NSA2996" s="449"/>
      <c r="NSB2996" s="462"/>
      <c r="NSC2996" s="299"/>
      <c r="NSD2996" s="81"/>
      <c r="NSE2996" s="160"/>
      <c r="NSF2996" s="555"/>
      <c r="NSG2996" s="125"/>
      <c r="NSH2996" s="470"/>
      <c r="NSI2996" s="449"/>
      <c r="NSJ2996" s="462"/>
      <c r="NSK2996" s="299"/>
      <c r="NSL2996" s="81"/>
      <c r="NSM2996" s="160"/>
      <c r="NSN2996" s="555"/>
      <c r="NSO2996" s="125"/>
      <c r="NSP2996" s="470"/>
      <c r="NSQ2996" s="449"/>
      <c r="NSR2996" s="462"/>
      <c r="NSS2996" s="299"/>
      <c r="NST2996" s="81"/>
      <c r="NSU2996" s="160"/>
      <c r="NSV2996" s="555"/>
      <c r="NSW2996" s="125"/>
      <c r="NSX2996" s="470"/>
      <c r="NSY2996" s="449"/>
      <c r="NSZ2996" s="462"/>
      <c r="NTA2996" s="299"/>
      <c r="NTB2996" s="81"/>
      <c r="NTC2996" s="160"/>
      <c r="NTD2996" s="555"/>
      <c r="NTE2996" s="125"/>
      <c r="NTF2996" s="470"/>
      <c r="NTG2996" s="449"/>
      <c r="NTH2996" s="462"/>
      <c r="NTI2996" s="299"/>
      <c r="NTJ2996" s="81"/>
      <c r="NTK2996" s="160"/>
      <c r="NTL2996" s="555"/>
      <c r="NTM2996" s="125"/>
      <c r="NTN2996" s="470"/>
      <c r="NTO2996" s="449"/>
      <c r="NTP2996" s="462"/>
      <c r="NTQ2996" s="299"/>
      <c r="NTR2996" s="81"/>
      <c r="NTS2996" s="160"/>
      <c r="NTT2996" s="555"/>
      <c r="NTU2996" s="125"/>
      <c r="NTV2996" s="470"/>
      <c r="NTW2996" s="449"/>
      <c r="NTX2996" s="462"/>
      <c r="NTY2996" s="299"/>
      <c r="NTZ2996" s="81"/>
      <c r="NUA2996" s="160"/>
      <c r="NUB2996" s="555"/>
      <c r="NUC2996" s="125"/>
      <c r="NUD2996" s="470"/>
      <c r="NUE2996" s="449"/>
      <c r="NUF2996" s="462"/>
      <c r="NUG2996" s="299"/>
      <c r="NUH2996" s="81"/>
      <c r="NUI2996" s="160"/>
      <c r="NUJ2996" s="555"/>
      <c r="NUK2996" s="125"/>
      <c r="NUL2996" s="470"/>
      <c r="NUM2996" s="449"/>
      <c r="NUN2996" s="462"/>
      <c r="NUO2996" s="299"/>
      <c r="NUP2996" s="81"/>
      <c r="NUQ2996" s="160"/>
      <c r="NUR2996" s="555"/>
      <c r="NUS2996" s="125"/>
      <c r="NUT2996" s="470"/>
      <c r="NUU2996" s="449"/>
      <c r="NUV2996" s="462"/>
      <c r="NUW2996" s="299"/>
      <c r="NUX2996" s="81"/>
      <c r="NUY2996" s="160"/>
      <c r="NUZ2996" s="555"/>
      <c r="NVA2996" s="125"/>
      <c r="NVB2996" s="470"/>
      <c r="NVC2996" s="449"/>
      <c r="NVD2996" s="462"/>
      <c r="NVE2996" s="299"/>
      <c r="NVF2996" s="81"/>
      <c r="NVG2996" s="160"/>
      <c r="NVH2996" s="555"/>
      <c r="NVI2996" s="125"/>
      <c r="NVJ2996" s="470"/>
      <c r="NVK2996" s="449"/>
      <c r="NVL2996" s="462"/>
      <c r="NVM2996" s="299"/>
      <c r="NVN2996" s="81"/>
      <c r="NVO2996" s="160"/>
      <c r="NVP2996" s="555"/>
      <c r="NVQ2996" s="125"/>
      <c r="NVR2996" s="470"/>
      <c r="NVS2996" s="449"/>
      <c r="NVT2996" s="462"/>
      <c r="NVU2996" s="299"/>
      <c r="NVV2996" s="81"/>
      <c r="NVW2996" s="160"/>
      <c r="NVX2996" s="555"/>
      <c r="NVY2996" s="125"/>
      <c r="NVZ2996" s="470"/>
      <c r="NWA2996" s="449"/>
      <c r="NWB2996" s="462"/>
      <c r="NWC2996" s="299"/>
      <c r="NWD2996" s="81"/>
      <c r="NWE2996" s="160"/>
      <c r="NWF2996" s="555"/>
      <c r="NWG2996" s="125"/>
      <c r="NWH2996" s="470"/>
      <c r="NWI2996" s="449"/>
      <c r="NWJ2996" s="462"/>
      <c r="NWK2996" s="299"/>
      <c r="NWL2996" s="81"/>
      <c r="NWM2996" s="160"/>
      <c r="NWN2996" s="555"/>
      <c r="NWO2996" s="125"/>
      <c r="NWP2996" s="470"/>
      <c r="NWQ2996" s="449"/>
      <c r="NWR2996" s="462"/>
      <c r="NWS2996" s="299"/>
      <c r="NWT2996" s="81"/>
      <c r="NWU2996" s="160"/>
      <c r="NWV2996" s="555"/>
      <c r="NWW2996" s="125"/>
      <c r="NWX2996" s="470"/>
      <c r="NWY2996" s="449"/>
      <c r="NWZ2996" s="462"/>
      <c r="NXA2996" s="299"/>
      <c r="NXB2996" s="81"/>
      <c r="NXC2996" s="160"/>
      <c r="NXD2996" s="555"/>
      <c r="NXE2996" s="125"/>
      <c r="NXF2996" s="470"/>
      <c r="NXG2996" s="449"/>
      <c r="NXH2996" s="462"/>
      <c r="NXI2996" s="299"/>
      <c r="NXJ2996" s="81"/>
      <c r="NXK2996" s="160"/>
      <c r="NXL2996" s="555"/>
      <c r="NXM2996" s="125"/>
      <c r="NXN2996" s="470"/>
      <c r="NXO2996" s="449"/>
      <c r="NXP2996" s="462"/>
      <c r="NXQ2996" s="299"/>
      <c r="NXR2996" s="81"/>
      <c r="NXS2996" s="160"/>
      <c r="NXT2996" s="555"/>
      <c r="NXU2996" s="125"/>
      <c r="NXV2996" s="470"/>
      <c r="NXW2996" s="449"/>
      <c r="NXX2996" s="462"/>
      <c r="NXY2996" s="299"/>
      <c r="NXZ2996" s="81"/>
      <c r="NYA2996" s="160"/>
      <c r="NYB2996" s="555"/>
      <c r="NYC2996" s="125"/>
      <c r="NYD2996" s="470"/>
      <c r="NYE2996" s="449"/>
      <c r="NYF2996" s="462"/>
      <c r="NYG2996" s="299"/>
      <c r="NYH2996" s="81"/>
      <c r="NYI2996" s="160"/>
      <c r="NYJ2996" s="555"/>
      <c r="NYK2996" s="125"/>
      <c r="NYL2996" s="470"/>
      <c r="NYM2996" s="449"/>
      <c r="NYN2996" s="462"/>
      <c r="NYO2996" s="299"/>
      <c r="NYP2996" s="81"/>
      <c r="NYQ2996" s="160"/>
      <c r="NYR2996" s="555"/>
      <c r="NYS2996" s="125"/>
      <c r="NYT2996" s="470"/>
      <c r="NYU2996" s="449"/>
      <c r="NYV2996" s="462"/>
      <c r="NYW2996" s="299"/>
      <c r="NYX2996" s="81"/>
      <c r="NYY2996" s="160"/>
      <c r="NYZ2996" s="555"/>
      <c r="NZA2996" s="125"/>
      <c r="NZB2996" s="470"/>
      <c r="NZC2996" s="449"/>
      <c r="NZD2996" s="462"/>
      <c r="NZE2996" s="299"/>
      <c r="NZF2996" s="81"/>
      <c r="NZG2996" s="160"/>
      <c r="NZH2996" s="555"/>
      <c r="NZI2996" s="125"/>
      <c r="NZJ2996" s="470"/>
      <c r="NZK2996" s="449"/>
      <c r="NZL2996" s="462"/>
      <c r="NZM2996" s="299"/>
      <c r="NZN2996" s="81"/>
      <c r="NZO2996" s="160"/>
      <c r="NZP2996" s="555"/>
      <c r="NZQ2996" s="125"/>
      <c r="NZR2996" s="470"/>
      <c r="NZS2996" s="449"/>
      <c r="NZT2996" s="462"/>
      <c r="NZU2996" s="299"/>
      <c r="NZV2996" s="81"/>
      <c r="NZW2996" s="160"/>
      <c r="NZX2996" s="555"/>
      <c r="NZY2996" s="125"/>
      <c r="NZZ2996" s="470"/>
      <c r="OAA2996" s="449"/>
      <c r="OAB2996" s="462"/>
      <c r="OAC2996" s="299"/>
      <c r="OAD2996" s="81"/>
      <c r="OAE2996" s="160"/>
      <c r="OAF2996" s="555"/>
      <c r="OAG2996" s="125"/>
      <c r="OAH2996" s="470"/>
      <c r="OAI2996" s="449"/>
      <c r="OAJ2996" s="462"/>
      <c r="OAK2996" s="299"/>
      <c r="OAL2996" s="81"/>
      <c r="OAM2996" s="160"/>
      <c r="OAN2996" s="555"/>
      <c r="OAO2996" s="125"/>
      <c r="OAP2996" s="470"/>
      <c r="OAQ2996" s="449"/>
      <c r="OAR2996" s="462"/>
      <c r="OAS2996" s="299"/>
      <c r="OAT2996" s="81"/>
      <c r="OAU2996" s="160"/>
      <c r="OAV2996" s="555"/>
      <c r="OAW2996" s="125"/>
      <c r="OAX2996" s="470"/>
      <c r="OAY2996" s="449"/>
      <c r="OAZ2996" s="462"/>
      <c r="OBA2996" s="299"/>
      <c r="OBB2996" s="81"/>
      <c r="OBC2996" s="160"/>
      <c r="OBD2996" s="555"/>
      <c r="OBE2996" s="125"/>
      <c r="OBF2996" s="470"/>
      <c r="OBG2996" s="449"/>
      <c r="OBH2996" s="462"/>
      <c r="OBI2996" s="299"/>
      <c r="OBJ2996" s="81"/>
      <c r="OBK2996" s="160"/>
      <c r="OBL2996" s="555"/>
      <c r="OBM2996" s="125"/>
      <c r="OBN2996" s="470"/>
      <c r="OBO2996" s="449"/>
      <c r="OBP2996" s="462"/>
      <c r="OBQ2996" s="299"/>
      <c r="OBR2996" s="81"/>
      <c r="OBS2996" s="160"/>
      <c r="OBT2996" s="555"/>
      <c r="OBU2996" s="125"/>
      <c r="OBV2996" s="470"/>
      <c r="OBW2996" s="449"/>
      <c r="OBX2996" s="462"/>
      <c r="OBY2996" s="299"/>
      <c r="OBZ2996" s="81"/>
      <c r="OCA2996" s="160"/>
      <c r="OCB2996" s="555"/>
      <c r="OCC2996" s="125"/>
      <c r="OCD2996" s="470"/>
      <c r="OCE2996" s="449"/>
      <c r="OCF2996" s="462"/>
      <c r="OCG2996" s="299"/>
      <c r="OCH2996" s="81"/>
      <c r="OCI2996" s="160"/>
      <c r="OCJ2996" s="555"/>
      <c r="OCK2996" s="125"/>
      <c r="OCL2996" s="470"/>
      <c r="OCM2996" s="449"/>
      <c r="OCN2996" s="462"/>
      <c r="OCO2996" s="299"/>
      <c r="OCP2996" s="81"/>
      <c r="OCQ2996" s="160"/>
      <c r="OCR2996" s="555"/>
      <c r="OCS2996" s="125"/>
      <c r="OCT2996" s="470"/>
      <c r="OCU2996" s="449"/>
      <c r="OCV2996" s="462"/>
      <c r="OCW2996" s="299"/>
      <c r="OCX2996" s="81"/>
      <c r="OCY2996" s="160"/>
      <c r="OCZ2996" s="555"/>
      <c r="ODA2996" s="125"/>
      <c r="ODB2996" s="470"/>
      <c r="ODC2996" s="449"/>
      <c r="ODD2996" s="462"/>
      <c r="ODE2996" s="299"/>
      <c r="ODF2996" s="81"/>
      <c r="ODG2996" s="160"/>
      <c r="ODH2996" s="555"/>
      <c r="ODI2996" s="125"/>
      <c r="ODJ2996" s="470"/>
      <c r="ODK2996" s="449"/>
      <c r="ODL2996" s="462"/>
      <c r="ODM2996" s="299"/>
      <c r="ODN2996" s="81"/>
      <c r="ODO2996" s="160"/>
      <c r="ODP2996" s="555"/>
      <c r="ODQ2996" s="125"/>
      <c r="ODR2996" s="470"/>
      <c r="ODS2996" s="449"/>
      <c r="ODT2996" s="462"/>
      <c r="ODU2996" s="299"/>
      <c r="ODV2996" s="81"/>
      <c r="ODW2996" s="160"/>
      <c r="ODX2996" s="555"/>
      <c r="ODY2996" s="125"/>
      <c r="ODZ2996" s="470"/>
      <c r="OEA2996" s="449"/>
      <c r="OEB2996" s="462"/>
      <c r="OEC2996" s="299"/>
      <c r="OED2996" s="81"/>
      <c r="OEE2996" s="160"/>
      <c r="OEF2996" s="555"/>
      <c r="OEG2996" s="125"/>
      <c r="OEH2996" s="470"/>
      <c r="OEI2996" s="449"/>
      <c r="OEJ2996" s="462"/>
      <c r="OEK2996" s="299"/>
      <c r="OEL2996" s="81"/>
      <c r="OEM2996" s="160"/>
      <c r="OEN2996" s="555"/>
      <c r="OEO2996" s="125"/>
      <c r="OEP2996" s="470"/>
      <c r="OEQ2996" s="449"/>
      <c r="OER2996" s="462"/>
      <c r="OES2996" s="299"/>
      <c r="OET2996" s="81"/>
      <c r="OEU2996" s="160"/>
      <c r="OEV2996" s="555"/>
      <c r="OEW2996" s="125"/>
      <c r="OEX2996" s="470"/>
      <c r="OEY2996" s="449"/>
      <c r="OEZ2996" s="462"/>
      <c r="OFA2996" s="299"/>
      <c r="OFB2996" s="81"/>
      <c r="OFC2996" s="160"/>
      <c r="OFD2996" s="555"/>
      <c r="OFE2996" s="125"/>
      <c r="OFF2996" s="470"/>
      <c r="OFG2996" s="449"/>
      <c r="OFH2996" s="462"/>
      <c r="OFI2996" s="299"/>
      <c r="OFJ2996" s="81"/>
      <c r="OFK2996" s="160"/>
      <c r="OFL2996" s="555"/>
      <c r="OFM2996" s="125"/>
      <c r="OFN2996" s="470"/>
      <c r="OFO2996" s="449"/>
      <c r="OFP2996" s="462"/>
      <c r="OFQ2996" s="299"/>
      <c r="OFR2996" s="81"/>
      <c r="OFS2996" s="160"/>
      <c r="OFT2996" s="555"/>
      <c r="OFU2996" s="125"/>
      <c r="OFV2996" s="470"/>
      <c r="OFW2996" s="449"/>
      <c r="OFX2996" s="462"/>
      <c r="OFY2996" s="299"/>
      <c r="OFZ2996" s="81"/>
      <c r="OGA2996" s="160"/>
      <c r="OGB2996" s="555"/>
      <c r="OGC2996" s="125"/>
      <c r="OGD2996" s="470"/>
      <c r="OGE2996" s="449"/>
      <c r="OGF2996" s="462"/>
      <c r="OGG2996" s="299"/>
      <c r="OGH2996" s="81"/>
      <c r="OGI2996" s="160"/>
      <c r="OGJ2996" s="555"/>
      <c r="OGK2996" s="125"/>
      <c r="OGL2996" s="470"/>
      <c r="OGM2996" s="449"/>
      <c r="OGN2996" s="462"/>
      <c r="OGO2996" s="299"/>
      <c r="OGP2996" s="81"/>
      <c r="OGQ2996" s="160"/>
      <c r="OGR2996" s="555"/>
      <c r="OGS2996" s="125"/>
      <c r="OGT2996" s="470"/>
      <c r="OGU2996" s="449"/>
      <c r="OGV2996" s="462"/>
      <c r="OGW2996" s="299"/>
      <c r="OGX2996" s="81"/>
      <c r="OGY2996" s="160"/>
      <c r="OGZ2996" s="555"/>
      <c r="OHA2996" s="125"/>
      <c r="OHB2996" s="470"/>
      <c r="OHC2996" s="449"/>
      <c r="OHD2996" s="462"/>
      <c r="OHE2996" s="299"/>
      <c r="OHF2996" s="81"/>
      <c r="OHG2996" s="160"/>
      <c r="OHH2996" s="555"/>
      <c r="OHI2996" s="125"/>
      <c r="OHJ2996" s="470"/>
      <c r="OHK2996" s="449"/>
      <c r="OHL2996" s="462"/>
      <c r="OHM2996" s="299"/>
      <c r="OHN2996" s="81"/>
      <c r="OHO2996" s="160"/>
      <c r="OHP2996" s="555"/>
      <c r="OHQ2996" s="125"/>
      <c r="OHR2996" s="470"/>
      <c r="OHS2996" s="449"/>
      <c r="OHT2996" s="462"/>
      <c r="OHU2996" s="299"/>
      <c r="OHV2996" s="81"/>
      <c r="OHW2996" s="160"/>
      <c r="OHX2996" s="555"/>
      <c r="OHY2996" s="125"/>
      <c r="OHZ2996" s="470"/>
      <c r="OIA2996" s="449"/>
      <c r="OIB2996" s="462"/>
      <c r="OIC2996" s="299"/>
      <c r="OID2996" s="81"/>
      <c r="OIE2996" s="160"/>
      <c r="OIF2996" s="555"/>
      <c r="OIG2996" s="125"/>
      <c r="OIH2996" s="470"/>
      <c r="OII2996" s="449"/>
      <c r="OIJ2996" s="462"/>
      <c r="OIK2996" s="299"/>
      <c r="OIL2996" s="81"/>
      <c r="OIM2996" s="160"/>
      <c r="OIN2996" s="555"/>
      <c r="OIO2996" s="125"/>
      <c r="OIP2996" s="470"/>
      <c r="OIQ2996" s="449"/>
      <c r="OIR2996" s="462"/>
      <c r="OIS2996" s="299"/>
      <c r="OIT2996" s="81"/>
      <c r="OIU2996" s="160"/>
      <c r="OIV2996" s="555"/>
      <c r="OIW2996" s="125"/>
      <c r="OIX2996" s="470"/>
      <c r="OIY2996" s="449"/>
      <c r="OIZ2996" s="462"/>
      <c r="OJA2996" s="299"/>
      <c r="OJB2996" s="81"/>
      <c r="OJC2996" s="160"/>
      <c r="OJD2996" s="555"/>
      <c r="OJE2996" s="125"/>
      <c r="OJF2996" s="470"/>
      <c r="OJG2996" s="449"/>
      <c r="OJH2996" s="462"/>
      <c r="OJI2996" s="299"/>
      <c r="OJJ2996" s="81"/>
      <c r="OJK2996" s="160"/>
      <c r="OJL2996" s="555"/>
      <c r="OJM2996" s="125"/>
      <c r="OJN2996" s="470"/>
      <c r="OJO2996" s="449"/>
      <c r="OJP2996" s="462"/>
      <c r="OJQ2996" s="299"/>
      <c r="OJR2996" s="81"/>
      <c r="OJS2996" s="160"/>
      <c r="OJT2996" s="555"/>
      <c r="OJU2996" s="125"/>
      <c r="OJV2996" s="470"/>
      <c r="OJW2996" s="449"/>
      <c r="OJX2996" s="462"/>
      <c r="OJY2996" s="299"/>
      <c r="OJZ2996" s="81"/>
      <c r="OKA2996" s="160"/>
      <c r="OKB2996" s="555"/>
      <c r="OKC2996" s="125"/>
      <c r="OKD2996" s="470"/>
      <c r="OKE2996" s="449"/>
      <c r="OKF2996" s="462"/>
      <c r="OKG2996" s="299"/>
      <c r="OKH2996" s="81"/>
      <c r="OKI2996" s="160"/>
      <c r="OKJ2996" s="555"/>
      <c r="OKK2996" s="125"/>
      <c r="OKL2996" s="470"/>
      <c r="OKM2996" s="449"/>
      <c r="OKN2996" s="462"/>
      <c r="OKO2996" s="299"/>
      <c r="OKP2996" s="81"/>
      <c r="OKQ2996" s="160"/>
      <c r="OKR2996" s="555"/>
      <c r="OKS2996" s="125"/>
      <c r="OKT2996" s="470"/>
      <c r="OKU2996" s="449"/>
      <c r="OKV2996" s="462"/>
      <c r="OKW2996" s="299"/>
      <c r="OKX2996" s="81"/>
      <c r="OKY2996" s="160"/>
      <c r="OKZ2996" s="555"/>
      <c r="OLA2996" s="125"/>
      <c r="OLB2996" s="470"/>
      <c r="OLC2996" s="449"/>
      <c r="OLD2996" s="462"/>
      <c r="OLE2996" s="299"/>
      <c r="OLF2996" s="81"/>
      <c r="OLG2996" s="160"/>
      <c r="OLH2996" s="555"/>
      <c r="OLI2996" s="125"/>
      <c r="OLJ2996" s="470"/>
      <c r="OLK2996" s="449"/>
      <c r="OLL2996" s="462"/>
      <c r="OLM2996" s="299"/>
      <c r="OLN2996" s="81"/>
      <c r="OLO2996" s="160"/>
      <c r="OLP2996" s="555"/>
      <c r="OLQ2996" s="125"/>
      <c r="OLR2996" s="470"/>
      <c r="OLS2996" s="449"/>
      <c r="OLT2996" s="462"/>
      <c r="OLU2996" s="299"/>
      <c r="OLV2996" s="81"/>
      <c r="OLW2996" s="160"/>
      <c r="OLX2996" s="555"/>
      <c r="OLY2996" s="125"/>
      <c r="OLZ2996" s="470"/>
      <c r="OMA2996" s="449"/>
      <c r="OMB2996" s="462"/>
      <c r="OMC2996" s="299"/>
      <c r="OMD2996" s="81"/>
      <c r="OME2996" s="160"/>
      <c r="OMF2996" s="555"/>
      <c r="OMG2996" s="125"/>
      <c r="OMH2996" s="470"/>
      <c r="OMI2996" s="449"/>
      <c r="OMJ2996" s="462"/>
      <c r="OMK2996" s="299"/>
      <c r="OML2996" s="81"/>
      <c r="OMM2996" s="160"/>
      <c r="OMN2996" s="555"/>
      <c r="OMO2996" s="125"/>
      <c r="OMP2996" s="470"/>
      <c r="OMQ2996" s="449"/>
      <c r="OMR2996" s="462"/>
      <c r="OMS2996" s="299"/>
      <c r="OMT2996" s="81"/>
      <c r="OMU2996" s="160"/>
      <c r="OMV2996" s="555"/>
      <c r="OMW2996" s="125"/>
      <c r="OMX2996" s="470"/>
      <c r="OMY2996" s="449"/>
      <c r="OMZ2996" s="462"/>
      <c r="ONA2996" s="299"/>
      <c r="ONB2996" s="81"/>
      <c r="ONC2996" s="160"/>
      <c r="OND2996" s="555"/>
      <c r="ONE2996" s="125"/>
      <c r="ONF2996" s="470"/>
      <c r="ONG2996" s="449"/>
      <c r="ONH2996" s="462"/>
      <c r="ONI2996" s="299"/>
      <c r="ONJ2996" s="81"/>
      <c r="ONK2996" s="160"/>
      <c r="ONL2996" s="555"/>
      <c r="ONM2996" s="125"/>
      <c r="ONN2996" s="470"/>
      <c r="ONO2996" s="449"/>
      <c r="ONP2996" s="462"/>
      <c r="ONQ2996" s="299"/>
      <c r="ONR2996" s="81"/>
      <c r="ONS2996" s="160"/>
      <c r="ONT2996" s="555"/>
      <c r="ONU2996" s="125"/>
      <c r="ONV2996" s="470"/>
      <c r="ONW2996" s="449"/>
      <c r="ONX2996" s="462"/>
      <c r="ONY2996" s="299"/>
      <c r="ONZ2996" s="81"/>
      <c r="OOA2996" s="160"/>
      <c r="OOB2996" s="555"/>
      <c r="OOC2996" s="125"/>
      <c r="OOD2996" s="470"/>
      <c r="OOE2996" s="449"/>
      <c r="OOF2996" s="462"/>
      <c r="OOG2996" s="299"/>
      <c r="OOH2996" s="81"/>
      <c r="OOI2996" s="160"/>
      <c r="OOJ2996" s="555"/>
      <c r="OOK2996" s="125"/>
      <c r="OOL2996" s="470"/>
      <c r="OOM2996" s="449"/>
      <c r="OON2996" s="462"/>
      <c r="OOO2996" s="299"/>
      <c r="OOP2996" s="81"/>
      <c r="OOQ2996" s="160"/>
      <c r="OOR2996" s="555"/>
      <c r="OOS2996" s="125"/>
      <c r="OOT2996" s="470"/>
      <c r="OOU2996" s="449"/>
      <c r="OOV2996" s="462"/>
      <c r="OOW2996" s="299"/>
      <c r="OOX2996" s="81"/>
      <c r="OOY2996" s="160"/>
      <c r="OOZ2996" s="555"/>
      <c r="OPA2996" s="125"/>
      <c r="OPB2996" s="470"/>
      <c r="OPC2996" s="449"/>
      <c r="OPD2996" s="462"/>
      <c r="OPE2996" s="299"/>
      <c r="OPF2996" s="81"/>
      <c r="OPG2996" s="160"/>
      <c r="OPH2996" s="555"/>
      <c r="OPI2996" s="125"/>
      <c r="OPJ2996" s="470"/>
      <c r="OPK2996" s="449"/>
      <c r="OPL2996" s="462"/>
      <c r="OPM2996" s="299"/>
      <c r="OPN2996" s="81"/>
      <c r="OPO2996" s="160"/>
      <c r="OPP2996" s="555"/>
      <c r="OPQ2996" s="125"/>
      <c r="OPR2996" s="470"/>
      <c r="OPS2996" s="449"/>
      <c r="OPT2996" s="462"/>
      <c r="OPU2996" s="299"/>
      <c r="OPV2996" s="81"/>
      <c r="OPW2996" s="160"/>
      <c r="OPX2996" s="555"/>
      <c r="OPY2996" s="125"/>
      <c r="OPZ2996" s="470"/>
      <c r="OQA2996" s="449"/>
      <c r="OQB2996" s="462"/>
      <c r="OQC2996" s="299"/>
      <c r="OQD2996" s="81"/>
      <c r="OQE2996" s="160"/>
      <c r="OQF2996" s="555"/>
      <c r="OQG2996" s="125"/>
      <c r="OQH2996" s="470"/>
      <c r="OQI2996" s="449"/>
      <c r="OQJ2996" s="462"/>
      <c r="OQK2996" s="299"/>
      <c r="OQL2996" s="81"/>
      <c r="OQM2996" s="160"/>
      <c r="OQN2996" s="555"/>
      <c r="OQO2996" s="125"/>
      <c r="OQP2996" s="470"/>
      <c r="OQQ2996" s="449"/>
      <c r="OQR2996" s="462"/>
      <c r="OQS2996" s="299"/>
      <c r="OQT2996" s="81"/>
      <c r="OQU2996" s="160"/>
      <c r="OQV2996" s="555"/>
      <c r="OQW2996" s="125"/>
      <c r="OQX2996" s="470"/>
      <c r="OQY2996" s="449"/>
      <c r="OQZ2996" s="462"/>
      <c r="ORA2996" s="299"/>
      <c r="ORB2996" s="81"/>
      <c r="ORC2996" s="160"/>
      <c r="ORD2996" s="555"/>
      <c r="ORE2996" s="125"/>
      <c r="ORF2996" s="470"/>
      <c r="ORG2996" s="449"/>
      <c r="ORH2996" s="462"/>
      <c r="ORI2996" s="299"/>
      <c r="ORJ2996" s="81"/>
      <c r="ORK2996" s="160"/>
      <c r="ORL2996" s="555"/>
      <c r="ORM2996" s="125"/>
      <c r="ORN2996" s="470"/>
      <c r="ORO2996" s="449"/>
      <c r="ORP2996" s="462"/>
      <c r="ORQ2996" s="299"/>
      <c r="ORR2996" s="81"/>
      <c r="ORS2996" s="160"/>
      <c r="ORT2996" s="555"/>
      <c r="ORU2996" s="125"/>
      <c r="ORV2996" s="470"/>
      <c r="ORW2996" s="449"/>
      <c r="ORX2996" s="462"/>
      <c r="ORY2996" s="299"/>
      <c r="ORZ2996" s="81"/>
      <c r="OSA2996" s="160"/>
      <c r="OSB2996" s="555"/>
      <c r="OSC2996" s="125"/>
      <c r="OSD2996" s="470"/>
      <c r="OSE2996" s="449"/>
      <c r="OSF2996" s="462"/>
      <c r="OSG2996" s="299"/>
      <c r="OSH2996" s="81"/>
      <c r="OSI2996" s="160"/>
      <c r="OSJ2996" s="555"/>
      <c r="OSK2996" s="125"/>
      <c r="OSL2996" s="470"/>
      <c r="OSM2996" s="449"/>
      <c r="OSN2996" s="462"/>
      <c r="OSO2996" s="299"/>
      <c r="OSP2996" s="81"/>
      <c r="OSQ2996" s="160"/>
      <c r="OSR2996" s="555"/>
      <c r="OSS2996" s="125"/>
      <c r="OST2996" s="470"/>
      <c r="OSU2996" s="449"/>
      <c r="OSV2996" s="462"/>
      <c r="OSW2996" s="299"/>
      <c r="OSX2996" s="81"/>
      <c r="OSY2996" s="160"/>
      <c r="OSZ2996" s="555"/>
      <c r="OTA2996" s="125"/>
      <c r="OTB2996" s="470"/>
      <c r="OTC2996" s="449"/>
      <c r="OTD2996" s="462"/>
      <c r="OTE2996" s="299"/>
      <c r="OTF2996" s="81"/>
      <c r="OTG2996" s="160"/>
      <c r="OTH2996" s="555"/>
      <c r="OTI2996" s="125"/>
      <c r="OTJ2996" s="470"/>
      <c r="OTK2996" s="449"/>
      <c r="OTL2996" s="462"/>
      <c r="OTM2996" s="299"/>
      <c r="OTN2996" s="81"/>
      <c r="OTO2996" s="160"/>
      <c r="OTP2996" s="555"/>
      <c r="OTQ2996" s="125"/>
      <c r="OTR2996" s="470"/>
      <c r="OTS2996" s="449"/>
      <c r="OTT2996" s="462"/>
      <c r="OTU2996" s="299"/>
      <c r="OTV2996" s="81"/>
      <c r="OTW2996" s="160"/>
      <c r="OTX2996" s="555"/>
      <c r="OTY2996" s="125"/>
      <c r="OTZ2996" s="470"/>
      <c r="OUA2996" s="449"/>
      <c r="OUB2996" s="462"/>
      <c r="OUC2996" s="299"/>
      <c r="OUD2996" s="81"/>
      <c r="OUE2996" s="160"/>
      <c r="OUF2996" s="555"/>
      <c r="OUG2996" s="125"/>
      <c r="OUH2996" s="470"/>
      <c r="OUI2996" s="449"/>
      <c r="OUJ2996" s="462"/>
      <c r="OUK2996" s="299"/>
      <c r="OUL2996" s="81"/>
      <c r="OUM2996" s="160"/>
      <c r="OUN2996" s="555"/>
      <c r="OUO2996" s="125"/>
      <c r="OUP2996" s="470"/>
      <c r="OUQ2996" s="449"/>
      <c r="OUR2996" s="462"/>
      <c r="OUS2996" s="299"/>
      <c r="OUT2996" s="81"/>
      <c r="OUU2996" s="160"/>
      <c r="OUV2996" s="555"/>
      <c r="OUW2996" s="125"/>
      <c r="OUX2996" s="470"/>
      <c r="OUY2996" s="449"/>
      <c r="OUZ2996" s="462"/>
      <c r="OVA2996" s="299"/>
      <c r="OVB2996" s="81"/>
      <c r="OVC2996" s="160"/>
      <c r="OVD2996" s="555"/>
      <c r="OVE2996" s="125"/>
      <c r="OVF2996" s="470"/>
      <c r="OVG2996" s="449"/>
      <c r="OVH2996" s="462"/>
      <c r="OVI2996" s="299"/>
      <c r="OVJ2996" s="81"/>
      <c r="OVK2996" s="160"/>
      <c r="OVL2996" s="555"/>
      <c r="OVM2996" s="125"/>
      <c r="OVN2996" s="470"/>
      <c r="OVO2996" s="449"/>
      <c r="OVP2996" s="462"/>
      <c r="OVQ2996" s="299"/>
      <c r="OVR2996" s="81"/>
      <c r="OVS2996" s="160"/>
      <c r="OVT2996" s="555"/>
      <c r="OVU2996" s="125"/>
      <c r="OVV2996" s="470"/>
      <c r="OVW2996" s="449"/>
      <c r="OVX2996" s="462"/>
      <c r="OVY2996" s="299"/>
      <c r="OVZ2996" s="81"/>
      <c r="OWA2996" s="160"/>
      <c r="OWB2996" s="555"/>
      <c r="OWC2996" s="125"/>
      <c r="OWD2996" s="470"/>
      <c r="OWE2996" s="449"/>
      <c r="OWF2996" s="462"/>
      <c r="OWG2996" s="299"/>
      <c r="OWH2996" s="81"/>
      <c r="OWI2996" s="160"/>
      <c r="OWJ2996" s="555"/>
      <c r="OWK2996" s="125"/>
      <c r="OWL2996" s="470"/>
      <c r="OWM2996" s="449"/>
      <c r="OWN2996" s="462"/>
      <c r="OWO2996" s="299"/>
      <c r="OWP2996" s="81"/>
      <c r="OWQ2996" s="160"/>
      <c r="OWR2996" s="555"/>
      <c r="OWS2996" s="125"/>
      <c r="OWT2996" s="470"/>
      <c r="OWU2996" s="449"/>
      <c r="OWV2996" s="462"/>
      <c r="OWW2996" s="299"/>
      <c r="OWX2996" s="81"/>
      <c r="OWY2996" s="160"/>
      <c r="OWZ2996" s="555"/>
      <c r="OXA2996" s="125"/>
      <c r="OXB2996" s="470"/>
      <c r="OXC2996" s="449"/>
      <c r="OXD2996" s="462"/>
      <c r="OXE2996" s="299"/>
      <c r="OXF2996" s="81"/>
      <c r="OXG2996" s="160"/>
      <c r="OXH2996" s="555"/>
      <c r="OXI2996" s="125"/>
      <c r="OXJ2996" s="470"/>
      <c r="OXK2996" s="449"/>
      <c r="OXL2996" s="462"/>
      <c r="OXM2996" s="299"/>
      <c r="OXN2996" s="81"/>
      <c r="OXO2996" s="160"/>
      <c r="OXP2996" s="555"/>
      <c r="OXQ2996" s="125"/>
      <c r="OXR2996" s="470"/>
      <c r="OXS2996" s="449"/>
      <c r="OXT2996" s="462"/>
      <c r="OXU2996" s="299"/>
      <c r="OXV2996" s="81"/>
      <c r="OXW2996" s="160"/>
      <c r="OXX2996" s="555"/>
      <c r="OXY2996" s="125"/>
      <c r="OXZ2996" s="470"/>
      <c r="OYA2996" s="449"/>
      <c r="OYB2996" s="462"/>
      <c r="OYC2996" s="299"/>
      <c r="OYD2996" s="81"/>
      <c r="OYE2996" s="160"/>
      <c r="OYF2996" s="555"/>
      <c r="OYG2996" s="125"/>
      <c r="OYH2996" s="470"/>
      <c r="OYI2996" s="449"/>
      <c r="OYJ2996" s="462"/>
      <c r="OYK2996" s="299"/>
      <c r="OYL2996" s="81"/>
      <c r="OYM2996" s="160"/>
      <c r="OYN2996" s="555"/>
      <c r="OYO2996" s="125"/>
      <c r="OYP2996" s="470"/>
      <c r="OYQ2996" s="449"/>
      <c r="OYR2996" s="462"/>
      <c r="OYS2996" s="299"/>
      <c r="OYT2996" s="81"/>
      <c r="OYU2996" s="160"/>
      <c r="OYV2996" s="555"/>
      <c r="OYW2996" s="125"/>
      <c r="OYX2996" s="470"/>
      <c r="OYY2996" s="449"/>
      <c r="OYZ2996" s="462"/>
      <c r="OZA2996" s="299"/>
      <c r="OZB2996" s="81"/>
      <c r="OZC2996" s="160"/>
      <c r="OZD2996" s="555"/>
      <c r="OZE2996" s="125"/>
      <c r="OZF2996" s="470"/>
      <c r="OZG2996" s="449"/>
      <c r="OZH2996" s="462"/>
      <c r="OZI2996" s="299"/>
      <c r="OZJ2996" s="81"/>
      <c r="OZK2996" s="160"/>
      <c r="OZL2996" s="555"/>
      <c r="OZM2996" s="125"/>
      <c r="OZN2996" s="470"/>
      <c r="OZO2996" s="449"/>
      <c r="OZP2996" s="462"/>
      <c r="OZQ2996" s="299"/>
      <c r="OZR2996" s="81"/>
      <c r="OZS2996" s="160"/>
      <c r="OZT2996" s="555"/>
      <c r="OZU2996" s="125"/>
      <c r="OZV2996" s="470"/>
      <c r="OZW2996" s="449"/>
      <c r="OZX2996" s="462"/>
      <c r="OZY2996" s="299"/>
      <c r="OZZ2996" s="81"/>
      <c r="PAA2996" s="160"/>
      <c r="PAB2996" s="555"/>
      <c r="PAC2996" s="125"/>
      <c r="PAD2996" s="470"/>
      <c r="PAE2996" s="449"/>
      <c r="PAF2996" s="462"/>
      <c r="PAG2996" s="299"/>
      <c r="PAH2996" s="81"/>
      <c r="PAI2996" s="160"/>
      <c r="PAJ2996" s="555"/>
      <c r="PAK2996" s="125"/>
      <c r="PAL2996" s="470"/>
      <c r="PAM2996" s="449"/>
      <c r="PAN2996" s="462"/>
      <c r="PAO2996" s="299"/>
      <c r="PAP2996" s="81"/>
      <c r="PAQ2996" s="160"/>
      <c r="PAR2996" s="555"/>
      <c r="PAS2996" s="125"/>
      <c r="PAT2996" s="470"/>
      <c r="PAU2996" s="449"/>
      <c r="PAV2996" s="462"/>
      <c r="PAW2996" s="299"/>
      <c r="PAX2996" s="81"/>
      <c r="PAY2996" s="160"/>
      <c r="PAZ2996" s="555"/>
      <c r="PBA2996" s="125"/>
      <c r="PBB2996" s="470"/>
      <c r="PBC2996" s="449"/>
      <c r="PBD2996" s="462"/>
      <c r="PBE2996" s="299"/>
      <c r="PBF2996" s="81"/>
      <c r="PBG2996" s="160"/>
      <c r="PBH2996" s="555"/>
      <c r="PBI2996" s="125"/>
      <c r="PBJ2996" s="470"/>
      <c r="PBK2996" s="449"/>
      <c r="PBL2996" s="462"/>
      <c r="PBM2996" s="299"/>
      <c r="PBN2996" s="81"/>
      <c r="PBO2996" s="160"/>
      <c r="PBP2996" s="555"/>
      <c r="PBQ2996" s="125"/>
      <c r="PBR2996" s="470"/>
      <c r="PBS2996" s="449"/>
      <c r="PBT2996" s="462"/>
      <c r="PBU2996" s="299"/>
      <c r="PBV2996" s="81"/>
      <c r="PBW2996" s="160"/>
      <c r="PBX2996" s="555"/>
      <c r="PBY2996" s="125"/>
      <c r="PBZ2996" s="470"/>
      <c r="PCA2996" s="449"/>
      <c r="PCB2996" s="462"/>
      <c r="PCC2996" s="299"/>
      <c r="PCD2996" s="81"/>
      <c r="PCE2996" s="160"/>
      <c r="PCF2996" s="555"/>
      <c r="PCG2996" s="125"/>
      <c r="PCH2996" s="470"/>
      <c r="PCI2996" s="449"/>
      <c r="PCJ2996" s="462"/>
      <c r="PCK2996" s="299"/>
      <c r="PCL2996" s="81"/>
      <c r="PCM2996" s="160"/>
      <c r="PCN2996" s="555"/>
      <c r="PCO2996" s="125"/>
      <c r="PCP2996" s="470"/>
      <c r="PCQ2996" s="449"/>
      <c r="PCR2996" s="462"/>
      <c r="PCS2996" s="299"/>
      <c r="PCT2996" s="81"/>
      <c r="PCU2996" s="160"/>
      <c r="PCV2996" s="555"/>
      <c r="PCW2996" s="125"/>
      <c r="PCX2996" s="470"/>
      <c r="PCY2996" s="449"/>
      <c r="PCZ2996" s="462"/>
      <c r="PDA2996" s="299"/>
      <c r="PDB2996" s="81"/>
      <c r="PDC2996" s="160"/>
      <c r="PDD2996" s="555"/>
      <c r="PDE2996" s="125"/>
      <c r="PDF2996" s="470"/>
      <c r="PDG2996" s="449"/>
      <c r="PDH2996" s="462"/>
      <c r="PDI2996" s="299"/>
      <c r="PDJ2996" s="81"/>
      <c r="PDK2996" s="160"/>
      <c r="PDL2996" s="555"/>
      <c r="PDM2996" s="125"/>
      <c r="PDN2996" s="470"/>
      <c r="PDO2996" s="449"/>
      <c r="PDP2996" s="462"/>
      <c r="PDQ2996" s="299"/>
      <c r="PDR2996" s="81"/>
      <c r="PDS2996" s="160"/>
      <c r="PDT2996" s="555"/>
      <c r="PDU2996" s="125"/>
      <c r="PDV2996" s="470"/>
      <c r="PDW2996" s="449"/>
      <c r="PDX2996" s="462"/>
      <c r="PDY2996" s="299"/>
      <c r="PDZ2996" s="81"/>
      <c r="PEA2996" s="160"/>
      <c r="PEB2996" s="555"/>
      <c r="PEC2996" s="125"/>
      <c r="PED2996" s="470"/>
      <c r="PEE2996" s="449"/>
      <c r="PEF2996" s="462"/>
      <c r="PEG2996" s="299"/>
      <c r="PEH2996" s="81"/>
      <c r="PEI2996" s="160"/>
      <c r="PEJ2996" s="555"/>
      <c r="PEK2996" s="125"/>
      <c r="PEL2996" s="470"/>
      <c r="PEM2996" s="449"/>
      <c r="PEN2996" s="462"/>
      <c r="PEO2996" s="299"/>
      <c r="PEP2996" s="81"/>
      <c r="PEQ2996" s="160"/>
      <c r="PER2996" s="555"/>
      <c r="PES2996" s="125"/>
      <c r="PET2996" s="470"/>
      <c r="PEU2996" s="449"/>
      <c r="PEV2996" s="462"/>
      <c r="PEW2996" s="299"/>
      <c r="PEX2996" s="81"/>
      <c r="PEY2996" s="160"/>
      <c r="PEZ2996" s="555"/>
      <c r="PFA2996" s="125"/>
      <c r="PFB2996" s="470"/>
      <c r="PFC2996" s="449"/>
      <c r="PFD2996" s="462"/>
      <c r="PFE2996" s="299"/>
      <c r="PFF2996" s="81"/>
      <c r="PFG2996" s="160"/>
      <c r="PFH2996" s="555"/>
      <c r="PFI2996" s="125"/>
      <c r="PFJ2996" s="470"/>
      <c r="PFK2996" s="449"/>
      <c r="PFL2996" s="462"/>
      <c r="PFM2996" s="299"/>
      <c r="PFN2996" s="81"/>
      <c r="PFO2996" s="160"/>
      <c r="PFP2996" s="555"/>
      <c r="PFQ2996" s="125"/>
      <c r="PFR2996" s="470"/>
      <c r="PFS2996" s="449"/>
      <c r="PFT2996" s="462"/>
      <c r="PFU2996" s="299"/>
      <c r="PFV2996" s="81"/>
      <c r="PFW2996" s="160"/>
      <c r="PFX2996" s="555"/>
      <c r="PFY2996" s="125"/>
      <c r="PFZ2996" s="470"/>
      <c r="PGA2996" s="449"/>
      <c r="PGB2996" s="462"/>
      <c r="PGC2996" s="299"/>
      <c r="PGD2996" s="81"/>
      <c r="PGE2996" s="160"/>
      <c r="PGF2996" s="555"/>
      <c r="PGG2996" s="125"/>
      <c r="PGH2996" s="470"/>
      <c r="PGI2996" s="449"/>
      <c r="PGJ2996" s="462"/>
      <c r="PGK2996" s="299"/>
      <c r="PGL2996" s="81"/>
      <c r="PGM2996" s="160"/>
      <c r="PGN2996" s="555"/>
      <c r="PGO2996" s="125"/>
      <c r="PGP2996" s="470"/>
      <c r="PGQ2996" s="449"/>
      <c r="PGR2996" s="462"/>
      <c r="PGS2996" s="299"/>
      <c r="PGT2996" s="81"/>
      <c r="PGU2996" s="160"/>
      <c r="PGV2996" s="555"/>
      <c r="PGW2996" s="125"/>
      <c r="PGX2996" s="470"/>
      <c r="PGY2996" s="449"/>
      <c r="PGZ2996" s="462"/>
      <c r="PHA2996" s="299"/>
      <c r="PHB2996" s="81"/>
      <c r="PHC2996" s="160"/>
      <c r="PHD2996" s="555"/>
      <c r="PHE2996" s="125"/>
      <c r="PHF2996" s="470"/>
      <c r="PHG2996" s="449"/>
      <c r="PHH2996" s="462"/>
      <c r="PHI2996" s="299"/>
      <c r="PHJ2996" s="81"/>
      <c r="PHK2996" s="160"/>
      <c r="PHL2996" s="555"/>
      <c r="PHM2996" s="125"/>
      <c r="PHN2996" s="470"/>
      <c r="PHO2996" s="449"/>
      <c r="PHP2996" s="462"/>
      <c r="PHQ2996" s="299"/>
      <c r="PHR2996" s="81"/>
      <c r="PHS2996" s="160"/>
      <c r="PHT2996" s="555"/>
      <c r="PHU2996" s="125"/>
      <c r="PHV2996" s="470"/>
      <c r="PHW2996" s="449"/>
      <c r="PHX2996" s="462"/>
      <c r="PHY2996" s="299"/>
      <c r="PHZ2996" s="81"/>
      <c r="PIA2996" s="160"/>
      <c r="PIB2996" s="555"/>
      <c r="PIC2996" s="125"/>
      <c r="PID2996" s="470"/>
      <c r="PIE2996" s="449"/>
      <c r="PIF2996" s="462"/>
      <c r="PIG2996" s="299"/>
      <c r="PIH2996" s="81"/>
      <c r="PII2996" s="160"/>
      <c r="PIJ2996" s="555"/>
      <c r="PIK2996" s="125"/>
      <c r="PIL2996" s="470"/>
      <c r="PIM2996" s="449"/>
      <c r="PIN2996" s="462"/>
      <c r="PIO2996" s="299"/>
      <c r="PIP2996" s="81"/>
      <c r="PIQ2996" s="160"/>
      <c r="PIR2996" s="555"/>
      <c r="PIS2996" s="125"/>
      <c r="PIT2996" s="470"/>
      <c r="PIU2996" s="449"/>
      <c r="PIV2996" s="462"/>
      <c r="PIW2996" s="299"/>
      <c r="PIX2996" s="81"/>
      <c r="PIY2996" s="160"/>
      <c r="PIZ2996" s="555"/>
      <c r="PJA2996" s="125"/>
      <c r="PJB2996" s="470"/>
      <c r="PJC2996" s="449"/>
      <c r="PJD2996" s="462"/>
      <c r="PJE2996" s="299"/>
      <c r="PJF2996" s="81"/>
      <c r="PJG2996" s="160"/>
      <c r="PJH2996" s="555"/>
      <c r="PJI2996" s="125"/>
      <c r="PJJ2996" s="470"/>
      <c r="PJK2996" s="449"/>
      <c r="PJL2996" s="462"/>
      <c r="PJM2996" s="299"/>
      <c r="PJN2996" s="81"/>
      <c r="PJO2996" s="160"/>
      <c r="PJP2996" s="555"/>
      <c r="PJQ2996" s="125"/>
      <c r="PJR2996" s="470"/>
      <c r="PJS2996" s="449"/>
      <c r="PJT2996" s="462"/>
      <c r="PJU2996" s="299"/>
      <c r="PJV2996" s="81"/>
      <c r="PJW2996" s="160"/>
      <c r="PJX2996" s="555"/>
      <c r="PJY2996" s="125"/>
      <c r="PJZ2996" s="470"/>
      <c r="PKA2996" s="449"/>
      <c r="PKB2996" s="462"/>
      <c r="PKC2996" s="299"/>
      <c r="PKD2996" s="81"/>
      <c r="PKE2996" s="160"/>
      <c r="PKF2996" s="555"/>
      <c r="PKG2996" s="125"/>
      <c r="PKH2996" s="470"/>
      <c r="PKI2996" s="449"/>
      <c r="PKJ2996" s="462"/>
      <c r="PKK2996" s="299"/>
      <c r="PKL2996" s="81"/>
      <c r="PKM2996" s="160"/>
      <c r="PKN2996" s="555"/>
      <c r="PKO2996" s="125"/>
      <c r="PKP2996" s="470"/>
      <c r="PKQ2996" s="449"/>
      <c r="PKR2996" s="462"/>
      <c r="PKS2996" s="299"/>
      <c r="PKT2996" s="81"/>
      <c r="PKU2996" s="160"/>
      <c r="PKV2996" s="555"/>
      <c r="PKW2996" s="125"/>
      <c r="PKX2996" s="470"/>
      <c r="PKY2996" s="449"/>
      <c r="PKZ2996" s="462"/>
      <c r="PLA2996" s="299"/>
      <c r="PLB2996" s="81"/>
      <c r="PLC2996" s="160"/>
      <c r="PLD2996" s="555"/>
      <c r="PLE2996" s="125"/>
      <c r="PLF2996" s="470"/>
      <c r="PLG2996" s="449"/>
      <c r="PLH2996" s="462"/>
      <c r="PLI2996" s="299"/>
      <c r="PLJ2996" s="81"/>
      <c r="PLK2996" s="160"/>
      <c r="PLL2996" s="555"/>
      <c r="PLM2996" s="125"/>
      <c r="PLN2996" s="470"/>
      <c r="PLO2996" s="449"/>
      <c r="PLP2996" s="462"/>
      <c r="PLQ2996" s="299"/>
      <c r="PLR2996" s="81"/>
      <c r="PLS2996" s="160"/>
      <c r="PLT2996" s="555"/>
      <c r="PLU2996" s="125"/>
      <c r="PLV2996" s="470"/>
      <c r="PLW2996" s="449"/>
      <c r="PLX2996" s="462"/>
      <c r="PLY2996" s="299"/>
      <c r="PLZ2996" s="81"/>
      <c r="PMA2996" s="160"/>
      <c r="PMB2996" s="555"/>
      <c r="PMC2996" s="125"/>
      <c r="PMD2996" s="470"/>
      <c r="PME2996" s="449"/>
      <c r="PMF2996" s="462"/>
      <c r="PMG2996" s="299"/>
      <c r="PMH2996" s="81"/>
      <c r="PMI2996" s="160"/>
      <c r="PMJ2996" s="555"/>
      <c r="PMK2996" s="125"/>
      <c r="PML2996" s="470"/>
      <c r="PMM2996" s="449"/>
      <c r="PMN2996" s="462"/>
      <c r="PMO2996" s="299"/>
      <c r="PMP2996" s="81"/>
      <c r="PMQ2996" s="160"/>
      <c r="PMR2996" s="555"/>
      <c r="PMS2996" s="125"/>
      <c r="PMT2996" s="470"/>
      <c r="PMU2996" s="449"/>
      <c r="PMV2996" s="462"/>
      <c r="PMW2996" s="299"/>
      <c r="PMX2996" s="81"/>
      <c r="PMY2996" s="160"/>
      <c r="PMZ2996" s="555"/>
      <c r="PNA2996" s="125"/>
      <c r="PNB2996" s="470"/>
      <c r="PNC2996" s="449"/>
      <c r="PND2996" s="462"/>
      <c r="PNE2996" s="299"/>
      <c r="PNF2996" s="81"/>
      <c r="PNG2996" s="160"/>
      <c r="PNH2996" s="555"/>
      <c r="PNI2996" s="125"/>
      <c r="PNJ2996" s="470"/>
      <c r="PNK2996" s="449"/>
      <c r="PNL2996" s="462"/>
      <c r="PNM2996" s="299"/>
      <c r="PNN2996" s="81"/>
      <c r="PNO2996" s="160"/>
      <c r="PNP2996" s="555"/>
      <c r="PNQ2996" s="125"/>
      <c r="PNR2996" s="470"/>
      <c r="PNS2996" s="449"/>
      <c r="PNT2996" s="462"/>
      <c r="PNU2996" s="299"/>
      <c r="PNV2996" s="81"/>
      <c r="PNW2996" s="160"/>
      <c r="PNX2996" s="555"/>
      <c r="PNY2996" s="125"/>
      <c r="PNZ2996" s="470"/>
      <c r="POA2996" s="449"/>
      <c r="POB2996" s="462"/>
      <c r="POC2996" s="299"/>
      <c r="POD2996" s="81"/>
      <c r="POE2996" s="160"/>
      <c r="POF2996" s="555"/>
      <c r="POG2996" s="125"/>
      <c r="POH2996" s="470"/>
      <c r="POI2996" s="449"/>
      <c r="POJ2996" s="462"/>
      <c r="POK2996" s="299"/>
      <c r="POL2996" s="81"/>
      <c r="POM2996" s="160"/>
      <c r="PON2996" s="555"/>
      <c r="POO2996" s="125"/>
      <c r="POP2996" s="470"/>
      <c r="POQ2996" s="449"/>
      <c r="POR2996" s="462"/>
      <c r="POS2996" s="299"/>
      <c r="POT2996" s="81"/>
      <c r="POU2996" s="160"/>
      <c r="POV2996" s="555"/>
      <c r="POW2996" s="125"/>
      <c r="POX2996" s="470"/>
      <c r="POY2996" s="449"/>
      <c r="POZ2996" s="462"/>
      <c r="PPA2996" s="299"/>
      <c r="PPB2996" s="81"/>
      <c r="PPC2996" s="160"/>
      <c r="PPD2996" s="555"/>
      <c r="PPE2996" s="125"/>
      <c r="PPF2996" s="470"/>
      <c r="PPG2996" s="449"/>
      <c r="PPH2996" s="462"/>
      <c r="PPI2996" s="299"/>
      <c r="PPJ2996" s="81"/>
      <c r="PPK2996" s="160"/>
      <c r="PPL2996" s="555"/>
      <c r="PPM2996" s="125"/>
      <c r="PPN2996" s="470"/>
      <c r="PPO2996" s="449"/>
      <c r="PPP2996" s="462"/>
      <c r="PPQ2996" s="299"/>
      <c r="PPR2996" s="81"/>
      <c r="PPS2996" s="160"/>
      <c r="PPT2996" s="555"/>
      <c r="PPU2996" s="125"/>
      <c r="PPV2996" s="470"/>
      <c r="PPW2996" s="449"/>
      <c r="PPX2996" s="462"/>
      <c r="PPY2996" s="299"/>
      <c r="PPZ2996" s="81"/>
      <c r="PQA2996" s="160"/>
      <c r="PQB2996" s="555"/>
      <c r="PQC2996" s="125"/>
      <c r="PQD2996" s="470"/>
      <c r="PQE2996" s="449"/>
      <c r="PQF2996" s="462"/>
      <c r="PQG2996" s="299"/>
      <c r="PQH2996" s="81"/>
      <c r="PQI2996" s="160"/>
      <c r="PQJ2996" s="555"/>
      <c r="PQK2996" s="125"/>
      <c r="PQL2996" s="470"/>
      <c r="PQM2996" s="449"/>
      <c r="PQN2996" s="462"/>
      <c r="PQO2996" s="299"/>
      <c r="PQP2996" s="81"/>
      <c r="PQQ2996" s="160"/>
      <c r="PQR2996" s="555"/>
      <c r="PQS2996" s="125"/>
      <c r="PQT2996" s="470"/>
      <c r="PQU2996" s="449"/>
      <c r="PQV2996" s="462"/>
      <c r="PQW2996" s="299"/>
      <c r="PQX2996" s="81"/>
      <c r="PQY2996" s="160"/>
      <c r="PQZ2996" s="555"/>
      <c r="PRA2996" s="125"/>
      <c r="PRB2996" s="470"/>
      <c r="PRC2996" s="449"/>
      <c r="PRD2996" s="462"/>
      <c r="PRE2996" s="299"/>
      <c r="PRF2996" s="81"/>
      <c r="PRG2996" s="160"/>
      <c r="PRH2996" s="555"/>
      <c r="PRI2996" s="125"/>
      <c r="PRJ2996" s="470"/>
      <c r="PRK2996" s="449"/>
      <c r="PRL2996" s="462"/>
      <c r="PRM2996" s="299"/>
      <c r="PRN2996" s="81"/>
      <c r="PRO2996" s="160"/>
      <c r="PRP2996" s="555"/>
      <c r="PRQ2996" s="125"/>
      <c r="PRR2996" s="470"/>
      <c r="PRS2996" s="449"/>
      <c r="PRT2996" s="462"/>
      <c r="PRU2996" s="299"/>
      <c r="PRV2996" s="81"/>
      <c r="PRW2996" s="160"/>
      <c r="PRX2996" s="555"/>
      <c r="PRY2996" s="125"/>
      <c r="PRZ2996" s="470"/>
      <c r="PSA2996" s="449"/>
      <c r="PSB2996" s="462"/>
      <c r="PSC2996" s="299"/>
      <c r="PSD2996" s="81"/>
      <c r="PSE2996" s="160"/>
      <c r="PSF2996" s="555"/>
      <c r="PSG2996" s="125"/>
      <c r="PSH2996" s="470"/>
      <c r="PSI2996" s="449"/>
      <c r="PSJ2996" s="462"/>
      <c r="PSK2996" s="299"/>
      <c r="PSL2996" s="81"/>
      <c r="PSM2996" s="160"/>
      <c r="PSN2996" s="555"/>
      <c r="PSO2996" s="125"/>
      <c r="PSP2996" s="470"/>
      <c r="PSQ2996" s="449"/>
      <c r="PSR2996" s="462"/>
      <c r="PSS2996" s="299"/>
      <c r="PST2996" s="81"/>
      <c r="PSU2996" s="160"/>
      <c r="PSV2996" s="555"/>
      <c r="PSW2996" s="125"/>
      <c r="PSX2996" s="470"/>
      <c r="PSY2996" s="449"/>
      <c r="PSZ2996" s="462"/>
      <c r="PTA2996" s="299"/>
      <c r="PTB2996" s="81"/>
      <c r="PTC2996" s="160"/>
      <c r="PTD2996" s="555"/>
      <c r="PTE2996" s="125"/>
      <c r="PTF2996" s="470"/>
      <c r="PTG2996" s="449"/>
      <c r="PTH2996" s="462"/>
      <c r="PTI2996" s="299"/>
      <c r="PTJ2996" s="81"/>
      <c r="PTK2996" s="160"/>
      <c r="PTL2996" s="555"/>
      <c r="PTM2996" s="125"/>
      <c r="PTN2996" s="470"/>
      <c r="PTO2996" s="449"/>
      <c r="PTP2996" s="462"/>
      <c r="PTQ2996" s="299"/>
      <c r="PTR2996" s="81"/>
      <c r="PTS2996" s="160"/>
      <c r="PTT2996" s="555"/>
      <c r="PTU2996" s="125"/>
      <c r="PTV2996" s="470"/>
      <c r="PTW2996" s="449"/>
      <c r="PTX2996" s="462"/>
      <c r="PTY2996" s="299"/>
      <c r="PTZ2996" s="81"/>
      <c r="PUA2996" s="160"/>
      <c r="PUB2996" s="555"/>
      <c r="PUC2996" s="125"/>
      <c r="PUD2996" s="470"/>
      <c r="PUE2996" s="449"/>
      <c r="PUF2996" s="462"/>
      <c r="PUG2996" s="299"/>
      <c r="PUH2996" s="81"/>
      <c r="PUI2996" s="160"/>
      <c r="PUJ2996" s="555"/>
      <c r="PUK2996" s="125"/>
      <c r="PUL2996" s="470"/>
      <c r="PUM2996" s="449"/>
      <c r="PUN2996" s="462"/>
      <c r="PUO2996" s="299"/>
      <c r="PUP2996" s="81"/>
      <c r="PUQ2996" s="160"/>
      <c r="PUR2996" s="555"/>
      <c r="PUS2996" s="125"/>
      <c r="PUT2996" s="470"/>
      <c r="PUU2996" s="449"/>
      <c r="PUV2996" s="462"/>
      <c r="PUW2996" s="299"/>
      <c r="PUX2996" s="81"/>
      <c r="PUY2996" s="160"/>
      <c r="PUZ2996" s="555"/>
      <c r="PVA2996" s="125"/>
      <c r="PVB2996" s="470"/>
      <c r="PVC2996" s="449"/>
      <c r="PVD2996" s="462"/>
      <c r="PVE2996" s="299"/>
      <c r="PVF2996" s="81"/>
      <c r="PVG2996" s="160"/>
      <c r="PVH2996" s="555"/>
      <c r="PVI2996" s="125"/>
      <c r="PVJ2996" s="470"/>
      <c r="PVK2996" s="449"/>
      <c r="PVL2996" s="462"/>
      <c r="PVM2996" s="299"/>
      <c r="PVN2996" s="81"/>
      <c r="PVO2996" s="160"/>
      <c r="PVP2996" s="555"/>
      <c r="PVQ2996" s="125"/>
      <c r="PVR2996" s="470"/>
      <c r="PVS2996" s="449"/>
      <c r="PVT2996" s="462"/>
      <c r="PVU2996" s="299"/>
      <c r="PVV2996" s="81"/>
      <c r="PVW2996" s="160"/>
      <c r="PVX2996" s="555"/>
      <c r="PVY2996" s="125"/>
      <c r="PVZ2996" s="470"/>
      <c r="PWA2996" s="449"/>
      <c r="PWB2996" s="462"/>
      <c r="PWC2996" s="299"/>
      <c r="PWD2996" s="81"/>
      <c r="PWE2996" s="160"/>
      <c r="PWF2996" s="555"/>
      <c r="PWG2996" s="125"/>
      <c r="PWH2996" s="470"/>
      <c r="PWI2996" s="449"/>
      <c r="PWJ2996" s="462"/>
      <c r="PWK2996" s="299"/>
      <c r="PWL2996" s="81"/>
      <c r="PWM2996" s="160"/>
      <c r="PWN2996" s="555"/>
      <c r="PWO2996" s="125"/>
      <c r="PWP2996" s="470"/>
      <c r="PWQ2996" s="449"/>
      <c r="PWR2996" s="462"/>
      <c r="PWS2996" s="299"/>
      <c r="PWT2996" s="81"/>
      <c r="PWU2996" s="160"/>
      <c r="PWV2996" s="555"/>
      <c r="PWW2996" s="125"/>
      <c r="PWX2996" s="470"/>
      <c r="PWY2996" s="449"/>
      <c r="PWZ2996" s="462"/>
      <c r="PXA2996" s="299"/>
      <c r="PXB2996" s="81"/>
      <c r="PXC2996" s="160"/>
      <c r="PXD2996" s="555"/>
      <c r="PXE2996" s="125"/>
      <c r="PXF2996" s="470"/>
      <c r="PXG2996" s="449"/>
      <c r="PXH2996" s="462"/>
      <c r="PXI2996" s="299"/>
      <c r="PXJ2996" s="81"/>
      <c r="PXK2996" s="160"/>
      <c r="PXL2996" s="555"/>
      <c r="PXM2996" s="125"/>
      <c r="PXN2996" s="470"/>
      <c r="PXO2996" s="449"/>
      <c r="PXP2996" s="462"/>
      <c r="PXQ2996" s="299"/>
      <c r="PXR2996" s="81"/>
      <c r="PXS2996" s="160"/>
      <c r="PXT2996" s="555"/>
      <c r="PXU2996" s="125"/>
      <c r="PXV2996" s="470"/>
      <c r="PXW2996" s="449"/>
      <c r="PXX2996" s="462"/>
      <c r="PXY2996" s="299"/>
      <c r="PXZ2996" s="81"/>
      <c r="PYA2996" s="160"/>
      <c r="PYB2996" s="555"/>
      <c r="PYC2996" s="125"/>
      <c r="PYD2996" s="470"/>
      <c r="PYE2996" s="449"/>
      <c r="PYF2996" s="462"/>
      <c r="PYG2996" s="299"/>
      <c r="PYH2996" s="81"/>
      <c r="PYI2996" s="160"/>
      <c r="PYJ2996" s="555"/>
      <c r="PYK2996" s="125"/>
      <c r="PYL2996" s="470"/>
      <c r="PYM2996" s="449"/>
      <c r="PYN2996" s="462"/>
      <c r="PYO2996" s="299"/>
      <c r="PYP2996" s="81"/>
      <c r="PYQ2996" s="160"/>
      <c r="PYR2996" s="555"/>
      <c r="PYS2996" s="125"/>
      <c r="PYT2996" s="470"/>
      <c r="PYU2996" s="449"/>
      <c r="PYV2996" s="462"/>
      <c r="PYW2996" s="299"/>
      <c r="PYX2996" s="81"/>
      <c r="PYY2996" s="160"/>
      <c r="PYZ2996" s="555"/>
      <c r="PZA2996" s="125"/>
      <c r="PZB2996" s="470"/>
      <c r="PZC2996" s="449"/>
      <c r="PZD2996" s="462"/>
      <c r="PZE2996" s="299"/>
      <c r="PZF2996" s="81"/>
      <c r="PZG2996" s="160"/>
      <c r="PZH2996" s="555"/>
      <c r="PZI2996" s="125"/>
      <c r="PZJ2996" s="470"/>
      <c r="PZK2996" s="449"/>
      <c r="PZL2996" s="462"/>
      <c r="PZM2996" s="299"/>
      <c r="PZN2996" s="81"/>
      <c r="PZO2996" s="160"/>
      <c r="PZP2996" s="555"/>
      <c r="PZQ2996" s="125"/>
      <c r="PZR2996" s="470"/>
      <c r="PZS2996" s="449"/>
      <c r="PZT2996" s="462"/>
      <c r="PZU2996" s="299"/>
      <c r="PZV2996" s="81"/>
      <c r="PZW2996" s="160"/>
      <c r="PZX2996" s="555"/>
      <c r="PZY2996" s="125"/>
      <c r="PZZ2996" s="470"/>
      <c r="QAA2996" s="449"/>
      <c r="QAB2996" s="462"/>
      <c r="QAC2996" s="299"/>
      <c r="QAD2996" s="81"/>
      <c r="QAE2996" s="160"/>
      <c r="QAF2996" s="555"/>
      <c r="QAG2996" s="125"/>
      <c r="QAH2996" s="470"/>
      <c r="QAI2996" s="449"/>
      <c r="QAJ2996" s="462"/>
      <c r="QAK2996" s="299"/>
      <c r="QAL2996" s="81"/>
      <c r="QAM2996" s="160"/>
      <c r="QAN2996" s="555"/>
      <c r="QAO2996" s="125"/>
      <c r="QAP2996" s="470"/>
      <c r="QAQ2996" s="449"/>
      <c r="QAR2996" s="462"/>
      <c r="QAS2996" s="299"/>
      <c r="QAT2996" s="81"/>
      <c r="QAU2996" s="160"/>
      <c r="QAV2996" s="555"/>
      <c r="QAW2996" s="125"/>
      <c r="QAX2996" s="470"/>
      <c r="QAY2996" s="449"/>
      <c r="QAZ2996" s="462"/>
      <c r="QBA2996" s="299"/>
      <c r="QBB2996" s="81"/>
      <c r="QBC2996" s="160"/>
      <c r="QBD2996" s="555"/>
      <c r="QBE2996" s="125"/>
      <c r="QBF2996" s="470"/>
      <c r="QBG2996" s="449"/>
      <c r="QBH2996" s="462"/>
      <c r="QBI2996" s="299"/>
      <c r="QBJ2996" s="81"/>
      <c r="QBK2996" s="160"/>
      <c r="QBL2996" s="555"/>
      <c r="QBM2996" s="125"/>
      <c r="QBN2996" s="470"/>
      <c r="QBO2996" s="449"/>
      <c r="QBP2996" s="462"/>
      <c r="QBQ2996" s="299"/>
      <c r="QBR2996" s="81"/>
      <c r="QBS2996" s="160"/>
      <c r="QBT2996" s="555"/>
      <c r="QBU2996" s="125"/>
      <c r="QBV2996" s="470"/>
      <c r="QBW2996" s="449"/>
      <c r="QBX2996" s="462"/>
      <c r="QBY2996" s="299"/>
      <c r="QBZ2996" s="81"/>
      <c r="QCA2996" s="160"/>
      <c r="QCB2996" s="555"/>
      <c r="QCC2996" s="125"/>
      <c r="QCD2996" s="470"/>
      <c r="QCE2996" s="449"/>
      <c r="QCF2996" s="462"/>
      <c r="QCG2996" s="299"/>
      <c r="QCH2996" s="81"/>
      <c r="QCI2996" s="160"/>
      <c r="QCJ2996" s="555"/>
      <c r="QCK2996" s="125"/>
      <c r="QCL2996" s="470"/>
      <c r="QCM2996" s="449"/>
      <c r="QCN2996" s="462"/>
      <c r="QCO2996" s="299"/>
      <c r="QCP2996" s="81"/>
      <c r="QCQ2996" s="160"/>
      <c r="QCR2996" s="555"/>
      <c r="QCS2996" s="125"/>
      <c r="QCT2996" s="470"/>
      <c r="QCU2996" s="449"/>
      <c r="QCV2996" s="462"/>
      <c r="QCW2996" s="299"/>
      <c r="QCX2996" s="81"/>
      <c r="QCY2996" s="160"/>
      <c r="QCZ2996" s="555"/>
      <c r="QDA2996" s="125"/>
      <c r="QDB2996" s="470"/>
      <c r="QDC2996" s="449"/>
      <c r="QDD2996" s="462"/>
      <c r="QDE2996" s="299"/>
      <c r="QDF2996" s="81"/>
      <c r="QDG2996" s="160"/>
      <c r="QDH2996" s="555"/>
      <c r="QDI2996" s="125"/>
      <c r="QDJ2996" s="470"/>
      <c r="QDK2996" s="449"/>
      <c r="QDL2996" s="462"/>
      <c r="QDM2996" s="299"/>
      <c r="QDN2996" s="81"/>
      <c r="QDO2996" s="160"/>
      <c r="QDP2996" s="555"/>
      <c r="QDQ2996" s="125"/>
      <c r="QDR2996" s="470"/>
      <c r="QDS2996" s="449"/>
      <c r="QDT2996" s="462"/>
      <c r="QDU2996" s="299"/>
      <c r="QDV2996" s="81"/>
      <c r="QDW2996" s="160"/>
      <c r="QDX2996" s="555"/>
      <c r="QDY2996" s="125"/>
      <c r="QDZ2996" s="470"/>
      <c r="QEA2996" s="449"/>
      <c r="QEB2996" s="462"/>
      <c r="QEC2996" s="299"/>
      <c r="QED2996" s="81"/>
      <c r="QEE2996" s="160"/>
      <c r="QEF2996" s="555"/>
      <c r="QEG2996" s="125"/>
      <c r="QEH2996" s="470"/>
      <c r="QEI2996" s="449"/>
      <c r="QEJ2996" s="462"/>
      <c r="QEK2996" s="299"/>
      <c r="QEL2996" s="81"/>
      <c r="QEM2996" s="160"/>
      <c r="QEN2996" s="555"/>
      <c r="QEO2996" s="125"/>
      <c r="QEP2996" s="470"/>
      <c r="QEQ2996" s="449"/>
      <c r="QER2996" s="462"/>
      <c r="QES2996" s="299"/>
      <c r="QET2996" s="81"/>
      <c r="QEU2996" s="160"/>
      <c r="QEV2996" s="555"/>
      <c r="QEW2996" s="125"/>
      <c r="QEX2996" s="470"/>
      <c r="QEY2996" s="449"/>
      <c r="QEZ2996" s="462"/>
      <c r="QFA2996" s="299"/>
      <c r="QFB2996" s="81"/>
      <c r="QFC2996" s="160"/>
      <c r="QFD2996" s="555"/>
      <c r="QFE2996" s="125"/>
      <c r="QFF2996" s="470"/>
      <c r="QFG2996" s="449"/>
      <c r="QFH2996" s="462"/>
      <c r="QFI2996" s="299"/>
      <c r="QFJ2996" s="81"/>
      <c r="QFK2996" s="160"/>
      <c r="QFL2996" s="555"/>
      <c r="QFM2996" s="125"/>
      <c r="QFN2996" s="470"/>
      <c r="QFO2996" s="449"/>
      <c r="QFP2996" s="462"/>
      <c r="QFQ2996" s="299"/>
      <c r="QFR2996" s="81"/>
      <c r="QFS2996" s="160"/>
      <c r="QFT2996" s="555"/>
      <c r="QFU2996" s="125"/>
      <c r="QFV2996" s="470"/>
      <c r="QFW2996" s="449"/>
      <c r="QFX2996" s="462"/>
      <c r="QFY2996" s="299"/>
      <c r="QFZ2996" s="81"/>
      <c r="QGA2996" s="160"/>
      <c r="QGB2996" s="555"/>
      <c r="QGC2996" s="125"/>
      <c r="QGD2996" s="470"/>
      <c r="QGE2996" s="449"/>
      <c r="QGF2996" s="462"/>
      <c r="QGG2996" s="299"/>
      <c r="QGH2996" s="81"/>
      <c r="QGI2996" s="160"/>
      <c r="QGJ2996" s="555"/>
      <c r="QGK2996" s="125"/>
      <c r="QGL2996" s="470"/>
      <c r="QGM2996" s="449"/>
      <c r="QGN2996" s="462"/>
      <c r="QGO2996" s="299"/>
      <c r="QGP2996" s="81"/>
      <c r="QGQ2996" s="160"/>
      <c r="QGR2996" s="555"/>
      <c r="QGS2996" s="125"/>
      <c r="QGT2996" s="470"/>
      <c r="QGU2996" s="449"/>
      <c r="QGV2996" s="462"/>
      <c r="QGW2996" s="299"/>
      <c r="QGX2996" s="81"/>
      <c r="QGY2996" s="160"/>
      <c r="QGZ2996" s="555"/>
      <c r="QHA2996" s="125"/>
      <c r="QHB2996" s="470"/>
      <c r="QHC2996" s="449"/>
      <c r="QHD2996" s="462"/>
      <c r="QHE2996" s="299"/>
      <c r="QHF2996" s="81"/>
      <c r="QHG2996" s="160"/>
      <c r="QHH2996" s="555"/>
      <c r="QHI2996" s="125"/>
      <c r="QHJ2996" s="470"/>
      <c r="QHK2996" s="449"/>
      <c r="QHL2996" s="462"/>
      <c r="QHM2996" s="299"/>
      <c r="QHN2996" s="81"/>
      <c r="QHO2996" s="160"/>
      <c r="QHP2996" s="555"/>
      <c r="QHQ2996" s="125"/>
      <c r="QHR2996" s="470"/>
      <c r="QHS2996" s="449"/>
      <c r="QHT2996" s="462"/>
      <c r="QHU2996" s="299"/>
      <c r="QHV2996" s="81"/>
      <c r="QHW2996" s="160"/>
      <c r="QHX2996" s="555"/>
      <c r="QHY2996" s="125"/>
      <c r="QHZ2996" s="470"/>
      <c r="QIA2996" s="449"/>
      <c r="QIB2996" s="462"/>
      <c r="QIC2996" s="299"/>
      <c r="QID2996" s="81"/>
      <c r="QIE2996" s="160"/>
      <c r="QIF2996" s="555"/>
      <c r="QIG2996" s="125"/>
      <c r="QIH2996" s="470"/>
      <c r="QII2996" s="449"/>
      <c r="QIJ2996" s="462"/>
      <c r="QIK2996" s="299"/>
      <c r="QIL2996" s="81"/>
      <c r="QIM2996" s="160"/>
      <c r="QIN2996" s="555"/>
      <c r="QIO2996" s="125"/>
      <c r="QIP2996" s="470"/>
      <c r="QIQ2996" s="449"/>
      <c r="QIR2996" s="462"/>
      <c r="QIS2996" s="299"/>
      <c r="QIT2996" s="81"/>
      <c r="QIU2996" s="160"/>
      <c r="QIV2996" s="555"/>
      <c r="QIW2996" s="125"/>
      <c r="QIX2996" s="470"/>
      <c r="QIY2996" s="449"/>
      <c r="QIZ2996" s="462"/>
      <c r="QJA2996" s="299"/>
      <c r="QJB2996" s="81"/>
      <c r="QJC2996" s="160"/>
      <c r="QJD2996" s="555"/>
      <c r="QJE2996" s="125"/>
      <c r="QJF2996" s="470"/>
      <c r="QJG2996" s="449"/>
      <c r="QJH2996" s="462"/>
      <c r="QJI2996" s="299"/>
      <c r="QJJ2996" s="81"/>
      <c r="QJK2996" s="160"/>
      <c r="QJL2996" s="555"/>
      <c r="QJM2996" s="125"/>
      <c r="QJN2996" s="470"/>
      <c r="QJO2996" s="449"/>
      <c r="QJP2996" s="462"/>
      <c r="QJQ2996" s="299"/>
      <c r="QJR2996" s="81"/>
      <c r="QJS2996" s="160"/>
      <c r="QJT2996" s="555"/>
      <c r="QJU2996" s="125"/>
      <c r="QJV2996" s="470"/>
      <c r="QJW2996" s="449"/>
      <c r="QJX2996" s="462"/>
      <c r="QJY2996" s="299"/>
      <c r="QJZ2996" s="81"/>
      <c r="QKA2996" s="160"/>
      <c r="QKB2996" s="555"/>
      <c r="QKC2996" s="125"/>
      <c r="QKD2996" s="470"/>
      <c r="QKE2996" s="449"/>
      <c r="QKF2996" s="462"/>
      <c r="QKG2996" s="299"/>
      <c r="QKH2996" s="81"/>
      <c r="QKI2996" s="160"/>
      <c r="QKJ2996" s="555"/>
      <c r="QKK2996" s="125"/>
      <c r="QKL2996" s="470"/>
      <c r="QKM2996" s="449"/>
      <c r="QKN2996" s="462"/>
      <c r="QKO2996" s="299"/>
      <c r="QKP2996" s="81"/>
      <c r="QKQ2996" s="160"/>
      <c r="QKR2996" s="555"/>
      <c r="QKS2996" s="125"/>
      <c r="QKT2996" s="470"/>
      <c r="QKU2996" s="449"/>
      <c r="QKV2996" s="462"/>
      <c r="QKW2996" s="299"/>
      <c r="QKX2996" s="81"/>
      <c r="QKY2996" s="160"/>
      <c r="QKZ2996" s="555"/>
      <c r="QLA2996" s="125"/>
      <c r="QLB2996" s="470"/>
      <c r="QLC2996" s="449"/>
      <c r="QLD2996" s="462"/>
      <c r="QLE2996" s="299"/>
      <c r="QLF2996" s="81"/>
      <c r="QLG2996" s="160"/>
      <c r="QLH2996" s="555"/>
      <c r="QLI2996" s="125"/>
      <c r="QLJ2996" s="470"/>
      <c r="QLK2996" s="449"/>
      <c r="QLL2996" s="462"/>
      <c r="QLM2996" s="299"/>
      <c r="QLN2996" s="81"/>
      <c r="QLO2996" s="160"/>
      <c r="QLP2996" s="555"/>
      <c r="QLQ2996" s="125"/>
      <c r="QLR2996" s="470"/>
      <c r="QLS2996" s="449"/>
      <c r="QLT2996" s="462"/>
      <c r="QLU2996" s="299"/>
      <c r="QLV2996" s="81"/>
      <c r="QLW2996" s="160"/>
      <c r="QLX2996" s="555"/>
      <c r="QLY2996" s="125"/>
      <c r="QLZ2996" s="470"/>
      <c r="QMA2996" s="449"/>
      <c r="QMB2996" s="462"/>
      <c r="QMC2996" s="299"/>
      <c r="QMD2996" s="81"/>
      <c r="QME2996" s="160"/>
      <c r="QMF2996" s="555"/>
      <c r="QMG2996" s="125"/>
      <c r="QMH2996" s="470"/>
      <c r="QMI2996" s="449"/>
      <c r="QMJ2996" s="462"/>
      <c r="QMK2996" s="299"/>
      <c r="QML2996" s="81"/>
      <c r="QMM2996" s="160"/>
      <c r="QMN2996" s="555"/>
      <c r="QMO2996" s="125"/>
      <c r="QMP2996" s="470"/>
      <c r="QMQ2996" s="449"/>
      <c r="QMR2996" s="462"/>
      <c r="QMS2996" s="299"/>
      <c r="QMT2996" s="81"/>
      <c r="QMU2996" s="160"/>
      <c r="QMV2996" s="555"/>
      <c r="QMW2996" s="125"/>
      <c r="QMX2996" s="470"/>
      <c r="QMY2996" s="449"/>
      <c r="QMZ2996" s="462"/>
      <c r="QNA2996" s="299"/>
      <c r="QNB2996" s="81"/>
      <c r="QNC2996" s="160"/>
      <c r="QND2996" s="555"/>
      <c r="QNE2996" s="125"/>
      <c r="QNF2996" s="470"/>
      <c r="QNG2996" s="449"/>
      <c r="QNH2996" s="462"/>
      <c r="QNI2996" s="299"/>
      <c r="QNJ2996" s="81"/>
      <c r="QNK2996" s="160"/>
      <c r="QNL2996" s="555"/>
      <c r="QNM2996" s="125"/>
      <c r="QNN2996" s="470"/>
      <c r="QNO2996" s="449"/>
      <c r="QNP2996" s="462"/>
      <c r="QNQ2996" s="299"/>
      <c r="QNR2996" s="81"/>
      <c r="QNS2996" s="160"/>
      <c r="QNT2996" s="555"/>
      <c r="QNU2996" s="125"/>
      <c r="QNV2996" s="470"/>
      <c r="QNW2996" s="449"/>
      <c r="QNX2996" s="462"/>
      <c r="QNY2996" s="299"/>
      <c r="QNZ2996" s="81"/>
      <c r="QOA2996" s="160"/>
      <c r="QOB2996" s="555"/>
      <c r="QOC2996" s="125"/>
      <c r="QOD2996" s="470"/>
      <c r="QOE2996" s="449"/>
      <c r="QOF2996" s="462"/>
      <c r="QOG2996" s="299"/>
      <c r="QOH2996" s="81"/>
      <c r="QOI2996" s="160"/>
      <c r="QOJ2996" s="555"/>
      <c r="QOK2996" s="125"/>
      <c r="QOL2996" s="470"/>
      <c r="QOM2996" s="449"/>
      <c r="QON2996" s="462"/>
      <c r="QOO2996" s="299"/>
      <c r="QOP2996" s="81"/>
      <c r="QOQ2996" s="160"/>
      <c r="QOR2996" s="555"/>
      <c r="QOS2996" s="125"/>
      <c r="QOT2996" s="470"/>
      <c r="QOU2996" s="449"/>
      <c r="QOV2996" s="462"/>
      <c r="QOW2996" s="299"/>
      <c r="QOX2996" s="81"/>
      <c r="QOY2996" s="160"/>
      <c r="QOZ2996" s="555"/>
      <c r="QPA2996" s="125"/>
      <c r="QPB2996" s="470"/>
      <c r="QPC2996" s="449"/>
      <c r="QPD2996" s="462"/>
      <c r="QPE2996" s="299"/>
      <c r="QPF2996" s="81"/>
      <c r="QPG2996" s="160"/>
      <c r="QPH2996" s="555"/>
      <c r="QPI2996" s="125"/>
      <c r="QPJ2996" s="470"/>
      <c r="QPK2996" s="449"/>
      <c r="QPL2996" s="462"/>
      <c r="QPM2996" s="299"/>
      <c r="QPN2996" s="81"/>
      <c r="QPO2996" s="160"/>
      <c r="QPP2996" s="555"/>
      <c r="QPQ2996" s="125"/>
      <c r="QPR2996" s="470"/>
      <c r="QPS2996" s="449"/>
      <c r="QPT2996" s="462"/>
      <c r="QPU2996" s="299"/>
      <c r="QPV2996" s="81"/>
      <c r="QPW2996" s="160"/>
      <c r="QPX2996" s="555"/>
      <c r="QPY2996" s="125"/>
      <c r="QPZ2996" s="470"/>
      <c r="QQA2996" s="449"/>
      <c r="QQB2996" s="462"/>
      <c r="QQC2996" s="299"/>
      <c r="QQD2996" s="81"/>
      <c r="QQE2996" s="160"/>
      <c r="QQF2996" s="555"/>
      <c r="QQG2996" s="125"/>
      <c r="QQH2996" s="470"/>
      <c r="QQI2996" s="449"/>
      <c r="QQJ2996" s="462"/>
      <c r="QQK2996" s="299"/>
      <c r="QQL2996" s="81"/>
      <c r="QQM2996" s="160"/>
      <c r="QQN2996" s="555"/>
      <c r="QQO2996" s="125"/>
      <c r="QQP2996" s="470"/>
      <c r="QQQ2996" s="449"/>
      <c r="QQR2996" s="462"/>
      <c r="QQS2996" s="299"/>
      <c r="QQT2996" s="81"/>
      <c r="QQU2996" s="160"/>
      <c r="QQV2996" s="555"/>
      <c r="QQW2996" s="125"/>
      <c r="QQX2996" s="470"/>
      <c r="QQY2996" s="449"/>
      <c r="QQZ2996" s="462"/>
      <c r="QRA2996" s="299"/>
      <c r="QRB2996" s="81"/>
      <c r="QRC2996" s="160"/>
      <c r="QRD2996" s="555"/>
      <c r="QRE2996" s="125"/>
      <c r="QRF2996" s="470"/>
      <c r="QRG2996" s="449"/>
      <c r="QRH2996" s="462"/>
      <c r="QRI2996" s="299"/>
      <c r="QRJ2996" s="81"/>
      <c r="QRK2996" s="160"/>
      <c r="QRL2996" s="555"/>
      <c r="QRM2996" s="125"/>
      <c r="QRN2996" s="470"/>
      <c r="QRO2996" s="449"/>
      <c r="QRP2996" s="462"/>
      <c r="QRQ2996" s="299"/>
      <c r="QRR2996" s="81"/>
      <c r="QRS2996" s="160"/>
      <c r="QRT2996" s="555"/>
      <c r="QRU2996" s="125"/>
      <c r="QRV2996" s="470"/>
      <c r="QRW2996" s="449"/>
      <c r="QRX2996" s="462"/>
      <c r="QRY2996" s="299"/>
      <c r="QRZ2996" s="81"/>
      <c r="QSA2996" s="160"/>
      <c r="QSB2996" s="555"/>
      <c r="QSC2996" s="125"/>
      <c r="QSD2996" s="470"/>
      <c r="QSE2996" s="449"/>
      <c r="QSF2996" s="462"/>
      <c r="QSG2996" s="299"/>
      <c r="QSH2996" s="81"/>
      <c r="QSI2996" s="160"/>
      <c r="QSJ2996" s="555"/>
      <c r="QSK2996" s="125"/>
      <c r="QSL2996" s="470"/>
      <c r="QSM2996" s="449"/>
      <c r="QSN2996" s="462"/>
      <c r="QSO2996" s="299"/>
      <c r="QSP2996" s="81"/>
      <c r="QSQ2996" s="160"/>
      <c r="QSR2996" s="555"/>
      <c r="QSS2996" s="125"/>
      <c r="QST2996" s="470"/>
      <c r="QSU2996" s="449"/>
      <c r="QSV2996" s="462"/>
      <c r="QSW2996" s="299"/>
      <c r="QSX2996" s="81"/>
      <c r="QSY2996" s="160"/>
      <c r="QSZ2996" s="555"/>
      <c r="QTA2996" s="125"/>
      <c r="QTB2996" s="470"/>
      <c r="QTC2996" s="449"/>
      <c r="QTD2996" s="462"/>
      <c r="QTE2996" s="299"/>
      <c r="QTF2996" s="81"/>
      <c r="QTG2996" s="160"/>
      <c r="QTH2996" s="555"/>
      <c r="QTI2996" s="125"/>
      <c r="QTJ2996" s="470"/>
      <c r="QTK2996" s="449"/>
      <c r="QTL2996" s="462"/>
      <c r="QTM2996" s="299"/>
      <c r="QTN2996" s="81"/>
      <c r="QTO2996" s="160"/>
      <c r="QTP2996" s="555"/>
      <c r="QTQ2996" s="125"/>
      <c r="QTR2996" s="470"/>
      <c r="QTS2996" s="449"/>
      <c r="QTT2996" s="462"/>
      <c r="QTU2996" s="299"/>
      <c r="QTV2996" s="81"/>
      <c r="QTW2996" s="160"/>
      <c r="QTX2996" s="555"/>
      <c r="QTY2996" s="125"/>
      <c r="QTZ2996" s="470"/>
      <c r="QUA2996" s="449"/>
      <c r="QUB2996" s="462"/>
      <c r="QUC2996" s="299"/>
      <c r="QUD2996" s="81"/>
      <c r="QUE2996" s="160"/>
      <c r="QUF2996" s="555"/>
      <c r="QUG2996" s="125"/>
      <c r="QUH2996" s="470"/>
      <c r="QUI2996" s="449"/>
      <c r="QUJ2996" s="462"/>
      <c r="QUK2996" s="299"/>
      <c r="QUL2996" s="81"/>
      <c r="QUM2996" s="160"/>
      <c r="QUN2996" s="555"/>
      <c r="QUO2996" s="125"/>
      <c r="QUP2996" s="470"/>
      <c r="QUQ2996" s="449"/>
      <c r="QUR2996" s="462"/>
      <c r="QUS2996" s="299"/>
      <c r="QUT2996" s="81"/>
      <c r="QUU2996" s="160"/>
      <c r="QUV2996" s="555"/>
      <c r="QUW2996" s="125"/>
      <c r="QUX2996" s="470"/>
      <c r="QUY2996" s="449"/>
      <c r="QUZ2996" s="462"/>
      <c r="QVA2996" s="299"/>
      <c r="QVB2996" s="81"/>
      <c r="QVC2996" s="160"/>
      <c r="QVD2996" s="555"/>
      <c r="QVE2996" s="125"/>
      <c r="QVF2996" s="470"/>
      <c r="QVG2996" s="449"/>
      <c r="QVH2996" s="462"/>
      <c r="QVI2996" s="299"/>
      <c r="QVJ2996" s="81"/>
      <c r="QVK2996" s="160"/>
      <c r="QVL2996" s="555"/>
      <c r="QVM2996" s="125"/>
      <c r="QVN2996" s="470"/>
      <c r="QVO2996" s="449"/>
      <c r="QVP2996" s="462"/>
      <c r="QVQ2996" s="299"/>
      <c r="QVR2996" s="81"/>
      <c r="QVS2996" s="160"/>
      <c r="QVT2996" s="555"/>
      <c r="QVU2996" s="125"/>
      <c r="QVV2996" s="470"/>
      <c r="QVW2996" s="449"/>
      <c r="QVX2996" s="462"/>
      <c r="QVY2996" s="299"/>
      <c r="QVZ2996" s="81"/>
      <c r="QWA2996" s="160"/>
      <c r="QWB2996" s="555"/>
      <c r="QWC2996" s="125"/>
      <c r="QWD2996" s="470"/>
      <c r="QWE2996" s="449"/>
      <c r="QWF2996" s="462"/>
      <c r="QWG2996" s="299"/>
      <c r="QWH2996" s="81"/>
      <c r="QWI2996" s="160"/>
      <c r="QWJ2996" s="555"/>
      <c r="QWK2996" s="125"/>
      <c r="QWL2996" s="470"/>
      <c r="QWM2996" s="449"/>
      <c r="QWN2996" s="462"/>
      <c r="QWO2996" s="299"/>
      <c r="QWP2996" s="81"/>
      <c r="QWQ2996" s="160"/>
      <c r="QWR2996" s="555"/>
      <c r="QWS2996" s="125"/>
      <c r="QWT2996" s="470"/>
      <c r="QWU2996" s="449"/>
      <c r="QWV2996" s="462"/>
      <c r="QWW2996" s="299"/>
      <c r="QWX2996" s="81"/>
      <c r="QWY2996" s="160"/>
      <c r="QWZ2996" s="555"/>
      <c r="QXA2996" s="125"/>
      <c r="QXB2996" s="470"/>
      <c r="QXC2996" s="449"/>
      <c r="QXD2996" s="462"/>
      <c r="QXE2996" s="299"/>
      <c r="QXF2996" s="81"/>
      <c r="QXG2996" s="160"/>
      <c r="QXH2996" s="555"/>
      <c r="QXI2996" s="125"/>
      <c r="QXJ2996" s="470"/>
      <c r="QXK2996" s="449"/>
      <c r="QXL2996" s="462"/>
      <c r="QXM2996" s="299"/>
      <c r="QXN2996" s="81"/>
      <c r="QXO2996" s="160"/>
      <c r="QXP2996" s="555"/>
      <c r="QXQ2996" s="125"/>
      <c r="QXR2996" s="470"/>
      <c r="QXS2996" s="449"/>
      <c r="QXT2996" s="462"/>
      <c r="QXU2996" s="299"/>
      <c r="QXV2996" s="81"/>
      <c r="QXW2996" s="160"/>
      <c r="QXX2996" s="555"/>
      <c r="QXY2996" s="125"/>
      <c r="QXZ2996" s="470"/>
      <c r="QYA2996" s="449"/>
      <c r="QYB2996" s="462"/>
      <c r="QYC2996" s="299"/>
      <c r="QYD2996" s="81"/>
      <c r="QYE2996" s="160"/>
      <c r="QYF2996" s="555"/>
      <c r="QYG2996" s="125"/>
      <c r="QYH2996" s="470"/>
      <c r="QYI2996" s="449"/>
      <c r="QYJ2996" s="462"/>
      <c r="QYK2996" s="299"/>
      <c r="QYL2996" s="81"/>
      <c r="QYM2996" s="160"/>
      <c r="QYN2996" s="555"/>
      <c r="QYO2996" s="125"/>
      <c r="QYP2996" s="470"/>
      <c r="QYQ2996" s="449"/>
      <c r="QYR2996" s="462"/>
      <c r="QYS2996" s="299"/>
      <c r="QYT2996" s="81"/>
      <c r="QYU2996" s="160"/>
      <c r="QYV2996" s="555"/>
      <c r="QYW2996" s="125"/>
      <c r="QYX2996" s="470"/>
      <c r="QYY2996" s="449"/>
      <c r="QYZ2996" s="462"/>
      <c r="QZA2996" s="299"/>
      <c r="QZB2996" s="81"/>
      <c r="QZC2996" s="160"/>
      <c r="QZD2996" s="555"/>
      <c r="QZE2996" s="125"/>
      <c r="QZF2996" s="470"/>
      <c r="QZG2996" s="449"/>
      <c r="QZH2996" s="462"/>
      <c r="QZI2996" s="299"/>
      <c r="QZJ2996" s="81"/>
      <c r="QZK2996" s="160"/>
      <c r="QZL2996" s="555"/>
      <c r="QZM2996" s="125"/>
      <c r="QZN2996" s="470"/>
      <c r="QZO2996" s="449"/>
      <c r="QZP2996" s="462"/>
      <c r="QZQ2996" s="299"/>
      <c r="QZR2996" s="81"/>
      <c r="QZS2996" s="160"/>
      <c r="QZT2996" s="555"/>
      <c r="QZU2996" s="125"/>
      <c r="QZV2996" s="470"/>
      <c r="QZW2996" s="449"/>
      <c r="QZX2996" s="462"/>
      <c r="QZY2996" s="299"/>
      <c r="QZZ2996" s="81"/>
      <c r="RAA2996" s="160"/>
      <c r="RAB2996" s="555"/>
      <c r="RAC2996" s="125"/>
      <c r="RAD2996" s="470"/>
      <c r="RAE2996" s="449"/>
      <c r="RAF2996" s="462"/>
      <c r="RAG2996" s="299"/>
      <c r="RAH2996" s="81"/>
      <c r="RAI2996" s="160"/>
      <c r="RAJ2996" s="555"/>
      <c r="RAK2996" s="125"/>
      <c r="RAL2996" s="470"/>
      <c r="RAM2996" s="449"/>
      <c r="RAN2996" s="462"/>
      <c r="RAO2996" s="299"/>
      <c r="RAP2996" s="81"/>
      <c r="RAQ2996" s="160"/>
      <c r="RAR2996" s="555"/>
      <c r="RAS2996" s="125"/>
      <c r="RAT2996" s="470"/>
      <c r="RAU2996" s="449"/>
      <c r="RAV2996" s="462"/>
      <c r="RAW2996" s="299"/>
      <c r="RAX2996" s="81"/>
      <c r="RAY2996" s="160"/>
      <c r="RAZ2996" s="555"/>
      <c r="RBA2996" s="125"/>
      <c r="RBB2996" s="470"/>
      <c r="RBC2996" s="449"/>
      <c r="RBD2996" s="462"/>
      <c r="RBE2996" s="299"/>
      <c r="RBF2996" s="81"/>
      <c r="RBG2996" s="160"/>
      <c r="RBH2996" s="555"/>
      <c r="RBI2996" s="125"/>
      <c r="RBJ2996" s="470"/>
      <c r="RBK2996" s="449"/>
      <c r="RBL2996" s="462"/>
      <c r="RBM2996" s="299"/>
      <c r="RBN2996" s="81"/>
      <c r="RBO2996" s="160"/>
      <c r="RBP2996" s="555"/>
      <c r="RBQ2996" s="125"/>
      <c r="RBR2996" s="470"/>
      <c r="RBS2996" s="449"/>
      <c r="RBT2996" s="462"/>
      <c r="RBU2996" s="299"/>
      <c r="RBV2996" s="81"/>
      <c r="RBW2996" s="160"/>
      <c r="RBX2996" s="555"/>
      <c r="RBY2996" s="125"/>
      <c r="RBZ2996" s="470"/>
      <c r="RCA2996" s="449"/>
      <c r="RCB2996" s="462"/>
      <c r="RCC2996" s="299"/>
      <c r="RCD2996" s="81"/>
      <c r="RCE2996" s="160"/>
      <c r="RCF2996" s="555"/>
      <c r="RCG2996" s="125"/>
      <c r="RCH2996" s="470"/>
      <c r="RCI2996" s="449"/>
      <c r="RCJ2996" s="462"/>
      <c r="RCK2996" s="299"/>
      <c r="RCL2996" s="81"/>
      <c r="RCM2996" s="160"/>
      <c r="RCN2996" s="555"/>
      <c r="RCO2996" s="125"/>
      <c r="RCP2996" s="470"/>
      <c r="RCQ2996" s="449"/>
      <c r="RCR2996" s="462"/>
      <c r="RCS2996" s="299"/>
      <c r="RCT2996" s="81"/>
      <c r="RCU2996" s="160"/>
      <c r="RCV2996" s="555"/>
      <c r="RCW2996" s="125"/>
      <c r="RCX2996" s="470"/>
      <c r="RCY2996" s="449"/>
      <c r="RCZ2996" s="462"/>
      <c r="RDA2996" s="299"/>
      <c r="RDB2996" s="81"/>
      <c r="RDC2996" s="160"/>
      <c r="RDD2996" s="555"/>
      <c r="RDE2996" s="125"/>
      <c r="RDF2996" s="470"/>
      <c r="RDG2996" s="449"/>
      <c r="RDH2996" s="462"/>
      <c r="RDI2996" s="299"/>
      <c r="RDJ2996" s="81"/>
      <c r="RDK2996" s="160"/>
      <c r="RDL2996" s="555"/>
      <c r="RDM2996" s="125"/>
      <c r="RDN2996" s="470"/>
      <c r="RDO2996" s="449"/>
      <c r="RDP2996" s="462"/>
      <c r="RDQ2996" s="299"/>
      <c r="RDR2996" s="81"/>
      <c r="RDS2996" s="160"/>
      <c r="RDT2996" s="555"/>
      <c r="RDU2996" s="125"/>
      <c r="RDV2996" s="470"/>
      <c r="RDW2996" s="449"/>
      <c r="RDX2996" s="462"/>
      <c r="RDY2996" s="299"/>
      <c r="RDZ2996" s="81"/>
      <c r="REA2996" s="160"/>
      <c r="REB2996" s="555"/>
      <c r="REC2996" s="125"/>
      <c r="RED2996" s="470"/>
      <c r="REE2996" s="449"/>
      <c r="REF2996" s="462"/>
      <c r="REG2996" s="299"/>
      <c r="REH2996" s="81"/>
      <c r="REI2996" s="160"/>
      <c r="REJ2996" s="555"/>
      <c r="REK2996" s="125"/>
      <c r="REL2996" s="470"/>
      <c r="REM2996" s="449"/>
      <c r="REN2996" s="462"/>
      <c r="REO2996" s="299"/>
      <c r="REP2996" s="81"/>
      <c r="REQ2996" s="160"/>
      <c r="RER2996" s="555"/>
      <c r="RES2996" s="125"/>
      <c r="RET2996" s="470"/>
      <c r="REU2996" s="449"/>
      <c r="REV2996" s="462"/>
      <c r="REW2996" s="299"/>
      <c r="REX2996" s="81"/>
      <c r="REY2996" s="160"/>
      <c r="REZ2996" s="555"/>
      <c r="RFA2996" s="125"/>
      <c r="RFB2996" s="470"/>
      <c r="RFC2996" s="449"/>
      <c r="RFD2996" s="462"/>
      <c r="RFE2996" s="299"/>
      <c r="RFF2996" s="81"/>
      <c r="RFG2996" s="160"/>
      <c r="RFH2996" s="555"/>
      <c r="RFI2996" s="125"/>
      <c r="RFJ2996" s="470"/>
      <c r="RFK2996" s="449"/>
      <c r="RFL2996" s="462"/>
      <c r="RFM2996" s="299"/>
      <c r="RFN2996" s="81"/>
      <c r="RFO2996" s="160"/>
      <c r="RFP2996" s="555"/>
      <c r="RFQ2996" s="125"/>
      <c r="RFR2996" s="470"/>
      <c r="RFS2996" s="449"/>
      <c r="RFT2996" s="462"/>
      <c r="RFU2996" s="299"/>
      <c r="RFV2996" s="81"/>
      <c r="RFW2996" s="160"/>
      <c r="RFX2996" s="555"/>
      <c r="RFY2996" s="125"/>
      <c r="RFZ2996" s="470"/>
      <c r="RGA2996" s="449"/>
      <c r="RGB2996" s="462"/>
      <c r="RGC2996" s="299"/>
      <c r="RGD2996" s="81"/>
      <c r="RGE2996" s="160"/>
      <c r="RGF2996" s="555"/>
      <c r="RGG2996" s="125"/>
      <c r="RGH2996" s="470"/>
      <c r="RGI2996" s="449"/>
      <c r="RGJ2996" s="462"/>
      <c r="RGK2996" s="299"/>
      <c r="RGL2996" s="81"/>
      <c r="RGM2996" s="160"/>
      <c r="RGN2996" s="555"/>
      <c r="RGO2996" s="125"/>
      <c r="RGP2996" s="470"/>
      <c r="RGQ2996" s="449"/>
      <c r="RGR2996" s="462"/>
      <c r="RGS2996" s="299"/>
      <c r="RGT2996" s="81"/>
      <c r="RGU2996" s="160"/>
      <c r="RGV2996" s="555"/>
      <c r="RGW2996" s="125"/>
      <c r="RGX2996" s="470"/>
      <c r="RGY2996" s="449"/>
      <c r="RGZ2996" s="462"/>
      <c r="RHA2996" s="299"/>
      <c r="RHB2996" s="81"/>
      <c r="RHC2996" s="160"/>
      <c r="RHD2996" s="555"/>
      <c r="RHE2996" s="125"/>
      <c r="RHF2996" s="470"/>
      <c r="RHG2996" s="449"/>
      <c r="RHH2996" s="462"/>
      <c r="RHI2996" s="299"/>
      <c r="RHJ2996" s="81"/>
      <c r="RHK2996" s="160"/>
      <c r="RHL2996" s="555"/>
      <c r="RHM2996" s="125"/>
      <c r="RHN2996" s="470"/>
      <c r="RHO2996" s="449"/>
      <c r="RHP2996" s="462"/>
      <c r="RHQ2996" s="299"/>
      <c r="RHR2996" s="81"/>
      <c r="RHS2996" s="160"/>
      <c r="RHT2996" s="555"/>
      <c r="RHU2996" s="125"/>
      <c r="RHV2996" s="470"/>
      <c r="RHW2996" s="449"/>
      <c r="RHX2996" s="462"/>
      <c r="RHY2996" s="299"/>
      <c r="RHZ2996" s="81"/>
      <c r="RIA2996" s="160"/>
      <c r="RIB2996" s="555"/>
      <c r="RIC2996" s="125"/>
      <c r="RID2996" s="470"/>
      <c r="RIE2996" s="449"/>
      <c r="RIF2996" s="462"/>
      <c r="RIG2996" s="299"/>
      <c r="RIH2996" s="81"/>
      <c r="RII2996" s="160"/>
      <c r="RIJ2996" s="555"/>
      <c r="RIK2996" s="125"/>
      <c r="RIL2996" s="470"/>
      <c r="RIM2996" s="449"/>
      <c r="RIN2996" s="462"/>
      <c r="RIO2996" s="299"/>
      <c r="RIP2996" s="81"/>
      <c r="RIQ2996" s="160"/>
      <c r="RIR2996" s="555"/>
      <c r="RIS2996" s="125"/>
      <c r="RIT2996" s="470"/>
      <c r="RIU2996" s="449"/>
      <c r="RIV2996" s="462"/>
      <c r="RIW2996" s="299"/>
      <c r="RIX2996" s="81"/>
      <c r="RIY2996" s="160"/>
      <c r="RIZ2996" s="555"/>
      <c r="RJA2996" s="125"/>
      <c r="RJB2996" s="470"/>
      <c r="RJC2996" s="449"/>
      <c r="RJD2996" s="462"/>
      <c r="RJE2996" s="299"/>
      <c r="RJF2996" s="81"/>
      <c r="RJG2996" s="160"/>
      <c r="RJH2996" s="555"/>
      <c r="RJI2996" s="125"/>
      <c r="RJJ2996" s="470"/>
      <c r="RJK2996" s="449"/>
      <c r="RJL2996" s="462"/>
      <c r="RJM2996" s="299"/>
      <c r="RJN2996" s="81"/>
      <c r="RJO2996" s="160"/>
      <c r="RJP2996" s="555"/>
      <c r="RJQ2996" s="125"/>
      <c r="RJR2996" s="470"/>
      <c r="RJS2996" s="449"/>
      <c r="RJT2996" s="462"/>
      <c r="RJU2996" s="299"/>
      <c r="RJV2996" s="81"/>
      <c r="RJW2996" s="160"/>
      <c r="RJX2996" s="555"/>
      <c r="RJY2996" s="125"/>
      <c r="RJZ2996" s="470"/>
      <c r="RKA2996" s="449"/>
      <c r="RKB2996" s="462"/>
      <c r="RKC2996" s="299"/>
      <c r="RKD2996" s="81"/>
      <c r="RKE2996" s="160"/>
      <c r="RKF2996" s="555"/>
      <c r="RKG2996" s="125"/>
      <c r="RKH2996" s="470"/>
      <c r="RKI2996" s="449"/>
      <c r="RKJ2996" s="462"/>
      <c r="RKK2996" s="299"/>
      <c r="RKL2996" s="81"/>
      <c r="RKM2996" s="160"/>
      <c r="RKN2996" s="555"/>
      <c r="RKO2996" s="125"/>
      <c r="RKP2996" s="470"/>
      <c r="RKQ2996" s="449"/>
      <c r="RKR2996" s="462"/>
      <c r="RKS2996" s="299"/>
      <c r="RKT2996" s="81"/>
      <c r="RKU2996" s="160"/>
      <c r="RKV2996" s="555"/>
      <c r="RKW2996" s="125"/>
      <c r="RKX2996" s="470"/>
      <c r="RKY2996" s="449"/>
      <c r="RKZ2996" s="462"/>
      <c r="RLA2996" s="299"/>
      <c r="RLB2996" s="81"/>
      <c r="RLC2996" s="160"/>
      <c r="RLD2996" s="555"/>
      <c r="RLE2996" s="125"/>
      <c r="RLF2996" s="470"/>
      <c r="RLG2996" s="449"/>
      <c r="RLH2996" s="462"/>
      <c r="RLI2996" s="299"/>
      <c r="RLJ2996" s="81"/>
      <c r="RLK2996" s="160"/>
      <c r="RLL2996" s="555"/>
      <c r="RLM2996" s="125"/>
      <c r="RLN2996" s="470"/>
      <c r="RLO2996" s="449"/>
      <c r="RLP2996" s="462"/>
      <c r="RLQ2996" s="299"/>
      <c r="RLR2996" s="81"/>
      <c r="RLS2996" s="160"/>
      <c r="RLT2996" s="555"/>
      <c r="RLU2996" s="125"/>
      <c r="RLV2996" s="470"/>
      <c r="RLW2996" s="449"/>
      <c r="RLX2996" s="462"/>
      <c r="RLY2996" s="299"/>
      <c r="RLZ2996" s="81"/>
      <c r="RMA2996" s="160"/>
      <c r="RMB2996" s="555"/>
      <c r="RMC2996" s="125"/>
      <c r="RMD2996" s="470"/>
      <c r="RME2996" s="449"/>
      <c r="RMF2996" s="462"/>
      <c r="RMG2996" s="299"/>
      <c r="RMH2996" s="81"/>
      <c r="RMI2996" s="160"/>
      <c r="RMJ2996" s="555"/>
      <c r="RMK2996" s="125"/>
      <c r="RML2996" s="470"/>
      <c r="RMM2996" s="449"/>
      <c r="RMN2996" s="462"/>
      <c r="RMO2996" s="299"/>
      <c r="RMP2996" s="81"/>
      <c r="RMQ2996" s="160"/>
      <c r="RMR2996" s="555"/>
      <c r="RMS2996" s="125"/>
      <c r="RMT2996" s="470"/>
      <c r="RMU2996" s="449"/>
      <c r="RMV2996" s="462"/>
      <c r="RMW2996" s="299"/>
      <c r="RMX2996" s="81"/>
      <c r="RMY2996" s="160"/>
      <c r="RMZ2996" s="555"/>
      <c r="RNA2996" s="125"/>
      <c r="RNB2996" s="470"/>
      <c r="RNC2996" s="449"/>
      <c r="RND2996" s="462"/>
      <c r="RNE2996" s="299"/>
      <c r="RNF2996" s="81"/>
      <c r="RNG2996" s="160"/>
      <c r="RNH2996" s="555"/>
      <c r="RNI2996" s="125"/>
      <c r="RNJ2996" s="470"/>
      <c r="RNK2996" s="449"/>
      <c r="RNL2996" s="462"/>
      <c r="RNM2996" s="299"/>
      <c r="RNN2996" s="81"/>
      <c r="RNO2996" s="160"/>
      <c r="RNP2996" s="555"/>
      <c r="RNQ2996" s="125"/>
      <c r="RNR2996" s="470"/>
      <c r="RNS2996" s="449"/>
      <c r="RNT2996" s="462"/>
      <c r="RNU2996" s="299"/>
      <c r="RNV2996" s="81"/>
      <c r="RNW2996" s="160"/>
      <c r="RNX2996" s="555"/>
      <c r="RNY2996" s="125"/>
      <c r="RNZ2996" s="470"/>
      <c r="ROA2996" s="449"/>
      <c r="ROB2996" s="462"/>
      <c r="ROC2996" s="299"/>
      <c r="ROD2996" s="81"/>
      <c r="ROE2996" s="160"/>
      <c r="ROF2996" s="555"/>
      <c r="ROG2996" s="125"/>
      <c r="ROH2996" s="470"/>
      <c r="ROI2996" s="449"/>
      <c r="ROJ2996" s="462"/>
      <c r="ROK2996" s="299"/>
      <c r="ROL2996" s="81"/>
      <c r="ROM2996" s="160"/>
      <c r="RON2996" s="555"/>
      <c r="ROO2996" s="125"/>
      <c r="ROP2996" s="470"/>
      <c r="ROQ2996" s="449"/>
      <c r="ROR2996" s="462"/>
      <c r="ROS2996" s="299"/>
      <c r="ROT2996" s="81"/>
      <c r="ROU2996" s="160"/>
      <c r="ROV2996" s="555"/>
      <c r="ROW2996" s="125"/>
      <c r="ROX2996" s="470"/>
      <c r="ROY2996" s="449"/>
      <c r="ROZ2996" s="462"/>
      <c r="RPA2996" s="299"/>
      <c r="RPB2996" s="81"/>
      <c r="RPC2996" s="160"/>
      <c r="RPD2996" s="555"/>
      <c r="RPE2996" s="125"/>
      <c r="RPF2996" s="470"/>
      <c r="RPG2996" s="449"/>
      <c r="RPH2996" s="462"/>
      <c r="RPI2996" s="299"/>
      <c r="RPJ2996" s="81"/>
      <c r="RPK2996" s="160"/>
      <c r="RPL2996" s="555"/>
      <c r="RPM2996" s="125"/>
      <c r="RPN2996" s="470"/>
      <c r="RPO2996" s="449"/>
      <c r="RPP2996" s="462"/>
      <c r="RPQ2996" s="299"/>
      <c r="RPR2996" s="81"/>
      <c r="RPS2996" s="160"/>
      <c r="RPT2996" s="555"/>
      <c r="RPU2996" s="125"/>
      <c r="RPV2996" s="470"/>
      <c r="RPW2996" s="449"/>
      <c r="RPX2996" s="462"/>
      <c r="RPY2996" s="299"/>
      <c r="RPZ2996" s="81"/>
      <c r="RQA2996" s="160"/>
      <c r="RQB2996" s="555"/>
      <c r="RQC2996" s="125"/>
      <c r="RQD2996" s="470"/>
      <c r="RQE2996" s="449"/>
      <c r="RQF2996" s="462"/>
      <c r="RQG2996" s="299"/>
      <c r="RQH2996" s="81"/>
      <c r="RQI2996" s="160"/>
      <c r="RQJ2996" s="555"/>
      <c r="RQK2996" s="125"/>
      <c r="RQL2996" s="470"/>
      <c r="RQM2996" s="449"/>
      <c r="RQN2996" s="462"/>
      <c r="RQO2996" s="299"/>
      <c r="RQP2996" s="81"/>
      <c r="RQQ2996" s="160"/>
      <c r="RQR2996" s="555"/>
      <c r="RQS2996" s="125"/>
      <c r="RQT2996" s="470"/>
      <c r="RQU2996" s="449"/>
      <c r="RQV2996" s="462"/>
      <c r="RQW2996" s="299"/>
      <c r="RQX2996" s="81"/>
      <c r="RQY2996" s="160"/>
      <c r="RQZ2996" s="555"/>
      <c r="RRA2996" s="125"/>
      <c r="RRB2996" s="470"/>
      <c r="RRC2996" s="449"/>
      <c r="RRD2996" s="462"/>
      <c r="RRE2996" s="299"/>
      <c r="RRF2996" s="81"/>
      <c r="RRG2996" s="160"/>
      <c r="RRH2996" s="555"/>
      <c r="RRI2996" s="125"/>
      <c r="RRJ2996" s="470"/>
      <c r="RRK2996" s="449"/>
      <c r="RRL2996" s="462"/>
      <c r="RRM2996" s="299"/>
      <c r="RRN2996" s="81"/>
      <c r="RRO2996" s="160"/>
      <c r="RRP2996" s="555"/>
      <c r="RRQ2996" s="125"/>
      <c r="RRR2996" s="470"/>
      <c r="RRS2996" s="449"/>
      <c r="RRT2996" s="462"/>
      <c r="RRU2996" s="299"/>
      <c r="RRV2996" s="81"/>
      <c r="RRW2996" s="160"/>
      <c r="RRX2996" s="555"/>
      <c r="RRY2996" s="125"/>
      <c r="RRZ2996" s="470"/>
      <c r="RSA2996" s="449"/>
      <c r="RSB2996" s="462"/>
      <c r="RSC2996" s="299"/>
      <c r="RSD2996" s="81"/>
      <c r="RSE2996" s="160"/>
      <c r="RSF2996" s="555"/>
      <c r="RSG2996" s="125"/>
      <c r="RSH2996" s="470"/>
      <c r="RSI2996" s="449"/>
      <c r="RSJ2996" s="462"/>
      <c r="RSK2996" s="299"/>
      <c r="RSL2996" s="81"/>
      <c r="RSM2996" s="160"/>
      <c r="RSN2996" s="555"/>
      <c r="RSO2996" s="125"/>
      <c r="RSP2996" s="470"/>
      <c r="RSQ2996" s="449"/>
      <c r="RSR2996" s="462"/>
      <c r="RSS2996" s="299"/>
      <c r="RST2996" s="81"/>
      <c r="RSU2996" s="160"/>
      <c r="RSV2996" s="555"/>
      <c r="RSW2996" s="125"/>
      <c r="RSX2996" s="470"/>
      <c r="RSY2996" s="449"/>
      <c r="RSZ2996" s="462"/>
      <c r="RTA2996" s="299"/>
      <c r="RTB2996" s="81"/>
      <c r="RTC2996" s="160"/>
      <c r="RTD2996" s="555"/>
      <c r="RTE2996" s="125"/>
      <c r="RTF2996" s="470"/>
      <c r="RTG2996" s="449"/>
      <c r="RTH2996" s="462"/>
      <c r="RTI2996" s="299"/>
      <c r="RTJ2996" s="81"/>
      <c r="RTK2996" s="160"/>
      <c r="RTL2996" s="555"/>
      <c r="RTM2996" s="125"/>
      <c r="RTN2996" s="470"/>
      <c r="RTO2996" s="449"/>
      <c r="RTP2996" s="462"/>
      <c r="RTQ2996" s="299"/>
      <c r="RTR2996" s="81"/>
      <c r="RTS2996" s="160"/>
      <c r="RTT2996" s="555"/>
      <c r="RTU2996" s="125"/>
      <c r="RTV2996" s="470"/>
      <c r="RTW2996" s="449"/>
      <c r="RTX2996" s="462"/>
      <c r="RTY2996" s="299"/>
      <c r="RTZ2996" s="81"/>
      <c r="RUA2996" s="160"/>
      <c r="RUB2996" s="555"/>
      <c r="RUC2996" s="125"/>
      <c r="RUD2996" s="470"/>
      <c r="RUE2996" s="449"/>
      <c r="RUF2996" s="462"/>
      <c r="RUG2996" s="299"/>
      <c r="RUH2996" s="81"/>
      <c r="RUI2996" s="160"/>
      <c r="RUJ2996" s="555"/>
      <c r="RUK2996" s="125"/>
      <c r="RUL2996" s="470"/>
      <c r="RUM2996" s="449"/>
      <c r="RUN2996" s="462"/>
      <c r="RUO2996" s="299"/>
      <c r="RUP2996" s="81"/>
      <c r="RUQ2996" s="160"/>
      <c r="RUR2996" s="555"/>
      <c r="RUS2996" s="125"/>
      <c r="RUT2996" s="470"/>
      <c r="RUU2996" s="449"/>
      <c r="RUV2996" s="462"/>
      <c r="RUW2996" s="299"/>
      <c r="RUX2996" s="81"/>
      <c r="RUY2996" s="160"/>
      <c r="RUZ2996" s="555"/>
      <c r="RVA2996" s="125"/>
      <c r="RVB2996" s="470"/>
      <c r="RVC2996" s="449"/>
      <c r="RVD2996" s="462"/>
      <c r="RVE2996" s="299"/>
      <c r="RVF2996" s="81"/>
      <c r="RVG2996" s="160"/>
      <c r="RVH2996" s="555"/>
      <c r="RVI2996" s="125"/>
      <c r="RVJ2996" s="470"/>
      <c r="RVK2996" s="449"/>
      <c r="RVL2996" s="462"/>
      <c r="RVM2996" s="299"/>
      <c r="RVN2996" s="81"/>
      <c r="RVO2996" s="160"/>
      <c r="RVP2996" s="555"/>
      <c r="RVQ2996" s="125"/>
      <c r="RVR2996" s="470"/>
      <c r="RVS2996" s="449"/>
      <c r="RVT2996" s="462"/>
      <c r="RVU2996" s="299"/>
      <c r="RVV2996" s="81"/>
      <c r="RVW2996" s="160"/>
      <c r="RVX2996" s="555"/>
      <c r="RVY2996" s="125"/>
      <c r="RVZ2996" s="470"/>
      <c r="RWA2996" s="449"/>
      <c r="RWB2996" s="462"/>
      <c r="RWC2996" s="299"/>
      <c r="RWD2996" s="81"/>
      <c r="RWE2996" s="160"/>
      <c r="RWF2996" s="555"/>
      <c r="RWG2996" s="125"/>
      <c r="RWH2996" s="470"/>
      <c r="RWI2996" s="449"/>
      <c r="RWJ2996" s="462"/>
      <c r="RWK2996" s="299"/>
      <c r="RWL2996" s="81"/>
      <c r="RWM2996" s="160"/>
      <c r="RWN2996" s="555"/>
      <c r="RWO2996" s="125"/>
      <c r="RWP2996" s="470"/>
      <c r="RWQ2996" s="449"/>
      <c r="RWR2996" s="462"/>
      <c r="RWS2996" s="299"/>
      <c r="RWT2996" s="81"/>
      <c r="RWU2996" s="160"/>
      <c r="RWV2996" s="555"/>
      <c r="RWW2996" s="125"/>
      <c r="RWX2996" s="470"/>
      <c r="RWY2996" s="449"/>
      <c r="RWZ2996" s="462"/>
      <c r="RXA2996" s="299"/>
      <c r="RXB2996" s="81"/>
      <c r="RXC2996" s="160"/>
      <c r="RXD2996" s="555"/>
      <c r="RXE2996" s="125"/>
      <c r="RXF2996" s="470"/>
      <c r="RXG2996" s="449"/>
      <c r="RXH2996" s="462"/>
      <c r="RXI2996" s="299"/>
      <c r="RXJ2996" s="81"/>
      <c r="RXK2996" s="160"/>
      <c r="RXL2996" s="555"/>
      <c r="RXM2996" s="125"/>
      <c r="RXN2996" s="470"/>
      <c r="RXO2996" s="449"/>
      <c r="RXP2996" s="462"/>
      <c r="RXQ2996" s="299"/>
      <c r="RXR2996" s="81"/>
      <c r="RXS2996" s="160"/>
      <c r="RXT2996" s="555"/>
      <c r="RXU2996" s="125"/>
      <c r="RXV2996" s="470"/>
      <c r="RXW2996" s="449"/>
      <c r="RXX2996" s="462"/>
      <c r="RXY2996" s="299"/>
      <c r="RXZ2996" s="81"/>
      <c r="RYA2996" s="160"/>
      <c r="RYB2996" s="555"/>
      <c r="RYC2996" s="125"/>
      <c r="RYD2996" s="470"/>
      <c r="RYE2996" s="449"/>
      <c r="RYF2996" s="462"/>
      <c r="RYG2996" s="299"/>
      <c r="RYH2996" s="81"/>
      <c r="RYI2996" s="160"/>
      <c r="RYJ2996" s="555"/>
      <c r="RYK2996" s="125"/>
      <c r="RYL2996" s="470"/>
      <c r="RYM2996" s="449"/>
      <c r="RYN2996" s="462"/>
      <c r="RYO2996" s="299"/>
      <c r="RYP2996" s="81"/>
      <c r="RYQ2996" s="160"/>
      <c r="RYR2996" s="555"/>
      <c r="RYS2996" s="125"/>
      <c r="RYT2996" s="470"/>
      <c r="RYU2996" s="449"/>
      <c r="RYV2996" s="462"/>
      <c r="RYW2996" s="299"/>
      <c r="RYX2996" s="81"/>
      <c r="RYY2996" s="160"/>
      <c r="RYZ2996" s="555"/>
      <c r="RZA2996" s="125"/>
      <c r="RZB2996" s="470"/>
      <c r="RZC2996" s="449"/>
      <c r="RZD2996" s="462"/>
      <c r="RZE2996" s="299"/>
      <c r="RZF2996" s="81"/>
      <c r="RZG2996" s="160"/>
      <c r="RZH2996" s="555"/>
      <c r="RZI2996" s="125"/>
      <c r="RZJ2996" s="470"/>
      <c r="RZK2996" s="449"/>
      <c r="RZL2996" s="462"/>
      <c r="RZM2996" s="299"/>
      <c r="RZN2996" s="81"/>
      <c r="RZO2996" s="160"/>
      <c r="RZP2996" s="555"/>
      <c r="RZQ2996" s="125"/>
      <c r="RZR2996" s="470"/>
      <c r="RZS2996" s="449"/>
      <c r="RZT2996" s="462"/>
      <c r="RZU2996" s="299"/>
      <c r="RZV2996" s="81"/>
      <c r="RZW2996" s="160"/>
      <c r="RZX2996" s="555"/>
      <c r="RZY2996" s="125"/>
      <c r="RZZ2996" s="470"/>
      <c r="SAA2996" s="449"/>
      <c r="SAB2996" s="462"/>
      <c r="SAC2996" s="299"/>
      <c r="SAD2996" s="81"/>
      <c r="SAE2996" s="160"/>
      <c r="SAF2996" s="555"/>
      <c r="SAG2996" s="125"/>
      <c r="SAH2996" s="470"/>
      <c r="SAI2996" s="449"/>
      <c r="SAJ2996" s="462"/>
      <c r="SAK2996" s="299"/>
      <c r="SAL2996" s="81"/>
      <c r="SAM2996" s="160"/>
      <c r="SAN2996" s="555"/>
      <c r="SAO2996" s="125"/>
      <c r="SAP2996" s="470"/>
      <c r="SAQ2996" s="449"/>
      <c r="SAR2996" s="462"/>
      <c r="SAS2996" s="299"/>
      <c r="SAT2996" s="81"/>
      <c r="SAU2996" s="160"/>
      <c r="SAV2996" s="555"/>
      <c r="SAW2996" s="125"/>
      <c r="SAX2996" s="470"/>
      <c r="SAY2996" s="449"/>
      <c r="SAZ2996" s="462"/>
      <c r="SBA2996" s="299"/>
      <c r="SBB2996" s="81"/>
      <c r="SBC2996" s="160"/>
      <c r="SBD2996" s="555"/>
      <c r="SBE2996" s="125"/>
      <c r="SBF2996" s="470"/>
      <c r="SBG2996" s="449"/>
      <c r="SBH2996" s="462"/>
      <c r="SBI2996" s="299"/>
      <c r="SBJ2996" s="81"/>
      <c r="SBK2996" s="160"/>
      <c r="SBL2996" s="555"/>
      <c r="SBM2996" s="125"/>
      <c r="SBN2996" s="470"/>
      <c r="SBO2996" s="449"/>
      <c r="SBP2996" s="462"/>
      <c r="SBQ2996" s="299"/>
      <c r="SBR2996" s="81"/>
      <c r="SBS2996" s="160"/>
      <c r="SBT2996" s="555"/>
      <c r="SBU2996" s="125"/>
      <c r="SBV2996" s="470"/>
      <c r="SBW2996" s="449"/>
      <c r="SBX2996" s="462"/>
      <c r="SBY2996" s="299"/>
      <c r="SBZ2996" s="81"/>
      <c r="SCA2996" s="160"/>
      <c r="SCB2996" s="555"/>
      <c r="SCC2996" s="125"/>
      <c r="SCD2996" s="470"/>
      <c r="SCE2996" s="449"/>
      <c r="SCF2996" s="462"/>
      <c r="SCG2996" s="299"/>
      <c r="SCH2996" s="81"/>
      <c r="SCI2996" s="160"/>
      <c r="SCJ2996" s="555"/>
      <c r="SCK2996" s="125"/>
      <c r="SCL2996" s="470"/>
      <c r="SCM2996" s="449"/>
      <c r="SCN2996" s="462"/>
      <c r="SCO2996" s="299"/>
      <c r="SCP2996" s="81"/>
      <c r="SCQ2996" s="160"/>
      <c r="SCR2996" s="555"/>
      <c r="SCS2996" s="125"/>
      <c r="SCT2996" s="470"/>
      <c r="SCU2996" s="449"/>
      <c r="SCV2996" s="462"/>
      <c r="SCW2996" s="299"/>
      <c r="SCX2996" s="81"/>
      <c r="SCY2996" s="160"/>
      <c r="SCZ2996" s="555"/>
      <c r="SDA2996" s="125"/>
      <c r="SDB2996" s="470"/>
      <c r="SDC2996" s="449"/>
      <c r="SDD2996" s="462"/>
      <c r="SDE2996" s="299"/>
      <c r="SDF2996" s="81"/>
      <c r="SDG2996" s="160"/>
      <c r="SDH2996" s="555"/>
      <c r="SDI2996" s="125"/>
      <c r="SDJ2996" s="470"/>
      <c r="SDK2996" s="449"/>
      <c r="SDL2996" s="462"/>
      <c r="SDM2996" s="299"/>
      <c r="SDN2996" s="81"/>
      <c r="SDO2996" s="160"/>
      <c r="SDP2996" s="555"/>
      <c r="SDQ2996" s="125"/>
      <c r="SDR2996" s="470"/>
      <c r="SDS2996" s="449"/>
      <c r="SDT2996" s="462"/>
      <c r="SDU2996" s="299"/>
      <c r="SDV2996" s="81"/>
      <c r="SDW2996" s="160"/>
      <c r="SDX2996" s="555"/>
      <c r="SDY2996" s="125"/>
      <c r="SDZ2996" s="470"/>
      <c r="SEA2996" s="449"/>
      <c r="SEB2996" s="462"/>
      <c r="SEC2996" s="299"/>
      <c r="SED2996" s="81"/>
      <c r="SEE2996" s="160"/>
      <c r="SEF2996" s="555"/>
      <c r="SEG2996" s="125"/>
      <c r="SEH2996" s="470"/>
      <c r="SEI2996" s="449"/>
      <c r="SEJ2996" s="462"/>
      <c r="SEK2996" s="299"/>
      <c r="SEL2996" s="81"/>
      <c r="SEM2996" s="160"/>
      <c r="SEN2996" s="555"/>
      <c r="SEO2996" s="125"/>
      <c r="SEP2996" s="470"/>
      <c r="SEQ2996" s="449"/>
      <c r="SER2996" s="462"/>
      <c r="SES2996" s="299"/>
      <c r="SET2996" s="81"/>
      <c r="SEU2996" s="160"/>
      <c r="SEV2996" s="555"/>
      <c r="SEW2996" s="125"/>
      <c r="SEX2996" s="470"/>
      <c r="SEY2996" s="449"/>
      <c r="SEZ2996" s="462"/>
      <c r="SFA2996" s="299"/>
      <c r="SFB2996" s="81"/>
      <c r="SFC2996" s="160"/>
      <c r="SFD2996" s="555"/>
      <c r="SFE2996" s="125"/>
      <c r="SFF2996" s="470"/>
      <c r="SFG2996" s="449"/>
      <c r="SFH2996" s="462"/>
      <c r="SFI2996" s="299"/>
      <c r="SFJ2996" s="81"/>
      <c r="SFK2996" s="160"/>
      <c r="SFL2996" s="555"/>
      <c r="SFM2996" s="125"/>
      <c r="SFN2996" s="470"/>
      <c r="SFO2996" s="449"/>
      <c r="SFP2996" s="462"/>
      <c r="SFQ2996" s="299"/>
      <c r="SFR2996" s="81"/>
      <c r="SFS2996" s="160"/>
      <c r="SFT2996" s="555"/>
      <c r="SFU2996" s="125"/>
      <c r="SFV2996" s="470"/>
      <c r="SFW2996" s="449"/>
      <c r="SFX2996" s="462"/>
      <c r="SFY2996" s="299"/>
      <c r="SFZ2996" s="81"/>
      <c r="SGA2996" s="160"/>
      <c r="SGB2996" s="555"/>
      <c r="SGC2996" s="125"/>
      <c r="SGD2996" s="470"/>
      <c r="SGE2996" s="449"/>
      <c r="SGF2996" s="462"/>
      <c r="SGG2996" s="299"/>
      <c r="SGH2996" s="81"/>
      <c r="SGI2996" s="160"/>
      <c r="SGJ2996" s="555"/>
      <c r="SGK2996" s="125"/>
      <c r="SGL2996" s="470"/>
      <c r="SGM2996" s="449"/>
      <c r="SGN2996" s="462"/>
      <c r="SGO2996" s="299"/>
      <c r="SGP2996" s="81"/>
      <c r="SGQ2996" s="160"/>
      <c r="SGR2996" s="555"/>
      <c r="SGS2996" s="125"/>
      <c r="SGT2996" s="470"/>
      <c r="SGU2996" s="449"/>
      <c r="SGV2996" s="462"/>
      <c r="SGW2996" s="299"/>
      <c r="SGX2996" s="81"/>
      <c r="SGY2996" s="160"/>
      <c r="SGZ2996" s="555"/>
      <c r="SHA2996" s="125"/>
      <c r="SHB2996" s="470"/>
      <c r="SHC2996" s="449"/>
      <c r="SHD2996" s="462"/>
      <c r="SHE2996" s="299"/>
      <c r="SHF2996" s="81"/>
      <c r="SHG2996" s="160"/>
      <c r="SHH2996" s="555"/>
      <c r="SHI2996" s="125"/>
      <c r="SHJ2996" s="470"/>
      <c r="SHK2996" s="449"/>
      <c r="SHL2996" s="462"/>
      <c r="SHM2996" s="299"/>
      <c r="SHN2996" s="81"/>
      <c r="SHO2996" s="160"/>
      <c r="SHP2996" s="555"/>
      <c r="SHQ2996" s="125"/>
      <c r="SHR2996" s="470"/>
      <c r="SHS2996" s="449"/>
      <c r="SHT2996" s="462"/>
      <c r="SHU2996" s="299"/>
      <c r="SHV2996" s="81"/>
      <c r="SHW2996" s="160"/>
      <c r="SHX2996" s="555"/>
      <c r="SHY2996" s="125"/>
      <c r="SHZ2996" s="470"/>
      <c r="SIA2996" s="449"/>
      <c r="SIB2996" s="462"/>
      <c r="SIC2996" s="299"/>
      <c r="SID2996" s="81"/>
      <c r="SIE2996" s="160"/>
      <c r="SIF2996" s="555"/>
      <c r="SIG2996" s="125"/>
      <c r="SIH2996" s="470"/>
      <c r="SII2996" s="449"/>
      <c r="SIJ2996" s="462"/>
      <c r="SIK2996" s="299"/>
      <c r="SIL2996" s="81"/>
      <c r="SIM2996" s="160"/>
      <c r="SIN2996" s="555"/>
      <c r="SIO2996" s="125"/>
      <c r="SIP2996" s="470"/>
      <c r="SIQ2996" s="449"/>
      <c r="SIR2996" s="462"/>
      <c r="SIS2996" s="299"/>
      <c r="SIT2996" s="81"/>
      <c r="SIU2996" s="160"/>
      <c r="SIV2996" s="555"/>
      <c r="SIW2996" s="125"/>
      <c r="SIX2996" s="470"/>
      <c r="SIY2996" s="449"/>
      <c r="SIZ2996" s="462"/>
      <c r="SJA2996" s="299"/>
      <c r="SJB2996" s="81"/>
      <c r="SJC2996" s="160"/>
      <c r="SJD2996" s="555"/>
      <c r="SJE2996" s="125"/>
      <c r="SJF2996" s="470"/>
      <c r="SJG2996" s="449"/>
      <c r="SJH2996" s="462"/>
      <c r="SJI2996" s="299"/>
      <c r="SJJ2996" s="81"/>
      <c r="SJK2996" s="160"/>
      <c r="SJL2996" s="555"/>
      <c r="SJM2996" s="125"/>
      <c r="SJN2996" s="470"/>
      <c r="SJO2996" s="449"/>
      <c r="SJP2996" s="462"/>
      <c r="SJQ2996" s="299"/>
      <c r="SJR2996" s="81"/>
      <c r="SJS2996" s="160"/>
      <c r="SJT2996" s="555"/>
      <c r="SJU2996" s="125"/>
      <c r="SJV2996" s="470"/>
      <c r="SJW2996" s="449"/>
      <c r="SJX2996" s="462"/>
      <c r="SJY2996" s="299"/>
      <c r="SJZ2996" s="81"/>
      <c r="SKA2996" s="160"/>
      <c r="SKB2996" s="555"/>
      <c r="SKC2996" s="125"/>
      <c r="SKD2996" s="470"/>
      <c r="SKE2996" s="449"/>
      <c r="SKF2996" s="462"/>
      <c r="SKG2996" s="299"/>
      <c r="SKH2996" s="81"/>
      <c r="SKI2996" s="160"/>
      <c r="SKJ2996" s="555"/>
      <c r="SKK2996" s="125"/>
      <c r="SKL2996" s="470"/>
      <c r="SKM2996" s="449"/>
      <c r="SKN2996" s="462"/>
      <c r="SKO2996" s="299"/>
      <c r="SKP2996" s="81"/>
      <c r="SKQ2996" s="160"/>
      <c r="SKR2996" s="555"/>
      <c r="SKS2996" s="125"/>
      <c r="SKT2996" s="470"/>
      <c r="SKU2996" s="449"/>
      <c r="SKV2996" s="462"/>
      <c r="SKW2996" s="299"/>
      <c r="SKX2996" s="81"/>
      <c r="SKY2996" s="160"/>
      <c r="SKZ2996" s="555"/>
      <c r="SLA2996" s="125"/>
      <c r="SLB2996" s="470"/>
      <c r="SLC2996" s="449"/>
      <c r="SLD2996" s="462"/>
      <c r="SLE2996" s="299"/>
      <c r="SLF2996" s="81"/>
      <c r="SLG2996" s="160"/>
      <c r="SLH2996" s="555"/>
      <c r="SLI2996" s="125"/>
      <c r="SLJ2996" s="470"/>
      <c r="SLK2996" s="449"/>
      <c r="SLL2996" s="462"/>
      <c r="SLM2996" s="299"/>
      <c r="SLN2996" s="81"/>
      <c r="SLO2996" s="160"/>
      <c r="SLP2996" s="555"/>
      <c r="SLQ2996" s="125"/>
      <c r="SLR2996" s="470"/>
      <c r="SLS2996" s="449"/>
      <c r="SLT2996" s="462"/>
      <c r="SLU2996" s="299"/>
      <c r="SLV2996" s="81"/>
      <c r="SLW2996" s="160"/>
      <c r="SLX2996" s="555"/>
      <c r="SLY2996" s="125"/>
      <c r="SLZ2996" s="470"/>
      <c r="SMA2996" s="449"/>
      <c r="SMB2996" s="462"/>
      <c r="SMC2996" s="299"/>
      <c r="SMD2996" s="81"/>
      <c r="SME2996" s="160"/>
      <c r="SMF2996" s="555"/>
      <c r="SMG2996" s="125"/>
      <c r="SMH2996" s="470"/>
      <c r="SMI2996" s="449"/>
      <c r="SMJ2996" s="462"/>
      <c r="SMK2996" s="299"/>
      <c r="SML2996" s="81"/>
      <c r="SMM2996" s="160"/>
      <c r="SMN2996" s="555"/>
      <c r="SMO2996" s="125"/>
      <c r="SMP2996" s="470"/>
      <c r="SMQ2996" s="449"/>
      <c r="SMR2996" s="462"/>
      <c r="SMS2996" s="299"/>
      <c r="SMT2996" s="81"/>
      <c r="SMU2996" s="160"/>
      <c r="SMV2996" s="555"/>
      <c r="SMW2996" s="125"/>
      <c r="SMX2996" s="470"/>
      <c r="SMY2996" s="449"/>
      <c r="SMZ2996" s="462"/>
      <c r="SNA2996" s="299"/>
      <c r="SNB2996" s="81"/>
      <c r="SNC2996" s="160"/>
      <c r="SND2996" s="555"/>
      <c r="SNE2996" s="125"/>
      <c r="SNF2996" s="470"/>
      <c r="SNG2996" s="449"/>
      <c r="SNH2996" s="462"/>
      <c r="SNI2996" s="299"/>
      <c r="SNJ2996" s="81"/>
      <c r="SNK2996" s="160"/>
      <c r="SNL2996" s="555"/>
      <c r="SNM2996" s="125"/>
      <c r="SNN2996" s="470"/>
      <c r="SNO2996" s="449"/>
      <c r="SNP2996" s="462"/>
      <c r="SNQ2996" s="299"/>
      <c r="SNR2996" s="81"/>
      <c r="SNS2996" s="160"/>
      <c r="SNT2996" s="555"/>
      <c r="SNU2996" s="125"/>
      <c r="SNV2996" s="470"/>
      <c r="SNW2996" s="449"/>
      <c r="SNX2996" s="462"/>
      <c r="SNY2996" s="299"/>
      <c r="SNZ2996" s="81"/>
      <c r="SOA2996" s="160"/>
      <c r="SOB2996" s="555"/>
      <c r="SOC2996" s="125"/>
      <c r="SOD2996" s="470"/>
      <c r="SOE2996" s="449"/>
      <c r="SOF2996" s="462"/>
      <c r="SOG2996" s="299"/>
      <c r="SOH2996" s="81"/>
      <c r="SOI2996" s="160"/>
      <c r="SOJ2996" s="555"/>
      <c r="SOK2996" s="125"/>
      <c r="SOL2996" s="470"/>
      <c r="SOM2996" s="449"/>
      <c r="SON2996" s="462"/>
      <c r="SOO2996" s="299"/>
      <c r="SOP2996" s="81"/>
      <c r="SOQ2996" s="160"/>
      <c r="SOR2996" s="555"/>
      <c r="SOS2996" s="125"/>
      <c r="SOT2996" s="470"/>
      <c r="SOU2996" s="449"/>
      <c r="SOV2996" s="462"/>
      <c r="SOW2996" s="299"/>
      <c r="SOX2996" s="81"/>
      <c r="SOY2996" s="160"/>
      <c r="SOZ2996" s="555"/>
      <c r="SPA2996" s="125"/>
      <c r="SPB2996" s="470"/>
      <c r="SPC2996" s="449"/>
      <c r="SPD2996" s="462"/>
      <c r="SPE2996" s="299"/>
      <c r="SPF2996" s="81"/>
      <c r="SPG2996" s="160"/>
      <c r="SPH2996" s="555"/>
      <c r="SPI2996" s="125"/>
      <c r="SPJ2996" s="470"/>
      <c r="SPK2996" s="449"/>
      <c r="SPL2996" s="462"/>
      <c r="SPM2996" s="299"/>
      <c r="SPN2996" s="81"/>
      <c r="SPO2996" s="160"/>
      <c r="SPP2996" s="555"/>
      <c r="SPQ2996" s="125"/>
      <c r="SPR2996" s="470"/>
      <c r="SPS2996" s="449"/>
      <c r="SPT2996" s="462"/>
      <c r="SPU2996" s="299"/>
      <c r="SPV2996" s="81"/>
      <c r="SPW2996" s="160"/>
      <c r="SPX2996" s="555"/>
      <c r="SPY2996" s="125"/>
      <c r="SPZ2996" s="470"/>
      <c r="SQA2996" s="449"/>
      <c r="SQB2996" s="462"/>
      <c r="SQC2996" s="299"/>
      <c r="SQD2996" s="81"/>
      <c r="SQE2996" s="160"/>
      <c r="SQF2996" s="555"/>
      <c r="SQG2996" s="125"/>
      <c r="SQH2996" s="470"/>
      <c r="SQI2996" s="449"/>
      <c r="SQJ2996" s="462"/>
      <c r="SQK2996" s="299"/>
      <c r="SQL2996" s="81"/>
      <c r="SQM2996" s="160"/>
      <c r="SQN2996" s="555"/>
      <c r="SQO2996" s="125"/>
      <c r="SQP2996" s="470"/>
      <c r="SQQ2996" s="449"/>
      <c r="SQR2996" s="462"/>
      <c r="SQS2996" s="299"/>
      <c r="SQT2996" s="81"/>
      <c r="SQU2996" s="160"/>
      <c r="SQV2996" s="555"/>
      <c r="SQW2996" s="125"/>
      <c r="SQX2996" s="470"/>
      <c r="SQY2996" s="449"/>
      <c r="SQZ2996" s="462"/>
      <c r="SRA2996" s="299"/>
      <c r="SRB2996" s="81"/>
      <c r="SRC2996" s="160"/>
      <c r="SRD2996" s="555"/>
      <c r="SRE2996" s="125"/>
      <c r="SRF2996" s="470"/>
      <c r="SRG2996" s="449"/>
      <c r="SRH2996" s="462"/>
      <c r="SRI2996" s="299"/>
      <c r="SRJ2996" s="81"/>
      <c r="SRK2996" s="160"/>
      <c r="SRL2996" s="555"/>
      <c r="SRM2996" s="125"/>
      <c r="SRN2996" s="470"/>
      <c r="SRO2996" s="449"/>
      <c r="SRP2996" s="462"/>
      <c r="SRQ2996" s="299"/>
      <c r="SRR2996" s="81"/>
      <c r="SRS2996" s="160"/>
      <c r="SRT2996" s="555"/>
      <c r="SRU2996" s="125"/>
      <c r="SRV2996" s="470"/>
      <c r="SRW2996" s="449"/>
      <c r="SRX2996" s="462"/>
      <c r="SRY2996" s="299"/>
      <c r="SRZ2996" s="81"/>
      <c r="SSA2996" s="160"/>
      <c r="SSB2996" s="555"/>
      <c r="SSC2996" s="125"/>
      <c r="SSD2996" s="470"/>
      <c r="SSE2996" s="449"/>
      <c r="SSF2996" s="462"/>
      <c r="SSG2996" s="299"/>
      <c r="SSH2996" s="81"/>
      <c r="SSI2996" s="160"/>
      <c r="SSJ2996" s="555"/>
      <c r="SSK2996" s="125"/>
      <c r="SSL2996" s="470"/>
      <c r="SSM2996" s="449"/>
      <c r="SSN2996" s="462"/>
      <c r="SSO2996" s="299"/>
      <c r="SSP2996" s="81"/>
      <c r="SSQ2996" s="160"/>
      <c r="SSR2996" s="555"/>
      <c r="SSS2996" s="125"/>
      <c r="SST2996" s="470"/>
      <c r="SSU2996" s="449"/>
      <c r="SSV2996" s="462"/>
      <c r="SSW2996" s="299"/>
      <c r="SSX2996" s="81"/>
      <c r="SSY2996" s="160"/>
      <c r="SSZ2996" s="555"/>
      <c r="STA2996" s="125"/>
      <c r="STB2996" s="470"/>
      <c r="STC2996" s="449"/>
      <c r="STD2996" s="462"/>
      <c r="STE2996" s="299"/>
      <c r="STF2996" s="81"/>
      <c r="STG2996" s="160"/>
      <c r="STH2996" s="555"/>
      <c r="STI2996" s="125"/>
      <c r="STJ2996" s="470"/>
      <c r="STK2996" s="449"/>
      <c r="STL2996" s="462"/>
      <c r="STM2996" s="299"/>
      <c r="STN2996" s="81"/>
      <c r="STO2996" s="160"/>
      <c r="STP2996" s="555"/>
      <c r="STQ2996" s="125"/>
      <c r="STR2996" s="470"/>
      <c r="STS2996" s="449"/>
      <c r="STT2996" s="462"/>
      <c r="STU2996" s="299"/>
      <c r="STV2996" s="81"/>
      <c r="STW2996" s="160"/>
      <c r="STX2996" s="555"/>
      <c r="STY2996" s="125"/>
      <c r="STZ2996" s="470"/>
      <c r="SUA2996" s="449"/>
      <c r="SUB2996" s="462"/>
      <c r="SUC2996" s="299"/>
      <c r="SUD2996" s="81"/>
      <c r="SUE2996" s="160"/>
      <c r="SUF2996" s="555"/>
      <c r="SUG2996" s="125"/>
      <c r="SUH2996" s="470"/>
      <c r="SUI2996" s="449"/>
      <c r="SUJ2996" s="462"/>
      <c r="SUK2996" s="299"/>
      <c r="SUL2996" s="81"/>
      <c r="SUM2996" s="160"/>
      <c r="SUN2996" s="555"/>
      <c r="SUO2996" s="125"/>
      <c r="SUP2996" s="470"/>
      <c r="SUQ2996" s="449"/>
      <c r="SUR2996" s="462"/>
      <c r="SUS2996" s="299"/>
      <c r="SUT2996" s="81"/>
      <c r="SUU2996" s="160"/>
      <c r="SUV2996" s="555"/>
      <c r="SUW2996" s="125"/>
      <c r="SUX2996" s="470"/>
      <c r="SUY2996" s="449"/>
      <c r="SUZ2996" s="462"/>
      <c r="SVA2996" s="299"/>
      <c r="SVB2996" s="81"/>
      <c r="SVC2996" s="160"/>
      <c r="SVD2996" s="555"/>
      <c r="SVE2996" s="125"/>
      <c r="SVF2996" s="470"/>
      <c r="SVG2996" s="449"/>
      <c r="SVH2996" s="462"/>
      <c r="SVI2996" s="299"/>
      <c r="SVJ2996" s="81"/>
      <c r="SVK2996" s="160"/>
      <c r="SVL2996" s="555"/>
      <c r="SVM2996" s="125"/>
      <c r="SVN2996" s="470"/>
      <c r="SVO2996" s="449"/>
      <c r="SVP2996" s="462"/>
      <c r="SVQ2996" s="299"/>
      <c r="SVR2996" s="81"/>
      <c r="SVS2996" s="160"/>
      <c r="SVT2996" s="555"/>
      <c r="SVU2996" s="125"/>
      <c r="SVV2996" s="470"/>
      <c r="SVW2996" s="449"/>
      <c r="SVX2996" s="462"/>
      <c r="SVY2996" s="299"/>
      <c r="SVZ2996" s="81"/>
      <c r="SWA2996" s="160"/>
      <c r="SWB2996" s="555"/>
      <c r="SWC2996" s="125"/>
      <c r="SWD2996" s="470"/>
      <c r="SWE2996" s="449"/>
      <c r="SWF2996" s="462"/>
      <c r="SWG2996" s="299"/>
      <c r="SWH2996" s="81"/>
      <c r="SWI2996" s="160"/>
      <c r="SWJ2996" s="555"/>
      <c r="SWK2996" s="125"/>
      <c r="SWL2996" s="470"/>
      <c r="SWM2996" s="449"/>
      <c r="SWN2996" s="462"/>
      <c r="SWO2996" s="299"/>
      <c r="SWP2996" s="81"/>
      <c r="SWQ2996" s="160"/>
      <c r="SWR2996" s="555"/>
      <c r="SWS2996" s="125"/>
      <c r="SWT2996" s="470"/>
      <c r="SWU2996" s="449"/>
      <c r="SWV2996" s="462"/>
      <c r="SWW2996" s="299"/>
      <c r="SWX2996" s="81"/>
      <c r="SWY2996" s="160"/>
      <c r="SWZ2996" s="555"/>
      <c r="SXA2996" s="125"/>
      <c r="SXB2996" s="470"/>
      <c r="SXC2996" s="449"/>
      <c r="SXD2996" s="462"/>
      <c r="SXE2996" s="299"/>
      <c r="SXF2996" s="81"/>
      <c r="SXG2996" s="160"/>
      <c r="SXH2996" s="555"/>
      <c r="SXI2996" s="125"/>
      <c r="SXJ2996" s="470"/>
      <c r="SXK2996" s="449"/>
      <c r="SXL2996" s="462"/>
      <c r="SXM2996" s="299"/>
      <c r="SXN2996" s="81"/>
      <c r="SXO2996" s="160"/>
      <c r="SXP2996" s="555"/>
      <c r="SXQ2996" s="125"/>
      <c r="SXR2996" s="470"/>
      <c r="SXS2996" s="449"/>
      <c r="SXT2996" s="462"/>
      <c r="SXU2996" s="299"/>
      <c r="SXV2996" s="81"/>
      <c r="SXW2996" s="160"/>
      <c r="SXX2996" s="555"/>
      <c r="SXY2996" s="125"/>
      <c r="SXZ2996" s="470"/>
      <c r="SYA2996" s="449"/>
      <c r="SYB2996" s="462"/>
      <c r="SYC2996" s="299"/>
      <c r="SYD2996" s="81"/>
      <c r="SYE2996" s="160"/>
      <c r="SYF2996" s="555"/>
      <c r="SYG2996" s="125"/>
      <c r="SYH2996" s="470"/>
      <c r="SYI2996" s="449"/>
      <c r="SYJ2996" s="462"/>
      <c r="SYK2996" s="299"/>
      <c r="SYL2996" s="81"/>
      <c r="SYM2996" s="160"/>
      <c r="SYN2996" s="555"/>
      <c r="SYO2996" s="125"/>
      <c r="SYP2996" s="470"/>
      <c r="SYQ2996" s="449"/>
      <c r="SYR2996" s="462"/>
      <c r="SYS2996" s="299"/>
      <c r="SYT2996" s="81"/>
      <c r="SYU2996" s="160"/>
      <c r="SYV2996" s="555"/>
      <c r="SYW2996" s="125"/>
      <c r="SYX2996" s="470"/>
      <c r="SYY2996" s="449"/>
      <c r="SYZ2996" s="462"/>
      <c r="SZA2996" s="299"/>
      <c r="SZB2996" s="81"/>
      <c r="SZC2996" s="160"/>
      <c r="SZD2996" s="555"/>
      <c r="SZE2996" s="125"/>
      <c r="SZF2996" s="470"/>
      <c r="SZG2996" s="449"/>
      <c r="SZH2996" s="462"/>
      <c r="SZI2996" s="299"/>
      <c r="SZJ2996" s="81"/>
      <c r="SZK2996" s="160"/>
      <c r="SZL2996" s="555"/>
      <c r="SZM2996" s="125"/>
      <c r="SZN2996" s="470"/>
      <c r="SZO2996" s="449"/>
      <c r="SZP2996" s="462"/>
      <c r="SZQ2996" s="299"/>
      <c r="SZR2996" s="81"/>
      <c r="SZS2996" s="160"/>
      <c r="SZT2996" s="555"/>
      <c r="SZU2996" s="125"/>
      <c r="SZV2996" s="470"/>
      <c r="SZW2996" s="449"/>
      <c r="SZX2996" s="462"/>
      <c r="SZY2996" s="299"/>
      <c r="SZZ2996" s="81"/>
      <c r="TAA2996" s="160"/>
      <c r="TAB2996" s="555"/>
      <c r="TAC2996" s="125"/>
      <c r="TAD2996" s="470"/>
      <c r="TAE2996" s="449"/>
      <c r="TAF2996" s="462"/>
      <c r="TAG2996" s="299"/>
      <c r="TAH2996" s="81"/>
      <c r="TAI2996" s="160"/>
      <c r="TAJ2996" s="555"/>
      <c r="TAK2996" s="125"/>
      <c r="TAL2996" s="470"/>
      <c r="TAM2996" s="449"/>
      <c r="TAN2996" s="462"/>
      <c r="TAO2996" s="299"/>
      <c r="TAP2996" s="81"/>
      <c r="TAQ2996" s="160"/>
      <c r="TAR2996" s="555"/>
      <c r="TAS2996" s="125"/>
      <c r="TAT2996" s="470"/>
      <c r="TAU2996" s="449"/>
      <c r="TAV2996" s="462"/>
      <c r="TAW2996" s="299"/>
      <c r="TAX2996" s="81"/>
      <c r="TAY2996" s="160"/>
      <c r="TAZ2996" s="555"/>
      <c r="TBA2996" s="125"/>
      <c r="TBB2996" s="470"/>
      <c r="TBC2996" s="449"/>
      <c r="TBD2996" s="462"/>
      <c r="TBE2996" s="299"/>
      <c r="TBF2996" s="81"/>
      <c r="TBG2996" s="160"/>
      <c r="TBH2996" s="555"/>
      <c r="TBI2996" s="125"/>
      <c r="TBJ2996" s="470"/>
      <c r="TBK2996" s="449"/>
      <c r="TBL2996" s="462"/>
      <c r="TBM2996" s="299"/>
      <c r="TBN2996" s="81"/>
      <c r="TBO2996" s="160"/>
      <c r="TBP2996" s="555"/>
      <c r="TBQ2996" s="125"/>
      <c r="TBR2996" s="470"/>
      <c r="TBS2996" s="449"/>
      <c r="TBT2996" s="462"/>
      <c r="TBU2996" s="299"/>
      <c r="TBV2996" s="81"/>
      <c r="TBW2996" s="160"/>
      <c r="TBX2996" s="555"/>
      <c r="TBY2996" s="125"/>
      <c r="TBZ2996" s="470"/>
      <c r="TCA2996" s="449"/>
      <c r="TCB2996" s="462"/>
      <c r="TCC2996" s="299"/>
      <c r="TCD2996" s="81"/>
      <c r="TCE2996" s="160"/>
      <c r="TCF2996" s="555"/>
      <c r="TCG2996" s="125"/>
      <c r="TCH2996" s="470"/>
      <c r="TCI2996" s="449"/>
      <c r="TCJ2996" s="462"/>
      <c r="TCK2996" s="299"/>
      <c r="TCL2996" s="81"/>
      <c r="TCM2996" s="160"/>
      <c r="TCN2996" s="555"/>
      <c r="TCO2996" s="125"/>
      <c r="TCP2996" s="470"/>
      <c r="TCQ2996" s="449"/>
      <c r="TCR2996" s="462"/>
      <c r="TCS2996" s="299"/>
      <c r="TCT2996" s="81"/>
      <c r="TCU2996" s="160"/>
      <c r="TCV2996" s="555"/>
      <c r="TCW2996" s="125"/>
      <c r="TCX2996" s="470"/>
      <c r="TCY2996" s="449"/>
      <c r="TCZ2996" s="462"/>
      <c r="TDA2996" s="299"/>
      <c r="TDB2996" s="81"/>
      <c r="TDC2996" s="160"/>
      <c r="TDD2996" s="555"/>
      <c r="TDE2996" s="125"/>
      <c r="TDF2996" s="470"/>
      <c r="TDG2996" s="449"/>
      <c r="TDH2996" s="462"/>
      <c r="TDI2996" s="299"/>
      <c r="TDJ2996" s="81"/>
      <c r="TDK2996" s="160"/>
      <c r="TDL2996" s="555"/>
      <c r="TDM2996" s="125"/>
      <c r="TDN2996" s="470"/>
      <c r="TDO2996" s="449"/>
      <c r="TDP2996" s="462"/>
      <c r="TDQ2996" s="299"/>
      <c r="TDR2996" s="81"/>
      <c r="TDS2996" s="160"/>
      <c r="TDT2996" s="555"/>
      <c r="TDU2996" s="125"/>
      <c r="TDV2996" s="470"/>
      <c r="TDW2996" s="449"/>
      <c r="TDX2996" s="462"/>
      <c r="TDY2996" s="299"/>
      <c r="TDZ2996" s="81"/>
      <c r="TEA2996" s="160"/>
      <c r="TEB2996" s="555"/>
      <c r="TEC2996" s="125"/>
      <c r="TED2996" s="470"/>
      <c r="TEE2996" s="449"/>
      <c r="TEF2996" s="462"/>
      <c r="TEG2996" s="299"/>
      <c r="TEH2996" s="81"/>
      <c r="TEI2996" s="160"/>
      <c r="TEJ2996" s="555"/>
      <c r="TEK2996" s="125"/>
      <c r="TEL2996" s="470"/>
      <c r="TEM2996" s="449"/>
      <c r="TEN2996" s="462"/>
      <c r="TEO2996" s="299"/>
      <c r="TEP2996" s="81"/>
      <c r="TEQ2996" s="160"/>
      <c r="TER2996" s="555"/>
      <c r="TES2996" s="125"/>
      <c r="TET2996" s="470"/>
      <c r="TEU2996" s="449"/>
      <c r="TEV2996" s="462"/>
      <c r="TEW2996" s="299"/>
      <c r="TEX2996" s="81"/>
      <c r="TEY2996" s="160"/>
      <c r="TEZ2996" s="555"/>
      <c r="TFA2996" s="125"/>
      <c r="TFB2996" s="470"/>
      <c r="TFC2996" s="449"/>
      <c r="TFD2996" s="462"/>
      <c r="TFE2996" s="299"/>
      <c r="TFF2996" s="81"/>
      <c r="TFG2996" s="160"/>
      <c r="TFH2996" s="555"/>
      <c r="TFI2996" s="125"/>
      <c r="TFJ2996" s="470"/>
      <c r="TFK2996" s="449"/>
      <c r="TFL2996" s="462"/>
      <c r="TFM2996" s="299"/>
      <c r="TFN2996" s="81"/>
      <c r="TFO2996" s="160"/>
      <c r="TFP2996" s="555"/>
      <c r="TFQ2996" s="125"/>
      <c r="TFR2996" s="470"/>
      <c r="TFS2996" s="449"/>
      <c r="TFT2996" s="462"/>
      <c r="TFU2996" s="299"/>
      <c r="TFV2996" s="81"/>
      <c r="TFW2996" s="160"/>
      <c r="TFX2996" s="555"/>
      <c r="TFY2996" s="125"/>
      <c r="TFZ2996" s="470"/>
      <c r="TGA2996" s="449"/>
      <c r="TGB2996" s="462"/>
      <c r="TGC2996" s="299"/>
      <c r="TGD2996" s="81"/>
      <c r="TGE2996" s="160"/>
      <c r="TGF2996" s="555"/>
      <c r="TGG2996" s="125"/>
      <c r="TGH2996" s="470"/>
      <c r="TGI2996" s="449"/>
      <c r="TGJ2996" s="462"/>
      <c r="TGK2996" s="299"/>
      <c r="TGL2996" s="81"/>
      <c r="TGM2996" s="160"/>
      <c r="TGN2996" s="555"/>
      <c r="TGO2996" s="125"/>
      <c r="TGP2996" s="470"/>
      <c r="TGQ2996" s="449"/>
      <c r="TGR2996" s="462"/>
      <c r="TGS2996" s="299"/>
      <c r="TGT2996" s="81"/>
      <c r="TGU2996" s="160"/>
      <c r="TGV2996" s="555"/>
      <c r="TGW2996" s="125"/>
      <c r="TGX2996" s="470"/>
      <c r="TGY2996" s="449"/>
      <c r="TGZ2996" s="462"/>
      <c r="THA2996" s="299"/>
      <c r="THB2996" s="81"/>
      <c r="THC2996" s="160"/>
      <c r="THD2996" s="555"/>
      <c r="THE2996" s="125"/>
      <c r="THF2996" s="470"/>
      <c r="THG2996" s="449"/>
      <c r="THH2996" s="462"/>
      <c r="THI2996" s="299"/>
      <c r="THJ2996" s="81"/>
      <c r="THK2996" s="160"/>
      <c r="THL2996" s="555"/>
      <c r="THM2996" s="125"/>
      <c r="THN2996" s="470"/>
      <c r="THO2996" s="449"/>
      <c r="THP2996" s="462"/>
      <c r="THQ2996" s="299"/>
      <c r="THR2996" s="81"/>
      <c r="THS2996" s="160"/>
      <c r="THT2996" s="555"/>
      <c r="THU2996" s="125"/>
      <c r="THV2996" s="470"/>
      <c r="THW2996" s="449"/>
      <c r="THX2996" s="462"/>
      <c r="THY2996" s="299"/>
      <c r="THZ2996" s="81"/>
      <c r="TIA2996" s="160"/>
      <c r="TIB2996" s="555"/>
      <c r="TIC2996" s="125"/>
      <c r="TID2996" s="470"/>
      <c r="TIE2996" s="449"/>
      <c r="TIF2996" s="462"/>
      <c r="TIG2996" s="299"/>
      <c r="TIH2996" s="81"/>
      <c r="TII2996" s="160"/>
      <c r="TIJ2996" s="555"/>
      <c r="TIK2996" s="125"/>
      <c r="TIL2996" s="470"/>
      <c r="TIM2996" s="449"/>
      <c r="TIN2996" s="462"/>
      <c r="TIO2996" s="299"/>
      <c r="TIP2996" s="81"/>
      <c r="TIQ2996" s="160"/>
      <c r="TIR2996" s="555"/>
      <c r="TIS2996" s="125"/>
      <c r="TIT2996" s="470"/>
      <c r="TIU2996" s="449"/>
      <c r="TIV2996" s="462"/>
      <c r="TIW2996" s="299"/>
      <c r="TIX2996" s="81"/>
      <c r="TIY2996" s="160"/>
      <c r="TIZ2996" s="555"/>
      <c r="TJA2996" s="125"/>
      <c r="TJB2996" s="470"/>
      <c r="TJC2996" s="449"/>
      <c r="TJD2996" s="462"/>
      <c r="TJE2996" s="299"/>
      <c r="TJF2996" s="81"/>
      <c r="TJG2996" s="160"/>
      <c r="TJH2996" s="555"/>
      <c r="TJI2996" s="125"/>
      <c r="TJJ2996" s="470"/>
      <c r="TJK2996" s="449"/>
      <c r="TJL2996" s="462"/>
      <c r="TJM2996" s="299"/>
      <c r="TJN2996" s="81"/>
      <c r="TJO2996" s="160"/>
      <c r="TJP2996" s="555"/>
      <c r="TJQ2996" s="125"/>
      <c r="TJR2996" s="470"/>
      <c r="TJS2996" s="449"/>
      <c r="TJT2996" s="462"/>
      <c r="TJU2996" s="299"/>
      <c r="TJV2996" s="81"/>
      <c r="TJW2996" s="160"/>
      <c r="TJX2996" s="555"/>
      <c r="TJY2996" s="125"/>
      <c r="TJZ2996" s="470"/>
      <c r="TKA2996" s="449"/>
      <c r="TKB2996" s="462"/>
      <c r="TKC2996" s="299"/>
      <c r="TKD2996" s="81"/>
      <c r="TKE2996" s="160"/>
      <c r="TKF2996" s="555"/>
      <c r="TKG2996" s="125"/>
      <c r="TKH2996" s="470"/>
      <c r="TKI2996" s="449"/>
      <c r="TKJ2996" s="462"/>
      <c r="TKK2996" s="299"/>
      <c r="TKL2996" s="81"/>
      <c r="TKM2996" s="160"/>
      <c r="TKN2996" s="555"/>
      <c r="TKO2996" s="125"/>
      <c r="TKP2996" s="470"/>
      <c r="TKQ2996" s="449"/>
      <c r="TKR2996" s="462"/>
      <c r="TKS2996" s="299"/>
      <c r="TKT2996" s="81"/>
      <c r="TKU2996" s="160"/>
      <c r="TKV2996" s="555"/>
      <c r="TKW2996" s="125"/>
      <c r="TKX2996" s="470"/>
      <c r="TKY2996" s="449"/>
      <c r="TKZ2996" s="462"/>
      <c r="TLA2996" s="299"/>
      <c r="TLB2996" s="81"/>
      <c r="TLC2996" s="160"/>
      <c r="TLD2996" s="555"/>
      <c r="TLE2996" s="125"/>
      <c r="TLF2996" s="470"/>
      <c r="TLG2996" s="449"/>
      <c r="TLH2996" s="462"/>
      <c r="TLI2996" s="299"/>
      <c r="TLJ2996" s="81"/>
      <c r="TLK2996" s="160"/>
      <c r="TLL2996" s="555"/>
      <c r="TLM2996" s="125"/>
      <c r="TLN2996" s="470"/>
      <c r="TLO2996" s="449"/>
      <c r="TLP2996" s="462"/>
      <c r="TLQ2996" s="299"/>
      <c r="TLR2996" s="81"/>
      <c r="TLS2996" s="160"/>
      <c r="TLT2996" s="555"/>
      <c r="TLU2996" s="125"/>
      <c r="TLV2996" s="470"/>
      <c r="TLW2996" s="449"/>
      <c r="TLX2996" s="462"/>
      <c r="TLY2996" s="299"/>
      <c r="TLZ2996" s="81"/>
      <c r="TMA2996" s="160"/>
      <c r="TMB2996" s="555"/>
      <c r="TMC2996" s="125"/>
      <c r="TMD2996" s="470"/>
      <c r="TME2996" s="449"/>
      <c r="TMF2996" s="462"/>
      <c r="TMG2996" s="299"/>
      <c r="TMH2996" s="81"/>
      <c r="TMI2996" s="160"/>
      <c r="TMJ2996" s="555"/>
      <c r="TMK2996" s="125"/>
      <c r="TML2996" s="470"/>
      <c r="TMM2996" s="449"/>
      <c r="TMN2996" s="462"/>
      <c r="TMO2996" s="299"/>
      <c r="TMP2996" s="81"/>
      <c r="TMQ2996" s="160"/>
      <c r="TMR2996" s="555"/>
      <c r="TMS2996" s="125"/>
      <c r="TMT2996" s="470"/>
      <c r="TMU2996" s="449"/>
      <c r="TMV2996" s="462"/>
      <c r="TMW2996" s="299"/>
      <c r="TMX2996" s="81"/>
      <c r="TMY2996" s="160"/>
      <c r="TMZ2996" s="555"/>
      <c r="TNA2996" s="125"/>
      <c r="TNB2996" s="470"/>
      <c r="TNC2996" s="449"/>
      <c r="TND2996" s="462"/>
      <c r="TNE2996" s="299"/>
      <c r="TNF2996" s="81"/>
      <c r="TNG2996" s="160"/>
      <c r="TNH2996" s="555"/>
      <c r="TNI2996" s="125"/>
      <c r="TNJ2996" s="470"/>
      <c r="TNK2996" s="449"/>
      <c r="TNL2996" s="462"/>
      <c r="TNM2996" s="299"/>
      <c r="TNN2996" s="81"/>
      <c r="TNO2996" s="160"/>
      <c r="TNP2996" s="555"/>
      <c r="TNQ2996" s="125"/>
      <c r="TNR2996" s="470"/>
      <c r="TNS2996" s="449"/>
      <c r="TNT2996" s="462"/>
      <c r="TNU2996" s="299"/>
      <c r="TNV2996" s="81"/>
      <c r="TNW2996" s="160"/>
      <c r="TNX2996" s="555"/>
      <c r="TNY2996" s="125"/>
      <c r="TNZ2996" s="470"/>
      <c r="TOA2996" s="449"/>
      <c r="TOB2996" s="462"/>
      <c r="TOC2996" s="299"/>
      <c r="TOD2996" s="81"/>
      <c r="TOE2996" s="160"/>
      <c r="TOF2996" s="555"/>
      <c r="TOG2996" s="125"/>
      <c r="TOH2996" s="470"/>
      <c r="TOI2996" s="449"/>
      <c r="TOJ2996" s="462"/>
      <c r="TOK2996" s="299"/>
      <c r="TOL2996" s="81"/>
      <c r="TOM2996" s="160"/>
      <c r="TON2996" s="555"/>
      <c r="TOO2996" s="125"/>
      <c r="TOP2996" s="470"/>
      <c r="TOQ2996" s="449"/>
      <c r="TOR2996" s="462"/>
      <c r="TOS2996" s="299"/>
      <c r="TOT2996" s="81"/>
      <c r="TOU2996" s="160"/>
      <c r="TOV2996" s="555"/>
      <c r="TOW2996" s="125"/>
      <c r="TOX2996" s="470"/>
      <c r="TOY2996" s="449"/>
      <c r="TOZ2996" s="462"/>
      <c r="TPA2996" s="299"/>
      <c r="TPB2996" s="81"/>
      <c r="TPC2996" s="160"/>
      <c r="TPD2996" s="555"/>
      <c r="TPE2996" s="125"/>
      <c r="TPF2996" s="470"/>
      <c r="TPG2996" s="449"/>
      <c r="TPH2996" s="462"/>
      <c r="TPI2996" s="299"/>
      <c r="TPJ2996" s="81"/>
      <c r="TPK2996" s="160"/>
      <c r="TPL2996" s="555"/>
      <c r="TPM2996" s="125"/>
      <c r="TPN2996" s="470"/>
      <c r="TPO2996" s="449"/>
      <c r="TPP2996" s="462"/>
      <c r="TPQ2996" s="299"/>
      <c r="TPR2996" s="81"/>
      <c r="TPS2996" s="160"/>
      <c r="TPT2996" s="555"/>
      <c r="TPU2996" s="125"/>
      <c r="TPV2996" s="470"/>
      <c r="TPW2996" s="449"/>
      <c r="TPX2996" s="462"/>
      <c r="TPY2996" s="299"/>
      <c r="TPZ2996" s="81"/>
      <c r="TQA2996" s="160"/>
      <c r="TQB2996" s="555"/>
      <c r="TQC2996" s="125"/>
      <c r="TQD2996" s="470"/>
      <c r="TQE2996" s="449"/>
      <c r="TQF2996" s="462"/>
      <c r="TQG2996" s="299"/>
      <c r="TQH2996" s="81"/>
      <c r="TQI2996" s="160"/>
      <c r="TQJ2996" s="555"/>
      <c r="TQK2996" s="125"/>
      <c r="TQL2996" s="470"/>
      <c r="TQM2996" s="449"/>
      <c r="TQN2996" s="462"/>
      <c r="TQO2996" s="299"/>
      <c r="TQP2996" s="81"/>
      <c r="TQQ2996" s="160"/>
      <c r="TQR2996" s="555"/>
      <c r="TQS2996" s="125"/>
      <c r="TQT2996" s="470"/>
      <c r="TQU2996" s="449"/>
      <c r="TQV2996" s="462"/>
      <c r="TQW2996" s="299"/>
      <c r="TQX2996" s="81"/>
      <c r="TQY2996" s="160"/>
      <c r="TQZ2996" s="555"/>
      <c r="TRA2996" s="125"/>
      <c r="TRB2996" s="470"/>
      <c r="TRC2996" s="449"/>
      <c r="TRD2996" s="462"/>
      <c r="TRE2996" s="299"/>
      <c r="TRF2996" s="81"/>
      <c r="TRG2996" s="160"/>
      <c r="TRH2996" s="555"/>
      <c r="TRI2996" s="125"/>
      <c r="TRJ2996" s="470"/>
      <c r="TRK2996" s="449"/>
      <c r="TRL2996" s="462"/>
      <c r="TRM2996" s="299"/>
      <c r="TRN2996" s="81"/>
      <c r="TRO2996" s="160"/>
      <c r="TRP2996" s="555"/>
      <c r="TRQ2996" s="125"/>
      <c r="TRR2996" s="470"/>
      <c r="TRS2996" s="449"/>
      <c r="TRT2996" s="462"/>
      <c r="TRU2996" s="299"/>
      <c r="TRV2996" s="81"/>
      <c r="TRW2996" s="160"/>
      <c r="TRX2996" s="555"/>
      <c r="TRY2996" s="125"/>
      <c r="TRZ2996" s="470"/>
      <c r="TSA2996" s="449"/>
      <c r="TSB2996" s="462"/>
      <c r="TSC2996" s="299"/>
      <c r="TSD2996" s="81"/>
      <c r="TSE2996" s="160"/>
      <c r="TSF2996" s="555"/>
      <c r="TSG2996" s="125"/>
      <c r="TSH2996" s="470"/>
      <c r="TSI2996" s="449"/>
      <c r="TSJ2996" s="462"/>
      <c r="TSK2996" s="299"/>
      <c r="TSL2996" s="81"/>
      <c r="TSM2996" s="160"/>
      <c r="TSN2996" s="555"/>
      <c r="TSO2996" s="125"/>
      <c r="TSP2996" s="470"/>
      <c r="TSQ2996" s="449"/>
      <c r="TSR2996" s="462"/>
      <c r="TSS2996" s="299"/>
      <c r="TST2996" s="81"/>
      <c r="TSU2996" s="160"/>
      <c r="TSV2996" s="555"/>
      <c r="TSW2996" s="125"/>
      <c r="TSX2996" s="470"/>
      <c r="TSY2996" s="449"/>
      <c r="TSZ2996" s="462"/>
      <c r="TTA2996" s="299"/>
      <c r="TTB2996" s="81"/>
      <c r="TTC2996" s="160"/>
      <c r="TTD2996" s="555"/>
      <c r="TTE2996" s="125"/>
      <c r="TTF2996" s="470"/>
      <c r="TTG2996" s="449"/>
      <c r="TTH2996" s="462"/>
      <c r="TTI2996" s="299"/>
      <c r="TTJ2996" s="81"/>
      <c r="TTK2996" s="160"/>
      <c r="TTL2996" s="555"/>
      <c r="TTM2996" s="125"/>
      <c r="TTN2996" s="470"/>
      <c r="TTO2996" s="449"/>
      <c r="TTP2996" s="462"/>
      <c r="TTQ2996" s="299"/>
      <c r="TTR2996" s="81"/>
      <c r="TTS2996" s="160"/>
      <c r="TTT2996" s="555"/>
      <c r="TTU2996" s="125"/>
      <c r="TTV2996" s="470"/>
      <c r="TTW2996" s="449"/>
      <c r="TTX2996" s="462"/>
      <c r="TTY2996" s="299"/>
      <c r="TTZ2996" s="81"/>
      <c r="TUA2996" s="160"/>
      <c r="TUB2996" s="555"/>
      <c r="TUC2996" s="125"/>
      <c r="TUD2996" s="470"/>
      <c r="TUE2996" s="449"/>
      <c r="TUF2996" s="462"/>
      <c r="TUG2996" s="299"/>
      <c r="TUH2996" s="81"/>
      <c r="TUI2996" s="160"/>
      <c r="TUJ2996" s="555"/>
      <c r="TUK2996" s="125"/>
      <c r="TUL2996" s="470"/>
      <c r="TUM2996" s="449"/>
      <c r="TUN2996" s="462"/>
      <c r="TUO2996" s="299"/>
      <c r="TUP2996" s="81"/>
      <c r="TUQ2996" s="160"/>
      <c r="TUR2996" s="555"/>
      <c r="TUS2996" s="125"/>
      <c r="TUT2996" s="470"/>
      <c r="TUU2996" s="449"/>
      <c r="TUV2996" s="462"/>
      <c r="TUW2996" s="299"/>
      <c r="TUX2996" s="81"/>
      <c r="TUY2996" s="160"/>
      <c r="TUZ2996" s="555"/>
      <c r="TVA2996" s="125"/>
      <c r="TVB2996" s="470"/>
      <c r="TVC2996" s="449"/>
      <c r="TVD2996" s="462"/>
      <c r="TVE2996" s="299"/>
      <c r="TVF2996" s="81"/>
      <c r="TVG2996" s="160"/>
      <c r="TVH2996" s="555"/>
      <c r="TVI2996" s="125"/>
      <c r="TVJ2996" s="470"/>
      <c r="TVK2996" s="449"/>
      <c r="TVL2996" s="462"/>
      <c r="TVM2996" s="299"/>
      <c r="TVN2996" s="81"/>
      <c r="TVO2996" s="160"/>
      <c r="TVP2996" s="555"/>
      <c r="TVQ2996" s="125"/>
      <c r="TVR2996" s="470"/>
      <c r="TVS2996" s="449"/>
      <c r="TVT2996" s="462"/>
      <c r="TVU2996" s="299"/>
      <c r="TVV2996" s="81"/>
      <c r="TVW2996" s="160"/>
      <c r="TVX2996" s="555"/>
      <c r="TVY2996" s="125"/>
      <c r="TVZ2996" s="470"/>
      <c r="TWA2996" s="449"/>
      <c r="TWB2996" s="462"/>
      <c r="TWC2996" s="299"/>
      <c r="TWD2996" s="81"/>
      <c r="TWE2996" s="160"/>
      <c r="TWF2996" s="555"/>
      <c r="TWG2996" s="125"/>
      <c r="TWH2996" s="470"/>
      <c r="TWI2996" s="449"/>
      <c r="TWJ2996" s="462"/>
      <c r="TWK2996" s="299"/>
      <c r="TWL2996" s="81"/>
      <c r="TWM2996" s="160"/>
      <c r="TWN2996" s="555"/>
      <c r="TWO2996" s="125"/>
      <c r="TWP2996" s="470"/>
      <c r="TWQ2996" s="449"/>
      <c r="TWR2996" s="462"/>
      <c r="TWS2996" s="299"/>
      <c r="TWT2996" s="81"/>
      <c r="TWU2996" s="160"/>
      <c r="TWV2996" s="555"/>
      <c r="TWW2996" s="125"/>
      <c r="TWX2996" s="470"/>
      <c r="TWY2996" s="449"/>
      <c r="TWZ2996" s="462"/>
      <c r="TXA2996" s="299"/>
      <c r="TXB2996" s="81"/>
      <c r="TXC2996" s="160"/>
      <c r="TXD2996" s="555"/>
      <c r="TXE2996" s="125"/>
      <c r="TXF2996" s="470"/>
      <c r="TXG2996" s="449"/>
      <c r="TXH2996" s="462"/>
      <c r="TXI2996" s="299"/>
      <c r="TXJ2996" s="81"/>
      <c r="TXK2996" s="160"/>
      <c r="TXL2996" s="555"/>
      <c r="TXM2996" s="125"/>
      <c r="TXN2996" s="470"/>
      <c r="TXO2996" s="449"/>
      <c r="TXP2996" s="462"/>
      <c r="TXQ2996" s="299"/>
      <c r="TXR2996" s="81"/>
      <c r="TXS2996" s="160"/>
      <c r="TXT2996" s="555"/>
      <c r="TXU2996" s="125"/>
      <c r="TXV2996" s="470"/>
      <c r="TXW2996" s="449"/>
      <c r="TXX2996" s="462"/>
      <c r="TXY2996" s="299"/>
      <c r="TXZ2996" s="81"/>
      <c r="TYA2996" s="160"/>
      <c r="TYB2996" s="555"/>
      <c r="TYC2996" s="125"/>
      <c r="TYD2996" s="470"/>
      <c r="TYE2996" s="449"/>
      <c r="TYF2996" s="462"/>
      <c r="TYG2996" s="299"/>
      <c r="TYH2996" s="81"/>
      <c r="TYI2996" s="160"/>
      <c r="TYJ2996" s="555"/>
      <c r="TYK2996" s="125"/>
      <c r="TYL2996" s="470"/>
      <c r="TYM2996" s="449"/>
      <c r="TYN2996" s="462"/>
      <c r="TYO2996" s="299"/>
      <c r="TYP2996" s="81"/>
      <c r="TYQ2996" s="160"/>
      <c r="TYR2996" s="555"/>
      <c r="TYS2996" s="125"/>
      <c r="TYT2996" s="470"/>
      <c r="TYU2996" s="449"/>
      <c r="TYV2996" s="462"/>
      <c r="TYW2996" s="299"/>
      <c r="TYX2996" s="81"/>
      <c r="TYY2996" s="160"/>
      <c r="TYZ2996" s="555"/>
      <c r="TZA2996" s="125"/>
      <c r="TZB2996" s="470"/>
      <c r="TZC2996" s="449"/>
      <c r="TZD2996" s="462"/>
      <c r="TZE2996" s="299"/>
      <c r="TZF2996" s="81"/>
      <c r="TZG2996" s="160"/>
      <c r="TZH2996" s="555"/>
      <c r="TZI2996" s="125"/>
      <c r="TZJ2996" s="470"/>
      <c r="TZK2996" s="449"/>
      <c r="TZL2996" s="462"/>
      <c r="TZM2996" s="299"/>
      <c r="TZN2996" s="81"/>
      <c r="TZO2996" s="160"/>
      <c r="TZP2996" s="555"/>
      <c r="TZQ2996" s="125"/>
      <c r="TZR2996" s="470"/>
      <c r="TZS2996" s="449"/>
      <c r="TZT2996" s="462"/>
      <c r="TZU2996" s="299"/>
      <c r="TZV2996" s="81"/>
      <c r="TZW2996" s="160"/>
      <c r="TZX2996" s="555"/>
      <c r="TZY2996" s="125"/>
      <c r="TZZ2996" s="470"/>
      <c r="UAA2996" s="449"/>
      <c r="UAB2996" s="462"/>
      <c r="UAC2996" s="299"/>
      <c r="UAD2996" s="81"/>
      <c r="UAE2996" s="160"/>
      <c r="UAF2996" s="555"/>
      <c r="UAG2996" s="125"/>
      <c r="UAH2996" s="470"/>
      <c r="UAI2996" s="449"/>
      <c r="UAJ2996" s="462"/>
      <c r="UAK2996" s="299"/>
      <c r="UAL2996" s="81"/>
      <c r="UAM2996" s="160"/>
      <c r="UAN2996" s="555"/>
      <c r="UAO2996" s="125"/>
      <c r="UAP2996" s="470"/>
      <c r="UAQ2996" s="449"/>
      <c r="UAR2996" s="462"/>
      <c r="UAS2996" s="299"/>
      <c r="UAT2996" s="81"/>
      <c r="UAU2996" s="160"/>
      <c r="UAV2996" s="555"/>
      <c r="UAW2996" s="125"/>
      <c r="UAX2996" s="470"/>
      <c r="UAY2996" s="449"/>
      <c r="UAZ2996" s="462"/>
      <c r="UBA2996" s="299"/>
      <c r="UBB2996" s="81"/>
      <c r="UBC2996" s="160"/>
      <c r="UBD2996" s="555"/>
      <c r="UBE2996" s="125"/>
      <c r="UBF2996" s="470"/>
      <c r="UBG2996" s="449"/>
      <c r="UBH2996" s="462"/>
      <c r="UBI2996" s="299"/>
      <c r="UBJ2996" s="81"/>
      <c r="UBK2996" s="160"/>
      <c r="UBL2996" s="555"/>
      <c r="UBM2996" s="125"/>
      <c r="UBN2996" s="470"/>
      <c r="UBO2996" s="449"/>
      <c r="UBP2996" s="462"/>
      <c r="UBQ2996" s="299"/>
      <c r="UBR2996" s="81"/>
      <c r="UBS2996" s="160"/>
      <c r="UBT2996" s="555"/>
      <c r="UBU2996" s="125"/>
      <c r="UBV2996" s="470"/>
      <c r="UBW2996" s="449"/>
      <c r="UBX2996" s="462"/>
      <c r="UBY2996" s="299"/>
      <c r="UBZ2996" s="81"/>
      <c r="UCA2996" s="160"/>
      <c r="UCB2996" s="555"/>
      <c r="UCC2996" s="125"/>
      <c r="UCD2996" s="470"/>
      <c r="UCE2996" s="449"/>
      <c r="UCF2996" s="462"/>
      <c r="UCG2996" s="299"/>
      <c r="UCH2996" s="81"/>
      <c r="UCI2996" s="160"/>
      <c r="UCJ2996" s="555"/>
      <c r="UCK2996" s="125"/>
      <c r="UCL2996" s="470"/>
      <c r="UCM2996" s="449"/>
      <c r="UCN2996" s="462"/>
      <c r="UCO2996" s="299"/>
      <c r="UCP2996" s="81"/>
      <c r="UCQ2996" s="160"/>
      <c r="UCR2996" s="555"/>
      <c r="UCS2996" s="125"/>
      <c r="UCT2996" s="470"/>
      <c r="UCU2996" s="449"/>
      <c r="UCV2996" s="462"/>
      <c r="UCW2996" s="299"/>
      <c r="UCX2996" s="81"/>
      <c r="UCY2996" s="160"/>
      <c r="UCZ2996" s="555"/>
      <c r="UDA2996" s="125"/>
      <c r="UDB2996" s="470"/>
      <c r="UDC2996" s="449"/>
      <c r="UDD2996" s="462"/>
      <c r="UDE2996" s="299"/>
      <c r="UDF2996" s="81"/>
      <c r="UDG2996" s="160"/>
      <c r="UDH2996" s="555"/>
      <c r="UDI2996" s="125"/>
      <c r="UDJ2996" s="470"/>
      <c r="UDK2996" s="449"/>
      <c r="UDL2996" s="462"/>
      <c r="UDM2996" s="299"/>
      <c r="UDN2996" s="81"/>
      <c r="UDO2996" s="160"/>
      <c r="UDP2996" s="555"/>
      <c r="UDQ2996" s="125"/>
      <c r="UDR2996" s="470"/>
      <c r="UDS2996" s="449"/>
      <c r="UDT2996" s="462"/>
      <c r="UDU2996" s="299"/>
      <c r="UDV2996" s="81"/>
      <c r="UDW2996" s="160"/>
      <c r="UDX2996" s="555"/>
      <c r="UDY2996" s="125"/>
      <c r="UDZ2996" s="470"/>
      <c r="UEA2996" s="449"/>
      <c r="UEB2996" s="462"/>
      <c r="UEC2996" s="299"/>
      <c r="UED2996" s="81"/>
      <c r="UEE2996" s="160"/>
      <c r="UEF2996" s="555"/>
      <c r="UEG2996" s="125"/>
      <c r="UEH2996" s="470"/>
      <c r="UEI2996" s="449"/>
      <c r="UEJ2996" s="462"/>
      <c r="UEK2996" s="299"/>
      <c r="UEL2996" s="81"/>
      <c r="UEM2996" s="160"/>
      <c r="UEN2996" s="555"/>
      <c r="UEO2996" s="125"/>
      <c r="UEP2996" s="470"/>
      <c r="UEQ2996" s="449"/>
      <c r="UER2996" s="462"/>
      <c r="UES2996" s="299"/>
      <c r="UET2996" s="81"/>
      <c r="UEU2996" s="160"/>
      <c r="UEV2996" s="555"/>
      <c r="UEW2996" s="125"/>
      <c r="UEX2996" s="470"/>
      <c r="UEY2996" s="449"/>
      <c r="UEZ2996" s="462"/>
      <c r="UFA2996" s="299"/>
      <c r="UFB2996" s="81"/>
      <c r="UFC2996" s="160"/>
      <c r="UFD2996" s="555"/>
      <c r="UFE2996" s="125"/>
      <c r="UFF2996" s="470"/>
      <c r="UFG2996" s="449"/>
      <c r="UFH2996" s="462"/>
      <c r="UFI2996" s="299"/>
      <c r="UFJ2996" s="81"/>
      <c r="UFK2996" s="160"/>
      <c r="UFL2996" s="555"/>
      <c r="UFM2996" s="125"/>
      <c r="UFN2996" s="470"/>
      <c r="UFO2996" s="449"/>
      <c r="UFP2996" s="462"/>
      <c r="UFQ2996" s="299"/>
      <c r="UFR2996" s="81"/>
      <c r="UFS2996" s="160"/>
      <c r="UFT2996" s="555"/>
      <c r="UFU2996" s="125"/>
      <c r="UFV2996" s="470"/>
      <c r="UFW2996" s="449"/>
      <c r="UFX2996" s="462"/>
      <c r="UFY2996" s="299"/>
      <c r="UFZ2996" s="81"/>
      <c r="UGA2996" s="160"/>
      <c r="UGB2996" s="555"/>
      <c r="UGC2996" s="125"/>
      <c r="UGD2996" s="470"/>
      <c r="UGE2996" s="449"/>
      <c r="UGF2996" s="462"/>
      <c r="UGG2996" s="299"/>
      <c r="UGH2996" s="81"/>
      <c r="UGI2996" s="160"/>
      <c r="UGJ2996" s="555"/>
      <c r="UGK2996" s="125"/>
      <c r="UGL2996" s="470"/>
      <c r="UGM2996" s="449"/>
      <c r="UGN2996" s="462"/>
      <c r="UGO2996" s="299"/>
      <c r="UGP2996" s="81"/>
      <c r="UGQ2996" s="160"/>
      <c r="UGR2996" s="555"/>
      <c r="UGS2996" s="125"/>
      <c r="UGT2996" s="470"/>
      <c r="UGU2996" s="449"/>
      <c r="UGV2996" s="462"/>
      <c r="UGW2996" s="299"/>
      <c r="UGX2996" s="81"/>
      <c r="UGY2996" s="160"/>
      <c r="UGZ2996" s="555"/>
      <c r="UHA2996" s="125"/>
      <c r="UHB2996" s="470"/>
      <c r="UHC2996" s="449"/>
      <c r="UHD2996" s="462"/>
      <c r="UHE2996" s="299"/>
      <c r="UHF2996" s="81"/>
      <c r="UHG2996" s="160"/>
      <c r="UHH2996" s="555"/>
      <c r="UHI2996" s="125"/>
      <c r="UHJ2996" s="470"/>
      <c r="UHK2996" s="449"/>
      <c r="UHL2996" s="462"/>
      <c r="UHM2996" s="299"/>
      <c r="UHN2996" s="81"/>
      <c r="UHO2996" s="160"/>
      <c r="UHP2996" s="555"/>
      <c r="UHQ2996" s="125"/>
      <c r="UHR2996" s="470"/>
      <c r="UHS2996" s="449"/>
      <c r="UHT2996" s="462"/>
      <c r="UHU2996" s="299"/>
      <c r="UHV2996" s="81"/>
      <c r="UHW2996" s="160"/>
      <c r="UHX2996" s="555"/>
      <c r="UHY2996" s="125"/>
      <c r="UHZ2996" s="470"/>
      <c r="UIA2996" s="449"/>
      <c r="UIB2996" s="462"/>
      <c r="UIC2996" s="299"/>
      <c r="UID2996" s="81"/>
      <c r="UIE2996" s="160"/>
      <c r="UIF2996" s="555"/>
      <c r="UIG2996" s="125"/>
      <c r="UIH2996" s="470"/>
      <c r="UII2996" s="449"/>
      <c r="UIJ2996" s="462"/>
      <c r="UIK2996" s="299"/>
      <c r="UIL2996" s="81"/>
      <c r="UIM2996" s="160"/>
      <c r="UIN2996" s="555"/>
      <c r="UIO2996" s="125"/>
      <c r="UIP2996" s="470"/>
      <c r="UIQ2996" s="449"/>
      <c r="UIR2996" s="462"/>
      <c r="UIS2996" s="299"/>
      <c r="UIT2996" s="81"/>
      <c r="UIU2996" s="160"/>
      <c r="UIV2996" s="555"/>
      <c r="UIW2996" s="125"/>
      <c r="UIX2996" s="470"/>
      <c r="UIY2996" s="449"/>
      <c r="UIZ2996" s="462"/>
      <c r="UJA2996" s="299"/>
      <c r="UJB2996" s="81"/>
      <c r="UJC2996" s="160"/>
      <c r="UJD2996" s="555"/>
      <c r="UJE2996" s="125"/>
      <c r="UJF2996" s="470"/>
      <c r="UJG2996" s="449"/>
      <c r="UJH2996" s="462"/>
      <c r="UJI2996" s="299"/>
      <c r="UJJ2996" s="81"/>
      <c r="UJK2996" s="160"/>
      <c r="UJL2996" s="555"/>
      <c r="UJM2996" s="125"/>
      <c r="UJN2996" s="470"/>
      <c r="UJO2996" s="449"/>
      <c r="UJP2996" s="462"/>
      <c r="UJQ2996" s="299"/>
      <c r="UJR2996" s="81"/>
      <c r="UJS2996" s="160"/>
      <c r="UJT2996" s="555"/>
      <c r="UJU2996" s="125"/>
      <c r="UJV2996" s="470"/>
      <c r="UJW2996" s="449"/>
      <c r="UJX2996" s="462"/>
      <c r="UJY2996" s="299"/>
      <c r="UJZ2996" s="81"/>
      <c r="UKA2996" s="160"/>
      <c r="UKB2996" s="555"/>
      <c r="UKC2996" s="125"/>
      <c r="UKD2996" s="470"/>
      <c r="UKE2996" s="449"/>
      <c r="UKF2996" s="462"/>
      <c r="UKG2996" s="299"/>
      <c r="UKH2996" s="81"/>
      <c r="UKI2996" s="160"/>
      <c r="UKJ2996" s="555"/>
      <c r="UKK2996" s="125"/>
      <c r="UKL2996" s="470"/>
      <c r="UKM2996" s="449"/>
      <c r="UKN2996" s="462"/>
      <c r="UKO2996" s="299"/>
      <c r="UKP2996" s="81"/>
      <c r="UKQ2996" s="160"/>
      <c r="UKR2996" s="555"/>
      <c r="UKS2996" s="125"/>
      <c r="UKT2996" s="470"/>
      <c r="UKU2996" s="449"/>
      <c r="UKV2996" s="462"/>
      <c r="UKW2996" s="299"/>
      <c r="UKX2996" s="81"/>
      <c r="UKY2996" s="160"/>
      <c r="UKZ2996" s="555"/>
      <c r="ULA2996" s="125"/>
      <c r="ULB2996" s="470"/>
      <c r="ULC2996" s="449"/>
      <c r="ULD2996" s="462"/>
      <c r="ULE2996" s="299"/>
      <c r="ULF2996" s="81"/>
      <c r="ULG2996" s="160"/>
      <c r="ULH2996" s="555"/>
      <c r="ULI2996" s="125"/>
      <c r="ULJ2996" s="470"/>
      <c r="ULK2996" s="449"/>
      <c r="ULL2996" s="462"/>
      <c r="ULM2996" s="299"/>
      <c r="ULN2996" s="81"/>
      <c r="ULO2996" s="160"/>
      <c r="ULP2996" s="555"/>
      <c r="ULQ2996" s="125"/>
      <c r="ULR2996" s="470"/>
      <c r="ULS2996" s="449"/>
      <c r="ULT2996" s="462"/>
      <c r="ULU2996" s="299"/>
      <c r="ULV2996" s="81"/>
      <c r="ULW2996" s="160"/>
      <c r="ULX2996" s="555"/>
      <c r="ULY2996" s="125"/>
      <c r="ULZ2996" s="470"/>
      <c r="UMA2996" s="449"/>
      <c r="UMB2996" s="462"/>
      <c r="UMC2996" s="299"/>
      <c r="UMD2996" s="81"/>
      <c r="UME2996" s="160"/>
      <c r="UMF2996" s="555"/>
      <c r="UMG2996" s="125"/>
      <c r="UMH2996" s="470"/>
      <c r="UMI2996" s="449"/>
      <c r="UMJ2996" s="462"/>
      <c r="UMK2996" s="299"/>
      <c r="UML2996" s="81"/>
      <c r="UMM2996" s="160"/>
      <c r="UMN2996" s="555"/>
      <c r="UMO2996" s="125"/>
      <c r="UMP2996" s="470"/>
      <c r="UMQ2996" s="449"/>
      <c r="UMR2996" s="462"/>
      <c r="UMS2996" s="299"/>
      <c r="UMT2996" s="81"/>
      <c r="UMU2996" s="160"/>
      <c r="UMV2996" s="555"/>
      <c r="UMW2996" s="125"/>
      <c r="UMX2996" s="470"/>
      <c r="UMY2996" s="449"/>
      <c r="UMZ2996" s="462"/>
      <c r="UNA2996" s="299"/>
      <c r="UNB2996" s="81"/>
      <c r="UNC2996" s="160"/>
      <c r="UND2996" s="555"/>
      <c r="UNE2996" s="125"/>
      <c r="UNF2996" s="470"/>
      <c r="UNG2996" s="449"/>
      <c r="UNH2996" s="462"/>
      <c r="UNI2996" s="299"/>
      <c r="UNJ2996" s="81"/>
      <c r="UNK2996" s="160"/>
      <c r="UNL2996" s="555"/>
      <c r="UNM2996" s="125"/>
      <c r="UNN2996" s="470"/>
      <c r="UNO2996" s="449"/>
      <c r="UNP2996" s="462"/>
      <c r="UNQ2996" s="299"/>
      <c r="UNR2996" s="81"/>
      <c r="UNS2996" s="160"/>
      <c r="UNT2996" s="555"/>
      <c r="UNU2996" s="125"/>
      <c r="UNV2996" s="470"/>
      <c r="UNW2996" s="449"/>
      <c r="UNX2996" s="462"/>
      <c r="UNY2996" s="299"/>
      <c r="UNZ2996" s="81"/>
      <c r="UOA2996" s="160"/>
      <c r="UOB2996" s="555"/>
      <c r="UOC2996" s="125"/>
      <c r="UOD2996" s="470"/>
      <c r="UOE2996" s="449"/>
      <c r="UOF2996" s="462"/>
      <c r="UOG2996" s="299"/>
      <c r="UOH2996" s="81"/>
      <c r="UOI2996" s="160"/>
      <c r="UOJ2996" s="555"/>
      <c r="UOK2996" s="125"/>
      <c r="UOL2996" s="470"/>
      <c r="UOM2996" s="449"/>
      <c r="UON2996" s="462"/>
      <c r="UOO2996" s="299"/>
      <c r="UOP2996" s="81"/>
      <c r="UOQ2996" s="160"/>
      <c r="UOR2996" s="555"/>
      <c r="UOS2996" s="125"/>
      <c r="UOT2996" s="470"/>
      <c r="UOU2996" s="449"/>
      <c r="UOV2996" s="462"/>
      <c r="UOW2996" s="299"/>
      <c r="UOX2996" s="81"/>
      <c r="UOY2996" s="160"/>
      <c r="UOZ2996" s="555"/>
      <c r="UPA2996" s="125"/>
      <c r="UPB2996" s="470"/>
      <c r="UPC2996" s="449"/>
      <c r="UPD2996" s="462"/>
      <c r="UPE2996" s="299"/>
      <c r="UPF2996" s="81"/>
      <c r="UPG2996" s="160"/>
      <c r="UPH2996" s="555"/>
      <c r="UPI2996" s="125"/>
      <c r="UPJ2996" s="470"/>
      <c r="UPK2996" s="449"/>
      <c r="UPL2996" s="462"/>
      <c r="UPM2996" s="299"/>
      <c r="UPN2996" s="81"/>
      <c r="UPO2996" s="160"/>
      <c r="UPP2996" s="555"/>
      <c r="UPQ2996" s="125"/>
      <c r="UPR2996" s="470"/>
      <c r="UPS2996" s="449"/>
      <c r="UPT2996" s="462"/>
      <c r="UPU2996" s="299"/>
      <c r="UPV2996" s="81"/>
      <c r="UPW2996" s="160"/>
      <c r="UPX2996" s="555"/>
      <c r="UPY2996" s="125"/>
      <c r="UPZ2996" s="470"/>
      <c r="UQA2996" s="449"/>
      <c r="UQB2996" s="462"/>
      <c r="UQC2996" s="299"/>
      <c r="UQD2996" s="81"/>
      <c r="UQE2996" s="160"/>
      <c r="UQF2996" s="555"/>
      <c r="UQG2996" s="125"/>
      <c r="UQH2996" s="470"/>
      <c r="UQI2996" s="449"/>
      <c r="UQJ2996" s="462"/>
      <c r="UQK2996" s="299"/>
      <c r="UQL2996" s="81"/>
      <c r="UQM2996" s="160"/>
      <c r="UQN2996" s="555"/>
      <c r="UQO2996" s="125"/>
      <c r="UQP2996" s="470"/>
      <c r="UQQ2996" s="449"/>
      <c r="UQR2996" s="462"/>
      <c r="UQS2996" s="299"/>
      <c r="UQT2996" s="81"/>
      <c r="UQU2996" s="160"/>
      <c r="UQV2996" s="555"/>
      <c r="UQW2996" s="125"/>
      <c r="UQX2996" s="470"/>
      <c r="UQY2996" s="449"/>
      <c r="UQZ2996" s="462"/>
      <c r="URA2996" s="299"/>
      <c r="URB2996" s="81"/>
      <c r="URC2996" s="160"/>
      <c r="URD2996" s="555"/>
      <c r="URE2996" s="125"/>
      <c r="URF2996" s="470"/>
      <c r="URG2996" s="449"/>
      <c r="URH2996" s="462"/>
      <c r="URI2996" s="299"/>
      <c r="URJ2996" s="81"/>
      <c r="URK2996" s="160"/>
      <c r="URL2996" s="555"/>
      <c r="URM2996" s="125"/>
      <c r="URN2996" s="470"/>
      <c r="URO2996" s="449"/>
      <c r="URP2996" s="462"/>
      <c r="URQ2996" s="299"/>
      <c r="URR2996" s="81"/>
      <c r="URS2996" s="160"/>
      <c r="URT2996" s="555"/>
      <c r="URU2996" s="125"/>
      <c r="URV2996" s="470"/>
      <c r="URW2996" s="449"/>
      <c r="URX2996" s="462"/>
      <c r="URY2996" s="299"/>
      <c r="URZ2996" s="81"/>
      <c r="USA2996" s="160"/>
      <c r="USB2996" s="555"/>
      <c r="USC2996" s="125"/>
      <c r="USD2996" s="470"/>
      <c r="USE2996" s="449"/>
      <c r="USF2996" s="462"/>
      <c r="USG2996" s="299"/>
      <c r="USH2996" s="81"/>
      <c r="USI2996" s="160"/>
      <c r="USJ2996" s="555"/>
      <c r="USK2996" s="125"/>
      <c r="USL2996" s="470"/>
      <c r="USM2996" s="449"/>
      <c r="USN2996" s="462"/>
      <c r="USO2996" s="299"/>
      <c r="USP2996" s="81"/>
      <c r="USQ2996" s="160"/>
      <c r="USR2996" s="555"/>
      <c r="USS2996" s="125"/>
      <c r="UST2996" s="470"/>
      <c r="USU2996" s="449"/>
      <c r="USV2996" s="462"/>
      <c r="USW2996" s="299"/>
      <c r="USX2996" s="81"/>
      <c r="USY2996" s="160"/>
      <c r="USZ2996" s="555"/>
      <c r="UTA2996" s="125"/>
      <c r="UTB2996" s="470"/>
      <c r="UTC2996" s="449"/>
      <c r="UTD2996" s="462"/>
      <c r="UTE2996" s="299"/>
      <c r="UTF2996" s="81"/>
      <c r="UTG2996" s="160"/>
      <c r="UTH2996" s="555"/>
      <c r="UTI2996" s="125"/>
      <c r="UTJ2996" s="470"/>
      <c r="UTK2996" s="449"/>
      <c r="UTL2996" s="462"/>
      <c r="UTM2996" s="299"/>
      <c r="UTN2996" s="81"/>
      <c r="UTO2996" s="160"/>
      <c r="UTP2996" s="555"/>
      <c r="UTQ2996" s="125"/>
      <c r="UTR2996" s="470"/>
      <c r="UTS2996" s="449"/>
      <c r="UTT2996" s="462"/>
      <c r="UTU2996" s="299"/>
      <c r="UTV2996" s="81"/>
      <c r="UTW2996" s="160"/>
      <c r="UTX2996" s="555"/>
      <c r="UTY2996" s="125"/>
      <c r="UTZ2996" s="470"/>
      <c r="UUA2996" s="449"/>
      <c r="UUB2996" s="462"/>
      <c r="UUC2996" s="299"/>
      <c r="UUD2996" s="81"/>
      <c r="UUE2996" s="160"/>
      <c r="UUF2996" s="555"/>
      <c r="UUG2996" s="125"/>
      <c r="UUH2996" s="470"/>
      <c r="UUI2996" s="449"/>
      <c r="UUJ2996" s="462"/>
      <c r="UUK2996" s="299"/>
      <c r="UUL2996" s="81"/>
      <c r="UUM2996" s="160"/>
      <c r="UUN2996" s="555"/>
      <c r="UUO2996" s="125"/>
      <c r="UUP2996" s="470"/>
      <c r="UUQ2996" s="449"/>
      <c r="UUR2996" s="462"/>
      <c r="UUS2996" s="299"/>
      <c r="UUT2996" s="81"/>
      <c r="UUU2996" s="160"/>
      <c r="UUV2996" s="555"/>
      <c r="UUW2996" s="125"/>
      <c r="UUX2996" s="470"/>
      <c r="UUY2996" s="449"/>
      <c r="UUZ2996" s="462"/>
      <c r="UVA2996" s="299"/>
      <c r="UVB2996" s="81"/>
      <c r="UVC2996" s="160"/>
      <c r="UVD2996" s="555"/>
      <c r="UVE2996" s="125"/>
      <c r="UVF2996" s="470"/>
      <c r="UVG2996" s="449"/>
      <c r="UVH2996" s="462"/>
      <c r="UVI2996" s="299"/>
      <c r="UVJ2996" s="81"/>
      <c r="UVK2996" s="160"/>
      <c r="UVL2996" s="555"/>
      <c r="UVM2996" s="125"/>
      <c r="UVN2996" s="470"/>
      <c r="UVO2996" s="449"/>
      <c r="UVP2996" s="462"/>
      <c r="UVQ2996" s="299"/>
      <c r="UVR2996" s="81"/>
      <c r="UVS2996" s="160"/>
      <c r="UVT2996" s="555"/>
      <c r="UVU2996" s="125"/>
      <c r="UVV2996" s="470"/>
      <c r="UVW2996" s="449"/>
      <c r="UVX2996" s="462"/>
      <c r="UVY2996" s="299"/>
      <c r="UVZ2996" s="81"/>
      <c r="UWA2996" s="160"/>
      <c r="UWB2996" s="555"/>
      <c r="UWC2996" s="125"/>
      <c r="UWD2996" s="470"/>
      <c r="UWE2996" s="449"/>
      <c r="UWF2996" s="462"/>
      <c r="UWG2996" s="299"/>
      <c r="UWH2996" s="81"/>
      <c r="UWI2996" s="160"/>
      <c r="UWJ2996" s="555"/>
      <c r="UWK2996" s="125"/>
      <c r="UWL2996" s="470"/>
      <c r="UWM2996" s="449"/>
      <c r="UWN2996" s="462"/>
      <c r="UWO2996" s="299"/>
      <c r="UWP2996" s="81"/>
      <c r="UWQ2996" s="160"/>
      <c r="UWR2996" s="555"/>
      <c r="UWS2996" s="125"/>
      <c r="UWT2996" s="470"/>
      <c r="UWU2996" s="449"/>
      <c r="UWV2996" s="462"/>
      <c r="UWW2996" s="299"/>
      <c r="UWX2996" s="81"/>
      <c r="UWY2996" s="160"/>
      <c r="UWZ2996" s="555"/>
      <c r="UXA2996" s="125"/>
      <c r="UXB2996" s="470"/>
      <c r="UXC2996" s="449"/>
      <c r="UXD2996" s="462"/>
      <c r="UXE2996" s="299"/>
      <c r="UXF2996" s="81"/>
      <c r="UXG2996" s="160"/>
      <c r="UXH2996" s="555"/>
      <c r="UXI2996" s="125"/>
      <c r="UXJ2996" s="470"/>
      <c r="UXK2996" s="449"/>
      <c r="UXL2996" s="462"/>
      <c r="UXM2996" s="299"/>
      <c r="UXN2996" s="81"/>
      <c r="UXO2996" s="160"/>
      <c r="UXP2996" s="555"/>
      <c r="UXQ2996" s="125"/>
      <c r="UXR2996" s="470"/>
      <c r="UXS2996" s="449"/>
      <c r="UXT2996" s="462"/>
      <c r="UXU2996" s="299"/>
      <c r="UXV2996" s="81"/>
      <c r="UXW2996" s="160"/>
      <c r="UXX2996" s="555"/>
      <c r="UXY2996" s="125"/>
      <c r="UXZ2996" s="470"/>
      <c r="UYA2996" s="449"/>
      <c r="UYB2996" s="462"/>
      <c r="UYC2996" s="299"/>
      <c r="UYD2996" s="81"/>
      <c r="UYE2996" s="160"/>
      <c r="UYF2996" s="555"/>
      <c r="UYG2996" s="125"/>
      <c r="UYH2996" s="470"/>
      <c r="UYI2996" s="449"/>
      <c r="UYJ2996" s="462"/>
      <c r="UYK2996" s="299"/>
      <c r="UYL2996" s="81"/>
      <c r="UYM2996" s="160"/>
      <c r="UYN2996" s="555"/>
      <c r="UYO2996" s="125"/>
      <c r="UYP2996" s="470"/>
      <c r="UYQ2996" s="449"/>
      <c r="UYR2996" s="462"/>
      <c r="UYS2996" s="299"/>
      <c r="UYT2996" s="81"/>
      <c r="UYU2996" s="160"/>
      <c r="UYV2996" s="555"/>
      <c r="UYW2996" s="125"/>
      <c r="UYX2996" s="470"/>
      <c r="UYY2996" s="449"/>
      <c r="UYZ2996" s="462"/>
      <c r="UZA2996" s="299"/>
      <c r="UZB2996" s="81"/>
      <c r="UZC2996" s="160"/>
      <c r="UZD2996" s="555"/>
      <c r="UZE2996" s="125"/>
      <c r="UZF2996" s="470"/>
      <c r="UZG2996" s="449"/>
      <c r="UZH2996" s="462"/>
      <c r="UZI2996" s="299"/>
      <c r="UZJ2996" s="81"/>
      <c r="UZK2996" s="160"/>
      <c r="UZL2996" s="555"/>
      <c r="UZM2996" s="125"/>
      <c r="UZN2996" s="470"/>
      <c r="UZO2996" s="449"/>
      <c r="UZP2996" s="462"/>
      <c r="UZQ2996" s="299"/>
      <c r="UZR2996" s="81"/>
      <c r="UZS2996" s="160"/>
      <c r="UZT2996" s="555"/>
      <c r="UZU2996" s="125"/>
      <c r="UZV2996" s="470"/>
      <c r="UZW2996" s="449"/>
      <c r="UZX2996" s="462"/>
      <c r="UZY2996" s="299"/>
      <c r="UZZ2996" s="81"/>
      <c r="VAA2996" s="160"/>
      <c r="VAB2996" s="555"/>
      <c r="VAC2996" s="125"/>
      <c r="VAD2996" s="470"/>
      <c r="VAE2996" s="449"/>
      <c r="VAF2996" s="462"/>
      <c r="VAG2996" s="299"/>
      <c r="VAH2996" s="81"/>
      <c r="VAI2996" s="160"/>
      <c r="VAJ2996" s="555"/>
      <c r="VAK2996" s="125"/>
      <c r="VAL2996" s="470"/>
      <c r="VAM2996" s="449"/>
      <c r="VAN2996" s="462"/>
      <c r="VAO2996" s="299"/>
      <c r="VAP2996" s="81"/>
      <c r="VAQ2996" s="160"/>
      <c r="VAR2996" s="555"/>
      <c r="VAS2996" s="125"/>
      <c r="VAT2996" s="470"/>
      <c r="VAU2996" s="449"/>
      <c r="VAV2996" s="462"/>
      <c r="VAW2996" s="299"/>
      <c r="VAX2996" s="81"/>
      <c r="VAY2996" s="160"/>
      <c r="VAZ2996" s="555"/>
      <c r="VBA2996" s="125"/>
      <c r="VBB2996" s="470"/>
      <c r="VBC2996" s="449"/>
      <c r="VBD2996" s="462"/>
      <c r="VBE2996" s="299"/>
      <c r="VBF2996" s="81"/>
      <c r="VBG2996" s="160"/>
      <c r="VBH2996" s="555"/>
      <c r="VBI2996" s="125"/>
      <c r="VBJ2996" s="470"/>
      <c r="VBK2996" s="449"/>
      <c r="VBL2996" s="462"/>
      <c r="VBM2996" s="299"/>
      <c r="VBN2996" s="81"/>
      <c r="VBO2996" s="160"/>
      <c r="VBP2996" s="555"/>
      <c r="VBQ2996" s="125"/>
      <c r="VBR2996" s="470"/>
      <c r="VBS2996" s="449"/>
      <c r="VBT2996" s="462"/>
      <c r="VBU2996" s="299"/>
      <c r="VBV2996" s="81"/>
      <c r="VBW2996" s="160"/>
      <c r="VBX2996" s="555"/>
      <c r="VBY2996" s="125"/>
      <c r="VBZ2996" s="470"/>
      <c r="VCA2996" s="449"/>
      <c r="VCB2996" s="462"/>
      <c r="VCC2996" s="299"/>
      <c r="VCD2996" s="81"/>
      <c r="VCE2996" s="160"/>
      <c r="VCF2996" s="555"/>
      <c r="VCG2996" s="125"/>
      <c r="VCH2996" s="470"/>
      <c r="VCI2996" s="449"/>
      <c r="VCJ2996" s="462"/>
      <c r="VCK2996" s="299"/>
      <c r="VCL2996" s="81"/>
      <c r="VCM2996" s="160"/>
      <c r="VCN2996" s="555"/>
      <c r="VCO2996" s="125"/>
      <c r="VCP2996" s="470"/>
      <c r="VCQ2996" s="449"/>
      <c r="VCR2996" s="462"/>
      <c r="VCS2996" s="299"/>
      <c r="VCT2996" s="81"/>
      <c r="VCU2996" s="160"/>
      <c r="VCV2996" s="555"/>
      <c r="VCW2996" s="125"/>
      <c r="VCX2996" s="470"/>
      <c r="VCY2996" s="449"/>
      <c r="VCZ2996" s="462"/>
      <c r="VDA2996" s="299"/>
      <c r="VDB2996" s="81"/>
      <c r="VDC2996" s="160"/>
      <c r="VDD2996" s="555"/>
      <c r="VDE2996" s="125"/>
      <c r="VDF2996" s="470"/>
      <c r="VDG2996" s="449"/>
      <c r="VDH2996" s="462"/>
      <c r="VDI2996" s="299"/>
      <c r="VDJ2996" s="81"/>
      <c r="VDK2996" s="160"/>
      <c r="VDL2996" s="555"/>
      <c r="VDM2996" s="125"/>
      <c r="VDN2996" s="470"/>
      <c r="VDO2996" s="449"/>
      <c r="VDP2996" s="462"/>
      <c r="VDQ2996" s="299"/>
      <c r="VDR2996" s="81"/>
      <c r="VDS2996" s="160"/>
      <c r="VDT2996" s="555"/>
      <c r="VDU2996" s="125"/>
      <c r="VDV2996" s="470"/>
      <c r="VDW2996" s="449"/>
      <c r="VDX2996" s="462"/>
      <c r="VDY2996" s="299"/>
      <c r="VDZ2996" s="81"/>
      <c r="VEA2996" s="160"/>
      <c r="VEB2996" s="555"/>
      <c r="VEC2996" s="125"/>
      <c r="VED2996" s="470"/>
      <c r="VEE2996" s="449"/>
      <c r="VEF2996" s="462"/>
      <c r="VEG2996" s="299"/>
      <c r="VEH2996" s="81"/>
      <c r="VEI2996" s="160"/>
      <c r="VEJ2996" s="555"/>
      <c r="VEK2996" s="125"/>
      <c r="VEL2996" s="470"/>
      <c r="VEM2996" s="449"/>
      <c r="VEN2996" s="462"/>
      <c r="VEO2996" s="299"/>
      <c r="VEP2996" s="81"/>
      <c r="VEQ2996" s="160"/>
      <c r="VER2996" s="555"/>
      <c r="VES2996" s="125"/>
      <c r="VET2996" s="470"/>
      <c r="VEU2996" s="449"/>
      <c r="VEV2996" s="462"/>
      <c r="VEW2996" s="299"/>
      <c r="VEX2996" s="81"/>
      <c r="VEY2996" s="160"/>
      <c r="VEZ2996" s="555"/>
      <c r="VFA2996" s="125"/>
      <c r="VFB2996" s="470"/>
      <c r="VFC2996" s="449"/>
      <c r="VFD2996" s="462"/>
      <c r="VFE2996" s="299"/>
      <c r="VFF2996" s="81"/>
      <c r="VFG2996" s="160"/>
      <c r="VFH2996" s="555"/>
      <c r="VFI2996" s="125"/>
      <c r="VFJ2996" s="470"/>
      <c r="VFK2996" s="449"/>
      <c r="VFL2996" s="462"/>
      <c r="VFM2996" s="299"/>
      <c r="VFN2996" s="81"/>
      <c r="VFO2996" s="160"/>
      <c r="VFP2996" s="555"/>
      <c r="VFQ2996" s="125"/>
      <c r="VFR2996" s="470"/>
      <c r="VFS2996" s="449"/>
      <c r="VFT2996" s="462"/>
      <c r="VFU2996" s="299"/>
      <c r="VFV2996" s="81"/>
      <c r="VFW2996" s="160"/>
      <c r="VFX2996" s="555"/>
      <c r="VFY2996" s="125"/>
      <c r="VFZ2996" s="470"/>
      <c r="VGA2996" s="449"/>
      <c r="VGB2996" s="462"/>
      <c r="VGC2996" s="299"/>
      <c r="VGD2996" s="81"/>
      <c r="VGE2996" s="160"/>
      <c r="VGF2996" s="555"/>
      <c r="VGG2996" s="125"/>
      <c r="VGH2996" s="470"/>
      <c r="VGI2996" s="449"/>
      <c r="VGJ2996" s="462"/>
      <c r="VGK2996" s="299"/>
      <c r="VGL2996" s="81"/>
      <c r="VGM2996" s="160"/>
      <c r="VGN2996" s="555"/>
      <c r="VGO2996" s="125"/>
      <c r="VGP2996" s="470"/>
      <c r="VGQ2996" s="449"/>
      <c r="VGR2996" s="462"/>
      <c r="VGS2996" s="299"/>
      <c r="VGT2996" s="81"/>
      <c r="VGU2996" s="160"/>
      <c r="VGV2996" s="555"/>
      <c r="VGW2996" s="125"/>
      <c r="VGX2996" s="470"/>
      <c r="VGY2996" s="449"/>
      <c r="VGZ2996" s="462"/>
      <c r="VHA2996" s="299"/>
      <c r="VHB2996" s="81"/>
      <c r="VHC2996" s="160"/>
      <c r="VHD2996" s="555"/>
      <c r="VHE2996" s="125"/>
      <c r="VHF2996" s="470"/>
      <c r="VHG2996" s="449"/>
      <c r="VHH2996" s="462"/>
      <c r="VHI2996" s="299"/>
      <c r="VHJ2996" s="81"/>
      <c r="VHK2996" s="160"/>
      <c r="VHL2996" s="555"/>
      <c r="VHM2996" s="125"/>
      <c r="VHN2996" s="470"/>
      <c r="VHO2996" s="449"/>
      <c r="VHP2996" s="462"/>
      <c r="VHQ2996" s="299"/>
      <c r="VHR2996" s="81"/>
      <c r="VHS2996" s="160"/>
      <c r="VHT2996" s="555"/>
      <c r="VHU2996" s="125"/>
      <c r="VHV2996" s="470"/>
      <c r="VHW2996" s="449"/>
      <c r="VHX2996" s="462"/>
      <c r="VHY2996" s="299"/>
      <c r="VHZ2996" s="81"/>
      <c r="VIA2996" s="160"/>
      <c r="VIB2996" s="555"/>
      <c r="VIC2996" s="125"/>
      <c r="VID2996" s="470"/>
      <c r="VIE2996" s="449"/>
      <c r="VIF2996" s="462"/>
      <c r="VIG2996" s="299"/>
      <c r="VIH2996" s="81"/>
      <c r="VII2996" s="160"/>
      <c r="VIJ2996" s="555"/>
      <c r="VIK2996" s="125"/>
      <c r="VIL2996" s="470"/>
      <c r="VIM2996" s="449"/>
      <c r="VIN2996" s="462"/>
      <c r="VIO2996" s="299"/>
      <c r="VIP2996" s="81"/>
      <c r="VIQ2996" s="160"/>
      <c r="VIR2996" s="555"/>
      <c r="VIS2996" s="125"/>
      <c r="VIT2996" s="470"/>
      <c r="VIU2996" s="449"/>
      <c r="VIV2996" s="462"/>
      <c r="VIW2996" s="299"/>
      <c r="VIX2996" s="81"/>
      <c r="VIY2996" s="160"/>
      <c r="VIZ2996" s="555"/>
      <c r="VJA2996" s="125"/>
      <c r="VJB2996" s="470"/>
      <c r="VJC2996" s="449"/>
      <c r="VJD2996" s="462"/>
      <c r="VJE2996" s="299"/>
      <c r="VJF2996" s="81"/>
      <c r="VJG2996" s="160"/>
      <c r="VJH2996" s="555"/>
      <c r="VJI2996" s="125"/>
      <c r="VJJ2996" s="470"/>
      <c r="VJK2996" s="449"/>
      <c r="VJL2996" s="462"/>
      <c r="VJM2996" s="299"/>
      <c r="VJN2996" s="81"/>
      <c r="VJO2996" s="160"/>
      <c r="VJP2996" s="555"/>
      <c r="VJQ2996" s="125"/>
      <c r="VJR2996" s="470"/>
      <c r="VJS2996" s="449"/>
      <c r="VJT2996" s="462"/>
      <c r="VJU2996" s="299"/>
      <c r="VJV2996" s="81"/>
      <c r="VJW2996" s="160"/>
      <c r="VJX2996" s="555"/>
      <c r="VJY2996" s="125"/>
      <c r="VJZ2996" s="470"/>
      <c r="VKA2996" s="449"/>
      <c r="VKB2996" s="462"/>
      <c r="VKC2996" s="299"/>
      <c r="VKD2996" s="81"/>
      <c r="VKE2996" s="160"/>
      <c r="VKF2996" s="555"/>
      <c r="VKG2996" s="125"/>
      <c r="VKH2996" s="470"/>
      <c r="VKI2996" s="449"/>
      <c r="VKJ2996" s="462"/>
      <c r="VKK2996" s="299"/>
      <c r="VKL2996" s="81"/>
      <c r="VKM2996" s="160"/>
      <c r="VKN2996" s="555"/>
      <c r="VKO2996" s="125"/>
      <c r="VKP2996" s="470"/>
      <c r="VKQ2996" s="449"/>
      <c r="VKR2996" s="462"/>
      <c r="VKS2996" s="299"/>
      <c r="VKT2996" s="81"/>
      <c r="VKU2996" s="160"/>
      <c r="VKV2996" s="555"/>
      <c r="VKW2996" s="125"/>
      <c r="VKX2996" s="470"/>
      <c r="VKY2996" s="449"/>
      <c r="VKZ2996" s="462"/>
      <c r="VLA2996" s="299"/>
      <c r="VLB2996" s="81"/>
      <c r="VLC2996" s="160"/>
      <c r="VLD2996" s="555"/>
      <c r="VLE2996" s="125"/>
      <c r="VLF2996" s="470"/>
      <c r="VLG2996" s="449"/>
      <c r="VLH2996" s="462"/>
      <c r="VLI2996" s="299"/>
      <c r="VLJ2996" s="81"/>
      <c r="VLK2996" s="160"/>
      <c r="VLL2996" s="555"/>
      <c r="VLM2996" s="125"/>
      <c r="VLN2996" s="470"/>
      <c r="VLO2996" s="449"/>
      <c r="VLP2996" s="462"/>
      <c r="VLQ2996" s="299"/>
      <c r="VLR2996" s="81"/>
      <c r="VLS2996" s="160"/>
      <c r="VLT2996" s="555"/>
      <c r="VLU2996" s="125"/>
      <c r="VLV2996" s="470"/>
      <c r="VLW2996" s="449"/>
      <c r="VLX2996" s="462"/>
      <c r="VLY2996" s="299"/>
      <c r="VLZ2996" s="81"/>
      <c r="VMA2996" s="160"/>
      <c r="VMB2996" s="555"/>
      <c r="VMC2996" s="125"/>
      <c r="VMD2996" s="470"/>
      <c r="VME2996" s="449"/>
      <c r="VMF2996" s="462"/>
      <c r="VMG2996" s="299"/>
      <c r="VMH2996" s="81"/>
      <c r="VMI2996" s="160"/>
      <c r="VMJ2996" s="555"/>
      <c r="VMK2996" s="125"/>
      <c r="VML2996" s="470"/>
      <c r="VMM2996" s="449"/>
      <c r="VMN2996" s="462"/>
      <c r="VMO2996" s="299"/>
      <c r="VMP2996" s="81"/>
      <c r="VMQ2996" s="160"/>
      <c r="VMR2996" s="555"/>
      <c r="VMS2996" s="125"/>
      <c r="VMT2996" s="470"/>
      <c r="VMU2996" s="449"/>
      <c r="VMV2996" s="462"/>
      <c r="VMW2996" s="299"/>
      <c r="VMX2996" s="81"/>
      <c r="VMY2996" s="160"/>
      <c r="VMZ2996" s="555"/>
      <c r="VNA2996" s="125"/>
      <c r="VNB2996" s="470"/>
      <c r="VNC2996" s="449"/>
      <c r="VND2996" s="462"/>
      <c r="VNE2996" s="299"/>
      <c r="VNF2996" s="81"/>
      <c r="VNG2996" s="160"/>
      <c r="VNH2996" s="555"/>
      <c r="VNI2996" s="125"/>
      <c r="VNJ2996" s="470"/>
      <c r="VNK2996" s="449"/>
      <c r="VNL2996" s="462"/>
      <c r="VNM2996" s="299"/>
      <c r="VNN2996" s="81"/>
      <c r="VNO2996" s="160"/>
      <c r="VNP2996" s="555"/>
      <c r="VNQ2996" s="125"/>
      <c r="VNR2996" s="470"/>
      <c r="VNS2996" s="449"/>
      <c r="VNT2996" s="462"/>
      <c r="VNU2996" s="299"/>
      <c r="VNV2996" s="81"/>
      <c r="VNW2996" s="160"/>
      <c r="VNX2996" s="555"/>
      <c r="VNY2996" s="125"/>
      <c r="VNZ2996" s="470"/>
      <c r="VOA2996" s="449"/>
      <c r="VOB2996" s="462"/>
      <c r="VOC2996" s="299"/>
      <c r="VOD2996" s="81"/>
      <c r="VOE2996" s="160"/>
      <c r="VOF2996" s="555"/>
      <c r="VOG2996" s="125"/>
      <c r="VOH2996" s="470"/>
      <c r="VOI2996" s="449"/>
      <c r="VOJ2996" s="462"/>
      <c r="VOK2996" s="299"/>
      <c r="VOL2996" s="81"/>
      <c r="VOM2996" s="160"/>
      <c r="VON2996" s="555"/>
      <c r="VOO2996" s="125"/>
      <c r="VOP2996" s="470"/>
      <c r="VOQ2996" s="449"/>
      <c r="VOR2996" s="462"/>
      <c r="VOS2996" s="299"/>
      <c r="VOT2996" s="81"/>
      <c r="VOU2996" s="160"/>
      <c r="VOV2996" s="555"/>
      <c r="VOW2996" s="125"/>
      <c r="VOX2996" s="470"/>
      <c r="VOY2996" s="449"/>
      <c r="VOZ2996" s="462"/>
      <c r="VPA2996" s="299"/>
      <c r="VPB2996" s="81"/>
      <c r="VPC2996" s="160"/>
      <c r="VPD2996" s="555"/>
      <c r="VPE2996" s="125"/>
      <c r="VPF2996" s="470"/>
      <c r="VPG2996" s="449"/>
      <c r="VPH2996" s="462"/>
      <c r="VPI2996" s="299"/>
      <c r="VPJ2996" s="81"/>
      <c r="VPK2996" s="160"/>
      <c r="VPL2996" s="555"/>
      <c r="VPM2996" s="125"/>
      <c r="VPN2996" s="470"/>
      <c r="VPO2996" s="449"/>
      <c r="VPP2996" s="462"/>
      <c r="VPQ2996" s="299"/>
      <c r="VPR2996" s="81"/>
      <c r="VPS2996" s="160"/>
      <c r="VPT2996" s="555"/>
      <c r="VPU2996" s="125"/>
      <c r="VPV2996" s="470"/>
      <c r="VPW2996" s="449"/>
      <c r="VPX2996" s="462"/>
      <c r="VPY2996" s="299"/>
      <c r="VPZ2996" s="81"/>
      <c r="VQA2996" s="160"/>
      <c r="VQB2996" s="555"/>
      <c r="VQC2996" s="125"/>
      <c r="VQD2996" s="470"/>
      <c r="VQE2996" s="449"/>
      <c r="VQF2996" s="462"/>
      <c r="VQG2996" s="299"/>
      <c r="VQH2996" s="81"/>
      <c r="VQI2996" s="160"/>
      <c r="VQJ2996" s="555"/>
      <c r="VQK2996" s="125"/>
      <c r="VQL2996" s="470"/>
      <c r="VQM2996" s="449"/>
      <c r="VQN2996" s="462"/>
      <c r="VQO2996" s="299"/>
      <c r="VQP2996" s="81"/>
      <c r="VQQ2996" s="160"/>
      <c r="VQR2996" s="555"/>
      <c r="VQS2996" s="125"/>
      <c r="VQT2996" s="470"/>
      <c r="VQU2996" s="449"/>
      <c r="VQV2996" s="462"/>
      <c r="VQW2996" s="299"/>
      <c r="VQX2996" s="81"/>
      <c r="VQY2996" s="160"/>
      <c r="VQZ2996" s="555"/>
      <c r="VRA2996" s="125"/>
      <c r="VRB2996" s="470"/>
      <c r="VRC2996" s="449"/>
      <c r="VRD2996" s="462"/>
      <c r="VRE2996" s="299"/>
      <c r="VRF2996" s="81"/>
      <c r="VRG2996" s="160"/>
      <c r="VRH2996" s="555"/>
      <c r="VRI2996" s="125"/>
      <c r="VRJ2996" s="470"/>
      <c r="VRK2996" s="449"/>
      <c r="VRL2996" s="462"/>
      <c r="VRM2996" s="299"/>
      <c r="VRN2996" s="81"/>
      <c r="VRO2996" s="160"/>
      <c r="VRP2996" s="555"/>
      <c r="VRQ2996" s="125"/>
      <c r="VRR2996" s="470"/>
      <c r="VRS2996" s="449"/>
      <c r="VRT2996" s="462"/>
      <c r="VRU2996" s="299"/>
      <c r="VRV2996" s="81"/>
      <c r="VRW2996" s="160"/>
      <c r="VRX2996" s="555"/>
      <c r="VRY2996" s="125"/>
      <c r="VRZ2996" s="470"/>
      <c r="VSA2996" s="449"/>
      <c r="VSB2996" s="462"/>
      <c r="VSC2996" s="299"/>
      <c r="VSD2996" s="81"/>
      <c r="VSE2996" s="160"/>
      <c r="VSF2996" s="555"/>
      <c r="VSG2996" s="125"/>
      <c r="VSH2996" s="470"/>
      <c r="VSI2996" s="449"/>
      <c r="VSJ2996" s="462"/>
      <c r="VSK2996" s="299"/>
      <c r="VSL2996" s="81"/>
      <c r="VSM2996" s="160"/>
      <c r="VSN2996" s="555"/>
      <c r="VSO2996" s="125"/>
      <c r="VSP2996" s="470"/>
      <c r="VSQ2996" s="449"/>
      <c r="VSR2996" s="462"/>
      <c r="VSS2996" s="299"/>
      <c r="VST2996" s="81"/>
      <c r="VSU2996" s="160"/>
      <c r="VSV2996" s="555"/>
      <c r="VSW2996" s="125"/>
      <c r="VSX2996" s="470"/>
      <c r="VSY2996" s="449"/>
      <c r="VSZ2996" s="462"/>
      <c r="VTA2996" s="299"/>
      <c r="VTB2996" s="81"/>
      <c r="VTC2996" s="160"/>
      <c r="VTD2996" s="555"/>
      <c r="VTE2996" s="125"/>
      <c r="VTF2996" s="470"/>
      <c r="VTG2996" s="449"/>
      <c r="VTH2996" s="462"/>
      <c r="VTI2996" s="299"/>
      <c r="VTJ2996" s="81"/>
      <c r="VTK2996" s="160"/>
      <c r="VTL2996" s="555"/>
      <c r="VTM2996" s="125"/>
      <c r="VTN2996" s="470"/>
      <c r="VTO2996" s="449"/>
      <c r="VTP2996" s="462"/>
      <c r="VTQ2996" s="299"/>
      <c r="VTR2996" s="81"/>
      <c r="VTS2996" s="160"/>
      <c r="VTT2996" s="555"/>
      <c r="VTU2996" s="125"/>
      <c r="VTV2996" s="470"/>
      <c r="VTW2996" s="449"/>
      <c r="VTX2996" s="462"/>
      <c r="VTY2996" s="299"/>
      <c r="VTZ2996" s="81"/>
      <c r="VUA2996" s="160"/>
      <c r="VUB2996" s="555"/>
      <c r="VUC2996" s="125"/>
      <c r="VUD2996" s="470"/>
      <c r="VUE2996" s="449"/>
      <c r="VUF2996" s="462"/>
      <c r="VUG2996" s="299"/>
      <c r="VUH2996" s="81"/>
      <c r="VUI2996" s="160"/>
      <c r="VUJ2996" s="555"/>
      <c r="VUK2996" s="125"/>
      <c r="VUL2996" s="470"/>
      <c r="VUM2996" s="449"/>
      <c r="VUN2996" s="462"/>
      <c r="VUO2996" s="299"/>
      <c r="VUP2996" s="81"/>
      <c r="VUQ2996" s="160"/>
      <c r="VUR2996" s="555"/>
      <c r="VUS2996" s="125"/>
      <c r="VUT2996" s="470"/>
      <c r="VUU2996" s="449"/>
      <c r="VUV2996" s="462"/>
      <c r="VUW2996" s="299"/>
      <c r="VUX2996" s="81"/>
      <c r="VUY2996" s="160"/>
      <c r="VUZ2996" s="555"/>
      <c r="VVA2996" s="125"/>
      <c r="VVB2996" s="470"/>
      <c r="VVC2996" s="449"/>
      <c r="VVD2996" s="462"/>
      <c r="VVE2996" s="299"/>
      <c r="VVF2996" s="81"/>
      <c r="VVG2996" s="160"/>
      <c r="VVH2996" s="555"/>
      <c r="VVI2996" s="125"/>
      <c r="VVJ2996" s="470"/>
      <c r="VVK2996" s="449"/>
      <c r="VVL2996" s="462"/>
      <c r="VVM2996" s="299"/>
      <c r="VVN2996" s="81"/>
      <c r="VVO2996" s="160"/>
      <c r="VVP2996" s="555"/>
      <c r="VVQ2996" s="125"/>
      <c r="VVR2996" s="470"/>
      <c r="VVS2996" s="449"/>
      <c r="VVT2996" s="462"/>
      <c r="VVU2996" s="299"/>
      <c r="VVV2996" s="81"/>
      <c r="VVW2996" s="160"/>
      <c r="VVX2996" s="555"/>
      <c r="VVY2996" s="125"/>
      <c r="VVZ2996" s="470"/>
      <c r="VWA2996" s="449"/>
      <c r="VWB2996" s="462"/>
      <c r="VWC2996" s="299"/>
      <c r="VWD2996" s="81"/>
      <c r="VWE2996" s="160"/>
      <c r="VWF2996" s="555"/>
      <c r="VWG2996" s="125"/>
      <c r="VWH2996" s="470"/>
      <c r="VWI2996" s="449"/>
      <c r="VWJ2996" s="462"/>
      <c r="VWK2996" s="299"/>
      <c r="VWL2996" s="81"/>
      <c r="VWM2996" s="160"/>
      <c r="VWN2996" s="555"/>
      <c r="VWO2996" s="125"/>
      <c r="VWP2996" s="470"/>
      <c r="VWQ2996" s="449"/>
      <c r="VWR2996" s="462"/>
      <c r="VWS2996" s="299"/>
      <c r="VWT2996" s="81"/>
      <c r="VWU2996" s="160"/>
      <c r="VWV2996" s="555"/>
      <c r="VWW2996" s="125"/>
      <c r="VWX2996" s="470"/>
      <c r="VWY2996" s="449"/>
      <c r="VWZ2996" s="462"/>
      <c r="VXA2996" s="299"/>
      <c r="VXB2996" s="81"/>
      <c r="VXC2996" s="160"/>
      <c r="VXD2996" s="555"/>
      <c r="VXE2996" s="125"/>
      <c r="VXF2996" s="470"/>
      <c r="VXG2996" s="449"/>
      <c r="VXH2996" s="462"/>
      <c r="VXI2996" s="299"/>
      <c r="VXJ2996" s="81"/>
      <c r="VXK2996" s="160"/>
      <c r="VXL2996" s="555"/>
      <c r="VXM2996" s="125"/>
      <c r="VXN2996" s="470"/>
      <c r="VXO2996" s="449"/>
      <c r="VXP2996" s="462"/>
      <c r="VXQ2996" s="299"/>
      <c r="VXR2996" s="81"/>
      <c r="VXS2996" s="160"/>
      <c r="VXT2996" s="555"/>
      <c r="VXU2996" s="125"/>
      <c r="VXV2996" s="470"/>
      <c r="VXW2996" s="449"/>
      <c r="VXX2996" s="462"/>
      <c r="VXY2996" s="299"/>
      <c r="VXZ2996" s="81"/>
      <c r="VYA2996" s="160"/>
      <c r="VYB2996" s="555"/>
      <c r="VYC2996" s="125"/>
      <c r="VYD2996" s="470"/>
      <c r="VYE2996" s="449"/>
      <c r="VYF2996" s="462"/>
      <c r="VYG2996" s="299"/>
      <c r="VYH2996" s="81"/>
      <c r="VYI2996" s="160"/>
      <c r="VYJ2996" s="555"/>
      <c r="VYK2996" s="125"/>
      <c r="VYL2996" s="470"/>
      <c r="VYM2996" s="449"/>
      <c r="VYN2996" s="462"/>
      <c r="VYO2996" s="299"/>
      <c r="VYP2996" s="81"/>
      <c r="VYQ2996" s="160"/>
      <c r="VYR2996" s="555"/>
      <c r="VYS2996" s="125"/>
      <c r="VYT2996" s="470"/>
      <c r="VYU2996" s="449"/>
      <c r="VYV2996" s="462"/>
      <c r="VYW2996" s="299"/>
      <c r="VYX2996" s="81"/>
      <c r="VYY2996" s="160"/>
      <c r="VYZ2996" s="555"/>
      <c r="VZA2996" s="125"/>
      <c r="VZB2996" s="470"/>
      <c r="VZC2996" s="449"/>
      <c r="VZD2996" s="462"/>
      <c r="VZE2996" s="299"/>
      <c r="VZF2996" s="81"/>
      <c r="VZG2996" s="160"/>
      <c r="VZH2996" s="555"/>
      <c r="VZI2996" s="125"/>
      <c r="VZJ2996" s="470"/>
      <c r="VZK2996" s="449"/>
      <c r="VZL2996" s="462"/>
      <c r="VZM2996" s="299"/>
      <c r="VZN2996" s="81"/>
      <c r="VZO2996" s="160"/>
      <c r="VZP2996" s="555"/>
      <c r="VZQ2996" s="125"/>
      <c r="VZR2996" s="470"/>
      <c r="VZS2996" s="449"/>
      <c r="VZT2996" s="462"/>
      <c r="VZU2996" s="299"/>
      <c r="VZV2996" s="81"/>
      <c r="VZW2996" s="160"/>
      <c r="VZX2996" s="555"/>
      <c r="VZY2996" s="125"/>
      <c r="VZZ2996" s="470"/>
      <c r="WAA2996" s="449"/>
      <c r="WAB2996" s="462"/>
      <c r="WAC2996" s="299"/>
      <c r="WAD2996" s="81"/>
      <c r="WAE2996" s="160"/>
      <c r="WAF2996" s="555"/>
      <c r="WAG2996" s="125"/>
      <c r="WAH2996" s="470"/>
      <c r="WAI2996" s="449"/>
      <c r="WAJ2996" s="462"/>
      <c r="WAK2996" s="299"/>
      <c r="WAL2996" s="81"/>
      <c r="WAM2996" s="160"/>
      <c r="WAN2996" s="555"/>
      <c r="WAO2996" s="125"/>
      <c r="WAP2996" s="470"/>
      <c r="WAQ2996" s="449"/>
      <c r="WAR2996" s="462"/>
      <c r="WAS2996" s="299"/>
      <c r="WAT2996" s="81"/>
      <c r="WAU2996" s="160"/>
      <c r="WAV2996" s="555"/>
      <c r="WAW2996" s="125"/>
      <c r="WAX2996" s="470"/>
      <c r="WAY2996" s="449"/>
      <c r="WAZ2996" s="462"/>
      <c r="WBA2996" s="299"/>
      <c r="WBB2996" s="81"/>
      <c r="WBC2996" s="160"/>
      <c r="WBD2996" s="555"/>
      <c r="WBE2996" s="125"/>
      <c r="WBF2996" s="470"/>
      <c r="WBG2996" s="449"/>
      <c r="WBH2996" s="462"/>
      <c r="WBI2996" s="299"/>
      <c r="WBJ2996" s="81"/>
      <c r="WBK2996" s="160"/>
      <c r="WBL2996" s="555"/>
      <c r="WBM2996" s="125"/>
      <c r="WBN2996" s="470"/>
      <c r="WBO2996" s="449"/>
      <c r="WBP2996" s="462"/>
      <c r="WBQ2996" s="299"/>
      <c r="WBR2996" s="81"/>
      <c r="WBS2996" s="160"/>
      <c r="WBT2996" s="555"/>
      <c r="WBU2996" s="125"/>
      <c r="WBV2996" s="470"/>
      <c r="WBW2996" s="449"/>
      <c r="WBX2996" s="462"/>
      <c r="WBY2996" s="299"/>
      <c r="WBZ2996" s="81"/>
      <c r="WCA2996" s="160"/>
      <c r="WCB2996" s="555"/>
      <c r="WCC2996" s="125"/>
      <c r="WCD2996" s="470"/>
      <c r="WCE2996" s="449"/>
      <c r="WCF2996" s="462"/>
      <c r="WCG2996" s="299"/>
      <c r="WCH2996" s="81"/>
      <c r="WCI2996" s="160"/>
      <c r="WCJ2996" s="555"/>
      <c r="WCK2996" s="125"/>
      <c r="WCL2996" s="470"/>
      <c r="WCM2996" s="449"/>
      <c r="WCN2996" s="462"/>
      <c r="WCO2996" s="299"/>
      <c r="WCP2996" s="81"/>
      <c r="WCQ2996" s="160"/>
      <c r="WCR2996" s="555"/>
      <c r="WCS2996" s="125"/>
      <c r="WCT2996" s="470"/>
      <c r="WCU2996" s="449"/>
      <c r="WCV2996" s="462"/>
      <c r="WCW2996" s="299"/>
      <c r="WCX2996" s="81"/>
      <c r="WCY2996" s="160"/>
      <c r="WCZ2996" s="555"/>
      <c r="WDA2996" s="125"/>
      <c r="WDB2996" s="470"/>
      <c r="WDC2996" s="449"/>
      <c r="WDD2996" s="462"/>
      <c r="WDE2996" s="299"/>
      <c r="WDF2996" s="81"/>
      <c r="WDG2996" s="160"/>
      <c r="WDH2996" s="555"/>
      <c r="WDI2996" s="125"/>
      <c r="WDJ2996" s="470"/>
      <c r="WDK2996" s="449"/>
      <c r="WDL2996" s="462"/>
      <c r="WDM2996" s="299"/>
      <c r="WDN2996" s="81"/>
      <c r="WDO2996" s="160"/>
      <c r="WDP2996" s="555"/>
      <c r="WDQ2996" s="125"/>
      <c r="WDR2996" s="470"/>
      <c r="WDS2996" s="449"/>
      <c r="WDT2996" s="462"/>
      <c r="WDU2996" s="299"/>
      <c r="WDV2996" s="81"/>
      <c r="WDW2996" s="160"/>
      <c r="WDX2996" s="555"/>
      <c r="WDY2996" s="125"/>
      <c r="WDZ2996" s="470"/>
      <c r="WEA2996" s="449"/>
      <c r="WEB2996" s="462"/>
      <c r="WEC2996" s="299"/>
      <c r="WED2996" s="81"/>
      <c r="WEE2996" s="160"/>
      <c r="WEF2996" s="555"/>
      <c r="WEG2996" s="125"/>
      <c r="WEH2996" s="470"/>
      <c r="WEI2996" s="449"/>
      <c r="WEJ2996" s="462"/>
      <c r="WEK2996" s="299"/>
      <c r="WEL2996" s="81"/>
      <c r="WEM2996" s="160"/>
      <c r="WEN2996" s="555"/>
      <c r="WEO2996" s="125"/>
      <c r="WEP2996" s="470"/>
      <c r="WEQ2996" s="449"/>
      <c r="WER2996" s="462"/>
      <c r="WES2996" s="299"/>
      <c r="WET2996" s="81"/>
      <c r="WEU2996" s="160"/>
      <c r="WEV2996" s="555"/>
      <c r="WEW2996" s="125"/>
      <c r="WEX2996" s="470"/>
      <c r="WEY2996" s="449"/>
      <c r="WEZ2996" s="462"/>
      <c r="WFA2996" s="299"/>
      <c r="WFB2996" s="81"/>
      <c r="WFC2996" s="160"/>
      <c r="WFD2996" s="555"/>
      <c r="WFE2996" s="125"/>
      <c r="WFF2996" s="470"/>
      <c r="WFG2996" s="449"/>
      <c r="WFH2996" s="462"/>
      <c r="WFI2996" s="299"/>
      <c r="WFJ2996" s="81"/>
      <c r="WFK2996" s="160"/>
      <c r="WFL2996" s="555"/>
      <c r="WFM2996" s="125"/>
      <c r="WFN2996" s="470"/>
      <c r="WFO2996" s="449"/>
      <c r="WFP2996" s="462"/>
      <c r="WFQ2996" s="299"/>
      <c r="WFR2996" s="81"/>
      <c r="WFS2996" s="160"/>
      <c r="WFT2996" s="555"/>
      <c r="WFU2996" s="125"/>
      <c r="WFV2996" s="470"/>
      <c r="WFW2996" s="449"/>
      <c r="WFX2996" s="462"/>
      <c r="WFY2996" s="299"/>
      <c r="WFZ2996" s="81"/>
      <c r="WGA2996" s="160"/>
      <c r="WGB2996" s="555"/>
      <c r="WGC2996" s="125"/>
      <c r="WGD2996" s="470"/>
      <c r="WGE2996" s="449"/>
      <c r="WGF2996" s="462"/>
      <c r="WGG2996" s="299"/>
      <c r="WGH2996" s="81"/>
      <c r="WGI2996" s="160"/>
      <c r="WGJ2996" s="555"/>
      <c r="WGK2996" s="125"/>
      <c r="WGL2996" s="470"/>
      <c r="WGM2996" s="449"/>
      <c r="WGN2996" s="462"/>
      <c r="WGO2996" s="299"/>
      <c r="WGP2996" s="81"/>
      <c r="WGQ2996" s="160"/>
      <c r="WGR2996" s="555"/>
      <c r="WGS2996" s="125"/>
      <c r="WGT2996" s="470"/>
      <c r="WGU2996" s="449"/>
      <c r="WGV2996" s="462"/>
      <c r="WGW2996" s="299"/>
      <c r="WGX2996" s="81"/>
      <c r="WGY2996" s="160"/>
      <c r="WGZ2996" s="555"/>
      <c r="WHA2996" s="125"/>
      <c r="WHB2996" s="470"/>
      <c r="WHC2996" s="449"/>
      <c r="WHD2996" s="462"/>
      <c r="WHE2996" s="299"/>
      <c r="WHF2996" s="81"/>
      <c r="WHG2996" s="160"/>
      <c r="WHH2996" s="555"/>
      <c r="WHI2996" s="125"/>
      <c r="WHJ2996" s="470"/>
      <c r="WHK2996" s="449"/>
      <c r="WHL2996" s="462"/>
      <c r="WHM2996" s="299"/>
      <c r="WHN2996" s="81"/>
      <c r="WHO2996" s="160"/>
      <c r="WHP2996" s="555"/>
      <c r="WHQ2996" s="125"/>
      <c r="WHR2996" s="470"/>
      <c r="WHS2996" s="449"/>
      <c r="WHT2996" s="462"/>
      <c r="WHU2996" s="299"/>
      <c r="WHV2996" s="81"/>
      <c r="WHW2996" s="160"/>
      <c r="WHX2996" s="555"/>
      <c r="WHY2996" s="125"/>
      <c r="WHZ2996" s="470"/>
      <c r="WIA2996" s="449"/>
      <c r="WIB2996" s="462"/>
      <c r="WIC2996" s="299"/>
      <c r="WID2996" s="81"/>
      <c r="WIE2996" s="160"/>
      <c r="WIF2996" s="555"/>
      <c r="WIG2996" s="125"/>
      <c r="WIH2996" s="470"/>
      <c r="WII2996" s="449"/>
      <c r="WIJ2996" s="462"/>
      <c r="WIK2996" s="299"/>
      <c r="WIL2996" s="81"/>
      <c r="WIM2996" s="160"/>
      <c r="WIN2996" s="555"/>
      <c r="WIO2996" s="125"/>
      <c r="WIP2996" s="470"/>
      <c r="WIQ2996" s="449"/>
      <c r="WIR2996" s="462"/>
      <c r="WIS2996" s="299"/>
      <c r="WIT2996" s="81"/>
      <c r="WIU2996" s="160"/>
      <c r="WIV2996" s="555"/>
      <c r="WIW2996" s="125"/>
      <c r="WIX2996" s="470"/>
      <c r="WIY2996" s="449"/>
      <c r="WIZ2996" s="462"/>
      <c r="WJA2996" s="299"/>
      <c r="WJB2996" s="81"/>
      <c r="WJC2996" s="160"/>
      <c r="WJD2996" s="555"/>
      <c r="WJE2996" s="125"/>
      <c r="WJF2996" s="470"/>
      <c r="WJG2996" s="449"/>
      <c r="WJH2996" s="462"/>
      <c r="WJI2996" s="299"/>
      <c r="WJJ2996" s="81"/>
      <c r="WJK2996" s="160"/>
      <c r="WJL2996" s="555"/>
      <c r="WJM2996" s="125"/>
      <c r="WJN2996" s="470"/>
      <c r="WJO2996" s="449"/>
      <c r="WJP2996" s="462"/>
      <c r="WJQ2996" s="299"/>
      <c r="WJR2996" s="81"/>
      <c r="WJS2996" s="160"/>
      <c r="WJT2996" s="555"/>
      <c r="WJU2996" s="125"/>
      <c r="WJV2996" s="470"/>
      <c r="WJW2996" s="449"/>
      <c r="WJX2996" s="462"/>
      <c r="WJY2996" s="299"/>
      <c r="WJZ2996" s="81"/>
      <c r="WKA2996" s="160"/>
      <c r="WKB2996" s="555"/>
      <c r="WKC2996" s="125"/>
      <c r="WKD2996" s="470"/>
      <c r="WKE2996" s="449"/>
      <c r="WKF2996" s="462"/>
      <c r="WKG2996" s="299"/>
      <c r="WKH2996" s="81"/>
      <c r="WKI2996" s="160"/>
      <c r="WKJ2996" s="555"/>
      <c r="WKK2996" s="125"/>
      <c r="WKL2996" s="470"/>
      <c r="WKM2996" s="449"/>
      <c r="WKN2996" s="462"/>
      <c r="WKO2996" s="299"/>
      <c r="WKP2996" s="81"/>
      <c r="WKQ2996" s="160"/>
      <c r="WKR2996" s="555"/>
      <c r="WKS2996" s="125"/>
      <c r="WKT2996" s="470"/>
      <c r="WKU2996" s="449"/>
      <c r="WKV2996" s="462"/>
      <c r="WKW2996" s="299"/>
      <c r="WKX2996" s="81"/>
      <c r="WKY2996" s="160"/>
      <c r="WKZ2996" s="555"/>
      <c r="WLA2996" s="125"/>
      <c r="WLB2996" s="470"/>
      <c r="WLC2996" s="449"/>
      <c r="WLD2996" s="462"/>
      <c r="WLE2996" s="299"/>
      <c r="WLF2996" s="81"/>
      <c r="WLG2996" s="160"/>
      <c r="WLH2996" s="555"/>
      <c r="WLI2996" s="125"/>
      <c r="WLJ2996" s="470"/>
      <c r="WLK2996" s="449"/>
      <c r="WLL2996" s="462"/>
      <c r="WLM2996" s="299"/>
      <c r="WLN2996" s="81"/>
      <c r="WLO2996" s="160"/>
      <c r="WLP2996" s="555"/>
      <c r="WLQ2996" s="125"/>
      <c r="WLR2996" s="470"/>
      <c r="WLS2996" s="449"/>
      <c r="WLT2996" s="462"/>
      <c r="WLU2996" s="299"/>
      <c r="WLV2996" s="81"/>
      <c r="WLW2996" s="160"/>
      <c r="WLX2996" s="555"/>
      <c r="WLY2996" s="125"/>
      <c r="WLZ2996" s="470"/>
      <c r="WMA2996" s="449"/>
      <c r="WMB2996" s="462"/>
      <c r="WMC2996" s="299"/>
      <c r="WMD2996" s="81"/>
      <c r="WME2996" s="160"/>
      <c r="WMF2996" s="555"/>
      <c r="WMG2996" s="125"/>
      <c r="WMH2996" s="470"/>
      <c r="WMI2996" s="449"/>
      <c r="WMJ2996" s="462"/>
      <c r="WMK2996" s="299"/>
      <c r="WML2996" s="81"/>
      <c r="WMM2996" s="160"/>
      <c r="WMN2996" s="555"/>
      <c r="WMO2996" s="125"/>
      <c r="WMP2996" s="470"/>
      <c r="WMQ2996" s="449"/>
      <c r="WMR2996" s="462"/>
      <c r="WMS2996" s="299"/>
      <c r="WMT2996" s="81"/>
      <c r="WMU2996" s="160"/>
      <c r="WMV2996" s="555"/>
      <c r="WMW2996" s="125"/>
      <c r="WMX2996" s="470"/>
      <c r="WMY2996" s="449"/>
      <c r="WMZ2996" s="462"/>
      <c r="WNA2996" s="299"/>
      <c r="WNB2996" s="81"/>
      <c r="WNC2996" s="160"/>
      <c r="WND2996" s="555"/>
      <c r="WNE2996" s="125"/>
      <c r="WNF2996" s="470"/>
      <c r="WNG2996" s="449"/>
      <c r="WNH2996" s="462"/>
      <c r="WNI2996" s="299"/>
      <c r="WNJ2996" s="81"/>
      <c r="WNK2996" s="160"/>
      <c r="WNL2996" s="555"/>
      <c r="WNM2996" s="125"/>
      <c r="WNN2996" s="470"/>
      <c r="WNO2996" s="449"/>
      <c r="WNP2996" s="462"/>
      <c r="WNQ2996" s="299"/>
      <c r="WNR2996" s="81"/>
      <c r="WNS2996" s="160"/>
      <c r="WNT2996" s="555"/>
      <c r="WNU2996" s="125"/>
      <c r="WNV2996" s="470"/>
      <c r="WNW2996" s="449"/>
      <c r="WNX2996" s="462"/>
      <c r="WNY2996" s="299"/>
      <c r="WNZ2996" s="81"/>
      <c r="WOA2996" s="160"/>
      <c r="WOB2996" s="555"/>
      <c r="WOC2996" s="125"/>
      <c r="WOD2996" s="470"/>
      <c r="WOE2996" s="449"/>
      <c r="WOF2996" s="462"/>
      <c r="WOG2996" s="299"/>
      <c r="WOH2996" s="81"/>
      <c r="WOI2996" s="160"/>
      <c r="WOJ2996" s="555"/>
      <c r="WOK2996" s="125"/>
      <c r="WOL2996" s="470"/>
      <c r="WOM2996" s="449"/>
      <c r="WON2996" s="462"/>
      <c r="WOO2996" s="299"/>
      <c r="WOP2996" s="81"/>
      <c r="WOQ2996" s="160"/>
      <c r="WOR2996" s="555"/>
      <c r="WOS2996" s="125"/>
      <c r="WOT2996" s="470"/>
      <c r="WOU2996" s="449"/>
      <c r="WOV2996" s="462"/>
      <c r="WOW2996" s="299"/>
      <c r="WOX2996" s="81"/>
      <c r="WOY2996" s="160"/>
      <c r="WOZ2996" s="555"/>
      <c r="WPA2996" s="125"/>
      <c r="WPB2996" s="470"/>
      <c r="WPC2996" s="449"/>
      <c r="WPD2996" s="462"/>
      <c r="WPE2996" s="299"/>
      <c r="WPF2996" s="81"/>
      <c r="WPG2996" s="160"/>
      <c r="WPH2996" s="555"/>
      <c r="WPI2996" s="125"/>
      <c r="WPJ2996" s="470"/>
      <c r="WPK2996" s="449"/>
      <c r="WPL2996" s="462"/>
      <c r="WPM2996" s="299"/>
      <c r="WPN2996" s="81"/>
      <c r="WPO2996" s="160"/>
      <c r="WPP2996" s="555"/>
      <c r="WPQ2996" s="125"/>
      <c r="WPR2996" s="470"/>
      <c r="WPS2996" s="449"/>
      <c r="WPT2996" s="462"/>
      <c r="WPU2996" s="299"/>
      <c r="WPV2996" s="81"/>
      <c r="WPW2996" s="160"/>
      <c r="WPX2996" s="555"/>
      <c r="WPY2996" s="125"/>
      <c r="WPZ2996" s="470"/>
      <c r="WQA2996" s="449"/>
      <c r="WQB2996" s="462"/>
      <c r="WQC2996" s="299"/>
      <c r="WQD2996" s="81"/>
      <c r="WQE2996" s="160"/>
      <c r="WQF2996" s="555"/>
      <c r="WQG2996" s="125"/>
      <c r="WQH2996" s="470"/>
      <c r="WQI2996" s="449"/>
      <c r="WQJ2996" s="462"/>
      <c r="WQK2996" s="299"/>
      <c r="WQL2996" s="81"/>
      <c r="WQM2996" s="160"/>
      <c r="WQN2996" s="555"/>
      <c r="WQO2996" s="125"/>
      <c r="WQP2996" s="470"/>
      <c r="WQQ2996" s="449"/>
      <c r="WQR2996" s="462"/>
      <c r="WQS2996" s="299"/>
      <c r="WQT2996" s="81"/>
      <c r="WQU2996" s="160"/>
      <c r="WQV2996" s="555"/>
      <c r="WQW2996" s="125"/>
      <c r="WQX2996" s="470"/>
      <c r="WQY2996" s="449"/>
      <c r="WQZ2996" s="462"/>
      <c r="WRA2996" s="299"/>
      <c r="WRB2996" s="81"/>
      <c r="WRC2996" s="160"/>
      <c r="WRD2996" s="555"/>
      <c r="WRE2996" s="125"/>
      <c r="WRF2996" s="470"/>
      <c r="WRG2996" s="449"/>
      <c r="WRH2996" s="462"/>
      <c r="WRI2996" s="299"/>
      <c r="WRJ2996" s="81"/>
      <c r="WRK2996" s="160"/>
      <c r="WRL2996" s="555"/>
      <c r="WRM2996" s="125"/>
      <c r="WRN2996" s="470"/>
      <c r="WRO2996" s="449"/>
      <c r="WRP2996" s="462"/>
      <c r="WRQ2996" s="299"/>
      <c r="WRR2996" s="81"/>
      <c r="WRS2996" s="160"/>
      <c r="WRT2996" s="555"/>
      <c r="WRU2996" s="125"/>
      <c r="WRV2996" s="470"/>
      <c r="WRW2996" s="449"/>
      <c r="WRX2996" s="462"/>
      <c r="WRY2996" s="299"/>
      <c r="WRZ2996" s="81"/>
      <c r="WSA2996" s="160"/>
      <c r="WSB2996" s="555"/>
      <c r="WSC2996" s="125"/>
      <c r="WSD2996" s="470"/>
      <c r="WSE2996" s="449"/>
      <c r="WSF2996" s="462"/>
      <c r="WSG2996" s="299"/>
      <c r="WSH2996" s="81"/>
      <c r="WSI2996" s="160"/>
      <c r="WSJ2996" s="555"/>
      <c r="WSK2996" s="125"/>
      <c r="WSL2996" s="470"/>
      <c r="WSM2996" s="449"/>
      <c r="WSN2996" s="462"/>
      <c r="WSO2996" s="299"/>
      <c r="WSP2996" s="81"/>
      <c r="WSQ2996" s="160"/>
      <c r="WSR2996" s="555"/>
      <c r="WSS2996" s="125"/>
      <c r="WST2996" s="470"/>
      <c r="WSU2996" s="449"/>
      <c r="WSV2996" s="462"/>
      <c r="WSW2996" s="299"/>
      <c r="WSX2996" s="81"/>
      <c r="WSY2996" s="160"/>
      <c r="WSZ2996" s="555"/>
      <c r="WTA2996" s="125"/>
      <c r="WTB2996" s="470"/>
      <c r="WTC2996" s="449"/>
      <c r="WTD2996" s="462"/>
      <c r="WTE2996" s="299"/>
      <c r="WTF2996" s="81"/>
      <c r="WTG2996" s="160"/>
      <c r="WTH2996" s="555"/>
      <c r="WTI2996" s="125"/>
      <c r="WTJ2996" s="470"/>
      <c r="WTK2996" s="449"/>
      <c r="WTL2996" s="462"/>
      <c r="WTM2996" s="299"/>
      <c r="WTN2996" s="81"/>
      <c r="WTO2996" s="160"/>
      <c r="WTP2996" s="555"/>
      <c r="WTQ2996" s="125"/>
      <c r="WTR2996" s="470"/>
      <c r="WTS2996" s="449"/>
      <c r="WTT2996" s="462"/>
      <c r="WTU2996" s="299"/>
      <c r="WTV2996" s="81"/>
      <c r="WTW2996" s="160"/>
      <c r="WTX2996" s="555"/>
      <c r="WTY2996" s="125"/>
      <c r="WTZ2996" s="470"/>
      <c r="WUA2996" s="449"/>
      <c r="WUB2996" s="462"/>
      <c r="WUC2996" s="299"/>
      <c r="WUD2996" s="81"/>
      <c r="WUE2996" s="160"/>
      <c r="WUF2996" s="555"/>
      <c r="WUG2996" s="125"/>
      <c r="WUH2996" s="470"/>
      <c r="WUI2996" s="449"/>
      <c r="WUJ2996" s="462"/>
      <c r="WUK2996" s="299"/>
      <c r="WUL2996" s="81"/>
      <c r="WUM2996" s="160"/>
      <c r="WUN2996" s="555"/>
      <c r="WUO2996" s="125"/>
      <c r="WUP2996" s="470"/>
      <c r="WUQ2996" s="449"/>
      <c r="WUR2996" s="462"/>
      <c r="WUS2996" s="299"/>
      <c r="WUT2996" s="81"/>
      <c r="WUU2996" s="160"/>
      <c r="WUV2996" s="555"/>
      <c r="WUW2996" s="125"/>
      <c r="WUX2996" s="470"/>
      <c r="WUY2996" s="449"/>
      <c r="WUZ2996" s="462"/>
      <c r="WVA2996" s="299"/>
      <c r="WVB2996" s="81"/>
      <c r="WVC2996" s="160"/>
      <c r="WVD2996" s="555"/>
      <c r="WVE2996" s="125"/>
      <c r="WVF2996" s="470"/>
      <c r="WVG2996" s="449"/>
      <c r="WVH2996" s="462"/>
      <c r="WVI2996" s="299"/>
      <c r="WVJ2996" s="81"/>
      <c r="WVK2996" s="160"/>
      <c r="WVL2996" s="555"/>
      <c r="WVM2996" s="125"/>
      <c r="WVN2996" s="470"/>
      <c r="WVO2996" s="449"/>
      <c r="WVP2996" s="462"/>
      <c r="WVQ2996" s="299"/>
      <c r="WVR2996" s="81"/>
      <c r="WVS2996" s="160"/>
      <c r="WVT2996" s="555"/>
      <c r="WVU2996" s="125"/>
      <c r="WVV2996" s="470"/>
      <c r="WVW2996" s="449"/>
      <c r="WVX2996" s="462"/>
      <c r="WVY2996" s="299"/>
      <c r="WVZ2996" s="81"/>
      <c r="WWA2996" s="160"/>
      <c r="WWB2996" s="555"/>
      <c r="WWC2996" s="125"/>
      <c r="WWD2996" s="470"/>
      <c r="WWE2996" s="449"/>
      <c r="WWF2996" s="462"/>
      <c r="WWG2996" s="299"/>
      <c r="WWH2996" s="81"/>
      <c r="WWI2996" s="160"/>
      <c r="WWJ2996" s="555"/>
      <c r="WWK2996" s="125"/>
      <c r="WWL2996" s="470"/>
      <c r="WWM2996" s="449"/>
      <c r="WWN2996" s="462"/>
      <c r="WWO2996" s="299"/>
      <c r="WWP2996" s="81"/>
      <c r="WWQ2996" s="160"/>
      <c r="WWR2996" s="555"/>
      <c r="WWS2996" s="125"/>
      <c r="WWT2996" s="470"/>
      <c r="WWU2996" s="449"/>
      <c r="WWV2996" s="462"/>
      <c r="WWW2996" s="299"/>
      <c r="WWX2996" s="81"/>
      <c r="WWY2996" s="160"/>
      <c r="WWZ2996" s="555"/>
      <c r="WXA2996" s="125"/>
      <c r="WXB2996" s="470"/>
      <c r="WXC2996" s="449"/>
      <c r="WXD2996" s="462"/>
      <c r="WXE2996" s="299"/>
      <c r="WXF2996" s="81"/>
      <c r="WXG2996" s="160"/>
      <c r="WXH2996" s="555"/>
      <c r="WXI2996" s="125"/>
      <c r="WXJ2996" s="470"/>
      <c r="WXK2996" s="449"/>
      <c r="WXL2996" s="462"/>
      <c r="WXM2996" s="299"/>
      <c r="WXN2996" s="81"/>
      <c r="WXO2996" s="160"/>
      <c r="WXP2996" s="555"/>
      <c r="WXQ2996" s="125"/>
      <c r="WXR2996" s="470"/>
      <c r="WXS2996" s="449"/>
      <c r="WXT2996" s="462"/>
      <c r="WXU2996" s="299"/>
      <c r="WXV2996" s="81"/>
      <c r="WXW2996" s="160"/>
      <c r="WXX2996" s="555"/>
      <c r="WXY2996" s="125"/>
      <c r="WXZ2996" s="470"/>
      <c r="WYA2996" s="449"/>
      <c r="WYB2996" s="462"/>
      <c r="WYC2996" s="299"/>
      <c r="WYD2996" s="81"/>
      <c r="WYE2996" s="160"/>
      <c r="WYF2996" s="555"/>
      <c r="WYG2996" s="125"/>
      <c r="WYH2996" s="470"/>
      <c r="WYI2996" s="449"/>
      <c r="WYJ2996" s="462"/>
      <c r="WYK2996" s="299"/>
      <c r="WYL2996" s="81"/>
      <c r="WYM2996" s="160"/>
      <c r="WYN2996" s="555"/>
      <c r="WYO2996" s="125"/>
      <c r="WYP2996" s="470"/>
      <c r="WYQ2996" s="449"/>
      <c r="WYR2996" s="462"/>
      <c r="WYS2996" s="299"/>
      <c r="WYT2996" s="81"/>
      <c r="WYU2996" s="160"/>
      <c r="WYV2996" s="555"/>
      <c r="WYW2996" s="125"/>
      <c r="WYX2996" s="470"/>
      <c r="WYY2996" s="449"/>
      <c r="WYZ2996" s="462"/>
      <c r="WZA2996" s="299"/>
      <c r="WZB2996" s="81"/>
      <c r="WZC2996" s="160"/>
      <c r="WZD2996" s="555"/>
      <c r="WZE2996" s="125"/>
      <c r="WZF2996" s="470"/>
      <c r="WZG2996" s="449"/>
      <c r="WZH2996" s="462"/>
      <c r="WZI2996" s="299"/>
      <c r="WZJ2996" s="81"/>
      <c r="WZK2996" s="160"/>
      <c r="WZL2996" s="555"/>
      <c r="WZM2996" s="125"/>
      <c r="WZN2996" s="470"/>
      <c r="WZO2996" s="449"/>
      <c r="WZP2996" s="462"/>
      <c r="WZQ2996" s="299"/>
      <c r="WZR2996" s="81"/>
      <c r="WZS2996" s="160"/>
      <c r="WZT2996" s="555"/>
      <c r="WZU2996" s="125"/>
      <c r="WZV2996" s="470"/>
      <c r="WZW2996" s="449"/>
      <c r="WZX2996" s="462"/>
      <c r="WZY2996" s="299"/>
      <c r="WZZ2996" s="81"/>
      <c r="XAA2996" s="160"/>
      <c r="XAB2996" s="555"/>
      <c r="XAC2996" s="125"/>
      <c r="XAD2996" s="470"/>
      <c r="XAE2996" s="449"/>
      <c r="XAF2996" s="462"/>
      <c r="XAG2996" s="299"/>
      <c r="XAH2996" s="81"/>
      <c r="XAI2996" s="160"/>
      <c r="XAJ2996" s="555"/>
      <c r="XAK2996" s="125"/>
      <c r="XAL2996" s="470"/>
      <c r="XAM2996" s="449"/>
      <c r="XAN2996" s="462"/>
      <c r="XAO2996" s="299"/>
      <c r="XAP2996" s="81"/>
      <c r="XAQ2996" s="160"/>
      <c r="XAR2996" s="555"/>
      <c r="XAS2996" s="125"/>
      <c r="XAT2996" s="470"/>
      <c r="XAU2996" s="449"/>
      <c r="XAV2996" s="462"/>
      <c r="XAW2996" s="299"/>
      <c r="XAX2996" s="81"/>
      <c r="XAY2996" s="160"/>
      <c r="XAZ2996" s="555"/>
      <c r="XBA2996" s="125"/>
      <c r="XBB2996" s="470"/>
      <c r="XBC2996" s="449"/>
      <c r="XBD2996" s="462"/>
      <c r="XBE2996" s="299"/>
      <c r="XBF2996" s="81"/>
      <c r="XBG2996" s="160"/>
      <c r="XBH2996" s="555"/>
      <c r="XBI2996" s="125"/>
      <c r="XBJ2996" s="470"/>
      <c r="XBK2996" s="449"/>
      <c r="XBL2996" s="462"/>
      <c r="XBM2996" s="299"/>
      <c r="XBN2996" s="81"/>
      <c r="XBO2996" s="160"/>
      <c r="XBP2996" s="555"/>
      <c r="XBQ2996" s="125"/>
      <c r="XBR2996" s="470"/>
      <c r="XBS2996" s="449"/>
      <c r="XBT2996" s="462"/>
      <c r="XBU2996" s="299"/>
      <c r="XBV2996" s="81"/>
      <c r="XBW2996" s="160"/>
      <c r="XBX2996" s="555"/>
      <c r="XBY2996" s="125"/>
      <c r="XBZ2996" s="470"/>
      <c r="XCA2996" s="449"/>
      <c r="XCB2996" s="462"/>
      <c r="XCC2996" s="299"/>
      <c r="XCD2996" s="81"/>
      <c r="XCE2996" s="160"/>
      <c r="XCF2996" s="555"/>
      <c r="XCG2996" s="125"/>
      <c r="XCH2996" s="470"/>
      <c r="XCI2996" s="449"/>
      <c r="XCJ2996" s="462"/>
      <c r="XCK2996" s="299"/>
      <c r="XCL2996" s="81"/>
      <c r="XCM2996" s="160"/>
      <c r="XCN2996" s="555"/>
      <c r="XCO2996" s="125"/>
      <c r="XCP2996" s="470"/>
      <c r="XCQ2996" s="449"/>
      <c r="XCR2996" s="462"/>
      <c r="XCS2996" s="299"/>
      <c r="XCT2996" s="81"/>
      <c r="XCU2996" s="160"/>
      <c r="XCV2996" s="555"/>
      <c r="XCW2996" s="125"/>
      <c r="XCX2996" s="470"/>
      <c r="XCY2996" s="449"/>
      <c r="XCZ2996" s="462"/>
      <c r="XDA2996" s="299"/>
      <c r="XDB2996" s="81"/>
      <c r="XDC2996" s="160"/>
      <c r="XDD2996" s="555"/>
      <c r="XDE2996" s="125"/>
      <c r="XDF2996" s="470"/>
      <c r="XDG2996" s="449"/>
      <c r="XDH2996" s="462"/>
      <c r="XDI2996" s="299"/>
      <c r="XDJ2996" s="81"/>
      <c r="XDK2996" s="160"/>
      <c r="XDL2996" s="555"/>
      <c r="XDM2996" s="125"/>
      <c r="XDN2996" s="470"/>
      <c r="XDO2996" s="449"/>
      <c r="XDP2996" s="462"/>
      <c r="XDQ2996" s="299"/>
      <c r="XDR2996" s="81"/>
      <c r="XDS2996" s="160"/>
      <c r="XDT2996" s="555"/>
      <c r="XDU2996" s="125"/>
      <c r="XDV2996" s="470"/>
      <c r="XDW2996" s="449"/>
      <c r="XDX2996" s="462"/>
      <c r="XDY2996" s="299"/>
      <c r="XDZ2996" s="81"/>
      <c r="XEA2996" s="160"/>
      <c r="XEB2996" s="555"/>
      <c r="XEC2996" s="125"/>
      <c r="XED2996" s="470"/>
      <c r="XEE2996" s="449"/>
      <c r="XEF2996" s="462"/>
      <c r="XEG2996" s="299"/>
      <c r="XEH2996" s="81"/>
      <c r="XEI2996" s="160"/>
      <c r="XEJ2996" s="555"/>
      <c r="XEK2996" s="125"/>
      <c r="XEL2996" s="470"/>
      <c r="XEM2996" s="449"/>
      <c r="XEN2996" s="462"/>
      <c r="XEO2996" s="299"/>
      <c r="XEP2996" s="81"/>
      <c r="XEQ2996" s="160"/>
      <c r="XER2996" s="555"/>
      <c r="XES2996" s="125"/>
      <c r="XET2996" s="470"/>
      <c r="XEU2996" s="449"/>
      <c r="XEV2996" s="462"/>
      <c r="XEW2996" s="299"/>
      <c r="XEX2996" s="81"/>
      <c r="XEY2996" s="160"/>
      <c r="XEZ2996" s="555"/>
      <c r="XFA2996" s="125"/>
      <c r="XFB2996" s="470"/>
      <c r="XFC2996" s="449"/>
      <c r="XFD2996" s="462"/>
    </row>
    <row r="2997" spans="1:16384" ht="15" customHeight="1">
      <c r="A2997" s="1253">
        <v>45112</v>
      </c>
      <c r="B2997" s="1209">
        <v>3720</v>
      </c>
      <c r="C2997" s="1210">
        <v>28050</v>
      </c>
      <c r="D2997" s="1230">
        <v>27100</v>
      </c>
      <c r="E2997" s="1212">
        <f t="shared" ref="E2997" si="1135">D2997-C2997</f>
        <v>-950</v>
      </c>
      <c r="F2997" s="1211">
        <f t="shared" ref="F2997" si="1136">C2997-C2996</f>
        <v>-100</v>
      </c>
      <c r="G2997" s="1215"/>
      <c r="H2997" s="1269"/>
      <c r="I2997" s="1291">
        <v>224250</v>
      </c>
      <c r="J2997" s="81"/>
      <c r="K2997" s="160"/>
      <c r="L2997" s="559"/>
      <c r="M2997" s="125"/>
      <c r="N2997" s="470"/>
      <c r="R2997" s="81"/>
      <c r="S2997" s="160"/>
      <c r="T2997" s="559"/>
      <c r="U2997" s="125"/>
      <c r="V2997" s="470"/>
      <c r="W2997" s="449"/>
      <c r="X2997" s="462"/>
      <c r="Y2997" s="299"/>
      <c r="Z2997" s="81"/>
      <c r="AA2997" s="160"/>
      <c r="AB2997" s="559"/>
      <c r="AC2997" s="125"/>
      <c r="AD2997" s="470"/>
      <c r="AE2997" s="449"/>
      <c r="AF2997" s="462"/>
      <c r="AG2997" s="299"/>
      <c r="AH2997" s="81"/>
      <c r="AI2997" s="160"/>
      <c r="AJ2997" s="559"/>
      <c r="AK2997" s="125"/>
      <c r="AL2997" s="470"/>
      <c r="AM2997" s="449"/>
      <c r="AN2997" s="462"/>
      <c r="AO2997" s="299"/>
      <c r="AP2997" s="81"/>
      <c r="AQ2997" s="160"/>
      <c r="AR2997" s="559"/>
      <c r="AS2997" s="125"/>
      <c r="AT2997" s="470"/>
      <c r="AU2997" s="449"/>
      <c r="AV2997" s="462"/>
      <c r="AW2997" s="299"/>
      <c r="AX2997" s="81"/>
      <c r="AY2997" s="160"/>
      <c r="AZ2997" s="559"/>
      <c r="BA2997" s="125"/>
      <c r="BB2997" s="470"/>
      <c r="BC2997" s="449"/>
      <c r="BD2997" s="462"/>
      <c r="BE2997" s="299"/>
      <c r="BF2997" s="81"/>
      <c r="BG2997" s="160"/>
      <c r="BH2997" s="559"/>
      <c r="BI2997" s="125"/>
      <c r="BJ2997" s="470"/>
      <c r="BK2997" s="449"/>
      <c r="BL2997" s="462"/>
      <c r="BM2997" s="299"/>
      <c r="BN2997" s="81"/>
      <c r="BO2997" s="160"/>
      <c r="BP2997" s="559"/>
      <c r="BQ2997" s="125"/>
      <c r="BR2997" s="470"/>
      <c r="BS2997" s="449"/>
      <c r="BT2997" s="462"/>
      <c r="BU2997" s="299"/>
      <c r="BV2997" s="81"/>
      <c r="BW2997" s="160"/>
      <c r="BX2997" s="559"/>
      <c r="BY2997" s="125"/>
      <c r="BZ2997" s="470"/>
      <c r="CA2997" s="449"/>
      <c r="CB2997" s="462"/>
      <c r="CC2997" s="299"/>
      <c r="CD2997" s="81"/>
      <c r="CE2997" s="160"/>
      <c r="CF2997" s="559"/>
      <c r="CG2997" s="125"/>
      <c r="CH2997" s="470"/>
      <c r="CI2997" s="449"/>
      <c r="CJ2997" s="462"/>
      <c r="CK2997" s="299"/>
      <c r="CL2997" s="81"/>
      <c r="CM2997" s="160"/>
      <c r="CN2997" s="559"/>
      <c r="CO2997" s="125"/>
      <c r="CP2997" s="470"/>
      <c r="CQ2997" s="449"/>
      <c r="CR2997" s="462"/>
      <c r="CS2997" s="299"/>
      <c r="CT2997" s="81"/>
      <c r="CU2997" s="160"/>
      <c r="CV2997" s="559"/>
      <c r="CW2997" s="125"/>
      <c r="CX2997" s="470"/>
      <c r="CY2997" s="449"/>
      <c r="CZ2997" s="462"/>
      <c r="DA2997" s="299"/>
      <c r="DB2997" s="81"/>
      <c r="DC2997" s="160"/>
      <c r="DD2997" s="559"/>
      <c r="DE2997" s="125"/>
      <c r="DF2997" s="470"/>
      <c r="DG2997" s="449"/>
      <c r="DH2997" s="462"/>
      <c r="DI2997" s="299"/>
      <c r="DJ2997" s="81"/>
      <c r="DK2997" s="160"/>
      <c r="DL2997" s="559"/>
      <c r="DM2997" s="125"/>
      <c r="DN2997" s="470"/>
      <c r="DO2997" s="449"/>
      <c r="DP2997" s="462"/>
      <c r="DQ2997" s="299"/>
      <c r="DR2997" s="81"/>
      <c r="DS2997" s="160"/>
      <c r="DT2997" s="559"/>
      <c r="DU2997" s="125"/>
      <c r="DV2997" s="470"/>
      <c r="DW2997" s="449"/>
      <c r="DX2997" s="462"/>
      <c r="DY2997" s="299"/>
      <c r="DZ2997" s="81"/>
      <c r="EA2997" s="160"/>
      <c r="EB2997" s="559"/>
      <c r="EC2997" s="125"/>
      <c r="ED2997" s="470"/>
      <c r="EE2997" s="449"/>
      <c r="EF2997" s="462"/>
      <c r="EG2997" s="299"/>
      <c r="EH2997" s="81"/>
      <c r="EI2997" s="160"/>
      <c r="EJ2997" s="559"/>
      <c r="EK2997" s="125"/>
      <c r="EL2997" s="470"/>
      <c r="EM2997" s="449"/>
      <c r="EN2997" s="462"/>
      <c r="EO2997" s="299"/>
      <c r="EP2997" s="81"/>
      <c r="EQ2997" s="160"/>
      <c r="ER2997" s="559"/>
      <c r="ES2997" s="125"/>
      <c r="ET2997" s="470"/>
      <c r="EU2997" s="449"/>
      <c r="EV2997" s="462"/>
      <c r="EW2997" s="299"/>
      <c r="EX2997" s="81"/>
      <c r="EY2997" s="160"/>
      <c r="EZ2997" s="559"/>
      <c r="FA2997" s="125"/>
      <c r="FB2997" s="470"/>
      <c r="FC2997" s="449"/>
      <c r="FD2997" s="462"/>
      <c r="FE2997" s="299"/>
      <c r="FF2997" s="81"/>
      <c r="FG2997" s="160"/>
      <c r="FH2997" s="559"/>
      <c r="FI2997" s="125"/>
      <c r="FJ2997" s="470"/>
      <c r="FK2997" s="449"/>
      <c r="FL2997" s="462"/>
      <c r="FM2997" s="299"/>
      <c r="FN2997" s="81"/>
      <c r="FO2997" s="160"/>
      <c r="FP2997" s="559"/>
      <c r="FQ2997" s="125"/>
      <c r="FR2997" s="470"/>
      <c r="FS2997" s="449"/>
      <c r="FT2997" s="462"/>
      <c r="FU2997" s="299"/>
      <c r="FV2997" s="81"/>
      <c r="FW2997" s="160"/>
      <c r="FX2997" s="559"/>
      <c r="FY2997" s="125"/>
      <c r="FZ2997" s="470"/>
      <c r="GA2997" s="449"/>
      <c r="GB2997" s="462"/>
      <c r="GC2997" s="299"/>
      <c r="GD2997" s="81"/>
      <c r="GE2997" s="160"/>
      <c r="GF2997" s="559"/>
      <c r="GG2997" s="125"/>
      <c r="GH2997" s="470"/>
      <c r="GI2997" s="449"/>
      <c r="GJ2997" s="462"/>
      <c r="GK2997" s="299"/>
      <c r="GL2997" s="81"/>
      <c r="GM2997" s="160"/>
      <c r="GN2997" s="559"/>
      <c r="GO2997" s="125"/>
      <c r="GP2997" s="470"/>
      <c r="GQ2997" s="449"/>
      <c r="GR2997" s="462"/>
      <c r="GS2997" s="299"/>
      <c r="GT2997" s="81"/>
      <c r="GU2997" s="160"/>
      <c r="GV2997" s="559"/>
      <c r="GW2997" s="125"/>
      <c r="GX2997" s="470"/>
      <c r="GY2997" s="449"/>
      <c r="GZ2997" s="462"/>
      <c r="HA2997" s="299"/>
      <c r="HB2997" s="81"/>
      <c r="HC2997" s="160"/>
      <c r="HD2997" s="559"/>
      <c r="HE2997" s="125"/>
      <c r="HF2997" s="470"/>
      <c r="HG2997" s="449"/>
      <c r="HH2997" s="462"/>
      <c r="HI2997" s="299"/>
      <c r="HJ2997" s="81"/>
      <c r="HK2997" s="160"/>
      <c r="HL2997" s="559"/>
      <c r="HM2997" s="125"/>
      <c r="HN2997" s="470"/>
      <c r="HO2997" s="449"/>
      <c r="HP2997" s="462"/>
      <c r="HQ2997" s="299"/>
      <c r="HR2997" s="81"/>
      <c r="HS2997" s="160"/>
      <c r="HT2997" s="559"/>
      <c r="HU2997" s="125"/>
      <c r="HV2997" s="470"/>
      <c r="HW2997" s="449"/>
      <c r="HX2997" s="462"/>
      <c r="HY2997" s="299"/>
      <c r="HZ2997" s="81"/>
      <c r="IA2997" s="160"/>
      <c r="IB2997" s="559"/>
      <c r="IC2997" s="125"/>
      <c r="ID2997" s="470"/>
      <c r="IE2997" s="449"/>
      <c r="IF2997" s="462"/>
      <c r="IG2997" s="299"/>
      <c r="IH2997" s="81"/>
      <c r="II2997" s="160"/>
      <c r="IJ2997" s="559"/>
      <c r="IK2997" s="125"/>
      <c r="IL2997" s="470"/>
      <c r="IM2997" s="449"/>
      <c r="IN2997" s="462"/>
      <c r="IO2997" s="299"/>
      <c r="IP2997" s="81"/>
      <c r="IQ2997" s="160"/>
      <c r="IR2997" s="559"/>
      <c r="IS2997" s="125"/>
      <c r="IT2997" s="470"/>
      <c r="IU2997" s="449"/>
      <c r="IV2997" s="462"/>
      <c r="IW2997" s="299"/>
      <c r="IX2997" s="81"/>
      <c r="IY2997" s="160"/>
      <c r="IZ2997" s="559"/>
      <c r="JA2997" s="125"/>
      <c r="JB2997" s="470"/>
      <c r="JC2997" s="449"/>
      <c r="JD2997" s="462"/>
      <c r="JE2997" s="299"/>
      <c r="JF2997" s="81"/>
      <c r="JG2997" s="160"/>
      <c r="JH2997" s="559"/>
      <c r="JI2997" s="125"/>
      <c r="JJ2997" s="470"/>
      <c r="JK2997" s="449"/>
      <c r="JL2997" s="462"/>
      <c r="JM2997" s="299"/>
      <c r="JN2997" s="81"/>
      <c r="JO2997" s="160"/>
      <c r="JP2997" s="559"/>
      <c r="JQ2997" s="125"/>
      <c r="JR2997" s="470"/>
      <c r="JS2997" s="449"/>
      <c r="JT2997" s="462"/>
      <c r="JU2997" s="299"/>
      <c r="JV2997" s="81"/>
      <c r="JW2997" s="160"/>
      <c r="JX2997" s="559"/>
      <c r="JY2997" s="125"/>
      <c r="JZ2997" s="470"/>
      <c r="KA2997" s="449"/>
      <c r="KB2997" s="462"/>
      <c r="KC2997" s="299"/>
      <c r="KD2997" s="81"/>
      <c r="KE2997" s="160"/>
      <c r="KF2997" s="559"/>
      <c r="KG2997" s="125"/>
      <c r="KH2997" s="470"/>
      <c r="KI2997" s="449"/>
      <c r="KJ2997" s="462"/>
      <c r="KK2997" s="299"/>
      <c r="KL2997" s="81"/>
      <c r="KM2997" s="160"/>
      <c r="KN2997" s="559"/>
      <c r="KO2997" s="125"/>
      <c r="KP2997" s="470"/>
      <c r="KQ2997" s="449"/>
      <c r="KR2997" s="462"/>
      <c r="KS2997" s="299"/>
      <c r="KT2997" s="81"/>
      <c r="KU2997" s="160"/>
      <c r="KV2997" s="559"/>
      <c r="KW2997" s="125"/>
      <c r="KX2997" s="470"/>
      <c r="KY2997" s="449"/>
      <c r="KZ2997" s="462"/>
      <c r="LA2997" s="299"/>
      <c r="LB2997" s="81"/>
      <c r="LC2997" s="160"/>
      <c r="LD2997" s="559"/>
      <c r="LE2997" s="125"/>
      <c r="LF2997" s="470"/>
      <c r="LG2997" s="449"/>
      <c r="LH2997" s="462"/>
      <c r="LI2997" s="299"/>
      <c r="LJ2997" s="81"/>
      <c r="LK2997" s="160"/>
      <c r="LL2997" s="559"/>
      <c r="LM2997" s="125"/>
      <c r="LN2997" s="470"/>
      <c r="LO2997" s="449"/>
      <c r="LP2997" s="462"/>
      <c r="LQ2997" s="299"/>
      <c r="LR2997" s="81"/>
      <c r="LS2997" s="160"/>
      <c r="LT2997" s="559"/>
      <c r="LU2997" s="125"/>
      <c r="LV2997" s="470"/>
      <c r="LW2997" s="449"/>
      <c r="LX2997" s="462"/>
      <c r="LY2997" s="299"/>
      <c r="LZ2997" s="81"/>
      <c r="MA2997" s="160"/>
      <c r="MB2997" s="559"/>
      <c r="MC2997" s="125"/>
      <c r="MD2997" s="470"/>
      <c r="ME2997" s="449"/>
      <c r="MF2997" s="462"/>
      <c r="MG2997" s="299"/>
      <c r="MH2997" s="81"/>
      <c r="MI2997" s="160"/>
      <c r="MJ2997" s="559"/>
      <c r="MK2997" s="125"/>
      <c r="ML2997" s="470"/>
      <c r="MM2997" s="449"/>
      <c r="MN2997" s="462"/>
      <c r="MO2997" s="299"/>
      <c r="MP2997" s="81"/>
      <c r="MQ2997" s="160"/>
      <c r="MR2997" s="559"/>
      <c r="MS2997" s="125"/>
      <c r="MT2997" s="470"/>
      <c r="MU2997" s="449"/>
      <c r="MV2997" s="462"/>
      <c r="MW2997" s="299"/>
      <c r="MX2997" s="81"/>
      <c r="MY2997" s="160"/>
      <c r="MZ2997" s="559"/>
      <c r="NA2997" s="125"/>
      <c r="NB2997" s="470"/>
      <c r="NC2997" s="449"/>
      <c r="ND2997" s="462"/>
      <c r="NE2997" s="299"/>
      <c r="NF2997" s="81"/>
      <c r="NG2997" s="160"/>
      <c r="NH2997" s="559"/>
      <c r="NI2997" s="125"/>
      <c r="NJ2997" s="470"/>
      <c r="NK2997" s="449"/>
      <c r="NL2997" s="462"/>
      <c r="NM2997" s="299"/>
      <c r="NN2997" s="81"/>
      <c r="NO2997" s="160"/>
      <c r="NP2997" s="559"/>
      <c r="NQ2997" s="125"/>
      <c r="NR2997" s="470"/>
      <c r="NS2997" s="449"/>
      <c r="NT2997" s="462"/>
      <c r="NU2997" s="299"/>
      <c r="NV2997" s="81"/>
      <c r="NW2997" s="160"/>
      <c r="NX2997" s="559"/>
      <c r="NY2997" s="125"/>
      <c r="NZ2997" s="470"/>
      <c r="OA2997" s="449"/>
      <c r="OB2997" s="462"/>
      <c r="OC2997" s="299"/>
      <c r="OD2997" s="81"/>
      <c r="OE2997" s="160"/>
      <c r="OF2997" s="559"/>
      <c r="OG2997" s="125"/>
      <c r="OH2997" s="470"/>
      <c r="OI2997" s="449"/>
      <c r="OJ2997" s="462"/>
      <c r="OK2997" s="299"/>
      <c r="OL2997" s="81"/>
      <c r="OM2997" s="160"/>
      <c r="ON2997" s="559"/>
      <c r="OO2997" s="125"/>
      <c r="OP2997" s="470"/>
      <c r="OQ2997" s="449"/>
      <c r="OR2997" s="462"/>
      <c r="OS2997" s="299"/>
      <c r="OT2997" s="81"/>
      <c r="OU2997" s="160"/>
      <c r="OV2997" s="559"/>
      <c r="OW2997" s="125"/>
      <c r="OX2997" s="470"/>
      <c r="OY2997" s="449"/>
      <c r="OZ2997" s="462"/>
      <c r="PA2997" s="299"/>
      <c r="PB2997" s="81"/>
      <c r="PC2997" s="160"/>
      <c r="PD2997" s="559"/>
      <c r="PE2997" s="125"/>
      <c r="PF2997" s="470"/>
      <c r="PG2997" s="449"/>
      <c r="PH2997" s="462"/>
      <c r="PI2997" s="299"/>
      <c r="PJ2997" s="81"/>
      <c r="PK2997" s="160"/>
      <c r="PL2997" s="559"/>
      <c r="PM2997" s="125"/>
      <c r="PN2997" s="470"/>
      <c r="PO2997" s="449"/>
      <c r="PP2997" s="462"/>
      <c r="PQ2997" s="299"/>
      <c r="PR2997" s="81"/>
      <c r="PS2997" s="160"/>
      <c r="PT2997" s="559"/>
      <c r="PU2997" s="125"/>
      <c r="PV2997" s="470"/>
      <c r="PW2997" s="449"/>
      <c r="PX2997" s="462"/>
      <c r="PY2997" s="299"/>
      <c r="PZ2997" s="81"/>
      <c r="QA2997" s="160"/>
      <c r="QB2997" s="559"/>
      <c r="QC2997" s="125"/>
      <c r="QD2997" s="470"/>
      <c r="QE2997" s="449"/>
      <c r="QF2997" s="462"/>
      <c r="QG2997" s="299"/>
      <c r="QH2997" s="81"/>
      <c r="QI2997" s="160"/>
      <c r="QJ2997" s="559"/>
      <c r="QK2997" s="125"/>
      <c r="QL2997" s="470"/>
      <c r="QM2997" s="449"/>
      <c r="QN2997" s="462"/>
      <c r="QO2997" s="299"/>
      <c r="QP2997" s="81"/>
      <c r="QQ2997" s="160"/>
      <c r="QR2997" s="559"/>
      <c r="QS2997" s="125"/>
      <c r="QT2997" s="470"/>
      <c r="QU2997" s="449"/>
      <c r="QV2997" s="462"/>
      <c r="QW2997" s="299"/>
      <c r="QX2997" s="81"/>
      <c r="QY2997" s="160"/>
      <c r="QZ2997" s="559"/>
      <c r="RA2997" s="125"/>
      <c r="RB2997" s="470"/>
      <c r="RC2997" s="449"/>
      <c r="RD2997" s="462"/>
      <c r="RE2997" s="299"/>
      <c r="RF2997" s="81"/>
      <c r="RG2997" s="160"/>
      <c r="RH2997" s="559"/>
      <c r="RI2997" s="125"/>
      <c r="RJ2997" s="470"/>
      <c r="RK2997" s="449"/>
      <c r="RL2997" s="462"/>
      <c r="RM2997" s="299"/>
      <c r="RN2997" s="81"/>
      <c r="RO2997" s="160"/>
      <c r="RP2997" s="559"/>
      <c r="RQ2997" s="125"/>
      <c r="RR2997" s="470"/>
      <c r="RS2997" s="449"/>
      <c r="RT2997" s="462"/>
      <c r="RU2997" s="299"/>
      <c r="RV2997" s="81"/>
      <c r="RW2997" s="160"/>
      <c r="RX2997" s="559"/>
      <c r="RY2997" s="125"/>
      <c r="RZ2997" s="470"/>
      <c r="SA2997" s="449"/>
      <c r="SB2997" s="462"/>
      <c r="SC2997" s="299"/>
      <c r="SD2997" s="81"/>
      <c r="SE2997" s="160"/>
      <c r="SF2997" s="559"/>
      <c r="SG2997" s="125"/>
      <c r="SH2997" s="470"/>
      <c r="SI2997" s="449"/>
      <c r="SJ2997" s="462"/>
      <c r="SK2997" s="299"/>
      <c r="SL2997" s="81"/>
      <c r="SM2997" s="160"/>
      <c r="SN2997" s="559"/>
      <c r="SO2997" s="125"/>
      <c r="SP2997" s="470"/>
      <c r="SQ2997" s="449"/>
      <c r="SR2997" s="462"/>
      <c r="SS2997" s="299"/>
      <c r="ST2997" s="81"/>
      <c r="SU2997" s="160"/>
      <c r="SV2997" s="559"/>
      <c r="SW2997" s="125"/>
      <c r="SX2997" s="470"/>
      <c r="SY2997" s="449"/>
      <c r="SZ2997" s="462"/>
      <c r="TA2997" s="299"/>
      <c r="TB2997" s="81"/>
      <c r="TC2997" s="160"/>
      <c r="TD2997" s="559"/>
      <c r="TE2997" s="125"/>
      <c r="TF2997" s="470"/>
      <c r="TG2997" s="449"/>
      <c r="TH2997" s="462"/>
      <c r="TI2997" s="299"/>
      <c r="TJ2997" s="81"/>
      <c r="TK2997" s="160"/>
      <c r="TL2997" s="559"/>
      <c r="TM2997" s="125"/>
      <c r="TN2997" s="470"/>
      <c r="TO2997" s="449"/>
      <c r="TP2997" s="462"/>
      <c r="TQ2997" s="299"/>
      <c r="TR2997" s="81"/>
      <c r="TS2997" s="160"/>
      <c r="TT2997" s="559"/>
      <c r="TU2997" s="125"/>
      <c r="TV2997" s="470"/>
      <c r="TW2997" s="449"/>
      <c r="TX2997" s="462"/>
      <c r="TY2997" s="299"/>
      <c r="TZ2997" s="81"/>
      <c r="UA2997" s="160"/>
      <c r="UB2997" s="559"/>
      <c r="UC2997" s="125"/>
      <c r="UD2997" s="470"/>
      <c r="UE2997" s="449"/>
      <c r="UF2997" s="462"/>
      <c r="UG2997" s="299"/>
      <c r="UH2997" s="81"/>
      <c r="UI2997" s="160"/>
      <c r="UJ2997" s="559"/>
      <c r="UK2997" s="125"/>
      <c r="UL2997" s="470"/>
      <c r="UM2997" s="449"/>
      <c r="UN2997" s="462"/>
      <c r="UO2997" s="299"/>
      <c r="UP2997" s="81"/>
      <c r="UQ2997" s="160"/>
      <c r="UR2997" s="559"/>
      <c r="US2997" s="125"/>
      <c r="UT2997" s="470"/>
      <c r="UU2997" s="449"/>
      <c r="UV2997" s="462"/>
      <c r="UW2997" s="299"/>
      <c r="UX2997" s="81"/>
      <c r="UY2997" s="160"/>
      <c r="UZ2997" s="559"/>
      <c r="VA2997" s="125"/>
      <c r="VB2997" s="470"/>
      <c r="VC2997" s="449"/>
      <c r="VD2997" s="462"/>
      <c r="VE2997" s="299"/>
      <c r="VF2997" s="81"/>
      <c r="VG2997" s="160"/>
      <c r="VH2997" s="559"/>
      <c r="VI2997" s="125"/>
      <c r="VJ2997" s="470"/>
      <c r="VK2997" s="449"/>
      <c r="VL2997" s="462"/>
      <c r="VM2997" s="299"/>
      <c r="VN2997" s="81"/>
      <c r="VO2997" s="160"/>
      <c r="VP2997" s="559"/>
      <c r="VQ2997" s="125"/>
      <c r="VR2997" s="470"/>
      <c r="VS2997" s="449"/>
      <c r="VT2997" s="462"/>
      <c r="VU2997" s="299"/>
      <c r="VV2997" s="81"/>
      <c r="VW2997" s="160"/>
      <c r="VX2997" s="559"/>
      <c r="VY2997" s="125"/>
      <c r="VZ2997" s="470"/>
      <c r="WA2997" s="449"/>
      <c r="WB2997" s="462"/>
      <c r="WC2997" s="299"/>
      <c r="WD2997" s="81"/>
      <c r="WE2997" s="160"/>
      <c r="WF2997" s="559"/>
      <c r="WG2997" s="125"/>
      <c r="WH2997" s="470"/>
      <c r="WI2997" s="449"/>
      <c r="WJ2997" s="462"/>
      <c r="WK2997" s="299"/>
      <c r="WL2997" s="81"/>
      <c r="WM2997" s="160"/>
      <c r="WN2997" s="559"/>
      <c r="WO2997" s="125"/>
      <c r="WP2997" s="470"/>
      <c r="WQ2997" s="449"/>
      <c r="WR2997" s="462"/>
      <c r="WS2997" s="299"/>
      <c r="WT2997" s="81"/>
      <c r="WU2997" s="160"/>
      <c r="WV2997" s="559"/>
      <c r="WW2997" s="125"/>
      <c r="WX2997" s="470"/>
      <c r="WY2997" s="449"/>
      <c r="WZ2997" s="462"/>
      <c r="XA2997" s="299"/>
      <c r="XB2997" s="81"/>
      <c r="XC2997" s="160"/>
      <c r="XD2997" s="559"/>
      <c r="XE2997" s="125"/>
      <c r="XF2997" s="470"/>
      <c r="XG2997" s="449"/>
      <c r="XH2997" s="462"/>
      <c r="XI2997" s="299"/>
      <c r="XJ2997" s="81"/>
      <c r="XK2997" s="160"/>
      <c r="XL2997" s="559"/>
      <c r="XM2997" s="125"/>
      <c r="XN2997" s="470"/>
      <c r="XO2997" s="449"/>
      <c r="XP2997" s="462"/>
      <c r="XQ2997" s="299"/>
      <c r="XR2997" s="81"/>
      <c r="XS2997" s="160"/>
      <c r="XT2997" s="559"/>
      <c r="XU2997" s="125"/>
      <c r="XV2997" s="470"/>
      <c r="XW2997" s="449"/>
      <c r="XX2997" s="462"/>
      <c r="XY2997" s="299"/>
      <c r="XZ2997" s="81"/>
      <c r="YA2997" s="160"/>
      <c r="YB2997" s="559"/>
      <c r="YC2997" s="125"/>
      <c r="YD2997" s="470"/>
      <c r="YE2997" s="449"/>
      <c r="YF2997" s="462"/>
      <c r="YG2997" s="299"/>
      <c r="YH2997" s="81"/>
      <c r="YI2997" s="160"/>
      <c r="YJ2997" s="559"/>
      <c r="YK2997" s="125"/>
      <c r="YL2997" s="470"/>
      <c r="YM2997" s="449"/>
      <c r="YN2997" s="462"/>
      <c r="YO2997" s="299"/>
      <c r="YP2997" s="81"/>
      <c r="YQ2997" s="160"/>
      <c r="YR2997" s="559"/>
      <c r="YS2997" s="125"/>
      <c r="YT2997" s="470"/>
      <c r="YU2997" s="449"/>
      <c r="YV2997" s="462"/>
      <c r="YW2997" s="299"/>
      <c r="YX2997" s="81"/>
      <c r="YY2997" s="160"/>
      <c r="YZ2997" s="559"/>
      <c r="ZA2997" s="125"/>
      <c r="ZB2997" s="470"/>
      <c r="ZC2997" s="449"/>
      <c r="ZD2997" s="462"/>
      <c r="ZE2997" s="299"/>
      <c r="ZF2997" s="81"/>
      <c r="ZG2997" s="160"/>
      <c r="ZH2997" s="559"/>
      <c r="ZI2997" s="125"/>
      <c r="ZJ2997" s="470"/>
      <c r="ZK2997" s="449"/>
      <c r="ZL2997" s="462"/>
      <c r="ZM2997" s="299"/>
      <c r="ZN2997" s="81"/>
      <c r="ZO2997" s="160"/>
      <c r="ZP2997" s="559"/>
      <c r="ZQ2997" s="125"/>
      <c r="ZR2997" s="470"/>
      <c r="ZS2997" s="449"/>
      <c r="ZT2997" s="462"/>
      <c r="ZU2997" s="299"/>
      <c r="ZV2997" s="81"/>
      <c r="ZW2997" s="160"/>
      <c r="ZX2997" s="559"/>
      <c r="ZY2997" s="125"/>
      <c r="ZZ2997" s="470"/>
      <c r="AAA2997" s="449"/>
      <c r="AAB2997" s="462"/>
      <c r="AAC2997" s="299"/>
      <c r="AAD2997" s="81"/>
      <c r="AAE2997" s="160"/>
      <c r="AAF2997" s="559"/>
      <c r="AAG2997" s="125"/>
      <c r="AAH2997" s="470"/>
      <c r="AAI2997" s="449"/>
      <c r="AAJ2997" s="462"/>
      <c r="AAK2997" s="299"/>
      <c r="AAL2997" s="81"/>
      <c r="AAM2997" s="160"/>
      <c r="AAN2997" s="559"/>
      <c r="AAO2997" s="125"/>
      <c r="AAP2997" s="470"/>
      <c r="AAQ2997" s="449"/>
      <c r="AAR2997" s="462"/>
      <c r="AAS2997" s="299"/>
      <c r="AAT2997" s="81"/>
      <c r="AAU2997" s="160"/>
      <c r="AAV2997" s="559"/>
      <c r="AAW2997" s="125"/>
      <c r="AAX2997" s="470"/>
      <c r="AAY2997" s="449"/>
      <c r="AAZ2997" s="462"/>
      <c r="ABA2997" s="299"/>
      <c r="ABB2997" s="81"/>
      <c r="ABC2997" s="160"/>
      <c r="ABD2997" s="559"/>
      <c r="ABE2997" s="125"/>
      <c r="ABF2997" s="470"/>
      <c r="ABG2997" s="449"/>
      <c r="ABH2997" s="462"/>
      <c r="ABI2997" s="299"/>
      <c r="ABJ2997" s="81"/>
      <c r="ABK2997" s="160"/>
      <c r="ABL2997" s="559"/>
      <c r="ABM2997" s="125"/>
      <c r="ABN2997" s="470"/>
      <c r="ABO2997" s="449"/>
      <c r="ABP2997" s="462"/>
      <c r="ABQ2997" s="299"/>
      <c r="ABR2997" s="81"/>
      <c r="ABS2997" s="160"/>
      <c r="ABT2997" s="559"/>
      <c r="ABU2997" s="125"/>
      <c r="ABV2997" s="470"/>
      <c r="ABW2997" s="449"/>
      <c r="ABX2997" s="462"/>
      <c r="ABY2997" s="299"/>
      <c r="ABZ2997" s="81"/>
      <c r="ACA2997" s="160"/>
      <c r="ACB2997" s="559"/>
      <c r="ACC2997" s="125"/>
      <c r="ACD2997" s="470"/>
      <c r="ACE2997" s="449"/>
      <c r="ACF2997" s="462"/>
      <c r="ACG2997" s="299"/>
      <c r="ACH2997" s="81"/>
      <c r="ACI2997" s="160"/>
      <c r="ACJ2997" s="559"/>
      <c r="ACK2997" s="125"/>
      <c r="ACL2997" s="470"/>
      <c r="ACM2997" s="449"/>
      <c r="ACN2997" s="462"/>
      <c r="ACO2997" s="299"/>
      <c r="ACP2997" s="81"/>
      <c r="ACQ2997" s="160"/>
      <c r="ACR2997" s="559"/>
      <c r="ACS2997" s="125"/>
      <c r="ACT2997" s="470"/>
      <c r="ACU2997" s="449"/>
      <c r="ACV2997" s="462"/>
      <c r="ACW2997" s="299"/>
      <c r="ACX2997" s="81"/>
      <c r="ACY2997" s="160"/>
      <c r="ACZ2997" s="559"/>
      <c r="ADA2997" s="125"/>
      <c r="ADB2997" s="470"/>
      <c r="ADC2997" s="449"/>
      <c r="ADD2997" s="462"/>
      <c r="ADE2997" s="299"/>
      <c r="ADF2997" s="81"/>
      <c r="ADG2997" s="160"/>
      <c r="ADH2997" s="559"/>
      <c r="ADI2997" s="125"/>
      <c r="ADJ2997" s="470"/>
      <c r="ADK2997" s="449"/>
      <c r="ADL2997" s="462"/>
      <c r="ADM2997" s="299"/>
      <c r="ADN2997" s="81"/>
      <c r="ADO2997" s="160"/>
      <c r="ADP2997" s="559"/>
      <c r="ADQ2997" s="125"/>
      <c r="ADR2997" s="470"/>
      <c r="ADS2997" s="449"/>
      <c r="ADT2997" s="462"/>
      <c r="ADU2997" s="299"/>
      <c r="ADV2997" s="81"/>
      <c r="ADW2997" s="160"/>
      <c r="ADX2997" s="559"/>
      <c r="ADY2997" s="125"/>
      <c r="ADZ2997" s="470"/>
      <c r="AEA2997" s="449"/>
      <c r="AEB2997" s="462"/>
      <c r="AEC2997" s="299"/>
      <c r="AED2997" s="81"/>
      <c r="AEE2997" s="160"/>
      <c r="AEF2997" s="559"/>
      <c r="AEG2997" s="125"/>
      <c r="AEH2997" s="470"/>
      <c r="AEI2997" s="449"/>
      <c r="AEJ2997" s="462"/>
      <c r="AEK2997" s="299"/>
      <c r="AEL2997" s="81"/>
      <c r="AEM2997" s="160"/>
      <c r="AEN2997" s="559"/>
      <c r="AEO2997" s="125"/>
      <c r="AEP2997" s="470"/>
      <c r="AEQ2997" s="449"/>
      <c r="AER2997" s="462"/>
      <c r="AES2997" s="299"/>
      <c r="AET2997" s="81"/>
      <c r="AEU2997" s="160"/>
      <c r="AEV2997" s="559"/>
      <c r="AEW2997" s="125"/>
      <c r="AEX2997" s="470"/>
      <c r="AEY2997" s="449"/>
      <c r="AEZ2997" s="462"/>
      <c r="AFA2997" s="299"/>
      <c r="AFB2997" s="81"/>
      <c r="AFC2997" s="160"/>
      <c r="AFD2997" s="559"/>
      <c r="AFE2997" s="125"/>
      <c r="AFF2997" s="470"/>
      <c r="AFG2997" s="449"/>
      <c r="AFH2997" s="462"/>
      <c r="AFI2997" s="299"/>
      <c r="AFJ2997" s="81"/>
      <c r="AFK2997" s="160"/>
      <c r="AFL2997" s="559"/>
      <c r="AFM2997" s="125"/>
      <c r="AFN2997" s="470"/>
      <c r="AFO2997" s="449"/>
      <c r="AFP2997" s="462"/>
      <c r="AFQ2997" s="299"/>
      <c r="AFR2997" s="81"/>
      <c r="AFS2997" s="160"/>
      <c r="AFT2997" s="559"/>
      <c r="AFU2997" s="125"/>
      <c r="AFV2997" s="470"/>
      <c r="AFW2997" s="449"/>
      <c r="AFX2997" s="462"/>
      <c r="AFY2997" s="299"/>
      <c r="AFZ2997" s="81"/>
      <c r="AGA2997" s="160"/>
      <c r="AGB2997" s="559"/>
      <c r="AGC2997" s="125"/>
      <c r="AGD2997" s="470"/>
      <c r="AGE2997" s="449"/>
      <c r="AGF2997" s="462"/>
      <c r="AGG2997" s="299"/>
      <c r="AGH2997" s="81"/>
      <c r="AGI2997" s="160"/>
      <c r="AGJ2997" s="559"/>
      <c r="AGK2997" s="125"/>
      <c r="AGL2997" s="470"/>
      <c r="AGM2997" s="449"/>
      <c r="AGN2997" s="462"/>
      <c r="AGO2997" s="299"/>
      <c r="AGP2997" s="81"/>
      <c r="AGQ2997" s="160"/>
      <c r="AGR2997" s="559"/>
      <c r="AGS2997" s="125"/>
      <c r="AGT2997" s="470"/>
      <c r="AGU2997" s="449"/>
      <c r="AGV2997" s="462"/>
      <c r="AGW2997" s="299"/>
      <c r="AGX2997" s="81"/>
      <c r="AGY2997" s="160"/>
      <c r="AGZ2997" s="559"/>
      <c r="AHA2997" s="125"/>
      <c r="AHB2997" s="470"/>
      <c r="AHC2997" s="449"/>
      <c r="AHD2997" s="462"/>
      <c r="AHE2997" s="299"/>
      <c r="AHF2997" s="81"/>
      <c r="AHG2997" s="160"/>
      <c r="AHH2997" s="559"/>
      <c r="AHI2997" s="125"/>
      <c r="AHJ2997" s="470"/>
      <c r="AHK2997" s="449"/>
      <c r="AHL2997" s="462"/>
      <c r="AHM2997" s="299"/>
      <c r="AHN2997" s="81"/>
      <c r="AHO2997" s="160"/>
      <c r="AHP2997" s="559"/>
      <c r="AHQ2997" s="125"/>
      <c r="AHR2997" s="470"/>
      <c r="AHS2997" s="449"/>
      <c r="AHT2997" s="462"/>
      <c r="AHU2997" s="299"/>
      <c r="AHV2997" s="81"/>
      <c r="AHW2997" s="160"/>
      <c r="AHX2997" s="559"/>
      <c r="AHY2997" s="125"/>
      <c r="AHZ2997" s="470"/>
      <c r="AIA2997" s="449"/>
      <c r="AIB2997" s="462"/>
      <c r="AIC2997" s="299"/>
      <c r="AID2997" s="81"/>
      <c r="AIE2997" s="160"/>
      <c r="AIF2997" s="559"/>
      <c r="AIG2997" s="125"/>
      <c r="AIH2997" s="470"/>
      <c r="AII2997" s="449"/>
      <c r="AIJ2997" s="462"/>
      <c r="AIK2997" s="299"/>
      <c r="AIL2997" s="81"/>
      <c r="AIM2997" s="160"/>
      <c r="AIN2997" s="559"/>
      <c r="AIO2997" s="125"/>
      <c r="AIP2997" s="470"/>
      <c r="AIQ2997" s="449"/>
      <c r="AIR2997" s="462"/>
      <c r="AIS2997" s="299"/>
      <c r="AIT2997" s="81"/>
      <c r="AIU2997" s="160"/>
      <c r="AIV2997" s="559"/>
      <c r="AIW2997" s="125"/>
      <c r="AIX2997" s="470"/>
      <c r="AIY2997" s="449"/>
      <c r="AIZ2997" s="462"/>
      <c r="AJA2997" s="299"/>
      <c r="AJB2997" s="81"/>
      <c r="AJC2997" s="160"/>
      <c r="AJD2997" s="559"/>
      <c r="AJE2997" s="125"/>
      <c r="AJF2997" s="470"/>
      <c r="AJG2997" s="449"/>
      <c r="AJH2997" s="462"/>
      <c r="AJI2997" s="299"/>
      <c r="AJJ2997" s="81"/>
      <c r="AJK2997" s="160"/>
      <c r="AJL2997" s="559"/>
      <c r="AJM2997" s="125"/>
      <c r="AJN2997" s="470"/>
      <c r="AJO2997" s="449"/>
      <c r="AJP2997" s="462"/>
      <c r="AJQ2997" s="299"/>
      <c r="AJR2997" s="81"/>
      <c r="AJS2997" s="160"/>
      <c r="AJT2997" s="559"/>
      <c r="AJU2997" s="125"/>
      <c r="AJV2997" s="470"/>
      <c r="AJW2997" s="449"/>
      <c r="AJX2997" s="462"/>
      <c r="AJY2997" s="299"/>
      <c r="AJZ2997" s="81"/>
      <c r="AKA2997" s="160"/>
      <c r="AKB2997" s="559"/>
      <c r="AKC2997" s="125"/>
      <c r="AKD2997" s="470"/>
      <c r="AKE2997" s="449"/>
      <c r="AKF2997" s="462"/>
      <c r="AKG2997" s="299"/>
      <c r="AKH2997" s="81"/>
      <c r="AKI2997" s="160"/>
      <c r="AKJ2997" s="559"/>
      <c r="AKK2997" s="125"/>
      <c r="AKL2997" s="470"/>
      <c r="AKM2997" s="449"/>
      <c r="AKN2997" s="462"/>
      <c r="AKO2997" s="299"/>
      <c r="AKP2997" s="81"/>
      <c r="AKQ2997" s="160"/>
      <c r="AKR2997" s="559"/>
      <c r="AKS2997" s="125"/>
      <c r="AKT2997" s="470"/>
      <c r="AKU2997" s="449"/>
      <c r="AKV2997" s="462"/>
      <c r="AKW2997" s="299"/>
      <c r="AKX2997" s="81"/>
      <c r="AKY2997" s="160"/>
      <c r="AKZ2997" s="559"/>
      <c r="ALA2997" s="125"/>
      <c r="ALB2997" s="470"/>
      <c r="ALC2997" s="449"/>
      <c r="ALD2997" s="462"/>
      <c r="ALE2997" s="299"/>
      <c r="ALF2997" s="81"/>
      <c r="ALG2997" s="160"/>
      <c r="ALH2997" s="559"/>
      <c r="ALI2997" s="125"/>
      <c r="ALJ2997" s="470"/>
      <c r="ALK2997" s="449"/>
      <c r="ALL2997" s="462"/>
      <c r="ALM2997" s="299"/>
      <c r="ALN2997" s="81"/>
      <c r="ALO2997" s="160"/>
      <c r="ALP2997" s="559"/>
      <c r="ALQ2997" s="125"/>
      <c r="ALR2997" s="470"/>
      <c r="ALS2997" s="449"/>
      <c r="ALT2997" s="462"/>
      <c r="ALU2997" s="299"/>
      <c r="ALV2997" s="81"/>
      <c r="ALW2997" s="160"/>
      <c r="ALX2997" s="559"/>
      <c r="ALY2997" s="125"/>
      <c r="ALZ2997" s="470"/>
      <c r="AMA2997" s="449"/>
      <c r="AMB2997" s="462"/>
      <c r="AMC2997" s="299"/>
      <c r="AMD2997" s="81"/>
      <c r="AME2997" s="160"/>
      <c r="AMF2997" s="559"/>
      <c r="AMG2997" s="125"/>
      <c r="AMH2997" s="470"/>
      <c r="AMI2997" s="449"/>
      <c r="AMJ2997" s="462"/>
      <c r="AMK2997" s="299"/>
      <c r="AML2997" s="81"/>
      <c r="AMM2997" s="160"/>
      <c r="AMN2997" s="559"/>
      <c r="AMO2997" s="125"/>
      <c r="AMP2997" s="470"/>
      <c r="AMQ2997" s="449"/>
      <c r="AMR2997" s="462"/>
      <c r="AMS2997" s="299"/>
      <c r="AMT2997" s="81"/>
      <c r="AMU2997" s="160"/>
      <c r="AMV2997" s="559"/>
      <c r="AMW2997" s="125"/>
      <c r="AMX2997" s="470"/>
      <c r="AMY2997" s="449"/>
      <c r="AMZ2997" s="462"/>
      <c r="ANA2997" s="299"/>
      <c r="ANB2997" s="81"/>
      <c r="ANC2997" s="160"/>
      <c r="AND2997" s="559"/>
      <c r="ANE2997" s="125"/>
      <c r="ANF2997" s="470"/>
      <c r="ANG2997" s="449"/>
      <c r="ANH2997" s="462"/>
      <c r="ANI2997" s="299"/>
      <c r="ANJ2997" s="81"/>
      <c r="ANK2997" s="160"/>
      <c r="ANL2997" s="559"/>
      <c r="ANM2997" s="125"/>
      <c r="ANN2997" s="470"/>
      <c r="ANO2997" s="449"/>
      <c r="ANP2997" s="462"/>
      <c r="ANQ2997" s="299"/>
      <c r="ANR2997" s="81"/>
      <c r="ANS2997" s="160"/>
      <c r="ANT2997" s="559"/>
      <c r="ANU2997" s="125"/>
      <c r="ANV2997" s="470"/>
      <c r="ANW2997" s="449"/>
      <c r="ANX2997" s="462"/>
      <c r="ANY2997" s="299"/>
      <c r="ANZ2997" s="81"/>
      <c r="AOA2997" s="160"/>
      <c r="AOB2997" s="559"/>
      <c r="AOC2997" s="125"/>
      <c r="AOD2997" s="470"/>
      <c r="AOE2997" s="449"/>
      <c r="AOF2997" s="462"/>
      <c r="AOG2997" s="299"/>
      <c r="AOH2997" s="81"/>
      <c r="AOI2997" s="160"/>
      <c r="AOJ2997" s="559"/>
      <c r="AOK2997" s="125"/>
      <c r="AOL2997" s="470"/>
      <c r="AOM2997" s="449"/>
      <c r="AON2997" s="462"/>
      <c r="AOO2997" s="299"/>
      <c r="AOP2997" s="81"/>
      <c r="AOQ2997" s="160"/>
      <c r="AOR2997" s="559"/>
      <c r="AOS2997" s="125"/>
      <c r="AOT2997" s="470"/>
      <c r="AOU2997" s="449"/>
      <c r="AOV2997" s="462"/>
      <c r="AOW2997" s="299"/>
      <c r="AOX2997" s="81"/>
      <c r="AOY2997" s="160"/>
      <c r="AOZ2997" s="559"/>
      <c r="APA2997" s="125"/>
      <c r="APB2997" s="470"/>
      <c r="APC2997" s="449"/>
      <c r="APD2997" s="462"/>
      <c r="APE2997" s="299"/>
      <c r="APF2997" s="81"/>
      <c r="APG2997" s="160"/>
      <c r="APH2997" s="559"/>
      <c r="API2997" s="125"/>
      <c r="APJ2997" s="470"/>
      <c r="APK2997" s="449"/>
      <c r="APL2997" s="462"/>
      <c r="APM2997" s="299"/>
      <c r="APN2997" s="81"/>
      <c r="APO2997" s="160"/>
      <c r="APP2997" s="559"/>
      <c r="APQ2997" s="125"/>
      <c r="APR2997" s="470"/>
      <c r="APS2997" s="449"/>
      <c r="APT2997" s="462"/>
      <c r="APU2997" s="299"/>
      <c r="APV2997" s="81"/>
      <c r="APW2997" s="160"/>
      <c r="APX2997" s="559"/>
      <c r="APY2997" s="125"/>
      <c r="APZ2997" s="470"/>
      <c r="AQA2997" s="449"/>
      <c r="AQB2997" s="462"/>
      <c r="AQC2997" s="299"/>
      <c r="AQD2997" s="81"/>
      <c r="AQE2997" s="160"/>
      <c r="AQF2997" s="559"/>
      <c r="AQG2997" s="125"/>
      <c r="AQH2997" s="470"/>
      <c r="AQI2997" s="449"/>
      <c r="AQJ2997" s="462"/>
      <c r="AQK2997" s="299"/>
      <c r="AQL2997" s="81"/>
      <c r="AQM2997" s="160"/>
      <c r="AQN2997" s="559"/>
      <c r="AQO2997" s="125"/>
      <c r="AQP2997" s="470"/>
      <c r="AQQ2997" s="449"/>
      <c r="AQR2997" s="462"/>
      <c r="AQS2997" s="299"/>
      <c r="AQT2997" s="81"/>
      <c r="AQU2997" s="160"/>
      <c r="AQV2997" s="559"/>
      <c r="AQW2997" s="125"/>
      <c r="AQX2997" s="470"/>
      <c r="AQY2997" s="449"/>
      <c r="AQZ2997" s="462"/>
      <c r="ARA2997" s="299"/>
      <c r="ARB2997" s="81"/>
      <c r="ARC2997" s="160"/>
      <c r="ARD2997" s="559"/>
      <c r="ARE2997" s="125"/>
      <c r="ARF2997" s="470"/>
      <c r="ARG2997" s="449"/>
      <c r="ARH2997" s="462"/>
      <c r="ARI2997" s="299"/>
      <c r="ARJ2997" s="81"/>
      <c r="ARK2997" s="160"/>
      <c r="ARL2997" s="559"/>
      <c r="ARM2997" s="125"/>
      <c r="ARN2997" s="470"/>
      <c r="ARO2997" s="449"/>
      <c r="ARP2997" s="462"/>
      <c r="ARQ2997" s="299"/>
      <c r="ARR2997" s="81"/>
      <c r="ARS2997" s="160"/>
      <c r="ART2997" s="559"/>
      <c r="ARU2997" s="125"/>
      <c r="ARV2997" s="470"/>
      <c r="ARW2997" s="449"/>
      <c r="ARX2997" s="462"/>
      <c r="ARY2997" s="299"/>
      <c r="ARZ2997" s="81"/>
      <c r="ASA2997" s="160"/>
      <c r="ASB2997" s="559"/>
      <c r="ASC2997" s="125"/>
      <c r="ASD2997" s="470"/>
      <c r="ASE2997" s="449"/>
      <c r="ASF2997" s="462"/>
      <c r="ASG2997" s="299"/>
      <c r="ASH2997" s="81"/>
      <c r="ASI2997" s="160"/>
      <c r="ASJ2997" s="559"/>
      <c r="ASK2997" s="125"/>
      <c r="ASL2997" s="470"/>
      <c r="ASM2997" s="449"/>
      <c r="ASN2997" s="462"/>
      <c r="ASO2997" s="299"/>
      <c r="ASP2997" s="81"/>
      <c r="ASQ2997" s="160"/>
      <c r="ASR2997" s="559"/>
      <c r="ASS2997" s="125"/>
      <c r="AST2997" s="470"/>
      <c r="ASU2997" s="449"/>
      <c r="ASV2997" s="462"/>
      <c r="ASW2997" s="299"/>
      <c r="ASX2997" s="81"/>
      <c r="ASY2997" s="160"/>
      <c r="ASZ2997" s="559"/>
      <c r="ATA2997" s="125"/>
      <c r="ATB2997" s="470"/>
      <c r="ATC2997" s="449"/>
      <c r="ATD2997" s="462"/>
      <c r="ATE2997" s="299"/>
      <c r="ATF2997" s="81"/>
      <c r="ATG2997" s="160"/>
      <c r="ATH2997" s="559"/>
      <c r="ATI2997" s="125"/>
      <c r="ATJ2997" s="470"/>
      <c r="ATK2997" s="449"/>
      <c r="ATL2997" s="462"/>
      <c r="ATM2997" s="299"/>
      <c r="ATN2997" s="81"/>
      <c r="ATO2997" s="160"/>
      <c r="ATP2997" s="559"/>
      <c r="ATQ2997" s="125"/>
      <c r="ATR2997" s="470"/>
      <c r="ATS2997" s="449"/>
      <c r="ATT2997" s="462"/>
      <c r="ATU2997" s="299"/>
      <c r="ATV2997" s="81"/>
      <c r="ATW2997" s="160"/>
      <c r="ATX2997" s="559"/>
      <c r="ATY2997" s="125"/>
      <c r="ATZ2997" s="470"/>
      <c r="AUA2997" s="449"/>
      <c r="AUB2997" s="462"/>
      <c r="AUC2997" s="299"/>
      <c r="AUD2997" s="81"/>
      <c r="AUE2997" s="160"/>
      <c r="AUF2997" s="559"/>
      <c r="AUG2997" s="125"/>
      <c r="AUH2997" s="470"/>
      <c r="AUI2997" s="449"/>
      <c r="AUJ2997" s="462"/>
      <c r="AUK2997" s="299"/>
      <c r="AUL2997" s="81"/>
      <c r="AUM2997" s="160"/>
      <c r="AUN2997" s="559"/>
      <c r="AUO2997" s="125"/>
      <c r="AUP2997" s="470"/>
      <c r="AUQ2997" s="449"/>
      <c r="AUR2997" s="462"/>
      <c r="AUS2997" s="299"/>
      <c r="AUT2997" s="81"/>
      <c r="AUU2997" s="160"/>
      <c r="AUV2997" s="559"/>
      <c r="AUW2997" s="125"/>
      <c r="AUX2997" s="470"/>
      <c r="AUY2997" s="449"/>
      <c r="AUZ2997" s="462"/>
      <c r="AVA2997" s="299"/>
      <c r="AVB2997" s="81"/>
      <c r="AVC2997" s="160"/>
      <c r="AVD2997" s="559"/>
      <c r="AVE2997" s="125"/>
      <c r="AVF2997" s="470"/>
      <c r="AVG2997" s="449"/>
      <c r="AVH2997" s="462"/>
      <c r="AVI2997" s="299"/>
      <c r="AVJ2997" s="81"/>
      <c r="AVK2997" s="160"/>
      <c r="AVL2997" s="559"/>
      <c r="AVM2997" s="125"/>
      <c r="AVN2997" s="470"/>
      <c r="AVO2997" s="449"/>
      <c r="AVP2997" s="462"/>
      <c r="AVQ2997" s="299"/>
      <c r="AVR2997" s="81"/>
      <c r="AVS2997" s="160"/>
      <c r="AVT2997" s="559"/>
      <c r="AVU2997" s="125"/>
      <c r="AVV2997" s="470"/>
      <c r="AVW2997" s="449"/>
      <c r="AVX2997" s="462"/>
      <c r="AVY2997" s="299"/>
      <c r="AVZ2997" s="81"/>
      <c r="AWA2997" s="160"/>
      <c r="AWB2997" s="559"/>
      <c r="AWC2997" s="125"/>
      <c r="AWD2997" s="470"/>
      <c r="AWE2997" s="449"/>
      <c r="AWF2997" s="462"/>
      <c r="AWG2997" s="299"/>
      <c r="AWH2997" s="81"/>
      <c r="AWI2997" s="160"/>
      <c r="AWJ2997" s="559"/>
      <c r="AWK2997" s="125"/>
      <c r="AWL2997" s="470"/>
      <c r="AWM2997" s="449"/>
      <c r="AWN2997" s="462"/>
      <c r="AWO2997" s="299"/>
      <c r="AWP2997" s="81"/>
      <c r="AWQ2997" s="160"/>
      <c r="AWR2997" s="559"/>
      <c r="AWS2997" s="125"/>
      <c r="AWT2997" s="470"/>
      <c r="AWU2997" s="449"/>
      <c r="AWV2997" s="462"/>
      <c r="AWW2997" s="299"/>
      <c r="AWX2997" s="81"/>
      <c r="AWY2997" s="160"/>
      <c r="AWZ2997" s="559"/>
      <c r="AXA2997" s="125"/>
      <c r="AXB2997" s="470"/>
      <c r="AXC2997" s="449"/>
      <c r="AXD2997" s="462"/>
      <c r="AXE2997" s="299"/>
      <c r="AXF2997" s="81"/>
      <c r="AXG2997" s="160"/>
      <c r="AXH2997" s="559"/>
      <c r="AXI2997" s="125"/>
      <c r="AXJ2997" s="470"/>
      <c r="AXK2997" s="449"/>
      <c r="AXL2997" s="462"/>
      <c r="AXM2997" s="299"/>
      <c r="AXN2997" s="81"/>
      <c r="AXO2997" s="160"/>
      <c r="AXP2997" s="559"/>
      <c r="AXQ2997" s="125"/>
      <c r="AXR2997" s="470"/>
      <c r="AXS2997" s="449"/>
      <c r="AXT2997" s="462"/>
      <c r="AXU2997" s="299"/>
      <c r="AXV2997" s="81"/>
      <c r="AXW2997" s="160"/>
      <c r="AXX2997" s="559"/>
      <c r="AXY2997" s="125"/>
      <c r="AXZ2997" s="470"/>
      <c r="AYA2997" s="449"/>
      <c r="AYB2997" s="462"/>
      <c r="AYC2997" s="299"/>
      <c r="AYD2997" s="81"/>
      <c r="AYE2997" s="160"/>
      <c r="AYF2997" s="559"/>
      <c r="AYG2997" s="125"/>
      <c r="AYH2997" s="470"/>
      <c r="AYI2997" s="449"/>
      <c r="AYJ2997" s="462"/>
      <c r="AYK2997" s="299"/>
      <c r="AYL2997" s="81"/>
      <c r="AYM2997" s="160"/>
      <c r="AYN2997" s="559"/>
      <c r="AYO2997" s="125"/>
      <c r="AYP2997" s="470"/>
      <c r="AYQ2997" s="449"/>
      <c r="AYR2997" s="462"/>
      <c r="AYS2997" s="299"/>
      <c r="AYT2997" s="81"/>
      <c r="AYU2997" s="160"/>
      <c r="AYV2997" s="559"/>
      <c r="AYW2997" s="125"/>
      <c r="AYX2997" s="470"/>
      <c r="AYY2997" s="449"/>
      <c r="AYZ2997" s="462"/>
      <c r="AZA2997" s="299"/>
      <c r="AZB2997" s="81"/>
      <c r="AZC2997" s="160"/>
      <c r="AZD2997" s="559"/>
      <c r="AZE2997" s="125"/>
      <c r="AZF2997" s="470"/>
      <c r="AZG2997" s="449"/>
      <c r="AZH2997" s="462"/>
      <c r="AZI2997" s="299"/>
      <c r="AZJ2997" s="81"/>
      <c r="AZK2997" s="160"/>
      <c r="AZL2997" s="559"/>
      <c r="AZM2997" s="125"/>
      <c r="AZN2997" s="470"/>
      <c r="AZO2997" s="449"/>
      <c r="AZP2997" s="462"/>
      <c r="AZQ2997" s="299"/>
      <c r="AZR2997" s="81"/>
      <c r="AZS2997" s="160"/>
      <c r="AZT2997" s="559"/>
      <c r="AZU2997" s="125"/>
      <c r="AZV2997" s="470"/>
      <c r="AZW2997" s="449"/>
      <c r="AZX2997" s="462"/>
      <c r="AZY2997" s="299"/>
      <c r="AZZ2997" s="81"/>
      <c r="BAA2997" s="160"/>
      <c r="BAB2997" s="559"/>
      <c r="BAC2997" s="125"/>
      <c r="BAD2997" s="470"/>
      <c r="BAE2997" s="449"/>
      <c r="BAF2997" s="462"/>
      <c r="BAG2997" s="299"/>
      <c r="BAH2997" s="81"/>
      <c r="BAI2997" s="160"/>
      <c r="BAJ2997" s="559"/>
      <c r="BAK2997" s="125"/>
      <c r="BAL2997" s="470"/>
      <c r="BAM2997" s="449"/>
      <c r="BAN2997" s="462"/>
      <c r="BAO2997" s="299"/>
      <c r="BAP2997" s="81"/>
      <c r="BAQ2997" s="160"/>
      <c r="BAR2997" s="559"/>
      <c r="BAS2997" s="125"/>
      <c r="BAT2997" s="470"/>
      <c r="BAU2997" s="449"/>
      <c r="BAV2997" s="462"/>
      <c r="BAW2997" s="299"/>
      <c r="BAX2997" s="81"/>
      <c r="BAY2997" s="160"/>
      <c r="BAZ2997" s="559"/>
      <c r="BBA2997" s="125"/>
      <c r="BBB2997" s="470"/>
      <c r="BBC2997" s="449"/>
      <c r="BBD2997" s="462"/>
      <c r="BBE2997" s="299"/>
      <c r="BBF2997" s="81"/>
      <c r="BBG2997" s="160"/>
      <c r="BBH2997" s="559"/>
      <c r="BBI2997" s="125"/>
      <c r="BBJ2997" s="470"/>
      <c r="BBK2997" s="449"/>
      <c r="BBL2997" s="462"/>
      <c r="BBM2997" s="299"/>
      <c r="BBN2997" s="81"/>
      <c r="BBO2997" s="160"/>
      <c r="BBP2997" s="559"/>
      <c r="BBQ2997" s="125"/>
      <c r="BBR2997" s="470"/>
      <c r="BBS2997" s="449"/>
      <c r="BBT2997" s="462"/>
      <c r="BBU2997" s="299"/>
      <c r="BBV2997" s="81"/>
      <c r="BBW2997" s="160"/>
      <c r="BBX2997" s="559"/>
      <c r="BBY2997" s="125"/>
      <c r="BBZ2997" s="470"/>
      <c r="BCA2997" s="449"/>
      <c r="BCB2997" s="462"/>
      <c r="BCC2997" s="299"/>
      <c r="BCD2997" s="81"/>
      <c r="BCE2997" s="160"/>
      <c r="BCF2997" s="559"/>
      <c r="BCG2997" s="125"/>
      <c r="BCH2997" s="470"/>
      <c r="BCI2997" s="449"/>
      <c r="BCJ2997" s="462"/>
      <c r="BCK2997" s="299"/>
      <c r="BCL2997" s="81"/>
      <c r="BCM2997" s="160"/>
      <c r="BCN2997" s="559"/>
      <c r="BCO2997" s="125"/>
      <c r="BCP2997" s="470"/>
      <c r="BCQ2997" s="449"/>
      <c r="BCR2997" s="462"/>
      <c r="BCS2997" s="299"/>
      <c r="BCT2997" s="81"/>
      <c r="BCU2997" s="160"/>
      <c r="BCV2997" s="559"/>
      <c r="BCW2997" s="125"/>
      <c r="BCX2997" s="470"/>
      <c r="BCY2997" s="449"/>
      <c r="BCZ2997" s="462"/>
      <c r="BDA2997" s="299"/>
      <c r="BDB2997" s="81"/>
      <c r="BDC2997" s="160"/>
      <c r="BDD2997" s="559"/>
      <c r="BDE2997" s="125"/>
      <c r="BDF2997" s="470"/>
      <c r="BDG2997" s="449"/>
      <c r="BDH2997" s="462"/>
      <c r="BDI2997" s="299"/>
      <c r="BDJ2997" s="81"/>
      <c r="BDK2997" s="160"/>
      <c r="BDL2997" s="559"/>
      <c r="BDM2997" s="125"/>
      <c r="BDN2997" s="470"/>
      <c r="BDO2997" s="449"/>
      <c r="BDP2997" s="462"/>
      <c r="BDQ2997" s="299"/>
      <c r="BDR2997" s="81"/>
      <c r="BDS2997" s="160"/>
      <c r="BDT2997" s="559"/>
      <c r="BDU2997" s="125"/>
      <c r="BDV2997" s="470"/>
      <c r="BDW2997" s="449"/>
      <c r="BDX2997" s="462"/>
      <c r="BDY2997" s="299"/>
      <c r="BDZ2997" s="81"/>
      <c r="BEA2997" s="160"/>
      <c r="BEB2997" s="559"/>
      <c r="BEC2997" s="125"/>
      <c r="BED2997" s="470"/>
      <c r="BEE2997" s="449"/>
      <c r="BEF2997" s="462"/>
      <c r="BEG2997" s="299"/>
      <c r="BEH2997" s="81"/>
      <c r="BEI2997" s="160"/>
      <c r="BEJ2997" s="559"/>
      <c r="BEK2997" s="125"/>
      <c r="BEL2997" s="470"/>
      <c r="BEM2997" s="449"/>
      <c r="BEN2997" s="462"/>
      <c r="BEO2997" s="299"/>
      <c r="BEP2997" s="81"/>
      <c r="BEQ2997" s="160"/>
      <c r="BER2997" s="559"/>
      <c r="BES2997" s="125"/>
      <c r="BET2997" s="470"/>
      <c r="BEU2997" s="449"/>
      <c r="BEV2997" s="462"/>
      <c r="BEW2997" s="299"/>
      <c r="BEX2997" s="81"/>
      <c r="BEY2997" s="160"/>
      <c r="BEZ2997" s="559"/>
      <c r="BFA2997" s="125"/>
      <c r="BFB2997" s="470"/>
      <c r="BFC2997" s="449"/>
      <c r="BFD2997" s="462"/>
      <c r="BFE2997" s="299"/>
      <c r="BFF2997" s="81"/>
      <c r="BFG2997" s="160"/>
      <c r="BFH2997" s="559"/>
      <c r="BFI2997" s="125"/>
      <c r="BFJ2997" s="470"/>
      <c r="BFK2997" s="449"/>
      <c r="BFL2997" s="462"/>
      <c r="BFM2997" s="299"/>
      <c r="BFN2997" s="81"/>
      <c r="BFO2997" s="160"/>
      <c r="BFP2997" s="559"/>
      <c r="BFQ2997" s="125"/>
      <c r="BFR2997" s="470"/>
      <c r="BFS2997" s="449"/>
      <c r="BFT2997" s="462"/>
      <c r="BFU2997" s="299"/>
      <c r="BFV2997" s="81"/>
      <c r="BFW2997" s="160"/>
      <c r="BFX2997" s="559"/>
      <c r="BFY2997" s="125"/>
      <c r="BFZ2997" s="470"/>
      <c r="BGA2997" s="449"/>
      <c r="BGB2997" s="462"/>
      <c r="BGC2997" s="299"/>
      <c r="BGD2997" s="81"/>
      <c r="BGE2997" s="160"/>
      <c r="BGF2997" s="559"/>
      <c r="BGG2997" s="125"/>
      <c r="BGH2997" s="470"/>
      <c r="BGI2997" s="449"/>
      <c r="BGJ2997" s="462"/>
      <c r="BGK2997" s="299"/>
      <c r="BGL2997" s="81"/>
      <c r="BGM2997" s="160"/>
      <c r="BGN2997" s="559"/>
      <c r="BGO2997" s="125"/>
      <c r="BGP2997" s="470"/>
      <c r="BGQ2997" s="449"/>
      <c r="BGR2997" s="462"/>
      <c r="BGS2997" s="299"/>
      <c r="BGT2997" s="81"/>
      <c r="BGU2997" s="160"/>
      <c r="BGV2997" s="559"/>
      <c r="BGW2997" s="125"/>
      <c r="BGX2997" s="470"/>
      <c r="BGY2997" s="449"/>
      <c r="BGZ2997" s="462"/>
      <c r="BHA2997" s="299"/>
      <c r="BHB2997" s="81"/>
      <c r="BHC2997" s="160"/>
      <c r="BHD2997" s="559"/>
      <c r="BHE2997" s="125"/>
      <c r="BHF2997" s="470"/>
      <c r="BHG2997" s="449"/>
      <c r="BHH2997" s="462"/>
      <c r="BHI2997" s="299"/>
      <c r="BHJ2997" s="81"/>
      <c r="BHK2997" s="160"/>
      <c r="BHL2997" s="559"/>
      <c r="BHM2997" s="125"/>
      <c r="BHN2997" s="470"/>
      <c r="BHO2997" s="449"/>
      <c r="BHP2997" s="462"/>
      <c r="BHQ2997" s="299"/>
      <c r="BHR2997" s="81"/>
      <c r="BHS2997" s="160"/>
      <c r="BHT2997" s="559"/>
      <c r="BHU2997" s="125"/>
      <c r="BHV2997" s="470"/>
      <c r="BHW2997" s="449"/>
      <c r="BHX2997" s="462"/>
      <c r="BHY2997" s="299"/>
      <c r="BHZ2997" s="81"/>
      <c r="BIA2997" s="160"/>
      <c r="BIB2997" s="559"/>
      <c r="BIC2997" s="125"/>
      <c r="BID2997" s="470"/>
      <c r="BIE2997" s="449"/>
      <c r="BIF2997" s="462"/>
      <c r="BIG2997" s="299"/>
      <c r="BIH2997" s="81"/>
      <c r="BII2997" s="160"/>
      <c r="BIJ2997" s="559"/>
      <c r="BIK2997" s="125"/>
      <c r="BIL2997" s="470"/>
      <c r="BIM2997" s="449"/>
      <c r="BIN2997" s="462"/>
      <c r="BIO2997" s="299"/>
      <c r="BIP2997" s="81"/>
      <c r="BIQ2997" s="160"/>
      <c r="BIR2997" s="559"/>
      <c r="BIS2997" s="125"/>
      <c r="BIT2997" s="470"/>
      <c r="BIU2997" s="449"/>
      <c r="BIV2997" s="462"/>
      <c r="BIW2997" s="299"/>
      <c r="BIX2997" s="81"/>
      <c r="BIY2997" s="160"/>
      <c r="BIZ2997" s="559"/>
      <c r="BJA2997" s="125"/>
      <c r="BJB2997" s="470"/>
      <c r="BJC2997" s="449"/>
      <c r="BJD2997" s="462"/>
      <c r="BJE2997" s="299"/>
      <c r="BJF2997" s="81"/>
      <c r="BJG2997" s="160"/>
      <c r="BJH2997" s="559"/>
      <c r="BJI2997" s="125"/>
      <c r="BJJ2997" s="470"/>
      <c r="BJK2997" s="449"/>
      <c r="BJL2997" s="462"/>
      <c r="BJM2997" s="299"/>
      <c r="BJN2997" s="81"/>
      <c r="BJO2997" s="160"/>
      <c r="BJP2997" s="559"/>
      <c r="BJQ2997" s="125"/>
      <c r="BJR2997" s="470"/>
      <c r="BJS2997" s="449"/>
      <c r="BJT2997" s="462"/>
      <c r="BJU2997" s="299"/>
      <c r="BJV2997" s="81"/>
      <c r="BJW2997" s="160"/>
      <c r="BJX2997" s="559"/>
      <c r="BJY2997" s="125"/>
      <c r="BJZ2997" s="470"/>
      <c r="BKA2997" s="449"/>
      <c r="BKB2997" s="462"/>
      <c r="BKC2997" s="299"/>
      <c r="BKD2997" s="81"/>
      <c r="BKE2997" s="160"/>
      <c r="BKF2997" s="559"/>
      <c r="BKG2997" s="125"/>
      <c r="BKH2997" s="470"/>
      <c r="BKI2997" s="449"/>
      <c r="BKJ2997" s="462"/>
      <c r="BKK2997" s="299"/>
      <c r="BKL2997" s="81"/>
      <c r="BKM2997" s="160"/>
      <c r="BKN2997" s="559"/>
      <c r="BKO2997" s="125"/>
      <c r="BKP2997" s="470"/>
      <c r="BKQ2997" s="449"/>
      <c r="BKR2997" s="462"/>
      <c r="BKS2997" s="299"/>
      <c r="BKT2997" s="81"/>
      <c r="BKU2997" s="160"/>
      <c r="BKV2997" s="559"/>
      <c r="BKW2997" s="125"/>
      <c r="BKX2997" s="470"/>
      <c r="BKY2997" s="449"/>
      <c r="BKZ2997" s="462"/>
      <c r="BLA2997" s="299"/>
      <c r="BLB2997" s="81"/>
      <c r="BLC2997" s="160"/>
      <c r="BLD2997" s="559"/>
      <c r="BLE2997" s="125"/>
      <c r="BLF2997" s="470"/>
      <c r="BLG2997" s="449"/>
      <c r="BLH2997" s="462"/>
      <c r="BLI2997" s="299"/>
      <c r="BLJ2997" s="81"/>
      <c r="BLK2997" s="160"/>
      <c r="BLL2997" s="559"/>
      <c r="BLM2997" s="125"/>
      <c r="BLN2997" s="470"/>
      <c r="BLO2997" s="449"/>
      <c r="BLP2997" s="462"/>
      <c r="BLQ2997" s="299"/>
      <c r="BLR2997" s="81"/>
      <c r="BLS2997" s="160"/>
      <c r="BLT2997" s="559"/>
      <c r="BLU2997" s="125"/>
      <c r="BLV2997" s="470"/>
      <c r="BLW2997" s="449"/>
      <c r="BLX2997" s="462"/>
      <c r="BLY2997" s="299"/>
      <c r="BLZ2997" s="81"/>
      <c r="BMA2997" s="160"/>
      <c r="BMB2997" s="559"/>
      <c r="BMC2997" s="125"/>
      <c r="BMD2997" s="470"/>
      <c r="BME2997" s="449"/>
      <c r="BMF2997" s="462"/>
      <c r="BMG2997" s="299"/>
      <c r="BMH2997" s="81"/>
      <c r="BMI2997" s="160"/>
      <c r="BMJ2997" s="559"/>
      <c r="BMK2997" s="125"/>
      <c r="BML2997" s="470"/>
      <c r="BMM2997" s="449"/>
      <c r="BMN2997" s="462"/>
      <c r="BMO2997" s="299"/>
      <c r="BMP2997" s="81"/>
      <c r="BMQ2997" s="160"/>
      <c r="BMR2997" s="559"/>
      <c r="BMS2997" s="125"/>
      <c r="BMT2997" s="470"/>
      <c r="BMU2997" s="449"/>
      <c r="BMV2997" s="462"/>
      <c r="BMW2997" s="299"/>
      <c r="BMX2997" s="81"/>
      <c r="BMY2997" s="160"/>
      <c r="BMZ2997" s="559"/>
      <c r="BNA2997" s="125"/>
      <c r="BNB2997" s="470"/>
      <c r="BNC2997" s="449"/>
      <c r="BND2997" s="462"/>
      <c r="BNE2997" s="299"/>
      <c r="BNF2997" s="81"/>
      <c r="BNG2997" s="160"/>
      <c r="BNH2997" s="559"/>
      <c r="BNI2997" s="125"/>
      <c r="BNJ2997" s="470"/>
      <c r="BNK2997" s="449"/>
      <c r="BNL2997" s="462"/>
      <c r="BNM2997" s="299"/>
      <c r="BNN2997" s="81"/>
      <c r="BNO2997" s="160"/>
      <c r="BNP2997" s="559"/>
      <c r="BNQ2997" s="125"/>
      <c r="BNR2997" s="470"/>
      <c r="BNS2997" s="449"/>
      <c r="BNT2997" s="462"/>
      <c r="BNU2997" s="299"/>
      <c r="BNV2997" s="81"/>
      <c r="BNW2997" s="160"/>
      <c r="BNX2997" s="559"/>
      <c r="BNY2997" s="125"/>
      <c r="BNZ2997" s="470"/>
      <c r="BOA2997" s="449"/>
      <c r="BOB2997" s="462"/>
      <c r="BOC2997" s="299"/>
      <c r="BOD2997" s="81"/>
      <c r="BOE2997" s="160"/>
      <c r="BOF2997" s="559"/>
      <c r="BOG2997" s="125"/>
      <c r="BOH2997" s="470"/>
      <c r="BOI2997" s="449"/>
      <c r="BOJ2997" s="462"/>
      <c r="BOK2997" s="299"/>
      <c r="BOL2997" s="81"/>
      <c r="BOM2997" s="160"/>
      <c r="BON2997" s="559"/>
      <c r="BOO2997" s="125"/>
      <c r="BOP2997" s="470"/>
      <c r="BOQ2997" s="449"/>
      <c r="BOR2997" s="462"/>
      <c r="BOS2997" s="299"/>
      <c r="BOT2997" s="81"/>
      <c r="BOU2997" s="160"/>
      <c r="BOV2997" s="559"/>
      <c r="BOW2997" s="125"/>
      <c r="BOX2997" s="470"/>
      <c r="BOY2997" s="449"/>
      <c r="BOZ2997" s="462"/>
      <c r="BPA2997" s="299"/>
      <c r="BPB2997" s="81"/>
      <c r="BPC2997" s="160"/>
      <c r="BPD2997" s="559"/>
      <c r="BPE2997" s="125"/>
      <c r="BPF2997" s="470"/>
      <c r="BPG2997" s="449"/>
      <c r="BPH2997" s="462"/>
      <c r="BPI2997" s="299"/>
      <c r="BPJ2997" s="81"/>
      <c r="BPK2997" s="160"/>
      <c r="BPL2997" s="559"/>
      <c r="BPM2997" s="125"/>
      <c r="BPN2997" s="470"/>
      <c r="BPO2997" s="449"/>
      <c r="BPP2997" s="462"/>
      <c r="BPQ2997" s="299"/>
      <c r="BPR2997" s="81"/>
      <c r="BPS2997" s="160"/>
      <c r="BPT2997" s="559"/>
      <c r="BPU2997" s="125"/>
      <c r="BPV2997" s="470"/>
      <c r="BPW2997" s="449"/>
      <c r="BPX2997" s="462"/>
      <c r="BPY2997" s="299"/>
      <c r="BPZ2997" s="81"/>
      <c r="BQA2997" s="160"/>
      <c r="BQB2997" s="559"/>
      <c r="BQC2997" s="125"/>
      <c r="BQD2997" s="470"/>
      <c r="BQE2997" s="449"/>
      <c r="BQF2997" s="462"/>
      <c r="BQG2997" s="299"/>
      <c r="BQH2997" s="81"/>
      <c r="BQI2997" s="160"/>
      <c r="BQJ2997" s="559"/>
      <c r="BQK2997" s="125"/>
      <c r="BQL2997" s="470"/>
      <c r="BQM2997" s="449"/>
      <c r="BQN2997" s="462"/>
      <c r="BQO2997" s="299"/>
      <c r="BQP2997" s="81"/>
      <c r="BQQ2997" s="160"/>
      <c r="BQR2997" s="559"/>
      <c r="BQS2997" s="125"/>
      <c r="BQT2997" s="470"/>
      <c r="BQU2997" s="449"/>
      <c r="BQV2997" s="462"/>
      <c r="BQW2997" s="299"/>
      <c r="BQX2997" s="81"/>
      <c r="BQY2997" s="160"/>
      <c r="BQZ2997" s="559"/>
      <c r="BRA2997" s="125"/>
      <c r="BRB2997" s="470"/>
      <c r="BRC2997" s="449"/>
      <c r="BRD2997" s="462"/>
      <c r="BRE2997" s="299"/>
      <c r="BRF2997" s="81"/>
      <c r="BRG2997" s="160"/>
      <c r="BRH2997" s="559"/>
      <c r="BRI2997" s="125"/>
      <c r="BRJ2997" s="470"/>
      <c r="BRK2997" s="449"/>
      <c r="BRL2997" s="462"/>
      <c r="BRM2997" s="299"/>
      <c r="BRN2997" s="81"/>
      <c r="BRO2997" s="160"/>
      <c r="BRP2997" s="559"/>
      <c r="BRQ2997" s="125"/>
      <c r="BRR2997" s="470"/>
      <c r="BRS2997" s="449"/>
      <c r="BRT2997" s="462"/>
      <c r="BRU2997" s="299"/>
      <c r="BRV2997" s="81"/>
      <c r="BRW2997" s="160"/>
      <c r="BRX2997" s="559"/>
      <c r="BRY2997" s="125"/>
      <c r="BRZ2997" s="470"/>
      <c r="BSA2997" s="449"/>
      <c r="BSB2997" s="462"/>
      <c r="BSC2997" s="299"/>
      <c r="BSD2997" s="81"/>
      <c r="BSE2997" s="160"/>
      <c r="BSF2997" s="559"/>
      <c r="BSG2997" s="125"/>
      <c r="BSH2997" s="470"/>
      <c r="BSI2997" s="449"/>
      <c r="BSJ2997" s="462"/>
      <c r="BSK2997" s="299"/>
      <c r="BSL2997" s="81"/>
      <c r="BSM2997" s="160"/>
      <c r="BSN2997" s="559"/>
      <c r="BSO2997" s="125"/>
      <c r="BSP2997" s="470"/>
      <c r="BSQ2997" s="449"/>
      <c r="BSR2997" s="462"/>
      <c r="BSS2997" s="299"/>
      <c r="BST2997" s="81"/>
      <c r="BSU2997" s="160"/>
      <c r="BSV2997" s="559"/>
      <c r="BSW2997" s="125"/>
      <c r="BSX2997" s="470"/>
      <c r="BSY2997" s="449"/>
      <c r="BSZ2997" s="462"/>
      <c r="BTA2997" s="299"/>
      <c r="BTB2997" s="81"/>
      <c r="BTC2997" s="160"/>
      <c r="BTD2997" s="559"/>
      <c r="BTE2997" s="125"/>
      <c r="BTF2997" s="470"/>
      <c r="BTG2997" s="449"/>
      <c r="BTH2997" s="462"/>
      <c r="BTI2997" s="299"/>
      <c r="BTJ2997" s="81"/>
      <c r="BTK2997" s="160"/>
      <c r="BTL2997" s="559"/>
      <c r="BTM2997" s="125"/>
      <c r="BTN2997" s="470"/>
      <c r="BTO2997" s="449"/>
      <c r="BTP2997" s="462"/>
      <c r="BTQ2997" s="299"/>
      <c r="BTR2997" s="81"/>
      <c r="BTS2997" s="160"/>
      <c r="BTT2997" s="559"/>
      <c r="BTU2997" s="125"/>
      <c r="BTV2997" s="470"/>
      <c r="BTW2997" s="449"/>
      <c r="BTX2997" s="462"/>
      <c r="BTY2997" s="299"/>
      <c r="BTZ2997" s="81"/>
      <c r="BUA2997" s="160"/>
      <c r="BUB2997" s="559"/>
      <c r="BUC2997" s="125"/>
      <c r="BUD2997" s="470"/>
      <c r="BUE2997" s="449"/>
      <c r="BUF2997" s="462"/>
      <c r="BUG2997" s="299"/>
      <c r="BUH2997" s="81"/>
      <c r="BUI2997" s="160"/>
      <c r="BUJ2997" s="559"/>
      <c r="BUK2997" s="125"/>
      <c r="BUL2997" s="470"/>
      <c r="BUM2997" s="449"/>
      <c r="BUN2997" s="462"/>
      <c r="BUO2997" s="299"/>
      <c r="BUP2997" s="81"/>
      <c r="BUQ2997" s="160"/>
      <c r="BUR2997" s="559"/>
      <c r="BUS2997" s="125"/>
      <c r="BUT2997" s="470"/>
      <c r="BUU2997" s="449"/>
      <c r="BUV2997" s="462"/>
      <c r="BUW2997" s="299"/>
      <c r="BUX2997" s="81"/>
      <c r="BUY2997" s="160"/>
      <c r="BUZ2997" s="559"/>
      <c r="BVA2997" s="125"/>
      <c r="BVB2997" s="470"/>
      <c r="BVC2997" s="449"/>
      <c r="BVD2997" s="462"/>
      <c r="BVE2997" s="299"/>
      <c r="BVF2997" s="81"/>
      <c r="BVG2997" s="160"/>
      <c r="BVH2997" s="559"/>
      <c r="BVI2997" s="125"/>
      <c r="BVJ2997" s="470"/>
      <c r="BVK2997" s="449"/>
      <c r="BVL2997" s="462"/>
      <c r="BVM2997" s="299"/>
      <c r="BVN2997" s="81"/>
      <c r="BVO2997" s="160"/>
      <c r="BVP2997" s="559"/>
      <c r="BVQ2997" s="125"/>
      <c r="BVR2997" s="470"/>
      <c r="BVS2997" s="449"/>
      <c r="BVT2997" s="462"/>
      <c r="BVU2997" s="299"/>
      <c r="BVV2997" s="81"/>
      <c r="BVW2997" s="160"/>
      <c r="BVX2997" s="559"/>
      <c r="BVY2997" s="125"/>
      <c r="BVZ2997" s="470"/>
      <c r="BWA2997" s="449"/>
      <c r="BWB2997" s="462"/>
      <c r="BWC2997" s="299"/>
      <c r="BWD2997" s="81"/>
      <c r="BWE2997" s="160"/>
      <c r="BWF2997" s="559"/>
      <c r="BWG2997" s="125"/>
      <c r="BWH2997" s="470"/>
      <c r="BWI2997" s="449"/>
      <c r="BWJ2997" s="462"/>
      <c r="BWK2997" s="299"/>
      <c r="BWL2997" s="81"/>
      <c r="BWM2997" s="160"/>
      <c r="BWN2997" s="559"/>
      <c r="BWO2997" s="125"/>
      <c r="BWP2997" s="470"/>
      <c r="BWQ2997" s="449"/>
      <c r="BWR2997" s="462"/>
      <c r="BWS2997" s="299"/>
      <c r="BWT2997" s="81"/>
      <c r="BWU2997" s="160"/>
      <c r="BWV2997" s="559"/>
      <c r="BWW2997" s="125"/>
      <c r="BWX2997" s="470"/>
      <c r="BWY2997" s="449"/>
      <c r="BWZ2997" s="462"/>
      <c r="BXA2997" s="299"/>
      <c r="BXB2997" s="81"/>
      <c r="BXC2997" s="160"/>
      <c r="BXD2997" s="559"/>
      <c r="BXE2997" s="125"/>
      <c r="BXF2997" s="470"/>
      <c r="BXG2997" s="449"/>
      <c r="BXH2997" s="462"/>
      <c r="BXI2997" s="299"/>
      <c r="BXJ2997" s="81"/>
      <c r="BXK2997" s="160"/>
      <c r="BXL2997" s="559"/>
      <c r="BXM2997" s="125"/>
      <c r="BXN2997" s="470"/>
      <c r="BXO2997" s="449"/>
      <c r="BXP2997" s="462"/>
      <c r="BXQ2997" s="299"/>
      <c r="BXR2997" s="81"/>
      <c r="BXS2997" s="160"/>
      <c r="BXT2997" s="559"/>
      <c r="BXU2997" s="125"/>
      <c r="BXV2997" s="470"/>
      <c r="BXW2997" s="449"/>
      <c r="BXX2997" s="462"/>
      <c r="BXY2997" s="299"/>
      <c r="BXZ2997" s="81"/>
      <c r="BYA2997" s="160"/>
      <c r="BYB2997" s="559"/>
      <c r="BYC2997" s="125"/>
      <c r="BYD2997" s="470"/>
      <c r="BYE2997" s="449"/>
      <c r="BYF2997" s="462"/>
      <c r="BYG2997" s="299"/>
      <c r="BYH2997" s="81"/>
      <c r="BYI2997" s="160"/>
      <c r="BYJ2997" s="559"/>
      <c r="BYK2997" s="125"/>
      <c r="BYL2997" s="470"/>
      <c r="BYM2997" s="449"/>
      <c r="BYN2997" s="462"/>
      <c r="BYO2997" s="299"/>
      <c r="BYP2997" s="81"/>
      <c r="BYQ2997" s="160"/>
      <c r="BYR2997" s="559"/>
      <c r="BYS2997" s="125"/>
      <c r="BYT2997" s="470"/>
      <c r="BYU2997" s="449"/>
      <c r="BYV2997" s="462"/>
      <c r="BYW2997" s="299"/>
      <c r="BYX2997" s="81"/>
      <c r="BYY2997" s="160"/>
      <c r="BYZ2997" s="559"/>
      <c r="BZA2997" s="125"/>
      <c r="BZB2997" s="470"/>
      <c r="BZC2997" s="449"/>
      <c r="BZD2997" s="462"/>
      <c r="BZE2997" s="299"/>
      <c r="BZF2997" s="81"/>
      <c r="BZG2997" s="160"/>
      <c r="BZH2997" s="559"/>
      <c r="BZI2997" s="125"/>
      <c r="BZJ2997" s="470"/>
      <c r="BZK2997" s="449"/>
      <c r="BZL2997" s="462"/>
      <c r="BZM2997" s="299"/>
      <c r="BZN2997" s="81"/>
      <c r="BZO2997" s="160"/>
      <c r="BZP2997" s="559"/>
      <c r="BZQ2997" s="125"/>
      <c r="BZR2997" s="470"/>
      <c r="BZS2997" s="449"/>
      <c r="BZT2997" s="462"/>
      <c r="BZU2997" s="299"/>
      <c r="BZV2997" s="81"/>
      <c r="BZW2997" s="160"/>
      <c r="BZX2997" s="559"/>
      <c r="BZY2997" s="125"/>
      <c r="BZZ2997" s="470"/>
      <c r="CAA2997" s="449"/>
      <c r="CAB2997" s="462"/>
      <c r="CAC2997" s="299"/>
      <c r="CAD2997" s="81"/>
      <c r="CAE2997" s="160"/>
      <c r="CAF2997" s="559"/>
      <c r="CAG2997" s="125"/>
      <c r="CAH2997" s="470"/>
      <c r="CAI2997" s="449"/>
      <c r="CAJ2997" s="462"/>
      <c r="CAK2997" s="299"/>
      <c r="CAL2997" s="81"/>
      <c r="CAM2997" s="160"/>
      <c r="CAN2997" s="559"/>
      <c r="CAO2997" s="125"/>
      <c r="CAP2997" s="470"/>
      <c r="CAQ2997" s="449"/>
      <c r="CAR2997" s="462"/>
      <c r="CAS2997" s="299"/>
      <c r="CAT2997" s="81"/>
      <c r="CAU2997" s="160"/>
      <c r="CAV2997" s="559"/>
      <c r="CAW2997" s="125"/>
      <c r="CAX2997" s="470"/>
      <c r="CAY2997" s="449"/>
      <c r="CAZ2997" s="462"/>
      <c r="CBA2997" s="299"/>
      <c r="CBB2997" s="81"/>
      <c r="CBC2997" s="160"/>
      <c r="CBD2997" s="559"/>
      <c r="CBE2997" s="125"/>
      <c r="CBF2997" s="470"/>
      <c r="CBG2997" s="449"/>
      <c r="CBH2997" s="462"/>
      <c r="CBI2997" s="299"/>
      <c r="CBJ2997" s="81"/>
      <c r="CBK2997" s="160"/>
      <c r="CBL2997" s="559"/>
      <c r="CBM2997" s="125"/>
      <c r="CBN2997" s="470"/>
      <c r="CBO2997" s="449"/>
      <c r="CBP2997" s="462"/>
      <c r="CBQ2997" s="299"/>
      <c r="CBR2997" s="81"/>
      <c r="CBS2997" s="160"/>
      <c r="CBT2997" s="559"/>
      <c r="CBU2997" s="125"/>
      <c r="CBV2997" s="470"/>
      <c r="CBW2997" s="449"/>
      <c r="CBX2997" s="462"/>
      <c r="CBY2997" s="299"/>
      <c r="CBZ2997" s="81"/>
      <c r="CCA2997" s="160"/>
      <c r="CCB2997" s="559"/>
      <c r="CCC2997" s="125"/>
      <c r="CCD2997" s="470"/>
      <c r="CCE2997" s="449"/>
      <c r="CCF2997" s="462"/>
      <c r="CCG2997" s="299"/>
      <c r="CCH2997" s="81"/>
      <c r="CCI2997" s="160"/>
      <c r="CCJ2997" s="559"/>
      <c r="CCK2997" s="125"/>
      <c r="CCL2997" s="470"/>
      <c r="CCM2997" s="449"/>
      <c r="CCN2997" s="462"/>
      <c r="CCO2997" s="299"/>
      <c r="CCP2997" s="81"/>
      <c r="CCQ2997" s="160"/>
      <c r="CCR2997" s="559"/>
      <c r="CCS2997" s="125"/>
      <c r="CCT2997" s="470"/>
      <c r="CCU2997" s="449"/>
      <c r="CCV2997" s="462"/>
      <c r="CCW2997" s="299"/>
      <c r="CCX2997" s="81"/>
      <c r="CCY2997" s="160"/>
      <c r="CCZ2997" s="559"/>
      <c r="CDA2997" s="125"/>
      <c r="CDB2997" s="470"/>
      <c r="CDC2997" s="449"/>
      <c r="CDD2997" s="462"/>
      <c r="CDE2997" s="299"/>
      <c r="CDF2997" s="81"/>
      <c r="CDG2997" s="160"/>
      <c r="CDH2997" s="559"/>
      <c r="CDI2997" s="125"/>
      <c r="CDJ2997" s="470"/>
      <c r="CDK2997" s="449"/>
      <c r="CDL2997" s="462"/>
      <c r="CDM2997" s="299"/>
      <c r="CDN2997" s="81"/>
      <c r="CDO2997" s="160"/>
      <c r="CDP2997" s="559"/>
      <c r="CDQ2997" s="125"/>
      <c r="CDR2997" s="470"/>
      <c r="CDS2997" s="449"/>
      <c r="CDT2997" s="462"/>
      <c r="CDU2997" s="299"/>
      <c r="CDV2997" s="81"/>
      <c r="CDW2997" s="160"/>
      <c r="CDX2997" s="559"/>
      <c r="CDY2997" s="125"/>
      <c r="CDZ2997" s="470"/>
      <c r="CEA2997" s="449"/>
      <c r="CEB2997" s="462"/>
      <c r="CEC2997" s="299"/>
      <c r="CED2997" s="81"/>
      <c r="CEE2997" s="160"/>
      <c r="CEF2997" s="559"/>
      <c r="CEG2997" s="125"/>
      <c r="CEH2997" s="470"/>
      <c r="CEI2997" s="449"/>
      <c r="CEJ2997" s="462"/>
      <c r="CEK2997" s="299"/>
      <c r="CEL2997" s="81"/>
      <c r="CEM2997" s="160"/>
      <c r="CEN2997" s="559"/>
      <c r="CEO2997" s="125"/>
      <c r="CEP2997" s="470"/>
      <c r="CEQ2997" s="449"/>
      <c r="CER2997" s="462"/>
      <c r="CES2997" s="299"/>
      <c r="CET2997" s="81"/>
      <c r="CEU2997" s="160"/>
      <c r="CEV2997" s="559"/>
      <c r="CEW2997" s="125"/>
      <c r="CEX2997" s="470"/>
      <c r="CEY2997" s="449"/>
      <c r="CEZ2997" s="462"/>
      <c r="CFA2997" s="299"/>
      <c r="CFB2997" s="81"/>
      <c r="CFC2997" s="160"/>
      <c r="CFD2997" s="559"/>
      <c r="CFE2997" s="125"/>
      <c r="CFF2997" s="470"/>
      <c r="CFG2997" s="449"/>
      <c r="CFH2997" s="462"/>
      <c r="CFI2997" s="299"/>
      <c r="CFJ2997" s="81"/>
      <c r="CFK2997" s="160"/>
      <c r="CFL2997" s="559"/>
      <c r="CFM2997" s="125"/>
      <c r="CFN2997" s="470"/>
      <c r="CFO2997" s="449"/>
      <c r="CFP2997" s="462"/>
      <c r="CFQ2997" s="299"/>
      <c r="CFR2997" s="81"/>
      <c r="CFS2997" s="160"/>
      <c r="CFT2997" s="559"/>
      <c r="CFU2997" s="125"/>
      <c r="CFV2997" s="470"/>
      <c r="CFW2997" s="449"/>
      <c r="CFX2997" s="462"/>
      <c r="CFY2997" s="299"/>
      <c r="CFZ2997" s="81"/>
      <c r="CGA2997" s="160"/>
      <c r="CGB2997" s="559"/>
      <c r="CGC2997" s="125"/>
      <c r="CGD2997" s="470"/>
      <c r="CGE2997" s="449"/>
      <c r="CGF2997" s="462"/>
      <c r="CGG2997" s="299"/>
      <c r="CGH2997" s="81"/>
      <c r="CGI2997" s="160"/>
      <c r="CGJ2997" s="559"/>
      <c r="CGK2997" s="125"/>
      <c r="CGL2997" s="470"/>
      <c r="CGM2997" s="449"/>
      <c r="CGN2997" s="462"/>
      <c r="CGO2997" s="299"/>
      <c r="CGP2997" s="81"/>
      <c r="CGQ2997" s="160"/>
      <c r="CGR2997" s="559"/>
      <c r="CGS2997" s="125"/>
      <c r="CGT2997" s="470"/>
      <c r="CGU2997" s="449"/>
      <c r="CGV2997" s="462"/>
      <c r="CGW2997" s="299"/>
      <c r="CGX2997" s="81"/>
      <c r="CGY2997" s="160"/>
      <c r="CGZ2997" s="559"/>
      <c r="CHA2997" s="125"/>
      <c r="CHB2997" s="470"/>
      <c r="CHC2997" s="449"/>
      <c r="CHD2997" s="462"/>
      <c r="CHE2997" s="299"/>
      <c r="CHF2997" s="81"/>
      <c r="CHG2997" s="160"/>
      <c r="CHH2997" s="559"/>
      <c r="CHI2997" s="125"/>
      <c r="CHJ2997" s="470"/>
      <c r="CHK2997" s="449"/>
      <c r="CHL2997" s="462"/>
      <c r="CHM2997" s="299"/>
      <c r="CHN2997" s="81"/>
      <c r="CHO2997" s="160"/>
      <c r="CHP2997" s="559"/>
      <c r="CHQ2997" s="125"/>
      <c r="CHR2997" s="470"/>
      <c r="CHS2997" s="449"/>
      <c r="CHT2997" s="462"/>
      <c r="CHU2997" s="299"/>
      <c r="CHV2997" s="81"/>
      <c r="CHW2997" s="160"/>
      <c r="CHX2997" s="559"/>
      <c r="CHY2997" s="125"/>
      <c r="CHZ2997" s="470"/>
      <c r="CIA2997" s="449"/>
      <c r="CIB2997" s="462"/>
      <c r="CIC2997" s="299"/>
      <c r="CID2997" s="81"/>
      <c r="CIE2997" s="160"/>
      <c r="CIF2997" s="559"/>
      <c r="CIG2997" s="125"/>
      <c r="CIH2997" s="470"/>
      <c r="CII2997" s="449"/>
      <c r="CIJ2997" s="462"/>
      <c r="CIK2997" s="299"/>
      <c r="CIL2997" s="81"/>
      <c r="CIM2997" s="160"/>
      <c r="CIN2997" s="559"/>
      <c r="CIO2997" s="125"/>
      <c r="CIP2997" s="470"/>
      <c r="CIQ2997" s="449"/>
      <c r="CIR2997" s="462"/>
      <c r="CIS2997" s="299"/>
      <c r="CIT2997" s="81"/>
      <c r="CIU2997" s="160"/>
      <c r="CIV2997" s="559"/>
      <c r="CIW2997" s="125"/>
      <c r="CIX2997" s="470"/>
      <c r="CIY2997" s="449"/>
      <c r="CIZ2997" s="462"/>
      <c r="CJA2997" s="299"/>
      <c r="CJB2997" s="81"/>
      <c r="CJC2997" s="160"/>
      <c r="CJD2997" s="559"/>
      <c r="CJE2997" s="125"/>
      <c r="CJF2997" s="470"/>
      <c r="CJG2997" s="449"/>
      <c r="CJH2997" s="462"/>
      <c r="CJI2997" s="299"/>
      <c r="CJJ2997" s="81"/>
      <c r="CJK2997" s="160"/>
      <c r="CJL2997" s="559"/>
      <c r="CJM2997" s="125"/>
      <c r="CJN2997" s="470"/>
      <c r="CJO2997" s="449"/>
      <c r="CJP2997" s="462"/>
      <c r="CJQ2997" s="299"/>
      <c r="CJR2997" s="81"/>
      <c r="CJS2997" s="160"/>
      <c r="CJT2997" s="559"/>
      <c r="CJU2997" s="125"/>
      <c r="CJV2997" s="470"/>
      <c r="CJW2997" s="449"/>
      <c r="CJX2997" s="462"/>
      <c r="CJY2997" s="299"/>
      <c r="CJZ2997" s="81"/>
      <c r="CKA2997" s="160"/>
      <c r="CKB2997" s="559"/>
      <c r="CKC2997" s="125"/>
      <c r="CKD2997" s="470"/>
      <c r="CKE2997" s="449"/>
      <c r="CKF2997" s="462"/>
      <c r="CKG2997" s="299"/>
      <c r="CKH2997" s="81"/>
      <c r="CKI2997" s="160"/>
      <c r="CKJ2997" s="559"/>
      <c r="CKK2997" s="125"/>
      <c r="CKL2997" s="470"/>
      <c r="CKM2997" s="449"/>
      <c r="CKN2997" s="462"/>
      <c r="CKO2997" s="299"/>
      <c r="CKP2997" s="81"/>
      <c r="CKQ2997" s="160"/>
      <c r="CKR2997" s="559"/>
      <c r="CKS2997" s="125"/>
      <c r="CKT2997" s="470"/>
      <c r="CKU2997" s="449"/>
      <c r="CKV2997" s="462"/>
      <c r="CKW2997" s="299"/>
      <c r="CKX2997" s="81"/>
      <c r="CKY2997" s="160"/>
      <c r="CKZ2997" s="559"/>
      <c r="CLA2997" s="125"/>
      <c r="CLB2997" s="470"/>
      <c r="CLC2997" s="449"/>
      <c r="CLD2997" s="462"/>
      <c r="CLE2997" s="299"/>
      <c r="CLF2997" s="81"/>
      <c r="CLG2997" s="160"/>
      <c r="CLH2997" s="559"/>
      <c r="CLI2997" s="125"/>
      <c r="CLJ2997" s="470"/>
      <c r="CLK2997" s="449"/>
      <c r="CLL2997" s="462"/>
      <c r="CLM2997" s="299"/>
      <c r="CLN2997" s="81"/>
      <c r="CLO2997" s="160"/>
      <c r="CLP2997" s="559"/>
      <c r="CLQ2997" s="125"/>
      <c r="CLR2997" s="470"/>
      <c r="CLS2997" s="449"/>
      <c r="CLT2997" s="462"/>
      <c r="CLU2997" s="299"/>
      <c r="CLV2997" s="81"/>
      <c r="CLW2997" s="160"/>
      <c r="CLX2997" s="559"/>
      <c r="CLY2997" s="125"/>
      <c r="CLZ2997" s="470"/>
      <c r="CMA2997" s="449"/>
      <c r="CMB2997" s="462"/>
      <c r="CMC2997" s="299"/>
      <c r="CMD2997" s="81"/>
      <c r="CME2997" s="160"/>
      <c r="CMF2997" s="559"/>
      <c r="CMG2997" s="125"/>
      <c r="CMH2997" s="470"/>
      <c r="CMI2997" s="449"/>
      <c r="CMJ2997" s="462"/>
      <c r="CMK2997" s="299"/>
      <c r="CML2997" s="81"/>
      <c r="CMM2997" s="160"/>
      <c r="CMN2997" s="559"/>
      <c r="CMO2997" s="125"/>
      <c r="CMP2997" s="470"/>
      <c r="CMQ2997" s="449"/>
      <c r="CMR2997" s="462"/>
      <c r="CMS2997" s="299"/>
      <c r="CMT2997" s="81"/>
      <c r="CMU2997" s="160"/>
      <c r="CMV2997" s="559"/>
      <c r="CMW2997" s="125"/>
      <c r="CMX2997" s="470"/>
      <c r="CMY2997" s="449"/>
      <c r="CMZ2997" s="462"/>
      <c r="CNA2997" s="299"/>
      <c r="CNB2997" s="81"/>
      <c r="CNC2997" s="160"/>
      <c r="CND2997" s="559"/>
      <c r="CNE2997" s="125"/>
      <c r="CNF2997" s="470"/>
      <c r="CNG2997" s="449"/>
      <c r="CNH2997" s="462"/>
      <c r="CNI2997" s="299"/>
      <c r="CNJ2997" s="81"/>
      <c r="CNK2997" s="160"/>
      <c r="CNL2997" s="559"/>
      <c r="CNM2997" s="125"/>
      <c r="CNN2997" s="470"/>
      <c r="CNO2997" s="449"/>
      <c r="CNP2997" s="462"/>
      <c r="CNQ2997" s="299"/>
      <c r="CNR2997" s="81"/>
      <c r="CNS2997" s="160"/>
      <c r="CNT2997" s="559"/>
      <c r="CNU2997" s="125"/>
      <c r="CNV2997" s="470"/>
      <c r="CNW2997" s="449"/>
      <c r="CNX2997" s="462"/>
      <c r="CNY2997" s="299"/>
      <c r="CNZ2997" s="81"/>
      <c r="COA2997" s="160"/>
      <c r="COB2997" s="559"/>
      <c r="COC2997" s="125"/>
      <c r="COD2997" s="470"/>
      <c r="COE2997" s="449"/>
      <c r="COF2997" s="462"/>
      <c r="COG2997" s="299"/>
      <c r="COH2997" s="81"/>
      <c r="COI2997" s="160"/>
      <c r="COJ2997" s="559"/>
      <c r="COK2997" s="125"/>
      <c r="COL2997" s="470"/>
      <c r="COM2997" s="449"/>
      <c r="CON2997" s="462"/>
      <c r="COO2997" s="299"/>
      <c r="COP2997" s="81"/>
      <c r="COQ2997" s="160"/>
      <c r="COR2997" s="559"/>
      <c r="COS2997" s="125"/>
      <c r="COT2997" s="470"/>
      <c r="COU2997" s="449"/>
      <c r="COV2997" s="462"/>
      <c r="COW2997" s="299"/>
      <c r="COX2997" s="81"/>
      <c r="COY2997" s="160"/>
      <c r="COZ2997" s="559"/>
      <c r="CPA2997" s="125"/>
      <c r="CPB2997" s="470"/>
      <c r="CPC2997" s="449"/>
      <c r="CPD2997" s="462"/>
      <c r="CPE2997" s="299"/>
      <c r="CPF2997" s="81"/>
      <c r="CPG2997" s="160"/>
      <c r="CPH2997" s="559"/>
      <c r="CPI2997" s="125"/>
      <c r="CPJ2997" s="470"/>
      <c r="CPK2997" s="449"/>
      <c r="CPL2997" s="462"/>
      <c r="CPM2997" s="299"/>
      <c r="CPN2997" s="81"/>
      <c r="CPO2997" s="160"/>
      <c r="CPP2997" s="559"/>
      <c r="CPQ2997" s="125"/>
      <c r="CPR2997" s="470"/>
      <c r="CPS2997" s="449"/>
      <c r="CPT2997" s="462"/>
      <c r="CPU2997" s="299"/>
      <c r="CPV2997" s="81"/>
      <c r="CPW2997" s="160"/>
      <c r="CPX2997" s="559"/>
      <c r="CPY2997" s="125"/>
      <c r="CPZ2997" s="470"/>
      <c r="CQA2997" s="449"/>
      <c r="CQB2997" s="462"/>
      <c r="CQC2997" s="299"/>
      <c r="CQD2997" s="81"/>
      <c r="CQE2997" s="160"/>
      <c r="CQF2997" s="559"/>
      <c r="CQG2997" s="125"/>
      <c r="CQH2997" s="470"/>
      <c r="CQI2997" s="449"/>
      <c r="CQJ2997" s="462"/>
      <c r="CQK2997" s="299"/>
      <c r="CQL2997" s="81"/>
      <c r="CQM2997" s="160"/>
      <c r="CQN2997" s="559"/>
      <c r="CQO2997" s="125"/>
      <c r="CQP2997" s="470"/>
      <c r="CQQ2997" s="449"/>
      <c r="CQR2997" s="462"/>
      <c r="CQS2997" s="299"/>
      <c r="CQT2997" s="81"/>
      <c r="CQU2997" s="160"/>
      <c r="CQV2997" s="559"/>
      <c r="CQW2997" s="125"/>
      <c r="CQX2997" s="470"/>
      <c r="CQY2997" s="449"/>
      <c r="CQZ2997" s="462"/>
      <c r="CRA2997" s="299"/>
      <c r="CRB2997" s="81"/>
      <c r="CRC2997" s="160"/>
      <c r="CRD2997" s="559"/>
      <c r="CRE2997" s="125"/>
      <c r="CRF2997" s="470"/>
      <c r="CRG2997" s="449"/>
      <c r="CRH2997" s="462"/>
      <c r="CRI2997" s="299"/>
      <c r="CRJ2997" s="81"/>
      <c r="CRK2997" s="160"/>
      <c r="CRL2997" s="559"/>
      <c r="CRM2997" s="125"/>
      <c r="CRN2997" s="470"/>
      <c r="CRO2997" s="449"/>
      <c r="CRP2997" s="462"/>
      <c r="CRQ2997" s="299"/>
      <c r="CRR2997" s="81"/>
      <c r="CRS2997" s="160"/>
      <c r="CRT2997" s="559"/>
      <c r="CRU2997" s="125"/>
      <c r="CRV2997" s="470"/>
      <c r="CRW2997" s="449"/>
      <c r="CRX2997" s="462"/>
      <c r="CRY2997" s="299"/>
      <c r="CRZ2997" s="81"/>
      <c r="CSA2997" s="160"/>
      <c r="CSB2997" s="559"/>
      <c r="CSC2997" s="125"/>
      <c r="CSD2997" s="470"/>
      <c r="CSE2997" s="449"/>
      <c r="CSF2997" s="462"/>
      <c r="CSG2997" s="299"/>
      <c r="CSH2997" s="81"/>
      <c r="CSI2997" s="160"/>
      <c r="CSJ2997" s="559"/>
      <c r="CSK2997" s="125"/>
      <c r="CSL2997" s="470"/>
      <c r="CSM2997" s="449"/>
      <c r="CSN2997" s="462"/>
      <c r="CSO2997" s="299"/>
      <c r="CSP2997" s="81"/>
      <c r="CSQ2997" s="160"/>
      <c r="CSR2997" s="559"/>
      <c r="CSS2997" s="125"/>
      <c r="CST2997" s="470"/>
      <c r="CSU2997" s="449"/>
      <c r="CSV2997" s="462"/>
      <c r="CSW2997" s="299"/>
      <c r="CSX2997" s="81"/>
      <c r="CSY2997" s="160"/>
      <c r="CSZ2997" s="559"/>
      <c r="CTA2997" s="125"/>
      <c r="CTB2997" s="470"/>
      <c r="CTC2997" s="449"/>
      <c r="CTD2997" s="462"/>
      <c r="CTE2997" s="299"/>
      <c r="CTF2997" s="81"/>
      <c r="CTG2997" s="160"/>
      <c r="CTH2997" s="559"/>
      <c r="CTI2997" s="125"/>
      <c r="CTJ2997" s="470"/>
      <c r="CTK2997" s="449"/>
      <c r="CTL2997" s="462"/>
      <c r="CTM2997" s="299"/>
      <c r="CTN2997" s="81"/>
      <c r="CTO2997" s="160"/>
      <c r="CTP2997" s="559"/>
      <c r="CTQ2997" s="125"/>
      <c r="CTR2997" s="470"/>
      <c r="CTS2997" s="449"/>
      <c r="CTT2997" s="462"/>
      <c r="CTU2997" s="299"/>
      <c r="CTV2997" s="81"/>
      <c r="CTW2997" s="160"/>
      <c r="CTX2997" s="559"/>
      <c r="CTY2997" s="125"/>
      <c r="CTZ2997" s="470"/>
      <c r="CUA2997" s="449"/>
      <c r="CUB2997" s="462"/>
      <c r="CUC2997" s="299"/>
      <c r="CUD2997" s="81"/>
      <c r="CUE2997" s="160"/>
      <c r="CUF2997" s="559"/>
      <c r="CUG2997" s="125"/>
      <c r="CUH2997" s="470"/>
      <c r="CUI2997" s="449"/>
      <c r="CUJ2997" s="462"/>
      <c r="CUK2997" s="299"/>
      <c r="CUL2997" s="81"/>
      <c r="CUM2997" s="160"/>
      <c r="CUN2997" s="559"/>
      <c r="CUO2997" s="125"/>
      <c r="CUP2997" s="470"/>
      <c r="CUQ2997" s="449"/>
      <c r="CUR2997" s="462"/>
      <c r="CUS2997" s="299"/>
      <c r="CUT2997" s="81"/>
      <c r="CUU2997" s="160"/>
      <c r="CUV2997" s="559"/>
      <c r="CUW2997" s="125"/>
      <c r="CUX2997" s="470"/>
      <c r="CUY2997" s="449"/>
      <c r="CUZ2997" s="462"/>
      <c r="CVA2997" s="299"/>
      <c r="CVB2997" s="81"/>
      <c r="CVC2997" s="160"/>
      <c r="CVD2997" s="559"/>
      <c r="CVE2997" s="125"/>
      <c r="CVF2997" s="470"/>
      <c r="CVG2997" s="449"/>
      <c r="CVH2997" s="462"/>
      <c r="CVI2997" s="299"/>
      <c r="CVJ2997" s="81"/>
      <c r="CVK2997" s="160"/>
      <c r="CVL2997" s="559"/>
      <c r="CVM2997" s="125"/>
      <c r="CVN2997" s="470"/>
      <c r="CVO2997" s="449"/>
      <c r="CVP2997" s="462"/>
      <c r="CVQ2997" s="299"/>
      <c r="CVR2997" s="81"/>
      <c r="CVS2997" s="160"/>
      <c r="CVT2997" s="559"/>
      <c r="CVU2997" s="125"/>
      <c r="CVV2997" s="470"/>
      <c r="CVW2997" s="449"/>
      <c r="CVX2997" s="462"/>
      <c r="CVY2997" s="299"/>
      <c r="CVZ2997" s="81"/>
      <c r="CWA2997" s="160"/>
      <c r="CWB2997" s="559"/>
      <c r="CWC2997" s="125"/>
      <c r="CWD2997" s="470"/>
      <c r="CWE2997" s="449"/>
      <c r="CWF2997" s="462"/>
      <c r="CWG2997" s="299"/>
      <c r="CWH2997" s="81"/>
      <c r="CWI2997" s="160"/>
      <c r="CWJ2997" s="559"/>
      <c r="CWK2997" s="125"/>
      <c r="CWL2997" s="470"/>
      <c r="CWM2997" s="449"/>
      <c r="CWN2997" s="462"/>
      <c r="CWO2997" s="299"/>
      <c r="CWP2997" s="81"/>
      <c r="CWQ2997" s="160"/>
      <c r="CWR2997" s="559"/>
      <c r="CWS2997" s="125"/>
      <c r="CWT2997" s="470"/>
      <c r="CWU2997" s="449"/>
      <c r="CWV2997" s="462"/>
      <c r="CWW2997" s="299"/>
      <c r="CWX2997" s="81"/>
      <c r="CWY2997" s="160"/>
      <c r="CWZ2997" s="559"/>
      <c r="CXA2997" s="125"/>
      <c r="CXB2997" s="470"/>
      <c r="CXC2997" s="449"/>
      <c r="CXD2997" s="462"/>
      <c r="CXE2997" s="299"/>
      <c r="CXF2997" s="81"/>
      <c r="CXG2997" s="160"/>
      <c r="CXH2997" s="559"/>
      <c r="CXI2997" s="125"/>
      <c r="CXJ2997" s="470"/>
      <c r="CXK2997" s="449"/>
      <c r="CXL2997" s="462"/>
      <c r="CXM2997" s="299"/>
      <c r="CXN2997" s="81"/>
      <c r="CXO2997" s="160"/>
      <c r="CXP2997" s="559"/>
      <c r="CXQ2997" s="125"/>
      <c r="CXR2997" s="470"/>
      <c r="CXS2997" s="449"/>
      <c r="CXT2997" s="462"/>
      <c r="CXU2997" s="299"/>
      <c r="CXV2997" s="81"/>
      <c r="CXW2997" s="160"/>
      <c r="CXX2997" s="559"/>
      <c r="CXY2997" s="125"/>
      <c r="CXZ2997" s="470"/>
      <c r="CYA2997" s="449"/>
      <c r="CYB2997" s="462"/>
      <c r="CYC2997" s="299"/>
      <c r="CYD2997" s="81"/>
      <c r="CYE2997" s="160"/>
      <c r="CYF2997" s="559"/>
      <c r="CYG2997" s="125"/>
      <c r="CYH2997" s="470"/>
      <c r="CYI2997" s="449"/>
      <c r="CYJ2997" s="462"/>
      <c r="CYK2997" s="299"/>
      <c r="CYL2997" s="81"/>
      <c r="CYM2997" s="160"/>
      <c r="CYN2997" s="559"/>
      <c r="CYO2997" s="125"/>
      <c r="CYP2997" s="470"/>
      <c r="CYQ2997" s="449"/>
      <c r="CYR2997" s="462"/>
      <c r="CYS2997" s="299"/>
      <c r="CYT2997" s="81"/>
      <c r="CYU2997" s="160"/>
      <c r="CYV2997" s="559"/>
      <c r="CYW2997" s="125"/>
      <c r="CYX2997" s="470"/>
      <c r="CYY2997" s="449"/>
      <c r="CYZ2997" s="462"/>
      <c r="CZA2997" s="299"/>
      <c r="CZB2997" s="81"/>
      <c r="CZC2997" s="160"/>
      <c r="CZD2997" s="559"/>
      <c r="CZE2997" s="125"/>
      <c r="CZF2997" s="470"/>
      <c r="CZG2997" s="449"/>
      <c r="CZH2997" s="462"/>
      <c r="CZI2997" s="299"/>
      <c r="CZJ2997" s="81"/>
      <c r="CZK2997" s="160"/>
      <c r="CZL2997" s="559"/>
      <c r="CZM2997" s="125"/>
      <c r="CZN2997" s="470"/>
      <c r="CZO2997" s="449"/>
      <c r="CZP2997" s="462"/>
      <c r="CZQ2997" s="299"/>
      <c r="CZR2997" s="81"/>
      <c r="CZS2997" s="160"/>
      <c r="CZT2997" s="559"/>
      <c r="CZU2997" s="125"/>
      <c r="CZV2997" s="470"/>
      <c r="CZW2997" s="449"/>
      <c r="CZX2997" s="462"/>
      <c r="CZY2997" s="299"/>
      <c r="CZZ2997" s="81"/>
      <c r="DAA2997" s="160"/>
      <c r="DAB2997" s="559"/>
      <c r="DAC2997" s="125"/>
      <c r="DAD2997" s="470"/>
      <c r="DAE2997" s="449"/>
      <c r="DAF2997" s="462"/>
      <c r="DAG2997" s="299"/>
      <c r="DAH2997" s="81"/>
      <c r="DAI2997" s="160"/>
      <c r="DAJ2997" s="559"/>
      <c r="DAK2997" s="125"/>
      <c r="DAL2997" s="470"/>
      <c r="DAM2997" s="449"/>
      <c r="DAN2997" s="462"/>
      <c r="DAO2997" s="299"/>
      <c r="DAP2997" s="81"/>
      <c r="DAQ2997" s="160"/>
      <c r="DAR2997" s="559"/>
      <c r="DAS2997" s="125"/>
      <c r="DAT2997" s="470"/>
      <c r="DAU2997" s="449"/>
      <c r="DAV2997" s="462"/>
      <c r="DAW2997" s="299"/>
      <c r="DAX2997" s="81"/>
      <c r="DAY2997" s="160"/>
      <c r="DAZ2997" s="559"/>
      <c r="DBA2997" s="125"/>
      <c r="DBB2997" s="470"/>
      <c r="DBC2997" s="449"/>
      <c r="DBD2997" s="462"/>
      <c r="DBE2997" s="299"/>
      <c r="DBF2997" s="81"/>
      <c r="DBG2997" s="160"/>
      <c r="DBH2997" s="559"/>
      <c r="DBI2997" s="125"/>
      <c r="DBJ2997" s="470"/>
      <c r="DBK2997" s="449"/>
      <c r="DBL2997" s="462"/>
      <c r="DBM2997" s="299"/>
      <c r="DBN2997" s="81"/>
      <c r="DBO2997" s="160"/>
      <c r="DBP2997" s="559"/>
      <c r="DBQ2997" s="125"/>
      <c r="DBR2997" s="470"/>
      <c r="DBS2997" s="449"/>
      <c r="DBT2997" s="462"/>
      <c r="DBU2997" s="299"/>
      <c r="DBV2997" s="81"/>
      <c r="DBW2997" s="160"/>
      <c r="DBX2997" s="559"/>
      <c r="DBY2997" s="125"/>
      <c r="DBZ2997" s="470"/>
      <c r="DCA2997" s="449"/>
      <c r="DCB2997" s="462"/>
      <c r="DCC2997" s="299"/>
      <c r="DCD2997" s="81"/>
      <c r="DCE2997" s="160"/>
      <c r="DCF2997" s="559"/>
      <c r="DCG2997" s="125"/>
      <c r="DCH2997" s="470"/>
      <c r="DCI2997" s="449"/>
      <c r="DCJ2997" s="462"/>
      <c r="DCK2997" s="299"/>
      <c r="DCL2997" s="81"/>
      <c r="DCM2997" s="160"/>
      <c r="DCN2997" s="559"/>
      <c r="DCO2997" s="125"/>
      <c r="DCP2997" s="470"/>
      <c r="DCQ2997" s="449"/>
      <c r="DCR2997" s="462"/>
      <c r="DCS2997" s="299"/>
      <c r="DCT2997" s="81"/>
      <c r="DCU2997" s="160"/>
      <c r="DCV2997" s="559"/>
      <c r="DCW2997" s="125"/>
      <c r="DCX2997" s="470"/>
      <c r="DCY2997" s="449"/>
      <c r="DCZ2997" s="462"/>
      <c r="DDA2997" s="299"/>
      <c r="DDB2997" s="81"/>
      <c r="DDC2997" s="160"/>
      <c r="DDD2997" s="559"/>
      <c r="DDE2997" s="125"/>
      <c r="DDF2997" s="470"/>
      <c r="DDG2997" s="449"/>
      <c r="DDH2997" s="462"/>
      <c r="DDI2997" s="299"/>
      <c r="DDJ2997" s="81"/>
      <c r="DDK2997" s="160"/>
      <c r="DDL2997" s="559"/>
      <c r="DDM2997" s="125"/>
      <c r="DDN2997" s="470"/>
      <c r="DDO2997" s="449"/>
      <c r="DDP2997" s="462"/>
      <c r="DDQ2997" s="299"/>
      <c r="DDR2997" s="81"/>
      <c r="DDS2997" s="160"/>
      <c r="DDT2997" s="559"/>
      <c r="DDU2997" s="125"/>
      <c r="DDV2997" s="470"/>
      <c r="DDW2997" s="449"/>
      <c r="DDX2997" s="462"/>
      <c r="DDY2997" s="299"/>
      <c r="DDZ2997" s="81"/>
      <c r="DEA2997" s="160"/>
      <c r="DEB2997" s="559"/>
      <c r="DEC2997" s="125"/>
      <c r="DED2997" s="470"/>
      <c r="DEE2997" s="449"/>
      <c r="DEF2997" s="462"/>
      <c r="DEG2997" s="299"/>
      <c r="DEH2997" s="81"/>
      <c r="DEI2997" s="160"/>
      <c r="DEJ2997" s="559"/>
      <c r="DEK2997" s="125"/>
      <c r="DEL2997" s="470"/>
      <c r="DEM2997" s="449"/>
      <c r="DEN2997" s="462"/>
      <c r="DEO2997" s="299"/>
      <c r="DEP2997" s="81"/>
      <c r="DEQ2997" s="160"/>
      <c r="DER2997" s="559"/>
      <c r="DES2997" s="125"/>
      <c r="DET2997" s="470"/>
      <c r="DEU2997" s="449"/>
      <c r="DEV2997" s="462"/>
      <c r="DEW2997" s="299"/>
      <c r="DEX2997" s="81"/>
      <c r="DEY2997" s="160"/>
      <c r="DEZ2997" s="559"/>
      <c r="DFA2997" s="125"/>
      <c r="DFB2997" s="470"/>
      <c r="DFC2997" s="449"/>
      <c r="DFD2997" s="462"/>
      <c r="DFE2997" s="299"/>
      <c r="DFF2997" s="81"/>
      <c r="DFG2997" s="160"/>
      <c r="DFH2997" s="559"/>
      <c r="DFI2997" s="125"/>
      <c r="DFJ2997" s="470"/>
      <c r="DFK2997" s="449"/>
      <c r="DFL2997" s="462"/>
      <c r="DFM2997" s="299"/>
      <c r="DFN2997" s="81"/>
      <c r="DFO2997" s="160"/>
      <c r="DFP2997" s="559"/>
      <c r="DFQ2997" s="125"/>
      <c r="DFR2997" s="470"/>
      <c r="DFS2997" s="449"/>
      <c r="DFT2997" s="462"/>
      <c r="DFU2997" s="299"/>
      <c r="DFV2997" s="81"/>
      <c r="DFW2997" s="160"/>
      <c r="DFX2997" s="559"/>
      <c r="DFY2997" s="125"/>
      <c r="DFZ2997" s="470"/>
      <c r="DGA2997" s="449"/>
      <c r="DGB2997" s="462"/>
      <c r="DGC2997" s="299"/>
      <c r="DGD2997" s="81"/>
      <c r="DGE2997" s="160"/>
      <c r="DGF2997" s="559"/>
      <c r="DGG2997" s="125"/>
      <c r="DGH2997" s="470"/>
      <c r="DGI2997" s="449"/>
      <c r="DGJ2997" s="462"/>
      <c r="DGK2997" s="299"/>
      <c r="DGL2997" s="81"/>
      <c r="DGM2997" s="160"/>
      <c r="DGN2997" s="559"/>
      <c r="DGO2997" s="125"/>
      <c r="DGP2997" s="470"/>
      <c r="DGQ2997" s="449"/>
      <c r="DGR2997" s="462"/>
      <c r="DGS2997" s="299"/>
      <c r="DGT2997" s="81"/>
      <c r="DGU2997" s="160"/>
      <c r="DGV2997" s="559"/>
      <c r="DGW2997" s="125"/>
      <c r="DGX2997" s="470"/>
      <c r="DGY2997" s="449"/>
      <c r="DGZ2997" s="462"/>
      <c r="DHA2997" s="299"/>
      <c r="DHB2997" s="81"/>
      <c r="DHC2997" s="160"/>
      <c r="DHD2997" s="559"/>
      <c r="DHE2997" s="125"/>
      <c r="DHF2997" s="470"/>
      <c r="DHG2997" s="449"/>
      <c r="DHH2997" s="462"/>
      <c r="DHI2997" s="299"/>
      <c r="DHJ2997" s="81"/>
      <c r="DHK2997" s="160"/>
      <c r="DHL2997" s="559"/>
      <c r="DHM2997" s="125"/>
      <c r="DHN2997" s="470"/>
      <c r="DHO2997" s="449"/>
      <c r="DHP2997" s="462"/>
      <c r="DHQ2997" s="299"/>
      <c r="DHR2997" s="81"/>
      <c r="DHS2997" s="160"/>
      <c r="DHT2997" s="559"/>
      <c r="DHU2997" s="125"/>
      <c r="DHV2997" s="470"/>
      <c r="DHW2997" s="449"/>
      <c r="DHX2997" s="462"/>
      <c r="DHY2997" s="299"/>
      <c r="DHZ2997" s="81"/>
      <c r="DIA2997" s="160"/>
      <c r="DIB2997" s="559"/>
      <c r="DIC2997" s="125"/>
      <c r="DID2997" s="470"/>
      <c r="DIE2997" s="449"/>
      <c r="DIF2997" s="462"/>
      <c r="DIG2997" s="299"/>
      <c r="DIH2997" s="81"/>
      <c r="DII2997" s="160"/>
      <c r="DIJ2997" s="559"/>
      <c r="DIK2997" s="125"/>
      <c r="DIL2997" s="470"/>
      <c r="DIM2997" s="449"/>
      <c r="DIN2997" s="462"/>
      <c r="DIO2997" s="299"/>
      <c r="DIP2997" s="81"/>
      <c r="DIQ2997" s="160"/>
      <c r="DIR2997" s="559"/>
      <c r="DIS2997" s="125"/>
      <c r="DIT2997" s="470"/>
      <c r="DIU2997" s="449"/>
      <c r="DIV2997" s="462"/>
      <c r="DIW2997" s="299"/>
      <c r="DIX2997" s="81"/>
      <c r="DIY2997" s="160"/>
      <c r="DIZ2997" s="559"/>
      <c r="DJA2997" s="125"/>
      <c r="DJB2997" s="470"/>
      <c r="DJC2997" s="449"/>
      <c r="DJD2997" s="462"/>
      <c r="DJE2997" s="299"/>
      <c r="DJF2997" s="81"/>
      <c r="DJG2997" s="160"/>
      <c r="DJH2997" s="559"/>
      <c r="DJI2997" s="125"/>
      <c r="DJJ2997" s="470"/>
      <c r="DJK2997" s="449"/>
      <c r="DJL2997" s="462"/>
      <c r="DJM2997" s="299"/>
      <c r="DJN2997" s="81"/>
      <c r="DJO2997" s="160"/>
      <c r="DJP2997" s="559"/>
      <c r="DJQ2997" s="125"/>
      <c r="DJR2997" s="470"/>
      <c r="DJS2997" s="449"/>
      <c r="DJT2997" s="462"/>
      <c r="DJU2997" s="299"/>
      <c r="DJV2997" s="81"/>
      <c r="DJW2997" s="160"/>
      <c r="DJX2997" s="559"/>
      <c r="DJY2997" s="125"/>
      <c r="DJZ2997" s="470"/>
      <c r="DKA2997" s="449"/>
      <c r="DKB2997" s="462"/>
      <c r="DKC2997" s="299"/>
      <c r="DKD2997" s="81"/>
      <c r="DKE2997" s="160"/>
      <c r="DKF2997" s="559"/>
      <c r="DKG2997" s="125"/>
      <c r="DKH2997" s="470"/>
      <c r="DKI2997" s="449"/>
      <c r="DKJ2997" s="462"/>
      <c r="DKK2997" s="299"/>
      <c r="DKL2997" s="81"/>
      <c r="DKM2997" s="160"/>
      <c r="DKN2997" s="559"/>
      <c r="DKO2997" s="125"/>
      <c r="DKP2997" s="470"/>
      <c r="DKQ2997" s="449"/>
      <c r="DKR2997" s="462"/>
      <c r="DKS2997" s="299"/>
      <c r="DKT2997" s="81"/>
      <c r="DKU2997" s="160"/>
      <c r="DKV2997" s="559"/>
      <c r="DKW2997" s="125"/>
      <c r="DKX2997" s="470"/>
      <c r="DKY2997" s="449"/>
      <c r="DKZ2997" s="462"/>
      <c r="DLA2997" s="299"/>
      <c r="DLB2997" s="81"/>
      <c r="DLC2997" s="160"/>
      <c r="DLD2997" s="559"/>
      <c r="DLE2997" s="125"/>
      <c r="DLF2997" s="470"/>
      <c r="DLG2997" s="449"/>
      <c r="DLH2997" s="462"/>
      <c r="DLI2997" s="299"/>
      <c r="DLJ2997" s="81"/>
      <c r="DLK2997" s="160"/>
      <c r="DLL2997" s="559"/>
      <c r="DLM2997" s="125"/>
      <c r="DLN2997" s="470"/>
      <c r="DLO2997" s="449"/>
      <c r="DLP2997" s="462"/>
      <c r="DLQ2997" s="299"/>
      <c r="DLR2997" s="81"/>
      <c r="DLS2997" s="160"/>
      <c r="DLT2997" s="559"/>
      <c r="DLU2997" s="125"/>
      <c r="DLV2997" s="470"/>
      <c r="DLW2997" s="449"/>
      <c r="DLX2997" s="462"/>
      <c r="DLY2997" s="299"/>
      <c r="DLZ2997" s="81"/>
      <c r="DMA2997" s="160"/>
      <c r="DMB2997" s="559"/>
      <c r="DMC2997" s="125"/>
      <c r="DMD2997" s="470"/>
      <c r="DME2997" s="449"/>
      <c r="DMF2997" s="462"/>
      <c r="DMG2997" s="299"/>
      <c r="DMH2997" s="81"/>
      <c r="DMI2997" s="160"/>
      <c r="DMJ2997" s="559"/>
      <c r="DMK2997" s="125"/>
      <c r="DML2997" s="470"/>
      <c r="DMM2997" s="449"/>
      <c r="DMN2997" s="462"/>
      <c r="DMO2997" s="299"/>
      <c r="DMP2997" s="81"/>
      <c r="DMQ2997" s="160"/>
      <c r="DMR2997" s="559"/>
      <c r="DMS2997" s="125"/>
      <c r="DMT2997" s="470"/>
      <c r="DMU2997" s="449"/>
      <c r="DMV2997" s="462"/>
      <c r="DMW2997" s="299"/>
      <c r="DMX2997" s="81"/>
      <c r="DMY2997" s="160"/>
      <c r="DMZ2997" s="559"/>
      <c r="DNA2997" s="125"/>
      <c r="DNB2997" s="470"/>
      <c r="DNC2997" s="449"/>
      <c r="DND2997" s="462"/>
      <c r="DNE2997" s="299"/>
      <c r="DNF2997" s="81"/>
      <c r="DNG2997" s="160"/>
      <c r="DNH2997" s="559"/>
      <c r="DNI2997" s="125"/>
      <c r="DNJ2997" s="470"/>
      <c r="DNK2997" s="449"/>
      <c r="DNL2997" s="462"/>
      <c r="DNM2997" s="299"/>
      <c r="DNN2997" s="81"/>
      <c r="DNO2997" s="160"/>
      <c r="DNP2997" s="559"/>
      <c r="DNQ2997" s="125"/>
      <c r="DNR2997" s="470"/>
      <c r="DNS2997" s="449"/>
      <c r="DNT2997" s="462"/>
      <c r="DNU2997" s="299"/>
      <c r="DNV2997" s="81"/>
      <c r="DNW2997" s="160"/>
      <c r="DNX2997" s="559"/>
      <c r="DNY2997" s="125"/>
      <c r="DNZ2997" s="470"/>
      <c r="DOA2997" s="449"/>
      <c r="DOB2997" s="462"/>
      <c r="DOC2997" s="299"/>
      <c r="DOD2997" s="81"/>
      <c r="DOE2997" s="160"/>
      <c r="DOF2997" s="559"/>
      <c r="DOG2997" s="125"/>
      <c r="DOH2997" s="470"/>
      <c r="DOI2997" s="449"/>
      <c r="DOJ2997" s="462"/>
      <c r="DOK2997" s="299"/>
      <c r="DOL2997" s="81"/>
      <c r="DOM2997" s="160"/>
      <c r="DON2997" s="559"/>
      <c r="DOO2997" s="125"/>
      <c r="DOP2997" s="470"/>
      <c r="DOQ2997" s="449"/>
      <c r="DOR2997" s="462"/>
      <c r="DOS2997" s="299"/>
      <c r="DOT2997" s="81"/>
      <c r="DOU2997" s="160"/>
      <c r="DOV2997" s="559"/>
      <c r="DOW2997" s="125"/>
      <c r="DOX2997" s="470"/>
      <c r="DOY2997" s="449"/>
      <c r="DOZ2997" s="462"/>
      <c r="DPA2997" s="299"/>
      <c r="DPB2997" s="81"/>
      <c r="DPC2997" s="160"/>
      <c r="DPD2997" s="559"/>
      <c r="DPE2997" s="125"/>
      <c r="DPF2997" s="470"/>
      <c r="DPG2997" s="449"/>
      <c r="DPH2997" s="462"/>
      <c r="DPI2997" s="299"/>
      <c r="DPJ2997" s="81"/>
      <c r="DPK2997" s="160"/>
      <c r="DPL2997" s="559"/>
      <c r="DPM2997" s="125"/>
      <c r="DPN2997" s="470"/>
      <c r="DPO2997" s="449"/>
      <c r="DPP2997" s="462"/>
      <c r="DPQ2997" s="299"/>
      <c r="DPR2997" s="81"/>
      <c r="DPS2997" s="160"/>
      <c r="DPT2997" s="559"/>
      <c r="DPU2997" s="125"/>
      <c r="DPV2997" s="470"/>
      <c r="DPW2997" s="449"/>
      <c r="DPX2997" s="462"/>
      <c r="DPY2997" s="299"/>
      <c r="DPZ2997" s="81"/>
      <c r="DQA2997" s="160"/>
      <c r="DQB2997" s="559"/>
      <c r="DQC2997" s="125"/>
      <c r="DQD2997" s="470"/>
      <c r="DQE2997" s="449"/>
      <c r="DQF2997" s="462"/>
      <c r="DQG2997" s="299"/>
      <c r="DQH2997" s="81"/>
      <c r="DQI2997" s="160"/>
      <c r="DQJ2997" s="559"/>
      <c r="DQK2997" s="125"/>
      <c r="DQL2997" s="470"/>
      <c r="DQM2997" s="449"/>
      <c r="DQN2997" s="462"/>
      <c r="DQO2997" s="299"/>
      <c r="DQP2997" s="81"/>
      <c r="DQQ2997" s="160"/>
      <c r="DQR2997" s="559"/>
      <c r="DQS2997" s="125"/>
      <c r="DQT2997" s="470"/>
      <c r="DQU2997" s="449"/>
      <c r="DQV2997" s="462"/>
      <c r="DQW2997" s="299"/>
      <c r="DQX2997" s="81"/>
      <c r="DQY2997" s="160"/>
      <c r="DQZ2997" s="559"/>
      <c r="DRA2997" s="125"/>
      <c r="DRB2997" s="470"/>
      <c r="DRC2997" s="449"/>
      <c r="DRD2997" s="462"/>
      <c r="DRE2997" s="299"/>
      <c r="DRF2997" s="81"/>
      <c r="DRG2997" s="160"/>
      <c r="DRH2997" s="559"/>
      <c r="DRI2997" s="125"/>
      <c r="DRJ2997" s="470"/>
      <c r="DRK2997" s="449"/>
      <c r="DRL2997" s="462"/>
      <c r="DRM2997" s="299"/>
      <c r="DRN2997" s="81"/>
      <c r="DRO2997" s="160"/>
      <c r="DRP2997" s="559"/>
      <c r="DRQ2997" s="125"/>
      <c r="DRR2997" s="470"/>
      <c r="DRS2997" s="449"/>
      <c r="DRT2997" s="462"/>
      <c r="DRU2997" s="299"/>
      <c r="DRV2997" s="81"/>
      <c r="DRW2997" s="160"/>
      <c r="DRX2997" s="559"/>
      <c r="DRY2997" s="125"/>
      <c r="DRZ2997" s="470"/>
      <c r="DSA2997" s="449"/>
      <c r="DSB2997" s="462"/>
      <c r="DSC2997" s="299"/>
      <c r="DSD2997" s="81"/>
      <c r="DSE2997" s="160"/>
      <c r="DSF2997" s="559"/>
      <c r="DSG2997" s="125"/>
      <c r="DSH2997" s="470"/>
      <c r="DSI2997" s="449"/>
      <c r="DSJ2997" s="462"/>
      <c r="DSK2997" s="299"/>
      <c r="DSL2997" s="81"/>
      <c r="DSM2997" s="160"/>
      <c r="DSN2997" s="559"/>
      <c r="DSO2997" s="125"/>
      <c r="DSP2997" s="470"/>
      <c r="DSQ2997" s="449"/>
      <c r="DSR2997" s="462"/>
      <c r="DSS2997" s="299"/>
      <c r="DST2997" s="81"/>
      <c r="DSU2997" s="160"/>
      <c r="DSV2997" s="559"/>
      <c r="DSW2997" s="125"/>
      <c r="DSX2997" s="470"/>
      <c r="DSY2997" s="449"/>
      <c r="DSZ2997" s="462"/>
      <c r="DTA2997" s="299"/>
      <c r="DTB2997" s="81"/>
      <c r="DTC2997" s="160"/>
      <c r="DTD2997" s="559"/>
      <c r="DTE2997" s="125"/>
      <c r="DTF2997" s="470"/>
      <c r="DTG2997" s="449"/>
      <c r="DTH2997" s="462"/>
      <c r="DTI2997" s="299"/>
      <c r="DTJ2997" s="81"/>
      <c r="DTK2997" s="160"/>
      <c r="DTL2997" s="559"/>
      <c r="DTM2997" s="125"/>
      <c r="DTN2997" s="470"/>
      <c r="DTO2997" s="449"/>
      <c r="DTP2997" s="462"/>
      <c r="DTQ2997" s="299"/>
      <c r="DTR2997" s="81"/>
      <c r="DTS2997" s="160"/>
      <c r="DTT2997" s="559"/>
      <c r="DTU2997" s="125"/>
      <c r="DTV2997" s="470"/>
      <c r="DTW2997" s="449"/>
      <c r="DTX2997" s="462"/>
      <c r="DTY2997" s="299"/>
      <c r="DTZ2997" s="81"/>
      <c r="DUA2997" s="160"/>
      <c r="DUB2997" s="559"/>
      <c r="DUC2997" s="125"/>
      <c r="DUD2997" s="470"/>
      <c r="DUE2997" s="449"/>
      <c r="DUF2997" s="462"/>
      <c r="DUG2997" s="299"/>
      <c r="DUH2997" s="81"/>
      <c r="DUI2997" s="160"/>
      <c r="DUJ2997" s="559"/>
      <c r="DUK2997" s="125"/>
      <c r="DUL2997" s="470"/>
      <c r="DUM2997" s="449"/>
      <c r="DUN2997" s="462"/>
      <c r="DUO2997" s="299"/>
      <c r="DUP2997" s="81"/>
      <c r="DUQ2997" s="160"/>
      <c r="DUR2997" s="559"/>
      <c r="DUS2997" s="125"/>
      <c r="DUT2997" s="470"/>
      <c r="DUU2997" s="449"/>
      <c r="DUV2997" s="462"/>
      <c r="DUW2997" s="299"/>
      <c r="DUX2997" s="81"/>
      <c r="DUY2997" s="160"/>
      <c r="DUZ2997" s="559"/>
      <c r="DVA2997" s="125"/>
      <c r="DVB2997" s="470"/>
      <c r="DVC2997" s="449"/>
      <c r="DVD2997" s="462"/>
      <c r="DVE2997" s="299"/>
      <c r="DVF2997" s="81"/>
      <c r="DVG2997" s="160"/>
      <c r="DVH2997" s="559"/>
      <c r="DVI2997" s="125"/>
      <c r="DVJ2997" s="470"/>
      <c r="DVK2997" s="449"/>
      <c r="DVL2997" s="462"/>
      <c r="DVM2997" s="299"/>
      <c r="DVN2997" s="81"/>
      <c r="DVO2997" s="160"/>
      <c r="DVP2997" s="559"/>
      <c r="DVQ2997" s="125"/>
      <c r="DVR2997" s="470"/>
      <c r="DVS2997" s="449"/>
      <c r="DVT2997" s="462"/>
      <c r="DVU2997" s="299"/>
      <c r="DVV2997" s="81"/>
      <c r="DVW2997" s="160"/>
      <c r="DVX2997" s="559"/>
      <c r="DVY2997" s="125"/>
      <c r="DVZ2997" s="470"/>
      <c r="DWA2997" s="449"/>
      <c r="DWB2997" s="462"/>
      <c r="DWC2997" s="299"/>
      <c r="DWD2997" s="81"/>
      <c r="DWE2997" s="160"/>
      <c r="DWF2997" s="559"/>
      <c r="DWG2997" s="125"/>
      <c r="DWH2997" s="470"/>
      <c r="DWI2997" s="449"/>
      <c r="DWJ2997" s="462"/>
      <c r="DWK2997" s="299"/>
      <c r="DWL2997" s="81"/>
      <c r="DWM2997" s="160"/>
      <c r="DWN2997" s="559"/>
      <c r="DWO2997" s="125"/>
      <c r="DWP2997" s="470"/>
      <c r="DWQ2997" s="449"/>
      <c r="DWR2997" s="462"/>
      <c r="DWS2997" s="299"/>
      <c r="DWT2997" s="81"/>
      <c r="DWU2997" s="160"/>
      <c r="DWV2997" s="559"/>
      <c r="DWW2997" s="125"/>
      <c r="DWX2997" s="470"/>
      <c r="DWY2997" s="449"/>
      <c r="DWZ2997" s="462"/>
      <c r="DXA2997" s="299"/>
      <c r="DXB2997" s="81"/>
      <c r="DXC2997" s="160"/>
      <c r="DXD2997" s="559"/>
      <c r="DXE2997" s="125"/>
      <c r="DXF2997" s="470"/>
      <c r="DXG2997" s="449"/>
      <c r="DXH2997" s="462"/>
      <c r="DXI2997" s="299"/>
      <c r="DXJ2997" s="81"/>
      <c r="DXK2997" s="160"/>
      <c r="DXL2997" s="559"/>
      <c r="DXM2997" s="125"/>
      <c r="DXN2997" s="470"/>
      <c r="DXO2997" s="449"/>
      <c r="DXP2997" s="462"/>
      <c r="DXQ2997" s="299"/>
      <c r="DXR2997" s="81"/>
      <c r="DXS2997" s="160"/>
      <c r="DXT2997" s="559"/>
      <c r="DXU2997" s="125"/>
      <c r="DXV2997" s="470"/>
      <c r="DXW2997" s="449"/>
      <c r="DXX2997" s="462"/>
      <c r="DXY2997" s="299"/>
      <c r="DXZ2997" s="81"/>
      <c r="DYA2997" s="160"/>
      <c r="DYB2997" s="559"/>
      <c r="DYC2997" s="125"/>
      <c r="DYD2997" s="470"/>
      <c r="DYE2997" s="449"/>
      <c r="DYF2997" s="462"/>
      <c r="DYG2997" s="299"/>
      <c r="DYH2997" s="81"/>
      <c r="DYI2997" s="160"/>
      <c r="DYJ2997" s="559"/>
      <c r="DYK2997" s="125"/>
      <c r="DYL2997" s="470"/>
      <c r="DYM2997" s="449"/>
      <c r="DYN2997" s="462"/>
      <c r="DYO2997" s="299"/>
      <c r="DYP2997" s="81"/>
      <c r="DYQ2997" s="160"/>
      <c r="DYR2997" s="559"/>
      <c r="DYS2997" s="125"/>
      <c r="DYT2997" s="470"/>
      <c r="DYU2997" s="449"/>
      <c r="DYV2997" s="462"/>
      <c r="DYW2997" s="299"/>
      <c r="DYX2997" s="81"/>
      <c r="DYY2997" s="160"/>
      <c r="DYZ2997" s="559"/>
      <c r="DZA2997" s="125"/>
      <c r="DZB2997" s="470"/>
      <c r="DZC2997" s="449"/>
      <c r="DZD2997" s="462"/>
      <c r="DZE2997" s="299"/>
      <c r="DZF2997" s="81"/>
      <c r="DZG2997" s="160"/>
      <c r="DZH2997" s="559"/>
      <c r="DZI2997" s="125"/>
      <c r="DZJ2997" s="470"/>
      <c r="DZK2997" s="449"/>
      <c r="DZL2997" s="462"/>
      <c r="DZM2997" s="299"/>
      <c r="DZN2997" s="81"/>
      <c r="DZO2997" s="160"/>
      <c r="DZP2997" s="559"/>
      <c r="DZQ2997" s="125"/>
      <c r="DZR2997" s="470"/>
      <c r="DZS2997" s="449"/>
      <c r="DZT2997" s="462"/>
      <c r="DZU2997" s="299"/>
      <c r="DZV2997" s="81"/>
      <c r="DZW2997" s="160"/>
      <c r="DZX2997" s="559"/>
      <c r="DZY2997" s="125"/>
      <c r="DZZ2997" s="470"/>
      <c r="EAA2997" s="449"/>
      <c r="EAB2997" s="462"/>
      <c r="EAC2997" s="299"/>
      <c r="EAD2997" s="81"/>
      <c r="EAE2997" s="160"/>
      <c r="EAF2997" s="559"/>
      <c r="EAG2997" s="125"/>
      <c r="EAH2997" s="470"/>
      <c r="EAI2997" s="449"/>
      <c r="EAJ2997" s="462"/>
      <c r="EAK2997" s="299"/>
      <c r="EAL2997" s="81"/>
      <c r="EAM2997" s="160"/>
      <c r="EAN2997" s="559"/>
      <c r="EAO2997" s="125"/>
      <c r="EAP2997" s="470"/>
      <c r="EAQ2997" s="449"/>
      <c r="EAR2997" s="462"/>
      <c r="EAS2997" s="299"/>
      <c r="EAT2997" s="81"/>
      <c r="EAU2997" s="160"/>
      <c r="EAV2997" s="559"/>
      <c r="EAW2997" s="125"/>
      <c r="EAX2997" s="470"/>
      <c r="EAY2997" s="449"/>
      <c r="EAZ2997" s="462"/>
      <c r="EBA2997" s="299"/>
      <c r="EBB2997" s="81"/>
      <c r="EBC2997" s="160"/>
      <c r="EBD2997" s="559"/>
      <c r="EBE2997" s="125"/>
      <c r="EBF2997" s="470"/>
      <c r="EBG2997" s="449"/>
      <c r="EBH2997" s="462"/>
      <c r="EBI2997" s="299"/>
      <c r="EBJ2997" s="81"/>
      <c r="EBK2997" s="160"/>
      <c r="EBL2997" s="559"/>
      <c r="EBM2997" s="125"/>
      <c r="EBN2997" s="470"/>
      <c r="EBO2997" s="449"/>
      <c r="EBP2997" s="462"/>
      <c r="EBQ2997" s="299"/>
      <c r="EBR2997" s="81"/>
      <c r="EBS2997" s="160"/>
      <c r="EBT2997" s="559"/>
      <c r="EBU2997" s="125"/>
      <c r="EBV2997" s="470"/>
      <c r="EBW2997" s="449"/>
      <c r="EBX2997" s="462"/>
      <c r="EBY2997" s="299"/>
      <c r="EBZ2997" s="81"/>
      <c r="ECA2997" s="160"/>
      <c r="ECB2997" s="559"/>
      <c r="ECC2997" s="125"/>
      <c r="ECD2997" s="470"/>
      <c r="ECE2997" s="449"/>
      <c r="ECF2997" s="462"/>
      <c r="ECG2997" s="299"/>
      <c r="ECH2997" s="81"/>
      <c r="ECI2997" s="160"/>
      <c r="ECJ2997" s="559"/>
      <c r="ECK2997" s="125"/>
      <c r="ECL2997" s="470"/>
      <c r="ECM2997" s="449"/>
      <c r="ECN2997" s="462"/>
      <c r="ECO2997" s="299"/>
      <c r="ECP2997" s="81"/>
      <c r="ECQ2997" s="160"/>
      <c r="ECR2997" s="559"/>
      <c r="ECS2997" s="125"/>
      <c r="ECT2997" s="470"/>
      <c r="ECU2997" s="449"/>
      <c r="ECV2997" s="462"/>
      <c r="ECW2997" s="299"/>
      <c r="ECX2997" s="81"/>
      <c r="ECY2997" s="160"/>
      <c r="ECZ2997" s="559"/>
      <c r="EDA2997" s="125"/>
      <c r="EDB2997" s="470"/>
      <c r="EDC2997" s="449"/>
      <c r="EDD2997" s="462"/>
      <c r="EDE2997" s="299"/>
      <c r="EDF2997" s="81"/>
      <c r="EDG2997" s="160"/>
      <c r="EDH2997" s="559"/>
      <c r="EDI2997" s="125"/>
      <c r="EDJ2997" s="470"/>
      <c r="EDK2997" s="449"/>
      <c r="EDL2997" s="462"/>
      <c r="EDM2997" s="299"/>
      <c r="EDN2997" s="81"/>
      <c r="EDO2997" s="160"/>
      <c r="EDP2997" s="559"/>
      <c r="EDQ2997" s="125"/>
      <c r="EDR2997" s="470"/>
      <c r="EDS2997" s="449"/>
      <c r="EDT2997" s="462"/>
      <c r="EDU2997" s="299"/>
      <c r="EDV2997" s="81"/>
      <c r="EDW2997" s="160"/>
      <c r="EDX2997" s="559"/>
      <c r="EDY2997" s="125"/>
      <c r="EDZ2997" s="470"/>
      <c r="EEA2997" s="449"/>
      <c r="EEB2997" s="462"/>
      <c r="EEC2997" s="299"/>
      <c r="EED2997" s="81"/>
      <c r="EEE2997" s="160"/>
      <c r="EEF2997" s="559"/>
      <c r="EEG2997" s="125"/>
      <c r="EEH2997" s="470"/>
      <c r="EEI2997" s="449"/>
      <c r="EEJ2997" s="462"/>
      <c r="EEK2997" s="299"/>
      <c r="EEL2997" s="81"/>
      <c r="EEM2997" s="160"/>
      <c r="EEN2997" s="559"/>
      <c r="EEO2997" s="125"/>
      <c r="EEP2997" s="470"/>
      <c r="EEQ2997" s="449"/>
      <c r="EER2997" s="462"/>
      <c r="EES2997" s="299"/>
      <c r="EET2997" s="81"/>
      <c r="EEU2997" s="160"/>
      <c r="EEV2997" s="559"/>
      <c r="EEW2997" s="125"/>
      <c r="EEX2997" s="470"/>
      <c r="EEY2997" s="449"/>
      <c r="EEZ2997" s="462"/>
      <c r="EFA2997" s="299"/>
      <c r="EFB2997" s="81"/>
      <c r="EFC2997" s="160"/>
      <c r="EFD2997" s="559"/>
      <c r="EFE2997" s="125"/>
      <c r="EFF2997" s="470"/>
      <c r="EFG2997" s="449"/>
      <c r="EFH2997" s="462"/>
      <c r="EFI2997" s="299"/>
      <c r="EFJ2997" s="81"/>
      <c r="EFK2997" s="160"/>
      <c r="EFL2997" s="559"/>
      <c r="EFM2997" s="125"/>
      <c r="EFN2997" s="470"/>
      <c r="EFO2997" s="449"/>
      <c r="EFP2997" s="462"/>
      <c r="EFQ2997" s="299"/>
      <c r="EFR2997" s="81"/>
      <c r="EFS2997" s="160"/>
      <c r="EFT2997" s="559"/>
      <c r="EFU2997" s="125"/>
      <c r="EFV2997" s="470"/>
      <c r="EFW2997" s="449"/>
      <c r="EFX2997" s="462"/>
      <c r="EFY2997" s="299"/>
      <c r="EFZ2997" s="81"/>
      <c r="EGA2997" s="160"/>
      <c r="EGB2997" s="559"/>
      <c r="EGC2997" s="125"/>
      <c r="EGD2997" s="470"/>
      <c r="EGE2997" s="449"/>
      <c r="EGF2997" s="462"/>
      <c r="EGG2997" s="299"/>
      <c r="EGH2997" s="81"/>
      <c r="EGI2997" s="160"/>
      <c r="EGJ2997" s="559"/>
      <c r="EGK2997" s="125"/>
      <c r="EGL2997" s="470"/>
      <c r="EGM2997" s="449"/>
      <c r="EGN2997" s="462"/>
      <c r="EGO2997" s="299"/>
      <c r="EGP2997" s="81"/>
      <c r="EGQ2997" s="160"/>
      <c r="EGR2997" s="559"/>
      <c r="EGS2997" s="125"/>
      <c r="EGT2997" s="470"/>
      <c r="EGU2997" s="449"/>
      <c r="EGV2997" s="462"/>
      <c r="EGW2997" s="299"/>
      <c r="EGX2997" s="81"/>
      <c r="EGY2997" s="160"/>
      <c r="EGZ2997" s="559"/>
      <c r="EHA2997" s="125"/>
      <c r="EHB2997" s="470"/>
      <c r="EHC2997" s="449"/>
      <c r="EHD2997" s="462"/>
      <c r="EHE2997" s="299"/>
      <c r="EHF2997" s="81"/>
      <c r="EHG2997" s="160"/>
      <c r="EHH2997" s="559"/>
      <c r="EHI2997" s="125"/>
      <c r="EHJ2997" s="470"/>
      <c r="EHK2997" s="449"/>
      <c r="EHL2997" s="462"/>
      <c r="EHM2997" s="299"/>
      <c r="EHN2997" s="81"/>
      <c r="EHO2997" s="160"/>
      <c r="EHP2997" s="559"/>
      <c r="EHQ2997" s="125"/>
      <c r="EHR2997" s="470"/>
      <c r="EHS2997" s="449"/>
      <c r="EHT2997" s="462"/>
      <c r="EHU2997" s="299"/>
      <c r="EHV2997" s="81"/>
      <c r="EHW2997" s="160"/>
      <c r="EHX2997" s="559"/>
      <c r="EHY2997" s="125"/>
      <c r="EHZ2997" s="470"/>
      <c r="EIA2997" s="449"/>
      <c r="EIB2997" s="462"/>
      <c r="EIC2997" s="299"/>
      <c r="EID2997" s="81"/>
      <c r="EIE2997" s="160"/>
      <c r="EIF2997" s="559"/>
      <c r="EIG2997" s="125"/>
      <c r="EIH2997" s="470"/>
      <c r="EII2997" s="449"/>
      <c r="EIJ2997" s="462"/>
      <c r="EIK2997" s="299"/>
      <c r="EIL2997" s="81"/>
      <c r="EIM2997" s="160"/>
      <c r="EIN2997" s="559"/>
      <c r="EIO2997" s="125"/>
      <c r="EIP2997" s="470"/>
      <c r="EIQ2997" s="449"/>
      <c r="EIR2997" s="462"/>
      <c r="EIS2997" s="299"/>
      <c r="EIT2997" s="81"/>
      <c r="EIU2997" s="160"/>
      <c r="EIV2997" s="559"/>
      <c r="EIW2997" s="125"/>
      <c r="EIX2997" s="470"/>
      <c r="EIY2997" s="449"/>
      <c r="EIZ2997" s="462"/>
      <c r="EJA2997" s="299"/>
      <c r="EJB2997" s="81"/>
      <c r="EJC2997" s="160"/>
      <c r="EJD2997" s="559"/>
      <c r="EJE2997" s="125"/>
      <c r="EJF2997" s="470"/>
      <c r="EJG2997" s="449"/>
      <c r="EJH2997" s="462"/>
      <c r="EJI2997" s="299"/>
      <c r="EJJ2997" s="81"/>
      <c r="EJK2997" s="160"/>
      <c r="EJL2997" s="559"/>
      <c r="EJM2997" s="125"/>
      <c r="EJN2997" s="470"/>
      <c r="EJO2997" s="449"/>
      <c r="EJP2997" s="462"/>
      <c r="EJQ2997" s="299"/>
      <c r="EJR2997" s="81"/>
      <c r="EJS2997" s="160"/>
      <c r="EJT2997" s="559"/>
      <c r="EJU2997" s="125"/>
      <c r="EJV2997" s="470"/>
      <c r="EJW2997" s="449"/>
      <c r="EJX2997" s="462"/>
      <c r="EJY2997" s="299"/>
      <c r="EJZ2997" s="81"/>
      <c r="EKA2997" s="160"/>
      <c r="EKB2997" s="559"/>
      <c r="EKC2997" s="125"/>
      <c r="EKD2997" s="470"/>
      <c r="EKE2997" s="449"/>
      <c r="EKF2997" s="462"/>
      <c r="EKG2997" s="299"/>
      <c r="EKH2997" s="81"/>
      <c r="EKI2997" s="160"/>
      <c r="EKJ2997" s="559"/>
      <c r="EKK2997" s="125"/>
      <c r="EKL2997" s="470"/>
      <c r="EKM2997" s="449"/>
      <c r="EKN2997" s="462"/>
      <c r="EKO2997" s="299"/>
      <c r="EKP2997" s="81"/>
      <c r="EKQ2997" s="160"/>
      <c r="EKR2997" s="559"/>
      <c r="EKS2997" s="125"/>
      <c r="EKT2997" s="470"/>
      <c r="EKU2997" s="449"/>
      <c r="EKV2997" s="462"/>
      <c r="EKW2997" s="299"/>
      <c r="EKX2997" s="81"/>
      <c r="EKY2997" s="160"/>
      <c r="EKZ2997" s="559"/>
      <c r="ELA2997" s="125"/>
      <c r="ELB2997" s="470"/>
      <c r="ELC2997" s="449"/>
      <c r="ELD2997" s="462"/>
      <c r="ELE2997" s="299"/>
      <c r="ELF2997" s="81"/>
      <c r="ELG2997" s="160"/>
      <c r="ELH2997" s="559"/>
      <c r="ELI2997" s="125"/>
      <c r="ELJ2997" s="470"/>
      <c r="ELK2997" s="449"/>
      <c r="ELL2997" s="462"/>
      <c r="ELM2997" s="299"/>
      <c r="ELN2997" s="81"/>
      <c r="ELO2997" s="160"/>
      <c r="ELP2997" s="559"/>
      <c r="ELQ2997" s="125"/>
      <c r="ELR2997" s="470"/>
      <c r="ELS2997" s="449"/>
      <c r="ELT2997" s="462"/>
      <c r="ELU2997" s="299"/>
      <c r="ELV2997" s="81"/>
      <c r="ELW2997" s="160"/>
      <c r="ELX2997" s="559"/>
      <c r="ELY2997" s="125"/>
      <c r="ELZ2997" s="470"/>
      <c r="EMA2997" s="449"/>
      <c r="EMB2997" s="462"/>
      <c r="EMC2997" s="299"/>
      <c r="EMD2997" s="81"/>
      <c r="EME2997" s="160"/>
      <c r="EMF2997" s="559"/>
      <c r="EMG2997" s="125"/>
      <c r="EMH2997" s="470"/>
      <c r="EMI2997" s="449"/>
      <c r="EMJ2997" s="462"/>
      <c r="EMK2997" s="299"/>
      <c r="EML2997" s="81"/>
      <c r="EMM2997" s="160"/>
      <c r="EMN2997" s="559"/>
      <c r="EMO2997" s="125"/>
      <c r="EMP2997" s="470"/>
      <c r="EMQ2997" s="449"/>
      <c r="EMR2997" s="462"/>
      <c r="EMS2997" s="299"/>
      <c r="EMT2997" s="81"/>
      <c r="EMU2997" s="160"/>
      <c r="EMV2997" s="559"/>
      <c r="EMW2997" s="125"/>
      <c r="EMX2997" s="470"/>
      <c r="EMY2997" s="449"/>
      <c r="EMZ2997" s="462"/>
      <c r="ENA2997" s="299"/>
      <c r="ENB2997" s="81"/>
      <c r="ENC2997" s="160"/>
      <c r="END2997" s="559"/>
      <c r="ENE2997" s="125"/>
      <c r="ENF2997" s="470"/>
      <c r="ENG2997" s="449"/>
      <c r="ENH2997" s="462"/>
      <c r="ENI2997" s="299"/>
      <c r="ENJ2997" s="81"/>
      <c r="ENK2997" s="160"/>
      <c r="ENL2997" s="559"/>
      <c r="ENM2997" s="125"/>
      <c r="ENN2997" s="470"/>
      <c r="ENO2997" s="449"/>
      <c r="ENP2997" s="462"/>
      <c r="ENQ2997" s="299"/>
      <c r="ENR2997" s="81"/>
      <c r="ENS2997" s="160"/>
      <c r="ENT2997" s="559"/>
      <c r="ENU2997" s="125"/>
      <c r="ENV2997" s="470"/>
      <c r="ENW2997" s="449"/>
      <c r="ENX2997" s="462"/>
      <c r="ENY2997" s="299"/>
      <c r="ENZ2997" s="81"/>
      <c r="EOA2997" s="160"/>
      <c r="EOB2997" s="559"/>
      <c r="EOC2997" s="125"/>
      <c r="EOD2997" s="470"/>
      <c r="EOE2997" s="449"/>
      <c r="EOF2997" s="462"/>
      <c r="EOG2997" s="299"/>
      <c r="EOH2997" s="81"/>
      <c r="EOI2997" s="160"/>
      <c r="EOJ2997" s="559"/>
      <c r="EOK2997" s="125"/>
      <c r="EOL2997" s="470"/>
      <c r="EOM2997" s="449"/>
      <c r="EON2997" s="462"/>
      <c r="EOO2997" s="299"/>
      <c r="EOP2997" s="81"/>
      <c r="EOQ2997" s="160"/>
      <c r="EOR2997" s="559"/>
      <c r="EOS2997" s="125"/>
      <c r="EOT2997" s="470"/>
      <c r="EOU2997" s="449"/>
      <c r="EOV2997" s="462"/>
      <c r="EOW2997" s="299"/>
      <c r="EOX2997" s="81"/>
      <c r="EOY2997" s="160"/>
      <c r="EOZ2997" s="559"/>
      <c r="EPA2997" s="125"/>
      <c r="EPB2997" s="470"/>
      <c r="EPC2997" s="449"/>
      <c r="EPD2997" s="462"/>
      <c r="EPE2997" s="299"/>
      <c r="EPF2997" s="81"/>
      <c r="EPG2997" s="160"/>
      <c r="EPH2997" s="559"/>
      <c r="EPI2997" s="125"/>
      <c r="EPJ2997" s="470"/>
      <c r="EPK2997" s="449"/>
      <c r="EPL2997" s="462"/>
      <c r="EPM2997" s="299"/>
      <c r="EPN2997" s="81"/>
      <c r="EPO2997" s="160"/>
      <c r="EPP2997" s="559"/>
      <c r="EPQ2997" s="125"/>
      <c r="EPR2997" s="470"/>
      <c r="EPS2997" s="449"/>
      <c r="EPT2997" s="462"/>
      <c r="EPU2997" s="299"/>
      <c r="EPV2997" s="81"/>
      <c r="EPW2997" s="160"/>
      <c r="EPX2997" s="559"/>
      <c r="EPY2997" s="125"/>
      <c r="EPZ2997" s="470"/>
      <c r="EQA2997" s="449"/>
      <c r="EQB2997" s="462"/>
      <c r="EQC2997" s="299"/>
      <c r="EQD2997" s="81"/>
      <c r="EQE2997" s="160"/>
      <c r="EQF2997" s="559"/>
      <c r="EQG2997" s="125"/>
      <c r="EQH2997" s="470"/>
      <c r="EQI2997" s="449"/>
      <c r="EQJ2997" s="462"/>
      <c r="EQK2997" s="299"/>
      <c r="EQL2997" s="81"/>
      <c r="EQM2997" s="160"/>
      <c r="EQN2997" s="559"/>
      <c r="EQO2997" s="125"/>
      <c r="EQP2997" s="470"/>
      <c r="EQQ2997" s="449"/>
      <c r="EQR2997" s="462"/>
      <c r="EQS2997" s="299"/>
      <c r="EQT2997" s="81"/>
      <c r="EQU2997" s="160"/>
      <c r="EQV2997" s="559"/>
      <c r="EQW2997" s="125"/>
      <c r="EQX2997" s="470"/>
      <c r="EQY2997" s="449"/>
      <c r="EQZ2997" s="462"/>
      <c r="ERA2997" s="299"/>
      <c r="ERB2997" s="81"/>
      <c r="ERC2997" s="160"/>
      <c r="ERD2997" s="559"/>
      <c r="ERE2997" s="125"/>
      <c r="ERF2997" s="470"/>
      <c r="ERG2997" s="449"/>
      <c r="ERH2997" s="462"/>
      <c r="ERI2997" s="299"/>
      <c r="ERJ2997" s="81"/>
      <c r="ERK2997" s="160"/>
      <c r="ERL2997" s="559"/>
      <c r="ERM2997" s="125"/>
      <c r="ERN2997" s="470"/>
      <c r="ERO2997" s="449"/>
      <c r="ERP2997" s="462"/>
      <c r="ERQ2997" s="299"/>
      <c r="ERR2997" s="81"/>
      <c r="ERS2997" s="160"/>
      <c r="ERT2997" s="559"/>
      <c r="ERU2997" s="125"/>
      <c r="ERV2997" s="470"/>
      <c r="ERW2997" s="449"/>
      <c r="ERX2997" s="462"/>
      <c r="ERY2997" s="299"/>
      <c r="ERZ2997" s="81"/>
      <c r="ESA2997" s="160"/>
      <c r="ESB2997" s="559"/>
      <c r="ESC2997" s="125"/>
      <c r="ESD2997" s="470"/>
      <c r="ESE2997" s="449"/>
      <c r="ESF2997" s="462"/>
      <c r="ESG2997" s="299"/>
      <c r="ESH2997" s="81"/>
      <c r="ESI2997" s="160"/>
      <c r="ESJ2997" s="559"/>
      <c r="ESK2997" s="125"/>
      <c r="ESL2997" s="470"/>
      <c r="ESM2997" s="449"/>
      <c r="ESN2997" s="462"/>
      <c r="ESO2997" s="299"/>
      <c r="ESP2997" s="81"/>
      <c r="ESQ2997" s="160"/>
      <c r="ESR2997" s="559"/>
      <c r="ESS2997" s="125"/>
      <c r="EST2997" s="470"/>
      <c r="ESU2997" s="449"/>
      <c r="ESV2997" s="462"/>
      <c r="ESW2997" s="299"/>
      <c r="ESX2997" s="81"/>
      <c r="ESY2997" s="160"/>
      <c r="ESZ2997" s="559"/>
      <c r="ETA2997" s="125"/>
      <c r="ETB2997" s="470"/>
      <c r="ETC2997" s="449"/>
      <c r="ETD2997" s="462"/>
      <c r="ETE2997" s="299"/>
      <c r="ETF2997" s="81"/>
      <c r="ETG2997" s="160"/>
      <c r="ETH2997" s="559"/>
      <c r="ETI2997" s="125"/>
      <c r="ETJ2997" s="470"/>
      <c r="ETK2997" s="449"/>
      <c r="ETL2997" s="462"/>
      <c r="ETM2997" s="299"/>
      <c r="ETN2997" s="81"/>
      <c r="ETO2997" s="160"/>
      <c r="ETP2997" s="559"/>
      <c r="ETQ2997" s="125"/>
      <c r="ETR2997" s="470"/>
      <c r="ETS2997" s="449"/>
      <c r="ETT2997" s="462"/>
      <c r="ETU2997" s="299"/>
      <c r="ETV2997" s="81"/>
      <c r="ETW2997" s="160"/>
      <c r="ETX2997" s="559"/>
      <c r="ETY2997" s="125"/>
      <c r="ETZ2997" s="470"/>
      <c r="EUA2997" s="449"/>
      <c r="EUB2997" s="462"/>
      <c r="EUC2997" s="299"/>
      <c r="EUD2997" s="81"/>
      <c r="EUE2997" s="160"/>
      <c r="EUF2997" s="559"/>
      <c r="EUG2997" s="125"/>
      <c r="EUH2997" s="470"/>
      <c r="EUI2997" s="449"/>
      <c r="EUJ2997" s="462"/>
      <c r="EUK2997" s="299"/>
      <c r="EUL2997" s="81"/>
      <c r="EUM2997" s="160"/>
      <c r="EUN2997" s="559"/>
      <c r="EUO2997" s="125"/>
      <c r="EUP2997" s="470"/>
      <c r="EUQ2997" s="449"/>
      <c r="EUR2997" s="462"/>
      <c r="EUS2997" s="299"/>
      <c r="EUT2997" s="81"/>
      <c r="EUU2997" s="160"/>
      <c r="EUV2997" s="559"/>
      <c r="EUW2997" s="125"/>
      <c r="EUX2997" s="470"/>
      <c r="EUY2997" s="449"/>
      <c r="EUZ2997" s="462"/>
      <c r="EVA2997" s="299"/>
      <c r="EVB2997" s="81"/>
      <c r="EVC2997" s="160"/>
      <c r="EVD2997" s="559"/>
      <c r="EVE2997" s="125"/>
      <c r="EVF2997" s="470"/>
      <c r="EVG2997" s="449"/>
      <c r="EVH2997" s="462"/>
      <c r="EVI2997" s="299"/>
      <c r="EVJ2997" s="81"/>
      <c r="EVK2997" s="160"/>
      <c r="EVL2997" s="559"/>
      <c r="EVM2997" s="125"/>
      <c r="EVN2997" s="470"/>
      <c r="EVO2997" s="449"/>
      <c r="EVP2997" s="462"/>
      <c r="EVQ2997" s="299"/>
      <c r="EVR2997" s="81"/>
      <c r="EVS2997" s="160"/>
      <c r="EVT2997" s="559"/>
      <c r="EVU2997" s="125"/>
      <c r="EVV2997" s="470"/>
      <c r="EVW2997" s="449"/>
      <c r="EVX2997" s="462"/>
      <c r="EVY2997" s="299"/>
      <c r="EVZ2997" s="81"/>
      <c r="EWA2997" s="160"/>
      <c r="EWB2997" s="559"/>
      <c r="EWC2997" s="125"/>
      <c r="EWD2997" s="470"/>
      <c r="EWE2997" s="449"/>
      <c r="EWF2997" s="462"/>
      <c r="EWG2997" s="299"/>
      <c r="EWH2997" s="81"/>
      <c r="EWI2997" s="160"/>
      <c r="EWJ2997" s="559"/>
      <c r="EWK2997" s="125"/>
      <c r="EWL2997" s="470"/>
      <c r="EWM2997" s="449"/>
      <c r="EWN2997" s="462"/>
      <c r="EWO2997" s="299"/>
      <c r="EWP2997" s="81"/>
      <c r="EWQ2997" s="160"/>
      <c r="EWR2997" s="559"/>
      <c r="EWS2997" s="125"/>
      <c r="EWT2997" s="470"/>
      <c r="EWU2997" s="449"/>
      <c r="EWV2997" s="462"/>
      <c r="EWW2997" s="299"/>
      <c r="EWX2997" s="81"/>
      <c r="EWY2997" s="160"/>
      <c r="EWZ2997" s="559"/>
      <c r="EXA2997" s="125"/>
      <c r="EXB2997" s="470"/>
      <c r="EXC2997" s="449"/>
      <c r="EXD2997" s="462"/>
      <c r="EXE2997" s="299"/>
      <c r="EXF2997" s="81"/>
      <c r="EXG2997" s="160"/>
      <c r="EXH2997" s="559"/>
      <c r="EXI2997" s="125"/>
      <c r="EXJ2997" s="470"/>
      <c r="EXK2997" s="449"/>
      <c r="EXL2997" s="462"/>
      <c r="EXM2997" s="299"/>
      <c r="EXN2997" s="81"/>
      <c r="EXO2997" s="160"/>
      <c r="EXP2997" s="559"/>
      <c r="EXQ2997" s="125"/>
      <c r="EXR2997" s="470"/>
      <c r="EXS2997" s="449"/>
      <c r="EXT2997" s="462"/>
      <c r="EXU2997" s="299"/>
      <c r="EXV2997" s="81"/>
      <c r="EXW2997" s="160"/>
      <c r="EXX2997" s="559"/>
      <c r="EXY2997" s="125"/>
      <c r="EXZ2997" s="470"/>
      <c r="EYA2997" s="449"/>
      <c r="EYB2997" s="462"/>
      <c r="EYC2997" s="299"/>
      <c r="EYD2997" s="81"/>
      <c r="EYE2997" s="160"/>
      <c r="EYF2997" s="559"/>
      <c r="EYG2997" s="125"/>
      <c r="EYH2997" s="470"/>
      <c r="EYI2997" s="449"/>
      <c r="EYJ2997" s="462"/>
      <c r="EYK2997" s="299"/>
      <c r="EYL2997" s="81"/>
      <c r="EYM2997" s="160"/>
      <c r="EYN2997" s="559"/>
      <c r="EYO2997" s="125"/>
      <c r="EYP2997" s="470"/>
      <c r="EYQ2997" s="449"/>
      <c r="EYR2997" s="462"/>
      <c r="EYS2997" s="299"/>
      <c r="EYT2997" s="81"/>
      <c r="EYU2997" s="160"/>
      <c r="EYV2997" s="559"/>
      <c r="EYW2997" s="125"/>
      <c r="EYX2997" s="470"/>
      <c r="EYY2997" s="449"/>
      <c r="EYZ2997" s="462"/>
      <c r="EZA2997" s="299"/>
      <c r="EZB2997" s="81"/>
      <c r="EZC2997" s="160"/>
      <c r="EZD2997" s="559"/>
      <c r="EZE2997" s="125"/>
      <c r="EZF2997" s="470"/>
      <c r="EZG2997" s="449"/>
      <c r="EZH2997" s="462"/>
      <c r="EZI2997" s="299"/>
      <c r="EZJ2997" s="81"/>
      <c r="EZK2997" s="160"/>
      <c r="EZL2997" s="559"/>
      <c r="EZM2997" s="125"/>
      <c r="EZN2997" s="470"/>
      <c r="EZO2997" s="449"/>
      <c r="EZP2997" s="462"/>
      <c r="EZQ2997" s="299"/>
      <c r="EZR2997" s="81"/>
      <c r="EZS2997" s="160"/>
      <c r="EZT2997" s="559"/>
      <c r="EZU2997" s="125"/>
      <c r="EZV2997" s="470"/>
      <c r="EZW2997" s="449"/>
      <c r="EZX2997" s="462"/>
      <c r="EZY2997" s="299"/>
      <c r="EZZ2997" s="81"/>
      <c r="FAA2997" s="160"/>
      <c r="FAB2997" s="559"/>
      <c r="FAC2997" s="125"/>
      <c r="FAD2997" s="470"/>
      <c r="FAE2997" s="449"/>
      <c r="FAF2997" s="462"/>
      <c r="FAG2997" s="299"/>
      <c r="FAH2997" s="81"/>
      <c r="FAI2997" s="160"/>
      <c r="FAJ2997" s="559"/>
      <c r="FAK2997" s="125"/>
      <c r="FAL2997" s="470"/>
      <c r="FAM2997" s="449"/>
      <c r="FAN2997" s="462"/>
      <c r="FAO2997" s="299"/>
      <c r="FAP2997" s="81"/>
      <c r="FAQ2997" s="160"/>
      <c r="FAR2997" s="559"/>
      <c r="FAS2997" s="125"/>
      <c r="FAT2997" s="470"/>
      <c r="FAU2997" s="449"/>
      <c r="FAV2997" s="462"/>
      <c r="FAW2997" s="299"/>
      <c r="FAX2997" s="81"/>
      <c r="FAY2997" s="160"/>
      <c r="FAZ2997" s="559"/>
      <c r="FBA2997" s="125"/>
      <c r="FBB2997" s="470"/>
      <c r="FBC2997" s="449"/>
      <c r="FBD2997" s="462"/>
      <c r="FBE2997" s="299"/>
      <c r="FBF2997" s="81"/>
      <c r="FBG2997" s="160"/>
      <c r="FBH2997" s="559"/>
      <c r="FBI2997" s="125"/>
      <c r="FBJ2997" s="470"/>
      <c r="FBK2997" s="449"/>
      <c r="FBL2997" s="462"/>
      <c r="FBM2997" s="299"/>
      <c r="FBN2997" s="81"/>
      <c r="FBO2997" s="160"/>
      <c r="FBP2997" s="559"/>
      <c r="FBQ2997" s="125"/>
      <c r="FBR2997" s="470"/>
      <c r="FBS2997" s="449"/>
      <c r="FBT2997" s="462"/>
      <c r="FBU2997" s="299"/>
      <c r="FBV2997" s="81"/>
      <c r="FBW2997" s="160"/>
      <c r="FBX2997" s="559"/>
      <c r="FBY2997" s="125"/>
      <c r="FBZ2997" s="470"/>
      <c r="FCA2997" s="449"/>
      <c r="FCB2997" s="462"/>
      <c r="FCC2997" s="299"/>
      <c r="FCD2997" s="81"/>
      <c r="FCE2997" s="160"/>
      <c r="FCF2997" s="559"/>
      <c r="FCG2997" s="125"/>
      <c r="FCH2997" s="470"/>
      <c r="FCI2997" s="449"/>
      <c r="FCJ2997" s="462"/>
      <c r="FCK2997" s="299"/>
      <c r="FCL2997" s="81"/>
      <c r="FCM2997" s="160"/>
      <c r="FCN2997" s="559"/>
      <c r="FCO2997" s="125"/>
      <c r="FCP2997" s="470"/>
      <c r="FCQ2997" s="449"/>
      <c r="FCR2997" s="462"/>
      <c r="FCS2997" s="299"/>
      <c r="FCT2997" s="81"/>
      <c r="FCU2997" s="160"/>
      <c r="FCV2997" s="559"/>
      <c r="FCW2997" s="125"/>
      <c r="FCX2997" s="470"/>
      <c r="FCY2997" s="449"/>
      <c r="FCZ2997" s="462"/>
      <c r="FDA2997" s="299"/>
      <c r="FDB2997" s="81"/>
      <c r="FDC2997" s="160"/>
      <c r="FDD2997" s="559"/>
      <c r="FDE2997" s="125"/>
      <c r="FDF2997" s="470"/>
      <c r="FDG2997" s="449"/>
      <c r="FDH2997" s="462"/>
      <c r="FDI2997" s="299"/>
      <c r="FDJ2997" s="81"/>
      <c r="FDK2997" s="160"/>
      <c r="FDL2997" s="559"/>
      <c r="FDM2997" s="125"/>
      <c r="FDN2997" s="470"/>
      <c r="FDO2997" s="449"/>
      <c r="FDP2997" s="462"/>
      <c r="FDQ2997" s="299"/>
      <c r="FDR2997" s="81"/>
      <c r="FDS2997" s="160"/>
      <c r="FDT2997" s="559"/>
      <c r="FDU2997" s="125"/>
      <c r="FDV2997" s="470"/>
      <c r="FDW2997" s="449"/>
      <c r="FDX2997" s="462"/>
      <c r="FDY2997" s="299"/>
      <c r="FDZ2997" s="81"/>
      <c r="FEA2997" s="160"/>
      <c r="FEB2997" s="559"/>
      <c r="FEC2997" s="125"/>
      <c r="FED2997" s="470"/>
      <c r="FEE2997" s="449"/>
      <c r="FEF2997" s="462"/>
      <c r="FEG2997" s="299"/>
      <c r="FEH2997" s="81"/>
      <c r="FEI2997" s="160"/>
      <c r="FEJ2997" s="559"/>
      <c r="FEK2997" s="125"/>
      <c r="FEL2997" s="470"/>
      <c r="FEM2997" s="449"/>
      <c r="FEN2997" s="462"/>
      <c r="FEO2997" s="299"/>
      <c r="FEP2997" s="81"/>
      <c r="FEQ2997" s="160"/>
      <c r="FER2997" s="559"/>
      <c r="FES2997" s="125"/>
      <c r="FET2997" s="470"/>
      <c r="FEU2997" s="449"/>
      <c r="FEV2997" s="462"/>
      <c r="FEW2997" s="299"/>
      <c r="FEX2997" s="81"/>
      <c r="FEY2997" s="160"/>
      <c r="FEZ2997" s="559"/>
      <c r="FFA2997" s="125"/>
      <c r="FFB2997" s="470"/>
      <c r="FFC2997" s="449"/>
      <c r="FFD2997" s="462"/>
      <c r="FFE2997" s="299"/>
      <c r="FFF2997" s="81"/>
      <c r="FFG2997" s="160"/>
      <c r="FFH2997" s="559"/>
      <c r="FFI2997" s="125"/>
      <c r="FFJ2997" s="470"/>
      <c r="FFK2997" s="449"/>
      <c r="FFL2997" s="462"/>
      <c r="FFM2997" s="299"/>
      <c r="FFN2997" s="81"/>
      <c r="FFO2997" s="160"/>
      <c r="FFP2997" s="559"/>
      <c r="FFQ2997" s="125"/>
      <c r="FFR2997" s="470"/>
      <c r="FFS2997" s="449"/>
      <c r="FFT2997" s="462"/>
      <c r="FFU2997" s="299"/>
      <c r="FFV2997" s="81"/>
      <c r="FFW2997" s="160"/>
      <c r="FFX2997" s="559"/>
      <c r="FFY2997" s="125"/>
      <c r="FFZ2997" s="470"/>
      <c r="FGA2997" s="449"/>
      <c r="FGB2997" s="462"/>
      <c r="FGC2997" s="299"/>
      <c r="FGD2997" s="81"/>
      <c r="FGE2997" s="160"/>
      <c r="FGF2997" s="559"/>
      <c r="FGG2997" s="125"/>
      <c r="FGH2997" s="470"/>
      <c r="FGI2997" s="449"/>
      <c r="FGJ2997" s="462"/>
      <c r="FGK2997" s="299"/>
      <c r="FGL2997" s="81"/>
      <c r="FGM2997" s="160"/>
      <c r="FGN2997" s="559"/>
      <c r="FGO2997" s="125"/>
      <c r="FGP2997" s="470"/>
      <c r="FGQ2997" s="449"/>
      <c r="FGR2997" s="462"/>
      <c r="FGS2997" s="299"/>
      <c r="FGT2997" s="81"/>
      <c r="FGU2997" s="160"/>
      <c r="FGV2997" s="559"/>
      <c r="FGW2997" s="125"/>
      <c r="FGX2997" s="470"/>
      <c r="FGY2997" s="449"/>
      <c r="FGZ2997" s="462"/>
      <c r="FHA2997" s="299"/>
      <c r="FHB2997" s="81"/>
      <c r="FHC2997" s="160"/>
      <c r="FHD2997" s="559"/>
      <c r="FHE2997" s="125"/>
      <c r="FHF2997" s="470"/>
      <c r="FHG2997" s="449"/>
      <c r="FHH2997" s="462"/>
      <c r="FHI2997" s="299"/>
      <c r="FHJ2997" s="81"/>
      <c r="FHK2997" s="160"/>
      <c r="FHL2997" s="559"/>
      <c r="FHM2997" s="125"/>
      <c r="FHN2997" s="470"/>
      <c r="FHO2997" s="449"/>
      <c r="FHP2997" s="462"/>
      <c r="FHQ2997" s="299"/>
      <c r="FHR2997" s="81"/>
      <c r="FHS2997" s="160"/>
      <c r="FHT2997" s="559"/>
      <c r="FHU2997" s="125"/>
      <c r="FHV2997" s="470"/>
      <c r="FHW2997" s="449"/>
      <c r="FHX2997" s="462"/>
      <c r="FHY2997" s="299"/>
      <c r="FHZ2997" s="81"/>
      <c r="FIA2997" s="160"/>
      <c r="FIB2997" s="559"/>
      <c r="FIC2997" s="125"/>
      <c r="FID2997" s="470"/>
      <c r="FIE2997" s="449"/>
      <c r="FIF2997" s="462"/>
      <c r="FIG2997" s="299"/>
      <c r="FIH2997" s="81"/>
      <c r="FII2997" s="160"/>
      <c r="FIJ2997" s="559"/>
      <c r="FIK2997" s="125"/>
      <c r="FIL2997" s="470"/>
      <c r="FIM2997" s="449"/>
      <c r="FIN2997" s="462"/>
      <c r="FIO2997" s="299"/>
      <c r="FIP2997" s="81"/>
      <c r="FIQ2997" s="160"/>
      <c r="FIR2997" s="559"/>
      <c r="FIS2997" s="125"/>
      <c r="FIT2997" s="470"/>
      <c r="FIU2997" s="449"/>
      <c r="FIV2997" s="462"/>
      <c r="FIW2997" s="299"/>
      <c r="FIX2997" s="81"/>
      <c r="FIY2997" s="160"/>
      <c r="FIZ2997" s="559"/>
      <c r="FJA2997" s="125"/>
      <c r="FJB2997" s="470"/>
      <c r="FJC2997" s="449"/>
      <c r="FJD2997" s="462"/>
      <c r="FJE2997" s="299"/>
      <c r="FJF2997" s="81"/>
      <c r="FJG2997" s="160"/>
      <c r="FJH2997" s="559"/>
      <c r="FJI2997" s="125"/>
      <c r="FJJ2997" s="470"/>
      <c r="FJK2997" s="449"/>
      <c r="FJL2997" s="462"/>
      <c r="FJM2997" s="299"/>
      <c r="FJN2997" s="81"/>
      <c r="FJO2997" s="160"/>
      <c r="FJP2997" s="559"/>
      <c r="FJQ2997" s="125"/>
      <c r="FJR2997" s="470"/>
      <c r="FJS2997" s="449"/>
      <c r="FJT2997" s="462"/>
      <c r="FJU2997" s="299"/>
      <c r="FJV2997" s="81"/>
      <c r="FJW2997" s="160"/>
      <c r="FJX2997" s="559"/>
      <c r="FJY2997" s="125"/>
      <c r="FJZ2997" s="470"/>
      <c r="FKA2997" s="449"/>
      <c r="FKB2997" s="462"/>
      <c r="FKC2997" s="299"/>
      <c r="FKD2997" s="81"/>
      <c r="FKE2997" s="160"/>
      <c r="FKF2997" s="559"/>
      <c r="FKG2997" s="125"/>
      <c r="FKH2997" s="470"/>
      <c r="FKI2997" s="449"/>
      <c r="FKJ2997" s="462"/>
      <c r="FKK2997" s="299"/>
      <c r="FKL2997" s="81"/>
      <c r="FKM2997" s="160"/>
      <c r="FKN2997" s="559"/>
      <c r="FKO2997" s="125"/>
      <c r="FKP2997" s="470"/>
      <c r="FKQ2997" s="449"/>
      <c r="FKR2997" s="462"/>
      <c r="FKS2997" s="299"/>
      <c r="FKT2997" s="81"/>
      <c r="FKU2997" s="160"/>
      <c r="FKV2997" s="559"/>
      <c r="FKW2997" s="125"/>
      <c r="FKX2997" s="470"/>
      <c r="FKY2997" s="449"/>
      <c r="FKZ2997" s="462"/>
      <c r="FLA2997" s="299"/>
      <c r="FLB2997" s="81"/>
      <c r="FLC2997" s="160"/>
      <c r="FLD2997" s="559"/>
      <c r="FLE2997" s="125"/>
      <c r="FLF2997" s="470"/>
      <c r="FLG2997" s="449"/>
      <c r="FLH2997" s="462"/>
      <c r="FLI2997" s="299"/>
      <c r="FLJ2997" s="81"/>
      <c r="FLK2997" s="160"/>
      <c r="FLL2997" s="559"/>
      <c r="FLM2997" s="125"/>
      <c r="FLN2997" s="470"/>
      <c r="FLO2997" s="449"/>
      <c r="FLP2997" s="462"/>
      <c r="FLQ2997" s="299"/>
      <c r="FLR2997" s="81"/>
      <c r="FLS2997" s="160"/>
      <c r="FLT2997" s="559"/>
      <c r="FLU2997" s="125"/>
      <c r="FLV2997" s="470"/>
      <c r="FLW2997" s="449"/>
      <c r="FLX2997" s="462"/>
      <c r="FLY2997" s="299"/>
      <c r="FLZ2997" s="81"/>
      <c r="FMA2997" s="160"/>
      <c r="FMB2997" s="559"/>
      <c r="FMC2997" s="125"/>
      <c r="FMD2997" s="470"/>
      <c r="FME2997" s="449"/>
      <c r="FMF2997" s="462"/>
      <c r="FMG2997" s="299"/>
      <c r="FMH2997" s="81"/>
      <c r="FMI2997" s="160"/>
      <c r="FMJ2997" s="559"/>
      <c r="FMK2997" s="125"/>
      <c r="FML2997" s="470"/>
      <c r="FMM2997" s="449"/>
      <c r="FMN2997" s="462"/>
      <c r="FMO2997" s="299"/>
      <c r="FMP2997" s="81"/>
      <c r="FMQ2997" s="160"/>
      <c r="FMR2997" s="559"/>
      <c r="FMS2997" s="125"/>
      <c r="FMT2997" s="470"/>
      <c r="FMU2997" s="449"/>
      <c r="FMV2997" s="462"/>
      <c r="FMW2997" s="299"/>
      <c r="FMX2997" s="81"/>
      <c r="FMY2997" s="160"/>
      <c r="FMZ2997" s="559"/>
      <c r="FNA2997" s="125"/>
      <c r="FNB2997" s="470"/>
      <c r="FNC2997" s="449"/>
      <c r="FND2997" s="462"/>
      <c r="FNE2997" s="299"/>
      <c r="FNF2997" s="81"/>
      <c r="FNG2997" s="160"/>
      <c r="FNH2997" s="559"/>
      <c r="FNI2997" s="125"/>
      <c r="FNJ2997" s="470"/>
      <c r="FNK2997" s="449"/>
      <c r="FNL2997" s="462"/>
      <c r="FNM2997" s="299"/>
      <c r="FNN2997" s="81"/>
      <c r="FNO2997" s="160"/>
      <c r="FNP2997" s="559"/>
      <c r="FNQ2997" s="125"/>
      <c r="FNR2997" s="470"/>
      <c r="FNS2997" s="449"/>
      <c r="FNT2997" s="462"/>
      <c r="FNU2997" s="299"/>
      <c r="FNV2997" s="81"/>
      <c r="FNW2997" s="160"/>
      <c r="FNX2997" s="559"/>
      <c r="FNY2997" s="125"/>
      <c r="FNZ2997" s="470"/>
      <c r="FOA2997" s="449"/>
      <c r="FOB2997" s="462"/>
      <c r="FOC2997" s="299"/>
      <c r="FOD2997" s="81"/>
      <c r="FOE2997" s="160"/>
      <c r="FOF2997" s="559"/>
      <c r="FOG2997" s="125"/>
      <c r="FOH2997" s="470"/>
      <c r="FOI2997" s="449"/>
      <c r="FOJ2997" s="462"/>
      <c r="FOK2997" s="299"/>
      <c r="FOL2997" s="81"/>
      <c r="FOM2997" s="160"/>
      <c r="FON2997" s="559"/>
      <c r="FOO2997" s="125"/>
      <c r="FOP2997" s="470"/>
      <c r="FOQ2997" s="449"/>
      <c r="FOR2997" s="462"/>
      <c r="FOS2997" s="299"/>
      <c r="FOT2997" s="81"/>
      <c r="FOU2997" s="160"/>
      <c r="FOV2997" s="559"/>
      <c r="FOW2997" s="125"/>
      <c r="FOX2997" s="470"/>
      <c r="FOY2997" s="449"/>
      <c r="FOZ2997" s="462"/>
      <c r="FPA2997" s="299"/>
      <c r="FPB2997" s="81"/>
      <c r="FPC2997" s="160"/>
      <c r="FPD2997" s="559"/>
      <c r="FPE2997" s="125"/>
      <c r="FPF2997" s="470"/>
      <c r="FPG2997" s="449"/>
      <c r="FPH2997" s="462"/>
      <c r="FPI2997" s="299"/>
      <c r="FPJ2997" s="81"/>
      <c r="FPK2997" s="160"/>
      <c r="FPL2997" s="559"/>
      <c r="FPM2997" s="125"/>
      <c r="FPN2997" s="470"/>
      <c r="FPO2997" s="449"/>
      <c r="FPP2997" s="462"/>
      <c r="FPQ2997" s="299"/>
      <c r="FPR2997" s="81"/>
      <c r="FPS2997" s="160"/>
      <c r="FPT2997" s="559"/>
      <c r="FPU2997" s="125"/>
      <c r="FPV2997" s="470"/>
      <c r="FPW2997" s="449"/>
      <c r="FPX2997" s="462"/>
      <c r="FPY2997" s="299"/>
      <c r="FPZ2997" s="81"/>
      <c r="FQA2997" s="160"/>
      <c r="FQB2997" s="559"/>
      <c r="FQC2997" s="125"/>
      <c r="FQD2997" s="470"/>
      <c r="FQE2997" s="449"/>
      <c r="FQF2997" s="462"/>
      <c r="FQG2997" s="299"/>
      <c r="FQH2997" s="81"/>
      <c r="FQI2997" s="160"/>
      <c r="FQJ2997" s="559"/>
      <c r="FQK2997" s="125"/>
      <c r="FQL2997" s="470"/>
      <c r="FQM2997" s="449"/>
      <c r="FQN2997" s="462"/>
      <c r="FQO2997" s="299"/>
      <c r="FQP2997" s="81"/>
      <c r="FQQ2997" s="160"/>
      <c r="FQR2997" s="559"/>
      <c r="FQS2997" s="125"/>
      <c r="FQT2997" s="470"/>
      <c r="FQU2997" s="449"/>
      <c r="FQV2997" s="462"/>
      <c r="FQW2997" s="299"/>
      <c r="FQX2997" s="81"/>
      <c r="FQY2997" s="160"/>
      <c r="FQZ2997" s="559"/>
      <c r="FRA2997" s="125"/>
      <c r="FRB2997" s="470"/>
      <c r="FRC2997" s="449"/>
      <c r="FRD2997" s="462"/>
      <c r="FRE2997" s="299"/>
      <c r="FRF2997" s="81"/>
      <c r="FRG2997" s="160"/>
      <c r="FRH2997" s="559"/>
      <c r="FRI2997" s="125"/>
      <c r="FRJ2997" s="470"/>
      <c r="FRK2997" s="449"/>
      <c r="FRL2997" s="462"/>
      <c r="FRM2997" s="299"/>
      <c r="FRN2997" s="81"/>
      <c r="FRO2997" s="160"/>
      <c r="FRP2997" s="559"/>
      <c r="FRQ2997" s="125"/>
      <c r="FRR2997" s="470"/>
      <c r="FRS2997" s="449"/>
      <c r="FRT2997" s="462"/>
      <c r="FRU2997" s="299"/>
      <c r="FRV2997" s="81"/>
      <c r="FRW2997" s="160"/>
      <c r="FRX2997" s="559"/>
      <c r="FRY2997" s="125"/>
      <c r="FRZ2997" s="470"/>
      <c r="FSA2997" s="449"/>
      <c r="FSB2997" s="462"/>
      <c r="FSC2997" s="299"/>
      <c r="FSD2997" s="81"/>
      <c r="FSE2997" s="160"/>
      <c r="FSF2997" s="559"/>
      <c r="FSG2997" s="125"/>
      <c r="FSH2997" s="470"/>
      <c r="FSI2997" s="449"/>
      <c r="FSJ2997" s="462"/>
      <c r="FSK2997" s="299"/>
      <c r="FSL2997" s="81"/>
      <c r="FSM2997" s="160"/>
      <c r="FSN2997" s="559"/>
      <c r="FSO2997" s="125"/>
      <c r="FSP2997" s="470"/>
      <c r="FSQ2997" s="449"/>
      <c r="FSR2997" s="462"/>
      <c r="FSS2997" s="299"/>
      <c r="FST2997" s="81"/>
      <c r="FSU2997" s="160"/>
      <c r="FSV2997" s="559"/>
      <c r="FSW2997" s="125"/>
      <c r="FSX2997" s="470"/>
      <c r="FSY2997" s="449"/>
      <c r="FSZ2997" s="462"/>
      <c r="FTA2997" s="299"/>
      <c r="FTB2997" s="81"/>
      <c r="FTC2997" s="160"/>
      <c r="FTD2997" s="559"/>
      <c r="FTE2997" s="125"/>
      <c r="FTF2997" s="470"/>
      <c r="FTG2997" s="449"/>
      <c r="FTH2997" s="462"/>
      <c r="FTI2997" s="299"/>
      <c r="FTJ2997" s="81"/>
      <c r="FTK2997" s="160"/>
      <c r="FTL2997" s="559"/>
      <c r="FTM2997" s="125"/>
      <c r="FTN2997" s="470"/>
      <c r="FTO2997" s="449"/>
      <c r="FTP2997" s="462"/>
      <c r="FTQ2997" s="299"/>
      <c r="FTR2997" s="81"/>
      <c r="FTS2997" s="160"/>
      <c r="FTT2997" s="559"/>
      <c r="FTU2997" s="125"/>
      <c r="FTV2997" s="470"/>
      <c r="FTW2997" s="449"/>
      <c r="FTX2997" s="462"/>
      <c r="FTY2997" s="299"/>
      <c r="FTZ2997" s="81"/>
      <c r="FUA2997" s="160"/>
      <c r="FUB2997" s="559"/>
      <c r="FUC2997" s="125"/>
      <c r="FUD2997" s="470"/>
      <c r="FUE2997" s="449"/>
      <c r="FUF2997" s="462"/>
      <c r="FUG2997" s="299"/>
      <c r="FUH2997" s="81"/>
      <c r="FUI2997" s="160"/>
      <c r="FUJ2997" s="559"/>
      <c r="FUK2997" s="125"/>
      <c r="FUL2997" s="470"/>
      <c r="FUM2997" s="449"/>
      <c r="FUN2997" s="462"/>
      <c r="FUO2997" s="299"/>
      <c r="FUP2997" s="81"/>
      <c r="FUQ2997" s="160"/>
      <c r="FUR2997" s="559"/>
      <c r="FUS2997" s="125"/>
      <c r="FUT2997" s="470"/>
      <c r="FUU2997" s="449"/>
      <c r="FUV2997" s="462"/>
      <c r="FUW2997" s="299"/>
      <c r="FUX2997" s="81"/>
      <c r="FUY2997" s="160"/>
      <c r="FUZ2997" s="559"/>
      <c r="FVA2997" s="125"/>
      <c r="FVB2997" s="470"/>
      <c r="FVC2997" s="449"/>
      <c r="FVD2997" s="462"/>
      <c r="FVE2997" s="299"/>
      <c r="FVF2997" s="81"/>
      <c r="FVG2997" s="160"/>
      <c r="FVH2997" s="559"/>
      <c r="FVI2997" s="125"/>
      <c r="FVJ2997" s="470"/>
      <c r="FVK2997" s="449"/>
      <c r="FVL2997" s="462"/>
      <c r="FVM2997" s="299"/>
      <c r="FVN2997" s="81"/>
      <c r="FVO2997" s="160"/>
      <c r="FVP2997" s="559"/>
      <c r="FVQ2997" s="125"/>
      <c r="FVR2997" s="470"/>
      <c r="FVS2997" s="449"/>
      <c r="FVT2997" s="462"/>
      <c r="FVU2997" s="299"/>
      <c r="FVV2997" s="81"/>
      <c r="FVW2997" s="160"/>
      <c r="FVX2997" s="559"/>
      <c r="FVY2997" s="125"/>
      <c r="FVZ2997" s="470"/>
      <c r="FWA2997" s="449"/>
      <c r="FWB2997" s="462"/>
      <c r="FWC2997" s="299"/>
      <c r="FWD2997" s="81"/>
      <c r="FWE2997" s="160"/>
      <c r="FWF2997" s="559"/>
      <c r="FWG2997" s="125"/>
      <c r="FWH2997" s="470"/>
      <c r="FWI2997" s="449"/>
      <c r="FWJ2997" s="462"/>
      <c r="FWK2997" s="299"/>
      <c r="FWL2997" s="81"/>
      <c r="FWM2997" s="160"/>
      <c r="FWN2997" s="559"/>
      <c r="FWO2997" s="125"/>
      <c r="FWP2997" s="470"/>
      <c r="FWQ2997" s="449"/>
      <c r="FWR2997" s="462"/>
      <c r="FWS2997" s="299"/>
      <c r="FWT2997" s="81"/>
      <c r="FWU2997" s="160"/>
      <c r="FWV2997" s="559"/>
      <c r="FWW2997" s="125"/>
      <c r="FWX2997" s="470"/>
      <c r="FWY2997" s="449"/>
      <c r="FWZ2997" s="462"/>
      <c r="FXA2997" s="299"/>
      <c r="FXB2997" s="81"/>
      <c r="FXC2997" s="160"/>
      <c r="FXD2997" s="559"/>
      <c r="FXE2997" s="125"/>
      <c r="FXF2997" s="470"/>
      <c r="FXG2997" s="449"/>
      <c r="FXH2997" s="462"/>
      <c r="FXI2997" s="299"/>
      <c r="FXJ2997" s="81"/>
      <c r="FXK2997" s="160"/>
      <c r="FXL2997" s="559"/>
      <c r="FXM2997" s="125"/>
      <c r="FXN2997" s="470"/>
      <c r="FXO2997" s="449"/>
      <c r="FXP2997" s="462"/>
      <c r="FXQ2997" s="299"/>
      <c r="FXR2997" s="81"/>
      <c r="FXS2997" s="160"/>
      <c r="FXT2997" s="559"/>
      <c r="FXU2997" s="125"/>
      <c r="FXV2997" s="470"/>
      <c r="FXW2997" s="449"/>
      <c r="FXX2997" s="462"/>
      <c r="FXY2997" s="299"/>
      <c r="FXZ2997" s="81"/>
      <c r="FYA2997" s="160"/>
      <c r="FYB2997" s="559"/>
      <c r="FYC2997" s="125"/>
      <c r="FYD2997" s="470"/>
      <c r="FYE2997" s="449"/>
      <c r="FYF2997" s="462"/>
      <c r="FYG2997" s="299"/>
      <c r="FYH2997" s="81"/>
      <c r="FYI2997" s="160"/>
      <c r="FYJ2997" s="559"/>
      <c r="FYK2997" s="125"/>
      <c r="FYL2997" s="470"/>
      <c r="FYM2997" s="449"/>
      <c r="FYN2997" s="462"/>
      <c r="FYO2997" s="299"/>
      <c r="FYP2997" s="81"/>
      <c r="FYQ2997" s="160"/>
      <c r="FYR2997" s="559"/>
      <c r="FYS2997" s="125"/>
      <c r="FYT2997" s="470"/>
      <c r="FYU2997" s="449"/>
      <c r="FYV2997" s="462"/>
      <c r="FYW2997" s="299"/>
      <c r="FYX2997" s="81"/>
      <c r="FYY2997" s="160"/>
      <c r="FYZ2997" s="559"/>
      <c r="FZA2997" s="125"/>
      <c r="FZB2997" s="470"/>
      <c r="FZC2997" s="449"/>
      <c r="FZD2997" s="462"/>
      <c r="FZE2997" s="299"/>
      <c r="FZF2997" s="81"/>
      <c r="FZG2997" s="160"/>
      <c r="FZH2997" s="559"/>
      <c r="FZI2997" s="125"/>
      <c r="FZJ2997" s="470"/>
      <c r="FZK2997" s="449"/>
      <c r="FZL2997" s="462"/>
      <c r="FZM2997" s="299"/>
      <c r="FZN2997" s="81"/>
      <c r="FZO2997" s="160"/>
      <c r="FZP2997" s="559"/>
      <c r="FZQ2997" s="125"/>
      <c r="FZR2997" s="470"/>
      <c r="FZS2997" s="449"/>
      <c r="FZT2997" s="462"/>
      <c r="FZU2997" s="299"/>
      <c r="FZV2997" s="81"/>
      <c r="FZW2997" s="160"/>
      <c r="FZX2997" s="559"/>
      <c r="FZY2997" s="125"/>
      <c r="FZZ2997" s="470"/>
      <c r="GAA2997" s="449"/>
      <c r="GAB2997" s="462"/>
      <c r="GAC2997" s="299"/>
      <c r="GAD2997" s="81"/>
      <c r="GAE2997" s="160"/>
      <c r="GAF2997" s="559"/>
      <c r="GAG2997" s="125"/>
      <c r="GAH2997" s="470"/>
      <c r="GAI2997" s="449"/>
      <c r="GAJ2997" s="462"/>
      <c r="GAK2997" s="299"/>
      <c r="GAL2997" s="81"/>
      <c r="GAM2997" s="160"/>
      <c r="GAN2997" s="559"/>
      <c r="GAO2997" s="125"/>
      <c r="GAP2997" s="470"/>
      <c r="GAQ2997" s="449"/>
      <c r="GAR2997" s="462"/>
      <c r="GAS2997" s="299"/>
      <c r="GAT2997" s="81"/>
      <c r="GAU2997" s="160"/>
      <c r="GAV2997" s="559"/>
      <c r="GAW2997" s="125"/>
      <c r="GAX2997" s="470"/>
      <c r="GAY2997" s="449"/>
      <c r="GAZ2997" s="462"/>
      <c r="GBA2997" s="299"/>
      <c r="GBB2997" s="81"/>
      <c r="GBC2997" s="160"/>
      <c r="GBD2997" s="559"/>
      <c r="GBE2997" s="125"/>
      <c r="GBF2997" s="470"/>
      <c r="GBG2997" s="449"/>
      <c r="GBH2997" s="462"/>
      <c r="GBI2997" s="299"/>
      <c r="GBJ2997" s="81"/>
      <c r="GBK2997" s="160"/>
      <c r="GBL2997" s="559"/>
      <c r="GBM2997" s="125"/>
      <c r="GBN2997" s="470"/>
      <c r="GBO2997" s="449"/>
      <c r="GBP2997" s="462"/>
      <c r="GBQ2997" s="299"/>
      <c r="GBR2997" s="81"/>
      <c r="GBS2997" s="160"/>
      <c r="GBT2997" s="559"/>
      <c r="GBU2997" s="125"/>
      <c r="GBV2997" s="470"/>
      <c r="GBW2997" s="449"/>
      <c r="GBX2997" s="462"/>
      <c r="GBY2997" s="299"/>
      <c r="GBZ2997" s="81"/>
      <c r="GCA2997" s="160"/>
      <c r="GCB2997" s="559"/>
      <c r="GCC2997" s="125"/>
      <c r="GCD2997" s="470"/>
      <c r="GCE2997" s="449"/>
      <c r="GCF2997" s="462"/>
      <c r="GCG2997" s="299"/>
      <c r="GCH2997" s="81"/>
      <c r="GCI2997" s="160"/>
      <c r="GCJ2997" s="559"/>
      <c r="GCK2997" s="125"/>
      <c r="GCL2997" s="470"/>
      <c r="GCM2997" s="449"/>
      <c r="GCN2997" s="462"/>
      <c r="GCO2997" s="299"/>
      <c r="GCP2997" s="81"/>
      <c r="GCQ2997" s="160"/>
      <c r="GCR2997" s="559"/>
      <c r="GCS2997" s="125"/>
      <c r="GCT2997" s="470"/>
      <c r="GCU2997" s="449"/>
      <c r="GCV2997" s="462"/>
      <c r="GCW2997" s="299"/>
      <c r="GCX2997" s="81"/>
      <c r="GCY2997" s="160"/>
      <c r="GCZ2997" s="559"/>
      <c r="GDA2997" s="125"/>
      <c r="GDB2997" s="470"/>
      <c r="GDC2997" s="449"/>
      <c r="GDD2997" s="462"/>
      <c r="GDE2997" s="299"/>
      <c r="GDF2997" s="81"/>
      <c r="GDG2997" s="160"/>
      <c r="GDH2997" s="559"/>
      <c r="GDI2997" s="125"/>
      <c r="GDJ2997" s="470"/>
      <c r="GDK2997" s="449"/>
      <c r="GDL2997" s="462"/>
      <c r="GDM2997" s="299"/>
      <c r="GDN2997" s="81"/>
      <c r="GDO2997" s="160"/>
      <c r="GDP2997" s="559"/>
      <c r="GDQ2997" s="125"/>
      <c r="GDR2997" s="470"/>
      <c r="GDS2997" s="449"/>
      <c r="GDT2997" s="462"/>
      <c r="GDU2997" s="299"/>
      <c r="GDV2997" s="81"/>
      <c r="GDW2997" s="160"/>
      <c r="GDX2997" s="559"/>
      <c r="GDY2997" s="125"/>
      <c r="GDZ2997" s="470"/>
      <c r="GEA2997" s="449"/>
      <c r="GEB2997" s="462"/>
      <c r="GEC2997" s="299"/>
      <c r="GED2997" s="81"/>
      <c r="GEE2997" s="160"/>
      <c r="GEF2997" s="559"/>
      <c r="GEG2997" s="125"/>
      <c r="GEH2997" s="470"/>
      <c r="GEI2997" s="449"/>
      <c r="GEJ2997" s="462"/>
      <c r="GEK2997" s="299"/>
      <c r="GEL2997" s="81"/>
      <c r="GEM2997" s="160"/>
      <c r="GEN2997" s="559"/>
      <c r="GEO2997" s="125"/>
      <c r="GEP2997" s="470"/>
      <c r="GEQ2997" s="449"/>
      <c r="GER2997" s="462"/>
      <c r="GES2997" s="299"/>
      <c r="GET2997" s="81"/>
      <c r="GEU2997" s="160"/>
      <c r="GEV2997" s="559"/>
      <c r="GEW2997" s="125"/>
      <c r="GEX2997" s="470"/>
      <c r="GEY2997" s="449"/>
      <c r="GEZ2997" s="462"/>
      <c r="GFA2997" s="299"/>
      <c r="GFB2997" s="81"/>
      <c r="GFC2997" s="160"/>
      <c r="GFD2997" s="559"/>
      <c r="GFE2997" s="125"/>
      <c r="GFF2997" s="470"/>
      <c r="GFG2997" s="449"/>
      <c r="GFH2997" s="462"/>
      <c r="GFI2997" s="299"/>
      <c r="GFJ2997" s="81"/>
      <c r="GFK2997" s="160"/>
      <c r="GFL2997" s="559"/>
      <c r="GFM2997" s="125"/>
      <c r="GFN2997" s="470"/>
      <c r="GFO2997" s="449"/>
      <c r="GFP2997" s="462"/>
      <c r="GFQ2997" s="299"/>
      <c r="GFR2997" s="81"/>
      <c r="GFS2997" s="160"/>
      <c r="GFT2997" s="559"/>
      <c r="GFU2997" s="125"/>
      <c r="GFV2997" s="470"/>
      <c r="GFW2997" s="449"/>
      <c r="GFX2997" s="462"/>
      <c r="GFY2997" s="299"/>
      <c r="GFZ2997" s="81"/>
      <c r="GGA2997" s="160"/>
      <c r="GGB2997" s="559"/>
      <c r="GGC2997" s="125"/>
      <c r="GGD2997" s="470"/>
      <c r="GGE2997" s="449"/>
      <c r="GGF2997" s="462"/>
      <c r="GGG2997" s="299"/>
      <c r="GGH2997" s="81"/>
      <c r="GGI2997" s="160"/>
      <c r="GGJ2997" s="559"/>
      <c r="GGK2997" s="125"/>
      <c r="GGL2997" s="470"/>
      <c r="GGM2997" s="449"/>
      <c r="GGN2997" s="462"/>
      <c r="GGO2997" s="299"/>
      <c r="GGP2997" s="81"/>
      <c r="GGQ2997" s="160"/>
      <c r="GGR2997" s="559"/>
      <c r="GGS2997" s="125"/>
      <c r="GGT2997" s="470"/>
      <c r="GGU2997" s="449"/>
      <c r="GGV2997" s="462"/>
      <c r="GGW2997" s="299"/>
      <c r="GGX2997" s="81"/>
      <c r="GGY2997" s="160"/>
      <c r="GGZ2997" s="559"/>
      <c r="GHA2997" s="125"/>
      <c r="GHB2997" s="470"/>
      <c r="GHC2997" s="449"/>
      <c r="GHD2997" s="462"/>
      <c r="GHE2997" s="299"/>
      <c r="GHF2997" s="81"/>
      <c r="GHG2997" s="160"/>
      <c r="GHH2997" s="559"/>
      <c r="GHI2997" s="125"/>
      <c r="GHJ2997" s="470"/>
      <c r="GHK2997" s="449"/>
      <c r="GHL2997" s="462"/>
      <c r="GHM2997" s="299"/>
      <c r="GHN2997" s="81"/>
      <c r="GHO2997" s="160"/>
      <c r="GHP2997" s="559"/>
      <c r="GHQ2997" s="125"/>
      <c r="GHR2997" s="470"/>
      <c r="GHS2997" s="449"/>
      <c r="GHT2997" s="462"/>
      <c r="GHU2997" s="299"/>
      <c r="GHV2997" s="81"/>
      <c r="GHW2997" s="160"/>
      <c r="GHX2997" s="559"/>
      <c r="GHY2997" s="125"/>
      <c r="GHZ2997" s="470"/>
      <c r="GIA2997" s="449"/>
      <c r="GIB2997" s="462"/>
      <c r="GIC2997" s="299"/>
      <c r="GID2997" s="81"/>
      <c r="GIE2997" s="160"/>
      <c r="GIF2997" s="559"/>
      <c r="GIG2997" s="125"/>
      <c r="GIH2997" s="470"/>
      <c r="GII2997" s="449"/>
      <c r="GIJ2997" s="462"/>
      <c r="GIK2997" s="299"/>
      <c r="GIL2997" s="81"/>
      <c r="GIM2997" s="160"/>
      <c r="GIN2997" s="559"/>
      <c r="GIO2997" s="125"/>
      <c r="GIP2997" s="470"/>
      <c r="GIQ2997" s="449"/>
      <c r="GIR2997" s="462"/>
      <c r="GIS2997" s="299"/>
      <c r="GIT2997" s="81"/>
      <c r="GIU2997" s="160"/>
      <c r="GIV2997" s="559"/>
      <c r="GIW2997" s="125"/>
      <c r="GIX2997" s="470"/>
      <c r="GIY2997" s="449"/>
      <c r="GIZ2997" s="462"/>
      <c r="GJA2997" s="299"/>
      <c r="GJB2997" s="81"/>
      <c r="GJC2997" s="160"/>
      <c r="GJD2997" s="559"/>
      <c r="GJE2997" s="125"/>
      <c r="GJF2997" s="470"/>
      <c r="GJG2997" s="449"/>
      <c r="GJH2997" s="462"/>
      <c r="GJI2997" s="299"/>
      <c r="GJJ2997" s="81"/>
      <c r="GJK2997" s="160"/>
      <c r="GJL2997" s="559"/>
      <c r="GJM2997" s="125"/>
      <c r="GJN2997" s="470"/>
      <c r="GJO2997" s="449"/>
      <c r="GJP2997" s="462"/>
      <c r="GJQ2997" s="299"/>
      <c r="GJR2997" s="81"/>
      <c r="GJS2997" s="160"/>
      <c r="GJT2997" s="559"/>
      <c r="GJU2997" s="125"/>
      <c r="GJV2997" s="470"/>
      <c r="GJW2997" s="449"/>
      <c r="GJX2997" s="462"/>
      <c r="GJY2997" s="299"/>
      <c r="GJZ2997" s="81"/>
      <c r="GKA2997" s="160"/>
      <c r="GKB2997" s="559"/>
      <c r="GKC2997" s="125"/>
      <c r="GKD2997" s="470"/>
      <c r="GKE2997" s="449"/>
      <c r="GKF2997" s="462"/>
      <c r="GKG2997" s="299"/>
      <c r="GKH2997" s="81"/>
      <c r="GKI2997" s="160"/>
      <c r="GKJ2997" s="559"/>
      <c r="GKK2997" s="125"/>
      <c r="GKL2997" s="470"/>
      <c r="GKM2997" s="449"/>
      <c r="GKN2997" s="462"/>
      <c r="GKO2997" s="299"/>
      <c r="GKP2997" s="81"/>
      <c r="GKQ2997" s="160"/>
      <c r="GKR2997" s="559"/>
      <c r="GKS2997" s="125"/>
      <c r="GKT2997" s="470"/>
      <c r="GKU2997" s="449"/>
      <c r="GKV2997" s="462"/>
      <c r="GKW2997" s="299"/>
      <c r="GKX2997" s="81"/>
      <c r="GKY2997" s="160"/>
      <c r="GKZ2997" s="559"/>
      <c r="GLA2997" s="125"/>
      <c r="GLB2997" s="470"/>
      <c r="GLC2997" s="449"/>
      <c r="GLD2997" s="462"/>
      <c r="GLE2997" s="299"/>
      <c r="GLF2997" s="81"/>
      <c r="GLG2997" s="160"/>
      <c r="GLH2997" s="559"/>
      <c r="GLI2997" s="125"/>
      <c r="GLJ2997" s="470"/>
      <c r="GLK2997" s="449"/>
      <c r="GLL2997" s="462"/>
      <c r="GLM2997" s="299"/>
      <c r="GLN2997" s="81"/>
      <c r="GLO2997" s="160"/>
      <c r="GLP2997" s="559"/>
      <c r="GLQ2997" s="125"/>
      <c r="GLR2997" s="470"/>
      <c r="GLS2997" s="449"/>
      <c r="GLT2997" s="462"/>
      <c r="GLU2997" s="299"/>
      <c r="GLV2997" s="81"/>
      <c r="GLW2997" s="160"/>
      <c r="GLX2997" s="559"/>
      <c r="GLY2997" s="125"/>
      <c r="GLZ2997" s="470"/>
      <c r="GMA2997" s="449"/>
      <c r="GMB2997" s="462"/>
      <c r="GMC2997" s="299"/>
      <c r="GMD2997" s="81"/>
      <c r="GME2997" s="160"/>
      <c r="GMF2997" s="559"/>
      <c r="GMG2997" s="125"/>
      <c r="GMH2997" s="470"/>
      <c r="GMI2997" s="449"/>
      <c r="GMJ2997" s="462"/>
      <c r="GMK2997" s="299"/>
      <c r="GML2997" s="81"/>
      <c r="GMM2997" s="160"/>
      <c r="GMN2997" s="559"/>
      <c r="GMO2997" s="125"/>
      <c r="GMP2997" s="470"/>
      <c r="GMQ2997" s="449"/>
      <c r="GMR2997" s="462"/>
      <c r="GMS2997" s="299"/>
      <c r="GMT2997" s="81"/>
      <c r="GMU2997" s="160"/>
      <c r="GMV2997" s="559"/>
      <c r="GMW2997" s="125"/>
      <c r="GMX2997" s="470"/>
      <c r="GMY2997" s="449"/>
      <c r="GMZ2997" s="462"/>
      <c r="GNA2997" s="299"/>
      <c r="GNB2997" s="81"/>
      <c r="GNC2997" s="160"/>
      <c r="GND2997" s="559"/>
      <c r="GNE2997" s="125"/>
      <c r="GNF2997" s="470"/>
      <c r="GNG2997" s="449"/>
      <c r="GNH2997" s="462"/>
      <c r="GNI2997" s="299"/>
      <c r="GNJ2997" s="81"/>
      <c r="GNK2997" s="160"/>
      <c r="GNL2997" s="559"/>
      <c r="GNM2997" s="125"/>
      <c r="GNN2997" s="470"/>
      <c r="GNO2997" s="449"/>
      <c r="GNP2997" s="462"/>
      <c r="GNQ2997" s="299"/>
      <c r="GNR2997" s="81"/>
      <c r="GNS2997" s="160"/>
      <c r="GNT2997" s="559"/>
      <c r="GNU2997" s="125"/>
      <c r="GNV2997" s="470"/>
      <c r="GNW2997" s="449"/>
      <c r="GNX2997" s="462"/>
      <c r="GNY2997" s="299"/>
      <c r="GNZ2997" s="81"/>
      <c r="GOA2997" s="160"/>
      <c r="GOB2997" s="559"/>
      <c r="GOC2997" s="125"/>
      <c r="GOD2997" s="470"/>
      <c r="GOE2997" s="449"/>
      <c r="GOF2997" s="462"/>
      <c r="GOG2997" s="299"/>
      <c r="GOH2997" s="81"/>
      <c r="GOI2997" s="160"/>
      <c r="GOJ2997" s="559"/>
      <c r="GOK2997" s="125"/>
      <c r="GOL2997" s="470"/>
      <c r="GOM2997" s="449"/>
      <c r="GON2997" s="462"/>
      <c r="GOO2997" s="299"/>
      <c r="GOP2997" s="81"/>
      <c r="GOQ2997" s="160"/>
      <c r="GOR2997" s="559"/>
      <c r="GOS2997" s="125"/>
      <c r="GOT2997" s="470"/>
      <c r="GOU2997" s="449"/>
      <c r="GOV2997" s="462"/>
      <c r="GOW2997" s="299"/>
      <c r="GOX2997" s="81"/>
      <c r="GOY2997" s="160"/>
      <c r="GOZ2997" s="559"/>
      <c r="GPA2997" s="125"/>
      <c r="GPB2997" s="470"/>
      <c r="GPC2997" s="449"/>
      <c r="GPD2997" s="462"/>
      <c r="GPE2997" s="299"/>
      <c r="GPF2997" s="81"/>
      <c r="GPG2997" s="160"/>
      <c r="GPH2997" s="559"/>
      <c r="GPI2997" s="125"/>
      <c r="GPJ2997" s="470"/>
      <c r="GPK2997" s="449"/>
      <c r="GPL2997" s="462"/>
      <c r="GPM2997" s="299"/>
      <c r="GPN2997" s="81"/>
      <c r="GPO2997" s="160"/>
      <c r="GPP2997" s="559"/>
      <c r="GPQ2997" s="125"/>
      <c r="GPR2997" s="470"/>
      <c r="GPS2997" s="449"/>
      <c r="GPT2997" s="462"/>
      <c r="GPU2997" s="299"/>
      <c r="GPV2997" s="81"/>
      <c r="GPW2997" s="160"/>
      <c r="GPX2997" s="559"/>
      <c r="GPY2997" s="125"/>
      <c r="GPZ2997" s="470"/>
      <c r="GQA2997" s="449"/>
      <c r="GQB2997" s="462"/>
      <c r="GQC2997" s="299"/>
      <c r="GQD2997" s="81"/>
      <c r="GQE2997" s="160"/>
      <c r="GQF2997" s="559"/>
      <c r="GQG2997" s="125"/>
      <c r="GQH2997" s="470"/>
      <c r="GQI2997" s="449"/>
      <c r="GQJ2997" s="462"/>
      <c r="GQK2997" s="299"/>
      <c r="GQL2997" s="81"/>
      <c r="GQM2997" s="160"/>
      <c r="GQN2997" s="559"/>
      <c r="GQO2997" s="125"/>
      <c r="GQP2997" s="470"/>
      <c r="GQQ2997" s="449"/>
      <c r="GQR2997" s="462"/>
      <c r="GQS2997" s="299"/>
      <c r="GQT2997" s="81"/>
      <c r="GQU2997" s="160"/>
      <c r="GQV2997" s="559"/>
      <c r="GQW2997" s="125"/>
      <c r="GQX2997" s="470"/>
      <c r="GQY2997" s="449"/>
      <c r="GQZ2997" s="462"/>
      <c r="GRA2997" s="299"/>
      <c r="GRB2997" s="81"/>
      <c r="GRC2997" s="160"/>
      <c r="GRD2997" s="559"/>
      <c r="GRE2997" s="125"/>
      <c r="GRF2997" s="470"/>
      <c r="GRG2997" s="449"/>
      <c r="GRH2997" s="462"/>
      <c r="GRI2997" s="299"/>
      <c r="GRJ2997" s="81"/>
      <c r="GRK2997" s="160"/>
      <c r="GRL2997" s="559"/>
      <c r="GRM2997" s="125"/>
      <c r="GRN2997" s="470"/>
      <c r="GRO2997" s="449"/>
      <c r="GRP2997" s="462"/>
      <c r="GRQ2997" s="299"/>
      <c r="GRR2997" s="81"/>
      <c r="GRS2997" s="160"/>
      <c r="GRT2997" s="559"/>
      <c r="GRU2997" s="125"/>
      <c r="GRV2997" s="470"/>
      <c r="GRW2997" s="449"/>
      <c r="GRX2997" s="462"/>
      <c r="GRY2997" s="299"/>
      <c r="GRZ2997" s="81"/>
      <c r="GSA2997" s="160"/>
      <c r="GSB2997" s="559"/>
      <c r="GSC2997" s="125"/>
      <c r="GSD2997" s="470"/>
      <c r="GSE2997" s="449"/>
      <c r="GSF2997" s="462"/>
      <c r="GSG2997" s="299"/>
      <c r="GSH2997" s="81"/>
      <c r="GSI2997" s="160"/>
      <c r="GSJ2997" s="559"/>
      <c r="GSK2997" s="125"/>
      <c r="GSL2997" s="470"/>
      <c r="GSM2997" s="449"/>
      <c r="GSN2997" s="462"/>
      <c r="GSO2997" s="299"/>
      <c r="GSP2997" s="81"/>
      <c r="GSQ2997" s="160"/>
      <c r="GSR2997" s="559"/>
      <c r="GSS2997" s="125"/>
      <c r="GST2997" s="470"/>
      <c r="GSU2997" s="449"/>
      <c r="GSV2997" s="462"/>
      <c r="GSW2997" s="299"/>
      <c r="GSX2997" s="81"/>
      <c r="GSY2997" s="160"/>
      <c r="GSZ2997" s="559"/>
      <c r="GTA2997" s="125"/>
      <c r="GTB2997" s="470"/>
      <c r="GTC2997" s="449"/>
      <c r="GTD2997" s="462"/>
      <c r="GTE2997" s="299"/>
      <c r="GTF2997" s="81"/>
      <c r="GTG2997" s="160"/>
      <c r="GTH2997" s="559"/>
      <c r="GTI2997" s="125"/>
      <c r="GTJ2997" s="470"/>
      <c r="GTK2997" s="449"/>
      <c r="GTL2997" s="462"/>
      <c r="GTM2997" s="299"/>
      <c r="GTN2997" s="81"/>
      <c r="GTO2997" s="160"/>
      <c r="GTP2997" s="559"/>
      <c r="GTQ2997" s="125"/>
      <c r="GTR2997" s="470"/>
      <c r="GTS2997" s="449"/>
      <c r="GTT2997" s="462"/>
      <c r="GTU2997" s="299"/>
      <c r="GTV2997" s="81"/>
      <c r="GTW2997" s="160"/>
      <c r="GTX2997" s="559"/>
      <c r="GTY2997" s="125"/>
      <c r="GTZ2997" s="470"/>
      <c r="GUA2997" s="449"/>
      <c r="GUB2997" s="462"/>
      <c r="GUC2997" s="299"/>
      <c r="GUD2997" s="81"/>
      <c r="GUE2997" s="160"/>
      <c r="GUF2997" s="559"/>
      <c r="GUG2997" s="125"/>
      <c r="GUH2997" s="470"/>
      <c r="GUI2997" s="449"/>
      <c r="GUJ2997" s="462"/>
      <c r="GUK2997" s="299"/>
      <c r="GUL2997" s="81"/>
      <c r="GUM2997" s="160"/>
      <c r="GUN2997" s="559"/>
      <c r="GUO2997" s="125"/>
      <c r="GUP2997" s="470"/>
      <c r="GUQ2997" s="449"/>
      <c r="GUR2997" s="462"/>
      <c r="GUS2997" s="299"/>
      <c r="GUT2997" s="81"/>
      <c r="GUU2997" s="160"/>
      <c r="GUV2997" s="559"/>
      <c r="GUW2997" s="125"/>
      <c r="GUX2997" s="470"/>
      <c r="GUY2997" s="449"/>
      <c r="GUZ2997" s="462"/>
      <c r="GVA2997" s="299"/>
      <c r="GVB2997" s="81"/>
      <c r="GVC2997" s="160"/>
      <c r="GVD2997" s="559"/>
      <c r="GVE2997" s="125"/>
      <c r="GVF2997" s="470"/>
      <c r="GVG2997" s="449"/>
      <c r="GVH2997" s="462"/>
      <c r="GVI2997" s="299"/>
      <c r="GVJ2997" s="81"/>
      <c r="GVK2997" s="160"/>
      <c r="GVL2997" s="559"/>
      <c r="GVM2997" s="125"/>
      <c r="GVN2997" s="470"/>
      <c r="GVO2997" s="449"/>
      <c r="GVP2997" s="462"/>
      <c r="GVQ2997" s="299"/>
      <c r="GVR2997" s="81"/>
      <c r="GVS2997" s="160"/>
      <c r="GVT2997" s="559"/>
      <c r="GVU2997" s="125"/>
      <c r="GVV2997" s="470"/>
      <c r="GVW2997" s="449"/>
      <c r="GVX2997" s="462"/>
      <c r="GVY2997" s="299"/>
      <c r="GVZ2997" s="81"/>
      <c r="GWA2997" s="160"/>
      <c r="GWB2997" s="559"/>
      <c r="GWC2997" s="125"/>
      <c r="GWD2997" s="470"/>
      <c r="GWE2997" s="449"/>
      <c r="GWF2997" s="462"/>
      <c r="GWG2997" s="299"/>
      <c r="GWH2997" s="81"/>
      <c r="GWI2997" s="160"/>
      <c r="GWJ2997" s="559"/>
      <c r="GWK2997" s="125"/>
      <c r="GWL2997" s="470"/>
      <c r="GWM2997" s="449"/>
      <c r="GWN2997" s="462"/>
      <c r="GWO2997" s="299"/>
      <c r="GWP2997" s="81"/>
      <c r="GWQ2997" s="160"/>
      <c r="GWR2997" s="559"/>
      <c r="GWS2997" s="125"/>
      <c r="GWT2997" s="470"/>
      <c r="GWU2997" s="449"/>
      <c r="GWV2997" s="462"/>
      <c r="GWW2997" s="299"/>
      <c r="GWX2997" s="81"/>
      <c r="GWY2997" s="160"/>
      <c r="GWZ2997" s="559"/>
      <c r="GXA2997" s="125"/>
      <c r="GXB2997" s="470"/>
      <c r="GXC2997" s="449"/>
      <c r="GXD2997" s="462"/>
      <c r="GXE2997" s="299"/>
      <c r="GXF2997" s="81"/>
      <c r="GXG2997" s="160"/>
      <c r="GXH2997" s="559"/>
      <c r="GXI2997" s="125"/>
      <c r="GXJ2997" s="470"/>
      <c r="GXK2997" s="449"/>
      <c r="GXL2997" s="462"/>
      <c r="GXM2997" s="299"/>
      <c r="GXN2997" s="81"/>
      <c r="GXO2997" s="160"/>
      <c r="GXP2997" s="559"/>
      <c r="GXQ2997" s="125"/>
      <c r="GXR2997" s="470"/>
      <c r="GXS2997" s="449"/>
      <c r="GXT2997" s="462"/>
      <c r="GXU2997" s="299"/>
      <c r="GXV2997" s="81"/>
      <c r="GXW2997" s="160"/>
      <c r="GXX2997" s="559"/>
      <c r="GXY2997" s="125"/>
      <c r="GXZ2997" s="470"/>
      <c r="GYA2997" s="449"/>
      <c r="GYB2997" s="462"/>
      <c r="GYC2997" s="299"/>
      <c r="GYD2997" s="81"/>
      <c r="GYE2997" s="160"/>
      <c r="GYF2997" s="559"/>
      <c r="GYG2997" s="125"/>
      <c r="GYH2997" s="470"/>
      <c r="GYI2997" s="449"/>
      <c r="GYJ2997" s="462"/>
      <c r="GYK2997" s="299"/>
      <c r="GYL2997" s="81"/>
      <c r="GYM2997" s="160"/>
      <c r="GYN2997" s="559"/>
      <c r="GYO2997" s="125"/>
      <c r="GYP2997" s="470"/>
      <c r="GYQ2997" s="449"/>
      <c r="GYR2997" s="462"/>
      <c r="GYS2997" s="299"/>
      <c r="GYT2997" s="81"/>
      <c r="GYU2997" s="160"/>
      <c r="GYV2997" s="559"/>
      <c r="GYW2997" s="125"/>
      <c r="GYX2997" s="470"/>
      <c r="GYY2997" s="449"/>
      <c r="GYZ2997" s="462"/>
      <c r="GZA2997" s="299"/>
      <c r="GZB2997" s="81"/>
      <c r="GZC2997" s="160"/>
      <c r="GZD2997" s="559"/>
      <c r="GZE2997" s="125"/>
      <c r="GZF2997" s="470"/>
      <c r="GZG2997" s="449"/>
      <c r="GZH2997" s="462"/>
      <c r="GZI2997" s="299"/>
      <c r="GZJ2997" s="81"/>
      <c r="GZK2997" s="160"/>
      <c r="GZL2997" s="559"/>
      <c r="GZM2997" s="125"/>
      <c r="GZN2997" s="470"/>
      <c r="GZO2997" s="449"/>
      <c r="GZP2997" s="462"/>
      <c r="GZQ2997" s="299"/>
      <c r="GZR2997" s="81"/>
      <c r="GZS2997" s="160"/>
      <c r="GZT2997" s="559"/>
      <c r="GZU2997" s="125"/>
      <c r="GZV2997" s="470"/>
      <c r="GZW2997" s="449"/>
      <c r="GZX2997" s="462"/>
      <c r="GZY2997" s="299"/>
      <c r="GZZ2997" s="81"/>
      <c r="HAA2997" s="160"/>
      <c r="HAB2997" s="559"/>
      <c r="HAC2997" s="125"/>
      <c r="HAD2997" s="470"/>
      <c r="HAE2997" s="449"/>
      <c r="HAF2997" s="462"/>
      <c r="HAG2997" s="299"/>
      <c r="HAH2997" s="81"/>
      <c r="HAI2997" s="160"/>
      <c r="HAJ2997" s="559"/>
      <c r="HAK2997" s="125"/>
      <c r="HAL2997" s="470"/>
      <c r="HAM2997" s="449"/>
      <c r="HAN2997" s="462"/>
      <c r="HAO2997" s="299"/>
      <c r="HAP2997" s="81"/>
      <c r="HAQ2997" s="160"/>
      <c r="HAR2997" s="559"/>
      <c r="HAS2997" s="125"/>
      <c r="HAT2997" s="470"/>
      <c r="HAU2997" s="449"/>
      <c r="HAV2997" s="462"/>
      <c r="HAW2997" s="299"/>
      <c r="HAX2997" s="81"/>
      <c r="HAY2997" s="160"/>
      <c r="HAZ2997" s="559"/>
      <c r="HBA2997" s="125"/>
      <c r="HBB2997" s="470"/>
      <c r="HBC2997" s="449"/>
      <c r="HBD2997" s="462"/>
      <c r="HBE2997" s="299"/>
      <c r="HBF2997" s="81"/>
      <c r="HBG2997" s="160"/>
      <c r="HBH2997" s="559"/>
      <c r="HBI2997" s="125"/>
      <c r="HBJ2997" s="470"/>
      <c r="HBK2997" s="449"/>
      <c r="HBL2997" s="462"/>
      <c r="HBM2997" s="299"/>
      <c r="HBN2997" s="81"/>
      <c r="HBO2997" s="160"/>
      <c r="HBP2997" s="559"/>
      <c r="HBQ2997" s="125"/>
      <c r="HBR2997" s="470"/>
      <c r="HBS2997" s="449"/>
      <c r="HBT2997" s="462"/>
      <c r="HBU2997" s="299"/>
      <c r="HBV2997" s="81"/>
      <c r="HBW2997" s="160"/>
      <c r="HBX2997" s="559"/>
      <c r="HBY2997" s="125"/>
      <c r="HBZ2997" s="470"/>
      <c r="HCA2997" s="449"/>
      <c r="HCB2997" s="462"/>
      <c r="HCC2997" s="299"/>
      <c r="HCD2997" s="81"/>
      <c r="HCE2997" s="160"/>
      <c r="HCF2997" s="559"/>
      <c r="HCG2997" s="125"/>
      <c r="HCH2997" s="470"/>
      <c r="HCI2997" s="449"/>
      <c r="HCJ2997" s="462"/>
      <c r="HCK2997" s="299"/>
      <c r="HCL2997" s="81"/>
      <c r="HCM2997" s="160"/>
      <c r="HCN2997" s="559"/>
      <c r="HCO2997" s="125"/>
      <c r="HCP2997" s="470"/>
      <c r="HCQ2997" s="449"/>
      <c r="HCR2997" s="462"/>
      <c r="HCS2997" s="299"/>
      <c r="HCT2997" s="81"/>
      <c r="HCU2997" s="160"/>
      <c r="HCV2997" s="559"/>
      <c r="HCW2997" s="125"/>
      <c r="HCX2997" s="470"/>
      <c r="HCY2997" s="449"/>
      <c r="HCZ2997" s="462"/>
      <c r="HDA2997" s="299"/>
      <c r="HDB2997" s="81"/>
      <c r="HDC2997" s="160"/>
      <c r="HDD2997" s="559"/>
      <c r="HDE2997" s="125"/>
      <c r="HDF2997" s="470"/>
      <c r="HDG2997" s="449"/>
      <c r="HDH2997" s="462"/>
      <c r="HDI2997" s="299"/>
      <c r="HDJ2997" s="81"/>
      <c r="HDK2997" s="160"/>
      <c r="HDL2997" s="559"/>
      <c r="HDM2997" s="125"/>
      <c r="HDN2997" s="470"/>
      <c r="HDO2997" s="449"/>
      <c r="HDP2997" s="462"/>
      <c r="HDQ2997" s="299"/>
      <c r="HDR2997" s="81"/>
      <c r="HDS2997" s="160"/>
      <c r="HDT2997" s="559"/>
      <c r="HDU2997" s="125"/>
      <c r="HDV2997" s="470"/>
      <c r="HDW2997" s="449"/>
      <c r="HDX2997" s="462"/>
      <c r="HDY2997" s="299"/>
      <c r="HDZ2997" s="81"/>
      <c r="HEA2997" s="160"/>
      <c r="HEB2997" s="559"/>
      <c r="HEC2997" s="125"/>
      <c r="HED2997" s="470"/>
      <c r="HEE2997" s="449"/>
      <c r="HEF2997" s="462"/>
      <c r="HEG2997" s="299"/>
      <c r="HEH2997" s="81"/>
      <c r="HEI2997" s="160"/>
      <c r="HEJ2997" s="559"/>
      <c r="HEK2997" s="125"/>
      <c r="HEL2997" s="470"/>
      <c r="HEM2997" s="449"/>
      <c r="HEN2997" s="462"/>
      <c r="HEO2997" s="299"/>
      <c r="HEP2997" s="81"/>
      <c r="HEQ2997" s="160"/>
      <c r="HER2997" s="559"/>
      <c r="HES2997" s="125"/>
      <c r="HET2997" s="470"/>
      <c r="HEU2997" s="449"/>
      <c r="HEV2997" s="462"/>
      <c r="HEW2997" s="299"/>
      <c r="HEX2997" s="81"/>
      <c r="HEY2997" s="160"/>
      <c r="HEZ2997" s="559"/>
      <c r="HFA2997" s="125"/>
      <c r="HFB2997" s="470"/>
      <c r="HFC2997" s="449"/>
      <c r="HFD2997" s="462"/>
      <c r="HFE2997" s="299"/>
      <c r="HFF2997" s="81"/>
      <c r="HFG2997" s="160"/>
      <c r="HFH2997" s="559"/>
      <c r="HFI2997" s="125"/>
      <c r="HFJ2997" s="470"/>
      <c r="HFK2997" s="449"/>
      <c r="HFL2997" s="462"/>
      <c r="HFM2997" s="299"/>
      <c r="HFN2997" s="81"/>
      <c r="HFO2997" s="160"/>
      <c r="HFP2997" s="559"/>
      <c r="HFQ2997" s="125"/>
      <c r="HFR2997" s="470"/>
      <c r="HFS2997" s="449"/>
      <c r="HFT2997" s="462"/>
      <c r="HFU2997" s="299"/>
      <c r="HFV2997" s="81"/>
      <c r="HFW2997" s="160"/>
      <c r="HFX2997" s="559"/>
      <c r="HFY2997" s="125"/>
      <c r="HFZ2997" s="470"/>
      <c r="HGA2997" s="449"/>
      <c r="HGB2997" s="462"/>
      <c r="HGC2997" s="299"/>
      <c r="HGD2997" s="81"/>
      <c r="HGE2997" s="160"/>
      <c r="HGF2997" s="559"/>
      <c r="HGG2997" s="125"/>
      <c r="HGH2997" s="470"/>
      <c r="HGI2997" s="449"/>
      <c r="HGJ2997" s="462"/>
      <c r="HGK2997" s="299"/>
      <c r="HGL2997" s="81"/>
      <c r="HGM2997" s="160"/>
      <c r="HGN2997" s="559"/>
      <c r="HGO2997" s="125"/>
      <c r="HGP2997" s="470"/>
      <c r="HGQ2997" s="449"/>
      <c r="HGR2997" s="462"/>
      <c r="HGS2997" s="299"/>
      <c r="HGT2997" s="81"/>
      <c r="HGU2997" s="160"/>
      <c r="HGV2997" s="559"/>
      <c r="HGW2997" s="125"/>
      <c r="HGX2997" s="470"/>
      <c r="HGY2997" s="449"/>
      <c r="HGZ2997" s="462"/>
      <c r="HHA2997" s="299"/>
      <c r="HHB2997" s="81"/>
      <c r="HHC2997" s="160"/>
      <c r="HHD2997" s="559"/>
      <c r="HHE2997" s="125"/>
      <c r="HHF2997" s="470"/>
      <c r="HHG2997" s="449"/>
      <c r="HHH2997" s="462"/>
      <c r="HHI2997" s="299"/>
      <c r="HHJ2997" s="81"/>
      <c r="HHK2997" s="160"/>
      <c r="HHL2997" s="559"/>
      <c r="HHM2997" s="125"/>
      <c r="HHN2997" s="470"/>
      <c r="HHO2997" s="449"/>
      <c r="HHP2997" s="462"/>
      <c r="HHQ2997" s="299"/>
      <c r="HHR2997" s="81"/>
      <c r="HHS2997" s="160"/>
      <c r="HHT2997" s="559"/>
      <c r="HHU2997" s="125"/>
      <c r="HHV2997" s="470"/>
      <c r="HHW2997" s="449"/>
      <c r="HHX2997" s="462"/>
      <c r="HHY2997" s="299"/>
      <c r="HHZ2997" s="81"/>
      <c r="HIA2997" s="160"/>
      <c r="HIB2997" s="559"/>
      <c r="HIC2997" s="125"/>
      <c r="HID2997" s="470"/>
      <c r="HIE2997" s="449"/>
      <c r="HIF2997" s="462"/>
      <c r="HIG2997" s="299"/>
      <c r="HIH2997" s="81"/>
      <c r="HII2997" s="160"/>
      <c r="HIJ2997" s="559"/>
      <c r="HIK2997" s="125"/>
      <c r="HIL2997" s="470"/>
      <c r="HIM2997" s="449"/>
      <c r="HIN2997" s="462"/>
      <c r="HIO2997" s="299"/>
      <c r="HIP2997" s="81"/>
      <c r="HIQ2997" s="160"/>
      <c r="HIR2997" s="559"/>
      <c r="HIS2997" s="125"/>
      <c r="HIT2997" s="470"/>
      <c r="HIU2997" s="449"/>
      <c r="HIV2997" s="462"/>
      <c r="HIW2997" s="299"/>
      <c r="HIX2997" s="81"/>
      <c r="HIY2997" s="160"/>
      <c r="HIZ2997" s="559"/>
      <c r="HJA2997" s="125"/>
      <c r="HJB2997" s="470"/>
      <c r="HJC2997" s="449"/>
      <c r="HJD2997" s="462"/>
      <c r="HJE2997" s="299"/>
      <c r="HJF2997" s="81"/>
      <c r="HJG2997" s="160"/>
      <c r="HJH2997" s="559"/>
      <c r="HJI2997" s="125"/>
      <c r="HJJ2997" s="470"/>
      <c r="HJK2997" s="449"/>
      <c r="HJL2997" s="462"/>
      <c r="HJM2997" s="299"/>
      <c r="HJN2997" s="81"/>
      <c r="HJO2997" s="160"/>
      <c r="HJP2997" s="559"/>
      <c r="HJQ2997" s="125"/>
      <c r="HJR2997" s="470"/>
      <c r="HJS2997" s="449"/>
      <c r="HJT2997" s="462"/>
      <c r="HJU2997" s="299"/>
      <c r="HJV2997" s="81"/>
      <c r="HJW2997" s="160"/>
      <c r="HJX2997" s="559"/>
      <c r="HJY2997" s="125"/>
      <c r="HJZ2997" s="470"/>
      <c r="HKA2997" s="449"/>
      <c r="HKB2997" s="462"/>
      <c r="HKC2997" s="299"/>
      <c r="HKD2997" s="81"/>
      <c r="HKE2997" s="160"/>
      <c r="HKF2997" s="559"/>
      <c r="HKG2997" s="125"/>
      <c r="HKH2997" s="470"/>
      <c r="HKI2997" s="449"/>
      <c r="HKJ2997" s="462"/>
      <c r="HKK2997" s="299"/>
      <c r="HKL2997" s="81"/>
      <c r="HKM2997" s="160"/>
      <c r="HKN2997" s="559"/>
      <c r="HKO2997" s="125"/>
      <c r="HKP2997" s="470"/>
      <c r="HKQ2997" s="449"/>
      <c r="HKR2997" s="462"/>
      <c r="HKS2997" s="299"/>
      <c r="HKT2997" s="81"/>
      <c r="HKU2997" s="160"/>
      <c r="HKV2997" s="559"/>
      <c r="HKW2997" s="125"/>
      <c r="HKX2997" s="470"/>
      <c r="HKY2997" s="449"/>
      <c r="HKZ2997" s="462"/>
      <c r="HLA2997" s="299"/>
      <c r="HLB2997" s="81"/>
      <c r="HLC2997" s="160"/>
      <c r="HLD2997" s="559"/>
      <c r="HLE2997" s="125"/>
      <c r="HLF2997" s="470"/>
      <c r="HLG2997" s="449"/>
      <c r="HLH2997" s="462"/>
      <c r="HLI2997" s="299"/>
      <c r="HLJ2997" s="81"/>
      <c r="HLK2997" s="160"/>
      <c r="HLL2997" s="559"/>
      <c r="HLM2997" s="125"/>
      <c r="HLN2997" s="470"/>
      <c r="HLO2997" s="449"/>
      <c r="HLP2997" s="462"/>
      <c r="HLQ2997" s="299"/>
      <c r="HLR2997" s="81"/>
      <c r="HLS2997" s="160"/>
      <c r="HLT2997" s="559"/>
      <c r="HLU2997" s="125"/>
      <c r="HLV2997" s="470"/>
      <c r="HLW2997" s="449"/>
      <c r="HLX2997" s="462"/>
      <c r="HLY2997" s="299"/>
      <c r="HLZ2997" s="81"/>
      <c r="HMA2997" s="160"/>
      <c r="HMB2997" s="559"/>
      <c r="HMC2997" s="125"/>
      <c r="HMD2997" s="470"/>
      <c r="HME2997" s="449"/>
      <c r="HMF2997" s="462"/>
      <c r="HMG2997" s="299"/>
      <c r="HMH2997" s="81"/>
      <c r="HMI2997" s="160"/>
      <c r="HMJ2997" s="559"/>
      <c r="HMK2997" s="125"/>
      <c r="HML2997" s="470"/>
      <c r="HMM2997" s="449"/>
      <c r="HMN2997" s="462"/>
      <c r="HMO2997" s="299"/>
      <c r="HMP2997" s="81"/>
      <c r="HMQ2997" s="160"/>
      <c r="HMR2997" s="559"/>
      <c r="HMS2997" s="125"/>
      <c r="HMT2997" s="470"/>
      <c r="HMU2997" s="449"/>
      <c r="HMV2997" s="462"/>
      <c r="HMW2997" s="299"/>
      <c r="HMX2997" s="81"/>
      <c r="HMY2997" s="160"/>
      <c r="HMZ2997" s="559"/>
      <c r="HNA2997" s="125"/>
      <c r="HNB2997" s="470"/>
      <c r="HNC2997" s="449"/>
      <c r="HND2997" s="462"/>
      <c r="HNE2997" s="299"/>
      <c r="HNF2997" s="81"/>
      <c r="HNG2997" s="160"/>
      <c r="HNH2997" s="559"/>
      <c r="HNI2997" s="125"/>
      <c r="HNJ2997" s="470"/>
      <c r="HNK2997" s="449"/>
      <c r="HNL2997" s="462"/>
      <c r="HNM2997" s="299"/>
      <c r="HNN2997" s="81"/>
      <c r="HNO2997" s="160"/>
      <c r="HNP2997" s="559"/>
      <c r="HNQ2997" s="125"/>
      <c r="HNR2997" s="470"/>
      <c r="HNS2997" s="449"/>
      <c r="HNT2997" s="462"/>
      <c r="HNU2997" s="299"/>
      <c r="HNV2997" s="81"/>
      <c r="HNW2997" s="160"/>
      <c r="HNX2997" s="559"/>
      <c r="HNY2997" s="125"/>
      <c r="HNZ2997" s="470"/>
      <c r="HOA2997" s="449"/>
      <c r="HOB2997" s="462"/>
      <c r="HOC2997" s="299"/>
      <c r="HOD2997" s="81"/>
      <c r="HOE2997" s="160"/>
      <c r="HOF2997" s="559"/>
      <c r="HOG2997" s="125"/>
      <c r="HOH2997" s="470"/>
      <c r="HOI2997" s="449"/>
      <c r="HOJ2997" s="462"/>
      <c r="HOK2997" s="299"/>
      <c r="HOL2997" s="81"/>
      <c r="HOM2997" s="160"/>
      <c r="HON2997" s="559"/>
      <c r="HOO2997" s="125"/>
      <c r="HOP2997" s="470"/>
      <c r="HOQ2997" s="449"/>
      <c r="HOR2997" s="462"/>
      <c r="HOS2997" s="299"/>
      <c r="HOT2997" s="81"/>
      <c r="HOU2997" s="160"/>
      <c r="HOV2997" s="559"/>
      <c r="HOW2997" s="125"/>
      <c r="HOX2997" s="470"/>
      <c r="HOY2997" s="449"/>
      <c r="HOZ2997" s="462"/>
      <c r="HPA2997" s="299"/>
      <c r="HPB2997" s="81"/>
      <c r="HPC2997" s="160"/>
      <c r="HPD2997" s="559"/>
      <c r="HPE2997" s="125"/>
      <c r="HPF2997" s="470"/>
      <c r="HPG2997" s="449"/>
      <c r="HPH2997" s="462"/>
      <c r="HPI2997" s="299"/>
      <c r="HPJ2997" s="81"/>
      <c r="HPK2997" s="160"/>
      <c r="HPL2997" s="559"/>
      <c r="HPM2997" s="125"/>
      <c r="HPN2997" s="470"/>
      <c r="HPO2997" s="449"/>
      <c r="HPP2997" s="462"/>
      <c r="HPQ2997" s="299"/>
      <c r="HPR2997" s="81"/>
      <c r="HPS2997" s="160"/>
      <c r="HPT2997" s="559"/>
      <c r="HPU2997" s="125"/>
      <c r="HPV2997" s="470"/>
      <c r="HPW2997" s="449"/>
      <c r="HPX2997" s="462"/>
      <c r="HPY2997" s="299"/>
      <c r="HPZ2997" s="81"/>
      <c r="HQA2997" s="160"/>
      <c r="HQB2997" s="559"/>
      <c r="HQC2997" s="125"/>
      <c r="HQD2997" s="470"/>
      <c r="HQE2997" s="449"/>
      <c r="HQF2997" s="462"/>
      <c r="HQG2997" s="299"/>
      <c r="HQH2997" s="81"/>
      <c r="HQI2997" s="160"/>
      <c r="HQJ2997" s="559"/>
      <c r="HQK2997" s="125"/>
      <c r="HQL2997" s="470"/>
      <c r="HQM2997" s="449"/>
      <c r="HQN2997" s="462"/>
      <c r="HQO2997" s="299"/>
      <c r="HQP2997" s="81"/>
      <c r="HQQ2997" s="160"/>
      <c r="HQR2997" s="559"/>
      <c r="HQS2997" s="125"/>
      <c r="HQT2997" s="470"/>
      <c r="HQU2997" s="449"/>
      <c r="HQV2997" s="462"/>
      <c r="HQW2997" s="299"/>
      <c r="HQX2997" s="81"/>
      <c r="HQY2997" s="160"/>
      <c r="HQZ2997" s="559"/>
      <c r="HRA2997" s="125"/>
      <c r="HRB2997" s="470"/>
      <c r="HRC2997" s="449"/>
      <c r="HRD2997" s="462"/>
      <c r="HRE2997" s="299"/>
      <c r="HRF2997" s="81"/>
      <c r="HRG2997" s="160"/>
      <c r="HRH2997" s="559"/>
      <c r="HRI2997" s="125"/>
      <c r="HRJ2997" s="470"/>
      <c r="HRK2997" s="449"/>
      <c r="HRL2997" s="462"/>
      <c r="HRM2997" s="299"/>
      <c r="HRN2997" s="81"/>
      <c r="HRO2997" s="160"/>
      <c r="HRP2997" s="559"/>
      <c r="HRQ2997" s="125"/>
      <c r="HRR2997" s="470"/>
      <c r="HRS2997" s="449"/>
      <c r="HRT2997" s="462"/>
      <c r="HRU2997" s="299"/>
      <c r="HRV2997" s="81"/>
      <c r="HRW2997" s="160"/>
      <c r="HRX2997" s="559"/>
      <c r="HRY2997" s="125"/>
      <c r="HRZ2997" s="470"/>
      <c r="HSA2997" s="449"/>
      <c r="HSB2997" s="462"/>
      <c r="HSC2997" s="299"/>
      <c r="HSD2997" s="81"/>
      <c r="HSE2997" s="160"/>
      <c r="HSF2997" s="559"/>
      <c r="HSG2997" s="125"/>
      <c r="HSH2997" s="470"/>
      <c r="HSI2997" s="449"/>
      <c r="HSJ2997" s="462"/>
      <c r="HSK2997" s="299"/>
      <c r="HSL2997" s="81"/>
      <c r="HSM2997" s="160"/>
      <c r="HSN2997" s="559"/>
      <c r="HSO2997" s="125"/>
      <c r="HSP2997" s="470"/>
      <c r="HSQ2997" s="449"/>
      <c r="HSR2997" s="462"/>
      <c r="HSS2997" s="299"/>
      <c r="HST2997" s="81"/>
      <c r="HSU2997" s="160"/>
      <c r="HSV2997" s="559"/>
      <c r="HSW2997" s="125"/>
      <c r="HSX2997" s="470"/>
      <c r="HSY2997" s="449"/>
      <c r="HSZ2997" s="462"/>
      <c r="HTA2997" s="299"/>
      <c r="HTB2997" s="81"/>
      <c r="HTC2997" s="160"/>
      <c r="HTD2997" s="559"/>
      <c r="HTE2997" s="125"/>
      <c r="HTF2997" s="470"/>
      <c r="HTG2997" s="449"/>
      <c r="HTH2997" s="462"/>
      <c r="HTI2997" s="299"/>
      <c r="HTJ2997" s="81"/>
      <c r="HTK2997" s="160"/>
      <c r="HTL2997" s="559"/>
      <c r="HTM2997" s="125"/>
      <c r="HTN2997" s="470"/>
      <c r="HTO2997" s="449"/>
      <c r="HTP2997" s="462"/>
      <c r="HTQ2997" s="299"/>
      <c r="HTR2997" s="81"/>
      <c r="HTS2997" s="160"/>
      <c r="HTT2997" s="559"/>
      <c r="HTU2997" s="125"/>
      <c r="HTV2997" s="470"/>
      <c r="HTW2997" s="449"/>
      <c r="HTX2997" s="462"/>
      <c r="HTY2997" s="299"/>
      <c r="HTZ2997" s="81"/>
      <c r="HUA2997" s="160"/>
      <c r="HUB2997" s="559"/>
      <c r="HUC2997" s="125"/>
      <c r="HUD2997" s="470"/>
      <c r="HUE2997" s="449"/>
      <c r="HUF2997" s="462"/>
      <c r="HUG2997" s="299"/>
      <c r="HUH2997" s="81"/>
      <c r="HUI2997" s="160"/>
      <c r="HUJ2997" s="559"/>
      <c r="HUK2997" s="125"/>
      <c r="HUL2997" s="470"/>
      <c r="HUM2997" s="449"/>
      <c r="HUN2997" s="462"/>
      <c r="HUO2997" s="299"/>
      <c r="HUP2997" s="81"/>
      <c r="HUQ2997" s="160"/>
      <c r="HUR2997" s="559"/>
      <c r="HUS2997" s="125"/>
      <c r="HUT2997" s="470"/>
      <c r="HUU2997" s="449"/>
      <c r="HUV2997" s="462"/>
      <c r="HUW2997" s="299"/>
      <c r="HUX2997" s="81"/>
      <c r="HUY2997" s="160"/>
      <c r="HUZ2997" s="559"/>
      <c r="HVA2997" s="125"/>
      <c r="HVB2997" s="470"/>
      <c r="HVC2997" s="449"/>
      <c r="HVD2997" s="462"/>
      <c r="HVE2997" s="299"/>
      <c r="HVF2997" s="81"/>
      <c r="HVG2997" s="160"/>
      <c r="HVH2997" s="559"/>
      <c r="HVI2997" s="125"/>
      <c r="HVJ2997" s="470"/>
      <c r="HVK2997" s="449"/>
      <c r="HVL2997" s="462"/>
      <c r="HVM2997" s="299"/>
      <c r="HVN2997" s="81"/>
      <c r="HVO2997" s="160"/>
      <c r="HVP2997" s="559"/>
      <c r="HVQ2997" s="125"/>
      <c r="HVR2997" s="470"/>
      <c r="HVS2997" s="449"/>
      <c r="HVT2997" s="462"/>
      <c r="HVU2997" s="299"/>
      <c r="HVV2997" s="81"/>
      <c r="HVW2997" s="160"/>
      <c r="HVX2997" s="559"/>
      <c r="HVY2997" s="125"/>
      <c r="HVZ2997" s="470"/>
      <c r="HWA2997" s="449"/>
      <c r="HWB2997" s="462"/>
      <c r="HWC2997" s="299"/>
      <c r="HWD2997" s="81"/>
      <c r="HWE2997" s="160"/>
      <c r="HWF2997" s="559"/>
      <c r="HWG2997" s="125"/>
      <c r="HWH2997" s="470"/>
      <c r="HWI2997" s="449"/>
      <c r="HWJ2997" s="462"/>
      <c r="HWK2997" s="299"/>
      <c r="HWL2997" s="81"/>
      <c r="HWM2997" s="160"/>
      <c r="HWN2997" s="559"/>
      <c r="HWO2997" s="125"/>
      <c r="HWP2997" s="470"/>
      <c r="HWQ2997" s="449"/>
      <c r="HWR2997" s="462"/>
      <c r="HWS2997" s="299"/>
      <c r="HWT2997" s="81"/>
      <c r="HWU2997" s="160"/>
      <c r="HWV2997" s="559"/>
      <c r="HWW2997" s="125"/>
      <c r="HWX2997" s="470"/>
      <c r="HWY2997" s="449"/>
      <c r="HWZ2997" s="462"/>
      <c r="HXA2997" s="299"/>
      <c r="HXB2997" s="81"/>
      <c r="HXC2997" s="160"/>
      <c r="HXD2997" s="559"/>
      <c r="HXE2997" s="125"/>
      <c r="HXF2997" s="470"/>
      <c r="HXG2997" s="449"/>
      <c r="HXH2997" s="462"/>
      <c r="HXI2997" s="299"/>
      <c r="HXJ2997" s="81"/>
      <c r="HXK2997" s="160"/>
      <c r="HXL2997" s="559"/>
      <c r="HXM2997" s="125"/>
      <c r="HXN2997" s="470"/>
      <c r="HXO2997" s="449"/>
      <c r="HXP2997" s="462"/>
      <c r="HXQ2997" s="299"/>
      <c r="HXR2997" s="81"/>
      <c r="HXS2997" s="160"/>
      <c r="HXT2997" s="559"/>
      <c r="HXU2997" s="125"/>
      <c r="HXV2997" s="470"/>
      <c r="HXW2997" s="449"/>
      <c r="HXX2997" s="462"/>
      <c r="HXY2997" s="299"/>
      <c r="HXZ2997" s="81"/>
      <c r="HYA2997" s="160"/>
      <c r="HYB2997" s="559"/>
      <c r="HYC2997" s="125"/>
      <c r="HYD2997" s="470"/>
      <c r="HYE2997" s="449"/>
      <c r="HYF2997" s="462"/>
      <c r="HYG2997" s="299"/>
      <c r="HYH2997" s="81"/>
      <c r="HYI2997" s="160"/>
      <c r="HYJ2997" s="559"/>
      <c r="HYK2997" s="125"/>
      <c r="HYL2997" s="470"/>
      <c r="HYM2997" s="449"/>
      <c r="HYN2997" s="462"/>
      <c r="HYO2997" s="299"/>
      <c r="HYP2997" s="81"/>
      <c r="HYQ2997" s="160"/>
      <c r="HYR2997" s="559"/>
      <c r="HYS2997" s="125"/>
      <c r="HYT2997" s="470"/>
      <c r="HYU2997" s="449"/>
      <c r="HYV2997" s="462"/>
      <c r="HYW2997" s="299"/>
      <c r="HYX2997" s="81"/>
      <c r="HYY2997" s="160"/>
      <c r="HYZ2997" s="559"/>
      <c r="HZA2997" s="125"/>
      <c r="HZB2997" s="470"/>
      <c r="HZC2997" s="449"/>
      <c r="HZD2997" s="462"/>
      <c r="HZE2997" s="299"/>
      <c r="HZF2997" s="81"/>
      <c r="HZG2997" s="160"/>
      <c r="HZH2997" s="559"/>
      <c r="HZI2997" s="125"/>
      <c r="HZJ2997" s="470"/>
      <c r="HZK2997" s="449"/>
      <c r="HZL2997" s="462"/>
      <c r="HZM2997" s="299"/>
      <c r="HZN2997" s="81"/>
      <c r="HZO2997" s="160"/>
      <c r="HZP2997" s="559"/>
      <c r="HZQ2997" s="125"/>
      <c r="HZR2997" s="470"/>
      <c r="HZS2997" s="449"/>
      <c r="HZT2997" s="462"/>
      <c r="HZU2997" s="299"/>
      <c r="HZV2997" s="81"/>
      <c r="HZW2997" s="160"/>
      <c r="HZX2997" s="559"/>
      <c r="HZY2997" s="125"/>
      <c r="HZZ2997" s="470"/>
      <c r="IAA2997" s="449"/>
      <c r="IAB2997" s="462"/>
      <c r="IAC2997" s="299"/>
      <c r="IAD2997" s="81"/>
      <c r="IAE2997" s="160"/>
      <c r="IAF2997" s="559"/>
      <c r="IAG2997" s="125"/>
      <c r="IAH2997" s="470"/>
      <c r="IAI2997" s="449"/>
      <c r="IAJ2997" s="462"/>
      <c r="IAK2997" s="299"/>
      <c r="IAL2997" s="81"/>
      <c r="IAM2997" s="160"/>
      <c r="IAN2997" s="559"/>
      <c r="IAO2997" s="125"/>
      <c r="IAP2997" s="470"/>
      <c r="IAQ2997" s="449"/>
      <c r="IAR2997" s="462"/>
      <c r="IAS2997" s="299"/>
      <c r="IAT2997" s="81"/>
      <c r="IAU2997" s="160"/>
      <c r="IAV2997" s="559"/>
      <c r="IAW2997" s="125"/>
      <c r="IAX2997" s="470"/>
      <c r="IAY2997" s="449"/>
      <c r="IAZ2997" s="462"/>
      <c r="IBA2997" s="299"/>
      <c r="IBB2997" s="81"/>
      <c r="IBC2997" s="160"/>
      <c r="IBD2997" s="559"/>
      <c r="IBE2997" s="125"/>
      <c r="IBF2997" s="470"/>
      <c r="IBG2997" s="449"/>
      <c r="IBH2997" s="462"/>
      <c r="IBI2997" s="299"/>
      <c r="IBJ2997" s="81"/>
      <c r="IBK2997" s="160"/>
      <c r="IBL2997" s="559"/>
      <c r="IBM2997" s="125"/>
      <c r="IBN2997" s="470"/>
      <c r="IBO2997" s="449"/>
      <c r="IBP2997" s="462"/>
      <c r="IBQ2997" s="299"/>
      <c r="IBR2997" s="81"/>
      <c r="IBS2997" s="160"/>
      <c r="IBT2997" s="559"/>
      <c r="IBU2997" s="125"/>
      <c r="IBV2997" s="470"/>
      <c r="IBW2997" s="449"/>
      <c r="IBX2997" s="462"/>
      <c r="IBY2997" s="299"/>
      <c r="IBZ2997" s="81"/>
      <c r="ICA2997" s="160"/>
      <c r="ICB2997" s="559"/>
      <c r="ICC2997" s="125"/>
      <c r="ICD2997" s="470"/>
      <c r="ICE2997" s="449"/>
      <c r="ICF2997" s="462"/>
      <c r="ICG2997" s="299"/>
      <c r="ICH2997" s="81"/>
      <c r="ICI2997" s="160"/>
      <c r="ICJ2997" s="559"/>
      <c r="ICK2997" s="125"/>
      <c r="ICL2997" s="470"/>
      <c r="ICM2997" s="449"/>
      <c r="ICN2997" s="462"/>
      <c r="ICO2997" s="299"/>
      <c r="ICP2997" s="81"/>
      <c r="ICQ2997" s="160"/>
      <c r="ICR2997" s="559"/>
      <c r="ICS2997" s="125"/>
      <c r="ICT2997" s="470"/>
      <c r="ICU2997" s="449"/>
      <c r="ICV2997" s="462"/>
      <c r="ICW2997" s="299"/>
      <c r="ICX2997" s="81"/>
      <c r="ICY2997" s="160"/>
      <c r="ICZ2997" s="559"/>
      <c r="IDA2997" s="125"/>
      <c r="IDB2997" s="470"/>
      <c r="IDC2997" s="449"/>
      <c r="IDD2997" s="462"/>
      <c r="IDE2997" s="299"/>
      <c r="IDF2997" s="81"/>
      <c r="IDG2997" s="160"/>
      <c r="IDH2997" s="559"/>
      <c r="IDI2997" s="125"/>
      <c r="IDJ2997" s="470"/>
      <c r="IDK2997" s="449"/>
      <c r="IDL2997" s="462"/>
      <c r="IDM2997" s="299"/>
      <c r="IDN2997" s="81"/>
      <c r="IDO2997" s="160"/>
      <c r="IDP2997" s="559"/>
      <c r="IDQ2997" s="125"/>
      <c r="IDR2997" s="470"/>
      <c r="IDS2997" s="449"/>
      <c r="IDT2997" s="462"/>
      <c r="IDU2997" s="299"/>
      <c r="IDV2997" s="81"/>
      <c r="IDW2997" s="160"/>
      <c r="IDX2997" s="559"/>
      <c r="IDY2997" s="125"/>
      <c r="IDZ2997" s="470"/>
      <c r="IEA2997" s="449"/>
      <c r="IEB2997" s="462"/>
      <c r="IEC2997" s="299"/>
      <c r="IED2997" s="81"/>
      <c r="IEE2997" s="160"/>
      <c r="IEF2997" s="559"/>
      <c r="IEG2997" s="125"/>
      <c r="IEH2997" s="470"/>
      <c r="IEI2997" s="449"/>
      <c r="IEJ2997" s="462"/>
      <c r="IEK2997" s="299"/>
      <c r="IEL2997" s="81"/>
      <c r="IEM2997" s="160"/>
      <c r="IEN2997" s="559"/>
      <c r="IEO2997" s="125"/>
      <c r="IEP2997" s="470"/>
      <c r="IEQ2997" s="449"/>
      <c r="IER2997" s="462"/>
      <c r="IES2997" s="299"/>
      <c r="IET2997" s="81"/>
      <c r="IEU2997" s="160"/>
      <c r="IEV2997" s="559"/>
      <c r="IEW2997" s="125"/>
      <c r="IEX2997" s="470"/>
      <c r="IEY2997" s="449"/>
      <c r="IEZ2997" s="462"/>
      <c r="IFA2997" s="299"/>
      <c r="IFB2997" s="81"/>
      <c r="IFC2997" s="160"/>
      <c r="IFD2997" s="559"/>
      <c r="IFE2997" s="125"/>
      <c r="IFF2997" s="470"/>
      <c r="IFG2997" s="449"/>
      <c r="IFH2997" s="462"/>
      <c r="IFI2997" s="299"/>
      <c r="IFJ2997" s="81"/>
      <c r="IFK2997" s="160"/>
      <c r="IFL2997" s="559"/>
      <c r="IFM2997" s="125"/>
      <c r="IFN2997" s="470"/>
      <c r="IFO2997" s="449"/>
      <c r="IFP2997" s="462"/>
      <c r="IFQ2997" s="299"/>
      <c r="IFR2997" s="81"/>
      <c r="IFS2997" s="160"/>
      <c r="IFT2997" s="559"/>
      <c r="IFU2997" s="125"/>
      <c r="IFV2997" s="470"/>
      <c r="IFW2997" s="449"/>
      <c r="IFX2997" s="462"/>
      <c r="IFY2997" s="299"/>
      <c r="IFZ2997" s="81"/>
      <c r="IGA2997" s="160"/>
      <c r="IGB2997" s="559"/>
      <c r="IGC2997" s="125"/>
      <c r="IGD2997" s="470"/>
      <c r="IGE2997" s="449"/>
      <c r="IGF2997" s="462"/>
      <c r="IGG2997" s="299"/>
      <c r="IGH2997" s="81"/>
      <c r="IGI2997" s="160"/>
      <c r="IGJ2997" s="559"/>
      <c r="IGK2997" s="125"/>
      <c r="IGL2997" s="470"/>
      <c r="IGM2997" s="449"/>
      <c r="IGN2997" s="462"/>
      <c r="IGO2997" s="299"/>
      <c r="IGP2997" s="81"/>
      <c r="IGQ2997" s="160"/>
      <c r="IGR2997" s="559"/>
      <c r="IGS2997" s="125"/>
      <c r="IGT2997" s="470"/>
      <c r="IGU2997" s="449"/>
      <c r="IGV2997" s="462"/>
      <c r="IGW2997" s="299"/>
      <c r="IGX2997" s="81"/>
      <c r="IGY2997" s="160"/>
      <c r="IGZ2997" s="559"/>
      <c r="IHA2997" s="125"/>
      <c r="IHB2997" s="470"/>
      <c r="IHC2997" s="449"/>
      <c r="IHD2997" s="462"/>
      <c r="IHE2997" s="299"/>
      <c r="IHF2997" s="81"/>
      <c r="IHG2997" s="160"/>
      <c r="IHH2997" s="559"/>
      <c r="IHI2997" s="125"/>
      <c r="IHJ2997" s="470"/>
      <c r="IHK2997" s="449"/>
      <c r="IHL2997" s="462"/>
      <c r="IHM2997" s="299"/>
      <c r="IHN2997" s="81"/>
      <c r="IHO2997" s="160"/>
      <c r="IHP2997" s="559"/>
      <c r="IHQ2997" s="125"/>
      <c r="IHR2997" s="470"/>
      <c r="IHS2997" s="449"/>
      <c r="IHT2997" s="462"/>
      <c r="IHU2997" s="299"/>
      <c r="IHV2997" s="81"/>
      <c r="IHW2997" s="160"/>
      <c r="IHX2997" s="559"/>
      <c r="IHY2997" s="125"/>
      <c r="IHZ2997" s="470"/>
      <c r="IIA2997" s="449"/>
      <c r="IIB2997" s="462"/>
      <c r="IIC2997" s="299"/>
      <c r="IID2997" s="81"/>
      <c r="IIE2997" s="160"/>
      <c r="IIF2997" s="559"/>
      <c r="IIG2997" s="125"/>
      <c r="IIH2997" s="470"/>
      <c r="III2997" s="449"/>
      <c r="IIJ2997" s="462"/>
      <c r="IIK2997" s="299"/>
      <c r="IIL2997" s="81"/>
      <c r="IIM2997" s="160"/>
      <c r="IIN2997" s="559"/>
      <c r="IIO2997" s="125"/>
      <c r="IIP2997" s="470"/>
      <c r="IIQ2997" s="449"/>
      <c r="IIR2997" s="462"/>
      <c r="IIS2997" s="299"/>
      <c r="IIT2997" s="81"/>
      <c r="IIU2997" s="160"/>
      <c r="IIV2997" s="559"/>
      <c r="IIW2997" s="125"/>
      <c r="IIX2997" s="470"/>
      <c r="IIY2997" s="449"/>
      <c r="IIZ2997" s="462"/>
      <c r="IJA2997" s="299"/>
      <c r="IJB2997" s="81"/>
      <c r="IJC2997" s="160"/>
      <c r="IJD2997" s="559"/>
      <c r="IJE2997" s="125"/>
      <c r="IJF2997" s="470"/>
      <c r="IJG2997" s="449"/>
      <c r="IJH2997" s="462"/>
      <c r="IJI2997" s="299"/>
      <c r="IJJ2997" s="81"/>
      <c r="IJK2997" s="160"/>
      <c r="IJL2997" s="559"/>
      <c r="IJM2997" s="125"/>
      <c r="IJN2997" s="470"/>
      <c r="IJO2997" s="449"/>
      <c r="IJP2997" s="462"/>
      <c r="IJQ2997" s="299"/>
      <c r="IJR2997" s="81"/>
      <c r="IJS2997" s="160"/>
      <c r="IJT2997" s="559"/>
      <c r="IJU2997" s="125"/>
      <c r="IJV2997" s="470"/>
      <c r="IJW2997" s="449"/>
      <c r="IJX2997" s="462"/>
      <c r="IJY2997" s="299"/>
      <c r="IJZ2997" s="81"/>
      <c r="IKA2997" s="160"/>
      <c r="IKB2997" s="559"/>
      <c r="IKC2997" s="125"/>
      <c r="IKD2997" s="470"/>
      <c r="IKE2997" s="449"/>
      <c r="IKF2997" s="462"/>
      <c r="IKG2997" s="299"/>
      <c r="IKH2997" s="81"/>
      <c r="IKI2997" s="160"/>
      <c r="IKJ2997" s="559"/>
      <c r="IKK2997" s="125"/>
      <c r="IKL2997" s="470"/>
      <c r="IKM2997" s="449"/>
      <c r="IKN2997" s="462"/>
      <c r="IKO2997" s="299"/>
      <c r="IKP2997" s="81"/>
      <c r="IKQ2997" s="160"/>
      <c r="IKR2997" s="559"/>
      <c r="IKS2997" s="125"/>
      <c r="IKT2997" s="470"/>
      <c r="IKU2997" s="449"/>
      <c r="IKV2997" s="462"/>
      <c r="IKW2997" s="299"/>
      <c r="IKX2997" s="81"/>
      <c r="IKY2997" s="160"/>
      <c r="IKZ2997" s="559"/>
      <c r="ILA2997" s="125"/>
      <c r="ILB2997" s="470"/>
      <c r="ILC2997" s="449"/>
      <c r="ILD2997" s="462"/>
      <c r="ILE2997" s="299"/>
      <c r="ILF2997" s="81"/>
      <c r="ILG2997" s="160"/>
      <c r="ILH2997" s="559"/>
      <c r="ILI2997" s="125"/>
      <c r="ILJ2997" s="470"/>
      <c r="ILK2997" s="449"/>
      <c r="ILL2997" s="462"/>
      <c r="ILM2997" s="299"/>
      <c r="ILN2997" s="81"/>
      <c r="ILO2997" s="160"/>
      <c r="ILP2997" s="559"/>
      <c r="ILQ2997" s="125"/>
      <c r="ILR2997" s="470"/>
      <c r="ILS2997" s="449"/>
      <c r="ILT2997" s="462"/>
      <c r="ILU2997" s="299"/>
      <c r="ILV2997" s="81"/>
      <c r="ILW2997" s="160"/>
      <c r="ILX2997" s="559"/>
      <c r="ILY2997" s="125"/>
      <c r="ILZ2997" s="470"/>
      <c r="IMA2997" s="449"/>
      <c r="IMB2997" s="462"/>
      <c r="IMC2997" s="299"/>
      <c r="IMD2997" s="81"/>
      <c r="IME2997" s="160"/>
      <c r="IMF2997" s="559"/>
      <c r="IMG2997" s="125"/>
      <c r="IMH2997" s="470"/>
      <c r="IMI2997" s="449"/>
      <c r="IMJ2997" s="462"/>
      <c r="IMK2997" s="299"/>
      <c r="IML2997" s="81"/>
      <c r="IMM2997" s="160"/>
      <c r="IMN2997" s="559"/>
      <c r="IMO2997" s="125"/>
      <c r="IMP2997" s="470"/>
      <c r="IMQ2997" s="449"/>
      <c r="IMR2997" s="462"/>
      <c r="IMS2997" s="299"/>
      <c r="IMT2997" s="81"/>
      <c r="IMU2997" s="160"/>
      <c r="IMV2997" s="559"/>
      <c r="IMW2997" s="125"/>
      <c r="IMX2997" s="470"/>
      <c r="IMY2997" s="449"/>
      <c r="IMZ2997" s="462"/>
      <c r="INA2997" s="299"/>
      <c r="INB2997" s="81"/>
      <c r="INC2997" s="160"/>
      <c r="IND2997" s="559"/>
      <c r="INE2997" s="125"/>
      <c r="INF2997" s="470"/>
      <c r="ING2997" s="449"/>
      <c r="INH2997" s="462"/>
      <c r="INI2997" s="299"/>
      <c r="INJ2997" s="81"/>
      <c r="INK2997" s="160"/>
      <c r="INL2997" s="559"/>
      <c r="INM2997" s="125"/>
      <c r="INN2997" s="470"/>
      <c r="INO2997" s="449"/>
      <c r="INP2997" s="462"/>
      <c r="INQ2997" s="299"/>
      <c r="INR2997" s="81"/>
      <c r="INS2997" s="160"/>
      <c r="INT2997" s="559"/>
      <c r="INU2997" s="125"/>
      <c r="INV2997" s="470"/>
      <c r="INW2997" s="449"/>
      <c r="INX2997" s="462"/>
      <c r="INY2997" s="299"/>
      <c r="INZ2997" s="81"/>
      <c r="IOA2997" s="160"/>
      <c r="IOB2997" s="559"/>
      <c r="IOC2997" s="125"/>
      <c r="IOD2997" s="470"/>
      <c r="IOE2997" s="449"/>
      <c r="IOF2997" s="462"/>
      <c r="IOG2997" s="299"/>
      <c r="IOH2997" s="81"/>
      <c r="IOI2997" s="160"/>
      <c r="IOJ2997" s="559"/>
      <c r="IOK2997" s="125"/>
      <c r="IOL2997" s="470"/>
      <c r="IOM2997" s="449"/>
      <c r="ION2997" s="462"/>
      <c r="IOO2997" s="299"/>
      <c r="IOP2997" s="81"/>
      <c r="IOQ2997" s="160"/>
      <c r="IOR2997" s="559"/>
      <c r="IOS2997" s="125"/>
      <c r="IOT2997" s="470"/>
      <c r="IOU2997" s="449"/>
      <c r="IOV2997" s="462"/>
      <c r="IOW2997" s="299"/>
      <c r="IOX2997" s="81"/>
      <c r="IOY2997" s="160"/>
      <c r="IOZ2997" s="559"/>
      <c r="IPA2997" s="125"/>
      <c r="IPB2997" s="470"/>
      <c r="IPC2997" s="449"/>
      <c r="IPD2997" s="462"/>
      <c r="IPE2997" s="299"/>
      <c r="IPF2997" s="81"/>
      <c r="IPG2997" s="160"/>
      <c r="IPH2997" s="559"/>
      <c r="IPI2997" s="125"/>
      <c r="IPJ2997" s="470"/>
      <c r="IPK2997" s="449"/>
      <c r="IPL2997" s="462"/>
      <c r="IPM2997" s="299"/>
      <c r="IPN2997" s="81"/>
      <c r="IPO2997" s="160"/>
      <c r="IPP2997" s="559"/>
      <c r="IPQ2997" s="125"/>
      <c r="IPR2997" s="470"/>
      <c r="IPS2997" s="449"/>
      <c r="IPT2997" s="462"/>
      <c r="IPU2997" s="299"/>
      <c r="IPV2997" s="81"/>
      <c r="IPW2997" s="160"/>
      <c r="IPX2997" s="559"/>
      <c r="IPY2997" s="125"/>
      <c r="IPZ2997" s="470"/>
      <c r="IQA2997" s="449"/>
      <c r="IQB2997" s="462"/>
      <c r="IQC2997" s="299"/>
      <c r="IQD2997" s="81"/>
      <c r="IQE2997" s="160"/>
      <c r="IQF2997" s="559"/>
      <c r="IQG2997" s="125"/>
      <c r="IQH2997" s="470"/>
      <c r="IQI2997" s="449"/>
      <c r="IQJ2997" s="462"/>
      <c r="IQK2997" s="299"/>
      <c r="IQL2997" s="81"/>
      <c r="IQM2997" s="160"/>
      <c r="IQN2997" s="559"/>
      <c r="IQO2997" s="125"/>
      <c r="IQP2997" s="470"/>
      <c r="IQQ2997" s="449"/>
      <c r="IQR2997" s="462"/>
      <c r="IQS2997" s="299"/>
      <c r="IQT2997" s="81"/>
      <c r="IQU2997" s="160"/>
      <c r="IQV2997" s="559"/>
      <c r="IQW2997" s="125"/>
      <c r="IQX2997" s="470"/>
      <c r="IQY2997" s="449"/>
      <c r="IQZ2997" s="462"/>
      <c r="IRA2997" s="299"/>
      <c r="IRB2997" s="81"/>
      <c r="IRC2997" s="160"/>
      <c r="IRD2997" s="559"/>
      <c r="IRE2997" s="125"/>
      <c r="IRF2997" s="470"/>
      <c r="IRG2997" s="449"/>
      <c r="IRH2997" s="462"/>
      <c r="IRI2997" s="299"/>
      <c r="IRJ2997" s="81"/>
      <c r="IRK2997" s="160"/>
      <c r="IRL2997" s="559"/>
      <c r="IRM2997" s="125"/>
      <c r="IRN2997" s="470"/>
      <c r="IRO2997" s="449"/>
      <c r="IRP2997" s="462"/>
      <c r="IRQ2997" s="299"/>
      <c r="IRR2997" s="81"/>
      <c r="IRS2997" s="160"/>
      <c r="IRT2997" s="559"/>
      <c r="IRU2997" s="125"/>
      <c r="IRV2997" s="470"/>
      <c r="IRW2997" s="449"/>
      <c r="IRX2997" s="462"/>
      <c r="IRY2997" s="299"/>
      <c r="IRZ2997" s="81"/>
      <c r="ISA2997" s="160"/>
      <c r="ISB2997" s="559"/>
      <c r="ISC2997" s="125"/>
      <c r="ISD2997" s="470"/>
      <c r="ISE2997" s="449"/>
      <c r="ISF2997" s="462"/>
      <c r="ISG2997" s="299"/>
      <c r="ISH2997" s="81"/>
      <c r="ISI2997" s="160"/>
      <c r="ISJ2997" s="559"/>
      <c r="ISK2997" s="125"/>
      <c r="ISL2997" s="470"/>
      <c r="ISM2997" s="449"/>
      <c r="ISN2997" s="462"/>
      <c r="ISO2997" s="299"/>
      <c r="ISP2997" s="81"/>
      <c r="ISQ2997" s="160"/>
      <c r="ISR2997" s="559"/>
      <c r="ISS2997" s="125"/>
      <c r="IST2997" s="470"/>
      <c r="ISU2997" s="449"/>
      <c r="ISV2997" s="462"/>
      <c r="ISW2997" s="299"/>
      <c r="ISX2997" s="81"/>
      <c r="ISY2997" s="160"/>
      <c r="ISZ2997" s="559"/>
      <c r="ITA2997" s="125"/>
      <c r="ITB2997" s="470"/>
      <c r="ITC2997" s="449"/>
      <c r="ITD2997" s="462"/>
      <c r="ITE2997" s="299"/>
      <c r="ITF2997" s="81"/>
      <c r="ITG2997" s="160"/>
      <c r="ITH2997" s="559"/>
      <c r="ITI2997" s="125"/>
      <c r="ITJ2997" s="470"/>
      <c r="ITK2997" s="449"/>
      <c r="ITL2997" s="462"/>
      <c r="ITM2997" s="299"/>
      <c r="ITN2997" s="81"/>
      <c r="ITO2997" s="160"/>
      <c r="ITP2997" s="559"/>
      <c r="ITQ2997" s="125"/>
      <c r="ITR2997" s="470"/>
      <c r="ITS2997" s="449"/>
      <c r="ITT2997" s="462"/>
      <c r="ITU2997" s="299"/>
      <c r="ITV2997" s="81"/>
      <c r="ITW2997" s="160"/>
      <c r="ITX2997" s="559"/>
      <c r="ITY2997" s="125"/>
      <c r="ITZ2997" s="470"/>
      <c r="IUA2997" s="449"/>
      <c r="IUB2997" s="462"/>
      <c r="IUC2997" s="299"/>
      <c r="IUD2997" s="81"/>
      <c r="IUE2997" s="160"/>
      <c r="IUF2997" s="559"/>
      <c r="IUG2997" s="125"/>
      <c r="IUH2997" s="470"/>
      <c r="IUI2997" s="449"/>
      <c r="IUJ2997" s="462"/>
      <c r="IUK2997" s="299"/>
      <c r="IUL2997" s="81"/>
      <c r="IUM2997" s="160"/>
      <c r="IUN2997" s="559"/>
      <c r="IUO2997" s="125"/>
      <c r="IUP2997" s="470"/>
      <c r="IUQ2997" s="449"/>
      <c r="IUR2997" s="462"/>
      <c r="IUS2997" s="299"/>
      <c r="IUT2997" s="81"/>
      <c r="IUU2997" s="160"/>
      <c r="IUV2997" s="559"/>
      <c r="IUW2997" s="125"/>
      <c r="IUX2997" s="470"/>
      <c r="IUY2997" s="449"/>
      <c r="IUZ2997" s="462"/>
      <c r="IVA2997" s="299"/>
      <c r="IVB2997" s="81"/>
      <c r="IVC2997" s="160"/>
      <c r="IVD2997" s="559"/>
      <c r="IVE2997" s="125"/>
      <c r="IVF2997" s="470"/>
      <c r="IVG2997" s="449"/>
      <c r="IVH2997" s="462"/>
      <c r="IVI2997" s="299"/>
      <c r="IVJ2997" s="81"/>
      <c r="IVK2997" s="160"/>
      <c r="IVL2997" s="559"/>
      <c r="IVM2997" s="125"/>
      <c r="IVN2997" s="470"/>
      <c r="IVO2997" s="449"/>
      <c r="IVP2997" s="462"/>
      <c r="IVQ2997" s="299"/>
      <c r="IVR2997" s="81"/>
      <c r="IVS2997" s="160"/>
      <c r="IVT2997" s="559"/>
      <c r="IVU2997" s="125"/>
      <c r="IVV2997" s="470"/>
      <c r="IVW2997" s="449"/>
      <c r="IVX2997" s="462"/>
      <c r="IVY2997" s="299"/>
      <c r="IVZ2997" s="81"/>
      <c r="IWA2997" s="160"/>
      <c r="IWB2997" s="559"/>
      <c r="IWC2997" s="125"/>
      <c r="IWD2997" s="470"/>
      <c r="IWE2997" s="449"/>
      <c r="IWF2997" s="462"/>
      <c r="IWG2997" s="299"/>
      <c r="IWH2997" s="81"/>
      <c r="IWI2997" s="160"/>
      <c r="IWJ2997" s="559"/>
      <c r="IWK2997" s="125"/>
      <c r="IWL2997" s="470"/>
      <c r="IWM2997" s="449"/>
      <c r="IWN2997" s="462"/>
      <c r="IWO2997" s="299"/>
      <c r="IWP2997" s="81"/>
      <c r="IWQ2997" s="160"/>
      <c r="IWR2997" s="559"/>
      <c r="IWS2997" s="125"/>
      <c r="IWT2997" s="470"/>
      <c r="IWU2997" s="449"/>
      <c r="IWV2997" s="462"/>
      <c r="IWW2997" s="299"/>
      <c r="IWX2997" s="81"/>
      <c r="IWY2997" s="160"/>
      <c r="IWZ2997" s="559"/>
      <c r="IXA2997" s="125"/>
      <c r="IXB2997" s="470"/>
      <c r="IXC2997" s="449"/>
      <c r="IXD2997" s="462"/>
      <c r="IXE2997" s="299"/>
      <c r="IXF2997" s="81"/>
      <c r="IXG2997" s="160"/>
      <c r="IXH2997" s="559"/>
      <c r="IXI2997" s="125"/>
      <c r="IXJ2997" s="470"/>
      <c r="IXK2997" s="449"/>
      <c r="IXL2997" s="462"/>
      <c r="IXM2997" s="299"/>
      <c r="IXN2997" s="81"/>
      <c r="IXO2997" s="160"/>
      <c r="IXP2997" s="559"/>
      <c r="IXQ2997" s="125"/>
      <c r="IXR2997" s="470"/>
      <c r="IXS2997" s="449"/>
      <c r="IXT2997" s="462"/>
      <c r="IXU2997" s="299"/>
      <c r="IXV2997" s="81"/>
      <c r="IXW2997" s="160"/>
      <c r="IXX2997" s="559"/>
      <c r="IXY2997" s="125"/>
      <c r="IXZ2997" s="470"/>
      <c r="IYA2997" s="449"/>
      <c r="IYB2997" s="462"/>
      <c r="IYC2997" s="299"/>
      <c r="IYD2997" s="81"/>
      <c r="IYE2997" s="160"/>
      <c r="IYF2997" s="559"/>
      <c r="IYG2997" s="125"/>
      <c r="IYH2997" s="470"/>
      <c r="IYI2997" s="449"/>
      <c r="IYJ2997" s="462"/>
      <c r="IYK2997" s="299"/>
      <c r="IYL2997" s="81"/>
      <c r="IYM2997" s="160"/>
      <c r="IYN2997" s="559"/>
      <c r="IYO2997" s="125"/>
      <c r="IYP2997" s="470"/>
      <c r="IYQ2997" s="449"/>
      <c r="IYR2997" s="462"/>
      <c r="IYS2997" s="299"/>
      <c r="IYT2997" s="81"/>
      <c r="IYU2997" s="160"/>
      <c r="IYV2997" s="559"/>
      <c r="IYW2997" s="125"/>
      <c r="IYX2997" s="470"/>
      <c r="IYY2997" s="449"/>
      <c r="IYZ2997" s="462"/>
      <c r="IZA2997" s="299"/>
      <c r="IZB2997" s="81"/>
      <c r="IZC2997" s="160"/>
      <c r="IZD2997" s="559"/>
      <c r="IZE2997" s="125"/>
      <c r="IZF2997" s="470"/>
      <c r="IZG2997" s="449"/>
      <c r="IZH2997" s="462"/>
      <c r="IZI2997" s="299"/>
      <c r="IZJ2997" s="81"/>
      <c r="IZK2997" s="160"/>
      <c r="IZL2997" s="559"/>
      <c r="IZM2997" s="125"/>
      <c r="IZN2997" s="470"/>
      <c r="IZO2997" s="449"/>
      <c r="IZP2997" s="462"/>
      <c r="IZQ2997" s="299"/>
      <c r="IZR2997" s="81"/>
      <c r="IZS2997" s="160"/>
      <c r="IZT2997" s="559"/>
      <c r="IZU2997" s="125"/>
      <c r="IZV2997" s="470"/>
      <c r="IZW2997" s="449"/>
      <c r="IZX2997" s="462"/>
      <c r="IZY2997" s="299"/>
      <c r="IZZ2997" s="81"/>
      <c r="JAA2997" s="160"/>
      <c r="JAB2997" s="559"/>
      <c r="JAC2997" s="125"/>
      <c r="JAD2997" s="470"/>
      <c r="JAE2997" s="449"/>
      <c r="JAF2997" s="462"/>
      <c r="JAG2997" s="299"/>
      <c r="JAH2997" s="81"/>
      <c r="JAI2997" s="160"/>
      <c r="JAJ2997" s="559"/>
      <c r="JAK2997" s="125"/>
      <c r="JAL2997" s="470"/>
      <c r="JAM2997" s="449"/>
      <c r="JAN2997" s="462"/>
      <c r="JAO2997" s="299"/>
      <c r="JAP2997" s="81"/>
      <c r="JAQ2997" s="160"/>
      <c r="JAR2997" s="559"/>
      <c r="JAS2997" s="125"/>
      <c r="JAT2997" s="470"/>
      <c r="JAU2997" s="449"/>
      <c r="JAV2997" s="462"/>
      <c r="JAW2997" s="299"/>
      <c r="JAX2997" s="81"/>
      <c r="JAY2997" s="160"/>
      <c r="JAZ2997" s="559"/>
      <c r="JBA2997" s="125"/>
      <c r="JBB2997" s="470"/>
      <c r="JBC2997" s="449"/>
      <c r="JBD2997" s="462"/>
      <c r="JBE2997" s="299"/>
      <c r="JBF2997" s="81"/>
      <c r="JBG2997" s="160"/>
      <c r="JBH2997" s="559"/>
      <c r="JBI2997" s="125"/>
      <c r="JBJ2997" s="470"/>
      <c r="JBK2997" s="449"/>
      <c r="JBL2997" s="462"/>
      <c r="JBM2997" s="299"/>
      <c r="JBN2997" s="81"/>
      <c r="JBO2997" s="160"/>
      <c r="JBP2997" s="559"/>
      <c r="JBQ2997" s="125"/>
      <c r="JBR2997" s="470"/>
      <c r="JBS2997" s="449"/>
      <c r="JBT2997" s="462"/>
      <c r="JBU2997" s="299"/>
      <c r="JBV2997" s="81"/>
      <c r="JBW2997" s="160"/>
      <c r="JBX2997" s="559"/>
      <c r="JBY2997" s="125"/>
      <c r="JBZ2997" s="470"/>
      <c r="JCA2997" s="449"/>
      <c r="JCB2997" s="462"/>
      <c r="JCC2997" s="299"/>
      <c r="JCD2997" s="81"/>
      <c r="JCE2997" s="160"/>
      <c r="JCF2997" s="559"/>
      <c r="JCG2997" s="125"/>
      <c r="JCH2997" s="470"/>
      <c r="JCI2997" s="449"/>
      <c r="JCJ2997" s="462"/>
      <c r="JCK2997" s="299"/>
      <c r="JCL2997" s="81"/>
      <c r="JCM2997" s="160"/>
      <c r="JCN2997" s="559"/>
      <c r="JCO2997" s="125"/>
      <c r="JCP2997" s="470"/>
      <c r="JCQ2997" s="449"/>
      <c r="JCR2997" s="462"/>
      <c r="JCS2997" s="299"/>
      <c r="JCT2997" s="81"/>
      <c r="JCU2997" s="160"/>
      <c r="JCV2997" s="559"/>
      <c r="JCW2997" s="125"/>
      <c r="JCX2997" s="470"/>
      <c r="JCY2997" s="449"/>
      <c r="JCZ2997" s="462"/>
      <c r="JDA2997" s="299"/>
      <c r="JDB2997" s="81"/>
      <c r="JDC2997" s="160"/>
      <c r="JDD2997" s="559"/>
      <c r="JDE2997" s="125"/>
      <c r="JDF2997" s="470"/>
      <c r="JDG2997" s="449"/>
      <c r="JDH2997" s="462"/>
      <c r="JDI2997" s="299"/>
      <c r="JDJ2997" s="81"/>
      <c r="JDK2997" s="160"/>
      <c r="JDL2997" s="559"/>
      <c r="JDM2997" s="125"/>
      <c r="JDN2997" s="470"/>
      <c r="JDO2997" s="449"/>
      <c r="JDP2997" s="462"/>
      <c r="JDQ2997" s="299"/>
      <c r="JDR2997" s="81"/>
      <c r="JDS2997" s="160"/>
      <c r="JDT2997" s="559"/>
      <c r="JDU2997" s="125"/>
      <c r="JDV2997" s="470"/>
      <c r="JDW2997" s="449"/>
      <c r="JDX2997" s="462"/>
      <c r="JDY2997" s="299"/>
      <c r="JDZ2997" s="81"/>
      <c r="JEA2997" s="160"/>
      <c r="JEB2997" s="559"/>
      <c r="JEC2997" s="125"/>
      <c r="JED2997" s="470"/>
      <c r="JEE2997" s="449"/>
      <c r="JEF2997" s="462"/>
      <c r="JEG2997" s="299"/>
      <c r="JEH2997" s="81"/>
      <c r="JEI2997" s="160"/>
      <c r="JEJ2997" s="559"/>
      <c r="JEK2997" s="125"/>
      <c r="JEL2997" s="470"/>
      <c r="JEM2997" s="449"/>
      <c r="JEN2997" s="462"/>
      <c r="JEO2997" s="299"/>
      <c r="JEP2997" s="81"/>
      <c r="JEQ2997" s="160"/>
      <c r="JER2997" s="559"/>
      <c r="JES2997" s="125"/>
      <c r="JET2997" s="470"/>
      <c r="JEU2997" s="449"/>
      <c r="JEV2997" s="462"/>
      <c r="JEW2997" s="299"/>
      <c r="JEX2997" s="81"/>
      <c r="JEY2997" s="160"/>
      <c r="JEZ2997" s="559"/>
      <c r="JFA2997" s="125"/>
      <c r="JFB2997" s="470"/>
      <c r="JFC2997" s="449"/>
      <c r="JFD2997" s="462"/>
      <c r="JFE2997" s="299"/>
      <c r="JFF2997" s="81"/>
      <c r="JFG2997" s="160"/>
      <c r="JFH2997" s="559"/>
      <c r="JFI2997" s="125"/>
      <c r="JFJ2997" s="470"/>
      <c r="JFK2997" s="449"/>
      <c r="JFL2997" s="462"/>
      <c r="JFM2997" s="299"/>
      <c r="JFN2997" s="81"/>
      <c r="JFO2997" s="160"/>
      <c r="JFP2997" s="559"/>
      <c r="JFQ2997" s="125"/>
      <c r="JFR2997" s="470"/>
      <c r="JFS2997" s="449"/>
      <c r="JFT2997" s="462"/>
      <c r="JFU2997" s="299"/>
      <c r="JFV2997" s="81"/>
      <c r="JFW2997" s="160"/>
      <c r="JFX2997" s="559"/>
      <c r="JFY2997" s="125"/>
      <c r="JFZ2997" s="470"/>
      <c r="JGA2997" s="449"/>
      <c r="JGB2997" s="462"/>
      <c r="JGC2997" s="299"/>
      <c r="JGD2997" s="81"/>
      <c r="JGE2997" s="160"/>
      <c r="JGF2997" s="559"/>
      <c r="JGG2997" s="125"/>
      <c r="JGH2997" s="470"/>
      <c r="JGI2997" s="449"/>
      <c r="JGJ2997" s="462"/>
      <c r="JGK2997" s="299"/>
      <c r="JGL2997" s="81"/>
      <c r="JGM2997" s="160"/>
      <c r="JGN2997" s="559"/>
      <c r="JGO2997" s="125"/>
      <c r="JGP2997" s="470"/>
      <c r="JGQ2997" s="449"/>
      <c r="JGR2997" s="462"/>
      <c r="JGS2997" s="299"/>
      <c r="JGT2997" s="81"/>
      <c r="JGU2997" s="160"/>
      <c r="JGV2997" s="559"/>
      <c r="JGW2997" s="125"/>
      <c r="JGX2997" s="470"/>
      <c r="JGY2997" s="449"/>
      <c r="JGZ2997" s="462"/>
      <c r="JHA2997" s="299"/>
      <c r="JHB2997" s="81"/>
      <c r="JHC2997" s="160"/>
      <c r="JHD2997" s="559"/>
      <c r="JHE2997" s="125"/>
      <c r="JHF2997" s="470"/>
      <c r="JHG2997" s="449"/>
      <c r="JHH2997" s="462"/>
      <c r="JHI2997" s="299"/>
      <c r="JHJ2997" s="81"/>
      <c r="JHK2997" s="160"/>
      <c r="JHL2997" s="559"/>
      <c r="JHM2997" s="125"/>
      <c r="JHN2997" s="470"/>
      <c r="JHO2997" s="449"/>
      <c r="JHP2997" s="462"/>
      <c r="JHQ2997" s="299"/>
      <c r="JHR2997" s="81"/>
      <c r="JHS2997" s="160"/>
      <c r="JHT2997" s="559"/>
      <c r="JHU2997" s="125"/>
      <c r="JHV2997" s="470"/>
      <c r="JHW2997" s="449"/>
      <c r="JHX2997" s="462"/>
      <c r="JHY2997" s="299"/>
      <c r="JHZ2997" s="81"/>
      <c r="JIA2997" s="160"/>
      <c r="JIB2997" s="559"/>
      <c r="JIC2997" s="125"/>
      <c r="JID2997" s="470"/>
      <c r="JIE2997" s="449"/>
      <c r="JIF2997" s="462"/>
      <c r="JIG2997" s="299"/>
      <c r="JIH2997" s="81"/>
      <c r="JII2997" s="160"/>
      <c r="JIJ2997" s="559"/>
      <c r="JIK2997" s="125"/>
      <c r="JIL2997" s="470"/>
      <c r="JIM2997" s="449"/>
      <c r="JIN2997" s="462"/>
      <c r="JIO2997" s="299"/>
      <c r="JIP2997" s="81"/>
      <c r="JIQ2997" s="160"/>
      <c r="JIR2997" s="559"/>
      <c r="JIS2997" s="125"/>
      <c r="JIT2997" s="470"/>
      <c r="JIU2997" s="449"/>
      <c r="JIV2997" s="462"/>
      <c r="JIW2997" s="299"/>
      <c r="JIX2997" s="81"/>
      <c r="JIY2997" s="160"/>
      <c r="JIZ2997" s="559"/>
      <c r="JJA2997" s="125"/>
      <c r="JJB2997" s="470"/>
      <c r="JJC2997" s="449"/>
      <c r="JJD2997" s="462"/>
      <c r="JJE2997" s="299"/>
      <c r="JJF2997" s="81"/>
      <c r="JJG2997" s="160"/>
      <c r="JJH2997" s="559"/>
      <c r="JJI2997" s="125"/>
      <c r="JJJ2997" s="470"/>
      <c r="JJK2997" s="449"/>
      <c r="JJL2997" s="462"/>
      <c r="JJM2997" s="299"/>
      <c r="JJN2997" s="81"/>
      <c r="JJO2997" s="160"/>
      <c r="JJP2997" s="559"/>
      <c r="JJQ2997" s="125"/>
      <c r="JJR2997" s="470"/>
      <c r="JJS2997" s="449"/>
      <c r="JJT2997" s="462"/>
      <c r="JJU2997" s="299"/>
      <c r="JJV2997" s="81"/>
      <c r="JJW2997" s="160"/>
      <c r="JJX2997" s="559"/>
      <c r="JJY2997" s="125"/>
      <c r="JJZ2997" s="470"/>
      <c r="JKA2997" s="449"/>
      <c r="JKB2997" s="462"/>
      <c r="JKC2997" s="299"/>
      <c r="JKD2997" s="81"/>
      <c r="JKE2997" s="160"/>
      <c r="JKF2997" s="559"/>
      <c r="JKG2997" s="125"/>
      <c r="JKH2997" s="470"/>
      <c r="JKI2997" s="449"/>
      <c r="JKJ2997" s="462"/>
      <c r="JKK2997" s="299"/>
      <c r="JKL2997" s="81"/>
      <c r="JKM2997" s="160"/>
      <c r="JKN2997" s="559"/>
      <c r="JKO2997" s="125"/>
      <c r="JKP2997" s="470"/>
      <c r="JKQ2997" s="449"/>
      <c r="JKR2997" s="462"/>
      <c r="JKS2997" s="299"/>
      <c r="JKT2997" s="81"/>
      <c r="JKU2997" s="160"/>
      <c r="JKV2997" s="559"/>
      <c r="JKW2997" s="125"/>
      <c r="JKX2997" s="470"/>
      <c r="JKY2997" s="449"/>
      <c r="JKZ2997" s="462"/>
      <c r="JLA2997" s="299"/>
      <c r="JLB2997" s="81"/>
      <c r="JLC2997" s="160"/>
      <c r="JLD2997" s="559"/>
      <c r="JLE2997" s="125"/>
      <c r="JLF2997" s="470"/>
      <c r="JLG2997" s="449"/>
      <c r="JLH2997" s="462"/>
      <c r="JLI2997" s="299"/>
      <c r="JLJ2997" s="81"/>
      <c r="JLK2997" s="160"/>
      <c r="JLL2997" s="559"/>
      <c r="JLM2997" s="125"/>
      <c r="JLN2997" s="470"/>
      <c r="JLO2997" s="449"/>
      <c r="JLP2997" s="462"/>
      <c r="JLQ2997" s="299"/>
      <c r="JLR2997" s="81"/>
      <c r="JLS2997" s="160"/>
      <c r="JLT2997" s="559"/>
      <c r="JLU2997" s="125"/>
      <c r="JLV2997" s="470"/>
      <c r="JLW2997" s="449"/>
      <c r="JLX2997" s="462"/>
      <c r="JLY2997" s="299"/>
      <c r="JLZ2997" s="81"/>
      <c r="JMA2997" s="160"/>
      <c r="JMB2997" s="559"/>
      <c r="JMC2997" s="125"/>
      <c r="JMD2997" s="470"/>
      <c r="JME2997" s="449"/>
      <c r="JMF2997" s="462"/>
      <c r="JMG2997" s="299"/>
      <c r="JMH2997" s="81"/>
      <c r="JMI2997" s="160"/>
      <c r="JMJ2997" s="559"/>
      <c r="JMK2997" s="125"/>
      <c r="JML2997" s="470"/>
      <c r="JMM2997" s="449"/>
      <c r="JMN2997" s="462"/>
      <c r="JMO2997" s="299"/>
      <c r="JMP2997" s="81"/>
      <c r="JMQ2997" s="160"/>
      <c r="JMR2997" s="559"/>
      <c r="JMS2997" s="125"/>
      <c r="JMT2997" s="470"/>
      <c r="JMU2997" s="449"/>
      <c r="JMV2997" s="462"/>
      <c r="JMW2997" s="299"/>
      <c r="JMX2997" s="81"/>
      <c r="JMY2997" s="160"/>
      <c r="JMZ2997" s="559"/>
      <c r="JNA2997" s="125"/>
      <c r="JNB2997" s="470"/>
      <c r="JNC2997" s="449"/>
      <c r="JND2997" s="462"/>
      <c r="JNE2997" s="299"/>
      <c r="JNF2997" s="81"/>
      <c r="JNG2997" s="160"/>
      <c r="JNH2997" s="559"/>
      <c r="JNI2997" s="125"/>
      <c r="JNJ2997" s="470"/>
      <c r="JNK2997" s="449"/>
      <c r="JNL2997" s="462"/>
      <c r="JNM2997" s="299"/>
      <c r="JNN2997" s="81"/>
      <c r="JNO2997" s="160"/>
      <c r="JNP2997" s="559"/>
      <c r="JNQ2997" s="125"/>
      <c r="JNR2997" s="470"/>
      <c r="JNS2997" s="449"/>
      <c r="JNT2997" s="462"/>
      <c r="JNU2997" s="299"/>
      <c r="JNV2997" s="81"/>
      <c r="JNW2997" s="160"/>
      <c r="JNX2997" s="559"/>
      <c r="JNY2997" s="125"/>
      <c r="JNZ2997" s="470"/>
      <c r="JOA2997" s="449"/>
      <c r="JOB2997" s="462"/>
      <c r="JOC2997" s="299"/>
      <c r="JOD2997" s="81"/>
      <c r="JOE2997" s="160"/>
      <c r="JOF2997" s="559"/>
      <c r="JOG2997" s="125"/>
      <c r="JOH2997" s="470"/>
      <c r="JOI2997" s="449"/>
      <c r="JOJ2997" s="462"/>
      <c r="JOK2997" s="299"/>
      <c r="JOL2997" s="81"/>
      <c r="JOM2997" s="160"/>
      <c r="JON2997" s="559"/>
      <c r="JOO2997" s="125"/>
      <c r="JOP2997" s="470"/>
      <c r="JOQ2997" s="449"/>
      <c r="JOR2997" s="462"/>
      <c r="JOS2997" s="299"/>
      <c r="JOT2997" s="81"/>
      <c r="JOU2997" s="160"/>
      <c r="JOV2997" s="559"/>
      <c r="JOW2997" s="125"/>
      <c r="JOX2997" s="470"/>
      <c r="JOY2997" s="449"/>
      <c r="JOZ2997" s="462"/>
      <c r="JPA2997" s="299"/>
      <c r="JPB2997" s="81"/>
      <c r="JPC2997" s="160"/>
      <c r="JPD2997" s="559"/>
      <c r="JPE2997" s="125"/>
      <c r="JPF2997" s="470"/>
      <c r="JPG2997" s="449"/>
      <c r="JPH2997" s="462"/>
      <c r="JPI2997" s="299"/>
      <c r="JPJ2997" s="81"/>
      <c r="JPK2997" s="160"/>
      <c r="JPL2997" s="559"/>
      <c r="JPM2997" s="125"/>
      <c r="JPN2997" s="470"/>
      <c r="JPO2997" s="449"/>
      <c r="JPP2997" s="462"/>
      <c r="JPQ2997" s="299"/>
      <c r="JPR2997" s="81"/>
      <c r="JPS2997" s="160"/>
      <c r="JPT2997" s="559"/>
      <c r="JPU2997" s="125"/>
      <c r="JPV2997" s="470"/>
      <c r="JPW2997" s="449"/>
      <c r="JPX2997" s="462"/>
      <c r="JPY2997" s="299"/>
      <c r="JPZ2997" s="81"/>
      <c r="JQA2997" s="160"/>
      <c r="JQB2997" s="559"/>
      <c r="JQC2997" s="125"/>
      <c r="JQD2997" s="470"/>
      <c r="JQE2997" s="449"/>
      <c r="JQF2997" s="462"/>
      <c r="JQG2997" s="299"/>
      <c r="JQH2997" s="81"/>
      <c r="JQI2997" s="160"/>
      <c r="JQJ2997" s="559"/>
      <c r="JQK2997" s="125"/>
      <c r="JQL2997" s="470"/>
      <c r="JQM2997" s="449"/>
      <c r="JQN2997" s="462"/>
      <c r="JQO2997" s="299"/>
      <c r="JQP2997" s="81"/>
      <c r="JQQ2997" s="160"/>
      <c r="JQR2997" s="559"/>
      <c r="JQS2997" s="125"/>
      <c r="JQT2997" s="470"/>
      <c r="JQU2997" s="449"/>
      <c r="JQV2997" s="462"/>
      <c r="JQW2997" s="299"/>
      <c r="JQX2997" s="81"/>
      <c r="JQY2997" s="160"/>
      <c r="JQZ2997" s="559"/>
      <c r="JRA2997" s="125"/>
      <c r="JRB2997" s="470"/>
      <c r="JRC2997" s="449"/>
      <c r="JRD2997" s="462"/>
      <c r="JRE2997" s="299"/>
      <c r="JRF2997" s="81"/>
      <c r="JRG2997" s="160"/>
      <c r="JRH2997" s="559"/>
      <c r="JRI2997" s="125"/>
      <c r="JRJ2997" s="470"/>
      <c r="JRK2997" s="449"/>
      <c r="JRL2997" s="462"/>
      <c r="JRM2997" s="299"/>
      <c r="JRN2997" s="81"/>
      <c r="JRO2997" s="160"/>
      <c r="JRP2997" s="559"/>
      <c r="JRQ2997" s="125"/>
      <c r="JRR2997" s="470"/>
      <c r="JRS2997" s="449"/>
      <c r="JRT2997" s="462"/>
      <c r="JRU2997" s="299"/>
      <c r="JRV2997" s="81"/>
      <c r="JRW2997" s="160"/>
      <c r="JRX2997" s="559"/>
      <c r="JRY2997" s="125"/>
      <c r="JRZ2997" s="470"/>
      <c r="JSA2997" s="449"/>
      <c r="JSB2997" s="462"/>
      <c r="JSC2997" s="299"/>
      <c r="JSD2997" s="81"/>
      <c r="JSE2997" s="160"/>
      <c r="JSF2997" s="559"/>
      <c r="JSG2997" s="125"/>
      <c r="JSH2997" s="470"/>
      <c r="JSI2997" s="449"/>
      <c r="JSJ2997" s="462"/>
      <c r="JSK2997" s="299"/>
      <c r="JSL2997" s="81"/>
      <c r="JSM2997" s="160"/>
      <c r="JSN2997" s="559"/>
      <c r="JSO2997" s="125"/>
      <c r="JSP2997" s="470"/>
      <c r="JSQ2997" s="449"/>
      <c r="JSR2997" s="462"/>
      <c r="JSS2997" s="299"/>
      <c r="JST2997" s="81"/>
      <c r="JSU2997" s="160"/>
      <c r="JSV2997" s="559"/>
      <c r="JSW2997" s="125"/>
      <c r="JSX2997" s="470"/>
      <c r="JSY2997" s="449"/>
      <c r="JSZ2997" s="462"/>
      <c r="JTA2997" s="299"/>
      <c r="JTB2997" s="81"/>
      <c r="JTC2997" s="160"/>
      <c r="JTD2997" s="559"/>
      <c r="JTE2997" s="125"/>
      <c r="JTF2997" s="470"/>
      <c r="JTG2997" s="449"/>
      <c r="JTH2997" s="462"/>
      <c r="JTI2997" s="299"/>
      <c r="JTJ2997" s="81"/>
      <c r="JTK2997" s="160"/>
      <c r="JTL2997" s="559"/>
      <c r="JTM2997" s="125"/>
      <c r="JTN2997" s="470"/>
      <c r="JTO2997" s="449"/>
      <c r="JTP2997" s="462"/>
      <c r="JTQ2997" s="299"/>
      <c r="JTR2997" s="81"/>
      <c r="JTS2997" s="160"/>
      <c r="JTT2997" s="559"/>
      <c r="JTU2997" s="125"/>
      <c r="JTV2997" s="470"/>
      <c r="JTW2997" s="449"/>
      <c r="JTX2997" s="462"/>
      <c r="JTY2997" s="299"/>
      <c r="JTZ2997" s="81"/>
      <c r="JUA2997" s="160"/>
      <c r="JUB2997" s="559"/>
      <c r="JUC2997" s="125"/>
      <c r="JUD2997" s="470"/>
      <c r="JUE2997" s="449"/>
      <c r="JUF2997" s="462"/>
      <c r="JUG2997" s="299"/>
      <c r="JUH2997" s="81"/>
      <c r="JUI2997" s="160"/>
      <c r="JUJ2997" s="559"/>
      <c r="JUK2997" s="125"/>
      <c r="JUL2997" s="470"/>
      <c r="JUM2997" s="449"/>
      <c r="JUN2997" s="462"/>
      <c r="JUO2997" s="299"/>
      <c r="JUP2997" s="81"/>
      <c r="JUQ2997" s="160"/>
      <c r="JUR2997" s="559"/>
      <c r="JUS2997" s="125"/>
      <c r="JUT2997" s="470"/>
      <c r="JUU2997" s="449"/>
      <c r="JUV2997" s="462"/>
      <c r="JUW2997" s="299"/>
      <c r="JUX2997" s="81"/>
      <c r="JUY2997" s="160"/>
      <c r="JUZ2997" s="559"/>
      <c r="JVA2997" s="125"/>
      <c r="JVB2997" s="470"/>
      <c r="JVC2997" s="449"/>
      <c r="JVD2997" s="462"/>
      <c r="JVE2997" s="299"/>
      <c r="JVF2997" s="81"/>
      <c r="JVG2997" s="160"/>
      <c r="JVH2997" s="559"/>
      <c r="JVI2997" s="125"/>
      <c r="JVJ2997" s="470"/>
      <c r="JVK2997" s="449"/>
      <c r="JVL2997" s="462"/>
      <c r="JVM2997" s="299"/>
      <c r="JVN2997" s="81"/>
      <c r="JVO2997" s="160"/>
      <c r="JVP2997" s="559"/>
      <c r="JVQ2997" s="125"/>
      <c r="JVR2997" s="470"/>
      <c r="JVS2997" s="449"/>
      <c r="JVT2997" s="462"/>
      <c r="JVU2997" s="299"/>
      <c r="JVV2997" s="81"/>
      <c r="JVW2997" s="160"/>
      <c r="JVX2997" s="559"/>
      <c r="JVY2997" s="125"/>
      <c r="JVZ2997" s="470"/>
      <c r="JWA2997" s="449"/>
      <c r="JWB2997" s="462"/>
      <c r="JWC2997" s="299"/>
      <c r="JWD2997" s="81"/>
      <c r="JWE2997" s="160"/>
      <c r="JWF2997" s="559"/>
      <c r="JWG2997" s="125"/>
      <c r="JWH2997" s="470"/>
      <c r="JWI2997" s="449"/>
      <c r="JWJ2997" s="462"/>
      <c r="JWK2997" s="299"/>
      <c r="JWL2997" s="81"/>
      <c r="JWM2997" s="160"/>
      <c r="JWN2997" s="559"/>
      <c r="JWO2997" s="125"/>
      <c r="JWP2997" s="470"/>
      <c r="JWQ2997" s="449"/>
      <c r="JWR2997" s="462"/>
      <c r="JWS2997" s="299"/>
      <c r="JWT2997" s="81"/>
      <c r="JWU2997" s="160"/>
      <c r="JWV2997" s="559"/>
      <c r="JWW2997" s="125"/>
      <c r="JWX2997" s="470"/>
      <c r="JWY2997" s="449"/>
      <c r="JWZ2997" s="462"/>
      <c r="JXA2997" s="299"/>
      <c r="JXB2997" s="81"/>
      <c r="JXC2997" s="160"/>
      <c r="JXD2997" s="559"/>
      <c r="JXE2997" s="125"/>
      <c r="JXF2997" s="470"/>
      <c r="JXG2997" s="449"/>
      <c r="JXH2997" s="462"/>
      <c r="JXI2997" s="299"/>
      <c r="JXJ2997" s="81"/>
      <c r="JXK2997" s="160"/>
      <c r="JXL2997" s="559"/>
      <c r="JXM2997" s="125"/>
      <c r="JXN2997" s="470"/>
      <c r="JXO2997" s="449"/>
      <c r="JXP2997" s="462"/>
      <c r="JXQ2997" s="299"/>
      <c r="JXR2997" s="81"/>
      <c r="JXS2997" s="160"/>
      <c r="JXT2997" s="559"/>
      <c r="JXU2997" s="125"/>
      <c r="JXV2997" s="470"/>
      <c r="JXW2997" s="449"/>
      <c r="JXX2997" s="462"/>
      <c r="JXY2997" s="299"/>
      <c r="JXZ2997" s="81"/>
      <c r="JYA2997" s="160"/>
      <c r="JYB2997" s="559"/>
      <c r="JYC2997" s="125"/>
      <c r="JYD2997" s="470"/>
      <c r="JYE2997" s="449"/>
      <c r="JYF2997" s="462"/>
      <c r="JYG2997" s="299"/>
      <c r="JYH2997" s="81"/>
      <c r="JYI2997" s="160"/>
      <c r="JYJ2997" s="559"/>
      <c r="JYK2997" s="125"/>
      <c r="JYL2997" s="470"/>
      <c r="JYM2997" s="449"/>
      <c r="JYN2997" s="462"/>
      <c r="JYO2997" s="299"/>
      <c r="JYP2997" s="81"/>
      <c r="JYQ2997" s="160"/>
      <c r="JYR2997" s="559"/>
      <c r="JYS2997" s="125"/>
      <c r="JYT2997" s="470"/>
      <c r="JYU2997" s="449"/>
      <c r="JYV2997" s="462"/>
      <c r="JYW2997" s="299"/>
      <c r="JYX2997" s="81"/>
      <c r="JYY2997" s="160"/>
      <c r="JYZ2997" s="559"/>
      <c r="JZA2997" s="125"/>
      <c r="JZB2997" s="470"/>
      <c r="JZC2997" s="449"/>
      <c r="JZD2997" s="462"/>
      <c r="JZE2997" s="299"/>
      <c r="JZF2997" s="81"/>
      <c r="JZG2997" s="160"/>
      <c r="JZH2997" s="559"/>
      <c r="JZI2997" s="125"/>
      <c r="JZJ2997" s="470"/>
      <c r="JZK2997" s="449"/>
      <c r="JZL2997" s="462"/>
      <c r="JZM2997" s="299"/>
      <c r="JZN2997" s="81"/>
      <c r="JZO2997" s="160"/>
      <c r="JZP2997" s="559"/>
      <c r="JZQ2997" s="125"/>
      <c r="JZR2997" s="470"/>
      <c r="JZS2997" s="449"/>
      <c r="JZT2997" s="462"/>
      <c r="JZU2997" s="299"/>
      <c r="JZV2997" s="81"/>
      <c r="JZW2997" s="160"/>
      <c r="JZX2997" s="559"/>
      <c r="JZY2997" s="125"/>
      <c r="JZZ2997" s="470"/>
      <c r="KAA2997" s="449"/>
      <c r="KAB2997" s="462"/>
      <c r="KAC2997" s="299"/>
      <c r="KAD2997" s="81"/>
      <c r="KAE2997" s="160"/>
      <c r="KAF2997" s="559"/>
      <c r="KAG2997" s="125"/>
      <c r="KAH2997" s="470"/>
      <c r="KAI2997" s="449"/>
      <c r="KAJ2997" s="462"/>
      <c r="KAK2997" s="299"/>
      <c r="KAL2997" s="81"/>
      <c r="KAM2997" s="160"/>
      <c r="KAN2997" s="559"/>
      <c r="KAO2997" s="125"/>
      <c r="KAP2997" s="470"/>
      <c r="KAQ2997" s="449"/>
      <c r="KAR2997" s="462"/>
      <c r="KAS2997" s="299"/>
      <c r="KAT2997" s="81"/>
      <c r="KAU2997" s="160"/>
      <c r="KAV2997" s="559"/>
      <c r="KAW2997" s="125"/>
      <c r="KAX2997" s="470"/>
      <c r="KAY2997" s="449"/>
      <c r="KAZ2997" s="462"/>
      <c r="KBA2997" s="299"/>
      <c r="KBB2997" s="81"/>
      <c r="KBC2997" s="160"/>
      <c r="KBD2997" s="559"/>
      <c r="KBE2997" s="125"/>
      <c r="KBF2997" s="470"/>
      <c r="KBG2997" s="449"/>
      <c r="KBH2997" s="462"/>
      <c r="KBI2997" s="299"/>
      <c r="KBJ2997" s="81"/>
      <c r="KBK2997" s="160"/>
      <c r="KBL2997" s="559"/>
      <c r="KBM2997" s="125"/>
      <c r="KBN2997" s="470"/>
      <c r="KBO2997" s="449"/>
      <c r="KBP2997" s="462"/>
      <c r="KBQ2997" s="299"/>
      <c r="KBR2997" s="81"/>
      <c r="KBS2997" s="160"/>
      <c r="KBT2997" s="559"/>
      <c r="KBU2997" s="125"/>
      <c r="KBV2997" s="470"/>
      <c r="KBW2997" s="449"/>
      <c r="KBX2997" s="462"/>
      <c r="KBY2997" s="299"/>
      <c r="KBZ2997" s="81"/>
      <c r="KCA2997" s="160"/>
      <c r="KCB2997" s="559"/>
      <c r="KCC2997" s="125"/>
      <c r="KCD2997" s="470"/>
      <c r="KCE2997" s="449"/>
      <c r="KCF2997" s="462"/>
      <c r="KCG2997" s="299"/>
      <c r="KCH2997" s="81"/>
      <c r="KCI2997" s="160"/>
      <c r="KCJ2997" s="559"/>
      <c r="KCK2997" s="125"/>
      <c r="KCL2997" s="470"/>
      <c r="KCM2997" s="449"/>
      <c r="KCN2997" s="462"/>
      <c r="KCO2997" s="299"/>
      <c r="KCP2997" s="81"/>
      <c r="KCQ2997" s="160"/>
      <c r="KCR2997" s="559"/>
      <c r="KCS2997" s="125"/>
      <c r="KCT2997" s="470"/>
      <c r="KCU2997" s="449"/>
      <c r="KCV2997" s="462"/>
      <c r="KCW2997" s="299"/>
      <c r="KCX2997" s="81"/>
      <c r="KCY2997" s="160"/>
      <c r="KCZ2997" s="559"/>
      <c r="KDA2997" s="125"/>
      <c r="KDB2997" s="470"/>
      <c r="KDC2997" s="449"/>
      <c r="KDD2997" s="462"/>
      <c r="KDE2997" s="299"/>
      <c r="KDF2997" s="81"/>
      <c r="KDG2997" s="160"/>
      <c r="KDH2997" s="559"/>
      <c r="KDI2997" s="125"/>
      <c r="KDJ2997" s="470"/>
      <c r="KDK2997" s="449"/>
      <c r="KDL2997" s="462"/>
      <c r="KDM2997" s="299"/>
      <c r="KDN2997" s="81"/>
      <c r="KDO2997" s="160"/>
      <c r="KDP2997" s="559"/>
      <c r="KDQ2997" s="125"/>
      <c r="KDR2997" s="470"/>
      <c r="KDS2997" s="449"/>
      <c r="KDT2997" s="462"/>
      <c r="KDU2997" s="299"/>
      <c r="KDV2997" s="81"/>
      <c r="KDW2997" s="160"/>
      <c r="KDX2997" s="559"/>
      <c r="KDY2997" s="125"/>
      <c r="KDZ2997" s="470"/>
      <c r="KEA2997" s="449"/>
      <c r="KEB2997" s="462"/>
      <c r="KEC2997" s="299"/>
      <c r="KED2997" s="81"/>
      <c r="KEE2997" s="160"/>
      <c r="KEF2997" s="559"/>
      <c r="KEG2997" s="125"/>
      <c r="KEH2997" s="470"/>
      <c r="KEI2997" s="449"/>
      <c r="KEJ2997" s="462"/>
      <c r="KEK2997" s="299"/>
      <c r="KEL2997" s="81"/>
      <c r="KEM2997" s="160"/>
      <c r="KEN2997" s="559"/>
      <c r="KEO2997" s="125"/>
      <c r="KEP2997" s="470"/>
      <c r="KEQ2997" s="449"/>
      <c r="KER2997" s="462"/>
      <c r="KES2997" s="299"/>
      <c r="KET2997" s="81"/>
      <c r="KEU2997" s="160"/>
      <c r="KEV2997" s="559"/>
      <c r="KEW2997" s="125"/>
      <c r="KEX2997" s="470"/>
      <c r="KEY2997" s="449"/>
      <c r="KEZ2997" s="462"/>
      <c r="KFA2997" s="299"/>
      <c r="KFB2997" s="81"/>
      <c r="KFC2997" s="160"/>
      <c r="KFD2997" s="559"/>
      <c r="KFE2997" s="125"/>
      <c r="KFF2997" s="470"/>
      <c r="KFG2997" s="449"/>
      <c r="KFH2997" s="462"/>
      <c r="KFI2997" s="299"/>
      <c r="KFJ2997" s="81"/>
      <c r="KFK2997" s="160"/>
      <c r="KFL2997" s="559"/>
      <c r="KFM2997" s="125"/>
      <c r="KFN2997" s="470"/>
      <c r="KFO2997" s="449"/>
      <c r="KFP2997" s="462"/>
      <c r="KFQ2997" s="299"/>
      <c r="KFR2997" s="81"/>
      <c r="KFS2997" s="160"/>
      <c r="KFT2997" s="559"/>
      <c r="KFU2997" s="125"/>
      <c r="KFV2997" s="470"/>
      <c r="KFW2997" s="449"/>
      <c r="KFX2997" s="462"/>
      <c r="KFY2997" s="299"/>
      <c r="KFZ2997" s="81"/>
      <c r="KGA2997" s="160"/>
      <c r="KGB2997" s="559"/>
      <c r="KGC2997" s="125"/>
      <c r="KGD2997" s="470"/>
      <c r="KGE2997" s="449"/>
      <c r="KGF2997" s="462"/>
      <c r="KGG2997" s="299"/>
      <c r="KGH2997" s="81"/>
      <c r="KGI2997" s="160"/>
      <c r="KGJ2997" s="559"/>
      <c r="KGK2997" s="125"/>
      <c r="KGL2997" s="470"/>
      <c r="KGM2997" s="449"/>
      <c r="KGN2997" s="462"/>
      <c r="KGO2997" s="299"/>
      <c r="KGP2997" s="81"/>
      <c r="KGQ2997" s="160"/>
      <c r="KGR2997" s="559"/>
      <c r="KGS2997" s="125"/>
      <c r="KGT2997" s="470"/>
      <c r="KGU2997" s="449"/>
      <c r="KGV2997" s="462"/>
      <c r="KGW2997" s="299"/>
      <c r="KGX2997" s="81"/>
      <c r="KGY2997" s="160"/>
      <c r="KGZ2997" s="559"/>
      <c r="KHA2997" s="125"/>
      <c r="KHB2997" s="470"/>
      <c r="KHC2997" s="449"/>
      <c r="KHD2997" s="462"/>
      <c r="KHE2997" s="299"/>
      <c r="KHF2997" s="81"/>
      <c r="KHG2997" s="160"/>
      <c r="KHH2997" s="559"/>
      <c r="KHI2997" s="125"/>
      <c r="KHJ2997" s="470"/>
      <c r="KHK2997" s="449"/>
      <c r="KHL2997" s="462"/>
      <c r="KHM2997" s="299"/>
      <c r="KHN2997" s="81"/>
      <c r="KHO2997" s="160"/>
      <c r="KHP2997" s="559"/>
      <c r="KHQ2997" s="125"/>
      <c r="KHR2997" s="470"/>
      <c r="KHS2997" s="449"/>
      <c r="KHT2997" s="462"/>
      <c r="KHU2997" s="299"/>
      <c r="KHV2997" s="81"/>
      <c r="KHW2997" s="160"/>
      <c r="KHX2997" s="559"/>
      <c r="KHY2997" s="125"/>
      <c r="KHZ2997" s="470"/>
      <c r="KIA2997" s="449"/>
      <c r="KIB2997" s="462"/>
      <c r="KIC2997" s="299"/>
      <c r="KID2997" s="81"/>
      <c r="KIE2997" s="160"/>
      <c r="KIF2997" s="559"/>
      <c r="KIG2997" s="125"/>
      <c r="KIH2997" s="470"/>
      <c r="KII2997" s="449"/>
      <c r="KIJ2997" s="462"/>
      <c r="KIK2997" s="299"/>
      <c r="KIL2997" s="81"/>
      <c r="KIM2997" s="160"/>
      <c r="KIN2997" s="559"/>
      <c r="KIO2997" s="125"/>
      <c r="KIP2997" s="470"/>
      <c r="KIQ2997" s="449"/>
      <c r="KIR2997" s="462"/>
      <c r="KIS2997" s="299"/>
      <c r="KIT2997" s="81"/>
      <c r="KIU2997" s="160"/>
      <c r="KIV2997" s="559"/>
      <c r="KIW2997" s="125"/>
      <c r="KIX2997" s="470"/>
      <c r="KIY2997" s="449"/>
      <c r="KIZ2997" s="462"/>
      <c r="KJA2997" s="299"/>
      <c r="KJB2997" s="81"/>
      <c r="KJC2997" s="160"/>
      <c r="KJD2997" s="559"/>
      <c r="KJE2997" s="125"/>
      <c r="KJF2997" s="470"/>
      <c r="KJG2997" s="449"/>
      <c r="KJH2997" s="462"/>
      <c r="KJI2997" s="299"/>
      <c r="KJJ2997" s="81"/>
      <c r="KJK2997" s="160"/>
      <c r="KJL2997" s="559"/>
      <c r="KJM2997" s="125"/>
      <c r="KJN2997" s="470"/>
      <c r="KJO2997" s="449"/>
      <c r="KJP2997" s="462"/>
      <c r="KJQ2997" s="299"/>
      <c r="KJR2997" s="81"/>
      <c r="KJS2997" s="160"/>
      <c r="KJT2997" s="559"/>
      <c r="KJU2997" s="125"/>
      <c r="KJV2997" s="470"/>
      <c r="KJW2997" s="449"/>
      <c r="KJX2997" s="462"/>
      <c r="KJY2997" s="299"/>
      <c r="KJZ2997" s="81"/>
      <c r="KKA2997" s="160"/>
      <c r="KKB2997" s="559"/>
      <c r="KKC2997" s="125"/>
      <c r="KKD2997" s="470"/>
      <c r="KKE2997" s="449"/>
      <c r="KKF2997" s="462"/>
      <c r="KKG2997" s="299"/>
      <c r="KKH2997" s="81"/>
      <c r="KKI2997" s="160"/>
      <c r="KKJ2997" s="559"/>
      <c r="KKK2997" s="125"/>
      <c r="KKL2997" s="470"/>
      <c r="KKM2997" s="449"/>
      <c r="KKN2997" s="462"/>
      <c r="KKO2997" s="299"/>
      <c r="KKP2997" s="81"/>
      <c r="KKQ2997" s="160"/>
      <c r="KKR2997" s="559"/>
      <c r="KKS2997" s="125"/>
      <c r="KKT2997" s="470"/>
      <c r="KKU2997" s="449"/>
      <c r="KKV2997" s="462"/>
      <c r="KKW2997" s="299"/>
      <c r="KKX2997" s="81"/>
      <c r="KKY2997" s="160"/>
      <c r="KKZ2997" s="559"/>
      <c r="KLA2997" s="125"/>
      <c r="KLB2997" s="470"/>
      <c r="KLC2997" s="449"/>
      <c r="KLD2997" s="462"/>
      <c r="KLE2997" s="299"/>
      <c r="KLF2997" s="81"/>
      <c r="KLG2997" s="160"/>
      <c r="KLH2997" s="559"/>
      <c r="KLI2997" s="125"/>
      <c r="KLJ2997" s="470"/>
      <c r="KLK2997" s="449"/>
      <c r="KLL2997" s="462"/>
      <c r="KLM2997" s="299"/>
      <c r="KLN2997" s="81"/>
      <c r="KLO2997" s="160"/>
      <c r="KLP2997" s="559"/>
      <c r="KLQ2997" s="125"/>
      <c r="KLR2997" s="470"/>
      <c r="KLS2997" s="449"/>
      <c r="KLT2997" s="462"/>
      <c r="KLU2997" s="299"/>
      <c r="KLV2997" s="81"/>
      <c r="KLW2997" s="160"/>
      <c r="KLX2997" s="559"/>
      <c r="KLY2997" s="125"/>
      <c r="KLZ2997" s="470"/>
      <c r="KMA2997" s="449"/>
      <c r="KMB2997" s="462"/>
      <c r="KMC2997" s="299"/>
      <c r="KMD2997" s="81"/>
      <c r="KME2997" s="160"/>
      <c r="KMF2997" s="559"/>
      <c r="KMG2997" s="125"/>
      <c r="KMH2997" s="470"/>
      <c r="KMI2997" s="449"/>
      <c r="KMJ2997" s="462"/>
      <c r="KMK2997" s="299"/>
      <c r="KML2997" s="81"/>
      <c r="KMM2997" s="160"/>
      <c r="KMN2997" s="559"/>
      <c r="KMO2997" s="125"/>
      <c r="KMP2997" s="470"/>
      <c r="KMQ2997" s="449"/>
      <c r="KMR2997" s="462"/>
      <c r="KMS2997" s="299"/>
      <c r="KMT2997" s="81"/>
      <c r="KMU2997" s="160"/>
      <c r="KMV2997" s="559"/>
      <c r="KMW2997" s="125"/>
      <c r="KMX2997" s="470"/>
      <c r="KMY2997" s="449"/>
      <c r="KMZ2997" s="462"/>
      <c r="KNA2997" s="299"/>
      <c r="KNB2997" s="81"/>
      <c r="KNC2997" s="160"/>
      <c r="KND2997" s="559"/>
      <c r="KNE2997" s="125"/>
      <c r="KNF2997" s="470"/>
      <c r="KNG2997" s="449"/>
      <c r="KNH2997" s="462"/>
      <c r="KNI2997" s="299"/>
      <c r="KNJ2997" s="81"/>
      <c r="KNK2997" s="160"/>
      <c r="KNL2997" s="559"/>
      <c r="KNM2997" s="125"/>
      <c r="KNN2997" s="470"/>
      <c r="KNO2997" s="449"/>
      <c r="KNP2997" s="462"/>
      <c r="KNQ2997" s="299"/>
      <c r="KNR2997" s="81"/>
      <c r="KNS2997" s="160"/>
      <c r="KNT2997" s="559"/>
      <c r="KNU2997" s="125"/>
      <c r="KNV2997" s="470"/>
      <c r="KNW2997" s="449"/>
      <c r="KNX2997" s="462"/>
      <c r="KNY2997" s="299"/>
      <c r="KNZ2997" s="81"/>
      <c r="KOA2997" s="160"/>
      <c r="KOB2997" s="559"/>
      <c r="KOC2997" s="125"/>
      <c r="KOD2997" s="470"/>
      <c r="KOE2997" s="449"/>
      <c r="KOF2997" s="462"/>
      <c r="KOG2997" s="299"/>
      <c r="KOH2997" s="81"/>
      <c r="KOI2997" s="160"/>
      <c r="KOJ2997" s="559"/>
      <c r="KOK2997" s="125"/>
      <c r="KOL2997" s="470"/>
      <c r="KOM2997" s="449"/>
      <c r="KON2997" s="462"/>
      <c r="KOO2997" s="299"/>
      <c r="KOP2997" s="81"/>
      <c r="KOQ2997" s="160"/>
      <c r="KOR2997" s="559"/>
      <c r="KOS2997" s="125"/>
      <c r="KOT2997" s="470"/>
      <c r="KOU2997" s="449"/>
      <c r="KOV2997" s="462"/>
      <c r="KOW2997" s="299"/>
      <c r="KOX2997" s="81"/>
      <c r="KOY2997" s="160"/>
      <c r="KOZ2997" s="559"/>
      <c r="KPA2997" s="125"/>
      <c r="KPB2997" s="470"/>
      <c r="KPC2997" s="449"/>
      <c r="KPD2997" s="462"/>
      <c r="KPE2997" s="299"/>
      <c r="KPF2997" s="81"/>
      <c r="KPG2997" s="160"/>
      <c r="KPH2997" s="559"/>
      <c r="KPI2997" s="125"/>
      <c r="KPJ2997" s="470"/>
      <c r="KPK2997" s="449"/>
      <c r="KPL2997" s="462"/>
      <c r="KPM2997" s="299"/>
      <c r="KPN2997" s="81"/>
      <c r="KPO2997" s="160"/>
      <c r="KPP2997" s="559"/>
      <c r="KPQ2997" s="125"/>
      <c r="KPR2997" s="470"/>
      <c r="KPS2997" s="449"/>
      <c r="KPT2997" s="462"/>
      <c r="KPU2997" s="299"/>
      <c r="KPV2997" s="81"/>
      <c r="KPW2997" s="160"/>
      <c r="KPX2997" s="559"/>
      <c r="KPY2997" s="125"/>
      <c r="KPZ2997" s="470"/>
      <c r="KQA2997" s="449"/>
      <c r="KQB2997" s="462"/>
      <c r="KQC2997" s="299"/>
      <c r="KQD2997" s="81"/>
      <c r="KQE2997" s="160"/>
      <c r="KQF2997" s="559"/>
      <c r="KQG2997" s="125"/>
      <c r="KQH2997" s="470"/>
      <c r="KQI2997" s="449"/>
      <c r="KQJ2997" s="462"/>
      <c r="KQK2997" s="299"/>
      <c r="KQL2997" s="81"/>
      <c r="KQM2997" s="160"/>
      <c r="KQN2997" s="559"/>
      <c r="KQO2997" s="125"/>
      <c r="KQP2997" s="470"/>
      <c r="KQQ2997" s="449"/>
      <c r="KQR2997" s="462"/>
      <c r="KQS2997" s="299"/>
      <c r="KQT2997" s="81"/>
      <c r="KQU2997" s="160"/>
      <c r="KQV2997" s="559"/>
      <c r="KQW2997" s="125"/>
      <c r="KQX2997" s="470"/>
      <c r="KQY2997" s="449"/>
      <c r="KQZ2997" s="462"/>
      <c r="KRA2997" s="299"/>
      <c r="KRB2997" s="81"/>
      <c r="KRC2997" s="160"/>
      <c r="KRD2997" s="559"/>
      <c r="KRE2997" s="125"/>
      <c r="KRF2997" s="470"/>
      <c r="KRG2997" s="449"/>
      <c r="KRH2997" s="462"/>
      <c r="KRI2997" s="299"/>
      <c r="KRJ2997" s="81"/>
      <c r="KRK2997" s="160"/>
      <c r="KRL2997" s="559"/>
      <c r="KRM2997" s="125"/>
      <c r="KRN2997" s="470"/>
      <c r="KRO2997" s="449"/>
      <c r="KRP2997" s="462"/>
      <c r="KRQ2997" s="299"/>
      <c r="KRR2997" s="81"/>
      <c r="KRS2997" s="160"/>
      <c r="KRT2997" s="559"/>
      <c r="KRU2997" s="125"/>
      <c r="KRV2997" s="470"/>
      <c r="KRW2997" s="449"/>
      <c r="KRX2997" s="462"/>
      <c r="KRY2997" s="299"/>
      <c r="KRZ2997" s="81"/>
      <c r="KSA2997" s="160"/>
      <c r="KSB2997" s="559"/>
      <c r="KSC2997" s="125"/>
      <c r="KSD2997" s="470"/>
      <c r="KSE2997" s="449"/>
      <c r="KSF2997" s="462"/>
      <c r="KSG2997" s="299"/>
      <c r="KSH2997" s="81"/>
      <c r="KSI2997" s="160"/>
      <c r="KSJ2997" s="559"/>
      <c r="KSK2997" s="125"/>
      <c r="KSL2997" s="470"/>
      <c r="KSM2997" s="449"/>
      <c r="KSN2997" s="462"/>
      <c r="KSO2997" s="299"/>
      <c r="KSP2997" s="81"/>
      <c r="KSQ2997" s="160"/>
      <c r="KSR2997" s="559"/>
      <c r="KSS2997" s="125"/>
      <c r="KST2997" s="470"/>
      <c r="KSU2997" s="449"/>
      <c r="KSV2997" s="462"/>
      <c r="KSW2997" s="299"/>
      <c r="KSX2997" s="81"/>
      <c r="KSY2997" s="160"/>
      <c r="KSZ2997" s="559"/>
      <c r="KTA2997" s="125"/>
      <c r="KTB2997" s="470"/>
      <c r="KTC2997" s="449"/>
      <c r="KTD2997" s="462"/>
      <c r="KTE2997" s="299"/>
      <c r="KTF2997" s="81"/>
      <c r="KTG2997" s="160"/>
      <c r="KTH2997" s="559"/>
      <c r="KTI2997" s="125"/>
      <c r="KTJ2997" s="470"/>
      <c r="KTK2997" s="449"/>
      <c r="KTL2997" s="462"/>
      <c r="KTM2997" s="299"/>
      <c r="KTN2997" s="81"/>
      <c r="KTO2997" s="160"/>
      <c r="KTP2997" s="559"/>
      <c r="KTQ2997" s="125"/>
      <c r="KTR2997" s="470"/>
      <c r="KTS2997" s="449"/>
      <c r="KTT2997" s="462"/>
      <c r="KTU2997" s="299"/>
      <c r="KTV2997" s="81"/>
      <c r="KTW2997" s="160"/>
      <c r="KTX2997" s="559"/>
      <c r="KTY2997" s="125"/>
      <c r="KTZ2997" s="470"/>
      <c r="KUA2997" s="449"/>
      <c r="KUB2997" s="462"/>
      <c r="KUC2997" s="299"/>
      <c r="KUD2997" s="81"/>
      <c r="KUE2997" s="160"/>
      <c r="KUF2997" s="559"/>
      <c r="KUG2997" s="125"/>
      <c r="KUH2997" s="470"/>
      <c r="KUI2997" s="449"/>
      <c r="KUJ2997" s="462"/>
      <c r="KUK2997" s="299"/>
      <c r="KUL2997" s="81"/>
      <c r="KUM2997" s="160"/>
      <c r="KUN2997" s="559"/>
      <c r="KUO2997" s="125"/>
      <c r="KUP2997" s="470"/>
      <c r="KUQ2997" s="449"/>
      <c r="KUR2997" s="462"/>
      <c r="KUS2997" s="299"/>
      <c r="KUT2997" s="81"/>
      <c r="KUU2997" s="160"/>
      <c r="KUV2997" s="559"/>
      <c r="KUW2997" s="125"/>
      <c r="KUX2997" s="470"/>
      <c r="KUY2997" s="449"/>
      <c r="KUZ2997" s="462"/>
      <c r="KVA2997" s="299"/>
      <c r="KVB2997" s="81"/>
      <c r="KVC2997" s="160"/>
      <c r="KVD2997" s="559"/>
      <c r="KVE2997" s="125"/>
      <c r="KVF2997" s="470"/>
      <c r="KVG2997" s="449"/>
      <c r="KVH2997" s="462"/>
      <c r="KVI2997" s="299"/>
      <c r="KVJ2997" s="81"/>
      <c r="KVK2997" s="160"/>
      <c r="KVL2997" s="559"/>
      <c r="KVM2997" s="125"/>
      <c r="KVN2997" s="470"/>
      <c r="KVO2997" s="449"/>
      <c r="KVP2997" s="462"/>
      <c r="KVQ2997" s="299"/>
      <c r="KVR2997" s="81"/>
      <c r="KVS2997" s="160"/>
      <c r="KVT2997" s="559"/>
      <c r="KVU2997" s="125"/>
      <c r="KVV2997" s="470"/>
      <c r="KVW2997" s="449"/>
      <c r="KVX2997" s="462"/>
      <c r="KVY2997" s="299"/>
      <c r="KVZ2997" s="81"/>
      <c r="KWA2997" s="160"/>
      <c r="KWB2997" s="559"/>
      <c r="KWC2997" s="125"/>
      <c r="KWD2997" s="470"/>
      <c r="KWE2997" s="449"/>
      <c r="KWF2997" s="462"/>
      <c r="KWG2997" s="299"/>
      <c r="KWH2997" s="81"/>
      <c r="KWI2997" s="160"/>
      <c r="KWJ2997" s="559"/>
      <c r="KWK2997" s="125"/>
      <c r="KWL2997" s="470"/>
      <c r="KWM2997" s="449"/>
      <c r="KWN2997" s="462"/>
      <c r="KWO2997" s="299"/>
      <c r="KWP2997" s="81"/>
      <c r="KWQ2997" s="160"/>
      <c r="KWR2997" s="559"/>
      <c r="KWS2997" s="125"/>
      <c r="KWT2997" s="470"/>
      <c r="KWU2997" s="449"/>
      <c r="KWV2997" s="462"/>
      <c r="KWW2997" s="299"/>
      <c r="KWX2997" s="81"/>
      <c r="KWY2997" s="160"/>
      <c r="KWZ2997" s="559"/>
      <c r="KXA2997" s="125"/>
      <c r="KXB2997" s="470"/>
      <c r="KXC2997" s="449"/>
      <c r="KXD2997" s="462"/>
      <c r="KXE2997" s="299"/>
      <c r="KXF2997" s="81"/>
      <c r="KXG2997" s="160"/>
      <c r="KXH2997" s="559"/>
      <c r="KXI2997" s="125"/>
      <c r="KXJ2997" s="470"/>
      <c r="KXK2997" s="449"/>
      <c r="KXL2997" s="462"/>
      <c r="KXM2997" s="299"/>
      <c r="KXN2997" s="81"/>
      <c r="KXO2997" s="160"/>
      <c r="KXP2997" s="559"/>
      <c r="KXQ2997" s="125"/>
      <c r="KXR2997" s="470"/>
      <c r="KXS2997" s="449"/>
      <c r="KXT2997" s="462"/>
      <c r="KXU2997" s="299"/>
      <c r="KXV2997" s="81"/>
      <c r="KXW2997" s="160"/>
      <c r="KXX2997" s="559"/>
      <c r="KXY2997" s="125"/>
      <c r="KXZ2997" s="470"/>
      <c r="KYA2997" s="449"/>
      <c r="KYB2997" s="462"/>
      <c r="KYC2997" s="299"/>
      <c r="KYD2997" s="81"/>
      <c r="KYE2997" s="160"/>
      <c r="KYF2997" s="559"/>
      <c r="KYG2997" s="125"/>
      <c r="KYH2997" s="470"/>
      <c r="KYI2997" s="449"/>
      <c r="KYJ2997" s="462"/>
      <c r="KYK2997" s="299"/>
      <c r="KYL2997" s="81"/>
      <c r="KYM2997" s="160"/>
      <c r="KYN2997" s="559"/>
      <c r="KYO2997" s="125"/>
      <c r="KYP2997" s="470"/>
      <c r="KYQ2997" s="449"/>
      <c r="KYR2997" s="462"/>
      <c r="KYS2997" s="299"/>
      <c r="KYT2997" s="81"/>
      <c r="KYU2997" s="160"/>
      <c r="KYV2997" s="559"/>
      <c r="KYW2997" s="125"/>
      <c r="KYX2997" s="470"/>
      <c r="KYY2997" s="449"/>
      <c r="KYZ2997" s="462"/>
      <c r="KZA2997" s="299"/>
      <c r="KZB2997" s="81"/>
      <c r="KZC2997" s="160"/>
      <c r="KZD2997" s="559"/>
      <c r="KZE2997" s="125"/>
      <c r="KZF2997" s="470"/>
      <c r="KZG2997" s="449"/>
      <c r="KZH2997" s="462"/>
      <c r="KZI2997" s="299"/>
      <c r="KZJ2997" s="81"/>
      <c r="KZK2997" s="160"/>
      <c r="KZL2997" s="559"/>
      <c r="KZM2997" s="125"/>
      <c r="KZN2997" s="470"/>
      <c r="KZO2997" s="449"/>
      <c r="KZP2997" s="462"/>
      <c r="KZQ2997" s="299"/>
      <c r="KZR2997" s="81"/>
      <c r="KZS2997" s="160"/>
      <c r="KZT2997" s="559"/>
      <c r="KZU2997" s="125"/>
      <c r="KZV2997" s="470"/>
      <c r="KZW2997" s="449"/>
      <c r="KZX2997" s="462"/>
      <c r="KZY2997" s="299"/>
      <c r="KZZ2997" s="81"/>
      <c r="LAA2997" s="160"/>
      <c r="LAB2997" s="559"/>
      <c r="LAC2997" s="125"/>
      <c r="LAD2997" s="470"/>
      <c r="LAE2997" s="449"/>
      <c r="LAF2997" s="462"/>
      <c r="LAG2997" s="299"/>
      <c r="LAH2997" s="81"/>
      <c r="LAI2997" s="160"/>
      <c r="LAJ2997" s="559"/>
      <c r="LAK2997" s="125"/>
      <c r="LAL2997" s="470"/>
      <c r="LAM2997" s="449"/>
      <c r="LAN2997" s="462"/>
      <c r="LAO2997" s="299"/>
      <c r="LAP2997" s="81"/>
      <c r="LAQ2997" s="160"/>
      <c r="LAR2997" s="559"/>
      <c r="LAS2997" s="125"/>
      <c r="LAT2997" s="470"/>
      <c r="LAU2997" s="449"/>
      <c r="LAV2997" s="462"/>
      <c r="LAW2997" s="299"/>
      <c r="LAX2997" s="81"/>
      <c r="LAY2997" s="160"/>
      <c r="LAZ2997" s="559"/>
      <c r="LBA2997" s="125"/>
      <c r="LBB2997" s="470"/>
      <c r="LBC2997" s="449"/>
      <c r="LBD2997" s="462"/>
      <c r="LBE2997" s="299"/>
      <c r="LBF2997" s="81"/>
      <c r="LBG2997" s="160"/>
      <c r="LBH2997" s="559"/>
      <c r="LBI2997" s="125"/>
      <c r="LBJ2997" s="470"/>
      <c r="LBK2997" s="449"/>
      <c r="LBL2997" s="462"/>
      <c r="LBM2997" s="299"/>
      <c r="LBN2997" s="81"/>
      <c r="LBO2997" s="160"/>
      <c r="LBP2997" s="559"/>
      <c r="LBQ2997" s="125"/>
      <c r="LBR2997" s="470"/>
      <c r="LBS2997" s="449"/>
      <c r="LBT2997" s="462"/>
      <c r="LBU2997" s="299"/>
      <c r="LBV2997" s="81"/>
      <c r="LBW2997" s="160"/>
      <c r="LBX2997" s="559"/>
      <c r="LBY2997" s="125"/>
      <c r="LBZ2997" s="470"/>
      <c r="LCA2997" s="449"/>
      <c r="LCB2997" s="462"/>
      <c r="LCC2997" s="299"/>
      <c r="LCD2997" s="81"/>
      <c r="LCE2997" s="160"/>
      <c r="LCF2997" s="559"/>
      <c r="LCG2997" s="125"/>
      <c r="LCH2997" s="470"/>
      <c r="LCI2997" s="449"/>
      <c r="LCJ2997" s="462"/>
      <c r="LCK2997" s="299"/>
      <c r="LCL2997" s="81"/>
      <c r="LCM2997" s="160"/>
      <c r="LCN2997" s="559"/>
      <c r="LCO2997" s="125"/>
      <c r="LCP2997" s="470"/>
      <c r="LCQ2997" s="449"/>
      <c r="LCR2997" s="462"/>
      <c r="LCS2997" s="299"/>
      <c r="LCT2997" s="81"/>
      <c r="LCU2997" s="160"/>
      <c r="LCV2997" s="559"/>
      <c r="LCW2997" s="125"/>
      <c r="LCX2997" s="470"/>
      <c r="LCY2997" s="449"/>
      <c r="LCZ2997" s="462"/>
      <c r="LDA2997" s="299"/>
      <c r="LDB2997" s="81"/>
      <c r="LDC2997" s="160"/>
      <c r="LDD2997" s="559"/>
      <c r="LDE2997" s="125"/>
      <c r="LDF2997" s="470"/>
      <c r="LDG2997" s="449"/>
      <c r="LDH2997" s="462"/>
      <c r="LDI2997" s="299"/>
      <c r="LDJ2997" s="81"/>
      <c r="LDK2997" s="160"/>
      <c r="LDL2997" s="559"/>
      <c r="LDM2997" s="125"/>
      <c r="LDN2997" s="470"/>
      <c r="LDO2997" s="449"/>
      <c r="LDP2997" s="462"/>
      <c r="LDQ2997" s="299"/>
      <c r="LDR2997" s="81"/>
      <c r="LDS2997" s="160"/>
      <c r="LDT2997" s="559"/>
      <c r="LDU2997" s="125"/>
      <c r="LDV2997" s="470"/>
      <c r="LDW2997" s="449"/>
      <c r="LDX2997" s="462"/>
      <c r="LDY2997" s="299"/>
      <c r="LDZ2997" s="81"/>
      <c r="LEA2997" s="160"/>
      <c r="LEB2997" s="559"/>
      <c r="LEC2997" s="125"/>
      <c r="LED2997" s="470"/>
      <c r="LEE2997" s="449"/>
      <c r="LEF2997" s="462"/>
      <c r="LEG2997" s="299"/>
      <c r="LEH2997" s="81"/>
      <c r="LEI2997" s="160"/>
      <c r="LEJ2997" s="559"/>
      <c r="LEK2997" s="125"/>
      <c r="LEL2997" s="470"/>
      <c r="LEM2997" s="449"/>
      <c r="LEN2997" s="462"/>
      <c r="LEO2997" s="299"/>
      <c r="LEP2997" s="81"/>
      <c r="LEQ2997" s="160"/>
      <c r="LER2997" s="559"/>
      <c r="LES2997" s="125"/>
      <c r="LET2997" s="470"/>
      <c r="LEU2997" s="449"/>
      <c r="LEV2997" s="462"/>
      <c r="LEW2997" s="299"/>
      <c r="LEX2997" s="81"/>
      <c r="LEY2997" s="160"/>
      <c r="LEZ2997" s="559"/>
      <c r="LFA2997" s="125"/>
      <c r="LFB2997" s="470"/>
      <c r="LFC2997" s="449"/>
      <c r="LFD2997" s="462"/>
      <c r="LFE2997" s="299"/>
      <c r="LFF2997" s="81"/>
      <c r="LFG2997" s="160"/>
      <c r="LFH2997" s="559"/>
      <c r="LFI2997" s="125"/>
      <c r="LFJ2997" s="470"/>
      <c r="LFK2997" s="449"/>
      <c r="LFL2997" s="462"/>
      <c r="LFM2997" s="299"/>
      <c r="LFN2997" s="81"/>
      <c r="LFO2997" s="160"/>
      <c r="LFP2997" s="559"/>
      <c r="LFQ2997" s="125"/>
      <c r="LFR2997" s="470"/>
      <c r="LFS2997" s="449"/>
      <c r="LFT2997" s="462"/>
      <c r="LFU2997" s="299"/>
      <c r="LFV2997" s="81"/>
      <c r="LFW2997" s="160"/>
      <c r="LFX2997" s="559"/>
      <c r="LFY2997" s="125"/>
      <c r="LFZ2997" s="470"/>
      <c r="LGA2997" s="449"/>
      <c r="LGB2997" s="462"/>
      <c r="LGC2997" s="299"/>
      <c r="LGD2997" s="81"/>
      <c r="LGE2997" s="160"/>
      <c r="LGF2997" s="559"/>
      <c r="LGG2997" s="125"/>
      <c r="LGH2997" s="470"/>
      <c r="LGI2997" s="449"/>
      <c r="LGJ2997" s="462"/>
      <c r="LGK2997" s="299"/>
      <c r="LGL2997" s="81"/>
      <c r="LGM2997" s="160"/>
      <c r="LGN2997" s="559"/>
      <c r="LGO2997" s="125"/>
      <c r="LGP2997" s="470"/>
      <c r="LGQ2997" s="449"/>
      <c r="LGR2997" s="462"/>
      <c r="LGS2997" s="299"/>
      <c r="LGT2997" s="81"/>
      <c r="LGU2997" s="160"/>
      <c r="LGV2997" s="559"/>
      <c r="LGW2997" s="125"/>
      <c r="LGX2997" s="470"/>
      <c r="LGY2997" s="449"/>
      <c r="LGZ2997" s="462"/>
      <c r="LHA2997" s="299"/>
      <c r="LHB2997" s="81"/>
      <c r="LHC2997" s="160"/>
      <c r="LHD2997" s="559"/>
      <c r="LHE2997" s="125"/>
      <c r="LHF2997" s="470"/>
      <c r="LHG2997" s="449"/>
      <c r="LHH2997" s="462"/>
      <c r="LHI2997" s="299"/>
      <c r="LHJ2997" s="81"/>
      <c r="LHK2997" s="160"/>
      <c r="LHL2997" s="559"/>
      <c r="LHM2997" s="125"/>
      <c r="LHN2997" s="470"/>
      <c r="LHO2997" s="449"/>
      <c r="LHP2997" s="462"/>
      <c r="LHQ2997" s="299"/>
      <c r="LHR2997" s="81"/>
      <c r="LHS2997" s="160"/>
      <c r="LHT2997" s="559"/>
      <c r="LHU2997" s="125"/>
      <c r="LHV2997" s="470"/>
      <c r="LHW2997" s="449"/>
      <c r="LHX2997" s="462"/>
      <c r="LHY2997" s="299"/>
      <c r="LHZ2997" s="81"/>
      <c r="LIA2997" s="160"/>
      <c r="LIB2997" s="559"/>
      <c r="LIC2997" s="125"/>
      <c r="LID2997" s="470"/>
      <c r="LIE2997" s="449"/>
      <c r="LIF2997" s="462"/>
      <c r="LIG2997" s="299"/>
      <c r="LIH2997" s="81"/>
      <c r="LII2997" s="160"/>
      <c r="LIJ2997" s="559"/>
      <c r="LIK2997" s="125"/>
      <c r="LIL2997" s="470"/>
      <c r="LIM2997" s="449"/>
      <c r="LIN2997" s="462"/>
      <c r="LIO2997" s="299"/>
      <c r="LIP2997" s="81"/>
      <c r="LIQ2997" s="160"/>
      <c r="LIR2997" s="559"/>
      <c r="LIS2997" s="125"/>
      <c r="LIT2997" s="470"/>
      <c r="LIU2997" s="449"/>
      <c r="LIV2997" s="462"/>
      <c r="LIW2997" s="299"/>
      <c r="LIX2997" s="81"/>
      <c r="LIY2997" s="160"/>
      <c r="LIZ2997" s="559"/>
      <c r="LJA2997" s="125"/>
      <c r="LJB2997" s="470"/>
      <c r="LJC2997" s="449"/>
      <c r="LJD2997" s="462"/>
      <c r="LJE2997" s="299"/>
      <c r="LJF2997" s="81"/>
      <c r="LJG2997" s="160"/>
      <c r="LJH2997" s="559"/>
      <c r="LJI2997" s="125"/>
      <c r="LJJ2997" s="470"/>
      <c r="LJK2997" s="449"/>
      <c r="LJL2997" s="462"/>
      <c r="LJM2997" s="299"/>
      <c r="LJN2997" s="81"/>
      <c r="LJO2997" s="160"/>
      <c r="LJP2997" s="559"/>
      <c r="LJQ2997" s="125"/>
      <c r="LJR2997" s="470"/>
      <c r="LJS2997" s="449"/>
      <c r="LJT2997" s="462"/>
      <c r="LJU2997" s="299"/>
      <c r="LJV2997" s="81"/>
      <c r="LJW2997" s="160"/>
      <c r="LJX2997" s="559"/>
      <c r="LJY2997" s="125"/>
      <c r="LJZ2997" s="470"/>
      <c r="LKA2997" s="449"/>
      <c r="LKB2997" s="462"/>
      <c r="LKC2997" s="299"/>
      <c r="LKD2997" s="81"/>
      <c r="LKE2997" s="160"/>
      <c r="LKF2997" s="559"/>
      <c r="LKG2997" s="125"/>
      <c r="LKH2997" s="470"/>
      <c r="LKI2997" s="449"/>
      <c r="LKJ2997" s="462"/>
      <c r="LKK2997" s="299"/>
      <c r="LKL2997" s="81"/>
      <c r="LKM2997" s="160"/>
      <c r="LKN2997" s="559"/>
      <c r="LKO2997" s="125"/>
      <c r="LKP2997" s="470"/>
      <c r="LKQ2997" s="449"/>
      <c r="LKR2997" s="462"/>
      <c r="LKS2997" s="299"/>
      <c r="LKT2997" s="81"/>
      <c r="LKU2997" s="160"/>
      <c r="LKV2997" s="559"/>
      <c r="LKW2997" s="125"/>
      <c r="LKX2997" s="470"/>
      <c r="LKY2997" s="449"/>
      <c r="LKZ2997" s="462"/>
      <c r="LLA2997" s="299"/>
      <c r="LLB2997" s="81"/>
      <c r="LLC2997" s="160"/>
      <c r="LLD2997" s="559"/>
      <c r="LLE2997" s="125"/>
      <c r="LLF2997" s="470"/>
      <c r="LLG2997" s="449"/>
      <c r="LLH2997" s="462"/>
      <c r="LLI2997" s="299"/>
      <c r="LLJ2997" s="81"/>
      <c r="LLK2997" s="160"/>
      <c r="LLL2997" s="559"/>
      <c r="LLM2997" s="125"/>
      <c r="LLN2997" s="470"/>
      <c r="LLO2997" s="449"/>
      <c r="LLP2997" s="462"/>
      <c r="LLQ2997" s="299"/>
      <c r="LLR2997" s="81"/>
      <c r="LLS2997" s="160"/>
      <c r="LLT2997" s="559"/>
      <c r="LLU2997" s="125"/>
      <c r="LLV2997" s="470"/>
      <c r="LLW2997" s="449"/>
      <c r="LLX2997" s="462"/>
      <c r="LLY2997" s="299"/>
      <c r="LLZ2997" s="81"/>
      <c r="LMA2997" s="160"/>
      <c r="LMB2997" s="559"/>
      <c r="LMC2997" s="125"/>
      <c r="LMD2997" s="470"/>
      <c r="LME2997" s="449"/>
      <c r="LMF2997" s="462"/>
      <c r="LMG2997" s="299"/>
      <c r="LMH2997" s="81"/>
      <c r="LMI2997" s="160"/>
      <c r="LMJ2997" s="559"/>
      <c r="LMK2997" s="125"/>
      <c r="LML2997" s="470"/>
      <c r="LMM2997" s="449"/>
      <c r="LMN2997" s="462"/>
      <c r="LMO2997" s="299"/>
      <c r="LMP2997" s="81"/>
      <c r="LMQ2997" s="160"/>
      <c r="LMR2997" s="559"/>
      <c r="LMS2997" s="125"/>
      <c r="LMT2997" s="470"/>
      <c r="LMU2997" s="449"/>
      <c r="LMV2997" s="462"/>
      <c r="LMW2997" s="299"/>
      <c r="LMX2997" s="81"/>
      <c r="LMY2997" s="160"/>
      <c r="LMZ2997" s="559"/>
      <c r="LNA2997" s="125"/>
      <c r="LNB2997" s="470"/>
      <c r="LNC2997" s="449"/>
      <c r="LND2997" s="462"/>
      <c r="LNE2997" s="299"/>
      <c r="LNF2997" s="81"/>
      <c r="LNG2997" s="160"/>
      <c r="LNH2997" s="559"/>
      <c r="LNI2997" s="125"/>
      <c r="LNJ2997" s="470"/>
      <c r="LNK2997" s="449"/>
      <c r="LNL2997" s="462"/>
      <c r="LNM2997" s="299"/>
      <c r="LNN2997" s="81"/>
      <c r="LNO2997" s="160"/>
      <c r="LNP2997" s="559"/>
      <c r="LNQ2997" s="125"/>
      <c r="LNR2997" s="470"/>
      <c r="LNS2997" s="449"/>
      <c r="LNT2997" s="462"/>
      <c r="LNU2997" s="299"/>
      <c r="LNV2997" s="81"/>
      <c r="LNW2997" s="160"/>
      <c r="LNX2997" s="559"/>
      <c r="LNY2997" s="125"/>
      <c r="LNZ2997" s="470"/>
      <c r="LOA2997" s="449"/>
      <c r="LOB2997" s="462"/>
      <c r="LOC2997" s="299"/>
      <c r="LOD2997" s="81"/>
      <c r="LOE2997" s="160"/>
      <c r="LOF2997" s="559"/>
      <c r="LOG2997" s="125"/>
      <c r="LOH2997" s="470"/>
      <c r="LOI2997" s="449"/>
      <c r="LOJ2997" s="462"/>
      <c r="LOK2997" s="299"/>
      <c r="LOL2997" s="81"/>
      <c r="LOM2997" s="160"/>
      <c r="LON2997" s="559"/>
      <c r="LOO2997" s="125"/>
      <c r="LOP2997" s="470"/>
      <c r="LOQ2997" s="449"/>
      <c r="LOR2997" s="462"/>
      <c r="LOS2997" s="299"/>
      <c r="LOT2997" s="81"/>
      <c r="LOU2997" s="160"/>
      <c r="LOV2997" s="559"/>
      <c r="LOW2997" s="125"/>
      <c r="LOX2997" s="470"/>
      <c r="LOY2997" s="449"/>
      <c r="LOZ2997" s="462"/>
      <c r="LPA2997" s="299"/>
      <c r="LPB2997" s="81"/>
      <c r="LPC2997" s="160"/>
      <c r="LPD2997" s="559"/>
      <c r="LPE2997" s="125"/>
      <c r="LPF2997" s="470"/>
      <c r="LPG2997" s="449"/>
      <c r="LPH2997" s="462"/>
      <c r="LPI2997" s="299"/>
      <c r="LPJ2997" s="81"/>
      <c r="LPK2997" s="160"/>
      <c r="LPL2997" s="559"/>
      <c r="LPM2997" s="125"/>
      <c r="LPN2997" s="470"/>
      <c r="LPO2997" s="449"/>
      <c r="LPP2997" s="462"/>
      <c r="LPQ2997" s="299"/>
      <c r="LPR2997" s="81"/>
      <c r="LPS2997" s="160"/>
      <c r="LPT2997" s="559"/>
      <c r="LPU2997" s="125"/>
      <c r="LPV2997" s="470"/>
      <c r="LPW2997" s="449"/>
      <c r="LPX2997" s="462"/>
      <c r="LPY2997" s="299"/>
      <c r="LPZ2997" s="81"/>
      <c r="LQA2997" s="160"/>
      <c r="LQB2997" s="559"/>
      <c r="LQC2997" s="125"/>
      <c r="LQD2997" s="470"/>
      <c r="LQE2997" s="449"/>
      <c r="LQF2997" s="462"/>
      <c r="LQG2997" s="299"/>
      <c r="LQH2997" s="81"/>
      <c r="LQI2997" s="160"/>
      <c r="LQJ2997" s="559"/>
      <c r="LQK2997" s="125"/>
      <c r="LQL2997" s="470"/>
      <c r="LQM2997" s="449"/>
      <c r="LQN2997" s="462"/>
      <c r="LQO2997" s="299"/>
      <c r="LQP2997" s="81"/>
      <c r="LQQ2997" s="160"/>
      <c r="LQR2997" s="559"/>
      <c r="LQS2997" s="125"/>
      <c r="LQT2997" s="470"/>
      <c r="LQU2997" s="449"/>
      <c r="LQV2997" s="462"/>
      <c r="LQW2997" s="299"/>
      <c r="LQX2997" s="81"/>
      <c r="LQY2997" s="160"/>
      <c r="LQZ2997" s="559"/>
      <c r="LRA2997" s="125"/>
      <c r="LRB2997" s="470"/>
      <c r="LRC2997" s="449"/>
      <c r="LRD2997" s="462"/>
      <c r="LRE2997" s="299"/>
      <c r="LRF2997" s="81"/>
      <c r="LRG2997" s="160"/>
      <c r="LRH2997" s="559"/>
      <c r="LRI2997" s="125"/>
      <c r="LRJ2997" s="470"/>
      <c r="LRK2997" s="449"/>
      <c r="LRL2997" s="462"/>
      <c r="LRM2997" s="299"/>
      <c r="LRN2997" s="81"/>
      <c r="LRO2997" s="160"/>
      <c r="LRP2997" s="559"/>
      <c r="LRQ2997" s="125"/>
      <c r="LRR2997" s="470"/>
      <c r="LRS2997" s="449"/>
      <c r="LRT2997" s="462"/>
      <c r="LRU2997" s="299"/>
      <c r="LRV2997" s="81"/>
      <c r="LRW2997" s="160"/>
      <c r="LRX2997" s="559"/>
      <c r="LRY2997" s="125"/>
      <c r="LRZ2997" s="470"/>
      <c r="LSA2997" s="449"/>
      <c r="LSB2997" s="462"/>
      <c r="LSC2997" s="299"/>
      <c r="LSD2997" s="81"/>
      <c r="LSE2997" s="160"/>
      <c r="LSF2997" s="559"/>
      <c r="LSG2997" s="125"/>
      <c r="LSH2997" s="470"/>
      <c r="LSI2997" s="449"/>
      <c r="LSJ2997" s="462"/>
      <c r="LSK2997" s="299"/>
      <c r="LSL2997" s="81"/>
      <c r="LSM2997" s="160"/>
      <c r="LSN2997" s="559"/>
      <c r="LSO2997" s="125"/>
      <c r="LSP2997" s="470"/>
      <c r="LSQ2997" s="449"/>
      <c r="LSR2997" s="462"/>
      <c r="LSS2997" s="299"/>
      <c r="LST2997" s="81"/>
      <c r="LSU2997" s="160"/>
      <c r="LSV2997" s="559"/>
      <c r="LSW2997" s="125"/>
      <c r="LSX2997" s="470"/>
      <c r="LSY2997" s="449"/>
      <c r="LSZ2997" s="462"/>
      <c r="LTA2997" s="299"/>
      <c r="LTB2997" s="81"/>
      <c r="LTC2997" s="160"/>
      <c r="LTD2997" s="559"/>
      <c r="LTE2997" s="125"/>
      <c r="LTF2997" s="470"/>
      <c r="LTG2997" s="449"/>
      <c r="LTH2997" s="462"/>
      <c r="LTI2997" s="299"/>
      <c r="LTJ2997" s="81"/>
      <c r="LTK2997" s="160"/>
      <c r="LTL2997" s="559"/>
      <c r="LTM2997" s="125"/>
      <c r="LTN2997" s="470"/>
      <c r="LTO2997" s="449"/>
      <c r="LTP2997" s="462"/>
      <c r="LTQ2997" s="299"/>
      <c r="LTR2997" s="81"/>
      <c r="LTS2997" s="160"/>
      <c r="LTT2997" s="559"/>
      <c r="LTU2997" s="125"/>
      <c r="LTV2997" s="470"/>
      <c r="LTW2997" s="449"/>
      <c r="LTX2997" s="462"/>
      <c r="LTY2997" s="299"/>
      <c r="LTZ2997" s="81"/>
      <c r="LUA2997" s="160"/>
      <c r="LUB2997" s="559"/>
      <c r="LUC2997" s="125"/>
      <c r="LUD2997" s="470"/>
      <c r="LUE2997" s="449"/>
      <c r="LUF2997" s="462"/>
      <c r="LUG2997" s="299"/>
      <c r="LUH2997" s="81"/>
      <c r="LUI2997" s="160"/>
      <c r="LUJ2997" s="559"/>
      <c r="LUK2997" s="125"/>
      <c r="LUL2997" s="470"/>
      <c r="LUM2997" s="449"/>
      <c r="LUN2997" s="462"/>
      <c r="LUO2997" s="299"/>
      <c r="LUP2997" s="81"/>
      <c r="LUQ2997" s="160"/>
      <c r="LUR2997" s="559"/>
      <c r="LUS2997" s="125"/>
      <c r="LUT2997" s="470"/>
      <c r="LUU2997" s="449"/>
      <c r="LUV2997" s="462"/>
      <c r="LUW2997" s="299"/>
      <c r="LUX2997" s="81"/>
      <c r="LUY2997" s="160"/>
      <c r="LUZ2997" s="559"/>
      <c r="LVA2997" s="125"/>
      <c r="LVB2997" s="470"/>
      <c r="LVC2997" s="449"/>
      <c r="LVD2997" s="462"/>
      <c r="LVE2997" s="299"/>
      <c r="LVF2997" s="81"/>
      <c r="LVG2997" s="160"/>
      <c r="LVH2997" s="559"/>
      <c r="LVI2997" s="125"/>
      <c r="LVJ2997" s="470"/>
      <c r="LVK2997" s="449"/>
      <c r="LVL2997" s="462"/>
      <c r="LVM2997" s="299"/>
      <c r="LVN2997" s="81"/>
      <c r="LVO2997" s="160"/>
      <c r="LVP2997" s="559"/>
      <c r="LVQ2997" s="125"/>
      <c r="LVR2997" s="470"/>
      <c r="LVS2997" s="449"/>
      <c r="LVT2997" s="462"/>
      <c r="LVU2997" s="299"/>
      <c r="LVV2997" s="81"/>
      <c r="LVW2997" s="160"/>
      <c r="LVX2997" s="559"/>
      <c r="LVY2997" s="125"/>
      <c r="LVZ2997" s="470"/>
      <c r="LWA2997" s="449"/>
      <c r="LWB2997" s="462"/>
      <c r="LWC2997" s="299"/>
      <c r="LWD2997" s="81"/>
      <c r="LWE2997" s="160"/>
      <c r="LWF2997" s="559"/>
      <c r="LWG2997" s="125"/>
      <c r="LWH2997" s="470"/>
      <c r="LWI2997" s="449"/>
      <c r="LWJ2997" s="462"/>
      <c r="LWK2997" s="299"/>
      <c r="LWL2997" s="81"/>
      <c r="LWM2997" s="160"/>
      <c r="LWN2997" s="559"/>
      <c r="LWO2997" s="125"/>
      <c r="LWP2997" s="470"/>
      <c r="LWQ2997" s="449"/>
      <c r="LWR2997" s="462"/>
      <c r="LWS2997" s="299"/>
      <c r="LWT2997" s="81"/>
      <c r="LWU2997" s="160"/>
      <c r="LWV2997" s="559"/>
      <c r="LWW2997" s="125"/>
      <c r="LWX2997" s="470"/>
      <c r="LWY2997" s="449"/>
      <c r="LWZ2997" s="462"/>
      <c r="LXA2997" s="299"/>
      <c r="LXB2997" s="81"/>
      <c r="LXC2997" s="160"/>
      <c r="LXD2997" s="559"/>
      <c r="LXE2997" s="125"/>
      <c r="LXF2997" s="470"/>
      <c r="LXG2997" s="449"/>
      <c r="LXH2997" s="462"/>
      <c r="LXI2997" s="299"/>
      <c r="LXJ2997" s="81"/>
      <c r="LXK2997" s="160"/>
      <c r="LXL2997" s="559"/>
      <c r="LXM2997" s="125"/>
      <c r="LXN2997" s="470"/>
      <c r="LXO2997" s="449"/>
      <c r="LXP2997" s="462"/>
      <c r="LXQ2997" s="299"/>
      <c r="LXR2997" s="81"/>
      <c r="LXS2997" s="160"/>
      <c r="LXT2997" s="559"/>
      <c r="LXU2997" s="125"/>
      <c r="LXV2997" s="470"/>
      <c r="LXW2997" s="449"/>
      <c r="LXX2997" s="462"/>
      <c r="LXY2997" s="299"/>
      <c r="LXZ2997" s="81"/>
      <c r="LYA2997" s="160"/>
      <c r="LYB2997" s="559"/>
      <c r="LYC2997" s="125"/>
      <c r="LYD2997" s="470"/>
      <c r="LYE2997" s="449"/>
      <c r="LYF2997" s="462"/>
      <c r="LYG2997" s="299"/>
      <c r="LYH2997" s="81"/>
      <c r="LYI2997" s="160"/>
      <c r="LYJ2997" s="559"/>
      <c r="LYK2997" s="125"/>
      <c r="LYL2997" s="470"/>
      <c r="LYM2997" s="449"/>
      <c r="LYN2997" s="462"/>
      <c r="LYO2997" s="299"/>
      <c r="LYP2997" s="81"/>
      <c r="LYQ2997" s="160"/>
      <c r="LYR2997" s="559"/>
      <c r="LYS2997" s="125"/>
      <c r="LYT2997" s="470"/>
      <c r="LYU2997" s="449"/>
      <c r="LYV2997" s="462"/>
      <c r="LYW2997" s="299"/>
      <c r="LYX2997" s="81"/>
      <c r="LYY2997" s="160"/>
      <c r="LYZ2997" s="559"/>
      <c r="LZA2997" s="125"/>
      <c r="LZB2997" s="470"/>
      <c r="LZC2997" s="449"/>
      <c r="LZD2997" s="462"/>
      <c r="LZE2997" s="299"/>
      <c r="LZF2997" s="81"/>
      <c r="LZG2997" s="160"/>
      <c r="LZH2997" s="559"/>
      <c r="LZI2997" s="125"/>
      <c r="LZJ2997" s="470"/>
      <c r="LZK2997" s="449"/>
      <c r="LZL2997" s="462"/>
      <c r="LZM2997" s="299"/>
      <c r="LZN2997" s="81"/>
      <c r="LZO2997" s="160"/>
      <c r="LZP2997" s="559"/>
      <c r="LZQ2997" s="125"/>
      <c r="LZR2997" s="470"/>
      <c r="LZS2997" s="449"/>
      <c r="LZT2997" s="462"/>
      <c r="LZU2997" s="299"/>
      <c r="LZV2997" s="81"/>
      <c r="LZW2997" s="160"/>
      <c r="LZX2997" s="559"/>
      <c r="LZY2997" s="125"/>
      <c r="LZZ2997" s="470"/>
      <c r="MAA2997" s="449"/>
      <c r="MAB2997" s="462"/>
      <c r="MAC2997" s="299"/>
      <c r="MAD2997" s="81"/>
      <c r="MAE2997" s="160"/>
      <c r="MAF2997" s="559"/>
      <c r="MAG2997" s="125"/>
      <c r="MAH2997" s="470"/>
      <c r="MAI2997" s="449"/>
      <c r="MAJ2997" s="462"/>
      <c r="MAK2997" s="299"/>
      <c r="MAL2997" s="81"/>
      <c r="MAM2997" s="160"/>
      <c r="MAN2997" s="559"/>
      <c r="MAO2997" s="125"/>
      <c r="MAP2997" s="470"/>
      <c r="MAQ2997" s="449"/>
      <c r="MAR2997" s="462"/>
      <c r="MAS2997" s="299"/>
      <c r="MAT2997" s="81"/>
      <c r="MAU2997" s="160"/>
      <c r="MAV2997" s="559"/>
      <c r="MAW2997" s="125"/>
      <c r="MAX2997" s="470"/>
      <c r="MAY2997" s="449"/>
      <c r="MAZ2997" s="462"/>
      <c r="MBA2997" s="299"/>
      <c r="MBB2997" s="81"/>
      <c r="MBC2997" s="160"/>
      <c r="MBD2997" s="559"/>
      <c r="MBE2997" s="125"/>
      <c r="MBF2997" s="470"/>
      <c r="MBG2997" s="449"/>
      <c r="MBH2997" s="462"/>
      <c r="MBI2997" s="299"/>
      <c r="MBJ2997" s="81"/>
      <c r="MBK2997" s="160"/>
      <c r="MBL2997" s="559"/>
      <c r="MBM2997" s="125"/>
      <c r="MBN2997" s="470"/>
      <c r="MBO2997" s="449"/>
      <c r="MBP2997" s="462"/>
      <c r="MBQ2997" s="299"/>
      <c r="MBR2997" s="81"/>
      <c r="MBS2997" s="160"/>
      <c r="MBT2997" s="559"/>
      <c r="MBU2997" s="125"/>
      <c r="MBV2997" s="470"/>
      <c r="MBW2997" s="449"/>
      <c r="MBX2997" s="462"/>
      <c r="MBY2997" s="299"/>
      <c r="MBZ2997" s="81"/>
      <c r="MCA2997" s="160"/>
      <c r="MCB2997" s="559"/>
      <c r="MCC2997" s="125"/>
      <c r="MCD2997" s="470"/>
      <c r="MCE2997" s="449"/>
      <c r="MCF2997" s="462"/>
      <c r="MCG2997" s="299"/>
      <c r="MCH2997" s="81"/>
      <c r="MCI2997" s="160"/>
      <c r="MCJ2997" s="559"/>
      <c r="MCK2997" s="125"/>
      <c r="MCL2997" s="470"/>
      <c r="MCM2997" s="449"/>
      <c r="MCN2997" s="462"/>
      <c r="MCO2997" s="299"/>
      <c r="MCP2997" s="81"/>
      <c r="MCQ2997" s="160"/>
      <c r="MCR2997" s="559"/>
      <c r="MCS2997" s="125"/>
      <c r="MCT2997" s="470"/>
      <c r="MCU2997" s="449"/>
      <c r="MCV2997" s="462"/>
      <c r="MCW2997" s="299"/>
      <c r="MCX2997" s="81"/>
      <c r="MCY2997" s="160"/>
      <c r="MCZ2997" s="559"/>
      <c r="MDA2997" s="125"/>
      <c r="MDB2997" s="470"/>
      <c r="MDC2997" s="449"/>
      <c r="MDD2997" s="462"/>
      <c r="MDE2997" s="299"/>
      <c r="MDF2997" s="81"/>
      <c r="MDG2997" s="160"/>
      <c r="MDH2997" s="559"/>
      <c r="MDI2997" s="125"/>
      <c r="MDJ2997" s="470"/>
      <c r="MDK2997" s="449"/>
      <c r="MDL2997" s="462"/>
      <c r="MDM2997" s="299"/>
      <c r="MDN2997" s="81"/>
      <c r="MDO2997" s="160"/>
      <c r="MDP2997" s="559"/>
      <c r="MDQ2997" s="125"/>
      <c r="MDR2997" s="470"/>
      <c r="MDS2997" s="449"/>
      <c r="MDT2997" s="462"/>
      <c r="MDU2997" s="299"/>
      <c r="MDV2997" s="81"/>
      <c r="MDW2997" s="160"/>
      <c r="MDX2997" s="559"/>
      <c r="MDY2997" s="125"/>
      <c r="MDZ2997" s="470"/>
      <c r="MEA2997" s="449"/>
      <c r="MEB2997" s="462"/>
      <c r="MEC2997" s="299"/>
      <c r="MED2997" s="81"/>
      <c r="MEE2997" s="160"/>
      <c r="MEF2997" s="559"/>
      <c r="MEG2997" s="125"/>
      <c r="MEH2997" s="470"/>
      <c r="MEI2997" s="449"/>
      <c r="MEJ2997" s="462"/>
      <c r="MEK2997" s="299"/>
      <c r="MEL2997" s="81"/>
      <c r="MEM2997" s="160"/>
      <c r="MEN2997" s="559"/>
      <c r="MEO2997" s="125"/>
      <c r="MEP2997" s="470"/>
      <c r="MEQ2997" s="449"/>
      <c r="MER2997" s="462"/>
      <c r="MES2997" s="299"/>
      <c r="MET2997" s="81"/>
      <c r="MEU2997" s="160"/>
      <c r="MEV2997" s="559"/>
      <c r="MEW2997" s="125"/>
      <c r="MEX2997" s="470"/>
      <c r="MEY2997" s="449"/>
      <c r="MEZ2997" s="462"/>
      <c r="MFA2997" s="299"/>
      <c r="MFB2997" s="81"/>
      <c r="MFC2997" s="160"/>
      <c r="MFD2997" s="559"/>
      <c r="MFE2997" s="125"/>
      <c r="MFF2997" s="470"/>
      <c r="MFG2997" s="449"/>
      <c r="MFH2997" s="462"/>
      <c r="MFI2997" s="299"/>
      <c r="MFJ2997" s="81"/>
      <c r="MFK2997" s="160"/>
      <c r="MFL2997" s="559"/>
      <c r="MFM2997" s="125"/>
      <c r="MFN2997" s="470"/>
      <c r="MFO2997" s="449"/>
      <c r="MFP2997" s="462"/>
      <c r="MFQ2997" s="299"/>
      <c r="MFR2997" s="81"/>
      <c r="MFS2997" s="160"/>
      <c r="MFT2997" s="559"/>
      <c r="MFU2997" s="125"/>
      <c r="MFV2997" s="470"/>
      <c r="MFW2997" s="449"/>
      <c r="MFX2997" s="462"/>
      <c r="MFY2997" s="299"/>
      <c r="MFZ2997" s="81"/>
      <c r="MGA2997" s="160"/>
      <c r="MGB2997" s="559"/>
      <c r="MGC2997" s="125"/>
      <c r="MGD2997" s="470"/>
      <c r="MGE2997" s="449"/>
      <c r="MGF2997" s="462"/>
      <c r="MGG2997" s="299"/>
      <c r="MGH2997" s="81"/>
      <c r="MGI2997" s="160"/>
      <c r="MGJ2997" s="559"/>
      <c r="MGK2997" s="125"/>
      <c r="MGL2997" s="470"/>
      <c r="MGM2997" s="449"/>
      <c r="MGN2997" s="462"/>
      <c r="MGO2997" s="299"/>
      <c r="MGP2997" s="81"/>
      <c r="MGQ2997" s="160"/>
      <c r="MGR2997" s="559"/>
      <c r="MGS2997" s="125"/>
      <c r="MGT2997" s="470"/>
      <c r="MGU2997" s="449"/>
      <c r="MGV2997" s="462"/>
      <c r="MGW2997" s="299"/>
      <c r="MGX2997" s="81"/>
      <c r="MGY2997" s="160"/>
      <c r="MGZ2997" s="559"/>
      <c r="MHA2997" s="125"/>
      <c r="MHB2997" s="470"/>
      <c r="MHC2997" s="449"/>
      <c r="MHD2997" s="462"/>
      <c r="MHE2997" s="299"/>
      <c r="MHF2997" s="81"/>
      <c r="MHG2997" s="160"/>
      <c r="MHH2997" s="559"/>
      <c r="MHI2997" s="125"/>
      <c r="MHJ2997" s="470"/>
      <c r="MHK2997" s="449"/>
      <c r="MHL2997" s="462"/>
      <c r="MHM2997" s="299"/>
      <c r="MHN2997" s="81"/>
      <c r="MHO2997" s="160"/>
      <c r="MHP2997" s="559"/>
      <c r="MHQ2997" s="125"/>
      <c r="MHR2997" s="470"/>
      <c r="MHS2997" s="449"/>
      <c r="MHT2997" s="462"/>
      <c r="MHU2997" s="299"/>
      <c r="MHV2997" s="81"/>
      <c r="MHW2997" s="160"/>
      <c r="MHX2997" s="559"/>
      <c r="MHY2997" s="125"/>
      <c r="MHZ2997" s="470"/>
      <c r="MIA2997" s="449"/>
      <c r="MIB2997" s="462"/>
      <c r="MIC2997" s="299"/>
      <c r="MID2997" s="81"/>
      <c r="MIE2997" s="160"/>
      <c r="MIF2997" s="559"/>
      <c r="MIG2997" s="125"/>
      <c r="MIH2997" s="470"/>
      <c r="MII2997" s="449"/>
      <c r="MIJ2997" s="462"/>
      <c r="MIK2997" s="299"/>
      <c r="MIL2997" s="81"/>
      <c r="MIM2997" s="160"/>
      <c r="MIN2997" s="559"/>
      <c r="MIO2997" s="125"/>
      <c r="MIP2997" s="470"/>
      <c r="MIQ2997" s="449"/>
      <c r="MIR2997" s="462"/>
      <c r="MIS2997" s="299"/>
      <c r="MIT2997" s="81"/>
      <c r="MIU2997" s="160"/>
      <c r="MIV2997" s="559"/>
      <c r="MIW2997" s="125"/>
      <c r="MIX2997" s="470"/>
      <c r="MIY2997" s="449"/>
      <c r="MIZ2997" s="462"/>
      <c r="MJA2997" s="299"/>
      <c r="MJB2997" s="81"/>
      <c r="MJC2997" s="160"/>
      <c r="MJD2997" s="559"/>
      <c r="MJE2997" s="125"/>
      <c r="MJF2997" s="470"/>
      <c r="MJG2997" s="449"/>
      <c r="MJH2997" s="462"/>
      <c r="MJI2997" s="299"/>
      <c r="MJJ2997" s="81"/>
      <c r="MJK2997" s="160"/>
      <c r="MJL2997" s="559"/>
      <c r="MJM2997" s="125"/>
      <c r="MJN2997" s="470"/>
      <c r="MJO2997" s="449"/>
      <c r="MJP2997" s="462"/>
      <c r="MJQ2997" s="299"/>
      <c r="MJR2997" s="81"/>
      <c r="MJS2997" s="160"/>
      <c r="MJT2997" s="559"/>
      <c r="MJU2997" s="125"/>
      <c r="MJV2997" s="470"/>
      <c r="MJW2997" s="449"/>
      <c r="MJX2997" s="462"/>
      <c r="MJY2997" s="299"/>
      <c r="MJZ2997" s="81"/>
      <c r="MKA2997" s="160"/>
      <c r="MKB2997" s="559"/>
      <c r="MKC2997" s="125"/>
      <c r="MKD2997" s="470"/>
      <c r="MKE2997" s="449"/>
      <c r="MKF2997" s="462"/>
      <c r="MKG2997" s="299"/>
      <c r="MKH2997" s="81"/>
      <c r="MKI2997" s="160"/>
      <c r="MKJ2997" s="559"/>
      <c r="MKK2997" s="125"/>
      <c r="MKL2997" s="470"/>
      <c r="MKM2997" s="449"/>
      <c r="MKN2997" s="462"/>
      <c r="MKO2997" s="299"/>
      <c r="MKP2997" s="81"/>
      <c r="MKQ2997" s="160"/>
      <c r="MKR2997" s="559"/>
      <c r="MKS2997" s="125"/>
      <c r="MKT2997" s="470"/>
      <c r="MKU2997" s="449"/>
      <c r="MKV2997" s="462"/>
      <c r="MKW2997" s="299"/>
      <c r="MKX2997" s="81"/>
      <c r="MKY2997" s="160"/>
      <c r="MKZ2997" s="559"/>
      <c r="MLA2997" s="125"/>
      <c r="MLB2997" s="470"/>
      <c r="MLC2997" s="449"/>
      <c r="MLD2997" s="462"/>
      <c r="MLE2997" s="299"/>
      <c r="MLF2997" s="81"/>
      <c r="MLG2997" s="160"/>
      <c r="MLH2997" s="559"/>
      <c r="MLI2997" s="125"/>
      <c r="MLJ2997" s="470"/>
      <c r="MLK2997" s="449"/>
      <c r="MLL2997" s="462"/>
      <c r="MLM2997" s="299"/>
      <c r="MLN2997" s="81"/>
      <c r="MLO2997" s="160"/>
      <c r="MLP2997" s="559"/>
      <c r="MLQ2997" s="125"/>
      <c r="MLR2997" s="470"/>
      <c r="MLS2997" s="449"/>
      <c r="MLT2997" s="462"/>
      <c r="MLU2997" s="299"/>
      <c r="MLV2997" s="81"/>
      <c r="MLW2997" s="160"/>
      <c r="MLX2997" s="559"/>
      <c r="MLY2997" s="125"/>
      <c r="MLZ2997" s="470"/>
      <c r="MMA2997" s="449"/>
      <c r="MMB2997" s="462"/>
      <c r="MMC2997" s="299"/>
      <c r="MMD2997" s="81"/>
      <c r="MME2997" s="160"/>
      <c r="MMF2997" s="559"/>
      <c r="MMG2997" s="125"/>
      <c r="MMH2997" s="470"/>
      <c r="MMI2997" s="449"/>
      <c r="MMJ2997" s="462"/>
      <c r="MMK2997" s="299"/>
      <c r="MML2997" s="81"/>
      <c r="MMM2997" s="160"/>
      <c r="MMN2997" s="559"/>
      <c r="MMO2997" s="125"/>
      <c r="MMP2997" s="470"/>
      <c r="MMQ2997" s="449"/>
      <c r="MMR2997" s="462"/>
      <c r="MMS2997" s="299"/>
      <c r="MMT2997" s="81"/>
      <c r="MMU2997" s="160"/>
      <c r="MMV2997" s="559"/>
      <c r="MMW2997" s="125"/>
      <c r="MMX2997" s="470"/>
      <c r="MMY2997" s="449"/>
      <c r="MMZ2997" s="462"/>
      <c r="MNA2997" s="299"/>
      <c r="MNB2997" s="81"/>
      <c r="MNC2997" s="160"/>
      <c r="MND2997" s="559"/>
      <c r="MNE2997" s="125"/>
      <c r="MNF2997" s="470"/>
      <c r="MNG2997" s="449"/>
      <c r="MNH2997" s="462"/>
      <c r="MNI2997" s="299"/>
      <c r="MNJ2997" s="81"/>
      <c r="MNK2997" s="160"/>
      <c r="MNL2997" s="559"/>
      <c r="MNM2997" s="125"/>
      <c r="MNN2997" s="470"/>
      <c r="MNO2997" s="449"/>
      <c r="MNP2997" s="462"/>
      <c r="MNQ2997" s="299"/>
      <c r="MNR2997" s="81"/>
      <c r="MNS2997" s="160"/>
      <c r="MNT2997" s="559"/>
      <c r="MNU2997" s="125"/>
      <c r="MNV2997" s="470"/>
      <c r="MNW2997" s="449"/>
      <c r="MNX2997" s="462"/>
      <c r="MNY2997" s="299"/>
      <c r="MNZ2997" s="81"/>
      <c r="MOA2997" s="160"/>
      <c r="MOB2997" s="559"/>
      <c r="MOC2997" s="125"/>
      <c r="MOD2997" s="470"/>
      <c r="MOE2997" s="449"/>
      <c r="MOF2997" s="462"/>
      <c r="MOG2997" s="299"/>
      <c r="MOH2997" s="81"/>
      <c r="MOI2997" s="160"/>
      <c r="MOJ2997" s="559"/>
      <c r="MOK2997" s="125"/>
      <c r="MOL2997" s="470"/>
      <c r="MOM2997" s="449"/>
      <c r="MON2997" s="462"/>
      <c r="MOO2997" s="299"/>
      <c r="MOP2997" s="81"/>
      <c r="MOQ2997" s="160"/>
      <c r="MOR2997" s="559"/>
      <c r="MOS2997" s="125"/>
      <c r="MOT2997" s="470"/>
      <c r="MOU2997" s="449"/>
      <c r="MOV2997" s="462"/>
      <c r="MOW2997" s="299"/>
      <c r="MOX2997" s="81"/>
      <c r="MOY2997" s="160"/>
      <c r="MOZ2997" s="559"/>
      <c r="MPA2997" s="125"/>
      <c r="MPB2997" s="470"/>
      <c r="MPC2997" s="449"/>
      <c r="MPD2997" s="462"/>
      <c r="MPE2997" s="299"/>
      <c r="MPF2997" s="81"/>
      <c r="MPG2997" s="160"/>
      <c r="MPH2997" s="559"/>
      <c r="MPI2997" s="125"/>
      <c r="MPJ2997" s="470"/>
      <c r="MPK2997" s="449"/>
      <c r="MPL2997" s="462"/>
      <c r="MPM2997" s="299"/>
      <c r="MPN2997" s="81"/>
      <c r="MPO2997" s="160"/>
      <c r="MPP2997" s="559"/>
      <c r="MPQ2997" s="125"/>
      <c r="MPR2997" s="470"/>
      <c r="MPS2997" s="449"/>
      <c r="MPT2997" s="462"/>
      <c r="MPU2997" s="299"/>
      <c r="MPV2997" s="81"/>
      <c r="MPW2997" s="160"/>
      <c r="MPX2997" s="559"/>
      <c r="MPY2997" s="125"/>
      <c r="MPZ2997" s="470"/>
      <c r="MQA2997" s="449"/>
      <c r="MQB2997" s="462"/>
      <c r="MQC2997" s="299"/>
      <c r="MQD2997" s="81"/>
      <c r="MQE2997" s="160"/>
      <c r="MQF2997" s="559"/>
      <c r="MQG2997" s="125"/>
      <c r="MQH2997" s="470"/>
      <c r="MQI2997" s="449"/>
      <c r="MQJ2997" s="462"/>
      <c r="MQK2997" s="299"/>
      <c r="MQL2997" s="81"/>
      <c r="MQM2997" s="160"/>
      <c r="MQN2997" s="559"/>
      <c r="MQO2997" s="125"/>
      <c r="MQP2997" s="470"/>
      <c r="MQQ2997" s="449"/>
      <c r="MQR2997" s="462"/>
      <c r="MQS2997" s="299"/>
      <c r="MQT2997" s="81"/>
      <c r="MQU2997" s="160"/>
      <c r="MQV2997" s="559"/>
      <c r="MQW2997" s="125"/>
      <c r="MQX2997" s="470"/>
      <c r="MQY2997" s="449"/>
      <c r="MQZ2997" s="462"/>
      <c r="MRA2997" s="299"/>
      <c r="MRB2997" s="81"/>
      <c r="MRC2997" s="160"/>
      <c r="MRD2997" s="559"/>
      <c r="MRE2997" s="125"/>
      <c r="MRF2997" s="470"/>
      <c r="MRG2997" s="449"/>
      <c r="MRH2997" s="462"/>
      <c r="MRI2997" s="299"/>
      <c r="MRJ2997" s="81"/>
      <c r="MRK2997" s="160"/>
      <c r="MRL2997" s="559"/>
      <c r="MRM2997" s="125"/>
      <c r="MRN2997" s="470"/>
      <c r="MRO2997" s="449"/>
      <c r="MRP2997" s="462"/>
      <c r="MRQ2997" s="299"/>
      <c r="MRR2997" s="81"/>
      <c r="MRS2997" s="160"/>
      <c r="MRT2997" s="559"/>
      <c r="MRU2997" s="125"/>
      <c r="MRV2997" s="470"/>
      <c r="MRW2997" s="449"/>
      <c r="MRX2997" s="462"/>
      <c r="MRY2997" s="299"/>
      <c r="MRZ2997" s="81"/>
      <c r="MSA2997" s="160"/>
      <c r="MSB2997" s="559"/>
      <c r="MSC2997" s="125"/>
      <c r="MSD2997" s="470"/>
      <c r="MSE2997" s="449"/>
      <c r="MSF2997" s="462"/>
      <c r="MSG2997" s="299"/>
      <c r="MSH2997" s="81"/>
      <c r="MSI2997" s="160"/>
      <c r="MSJ2997" s="559"/>
      <c r="MSK2997" s="125"/>
      <c r="MSL2997" s="470"/>
      <c r="MSM2997" s="449"/>
      <c r="MSN2997" s="462"/>
      <c r="MSO2997" s="299"/>
      <c r="MSP2997" s="81"/>
      <c r="MSQ2997" s="160"/>
      <c r="MSR2997" s="559"/>
      <c r="MSS2997" s="125"/>
      <c r="MST2997" s="470"/>
      <c r="MSU2997" s="449"/>
      <c r="MSV2997" s="462"/>
      <c r="MSW2997" s="299"/>
      <c r="MSX2997" s="81"/>
      <c r="MSY2997" s="160"/>
      <c r="MSZ2997" s="559"/>
      <c r="MTA2997" s="125"/>
      <c r="MTB2997" s="470"/>
      <c r="MTC2997" s="449"/>
      <c r="MTD2997" s="462"/>
      <c r="MTE2997" s="299"/>
      <c r="MTF2997" s="81"/>
      <c r="MTG2997" s="160"/>
      <c r="MTH2997" s="559"/>
      <c r="MTI2997" s="125"/>
      <c r="MTJ2997" s="470"/>
      <c r="MTK2997" s="449"/>
      <c r="MTL2997" s="462"/>
      <c r="MTM2997" s="299"/>
      <c r="MTN2997" s="81"/>
      <c r="MTO2997" s="160"/>
      <c r="MTP2997" s="559"/>
      <c r="MTQ2997" s="125"/>
      <c r="MTR2997" s="470"/>
      <c r="MTS2997" s="449"/>
      <c r="MTT2997" s="462"/>
      <c r="MTU2997" s="299"/>
      <c r="MTV2997" s="81"/>
      <c r="MTW2997" s="160"/>
      <c r="MTX2997" s="559"/>
      <c r="MTY2997" s="125"/>
      <c r="MTZ2997" s="470"/>
      <c r="MUA2997" s="449"/>
      <c r="MUB2997" s="462"/>
      <c r="MUC2997" s="299"/>
      <c r="MUD2997" s="81"/>
      <c r="MUE2997" s="160"/>
      <c r="MUF2997" s="559"/>
      <c r="MUG2997" s="125"/>
      <c r="MUH2997" s="470"/>
      <c r="MUI2997" s="449"/>
      <c r="MUJ2997" s="462"/>
      <c r="MUK2997" s="299"/>
      <c r="MUL2997" s="81"/>
      <c r="MUM2997" s="160"/>
      <c r="MUN2997" s="559"/>
      <c r="MUO2997" s="125"/>
      <c r="MUP2997" s="470"/>
      <c r="MUQ2997" s="449"/>
      <c r="MUR2997" s="462"/>
      <c r="MUS2997" s="299"/>
      <c r="MUT2997" s="81"/>
      <c r="MUU2997" s="160"/>
      <c r="MUV2997" s="559"/>
      <c r="MUW2997" s="125"/>
      <c r="MUX2997" s="470"/>
      <c r="MUY2997" s="449"/>
      <c r="MUZ2997" s="462"/>
      <c r="MVA2997" s="299"/>
      <c r="MVB2997" s="81"/>
      <c r="MVC2997" s="160"/>
      <c r="MVD2997" s="559"/>
      <c r="MVE2997" s="125"/>
      <c r="MVF2997" s="470"/>
      <c r="MVG2997" s="449"/>
      <c r="MVH2997" s="462"/>
      <c r="MVI2997" s="299"/>
      <c r="MVJ2997" s="81"/>
      <c r="MVK2997" s="160"/>
      <c r="MVL2997" s="559"/>
      <c r="MVM2997" s="125"/>
      <c r="MVN2997" s="470"/>
      <c r="MVO2997" s="449"/>
      <c r="MVP2997" s="462"/>
      <c r="MVQ2997" s="299"/>
      <c r="MVR2997" s="81"/>
      <c r="MVS2997" s="160"/>
      <c r="MVT2997" s="559"/>
      <c r="MVU2997" s="125"/>
      <c r="MVV2997" s="470"/>
      <c r="MVW2997" s="449"/>
      <c r="MVX2997" s="462"/>
      <c r="MVY2997" s="299"/>
      <c r="MVZ2997" s="81"/>
      <c r="MWA2997" s="160"/>
      <c r="MWB2997" s="559"/>
      <c r="MWC2997" s="125"/>
      <c r="MWD2997" s="470"/>
      <c r="MWE2997" s="449"/>
      <c r="MWF2997" s="462"/>
      <c r="MWG2997" s="299"/>
      <c r="MWH2997" s="81"/>
      <c r="MWI2997" s="160"/>
      <c r="MWJ2997" s="559"/>
      <c r="MWK2997" s="125"/>
      <c r="MWL2997" s="470"/>
      <c r="MWM2997" s="449"/>
      <c r="MWN2997" s="462"/>
      <c r="MWO2997" s="299"/>
      <c r="MWP2997" s="81"/>
      <c r="MWQ2997" s="160"/>
      <c r="MWR2997" s="559"/>
      <c r="MWS2997" s="125"/>
      <c r="MWT2997" s="470"/>
      <c r="MWU2997" s="449"/>
      <c r="MWV2997" s="462"/>
      <c r="MWW2997" s="299"/>
      <c r="MWX2997" s="81"/>
      <c r="MWY2997" s="160"/>
      <c r="MWZ2997" s="559"/>
      <c r="MXA2997" s="125"/>
      <c r="MXB2997" s="470"/>
      <c r="MXC2997" s="449"/>
      <c r="MXD2997" s="462"/>
      <c r="MXE2997" s="299"/>
      <c r="MXF2997" s="81"/>
      <c r="MXG2997" s="160"/>
      <c r="MXH2997" s="559"/>
      <c r="MXI2997" s="125"/>
      <c r="MXJ2997" s="470"/>
      <c r="MXK2997" s="449"/>
      <c r="MXL2997" s="462"/>
      <c r="MXM2997" s="299"/>
      <c r="MXN2997" s="81"/>
      <c r="MXO2997" s="160"/>
      <c r="MXP2997" s="559"/>
      <c r="MXQ2997" s="125"/>
      <c r="MXR2997" s="470"/>
      <c r="MXS2997" s="449"/>
      <c r="MXT2997" s="462"/>
      <c r="MXU2997" s="299"/>
      <c r="MXV2997" s="81"/>
      <c r="MXW2997" s="160"/>
      <c r="MXX2997" s="559"/>
      <c r="MXY2997" s="125"/>
      <c r="MXZ2997" s="470"/>
      <c r="MYA2997" s="449"/>
      <c r="MYB2997" s="462"/>
      <c r="MYC2997" s="299"/>
      <c r="MYD2997" s="81"/>
      <c r="MYE2997" s="160"/>
      <c r="MYF2997" s="559"/>
      <c r="MYG2997" s="125"/>
      <c r="MYH2997" s="470"/>
      <c r="MYI2997" s="449"/>
      <c r="MYJ2997" s="462"/>
      <c r="MYK2997" s="299"/>
      <c r="MYL2997" s="81"/>
      <c r="MYM2997" s="160"/>
      <c r="MYN2997" s="559"/>
      <c r="MYO2997" s="125"/>
      <c r="MYP2997" s="470"/>
      <c r="MYQ2997" s="449"/>
      <c r="MYR2997" s="462"/>
      <c r="MYS2997" s="299"/>
      <c r="MYT2997" s="81"/>
      <c r="MYU2997" s="160"/>
      <c r="MYV2997" s="559"/>
      <c r="MYW2997" s="125"/>
      <c r="MYX2997" s="470"/>
      <c r="MYY2997" s="449"/>
      <c r="MYZ2997" s="462"/>
      <c r="MZA2997" s="299"/>
      <c r="MZB2997" s="81"/>
      <c r="MZC2997" s="160"/>
      <c r="MZD2997" s="559"/>
      <c r="MZE2997" s="125"/>
      <c r="MZF2997" s="470"/>
      <c r="MZG2997" s="449"/>
      <c r="MZH2997" s="462"/>
      <c r="MZI2997" s="299"/>
      <c r="MZJ2997" s="81"/>
      <c r="MZK2997" s="160"/>
      <c r="MZL2997" s="559"/>
      <c r="MZM2997" s="125"/>
      <c r="MZN2997" s="470"/>
      <c r="MZO2997" s="449"/>
      <c r="MZP2997" s="462"/>
      <c r="MZQ2997" s="299"/>
      <c r="MZR2997" s="81"/>
      <c r="MZS2997" s="160"/>
      <c r="MZT2997" s="559"/>
      <c r="MZU2997" s="125"/>
      <c r="MZV2997" s="470"/>
      <c r="MZW2997" s="449"/>
      <c r="MZX2997" s="462"/>
      <c r="MZY2997" s="299"/>
      <c r="MZZ2997" s="81"/>
      <c r="NAA2997" s="160"/>
      <c r="NAB2997" s="559"/>
      <c r="NAC2997" s="125"/>
      <c r="NAD2997" s="470"/>
      <c r="NAE2997" s="449"/>
      <c r="NAF2997" s="462"/>
      <c r="NAG2997" s="299"/>
      <c r="NAH2997" s="81"/>
      <c r="NAI2997" s="160"/>
      <c r="NAJ2997" s="559"/>
      <c r="NAK2997" s="125"/>
      <c r="NAL2997" s="470"/>
      <c r="NAM2997" s="449"/>
      <c r="NAN2997" s="462"/>
      <c r="NAO2997" s="299"/>
      <c r="NAP2997" s="81"/>
      <c r="NAQ2997" s="160"/>
      <c r="NAR2997" s="559"/>
      <c r="NAS2997" s="125"/>
      <c r="NAT2997" s="470"/>
      <c r="NAU2997" s="449"/>
      <c r="NAV2997" s="462"/>
      <c r="NAW2997" s="299"/>
      <c r="NAX2997" s="81"/>
      <c r="NAY2997" s="160"/>
      <c r="NAZ2997" s="559"/>
      <c r="NBA2997" s="125"/>
      <c r="NBB2997" s="470"/>
      <c r="NBC2997" s="449"/>
      <c r="NBD2997" s="462"/>
      <c r="NBE2997" s="299"/>
      <c r="NBF2997" s="81"/>
      <c r="NBG2997" s="160"/>
      <c r="NBH2997" s="559"/>
      <c r="NBI2997" s="125"/>
      <c r="NBJ2997" s="470"/>
      <c r="NBK2997" s="449"/>
      <c r="NBL2997" s="462"/>
      <c r="NBM2997" s="299"/>
      <c r="NBN2997" s="81"/>
      <c r="NBO2997" s="160"/>
      <c r="NBP2997" s="559"/>
      <c r="NBQ2997" s="125"/>
      <c r="NBR2997" s="470"/>
      <c r="NBS2997" s="449"/>
      <c r="NBT2997" s="462"/>
      <c r="NBU2997" s="299"/>
      <c r="NBV2997" s="81"/>
      <c r="NBW2997" s="160"/>
      <c r="NBX2997" s="559"/>
      <c r="NBY2997" s="125"/>
      <c r="NBZ2997" s="470"/>
      <c r="NCA2997" s="449"/>
      <c r="NCB2997" s="462"/>
      <c r="NCC2997" s="299"/>
      <c r="NCD2997" s="81"/>
      <c r="NCE2997" s="160"/>
      <c r="NCF2997" s="559"/>
      <c r="NCG2997" s="125"/>
      <c r="NCH2997" s="470"/>
      <c r="NCI2997" s="449"/>
      <c r="NCJ2997" s="462"/>
      <c r="NCK2997" s="299"/>
      <c r="NCL2997" s="81"/>
      <c r="NCM2997" s="160"/>
      <c r="NCN2997" s="559"/>
      <c r="NCO2997" s="125"/>
      <c r="NCP2997" s="470"/>
      <c r="NCQ2997" s="449"/>
      <c r="NCR2997" s="462"/>
      <c r="NCS2997" s="299"/>
      <c r="NCT2997" s="81"/>
      <c r="NCU2997" s="160"/>
      <c r="NCV2997" s="559"/>
      <c r="NCW2997" s="125"/>
      <c r="NCX2997" s="470"/>
      <c r="NCY2997" s="449"/>
      <c r="NCZ2997" s="462"/>
      <c r="NDA2997" s="299"/>
      <c r="NDB2997" s="81"/>
      <c r="NDC2997" s="160"/>
      <c r="NDD2997" s="559"/>
      <c r="NDE2997" s="125"/>
      <c r="NDF2997" s="470"/>
      <c r="NDG2997" s="449"/>
      <c r="NDH2997" s="462"/>
      <c r="NDI2997" s="299"/>
      <c r="NDJ2997" s="81"/>
      <c r="NDK2997" s="160"/>
      <c r="NDL2997" s="559"/>
      <c r="NDM2997" s="125"/>
      <c r="NDN2997" s="470"/>
      <c r="NDO2997" s="449"/>
      <c r="NDP2997" s="462"/>
      <c r="NDQ2997" s="299"/>
      <c r="NDR2997" s="81"/>
      <c r="NDS2997" s="160"/>
      <c r="NDT2997" s="559"/>
      <c r="NDU2997" s="125"/>
      <c r="NDV2997" s="470"/>
      <c r="NDW2997" s="449"/>
      <c r="NDX2997" s="462"/>
      <c r="NDY2997" s="299"/>
      <c r="NDZ2997" s="81"/>
      <c r="NEA2997" s="160"/>
      <c r="NEB2997" s="559"/>
      <c r="NEC2997" s="125"/>
      <c r="NED2997" s="470"/>
      <c r="NEE2997" s="449"/>
      <c r="NEF2997" s="462"/>
      <c r="NEG2997" s="299"/>
      <c r="NEH2997" s="81"/>
      <c r="NEI2997" s="160"/>
      <c r="NEJ2997" s="559"/>
      <c r="NEK2997" s="125"/>
      <c r="NEL2997" s="470"/>
      <c r="NEM2997" s="449"/>
      <c r="NEN2997" s="462"/>
      <c r="NEO2997" s="299"/>
      <c r="NEP2997" s="81"/>
      <c r="NEQ2997" s="160"/>
      <c r="NER2997" s="559"/>
      <c r="NES2997" s="125"/>
      <c r="NET2997" s="470"/>
      <c r="NEU2997" s="449"/>
      <c r="NEV2997" s="462"/>
      <c r="NEW2997" s="299"/>
      <c r="NEX2997" s="81"/>
      <c r="NEY2997" s="160"/>
      <c r="NEZ2997" s="559"/>
      <c r="NFA2997" s="125"/>
      <c r="NFB2997" s="470"/>
      <c r="NFC2997" s="449"/>
      <c r="NFD2997" s="462"/>
      <c r="NFE2997" s="299"/>
      <c r="NFF2997" s="81"/>
      <c r="NFG2997" s="160"/>
      <c r="NFH2997" s="559"/>
      <c r="NFI2997" s="125"/>
      <c r="NFJ2997" s="470"/>
      <c r="NFK2997" s="449"/>
      <c r="NFL2997" s="462"/>
      <c r="NFM2997" s="299"/>
      <c r="NFN2997" s="81"/>
      <c r="NFO2997" s="160"/>
      <c r="NFP2997" s="559"/>
      <c r="NFQ2997" s="125"/>
      <c r="NFR2997" s="470"/>
      <c r="NFS2997" s="449"/>
      <c r="NFT2997" s="462"/>
      <c r="NFU2997" s="299"/>
      <c r="NFV2997" s="81"/>
      <c r="NFW2997" s="160"/>
      <c r="NFX2997" s="559"/>
      <c r="NFY2997" s="125"/>
      <c r="NFZ2997" s="470"/>
      <c r="NGA2997" s="449"/>
      <c r="NGB2997" s="462"/>
      <c r="NGC2997" s="299"/>
      <c r="NGD2997" s="81"/>
      <c r="NGE2997" s="160"/>
      <c r="NGF2997" s="559"/>
      <c r="NGG2997" s="125"/>
      <c r="NGH2997" s="470"/>
      <c r="NGI2997" s="449"/>
      <c r="NGJ2997" s="462"/>
      <c r="NGK2997" s="299"/>
      <c r="NGL2997" s="81"/>
      <c r="NGM2997" s="160"/>
      <c r="NGN2997" s="559"/>
      <c r="NGO2997" s="125"/>
      <c r="NGP2997" s="470"/>
      <c r="NGQ2997" s="449"/>
      <c r="NGR2997" s="462"/>
      <c r="NGS2997" s="299"/>
      <c r="NGT2997" s="81"/>
      <c r="NGU2997" s="160"/>
      <c r="NGV2997" s="559"/>
      <c r="NGW2997" s="125"/>
      <c r="NGX2997" s="470"/>
      <c r="NGY2997" s="449"/>
      <c r="NGZ2997" s="462"/>
      <c r="NHA2997" s="299"/>
      <c r="NHB2997" s="81"/>
      <c r="NHC2997" s="160"/>
      <c r="NHD2997" s="559"/>
      <c r="NHE2997" s="125"/>
      <c r="NHF2997" s="470"/>
      <c r="NHG2997" s="449"/>
      <c r="NHH2997" s="462"/>
      <c r="NHI2997" s="299"/>
      <c r="NHJ2997" s="81"/>
      <c r="NHK2997" s="160"/>
      <c r="NHL2997" s="559"/>
      <c r="NHM2997" s="125"/>
      <c r="NHN2997" s="470"/>
      <c r="NHO2997" s="449"/>
      <c r="NHP2997" s="462"/>
      <c r="NHQ2997" s="299"/>
      <c r="NHR2997" s="81"/>
      <c r="NHS2997" s="160"/>
      <c r="NHT2997" s="559"/>
      <c r="NHU2997" s="125"/>
      <c r="NHV2997" s="470"/>
      <c r="NHW2997" s="449"/>
      <c r="NHX2997" s="462"/>
      <c r="NHY2997" s="299"/>
      <c r="NHZ2997" s="81"/>
      <c r="NIA2997" s="160"/>
      <c r="NIB2997" s="559"/>
      <c r="NIC2997" s="125"/>
      <c r="NID2997" s="470"/>
      <c r="NIE2997" s="449"/>
      <c r="NIF2997" s="462"/>
      <c r="NIG2997" s="299"/>
      <c r="NIH2997" s="81"/>
      <c r="NII2997" s="160"/>
      <c r="NIJ2997" s="559"/>
      <c r="NIK2997" s="125"/>
      <c r="NIL2997" s="470"/>
      <c r="NIM2997" s="449"/>
      <c r="NIN2997" s="462"/>
      <c r="NIO2997" s="299"/>
      <c r="NIP2997" s="81"/>
      <c r="NIQ2997" s="160"/>
      <c r="NIR2997" s="559"/>
      <c r="NIS2997" s="125"/>
      <c r="NIT2997" s="470"/>
      <c r="NIU2997" s="449"/>
      <c r="NIV2997" s="462"/>
      <c r="NIW2997" s="299"/>
      <c r="NIX2997" s="81"/>
      <c r="NIY2997" s="160"/>
      <c r="NIZ2997" s="559"/>
      <c r="NJA2997" s="125"/>
      <c r="NJB2997" s="470"/>
      <c r="NJC2997" s="449"/>
      <c r="NJD2997" s="462"/>
      <c r="NJE2997" s="299"/>
      <c r="NJF2997" s="81"/>
      <c r="NJG2997" s="160"/>
      <c r="NJH2997" s="559"/>
      <c r="NJI2997" s="125"/>
      <c r="NJJ2997" s="470"/>
      <c r="NJK2997" s="449"/>
      <c r="NJL2997" s="462"/>
      <c r="NJM2997" s="299"/>
      <c r="NJN2997" s="81"/>
      <c r="NJO2997" s="160"/>
      <c r="NJP2997" s="559"/>
      <c r="NJQ2997" s="125"/>
      <c r="NJR2997" s="470"/>
      <c r="NJS2997" s="449"/>
      <c r="NJT2997" s="462"/>
      <c r="NJU2997" s="299"/>
      <c r="NJV2997" s="81"/>
      <c r="NJW2997" s="160"/>
      <c r="NJX2997" s="559"/>
      <c r="NJY2997" s="125"/>
      <c r="NJZ2997" s="470"/>
      <c r="NKA2997" s="449"/>
      <c r="NKB2997" s="462"/>
      <c r="NKC2997" s="299"/>
      <c r="NKD2997" s="81"/>
      <c r="NKE2997" s="160"/>
      <c r="NKF2997" s="559"/>
      <c r="NKG2997" s="125"/>
      <c r="NKH2997" s="470"/>
      <c r="NKI2997" s="449"/>
      <c r="NKJ2997" s="462"/>
      <c r="NKK2997" s="299"/>
      <c r="NKL2997" s="81"/>
      <c r="NKM2997" s="160"/>
      <c r="NKN2997" s="559"/>
      <c r="NKO2997" s="125"/>
      <c r="NKP2997" s="470"/>
      <c r="NKQ2997" s="449"/>
      <c r="NKR2997" s="462"/>
      <c r="NKS2997" s="299"/>
      <c r="NKT2997" s="81"/>
      <c r="NKU2997" s="160"/>
      <c r="NKV2997" s="559"/>
      <c r="NKW2997" s="125"/>
      <c r="NKX2997" s="470"/>
      <c r="NKY2997" s="449"/>
      <c r="NKZ2997" s="462"/>
      <c r="NLA2997" s="299"/>
      <c r="NLB2997" s="81"/>
      <c r="NLC2997" s="160"/>
      <c r="NLD2997" s="559"/>
      <c r="NLE2997" s="125"/>
      <c r="NLF2997" s="470"/>
      <c r="NLG2997" s="449"/>
      <c r="NLH2997" s="462"/>
      <c r="NLI2997" s="299"/>
      <c r="NLJ2997" s="81"/>
      <c r="NLK2997" s="160"/>
      <c r="NLL2997" s="559"/>
      <c r="NLM2997" s="125"/>
      <c r="NLN2997" s="470"/>
      <c r="NLO2997" s="449"/>
      <c r="NLP2997" s="462"/>
      <c r="NLQ2997" s="299"/>
      <c r="NLR2997" s="81"/>
      <c r="NLS2997" s="160"/>
      <c r="NLT2997" s="559"/>
      <c r="NLU2997" s="125"/>
      <c r="NLV2997" s="470"/>
      <c r="NLW2997" s="449"/>
      <c r="NLX2997" s="462"/>
      <c r="NLY2997" s="299"/>
      <c r="NLZ2997" s="81"/>
      <c r="NMA2997" s="160"/>
      <c r="NMB2997" s="559"/>
      <c r="NMC2997" s="125"/>
      <c r="NMD2997" s="470"/>
      <c r="NME2997" s="449"/>
      <c r="NMF2997" s="462"/>
      <c r="NMG2997" s="299"/>
      <c r="NMH2997" s="81"/>
      <c r="NMI2997" s="160"/>
      <c r="NMJ2997" s="559"/>
      <c r="NMK2997" s="125"/>
      <c r="NML2997" s="470"/>
      <c r="NMM2997" s="449"/>
      <c r="NMN2997" s="462"/>
      <c r="NMO2997" s="299"/>
      <c r="NMP2997" s="81"/>
      <c r="NMQ2997" s="160"/>
      <c r="NMR2997" s="559"/>
      <c r="NMS2997" s="125"/>
      <c r="NMT2997" s="470"/>
      <c r="NMU2997" s="449"/>
      <c r="NMV2997" s="462"/>
      <c r="NMW2997" s="299"/>
      <c r="NMX2997" s="81"/>
      <c r="NMY2997" s="160"/>
      <c r="NMZ2997" s="559"/>
      <c r="NNA2997" s="125"/>
      <c r="NNB2997" s="470"/>
      <c r="NNC2997" s="449"/>
      <c r="NND2997" s="462"/>
      <c r="NNE2997" s="299"/>
      <c r="NNF2997" s="81"/>
      <c r="NNG2997" s="160"/>
      <c r="NNH2997" s="559"/>
      <c r="NNI2997" s="125"/>
      <c r="NNJ2997" s="470"/>
      <c r="NNK2997" s="449"/>
      <c r="NNL2997" s="462"/>
      <c r="NNM2997" s="299"/>
      <c r="NNN2997" s="81"/>
      <c r="NNO2997" s="160"/>
      <c r="NNP2997" s="559"/>
      <c r="NNQ2997" s="125"/>
      <c r="NNR2997" s="470"/>
      <c r="NNS2997" s="449"/>
      <c r="NNT2997" s="462"/>
      <c r="NNU2997" s="299"/>
      <c r="NNV2997" s="81"/>
      <c r="NNW2997" s="160"/>
      <c r="NNX2997" s="559"/>
      <c r="NNY2997" s="125"/>
      <c r="NNZ2997" s="470"/>
      <c r="NOA2997" s="449"/>
      <c r="NOB2997" s="462"/>
      <c r="NOC2997" s="299"/>
      <c r="NOD2997" s="81"/>
      <c r="NOE2997" s="160"/>
      <c r="NOF2997" s="559"/>
      <c r="NOG2997" s="125"/>
      <c r="NOH2997" s="470"/>
      <c r="NOI2997" s="449"/>
      <c r="NOJ2997" s="462"/>
      <c r="NOK2997" s="299"/>
      <c r="NOL2997" s="81"/>
      <c r="NOM2997" s="160"/>
      <c r="NON2997" s="559"/>
      <c r="NOO2997" s="125"/>
      <c r="NOP2997" s="470"/>
      <c r="NOQ2997" s="449"/>
      <c r="NOR2997" s="462"/>
      <c r="NOS2997" s="299"/>
      <c r="NOT2997" s="81"/>
      <c r="NOU2997" s="160"/>
      <c r="NOV2997" s="559"/>
      <c r="NOW2997" s="125"/>
      <c r="NOX2997" s="470"/>
      <c r="NOY2997" s="449"/>
      <c r="NOZ2997" s="462"/>
      <c r="NPA2997" s="299"/>
      <c r="NPB2997" s="81"/>
      <c r="NPC2997" s="160"/>
      <c r="NPD2997" s="559"/>
      <c r="NPE2997" s="125"/>
      <c r="NPF2997" s="470"/>
      <c r="NPG2997" s="449"/>
      <c r="NPH2997" s="462"/>
      <c r="NPI2997" s="299"/>
      <c r="NPJ2997" s="81"/>
      <c r="NPK2997" s="160"/>
      <c r="NPL2997" s="559"/>
      <c r="NPM2997" s="125"/>
      <c r="NPN2997" s="470"/>
      <c r="NPO2997" s="449"/>
      <c r="NPP2997" s="462"/>
      <c r="NPQ2997" s="299"/>
      <c r="NPR2997" s="81"/>
      <c r="NPS2997" s="160"/>
      <c r="NPT2997" s="559"/>
      <c r="NPU2997" s="125"/>
      <c r="NPV2997" s="470"/>
      <c r="NPW2997" s="449"/>
      <c r="NPX2997" s="462"/>
      <c r="NPY2997" s="299"/>
      <c r="NPZ2997" s="81"/>
      <c r="NQA2997" s="160"/>
      <c r="NQB2997" s="559"/>
      <c r="NQC2997" s="125"/>
      <c r="NQD2997" s="470"/>
      <c r="NQE2997" s="449"/>
      <c r="NQF2997" s="462"/>
      <c r="NQG2997" s="299"/>
      <c r="NQH2997" s="81"/>
      <c r="NQI2997" s="160"/>
      <c r="NQJ2997" s="559"/>
      <c r="NQK2997" s="125"/>
      <c r="NQL2997" s="470"/>
      <c r="NQM2997" s="449"/>
      <c r="NQN2997" s="462"/>
      <c r="NQO2997" s="299"/>
      <c r="NQP2997" s="81"/>
      <c r="NQQ2997" s="160"/>
      <c r="NQR2997" s="559"/>
      <c r="NQS2997" s="125"/>
      <c r="NQT2997" s="470"/>
      <c r="NQU2997" s="449"/>
      <c r="NQV2997" s="462"/>
      <c r="NQW2997" s="299"/>
      <c r="NQX2997" s="81"/>
      <c r="NQY2997" s="160"/>
      <c r="NQZ2997" s="559"/>
      <c r="NRA2997" s="125"/>
      <c r="NRB2997" s="470"/>
      <c r="NRC2997" s="449"/>
      <c r="NRD2997" s="462"/>
      <c r="NRE2997" s="299"/>
      <c r="NRF2997" s="81"/>
      <c r="NRG2997" s="160"/>
      <c r="NRH2997" s="559"/>
      <c r="NRI2997" s="125"/>
      <c r="NRJ2997" s="470"/>
      <c r="NRK2997" s="449"/>
      <c r="NRL2997" s="462"/>
      <c r="NRM2997" s="299"/>
      <c r="NRN2997" s="81"/>
      <c r="NRO2997" s="160"/>
      <c r="NRP2997" s="559"/>
      <c r="NRQ2997" s="125"/>
      <c r="NRR2997" s="470"/>
      <c r="NRS2997" s="449"/>
      <c r="NRT2997" s="462"/>
      <c r="NRU2997" s="299"/>
      <c r="NRV2997" s="81"/>
      <c r="NRW2997" s="160"/>
      <c r="NRX2997" s="559"/>
      <c r="NRY2997" s="125"/>
      <c r="NRZ2997" s="470"/>
      <c r="NSA2997" s="449"/>
      <c r="NSB2997" s="462"/>
      <c r="NSC2997" s="299"/>
      <c r="NSD2997" s="81"/>
      <c r="NSE2997" s="160"/>
      <c r="NSF2997" s="559"/>
      <c r="NSG2997" s="125"/>
      <c r="NSH2997" s="470"/>
      <c r="NSI2997" s="449"/>
      <c r="NSJ2997" s="462"/>
      <c r="NSK2997" s="299"/>
      <c r="NSL2997" s="81"/>
      <c r="NSM2997" s="160"/>
      <c r="NSN2997" s="559"/>
      <c r="NSO2997" s="125"/>
      <c r="NSP2997" s="470"/>
      <c r="NSQ2997" s="449"/>
      <c r="NSR2997" s="462"/>
      <c r="NSS2997" s="299"/>
      <c r="NST2997" s="81"/>
      <c r="NSU2997" s="160"/>
      <c r="NSV2997" s="559"/>
      <c r="NSW2997" s="125"/>
      <c r="NSX2997" s="470"/>
      <c r="NSY2997" s="449"/>
      <c r="NSZ2997" s="462"/>
      <c r="NTA2997" s="299"/>
      <c r="NTB2997" s="81"/>
      <c r="NTC2997" s="160"/>
      <c r="NTD2997" s="559"/>
      <c r="NTE2997" s="125"/>
      <c r="NTF2997" s="470"/>
      <c r="NTG2997" s="449"/>
      <c r="NTH2997" s="462"/>
      <c r="NTI2997" s="299"/>
      <c r="NTJ2997" s="81"/>
      <c r="NTK2997" s="160"/>
      <c r="NTL2997" s="559"/>
      <c r="NTM2997" s="125"/>
      <c r="NTN2997" s="470"/>
      <c r="NTO2997" s="449"/>
      <c r="NTP2997" s="462"/>
      <c r="NTQ2997" s="299"/>
      <c r="NTR2997" s="81"/>
      <c r="NTS2997" s="160"/>
      <c r="NTT2997" s="559"/>
      <c r="NTU2997" s="125"/>
      <c r="NTV2997" s="470"/>
      <c r="NTW2997" s="449"/>
      <c r="NTX2997" s="462"/>
      <c r="NTY2997" s="299"/>
      <c r="NTZ2997" s="81"/>
      <c r="NUA2997" s="160"/>
      <c r="NUB2997" s="559"/>
      <c r="NUC2997" s="125"/>
      <c r="NUD2997" s="470"/>
      <c r="NUE2997" s="449"/>
      <c r="NUF2997" s="462"/>
      <c r="NUG2997" s="299"/>
      <c r="NUH2997" s="81"/>
      <c r="NUI2997" s="160"/>
      <c r="NUJ2997" s="559"/>
      <c r="NUK2997" s="125"/>
      <c r="NUL2997" s="470"/>
      <c r="NUM2997" s="449"/>
      <c r="NUN2997" s="462"/>
      <c r="NUO2997" s="299"/>
      <c r="NUP2997" s="81"/>
      <c r="NUQ2997" s="160"/>
      <c r="NUR2997" s="559"/>
      <c r="NUS2997" s="125"/>
      <c r="NUT2997" s="470"/>
      <c r="NUU2997" s="449"/>
      <c r="NUV2997" s="462"/>
      <c r="NUW2997" s="299"/>
      <c r="NUX2997" s="81"/>
      <c r="NUY2997" s="160"/>
      <c r="NUZ2997" s="559"/>
      <c r="NVA2997" s="125"/>
      <c r="NVB2997" s="470"/>
      <c r="NVC2997" s="449"/>
      <c r="NVD2997" s="462"/>
      <c r="NVE2997" s="299"/>
      <c r="NVF2997" s="81"/>
      <c r="NVG2997" s="160"/>
      <c r="NVH2997" s="559"/>
      <c r="NVI2997" s="125"/>
      <c r="NVJ2997" s="470"/>
      <c r="NVK2997" s="449"/>
      <c r="NVL2997" s="462"/>
      <c r="NVM2997" s="299"/>
      <c r="NVN2997" s="81"/>
      <c r="NVO2997" s="160"/>
      <c r="NVP2997" s="559"/>
      <c r="NVQ2997" s="125"/>
      <c r="NVR2997" s="470"/>
      <c r="NVS2997" s="449"/>
      <c r="NVT2997" s="462"/>
      <c r="NVU2997" s="299"/>
      <c r="NVV2997" s="81"/>
      <c r="NVW2997" s="160"/>
      <c r="NVX2997" s="559"/>
      <c r="NVY2997" s="125"/>
      <c r="NVZ2997" s="470"/>
      <c r="NWA2997" s="449"/>
      <c r="NWB2997" s="462"/>
      <c r="NWC2997" s="299"/>
      <c r="NWD2997" s="81"/>
      <c r="NWE2997" s="160"/>
      <c r="NWF2997" s="559"/>
      <c r="NWG2997" s="125"/>
      <c r="NWH2997" s="470"/>
      <c r="NWI2997" s="449"/>
      <c r="NWJ2997" s="462"/>
      <c r="NWK2997" s="299"/>
      <c r="NWL2997" s="81"/>
      <c r="NWM2997" s="160"/>
      <c r="NWN2997" s="559"/>
      <c r="NWO2997" s="125"/>
      <c r="NWP2997" s="470"/>
      <c r="NWQ2997" s="449"/>
      <c r="NWR2997" s="462"/>
      <c r="NWS2997" s="299"/>
      <c r="NWT2997" s="81"/>
      <c r="NWU2997" s="160"/>
      <c r="NWV2997" s="559"/>
      <c r="NWW2997" s="125"/>
      <c r="NWX2997" s="470"/>
      <c r="NWY2997" s="449"/>
      <c r="NWZ2997" s="462"/>
      <c r="NXA2997" s="299"/>
      <c r="NXB2997" s="81"/>
      <c r="NXC2997" s="160"/>
      <c r="NXD2997" s="559"/>
      <c r="NXE2997" s="125"/>
      <c r="NXF2997" s="470"/>
      <c r="NXG2997" s="449"/>
      <c r="NXH2997" s="462"/>
      <c r="NXI2997" s="299"/>
      <c r="NXJ2997" s="81"/>
      <c r="NXK2997" s="160"/>
      <c r="NXL2997" s="559"/>
      <c r="NXM2997" s="125"/>
      <c r="NXN2997" s="470"/>
      <c r="NXO2997" s="449"/>
      <c r="NXP2997" s="462"/>
      <c r="NXQ2997" s="299"/>
      <c r="NXR2997" s="81"/>
      <c r="NXS2997" s="160"/>
      <c r="NXT2997" s="559"/>
      <c r="NXU2997" s="125"/>
      <c r="NXV2997" s="470"/>
      <c r="NXW2997" s="449"/>
      <c r="NXX2997" s="462"/>
      <c r="NXY2997" s="299"/>
      <c r="NXZ2997" s="81"/>
      <c r="NYA2997" s="160"/>
      <c r="NYB2997" s="559"/>
      <c r="NYC2997" s="125"/>
      <c r="NYD2997" s="470"/>
      <c r="NYE2997" s="449"/>
      <c r="NYF2997" s="462"/>
      <c r="NYG2997" s="299"/>
      <c r="NYH2997" s="81"/>
      <c r="NYI2997" s="160"/>
      <c r="NYJ2997" s="559"/>
      <c r="NYK2997" s="125"/>
      <c r="NYL2997" s="470"/>
      <c r="NYM2997" s="449"/>
      <c r="NYN2997" s="462"/>
      <c r="NYO2997" s="299"/>
      <c r="NYP2997" s="81"/>
      <c r="NYQ2997" s="160"/>
      <c r="NYR2997" s="559"/>
      <c r="NYS2997" s="125"/>
      <c r="NYT2997" s="470"/>
      <c r="NYU2997" s="449"/>
      <c r="NYV2997" s="462"/>
      <c r="NYW2997" s="299"/>
      <c r="NYX2997" s="81"/>
      <c r="NYY2997" s="160"/>
      <c r="NYZ2997" s="559"/>
      <c r="NZA2997" s="125"/>
      <c r="NZB2997" s="470"/>
      <c r="NZC2997" s="449"/>
      <c r="NZD2997" s="462"/>
      <c r="NZE2997" s="299"/>
      <c r="NZF2997" s="81"/>
      <c r="NZG2997" s="160"/>
      <c r="NZH2997" s="559"/>
      <c r="NZI2997" s="125"/>
      <c r="NZJ2997" s="470"/>
      <c r="NZK2997" s="449"/>
      <c r="NZL2997" s="462"/>
      <c r="NZM2997" s="299"/>
      <c r="NZN2997" s="81"/>
      <c r="NZO2997" s="160"/>
      <c r="NZP2997" s="559"/>
      <c r="NZQ2997" s="125"/>
      <c r="NZR2997" s="470"/>
      <c r="NZS2997" s="449"/>
      <c r="NZT2997" s="462"/>
      <c r="NZU2997" s="299"/>
      <c r="NZV2997" s="81"/>
      <c r="NZW2997" s="160"/>
      <c r="NZX2997" s="559"/>
      <c r="NZY2997" s="125"/>
      <c r="NZZ2997" s="470"/>
      <c r="OAA2997" s="449"/>
      <c r="OAB2997" s="462"/>
      <c r="OAC2997" s="299"/>
      <c r="OAD2997" s="81"/>
      <c r="OAE2997" s="160"/>
      <c r="OAF2997" s="559"/>
      <c r="OAG2997" s="125"/>
      <c r="OAH2997" s="470"/>
      <c r="OAI2997" s="449"/>
      <c r="OAJ2997" s="462"/>
      <c r="OAK2997" s="299"/>
      <c r="OAL2997" s="81"/>
      <c r="OAM2997" s="160"/>
      <c r="OAN2997" s="559"/>
      <c r="OAO2997" s="125"/>
      <c r="OAP2997" s="470"/>
      <c r="OAQ2997" s="449"/>
      <c r="OAR2997" s="462"/>
      <c r="OAS2997" s="299"/>
      <c r="OAT2997" s="81"/>
      <c r="OAU2997" s="160"/>
      <c r="OAV2997" s="559"/>
      <c r="OAW2997" s="125"/>
      <c r="OAX2997" s="470"/>
      <c r="OAY2997" s="449"/>
      <c r="OAZ2997" s="462"/>
      <c r="OBA2997" s="299"/>
      <c r="OBB2997" s="81"/>
      <c r="OBC2997" s="160"/>
      <c r="OBD2997" s="559"/>
      <c r="OBE2997" s="125"/>
      <c r="OBF2997" s="470"/>
      <c r="OBG2997" s="449"/>
      <c r="OBH2997" s="462"/>
      <c r="OBI2997" s="299"/>
      <c r="OBJ2997" s="81"/>
      <c r="OBK2997" s="160"/>
      <c r="OBL2997" s="559"/>
      <c r="OBM2997" s="125"/>
      <c r="OBN2997" s="470"/>
      <c r="OBO2997" s="449"/>
      <c r="OBP2997" s="462"/>
      <c r="OBQ2997" s="299"/>
      <c r="OBR2997" s="81"/>
      <c r="OBS2997" s="160"/>
      <c r="OBT2997" s="559"/>
      <c r="OBU2997" s="125"/>
      <c r="OBV2997" s="470"/>
      <c r="OBW2997" s="449"/>
      <c r="OBX2997" s="462"/>
      <c r="OBY2997" s="299"/>
      <c r="OBZ2997" s="81"/>
      <c r="OCA2997" s="160"/>
      <c r="OCB2997" s="559"/>
      <c r="OCC2997" s="125"/>
      <c r="OCD2997" s="470"/>
      <c r="OCE2997" s="449"/>
      <c r="OCF2997" s="462"/>
      <c r="OCG2997" s="299"/>
      <c r="OCH2997" s="81"/>
      <c r="OCI2997" s="160"/>
      <c r="OCJ2997" s="559"/>
      <c r="OCK2997" s="125"/>
      <c r="OCL2997" s="470"/>
      <c r="OCM2997" s="449"/>
      <c r="OCN2997" s="462"/>
      <c r="OCO2997" s="299"/>
      <c r="OCP2997" s="81"/>
      <c r="OCQ2997" s="160"/>
      <c r="OCR2997" s="559"/>
      <c r="OCS2997" s="125"/>
      <c r="OCT2997" s="470"/>
      <c r="OCU2997" s="449"/>
      <c r="OCV2997" s="462"/>
      <c r="OCW2997" s="299"/>
      <c r="OCX2997" s="81"/>
      <c r="OCY2997" s="160"/>
      <c r="OCZ2997" s="559"/>
      <c r="ODA2997" s="125"/>
      <c r="ODB2997" s="470"/>
      <c r="ODC2997" s="449"/>
      <c r="ODD2997" s="462"/>
      <c r="ODE2997" s="299"/>
      <c r="ODF2997" s="81"/>
      <c r="ODG2997" s="160"/>
      <c r="ODH2997" s="559"/>
      <c r="ODI2997" s="125"/>
      <c r="ODJ2997" s="470"/>
      <c r="ODK2997" s="449"/>
      <c r="ODL2997" s="462"/>
      <c r="ODM2997" s="299"/>
      <c r="ODN2997" s="81"/>
      <c r="ODO2997" s="160"/>
      <c r="ODP2997" s="559"/>
      <c r="ODQ2997" s="125"/>
      <c r="ODR2997" s="470"/>
      <c r="ODS2997" s="449"/>
      <c r="ODT2997" s="462"/>
      <c r="ODU2997" s="299"/>
      <c r="ODV2997" s="81"/>
      <c r="ODW2997" s="160"/>
      <c r="ODX2997" s="559"/>
      <c r="ODY2997" s="125"/>
      <c r="ODZ2997" s="470"/>
      <c r="OEA2997" s="449"/>
      <c r="OEB2997" s="462"/>
      <c r="OEC2997" s="299"/>
      <c r="OED2997" s="81"/>
      <c r="OEE2997" s="160"/>
      <c r="OEF2997" s="559"/>
      <c r="OEG2997" s="125"/>
      <c r="OEH2997" s="470"/>
      <c r="OEI2997" s="449"/>
      <c r="OEJ2997" s="462"/>
      <c r="OEK2997" s="299"/>
      <c r="OEL2997" s="81"/>
      <c r="OEM2997" s="160"/>
      <c r="OEN2997" s="559"/>
      <c r="OEO2997" s="125"/>
      <c r="OEP2997" s="470"/>
      <c r="OEQ2997" s="449"/>
      <c r="OER2997" s="462"/>
      <c r="OES2997" s="299"/>
      <c r="OET2997" s="81"/>
      <c r="OEU2997" s="160"/>
      <c r="OEV2997" s="559"/>
      <c r="OEW2997" s="125"/>
      <c r="OEX2997" s="470"/>
      <c r="OEY2997" s="449"/>
      <c r="OEZ2997" s="462"/>
      <c r="OFA2997" s="299"/>
      <c r="OFB2997" s="81"/>
      <c r="OFC2997" s="160"/>
      <c r="OFD2997" s="559"/>
      <c r="OFE2997" s="125"/>
      <c r="OFF2997" s="470"/>
      <c r="OFG2997" s="449"/>
      <c r="OFH2997" s="462"/>
      <c r="OFI2997" s="299"/>
      <c r="OFJ2997" s="81"/>
      <c r="OFK2997" s="160"/>
      <c r="OFL2997" s="559"/>
      <c r="OFM2997" s="125"/>
      <c r="OFN2997" s="470"/>
      <c r="OFO2997" s="449"/>
      <c r="OFP2997" s="462"/>
      <c r="OFQ2997" s="299"/>
      <c r="OFR2997" s="81"/>
      <c r="OFS2997" s="160"/>
      <c r="OFT2997" s="559"/>
      <c r="OFU2997" s="125"/>
      <c r="OFV2997" s="470"/>
      <c r="OFW2997" s="449"/>
      <c r="OFX2997" s="462"/>
      <c r="OFY2997" s="299"/>
      <c r="OFZ2997" s="81"/>
      <c r="OGA2997" s="160"/>
      <c r="OGB2997" s="559"/>
      <c r="OGC2997" s="125"/>
      <c r="OGD2997" s="470"/>
      <c r="OGE2997" s="449"/>
      <c r="OGF2997" s="462"/>
      <c r="OGG2997" s="299"/>
      <c r="OGH2997" s="81"/>
      <c r="OGI2997" s="160"/>
      <c r="OGJ2997" s="559"/>
      <c r="OGK2997" s="125"/>
      <c r="OGL2997" s="470"/>
      <c r="OGM2997" s="449"/>
      <c r="OGN2997" s="462"/>
      <c r="OGO2997" s="299"/>
      <c r="OGP2997" s="81"/>
      <c r="OGQ2997" s="160"/>
      <c r="OGR2997" s="559"/>
      <c r="OGS2997" s="125"/>
      <c r="OGT2997" s="470"/>
      <c r="OGU2997" s="449"/>
      <c r="OGV2997" s="462"/>
      <c r="OGW2997" s="299"/>
      <c r="OGX2997" s="81"/>
      <c r="OGY2997" s="160"/>
      <c r="OGZ2997" s="559"/>
      <c r="OHA2997" s="125"/>
      <c r="OHB2997" s="470"/>
      <c r="OHC2997" s="449"/>
      <c r="OHD2997" s="462"/>
      <c r="OHE2997" s="299"/>
      <c r="OHF2997" s="81"/>
      <c r="OHG2997" s="160"/>
      <c r="OHH2997" s="559"/>
      <c r="OHI2997" s="125"/>
      <c r="OHJ2997" s="470"/>
      <c r="OHK2997" s="449"/>
      <c r="OHL2997" s="462"/>
      <c r="OHM2997" s="299"/>
      <c r="OHN2997" s="81"/>
      <c r="OHO2997" s="160"/>
      <c r="OHP2997" s="559"/>
      <c r="OHQ2997" s="125"/>
      <c r="OHR2997" s="470"/>
      <c r="OHS2997" s="449"/>
      <c r="OHT2997" s="462"/>
      <c r="OHU2997" s="299"/>
      <c r="OHV2997" s="81"/>
      <c r="OHW2997" s="160"/>
      <c r="OHX2997" s="559"/>
      <c r="OHY2997" s="125"/>
      <c r="OHZ2997" s="470"/>
      <c r="OIA2997" s="449"/>
      <c r="OIB2997" s="462"/>
      <c r="OIC2997" s="299"/>
      <c r="OID2997" s="81"/>
      <c r="OIE2997" s="160"/>
      <c r="OIF2997" s="559"/>
      <c r="OIG2997" s="125"/>
      <c r="OIH2997" s="470"/>
      <c r="OII2997" s="449"/>
      <c r="OIJ2997" s="462"/>
      <c r="OIK2997" s="299"/>
      <c r="OIL2997" s="81"/>
      <c r="OIM2997" s="160"/>
      <c r="OIN2997" s="559"/>
      <c r="OIO2997" s="125"/>
      <c r="OIP2997" s="470"/>
      <c r="OIQ2997" s="449"/>
      <c r="OIR2997" s="462"/>
      <c r="OIS2997" s="299"/>
      <c r="OIT2997" s="81"/>
      <c r="OIU2997" s="160"/>
      <c r="OIV2997" s="559"/>
      <c r="OIW2997" s="125"/>
      <c r="OIX2997" s="470"/>
      <c r="OIY2997" s="449"/>
      <c r="OIZ2997" s="462"/>
      <c r="OJA2997" s="299"/>
      <c r="OJB2997" s="81"/>
      <c r="OJC2997" s="160"/>
      <c r="OJD2997" s="559"/>
      <c r="OJE2997" s="125"/>
      <c r="OJF2997" s="470"/>
      <c r="OJG2997" s="449"/>
      <c r="OJH2997" s="462"/>
      <c r="OJI2997" s="299"/>
      <c r="OJJ2997" s="81"/>
      <c r="OJK2997" s="160"/>
      <c r="OJL2997" s="559"/>
      <c r="OJM2997" s="125"/>
      <c r="OJN2997" s="470"/>
      <c r="OJO2997" s="449"/>
      <c r="OJP2997" s="462"/>
      <c r="OJQ2997" s="299"/>
      <c r="OJR2997" s="81"/>
      <c r="OJS2997" s="160"/>
      <c r="OJT2997" s="559"/>
      <c r="OJU2997" s="125"/>
      <c r="OJV2997" s="470"/>
      <c r="OJW2997" s="449"/>
      <c r="OJX2997" s="462"/>
      <c r="OJY2997" s="299"/>
      <c r="OJZ2997" s="81"/>
      <c r="OKA2997" s="160"/>
      <c r="OKB2997" s="559"/>
      <c r="OKC2997" s="125"/>
      <c r="OKD2997" s="470"/>
      <c r="OKE2997" s="449"/>
      <c r="OKF2997" s="462"/>
      <c r="OKG2997" s="299"/>
      <c r="OKH2997" s="81"/>
      <c r="OKI2997" s="160"/>
      <c r="OKJ2997" s="559"/>
      <c r="OKK2997" s="125"/>
      <c r="OKL2997" s="470"/>
      <c r="OKM2997" s="449"/>
      <c r="OKN2997" s="462"/>
      <c r="OKO2997" s="299"/>
      <c r="OKP2997" s="81"/>
      <c r="OKQ2997" s="160"/>
      <c r="OKR2997" s="559"/>
      <c r="OKS2997" s="125"/>
      <c r="OKT2997" s="470"/>
      <c r="OKU2997" s="449"/>
      <c r="OKV2997" s="462"/>
      <c r="OKW2997" s="299"/>
      <c r="OKX2997" s="81"/>
      <c r="OKY2997" s="160"/>
      <c r="OKZ2997" s="559"/>
      <c r="OLA2997" s="125"/>
      <c r="OLB2997" s="470"/>
      <c r="OLC2997" s="449"/>
      <c r="OLD2997" s="462"/>
      <c r="OLE2997" s="299"/>
      <c r="OLF2997" s="81"/>
      <c r="OLG2997" s="160"/>
      <c r="OLH2997" s="559"/>
      <c r="OLI2997" s="125"/>
      <c r="OLJ2997" s="470"/>
      <c r="OLK2997" s="449"/>
      <c r="OLL2997" s="462"/>
      <c r="OLM2997" s="299"/>
      <c r="OLN2997" s="81"/>
      <c r="OLO2997" s="160"/>
      <c r="OLP2997" s="559"/>
      <c r="OLQ2997" s="125"/>
      <c r="OLR2997" s="470"/>
      <c r="OLS2997" s="449"/>
      <c r="OLT2997" s="462"/>
      <c r="OLU2997" s="299"/>
      <c r="OLV2997" s="81"/>
      <c r="OLW2997" s="160"/>
      <c r="OLX2997" s="559"/>
      <c r="OLY2997" s="125"/>
      <c r="OLZ2997" s="470"/>
      <c r="OMA2997" s="449"/>
      <c r="OMB2997" s="462"/>
      <c r="OMC2997" s="299"/>
      <c r="OMD2997" s="81"/>
      <c r="OME2997" s="160"/>
      <c r="OMF2997" s="559"/>
      <c r="OMG2997" s="125"/>
      <c r="OMH2997" s="470"/>
      <c r="OMI2997" s="449"/>
      <c r="OMJ2997" s="462"/>
      <c r="OMK2997" s="299"/>
      <c r="OML2997" s="81"/>
      <c r="OMM2997" s="160"/>
      <c r="OMN2997" s="559"/>
      <c r="OMO2997" s="125"/>
      <c r="OMP2997" s="470"/>
      <c r="OMQ2997" s="449"/>
      <c r="OMR2997" s="462"/>
      <c r="OMS2997" s="299"/>
      <c r="OMT2997" s="81"/>
      <c r="OMU2997" s="160"/>
      <c r="OMV2997" s="559"/>
      <c r="OMW2997" s="125"/>
      <c r="OMX2997" s="470"/>
      <c r="OMY2997" s="449"/>
      <c r="OMZ2997" s="462"/>
      <c r="ONA2997" s="299"/>
      <c r="ONB2997" s="81"/>
      <c r="ONC2997" s="160"/>
      <c r="OND2997" s="559"/>
      <c r="ONE2997" s="125"/>
      <c r="ONF2997" s="470"/>
      <c r="ONG2997" s="449"/>
      <c r="ONH2997" s="462"/>
      <c r="ONI2997" s="299"/>
      <c r="ONJ2997" s="81"/>
      <c r="ONK2997" s="160"/>
      <c r="ONL2997" s="559"/>
      <c r="ONM2997" s="125"/>
      <c r="ONN2997" s="470"/>
      <c r="ONO2997" s="449"/>
      <c r="ONP2997" s="462"/>
      <c r="ONQ2997" s="299"/>
      <c r="ONR2997" s="81"/>
      <c r="ONS2997" s="160"/>
      <c r="ONT2997" s="559"/>
      <c r="ONU2997" s="125"/>
      <c r="ONV2997" s="470"/>
      <c r="ONW2997" s="449"/>
      <c r="ONX2997" s="462"/>
      <c r="ONY2997" s="299"/>
      <c r="ONZ2997" s="81"/>
      <c r="OOA2997" s="160"/>
      <c r="OOB2997" s="559"/>
      <c r="OOC2997" s="125"/>
      <c r="OOD2997" s="470"/>
      <c r="OOE2997" s="449"/>
      <c r="OOF2997" s="462"/>
      <c r="OOG2997" s="299"/>
      <c r="OOH2997" s="81"/>
      <c r="OOI2997" s="160"/>
      <c r="OOJ2997" s="559"/>
      <c r="OOK2997" s="125"/>
      <c r="OOL2997" s="470"/>
      <c r="OOM2997" s="449"/>
      <c r="OON2997" s="462"/>
      <c r="OOO2997" s="299"/>
      <c r="OOP2997" s="81"/>
      <c r="OOQ2997" s="160"/>
      <c r="OOR2997" s="559"/>
      <c r="OOS2997" s="125"/>
      <c r="OOT2997" s="470"/>
      <c r="OOU2997" s="449"/>
      <c r="OOV2997" s="462"/>
      <c r="OOW2997" s="299"/>
      <c r="OOX2997" s="81"/>
      <c r="OOY2997" s="160"/>
      <c r="OOZ2997" s="559"/>
      <c r="OPA2997" s="125"/>
      <c r="OPB2997" s="470"/>
      <c r="OPC2997" s="449"/>
      <c r="OPD2997" s="462"/>
      <c r="OPE2997" s="299"/>
      <c r="OPF2997" s="81"/>
      <c r="OPG2997" s="160"/>
      <c r="OPH2997" s="559"/>
      <c r="OPI2997" s="125"/>
      <c r="OPJ2997" s="470"/>
      <c r="OPK2997" s="449"/>
      <c r="OPL2997" s="462"/>
      <c r="OPM2997" s="299"/>
      <c r="OPN2997" s="81"/>
      <c r="OPO2997" s="160"/>
      <c r="OPP2997" s="559"/>
      <c r="OPQ2997" s="125"/>
      <c r="OPR2997" s="470"/>
      <c r="OPS2997" s="449"/>
      <c r="OPT2997" s="462"/>
      <c r="OPU2997" s="299"/>
      <c r="OPV2997" s="81"/>
      <c r="OPW2997" s="160"/>
      <c r="OPX2997" s="559"/>
      <c r="OPY2997" s="125"/>
      <c r="OPZ2997" s="470"/>
      <c r="OQA2997" s="449"/>
      <c r="OQB2997" s="462"/>
      <c r="OQC2997" s="299"/>
      <c r="OQD2997" s="81"/>
      <c r="OQE2997" s="160"/>
      <c r="OQF2997" s="559"/>
      <c r="OQG2997" s="125"/>
      <c r="OQH2997" s="470"/>
      <c r="OQI2997" s="449"/>
      <c r="OQJ2997" s="462"/>
      <c r="OQK2997" s="299"/>
      <c r="OQL2997" s="81"/>
      <c r="OQM2997" s="160"/>
      <c r="OQN2997" s="559"/>
      <c r="OQO2997" s="125"/>
      <c r="OQP2997" s="470"/>
      <c r="OQQ2997" s="449"/>
      <c r="OQR2997" s="462"/>
      <c r="OQS2997" s="299"/>
      <c r="OQT2997" s="81"/>
      <c r="OQU2997" s="160"/>
      <c r="OQV2997" s="559"/>
      <c r="OQW2997" s="125"/>
      <c r="OQX2997" s="470"/>
      <c r="OQY2997" s="449"/>
      <c r="OQZ2997" s="462"/>
      <c r="ORA2997" s="299"/>
      <c r="ORB2997" s="81"/>
      <c r="ORC2997" s="160"/>
      <c r="ORD2997" s="559"/>
      <c r="ORE2997" s="125"/>
      <c r="ORF2997" s="470"/>
      <c r="ORG2997" s="449"/>
      <c r="ORH2997" s="462"/>
      <c r="ORI2997" s="299"/>
      <c r="ORJ2997" s="81"/>
      <c r="ORK2997" s="160"/>
      <c r="ORL2997" s="559"/>
      <c r="ORM2997" s="125"/>
      <c r="ORN2997" s="470"/>
      <c r="ORO2997" s="449"/>
      <c r="ORP2997" s="462"/>
      <c r="ORQ2997" s="299"/>
      <c r="ORR2997" s="81"/>
      <c r="ORS2997" s="160"/>
      <c r="ORT2997" s="559"/>
      <c r="ORU2997" s="125"/>
      <c r="ORV2997" s="470"/>
      <c r="ORW2997" s="449"/>
      <c r="ORX2997" s="462"/>
      <c r="ORY2997" s="299"/>
      <c r="ORZ2997" s="81"/>
      <c r="OSA2997" s="160"/>
      <c r="OSB2997" s="559"/>
      <c r="OSC2997" s="125"/>
      <c r="OSD2997" s="470"/>
      <c r="OSE2997" s="449"/>
      <c r="OSF2997" s="462"/>
      <c r="OSG2997" s="299"/>
      <c r="OSH2997" s="81"/>
      <c r="OSI2997" s="160"/>
      <c r="OSJ2997" s="559"/>
      <c r="OSK2997" s="125"/>
      <c r="OSL2997" s="470"/>
      <c r="OSM2997" s="449"/>
      <c r="OSN2997" s="462"/>
      <c r="OSO2997" s="299"/>
      <c r="OSP2997" s="81"/>
      <c r="OSQ2997" s="160"/>
      <c r="OSR2997" s="559"/>
      <c r="OSS2997" s="125"/>
      <c r="OST2997" s="470"/>
      <c r="OSU2997" s="449"/>
      <c r="OSV2997" s="462"/>
      <c r="OSW2997" s="299"/>
      <c r="OSX2997" s="81"/>
      <c r="OSY2997" s="160"/>
      <c r="OSZ2997" s="559"/>
      <c r="OTA2997" s="125"/>
      <c r="OTB2997" s="470"/>
      <c r="OTC2997" s="449"/>
      <c r="OTD2997" s="462"/>
      <c r="OTE2997" s="299"/>
      <c r="OTF2997" s="81"/>
      <c r="OTG2997" s="160"/>
      <c r="OTH2997" s="559"/>
      <c r="OTI2997" s="125"/>
      <c r="OTJ2997" s="470"/>
      <c r="OTK2997" s="449"/>
      <c r="OTL2997" s="462"/>
      <c r="OTM2997" s="299"/>
      <c r="OTN2997" s="81"/>
      <c r="OTO2997" s="160"/>
      <c r="OTP2997" s="559"/>
      <c r="OTQ2997" s="125"/>
      <c r="OTR2997" s="470"/>
      <c r="OTS2997" s="449"/>
      <c r="OTT2997" s="462"/>
      <c r="OTU2997" s="299"/>
      <c r="OTV2997" s="81"/>
      <c r="OTW2997" s="160"/>
      <c r="OTX2997" s="559"/>
      <c r="OTY2997" s="125"/>
      <c r="OTZ2997" s="470"/>
      <c r="OUA2997" s="449"/>
      <c r="OUB2997" s="462"/>
      <c r="OUC2997" s="299"/>
      <c r="OUD2997" s="81"/>
      <c r="OUE2997" s="160"/>
      <c r="OUF2997" s="559"/>
      <c r="OUG2997" s="125"/>
      <c r="OUH2997" s="470"/>
      <c r="OUI2997" s="449"/>
      <c r="OUJ2997" s="462"/>
      <c r="OUK2997" s="299"/>
      <c r="OUL2997" s="81"/>
      <c r="OUM2997" s="160"/>
      <c r="OUN2997" s="559"/>
      <c r="OUO2997" s="125"/>
      <c r="OUP2997" s="470"/>
      <c r="OUQ2997" s="449"/>
      <c r="OUR2997" s="462"/>
      <c r="OUS2997" s="299"/>
      <c r="OUT2997" s="81"/>
      <c r="OUU2997" s="160"/>
      <c r="OUV2997" s="559"/>
      <c r="OUW2997" s="125"/>
      <c r="OUX2997" s="470"/>
      <c r="OUY2997" s="449"/>
      <c r="OUZ2997" s="462"/>
      <c r="OVA2997" s="299"/>
      <c r="OVB2997" s="81"/>
      <c r="OVC2997" s="160"/>
      <c r="OVD2997" s="559"/>
      <c r="OVE2997" s="125"/>
      <c r="OVF2997" s="470"/>
      <c r="OVG2997" s="449"/>
      <c r="OVH2997" s="462"/>
      <c r="OVI2997" s="299"/>
      <c r="OVJ2997" s="81"/>
      <c r="OVK2997" s="160"/>
      <c r="OVL2997" s="559"/>
      <c r="OVM2997" s="125"/>
      <c r="OVN2997" s="470"/>
      <c r="OVO2997" s="449"/>
      <c r="OVP2997" s="462"/>
      <c r="OVQ2997" s="299"/>
      <c r="OVR2997" s="81"/>
      <c r="OVS2997" s="160"/>
      <c r="OVT2997" s="559"/>
      <c r="OVU2997" s="125"/>
      <c r="OVV2997" s="470"/>
      <c r="OVW2997" s="449"/>
      <c r="OVX2997" s="462"/>
      <c r="OVY2997" s="299"/>
      <c r="OVZ2997" s="81"/>
      <c r="OWA2997" s="160"/>
      <c r="OWB2997" s="559"/>
      <c r="OWC2997" s="125"/>
      <c r="OWD2997" s="470"/>
      <c r="OWE2997" s="449"/>
      <c r="OWF2997" s="462"/>
      <c r="OWG2997" s="299"/>
      <c r="OWH2997" s="81"/>
      <c r="OWI2997" s="160"/>
      <c r="OWJ2997" s="559"/>
      <c r="OWK2997" s="125"/>
      <c r="OWL2997" s="470"/>
      <c r="OWM2997" s="449"/>
      <c r="OWN2997" s="462"/>
      <c r="OWO2997" s="299"/>
      <c r="OWP2997" s="81"/>
      <c r="OWQ2997" s="160"/>
      <c r="OWR2997" s="559"/>
      <c r="OWS2997" s="125"/>
      <c r="OWT2997" s="470"/>
      <c r="OWU2997" s="449"/>
      <c r="OWV2997" s="462"/>
      <c r="OWW2997" s="299"/>
      <c r="OWX2997" s="81"/>
      <c r="OWY2997" s="160"/>
      <c r="OWZ2997" s="559"/>
      <c r="OXA2997" s="125"/>
      <c r="OXB2997" s="470"/>
      <c r="OXC2997" s="449"/>
      <c r="OXD2997" s="462"/>
      <c r="OXE2997" s="299"/>
      <c r="OXF2997" s="81"/>
      <c r="OXG2997" s="160"/>
      <c r="OXH2997" s="559"/>
      <c r="OXI2997" s="125"/>
      <c r="OXJ2997" s="470"/>
      <c r="OXK2997" s="449"/>
      <c r="OXL2997" s="462"/>
      <c r="OXM2997" s="299"/>
      <c r="OXN2997" s="81"/>
      <c r="OXO2997" s="160"/>
      <c r="OXP2997" s="559"/>
      <c r="OXQ2997" s="125"/>
      <c r="OXR2997" s="470"/>
      <c r="OXS2997" s="449"/>
      <c r="OXT2997" s="462"/>
      <c r="OXU2997" s="299"/>
      <c r="OXV2997" s="81"/>
      <c r="OXW2997" s="160"/>
      <c r="OXX2997" s="559"/>
      <c r="OXY2997" s="125"/>
      <c r="OXZ2997" s="470"/>
      <c r="OYA2997" s="449"/>
      <c r="OYB2997" s="462"/>
      <c r="OYC2997" s="299"/>
      <c r="OYD2997" s="81"/>
      <c r="OYE2997" s="160"/>
      <c r="OYF2997" s="559"/>
      <c r="OYG2997" s="125"/>
      <c r="OYH2997" s="470"/>
      <c r="OYI2997" s="449"/>
      <c r="OYJ2997" s="462"/>
      <c r="OYK2997" s="299"/>
      <c r="OYL2997" s="81"/>
      <c r="OYM2997" s="160"/>
      <c r="OYN2997" s="559"/>
      <c r="OYO2997" s="125"/>
      <c r="OYP2997" s="470"/>
      <c r="OYQ2997" s="449"/>
      <c r="OYR2997" s="462"/>
      <c r="OYS2997" s="299"/>
      <c r="OYT2997" s="81"/>
      <c r="OYU2997" s="160"/>
      <c r="OYV2997" s="559"/>
      <c r="OYW2997" s="125"/>
      <c r="OYX2997" s="470"/>
      <c r="OYY2997" s="449"/>
      <c r="OYZ2997" s="462"/>
      <c r="OZA2997" s="299"/>
      <c r="OZB2997" s="81"/>
      <c r="OZC2997" s="160"/>
      <c r="OZD2997" s="559"/>
      <c r="OZE2997" s="125"/>
      <c r="OZF2997" s="470"/>
      <c r="OZG2997" s="449"/>
      <c r="OZH2997" s="462"/>
      <c r="OZI2997" s="299"/>
      <c r="OZJ2997" s="81"/>
      <c r="OZK2997" s="160"/>
      <c r="OZL2997" s="559"/>
      <c r="OZM2997" s="125"/>
      <c r="OZN2997" s="470"/>
      <c r="OZO2997" s="449"/>
      <c r="OZP2997" s="462"/>
      <c r="OZQ2997" s="299"/>
      <c r="OZR2997" s="81"/>
      <c r="OZS2997" s="160"/>
      <c r="OZT2997" s="559"/>
      <c r="OZU2997" s="125"/>
      <c r="OZV2997" s="470"/>
      <c r="OZW2997" s="449"/>
      <c r="OZX2997" s="462"/>
      <c r="OZY2997" s="299"/>
      <c r="OZZ2997" s="81"/>
      <c r="PAA2997" s="160"/>
      <c r="PAB2997" s="559"/>
      <c r="PAC2997" s="125"/>
      <c r="PAD2997" s="470"/>
      <c r="PAE2997" s="449"/>
      <c r="PAF2997" s="462"/>
      <c r="PAG2997" s="299"/>
      <c r="PAH2997" s="81"/>
      <c r="PAI2997" s="160"/>
      <c r="PAJ2997" s="559"/>
      <c r="PAK2997" s="125"/>
      <c r="PAL2997" s="470"/>
      <c r="PAM2997" s="449"/>
      <c r="PAN2997" s="462"/>
      <c r="PAO2997" s="299"/>
      <c r="PAP2997" s="81"/>
      <c r="PAQ2997" s="160"/>
      <c r="PAR2997" s="559"/>
      <c r="PAS2997" s="125"/>
      <c r="PAT2997" s="470"/>
      <c r="PAU2997" s="449"/>
      <c r="PAV2997" s="462"/>
      <c r="PAW2997" s="299"/>
      <c r="PAX2997" s="81"/>
      <c r="PAY2997" s="160"/>
      <c r="PAZ2997" s="559"/>
      <c r="PBA2997" s="125"/>
      <c r="PBB2997" s="470"/>
      <c r="PBC2997" s="449"/>
      <c r="PBD2997" s="462"/>
      <c r="PBE2997" s="299"/>
      <c r="PBF2997" s="81"/>
      <c r="PBG2997" s="160"/>
      <c r="PBH2997" s="559"/>
      <c r="PBI2997" s="125"/>
      <c r="PBJ2997" s="470"/>
      <c r="PBK2997" s="449"/>
      <c r="PBL2997" s="462"/>
      <c r="PBM2997" s="299"/>
      <c r="PBN2997" s="81"/>
      <c r="PBO2997" s="160"/>
      <c r="PBP2997" s="559"/>
      <c r="PBQ2997" s="125"/>
      <c r="PBR2997" s="470"/>
      <c r="PBS2997" s="449"/>
      <c r="PBT2997" s="462"/>
      <c r="PBU2997" s="299"/>
      <c r="PBV2997" s="81"/>
      <c r="PBW2997" s="160"/>
      <c r="PBX2997" s="559"/>
      <c r="PBY2997" s="125"/>
      <c r="PBZ2997" s="470"/>
      <c r="PCA2997" s="449"/>
      <c r="PCB2997" s="462"/>
      <c r="PCC2997" s="299"/>
      <c r="PCD2997" s="81"/>
      <c r="PCE2997" s="160"/>
      <c r="PCF2997" s="559"/>
      <c r="PCG2997" s="125"/>
      <c r="PCH2997" s="470"/>
      <c r="PCI2997" s="449"/>
      <c r="PCJ2997" s="462"/>
      <c r="PCK2997" s="299"/>
      <c r="PCL2997" s="81"/>
      <c r="PCM2997" s="160"/>
      <c r="PCN2997" s="559"/>
      <c r="PCO2997" s="125"/>
      <c r="PCP2997" s="470"/>
      <c r="PCQ2997" s="449"/>
      <c r="PCR2997" s="462"/>
      <c r="PCS2997" s="299"/>
      <c r="PCT2997" s="81"/>
      <c r="PCU2997" s="160"/>
      <c r="PCV2997" s="559"/>
      <c r="PCW2997" s="125"/>
      <c r="PCX2997" s="470"/>
      <c r="PCY2997" s="449"/>
      <c r="PCZ2997" s="462"/>
      <c r="PDA2997" s="299"/>
      <c r="PDB2997" s="81"/>
      <c r="PDC2997" s="160"/>
      <c r="PDD2997" s="559"/>
      <c r="PDE2997" s="125"/>
      <c r="PDF2997" s="470"/>
      <c r="PDG2997" s="449"/>
      <c r="PDH2997" s="462"/>
      <c r="PDI2997" s="299"/>
      <c r="PDJ2997" s="81"/>
      <c r="PDK2997" s="160"/>
      <c r="PDL2997" s="559"/>
      <c r="PDM2997" s="125"/>
      <c r="PDN2997" s="470"/>
      <c r="PDO2997" s="449"/>
      <c r="PDP2997" s="462"/>
      <c r="PDQ2997" s="299"/>
      <c r="PDR2997" s="81"/>
      <c r="PDS2997" s="160"/>
      <c r="PDT2997" s="559"/>
      <c r="PDU2997" s="125"/>
      <c r="PDV2997" s="470"/>
      <c r="PDW2997" s="449"/>
      <c r="PDX2997" s="462"/>
      <c r="PDY2997" s="299"/>
      <c r="PDZ2997" s="81"/>
      <c r="PEA2997" s="160"/>
      <c r="PEB2997" s="559"/>
      <c r="PEC2997" s="125"/>
      <c r="PED2997" s="470"/>
      <c r="PEE2997" s="449"/>
      <c r="PEF2997" s="462"/>
      <c r="PEG2997" s="299"/>
      <c r="PEH2997" s="81"/>
      <c r="PEI2997" s="160"/>
      <c r="PEJ2997" s="559"/>
      <c r="PEK2997" s="125"/>
      <c r="PEL2997" s="470"/>
      <c r="PEM2997" s="449"/>
      <c r="PEN2997" s="462"/>
      <c r="PEO2997" s="299"/>
      <c r="PEP2997" s="81"/>
      <c r="PEQ2997" s="160"/>
      <c r="PER2997" s="559"/>
      <c r="PES2997" s="125"/>
      <c r="PET2997" s="470"/>
      <c r="PEU2997" s="449"/>
      <c r="PEV2997" s="462"/>
      <c r="PEW2997" s="299"/>
      <c r="PEX2997" s="81"/>
      <c r="PEY2997" s="160"/>
      <c r="PEZ2997" s="559"/>
      <c r="PFA2997" s="125"/>
      <c r="PFB2997" s="470"/>
      <c r="PFC2997" s="449"/>
      <c r="PFD2997" s="462"/>
      <c r="PFE2997" s="299"/>
      <c r="PFF2997" s="81"/>
      <c r="PFG2997" s="160"/>
      <c r="PFH2997" s="559"/>
      <c r="PFI2997" s="125"/>
      <c r="PFJ2997" s="470"/>
      <c r="PFK2997" s="449"/>
      <c r="PFL2997" s="462"/>
      <c r="PFM2997" s="299"/>
      <c r="PFN2997" s="81"/>
      <c r="PFO2997" s="160"/>
      <c r="PFP2997" s="559"/>
      <c r="PFQ2997" s="125"/>
      <c r="PFR2997" s="470"/>
      <c r="PFS2997" s="449"/>
      <c r="PFT2997" s="462"/>
      <c r="PFU2997" s="299"/>
      <c r="PFV2997" s="81"/>
      <c r="PFW2997" s="160"/>
      <c r="PFX2997" s="559"/>
      <c r="PFY2997" s="125"/>
      <c r="PFZ2997" s="470"/>
      <c r="PGA2997" s="449"/>
      <c r="PGB2997" s="462"/>
      <c r="PGC2997" s="299"/>
      <c r="PGD2997" s="81"/>
      <c r="PGE2997" s="160"/>
      <c r="PGF2997" s="559"/>
      <c r="PGG2997" s="125"/>
      <c r="PGH2997" s="470"/>
      <c r="PGI2997" s="449"/>
      <c r="PGJ2997" s="462"/>
      <c r="PGK2997" s="299"/>
      <c r="PGL2997" s="81"/>
      <c r="PGM2997" s="160"/>
      <c r="PGN2997" s="559"/>
      <c r="PGO2997" s="125"/>
      <c r="PGP2997" s="470"/>
      <c r="PGQ2997" s="449"/>
      <c r="PGR2997" s="462"/>
      <c r="PGS2997" s="299"/>
      <c r="PGT2997" s="81"/>
      <c r="PGU2997" s="160"/>
      <c r="PGV2997" s="559"/>
      <c r="PGW2997" s="125"/>
      <c r="PGX2997" s="470"/>
      <c r="PGY2997" s="449"/>
      <c r="PGZ2997" s="462"/>
      <c r="PHA2997" s="299"/>
      <c r="PHB2997" s="81"/>
      <c r="PHC2997" s="160"/>
      <c r="PHD2997" s="559"/>
      <c r="PHE2997" s="125"/>
      <c r="PHF2997" s="470"/>
      <c r="PHG2997" s="449"/>
      <c r="PHH2997" s="462"/>
      <c r="PHI2997" s="299"/>
      <c r="PHJ2997" s="81"/>
      <c r="PHK2997" s="160"/>
      <c r="PHL2997" s="559"/>
      <c r="PHM2997" s="125"/>
      <c r="PHN2997" s="470"/>
      <c r="PHO2997" s="449"/>
      <c r="PHP2997" s="462"/>
      <c r="PHQ2997" s="299"/>
      <c r="PHR2997" s="81"/>
      <c r="PHS2997" s="160"/>
      <c r="PHT2997" s="559"/>
      <c r="PHU2997" s="125"/>
      <c r="PHV2997" s="470"/>
      <c r="PHW2997" s="449"/>
      <c r="PHX2997" s="462"/>
      <c r="PHY2997" s="299"/>
      <c r="PHZ2997" s="81"/>
      <c r="PIA2997" s="160"/>
      <c r="PIB2997" s="559"/>
      <c r="PIC2997" s="125"/>
      <c r="PID2997" s="470"/>
      <c r="PIE2997" s="449"/>
      <c r="PIF2997" s="462"/>
      <c r="PIG2997" s="299"/>
      <c r="PIH2997" s="81"/>
      <c r="PII2997" s="160"/>
      <c r="PIJ2997" s="559"/>
      <c r="PIK2997" s="125"/>
      <c r="PIL2997" s="470"/>
      <c r="PIM2997" s="449"/>
      <c r="PIN2997" s="462"/>
      <c r="PIO2997" s="299"/>
      <c r="PIP2997" s="81"/>
      <c r="PIQ2997" s="160"/>
      <c r="PIR2997" s="559"/>
      <c r="PIS2997" s="125"/>
      <c r="PIT2997" s="470"/>
      <c r="PIU2997" s="449"/>
      <c r="PIV2997" s="462"/>
      <c r="PIW2997" s="299"/>
      <c r="PIX2997" s="81"/>
      <c r="PIY2997" s="160"/>
      <c r="PIZ2997" s="559"/>
      <c r="PJA2997" s="125"/>
      <c r="PJB2997" s="470"/>
      <c r="PJC2997" s="449"/>
      <c r="PJD2997" s="462"/>
      <c r="PJE2997" s="299"/>
      <c r="PJF2997" s="81"/>
      <c r="PJG2997" s="160"/>
      <c r="PJH2997" s="559"/>
      <c r="PJI2997" s="125"/>
      <c r="PJJ2997" s="470"/>
      <c r="PJK2997" s="449"/>
      <c r="PJL2997" s="462"/>
      <c r="PJM2997" s="299"/>
      <c r="PJN2997" s="81"/>
      <c r="PJO2997" s="160"/>
      <c r="PJP2997" s="559"/>
      <c r="PJQ2997" s="125"/>
      <c r="PJR2997" s="470"/>
      <c r="PJS2997" s="449"/>
      <c r="PJT2997" s="462"/>
      <c r="PJU2997" s="299"/>
      <c r="PJV2997" s="81"/>
      <c r="PJW2997" s="160"/>
      <c r="PJX2997" s="559"/>
      <c r="PJY2997" s="125"/>
      <c r="PJZ2997" s="470"/>
      <c r="PKA2997" s="449"/>
      <c r="PKB2997" s="462"/>
      <c r="PKC2997" s="299"/>
      <c r="PKD2997" s="81"/>
      <c r="PKE2997" s="160"/>
      <c r="PKF2997" s="559"/>
      <c r="PKG2997" s="125"/>
      <c r="PKH2997" s="470"/>
      <c r="PKI2997" s="449"/>
      <c r="PKJ2997" s="462"/>
      <c r="PKK2997" s="299"/>
      <c r="PKL2997" s="81"/>
      <c r="PKM2997" s="160"/>
      <c r="PKN2997" s="559"/>
      <c r="PKO2997" s="125"/>
      <c r="PKP2997" s="470"/>
      <c r="PKQ2997" s="449"/>
      <c r="PKR2997" s="462"/>
      <c r="PKS2997" s="299"/>
      <c r="PKT2997" s="81"/>
      <c r="PKU2997" s="160"/>
      <c r="PKV2997" s="559"/>
      <c r="PKW2997" s="125"/>
      <c r="PKX2997" s="470"/>
      <c r="PKY2997" s="449"/>
      <c r="PKZ2997" s="462"/>
      <c r="PLA2997" s="299"/>
      <c r="PLB2997" s="81"/>
      <c r="PLC2997" s="160"/>
      <c r="PLD2997" s="559"/>
      <c r="PLE2997" s="125"/>
      <c r="PLF2997" s="470"/>
      <c r="PLG2997" s="449"/>
      <c r="PLH2997" s="462"/>
      <c r="PLI2997" s="299"/>
      <c r="PLJ2997" s="81"/>
      <c r="PLK2997" s="160"/>
      <c r="PLL2997" s="559"/>
      <c r="PLM2997" s="125"/>
      <c r="PLN2997" s="470"/>
      <c r="PLO2997" s="449"/>
      <c r="PLP2997" s="462"/>
      <c r="PLQ2997" s="299"/>
      <c r="PLR2997" s="81"/>
      <c r="PLS2997" s="160"/>
      <c r="PLT2997" s="559"/>
      <c r="PLU2997" s="125"/>
      <c r="PLV2997" s="470"/>
      <c r="PLW2997" s="449"/>
      <c r="PLX2997" s="462"/>
      <c r="PLY2997" s="299"/>
      <c r="PLZ2997" s="81"/>
      <c r="PMA2997" s="160"/>
      <c r="PMB2997" s="559"/>
      <c r="PMC2997" s="125"/>
      <c r="PMD2997" s="470"/>
      <c r="PME2997" s="449"/>
      <c r="PMF2997" s="462"/>
      <c r="PMG2997" s="299"/>
      <c r="PMH2997" s="81"/>
      <c r="PMI2997" s="160"/>
      <c r="PMJ2997" s="559"/>
      <c r="PMK2997" s="125"/>
      <c r="PML2997" s="470"/>
      <c r="PMM2997" s="449"/>
      <c r="PMN2997" s="462"/>
      <c r="PMO2997" s="299"/>
      <c r="PMP2997" s="81"/>
      <c r="PMQ2997" s="160"/>
      <c r="PMR2997" s="559"/>
      <c r="PMS2997" s="125"/>
      <c r="PMT2997" s="470"/>
      <c r="PMU2997" s="449"/>
      <c r="PMV2997" s="462"/>
      <c r="PMW2997" s="299"/>
      <c r="PMX2997" s="81"/>
      <c r="PMY2997" s="160"/>
      <c r="PMZ2997" s="559"/>
      <c r="PNA2997" s="125"/>
      <c r="PNB2997" s="470"/>
      <c r="PNC2997" s="449"/>
      <c r="PND2997" s="462"/>
      <c r="PNE2997" s="299"/>
      <c r="PNF2997" s="81"/>
      <c r="PNG2997" s="160"/>
      <c r="PNH2997" s="559"/>
      <c r="PNI2997" s="125"/>
      <c r="PNJ2997" s="470"/>
      <c r="PNK2997" s="449"/>
      <c r="PNL2997" s="462"/>
      <c r="PNM2997" s="299"/>
      <c r="PNN2997" s="81"/>
      <c r="PNO2997" s="160"/>
      <c r="PNP2997" s="559"/>
      <c r="PNQ2997" s="125"/>
      <c r="PNR2997" s="470"/>
      <c r="PNS2997" s="449"/>
      <c r="PNT2997" s="462"/>
      <c r="PNU2997" s="299"/>
      <c r="PNV2997" s="81"/>
      <c r="PNW2997" s="160"/>
      <c r="PNX2997" s="559"/>
      <c r="PNY2997" s="125"/>
      <c r="PNZ2997" s="470"/>
      <c r="POA2997" s="449"/>
      <c r="POB2997" s="462"/>
      <c r="POC2997" s="299"/>
      <c r="POD2997" s="81"/>
      <c r="POE2997" s="160"/>
      <c r="POF2997" s="559"/>
      <c r="POG2997" s="125"/>
      <c r="POH2997" s="470"/>
      <c r="POI2997" s="449"/>
      <c r="POJ2997" s="462"/>
      <c r="POK2997" s="299"/>
      <c r="POL2997" s="81"/>
      <c r="POM2997" s="160"/>
      <c r="PON2997" s="559"/>
      <c r="POO2997" s="125"/>
      <c r="POP2997" s="470"/>
      <c r="POQ2997" s="449"/>
      <c r="POR2997" s="462"/>
      <c r="POS2997" s="299"/>
      <c r="POT2997" s="81"/>
      <c r="POU2997" s="160"/>
      <c r="POV2997" s="559"/>
      <c r="POW2997" s="125"/>
      <c r="POX2997" s="470"/>
      <c r="POY2997" s="449"/>
      <c r="POZ2997" s="462"/>
      <c r="PPA2997" s="299"/>
      <c r="PPB2997" s="81"/>
      <c r="PPC2997" s="160"/>
      <c r="PPD2997" s="559"/>
      <c r="PPE2997" s="125"/>
      <c r="PPF2997" s="470"/>
      <c r="PPG2997" s="449"/>
      <c r="PPH2997" s="462"/>
      <c r="PPI2997" s="299"/>
      <c r="PPJ2997" s="81"/>
      <c r="PPK2997" s="160"/>
      <c r="PPL2997" s="559"/>
      <c r="PPM2997" s="125"/>
      <c r="PPN2997" s="470"/>
      <c r="PPO2997" s="449"/>
      <c r="PPP2997" s="462"/>
      <c r="PPQ2997" s="299"/>
      <c r="PPR2997" s="81"/>
      <c r="PPS2997" s="160"/>
      <c r="PPT2997" s="559"/>
      <c r="PPU2997" s="125"/>
      <c r="PPV2997" s="470"/>
      <c r="PPW2997" s="449"/>
      <c r="PPX2997" s="462"/>
      <c r="PPY2997" s="299"/>
      <c r="PPZ2997" s="81"/>
      <c r="PQA2997" s="160"/>
      <c r="PQB2997" s="559"/>
      <c r="PQC2997" s="125"/>
      <c r="PQD2997" s="470"/>
      <c r="PQE2997" s="449"/>
      <c r="PQF2997" s="462"/>
      <c r="PQG2997" s="299"/>
      <c r="PQH2997" s="81"/>
      <c r="PQI2997" s="160"/>
      <c r="PQJ2997" s="559"/>
      <c r="PQK2997" s="125"/>
      <c r="PQL2997" s="470"/>
      <c r="PQM2997" s="449"/>
      <c r="PQN2997" s="462"/>
      <c r="PQO2997" s="299"/>
      <c r="PQP2997" s="81"/>
      <c r="PQQ2997" s="160"/>
      <c r="PQR2997" s="559"/>
      <c r="PQS2997" s="125"/>
      <c r="PQT2997" s="470"/>
      <c r="PQU2997" s="449"/>
      <c r="PQV2997" s="462"/>
      <c r="PQW2997" s="299"/>
      <c r="PQX2997" s="81"/>
      <c r="PQY2997" s="160"/>
      <c r="PQZ2997" s="559"/>
      <c r="PRA2997" s="125"/>
      <c r="PRB2997" s="470"/>
      <c r="PRC2997" s="449"/>
      <c r="PRD2997" s="462"/>
      <c r="PRE2997" s="299"/>
      <c r="PRF2997" s="81"/>
      <c r="PRG2997" s="160"/>
      <c r="PRH2997" s="559"/>
      <c r="PRI2997" s="125"/>
      <c r="PRJ2997" s="470"/>
      <c r="PRK2997" s="449"/>
      <c r="PRL2997" s="462"/>
      <c r="PRM2997" s="299"/>
      <c r="PRN2997" s="81"/>
      <c r="PRO2997" s="160"/>
      <c r="PRP2997" s="559"/>
      <c r="PRQ2997" s="125"/>
      <c r="PRR2997" s="470"/>
      <c r="PRS2997" s="449"/>
      <c r="PRT2997" s="462"/>
      <c r="PRU2997" s="299"/>
      <c r="PRV2997" s="81"/>
      <c r="PRW2997" s="160"/>
      <c r="PRX2997" s="559"/>
      <c r="PRY2997" s="125"/>
      <c r="PRZ2997" s="470"/>
      <c r="PSA2997" s="449"/>
      <c r="PSB2997" s="462"/>
      <c r="PSC2997" s="299"/>
      <c r="PSD2997" s="81"/>
      <c r="PSE2997" s="160"/>
      <c r="PSF2997" s="559"/>
      <c r="PSG2997" s="125"/>
      <c r="PSH2997" s="470"/>
      <c r="PSI2997" s="449"/>
      <c r="PSJ2997" s="462"/>
      <c r="PSK2997" s="299"/>
      <c r="PSL2997" s="81"/>
      <c r="PSM2997" s="160"/>
      <c r="PSN2997" s="559"/>
      <c r="PSO2997" s="125"/>
      <c r="PSP2997" s="470"/>
      <c r="PSQ2997" s="449"/>
      <c r="PSR2997" s="462"/>
      <c r="PSS2997" s="299"/>
      <c r="PST2997" s="81"/>
      <c r="PSU2997" s="160"/>
      <c r="PSV2997" s="559"/>
      <c r="PSW2997" s="125"/>
      <c r="PSX2997" s="470"/>
      <c r="PSY2997" s="449"/>
      <c r="PSZ2997" s="462"/>
      <c r="PTA2997" s="299"/>
      <c r="PTB2997" s="81"/>
      <c r="PTC2997" s="160"/>
      <c r="PTD2997" s="559"/>
      <c r="PTE2997" s="125"/>
      <c r="PTF2997" s="470"/>
      <c r="PTG2997" s="449"/>
      <c r="PTH2997" s="462"/>
      <c r="PTI2997" s="299"/>
      <c r="PTJ2997" s="81"/>
      <c r="PTK2997" s="160"/>
      <c r="PTL2997" s="559"/>
      <c r="PTM2997" s="125"/>
      <c r="PTN2997" s="470"/>
      <c r="PTO2997" s="449"/>
      <c r="PTP2997" s="462"/>
      <c r="PTQ2997" s="299"/>
      <c r="PTR2997" s="81"/>
      <c r="PTS2997" s="160"/>
      <c r="PTT2997" s="559"/>
      <c r="PTU2997" s="125"/>
      <c r="PTV2997" s="470"/>
      <c r="PTW2997" s="449"/>
      <c r="PTX2997" s="462"/>
      <c r="PTY2997" s="299"/>
      <c r="PTZ2997" s="81"/>
      <c r="PUA2997" s="160"/>
      <c r="PUB2997" s="559"/>
      <c r="PUC2997" s="125"/>
      <c r="PUD2997" s="470"/>
      <c r="PUE2997" s="449"/>
      <c r="PUF2997" s="462"/>
      <c r="PUG2997" s="299"/>
      <c r="PUH2997" s="81"/>
      <c r="PUI2997" s="160"/>
      <c r="PUJ2997" s="559"/>
      <c r="PUK2997" s="125"/>
      <c r="PUL2997" s="470"/>
      <c r="PUM2997" s="449"/>
      <c r="PUN2997" s="462"/>
      <c r="PUO2997" s="299"/>
      <c r="PUP2997" s="81"/>
      <c r="PUQ2997" s="160"/>
      <c r="PUR2997" s="559"/>
      <c r="PUS2997" s="125"/>
      <c r="PUT2997" s="470"/>
      <c r="PUU2997" s="449"/>
      <c r="PUV2997" s="462"/>
      <c r="PUW2997" s="299"/>
      <c r="PUX2997" s="81"/>
      <c r="PUY2997" s="160"/>
      <c r="PUZ2997" s="559"/>
      <c r="PVA2997" s="125"/>
      <c r="PVB2997" s="470"/>
      <c r="PVC2997" s="449"/>
      <c r="PVD2997" s="462"/>
      <c r="PVE2997" s="299"/>
      <c r="PVF2997" s="81"/>
      <c r="PVG2997" s="160"/>
      <c r="PVH2997" s="559"/>
      <c r="PVI2997" s="125"/>
      <c r="PVJ2997" s="470"/>
      <c r="PVK2997" s="449"/>
      <c r="PVL2997" s="462"/>
      <c r="PVM2997" s="299"/>
      <c r="PVN2997" s="81"/>
      <c r="PVO2997" s="160"/>
      <c r="PVP2997" s="559"/>
      <c r="PVQ2997" s="125"/>
      <c r="PVR2997" s="470"/>
      <c r="PVS2997" s="449"/>
      <c r="PVT2997" s="462"/>
      <c r="PVU2997" s="299"/>
      <c r="PVV2997" s="81"/>
      <c r="PVW2997" s="160"/>
      <c r="PVX2997" s="559"/>
      <c r="PVY2997" s="125"/>
      <c r="PVZ2997" s="470"/>
      <c r="PWA2997" s="449"/>
      <c r="PWB2997" s="462"/>
      <c r="PWC2997" s="299"/>
      <c r="PWD2997" s="81"/>
      <c r="PWE2997" s="160"/>
      <c r="PWF2997" s="559"/>
      <c r="PWG2997" s="125"/>
      <c r="PWH2997" s="470"/>
      <c r="PWI2997" s="449"/>
      <c r="PWJ2997" s="462"/>
      <c r="PWK2997" s="299"/>
      <c r="PWL2997" s="81"/>
      <c r="PWM2997" s="160"/>
      <c r="PWN2997" s="559"/>
      <c r="PWO2997" s="125"/>
      <c r="PWP2997" s="470"/>
      <c r="PWQ2997" s="449"/>
      <c r="PWR2997" s="462"/>
      <c r="PWS2997" s="299"/>
      <c r="PWT2997" s="81"/>
      <c r="PWU2997" s="160"/>
      <c r="PWV2997" s="559"/>
      <c r="PWW2997" s="125"/>
      <c r="PWX2997" s="470"/>
      <c r="PWY2997" s="449"/>
      <c r="PWZ2997" s="462"/>
      <c r="PXA2997" s="299"/>
      <c r="PXB2997" s="81"/>
      <c r="PXC2997" s="160"/>
      <c r="PXD2997" s="559"/>
      <c r="PXE2997" s="125"/>
      <c r="PXF2997" s="470"/>
      <c r="PXG2997" s="449"/>
      <c r="PXH2997" s="462"/>
      <c r="PXI2997" s="299"/>
      <c r="PXJ2997" s="81"/>
      <c r="PXK2997" s="160"/>
      <c r="PXL2997" s="559"/>
      <c r="PXM2997" s="125"/>
      <c r="PXN2997" s="470"/>
      <c r="PXO2997" s="449"/>
      <c r="PXP2997" s="462"/>
      <c r="PXQ2997" s="299"/>
      <c r="PXR2997" s="81"/>
      <c r="PXS2997" s="160"/>
      <c r="PXT2997" s="559"/>
      <c r="PXU2997" s="125"/>
      <c r="PXV2997" s="470"/>
      <c r="PXW2997" s="449"/>
      <c r="PXX2997" s="462"/>
      <c r="PXY2997" s="299"/>
      <c r="PXZ2997" s="81"/>
      <c r="PYA2997" s="160"/>
      <c r="PYB2997" s="559"/>
      <c r="PYC2997" s="125"/>
      <c r="PYD2997" s="470"/>
      <c r="PYE2997" s="449"/>
      <c r="PYF2997" s="462"/>
      <c r="PYG2997" s="299"/>
      <c r="PYH2997" s="81"/>
      <c r="PYI2997" s="160"/>
      <c r="PYJ2997" s="559"/>
      <c r="PYK2997" s="125"/>
      <c r="PYL2997" s="470"/>
      <c r="PYM2997" s="449"/>
      <c r="PYN2997" s="462"/>
      <c r="PYO2997" s="299"/>
      <c r="PYP2997" s="81"/>
      <c r="PYQ2997" s="160"/>
      <c r="PYR2997" s="559"/>
      <c r="PYS2997" s="125"/>
      <c r="PYT2997" s="470"/>
      <c r="PYU2997" s="449"/>
      <c r="PYV2997" s="462"/>
      <c r="PYW2997" s="299"/>
      <c r="PYX2997" s="81"/>
      <c r="PYY2997" s="160"/>
      <c r="PYZ2997" s="559"/>
      <c r="PZA2997" s="125"/>
      <c r="PZB2997" s="470"/>
      <c r="PZC2997" s="449"/>
      <c r="PZD2997" s="462"/>
      <c r="PZE2997" s="299"/>
      <c r="PZF2997" s="81"/>
      <c r="PZG2997" s="160"/>
      <c r="PZH2997" s="559"/>
      <c r="PZI2997" s="125"/>
      <c r="PZJ2997" s="470"/>
      <c r="PZK2997" s="449"/>
      <c r="PZL2997" s="462"/>
      <c r="PZM2997" s="299"/>
      <c r="PZN2997" s="81"/>
      <c r="PZO2997" s="160"/>
      <c r="PZP2997" s="559"/>
      <c r="PZQ2997" s="125"/>
      <c r="PZR2997" s="470"/>
      <c r="PZS2997" s="449"/>
      <c r="PZT2997" s="462"/>
      <c r="PZU2997" s="299"/>
      <c r="PZV2997" s="81"/>
      <c r="PZW2997" s="160"/>
      <c r="PZX2997" s="559"/>
      <c r="PZY2997" s="125"/>
      <c r="PZZ2997" s="470"/>
      <c r="QAA2997" s="449"/>
      <c r="QAB2997" s="462"/>
      <c r="QAC2997" s="299"/>
      <c r="QAD2997" s="81"/>
      <c r="QAE2997" s="160"/>
      <c r="QAF2997" s="559"/>
      <c r="QAG2997" s="125"/>
      <c r="QAH2997" s="470"/>
      <c r="QAI2997" s="449"/>
      <c r="QAJ2997" s="462"/>
      <c r="QAK2997" s="299"/>
      <c r="QAL2997" s="81"/>
      <c r="QAM2997" s="160"/>
      <c r="QAN2997" s="559"/>
      <c r="QAO2997" s="125"/>
      <c r="QAP2997" s="470"/>
      <c r="QAQ2997" s="449"/>
      <c r="QAR2997" s="462"/>
      <c r="QAS2997" s="299"/>
      <c r="QAT2997" s="81"/>
      <c r="QAU2997" s="160"/>
      <c r="QAV2997" s="559"/>
      <c r="QAW2997" s="125"/>
      <c r="QAX2997" s="470"/>
      <c r="QAY2997" s="449"/>
      <c r="QAZ2997" s="462"/>
      <c r="QBA2997" s="299"/>
      <c r="QBB2997" s="81"/>
      <c r="QBC2997" s="160"/>
      <c r="QBD2997" s="559"/>
      <c r="QBE2997" s="125"/>
      <c r="QBF2997" s="470"/>
      <c r="QBG2997" s="449"/>
      <c r="QBH2997" s="462"/>
      <c r="QBI2997" s="299"/>
      <c r="QBJ2997" s="81"/>
      <c r="QBK2997" s="160"/>
      <c r="QBL2997" s="559"/>
      <c r="QBM2997" s="125"/>
      <c r="QBN2997" s="470"/>
      <c r="QBO2997" s="449"/>
      <c r="QBP2997" s="462"/>
      <c r="QBQ2997" s="299"/>
      <c r="QBR2997" s="81"/>
      <c r="QBS2997" s="160"/>
      <c r="QBT2997" s="559"/>
      <c r="QBU2997" s="125"/>
      <c r="QBV2997" s="470"/>
      <c r="QBW2997" s="449"/>
      <c r="QBX2997" s="462"/>
      <c r="QBY2997" s="299"/>
      <c r="QBZ2997" s="81"/>
      <c r="QCA2997" s="160"/>
      <c r="QCB2997" s="559"/>
      <c r="QCC2997" s="125"/>
      <c r="QCD2997" s="470"/>
      <c r="QCE2997" s="449"/>
      <c r="QCF2997" s="462"/>
      <c r="QCG2997" s="299"/>
      <c r="QCH2997" s="81"/>
      <c r="QCI2997" s="160"/>
      <c r="QCJ2997" s="559"/>
      <c r="QCK2997" s="125"/>
      <c r="QCL2997" s="470"/>
      <c r="QCM2997" s="449"/>
      <c r="QCN2997" s="462"/>
      <c r="QCO2997" s="299"/>
      <c r="QCP2997" s="81"/>
      <c r="QCQ2997" s="160"/>
      <c r="QCR2997" s="559"/>
      <c r="QCS2997" s="125"/>
      <c r="QCT2997" s="470"/>
      <c r="QCU2997" s="449"/>
      <c r="QCV2997" s="462"/>
      <c r="QCW2997" s="299"/>
      <c r="QCX2997" s="81"/>
      <c r="QCY2997" s="160"/>
      <c r="QCZ2997" s="559"/>
      <c r="QDA2997" s="125"/>
      <c r="QDB2997" s="470"/>
      <c r="QDC2997" s="449"/>
      <c r="QDD2997" s="462"/>
      <c r="QDE2997" s="299"/>
      <c r="QDF2997" s="81"/>
      <c r="QDG2997" s="160"/>
      <c r="QDH2997" s="559"/>
      <c r="QDI2997" s="125"/>
      <c r="QDJ2997" s="470"/>
      <c r="QDK2997" s="449"/>
      <c r="QDL2997" s="462"/>
      <c r="QDM2997" s="299"/>
      <c r="QDN2997" s="81"/>
      <c r="QDO2997" s="160"/>
      <c r="QDP2997" s="559"/>
      <c r="QDQ2997" s="125"/>
      <c r="QDR2997" s="470"/>
      <c r="QDS2997" s="449"/>
      <c r="QDT2997" s="462"/>
      <c r="QDU2997" s="299"/>
      <c r="QDV2997" s="81"/>
      <c r="QDW2997" s="160"/>
      <c r="QDX2997" s="559"/>
      <c r="QDY2997" s="125"/>
      <c r="QDZ2997" s="470"/>
      <c r="QEA2997" s="449"/>
      <c r="QEB2997" s="462"/>
      <c r="QEC2997" s="299"/>
      <c r="QED2997" s="81"/>
      <c r="QEE2997" s="160"/>
      <c r="QEF2997" s="559"/>
      <c r="QEG2997" s="125"/>
      <c r="QEH2997" s="470"/>
      <c r="QEI2997" s="449"/>
      <c r="QEJ2997" s="462"/>
      <c r="QEK2997" s="299"/>
      <c r="QEL2997" s="81"/>
      <c r="QEM2997" s="160"/>
      <c r="QEN2997" s="559"/>
      <c r="QEO2997" s="125"/>
      <c r="QEP2997" s="470"/>
      <c r="QEQ2997" s="449"/>
      <c r="QER2997" s="462"/>
      <c r="QES2997" s="299"/>
      <c r="QET2997" s="81"/>
      <c r="QEU2997" s="160"/>
      <c r="QEV2997" s="559"/>
      <c r="QEW2997" s="125"/>
      <c r="QEX2997" s="470"/>
      <c r="QEY2997" s="449"/>
      <c r="QEZ2997" s="462"/>
      <c r="QFA2997" s="299"/>
      <c r="QFB2997" s="81"/>
      <c r="QFC2997" s="160"/>
      <c r="QFD2997" s="559"/>
      <c r="QFE2997" s="125"/>
      <c r="QFF2997" s="470"/>
      <c r="QFG2997" s="449"/>
      <c r="QFH2997" s="462"/>
      <c r="QFI2997" s="299"/>
      <c r="QFJ2997" s="81"/>
      <c r="QFK2997" s="160"/>
      <c r="QFL2997" s="559"/>
      <c r="QFM2997" s="125"/>
      <c r="QFN2997" s="470"/>
      <c r="QFO2997" s="449"/>
      <c r="QFP2997" s="462"/>
      <c r="QFQ2997" s="299"/>
      <c r="QFR2997" s="81"/>
      <c r="QFS2997" s="160"/>
      <c r="QFT2997" s="559"/>
      <c r="QFU2997" s="125"/>
      <c r="QFV2997" s="470"/>
      <c r="QFW2997" s="449"/>
      <c r="QFX2997" s="462"/>
      <c r="QFY2997" s="299"/>
      <c r="QFZ2997" s="81"/>
      <c r="QGA2997" s="160"/>
      <c r="QGB2997" s="559"/>
      <c r="QGC2997" s="125"/>
      <c r="QGD2997" s="470"/>
      <c r="QGE2997" s="449"/>
      <c r="QGF2997" s="462"/>
      <c r="QGG2997" s="299"/>
      <c r="QGH2997" s="81"/>
      <c r="QGI2997" s="160"/>
      <c r="QGJ2997" s="559"/>
      <c r="QGK2997" s="125"/>
      <c r="QGL2997" s="470"/>
      <c r="QGM2997" s="449"/>
      <c r="QGN2997" s="462"/>
      <c r="QGO2997" s="299"/>
      <c r="QGP2997" s="81"/>
      <c r="QGQ2997" s="160"/>
      <c r="QGR2997" s="559"/>
      <c r="QGS2997" s="125"/>
      <c r="QGT2997" s="470"/>
      <c r="QGU2997" s="449"/>
      <c r="QGV2997" s="462"/>
      <c r="QGW2997" s="299"/>
      <c r="QGX2997" s="81"/>
      <c r="QGY2997" s="160"/>
      <c r="QGZ2997" s="559"/>
      <c r="QHA2997" s="125"/>
      <c r="QHB2997" s="470"/>
      <c r="QHC2997" s="449"/>
      <c r="QHD2997" s="462"/>
      <c r="QHE2997" s="299"/>
      <c r="QHF2997" s="81"/>
      <c r="QHG2997" s="160"/>
      <c r="QHH2997" s="559"/>
      <c r="QHI2997" s="125"/>
      <c r="QHJ2997" s="470"/>
      <c r="QHK2997" s="449"/>
      <c r="QHL2997" s="462"/>
      <c r="QHM2997" s="299"/>
      <c r="QHN2997" s="81"/>
      <c r="QHO2997" s="160"/>
      <c r="QHP2997" s="559"/>
      <c r="QHQ2997" s="125"/>
      <c r="QHR2997" s="470"/>
      <c r="QHS2997" s="449"/>
      <c r="QHT2997" s="462"/>
      <c r="QHU2997" s="299"/>
      <c r="QHV2997" s="81"/>
      <c r="QHW2997" s="160"/>
      <c r="QHX2997" s="559"/>
      <c r="QHY2997" s="125"/>
      <c r="QHZ2997" s="470"/>
      <c r="QIA2997" s="449"/>
      <c r="QIB2997" s="462"/>
      <c r="QIC2997" s="299"/>
      <c r="QID2997" s="81"/>
      <c r="QIE2997" s="160"/>
      <c r="QIF2997" s="559"/>
      <c r="QIG2997" s="125"/>
      <c r="QIH2997" s="470"/>
      <c r="QII2997" s="449"/>
      <c r="QIJ2997" s="462"/>
      <c r="QIK2997" s="299"/>
      <c r="QIL2997" s="81"/>
      <c r="QIM2997" s="160"/>
      <c r="QIN2997" s="559"/>
      <c r="QIO2997" s="125"/>
      <c r="QIP2997" s="470"/>
      <c r="QIQ2997" s="449"/>
      <c r="QIR2997" s="462"/>
      <c r="QIS2997" s="299"/>
      <c r="QIT2997" s="81"/>
      <c r="QIU2997" s="160"/>
      <c r="QIV2997" s="559"/>
      <c r="QIW2997" s="125"/>
      <c r="QIX2997" s="470"/>
      <c r="QIY2997" s="449"/>
      <c r="QIZ2997" s="462"/>
      <c r="QJA2997" s="299"/>
      <c r="QJB2997" s="81"/>
      <c r="QJC2997" s="160"/>
      <c r="QJD2997" s="559"/>
      <c r="QJE2997" s="125"/>
      <c r="QJF2997" s="470"/>
      <c r="QJG2997" s="449"/>
      <c r="QJH2997" s="462"/>
      <c r="QJI2997" s="299"/>
      <c r="QJJ2997" s="81"/>
      <c r="QJK2997" s="160"/>
      <c r="QJL2997" s="559"/>
      <c r="QJM2997" s="125"/>
      <c r="QJN2997" s="470"/>
      <c r="QJO2997" s="449"/>
      <c r="QJP2997" s="462"/>
      <c r="QJQ2997" s="299"/>
      <c r="QJR2997" s="81"/>
      <c r="QJS2997" s="160"/>
      <c r="QJT2997" s="559"/>
      <c r="QJU2997" s="125"/>
      <c r="QJV2997" s="470"/>
      <c r="QJW2997" s="449"/>
      <c r="QJX2997" s="462"/>
      <c r="QJY2997" s="299"/>
      <c r="QJZ2997" s="81"/>
      <c r="QKA2997" s="160"/>
      <c r="QKB2997" s="559"/>
      <c r="QKC2997" s="125"/>
      <c r="QKD2997" s="470"/>
      <c r="QKE2997" s="449"/>
      <c r="QKF2997" s="462"/>
      <c r="QKG2997" s="299"/>
      <c r="QKH2997" s="81"/>
      <c r="QKI2997" s="160"/>
      <c r="QKJ2997" s="559"/>
      <c r="QKK2997" s="125"/>
      <c r="QKL2997" s="470"/>
      <c r="QKM2997" s="449"/>
      <c r="QKN2997" s="462"/>
      <c r="QKO2997" s="299"/>
      <c r="QKP2997" s="81"/>
      <c r="QKQ2997" s="160"/>
      <c r="QKR2997" s="559"/>
      <c r="QKS2997" s="125"/>
      <c r="QKT2997" s="470"/>
      <c r="QKU2997" s="449"/>
      <c r="QKV2997" s="462"/>
      <c r="QKW2997" s="299"/>
      <c r="QKX2997" s="81"/>
      <c r="QKY2997" s="160"/>
      <c r="QKZ2997" s="559"/>
      <c r="QLA2997" s="125"/>
      <c r="QLB2997" s="470"/>
      <c r="QLC2997" s="449"/>
      <c r="QLD2997" s="462"/>
      <c r="QLE2997" s="299"/>
      <c r="QLF2997" s="81"/>
      <c r="QLG2997" s="160"/>
      <c r="QLH2997" s="559"/>
      <c r="QLI2997" s="125"/>
      <c r="QLJ2997" s="470"/>
      <c r="QLK2997" s="449"/>
      <c r="QLL2997" s="462"/>
      <c r="QLM2997" s="299"/>
      <c r="QLN2997" s="81"/>
      <c r="QLO2997" s="160"/>
      <c r="QLP2997" s="559"/>
      <c r="QLQ2997" s="125"/>
      <c r="QLR2997" s="470"/>
      <c r="QLS2997" s="449"/>
      <c r="QLT2997" s="462"/>
      <c r="QLU2997" s="299"/>
      <c r="QLV2997" s="81"/>
      <c r="QLW2997" s="160"/>
      <c r="QLX2997" s="559"/>
      <c r="QLY2997" s="125"/>
      <c r="QLZ2997" s="470"/>
      <c r="QMA2997" s="449"/>
      <c r="QMB2997" s="462"/>
      <c r="QMC2997" s="299"/>
      <c r="QMD2997" s="81"/>
      <c r="QME2997" s="160"/>
      <c r="QMF2997" s="559"/>
      <c r="QMG2997" s="125"/>
      <c r="QMH2997" s="470"/>
      <c r="QMI2997" s="449"/>
      <c r="QMJ2997" s="462"/>
      <c r="QMK2997" s="299"/>
      <c r="QML2997" s="81"/>
      <c r="QMM2997" s="160"/>
      <c r="QMN2997" s="559"/>
      <c r="QMO2997" s="125"/>
      <c r="QMP2997" s="470"/>
      <c r="QMQ2997" s="449"/>
      <c r="QMR2997" s="462"/>
      <c r="QMS2997" s="299"/>
      <c r="QMT2997" s="81"/>
      <c r="QMU2997" s="160"/>
      <c r="QMV2997" s="559"/>
      <c r="QMW2997" s="125"/>
      <c r="QMX2997" s="470"/>
      <c r="QMY2997" s="449"/>
      <c r="QMZ2997" s="462"/>
      <c r="QNA2997" s="299"/>
      <c r="QNB2997" s="81"/>
      <c r="QNC2997" s="160"/>
      <c r="QND2997" s="559"/>
      <c r="QNE2997" s="125"/>
      <c r="QNF2997" s="470"/>
      <c r="QNG2997" s="449"/>
      <c r="QNH2997" s="462"/>
      <c r="QNI2997" s="299"/>
      <c r="QNJ2997" s="81"/>
      <c r="QNK2997" s="160"/>
      <c r="QNL2997" s="559"/>
      <c r="QNM2997" s="125"/>
      <c r="QNN2997" s="470"/>
      <c r="QNO2997" s="449"/>
      <c r="QNP2997" s="462"/>
      <c r="QNQ2997" s="299"/>
      <c r="QNR2997" s="81"/>
      <c r="QNS2997" s="160"/>
      <c r="QNT2997" s="559"/>
      <c r="QNU2997" s="125"/>
      <c r="QNV2997" s="470"/>
      <c r="QNW2997" s="449"/>
      <c r="QNX2997" s="462"/>
      <c r="QNY2997" s="299"/>
      <c r="QNZ2997" s="81"/>
      <c r="QOA2997" s="160"/>
      <c r="QOB2997" s="559"/>
      <c r="QOC2997" s="125"/>
      <c r="QOD2997" s="470"/>
      <c r="QOE2997" s="449"/>
      <c r="QOF2997" s="462"/>
      <c r="QOG2997" s="299"/>
      <c r="QOH2997" s="81"/>
      <c r="QOI2997" s="160"/>
      <c r="QOJ2997" s="559"/>
      <c r="QOK2997" s="125"/>
      <c r="QOL2997" s="470"/>
      <c r="QOM2997" s="449"/>
      <c r="QON2997" s="462"/>
      <c r="QOO2997" s="299"/>
      <c r="QOP2997" s="81"/>
      <c r="QOQ2997" s="160"/>
      <c r="QOR2997" s="559"/>
      <c r="QOS2997" s="125"/>
      <c r="QOT2997" s="470"/>
      <c r="QOU2997" s="449"/>
      <c r="QOV2997" s="462"/>
      <c r="QOW2997" s="299"/>
      <c r="QOX2997" s="81"/>
      <c r="QOY2997" s="160"/>
      <c r="QOZ2997" s="559"/>
      <c r="QPA2997" s="125"/>
      <c r="QPB2997" s="470"/>
      <c r="QPC2997" s="449"/>
      <c r="QPD2997" s="462"/>
      <c r="QPE2997" s="299"/>
      <c r="QPF2997" s="81"/>
      <c r="QPG2997" s="160"/>
      <c r="QPH2997" s="559"/>
      <c r="QPI2997" s="125"/>
      <c r="QPJ2997" s="470"/>
      <c r="QPK2997" s="449"/>
      <c r="QPL2997" s="462"/>
      <c r="QPM2997" s="299"/>
      <c r="QPN2997" s="81"/>
      <c r="QPO2997" s="160"/>
      <c r="QPP2997" s="559"/>
      <c r="QPQ2997" s="125"/>
      <c r="QPR2997" s="470"/>
      <c r="QPS2997" s="449"/>
      <c r="QPT2997" s="462"/>
      <c r="QPU2997" s="299"/>
      <c r="QPV2997" s="81"/>
      <c r="QPW2997" s="160"/>
      <c r="QPX2997" s="559"/>
      <c r="QPY2997" s="125"/>
      <c r="QPZ2997" s="470"/>
      <c r="QQA2997" s="449"/>
      <c r="QQB2997" s="462"/>
      <c r="QQC2997" s="299"/>
      <c r="QQD2997" s="81"/>
      <c r="QQE2997" s="160"/>
      <c r="QQF2997" s="559"/>
      <c r="QQG2997" s="125"/>
      <c r="QQH2997" s="470"/>
      <c r="QQI2997" s="449"/>
      <c r="QQJ2997" s="462"/>
      <c r="QQK2997" s="299"/>
      <c r="QQL2997" s="81"/>
      <c r="QQM2997" s="160"/>
      <c r="QQN2997" s="559"/>
      <c r="QQO2997" s="125"/>
      <c r="QQP2997" s="470"/>
      <c r="QQQ2997" s="449"/>
      <c r="QQR2997" s="462"/>
      <c r="QQS2997" s="299"/>
      <c r="QQT2997" s="81"/>
      <c r="QQU2997" s="160"/>
      <c r="QQV2997" s="559"/>
      <c r="QQW2997" s="125"/>
      <c r="QQX2997" s="470"/>
      <c r="QQY2997" s="449"/>
      <c r="QQZ2997" s="462"/>
      <c r="QRA2997" s="299"/>
      <c r="QRB2997" s="81"/>
      <c r="QRC2997" s="160"/>
      <c r="QRD2997" s="559"/>
      <c r="QRE2997" s="125"/>
      <c r="QRF2997" s="470"/>
      <c r="QRG2997" s="449"/>
      <c r="QRH2997" s="462"/>
      <c r="QRI2997" s="299"/>
      <c r="QRJ2997" s="81"/>
      <c r="QRK2997" s="160"/>
      <c r="QRL2997" s="559"/>
      <c r="QRM2997" s="125"/>
      <c r="QRN2997" s="470"/>
      <c r="QRO2997" s="449"/>
      <c r="QRP2997" s="462"/>
      <c r="QRQ2997" s="299"/>
      <c r="QRR2997" s="81"/>
      <c r="QRS2997" s="160"/>
      <c r="QRT2997" s="559"/>
      <c r="QRU2997" s="125"/>
      <c r="QRV2997" s="470"/>
      <c r="QRW2997" s="449"/>
      <c r="QRX2997" s="462"/>
      <c r="QRY2997" s="299"/>
      <c r="QRZ2997" s="81"/>
      <c r="QSA2997" s="160"/>
      <c r="QSB2997" s="559"/>
      <c r="QSC2997" s="125"/>
      <c r="QSD2997" s="470"/>
      <c r="QSE2997" s="449"/>
      <c r="QSF2997" s="462"/>
      <c r="QSG2997" s="299"/>
      <c r="QSH2997" s="81"/>
      <c r="QSI2997" s="160"/>
      <c r="QSJ2997" s="559"/>
      <c r="QSK2997" s="125"/>
      <c r="QSL2997" s="470"/>
      <c r="QSM2997" s="449"/>
      <c r="QSN2997" s="462"/>
      <c r="QSO2997" s="299"/>
      <c r="QSP2997" s="81"/>
      <c r="QSQ2997" s="160"/>
      <c r="QSR2997" s="559"/>
      <c r="QSS2997" s="125"/>
      <c r="QST2997" s="470"/>
      <c r="QSU2997" s="449"/>
      <c r="QSV2997" s="462"/>
      <c r="QSW2997" s="299"/>
      <c r="QSX2997" s="81"/>
      <c r="QSY2997" s="160"/>
      <c r="QSZ2997" s="559"/>
      <c r="QTA2997" s="125"/>
      <c r="QTB2997" s="470"/>
      <c r="QTC2997" s="449"/>
      <c r="QTD2997" s="462"/>
      <c r="QTE2997" s="299"/>
      <c r="QTF2997" s="81"/>
      <c r="QTG2997" s="160"/>
      <c r="QTH2997" s="559"/>
      <c r="QTI2997" s="125"/>
      <c r="QTJ2997" s="470"/>
      <c r="QTK2997" s="449"/>
      <c r="QTL2997" s="462"/>
      <c r="QTM2997" s="299"/>
      <c r="QTN2997" s="81"/>
      <c r="QTO2997" s="160"/>
      <c r="QTP2997" s="559"/>
      <c r="QTQ2997" s="125"/>
      <c r="QTR2997" s="470"/>
      <c r="QTS2997" s="449"/>
      <c r="QTT2997" s="462"/>
      <c r="QTU2997" s="299"/>
      <c r="QTV2997" s="81"/>
      <c r="QTW2997" s="160"/>
      <c r="QTX2997" s="559"/>
      <c r="QTY2997" s="125"/>
      <c r="QTZ2997" s="470"/>
      <c r="QUA2997" s="449"/>
      <c r="QUB2997" s="462"/>
      <c r="QUC2997" s="299"/>
      <c r="QUD2997" s="81"/>
      <c r="QUE2997" s="160"/>
      <c r="QUF2997" s="559"/>
      <c r="QUG2997" s="125"/>
      <c r="QUH2997" s="470"/>
      <c r="QUI2997" s="449"/>
      <c r="QUJ2997" s="462"/>
      <c r="QUK2997" s="299"/>
      <c r="QUL2997" s="81"/>
      <c r="QUM2997" s="160"/>
      <c r="QUN2997" s="559"/>
      <c r="QUO2997" s="125"/>
      <c r="QUP2997" s="470"/>
      <c r="QUQ2997" s="449"/>
      <c r="QUR2997" s="462"/>
      <c r="QUS2997" s="299"/>
      <c r="QUT2997" s="81"/>
      <c r="QUU2997" s="160"/>
      <c r="QUV2997" s="559"/>
      <c r="QUW2997" s="125"/>
      <c r="QUX2997" s="470"/>
      <c r="QUY2997" s="449"/>
      <c r="QUZ2997" s="462"/>
      <c r="QVA2997" s="299"/>
      <c r="QVB2997" s="81"/>
      <c r="QVC2997" s="160"/>
      <c r="QVD2997" s="559"/>
      <c r="QVE2997" s="125"/>
      <c r="QVF2997" s="470"/>
      <c r="QVG2997" s="449"/>
      <c r="QVH2997" s="462"/>
      <c r="QVI2997" s="299"/>
      <c r="QVJ2997" s="81"/>
      <c r="QVK2997" s="160"/>
      <c r="QVL2997" s="559"/>
      <c r="QVM2997" s="125"/>
      <c r="QVN2997" s="470"/>
      <c r="QVO2997" s="449"/>
      <c r="QVP2997" s="462"/>
      <c r="QVQ2997" s="299"/>
      <c r="QVR2997" s="81"/>
      <c r="QVS2997" s="160"/>
      <c r="QVT2997" s="559"/>
      <c r="QVU2997" s="125"/>
      <c r="QVV2997" s="470"/>
      <c r="QVW2997" s="449"/>
      <c r="QVX2997" s="462"/>
      <c r="QVY2997" s="299"/>
      <c r="QVZ2997" s="81"/>
      <c r="QWA2997" s="160"/>
      <c r="QWB2997" s="559"/>
      <c r="QWC2997" s="125"/>
      <c r="QWD2997" s="470"/>
      <c r="QWE2997" s="449"/>
      <c r="QWF2997" s="462"/>
      <c r="QWG2997" s="299"/>
      <c r="QWH2997" s="81"/>
      <c r="QWI2997" s="160"/>
      <c r="QWJ2997" s="559"/>
      <c r="QWK2997" s="125"/>
      <c r="QWL2997" s="470"/>
      <c r="QWM2997" s="449"/>
      <c r="QWN2997" s="462"/>
      <c r="QWO2997" s="299"/>
      <c r="QWP2997" s="81"/>
      <c r="QWQ2997" s="160"/>
      <c r="QWR2997" s="559"/>
      <c r="QWS2997" s="125"/>
      <c r="QWT2997" s="470"/>
      <c r="QWU2997" s="449"/>
      <c r="QWV2997" s="462"/>
      <c r="QWW2997" s="299"/>
      <c r="QWX2997" s="81"/>
      <c r="QWY2997" s="160"/>
      <c r="QWZ2997" s="559"/>
      <c r="QXA2997" s="125"/>
      <c r="QXB2997" s="470"/>
      <c r="QXC2997" s="449"/>
      <c r="QXD2997" s="462"/>
      <c r="QXE2997" s="299"/>
      <c r="QXF2997" s="81"/>
      <c r="QXG2997" s="160"/>
      <c r="QXH2997" s="559"/>
      <c r="QXI2997" s="125"/>
      <c r="QXJ2997" s="470"/>
      <c r="QXK2997" s="449"/>
      <c r="QXL2997" s="462"/>
      <c r="QXM2997" s="299"/>
      <c r="QXN2997" s="81"/>
      <c r="QXO2997" s="160"/>
      <c r="QXP2997" s="559"/>
      <c r="QXQ2997" s="125"/>
      <c r="QXR2997" s="470"/>
      <c r="QXS2997" s="449"/>
      <c r="QXT2997" s="462"/>
      <c r="QXU2997" s="299"/>
      <c r="QXV2997" s="81"/>
      <c r="QXW2997" s="160"/>
      <c r="QXX2997" s="559"/>
      <c r="QXY2997" s="125"/>
      <c r="QXZ2997" s="470"/>
      <c r="QYA2997" s="449"/>
      <c r="QYB2997" s="462"/>
      <c r="QYC2997" s="299"/>
      <c r="QYD2997" s="81"/>
      <c r="QYE2997" s="160"/>
      <c r="QYF2997" s="559"/>
      <c r="QYG2997" s="125"/>
      <c r="QYH2997" s="470"/>
      <c r="QYI2997" s="449"/>
      <c r="QYJ2997" s="462"/>
      <c r="QYK2997" s="299"/>
      <c r="QYL2997" s="81"/>
      <c r="QYM2997" s="160"/>
      <c r="QYN2997" s="559"/>
      <c r="QYO2997" s="125"/>
      <c r="QYP2997" s="470"/>
      <c r="QYQ2997" s="449"/>
      <c r="QYR2997" s="462"/>
      <c r="QYS2997" s="299"/>
      <c r="QYT2997" s="81"/>
      <c r="QYU2997" s="160"/>
      <c r="QYV2997" s="559"/>
      <c r="QYW2997" s="125"/>
      <c r="QYX2997" s="470"/>
      <c r="QYY2997" s="449"/>
      <c r="QYZ2997" s="462"/>
      <c r="QZA2997" s="299"/>
      <c r="QZB2997" s="81"/>
      <c r="QZC2997" s="160"/>
      <c r="QZD2997" s="559"/>
      <c r="QZE2997" s="125"/>
      <c r="QZF2997" s="470"/>
      <c r="QZG2997" s="449"/>
      <c r="QZH2997" s="462"/>
      <c r="QZI2997" s="299"/>
      <c r="QZJ2997" s="81"/>
      <c r="QZK2997" s="160"/>
      <c r="QZL2997" s="559"/>
      <c r="QZM2997" s="125"/>
      <c r="QZN2997" s="470"/>
      <c r="QZO2997" s="449"/>
      <c r="QZP2997" s="462"/>
      <c r="QZQ2997" s="299"/>
      <c r="QZR2997" s="81"/>
      <c r="QZS2997" s="160"/>
      <c r="QZT2997" s="559"/>
      <c r="QZU2997" s="125"/>
      <c r="QZV2997" s="470"/>
      <c r="QZW2997" s="449"/>
      <c r="QZX2997" s="462"/>
      <c r="QZY2997" s="299"/>
      <c r="QZZ2997" s="81"/>
      <c r="RAA2997" s="160"/>
      <c r="RAB2997" s="559"/>
      <c r="RAC2997" s="125"/>
      <c r="RAD2997" s="470"/>
      <c r="RAE2997" s="449"/>
      <c r="RAF2997" s="462"/>
      <c r="RAG2997" s="299"/>
      <c r="RAH2997" s="81"/>
      <c r="RAI2997" s="160"/>
      <c r="RAJ2997" s="559"/>
      <c r="RAK2997" s="125"/>
      <c r="RAL2997" s="470"/>
      <c r="RAM2997" s="449"/>
      <c r="RAN2997" s="462"/>
      <c r="RAO2997" s="299"/>
      <c r="RAP2997" s="81"/>
      <c r="RAQ2997" s="160"/>
      <c r="RAR2997" s="559"/>
      <c r="RAS2997" s="125"/>
      <c r="RAT2997" s="470"/>
      <c r="RAU2997" s="449"/>
      <c r="RAV2997" s="462"/>
      <c r="RAW2997" s="299"/>
      <c r="RAX2997" s="81"/>
      <c r="RAY2997" s="160"/>
      <c r="RAZ2997" s="559"/>
      <c r="RBA2997" s="125"/>
      <c r="RBB2997" s="470"/>
      <c r="RBC2997" s="449"/>
      <c r="RBD2997" s="462"/>
      <c r="RBE2997" s="299"/>
      <c r="RBF2997" s="81"/>
      <c r="RBG2997" s="160"/>
      <c r="RBH2997" s="559"/>
      <c r="RBI2997" s="125"/>
      <c r="RBJ2997" s="470"/>
      <c r="RBK2997" s="449"/>
      <c r="RBL2997" s="462"/>
      <c r="RBM2997" s="299"/>
      <c r="RBN2997" s="81"/>
      <c r="RBO2997" s="160"/>
      <c r="RBP2997" s="559"/>
      <c r="RBQ2997" s="125"/>
      <c r="RBR2997" s="470"/>
      <c r="RBS2997" s="449"/>
      <c r="RBT2997" s="462"/>
      <c r="RBU2997" s="299"/>
      <c r="RBV2997" s="81"/>
      <c r="RBW2997" s="160"/>
      <c r="RBX2997" s="559"/>
      <c r="RBY2997" s="125"/>
      <c r="RBZ2997" s="470"/>
      <c r="RCA2997" s="449"/>
      <c r="RCB2997" s="462"/>
      <c r="RCC2997" s="299"/>
      <c r="RCD2997" s="81"/>
      <c r="RCE2997" s="160"/>
      <c r="RCF2997" s="559"/>
      <c r="RCG2997" s="125"/>
      <c r="RCH2997" s="470"/>
      <c r="RCI2997" s="449"/>
      <c r="RCJ2997" s="462"/>
      <c r="RCK2997" s="299"/>
      <c r="RCL2997" s="81"/>
      <c r="RCM2997" s="160"/>
      <c r="RCN2997" s="559"/>
      <c r="RCO2997" s="125"/>
      <c r="RCP2997" s="470"/>
      <c r="RCQ2997" s="449"/>
      <c r="RCR2997" s="462"/>
      <c r="RCS2997" s="299"/>
      <c r="RCT2997" s="81"/>
      <c r="RCU2997" s="160"/>
      <c r="RCV2997" s="559"/>
      <c r="RCW2997" s="125"/>
      <c r="RCX2997" s="470"/>
      <c r="RCY2997" s="449"/>
      <c r="RCZ2997" s="462"/>
      <c r="RDA2997" s="299"/>
      <c r="RDB2997" s="81"/>
      <c r="RDC2997" s="160"/>
      <c r="RDD2997" s="559"/>
      <c r="RDE2997" s="125"/>
      <c r="RDF2997" s="470"/>
      <c r="RDG2997" s="449"/>
      <c r="RDH2997" s="462"/>
      <c r="RDI2997" s="299"/>
      <c r="RDJ2997" s="81"/>
      <c r="RDK2997" s="160"/>
      <c r="RDL2997" s="559"/>
      <c r="RDM2997" s="125"/>
      <c r="RDN2997" s="470"/>
      <c r="RDO2997" s="449"/>
      <c r="RDP2997" s="462"/>
      <c r="RDQ2997" s="299"/>
      <c r="RDR2997" s="81"/>
      <c r="RDS2997" s="160"/>
      <c r="RDT2997" s="559"/>
      <c r="RDU2997" s="125"/>
      <c r="RDV2997" s="470"/>
      <c r="RDW2997" s="449"/>
      <c r="RDX2997" s="462"/>
      <c r="RDY2997" s="299"/>
      <c r="RDZ2997" s="81"/>
      <c r="REA2997" s="160"/>
      <c r="REB2997" s="559"/>
      <c r="REC2997" s="125"/>
      <c r="RED2997" s="470"/>
      <c r="REE2997" s="449"/>
      <c r="REF2997" s="462"/>
      <c r="REG2997" s="299"/>
      <c r="REH2997" s="81"/>
      <c r="REI2997" s="160"/>
      <c r="REJ2997" s="559"/>
      <c r="REK2997" s="125"/>
      <c r="REL2997" s="470"/>
      <c r="REM2997" s="449"/>
      <c r="REN2997" s="462"/>
      <c r="REO2997" s="299"/>
      <c r="REP2997" s="81"/>
      <c r="REQ2997" s="160"/>
      <c r="RER2997" s="559"/>
      <c r="RES2997" s="125"/>
      <c r="RET2997" s="470"/>
      <c r="REU2997" s="449"/>
      <c r="REV2997" s="462"/>
      <c r="REW2997" s="299"/>
      <c r="REX2997" s="81"/>
      <c r="REY2997" s="160"/>
      <c r="REZ2997" s="559"/>
      <c r="RFA2997" s="125"/>
      <c r="RFB2997" s="470"/>
      <c r="RFC2997" s="449"/>
      <c r="RFD2997" s="462"/>
      <c r="RFE2997" s="299"/>
      <c r="RFF2997" s="81"/>
      <c r="RFG2997" s="160"/>
      <c r="RFH2997" s="559"/>
      <c r="RFI2997" s="125"/>
      <c r="RFJ2997" s="470"/>
      <c r="RFK2997" s="449"/>
      <c r="RFL2997" s="462"/>
      <c r="RFM2997" s="299"/>
      <c r="RFN2997" s="81"/>
      <c r="RFO2997" s="160"/>
      <c r="RFP2997" s="559"/>
      <c r="RFQ2997" s="125"/>
      <c r="RFR2997" s="470"/>
      <c r="RFS2997" s="449"/>
      <c r="RFT2997" s="462"/>
      <c r="RFU2997" s="299"/>
      <c r="RFV2997" s="81"/>
      <c r="RFW2997" s="160"/>
      <c r="RFX2997" s="559"/>
      <c r="RFY2997" s="125"/>
      <c r="RFZ2997" s="470"/>
      <c r="RGA2997" s="449"/>
      <c r="RGB2997" s="462"/>
      <c r="RGC2997" s="299"/>
      <c r="RGD2997" s="81"/>
      <c r="RGE2997" s="160"/>
      <c r="RGF2997" s="559"/>
      <c r="RGG2997" s="125"/>
      <c r="RGH2997" s="470"/>
      <c r="RGI2997" s="449"/>
      <c r="RGJ2997" s="462"/>
      <c r="RGK2997" s="299"/>
      <c r="RGL2997" s="81"/>
      <c r="RGM2997" s="160"/>
      <c r="RGN2997" s="559"/>
      <c r="RGO2997" s="125"/>
      <c r="RGP2997" s="470"/>
      <c r="RGQ2997" s="449"/>
      <c r="RGR2997" s="462"/>
      <c r="RGS2997" s="299"/>
      <c r="RGT2997" s="81"/>
      <c r="RGU2997" s="160"/>
      <c r="RGV2997" s="559"/>
      <c r="RGW2997" s="125"/>
      <c r="RGX2997" s="470"/>
      <c r="RGY2997" s="449"/>
      <c r="RGZ2997" s="462"/>
      <c r="RHA2997" s="299"/>
      <c r="RHB2997" s="81"/>
      <c r="RHC2997" s="160"/>
      <c r="RHD2997" s="559"/>
      <c r="RHE2997" s="125"/>
      <c r="RHF2997" s="470"/>
      <c r="RHG2997" s="449"/>
      <c r="RHH2997" s="462"/>
      <c r="RHI2997" s="299"/>
      <c r="RHJ2997" s="81"/>
      <c r="RHK2997" s="160"/>
      <c r="RHL2997" s="559"/>
      <c r="RHM2997" s="125"/>
      <c r="RHN2997" s="470"/>
      <c r="RHO2997" s="449"/>
      <c r="RHP2997" s="462"/>
      <c r="RHQ2997" s="299"/>
      <c r="RHR2997" s="81"/>
      <c r="RHS2997" s="160"/>
      <c r="RHT2997" s="559"/>
      <c r="RHU2997" s="125"/>
      <c r="RHV2997" s="470"/>
      <c r="RHW2997" s="449"/>
      <c r="RHX2997" s="462"/>
      <c r="RHY2997" s="299"/>
      <c r="RHZ2997" s="81"/>
      <c r="RIA2997" s="160"/>
      <c r="RIB2997" s="559"/>
      <c r="RIC2997" s="125"/>
      <c r="RID2997" s="470"/>
      <c r="RIE2997" s="449"/>
      <c r="RIF2997" s="462"/>
      <c r="RIG2997" s="299"/>
      <c r="RIH2997" s="81"/>
      <c r="RII2997" s="160"/>
      <c r="RIJ2997" s="559"/>
      <c r="RIK2997" s="125"/>
      <c r="RIL2997" s="470"/>
      <c r="RIM2997" s="449"/>
      <c r="RIN2997" s="462"/>
      <c r="RIO2997" s="299"/>
      <c r="RIP2997" s="81"/>
      <c r="RIQ2997" s="160"/>
      <c r="RIR2997" s="559"/>
      <c r="RIS2997" s="125"/>
      <c r="RIT2997" s="470"/>
      <c r="RIU2997" s="449"/>
      <c r="RIV2997" s="462"/>
      <c r="RIW2997" s="299"/>
      <c r="RIX2997" s="81"/>
      <c r="RIY2997" s="160"/>
      <c r="RIZ2997" s="559"/>
      <c r="RJA2997" s="125"/>
      <c r="RJB2997" s="470"/>
      <c r="RJC2997" s="449"/>
      <c r="RJD2997" s="462"/>
      <c r="RJE2997" s="299"/>
      <c r="RJF2997" s="81"/>
      <c r="RJG2997" s="160"/>
      <c r="RJH2997" s="559"/>
      <c r="RJI2997" s="125"/>
      <c r="RJJ2997" s="470"/>
      <c r="RJK2997" s="449"/>
      <c r="RJL2997" s="462"/>
      <c r="RJM2997" s="299"/>
      <c r="RJN2997" s="81"/>
      <c r="RJO2997" s="160"/>
      <c r="RJP2997" s="559"/>
      <c r="RJQ2997" s="125"/>
      <c r="RJR2997" s="470"/>
      <c r="RJS2997" s="449"/>
      <c r="RJT2997" s="462"/>
      <c r="RJU2997" s="299"/>
      <c r="RJV2997" s="81"/>
      <c r="RJW2997" s="160"/>
      <c r="RJX2997" s="559"/>
      <c r="RJY2997" s="125"/>
      <c r="RJZ2997" s="470"/>
      <c r="RKA2997" s="449"/>
      <c r="RKB2997" s="462"/>
      <c r="RKC2997" s="299"/>
      <c r="RKD2997" s="81"/>
      <c r="RKE2997" s="160"/>
      <c r="RKF2997" s="559"/>
      <c r="RKG2997" s="125"/>
      <c r="RKH2997" s="470"/>
      <c r="RKI2997" s="449"/>
      <c r="RKJ2997" s="462"/>
      <c r="RKK2997" s="299"/>
      <c r="RKL2997" s="81"/>
      <c r="RKM2997" s="160"/>
      <c r="RKN2997" s="559"/>
      <c r="RKO2997" s="125"/>
      <c r="RKP2997" s="470"/>
      <c r="RKQ2997" s="449"/>
      <c r="RKR2997" s="462"/>
      <c r="RKS2997" s="299"/>
      <c r="RKT2997" s="81"/>
      <c r="RKU2997" s="160"/>
      <c r="RKV2997" s="559"/>
      <c r="RKW2997" s="125"/>
      <c r="RKX2997" s="470"/>
      <c r="RKY2997" s="449"/>
      <c r="RKZ2997" s="462"/>
      <c r="RLA2997" s="299"/>
      <c r="RLB2997" s="81"/>
      <c r="RLC2997" s="160"/>
      <c r="RLD2997" s="559"/>
      <c r="RLE2997" s="125"/>
      <c r="RLF2997" s="470"/>
      <c r="RLG2997" s="449"/>
      <c r="RLH2997" s="462"/>
      <c r="RLI2997" s="299"/>
      <c r="RLJ2997" s="81"/>
      <c r="RLK2997" s="160"/>
      <c r="RLL2997" s="559"/>
      <c r="RLM2997" s="125"/>
      <c r="RLN2997" s="470"/>
      <c r="RLO2997" s="449"/>
      <c r="RLP2997" s="462"/>
      <c r="RLQ2997" s="299"/>
      <c r="RLR2997" s="81"/>
      <c r="RLS2997" s="160"/>
      <c r="RLT2997" s="559"/>
      <c r="RLU2997" s="125"/>
      <c r="RLV2997" s="470"/>
      <c r="RLW2997" s="449"/>
      <c r="RLX2997" s="462"/>
      <c r="RLY2997" s="299"/>
      <c r="RLZ2997" s="81"/>
      <c r="RMA2997" s="160"/>
      <c r="RMB2997" s="559"/>
      <c r="RMC2997" s="125"/>
      <c r="RMD2997" s="470"/>
      <c r="RME2997" s="449"/>
      <c r="RMF2997" s="462"/>
      <c r="RMG2997" s="299"/>
      <c r="RMH2997" s="81"/>
      <c r="RMI2997" s="160"/>
      <c r="RMJ2997" s="559"/>
      <c r="RMK2997" s="125"/>
      <c r="RML2997" s="470"/>
      <c r="RMM2997" s="449"/>
      <c r="RMN2997" s="462"/>
      <c r="RMO2997" s="299"/>
      <c r="RMP2997" s="81"/>
      <c r="RMQ2997" s="160"/>
      <c r="RMR2997" s="559"/>
      <c r="RMS2997" s="125"/>
      <c r="RMT2997" s="470"/>
      <c r="RMU2997" s="449"/>
      <c r="RMV2997" s="462"/>
      <c r="RMW2997" s="299"/>
      <c r="RMX2997" s="81"/>
      <c r="RMY2997" s="160"/>
      <c r="RMZ2997" s="559"/>
      <c r="RNA2997" s="125"/>
      <c r="RNB2997" s="470"/>
      <c r="RNC2997" s="449"/>
      <c r="RND2997" s="462"/>
      <c r="RNE2997" s="299"/>
      <c r="RNF2997" s="81"/>
      <c r="RNG2997" s="160"/>
      <c r="RNH2997" s="559"/>
      <c r="RNI2997" s="125"/>
      <c r="RNJ2997" s="470"/>
      <c r="RNK2997" s="449"/>
      <c r="RNL2997" s="462"/>
      <c r="RNM2997" s="299"/>
      <c r="RNN2997" s="81"/>
      <c r="RNO2997" s="160"/>
      <c r="RNP2997" s="559"/>
      <c r="RNQ2997" s="125"/>
      <c r="RNR2997" s="470"/>
      <c r="RNS2997" s="449"/>
      <c r="RNT2997" s="462"/>
      <c r="RNU2997" s="299"/>
      <c r="RNV2997" s="81"/>
      <c r="RNW2997" s="160"/>
      <c r="RNX2997" s="559"/>
      <c r="RNY2997" s="125"/>
      <c r="RNZ2997" s="470"/>
      <c r="ROA2997" s="449"/>
      <c r="ROB2997" s="462"/>
      <c r="ROC2997" s="299"/>
      <c r="ROD2997" s="81"/>
      <c r="ROE2997" s="160"/>
      <c r="ROF2997" s="559"/>
      <c r="ROG2997" s="125"/>
      <c r="ROH2997" s="470"/>
      <c r="ROI2997" s="449"/>
      <c r="ROJ2997" s="462"/>
      <c r="ROK2997" s="299"/>
      <c r="ROL2997" s="81"/>
      <c r="ROM2997" s="160"/>
      <c r="RON2997" s="559"/>
      <c r="ROO2997" s="125"/>
      <c r="ROP2997" s="470"/>
      <c r="ROQ2997" s="449"/>
      <c r="ROR2997" s="462"/>
      <c r="ROS2997" s="299"/>
      <c r="ROT2997" s="81"/>
      <c r="ROU2997" s="160"/>
      <c r="ROV2997" s="559"/>
      <c r="ROW2997" s="125"/>
      <c r="ROX2997" s="470"/>
      <c r="ROY2997" s="449"/>
      <c r="ROZ2997" s="462"/>
      <c r="RPA2997" s="299"/>
      <c r="RPB2997" s="81"/>
      <c r="RPC2997" s="160"/>
      <c r="RPD2997" s="559"/>
      <c r="RPE2997" s="125"/>
      <c r="RPF2997" s="470"/>
      <c r="RPG2997" s="449"/>
      <c r="RPH2997" s="462"/>
      <c r="RPI2997" s="299"/>
      <c r="RPJ2997" s="81"/>
      <c r="RPK2997" s="160"/>
      <c r="RPL2997" s="559"/>
      <c r="RPM2997" s="125"/>
      <c r="RPN2997" s="470"/>
      <c r="RPO2997" s="449"/>
      <c r="RPP2997" s="462"/>
      <c r="RPQ2997" s="299"/>
      <c r="RPR2997" s="81"/>
      <c r="RPS2997" s="160"/>
      <c r="RPT2997" s="559"/>
      <c r="RPU2997" s="125"/>
      <c r="RPV2997" s="470"/>
      <c r="RPW2997" s="449"/>
      <c r="RPX2997" s="462"/>
      <c r="RPY2997" s="299"/>
      <c r="RPZ2997" s="81"/>
      <c r="RQA2997" s="160"/>
      <c r="RQB2997" s="559"/>
      <c r="RQC2997" s="125"/>
      <c r="RQD2997" s="470"/>
      <c r="RQE2997" s="449"/>
      <c r="RQF2997" s="462"/>
      <c r="RQG2997" s="299"/>
      <c r="RQH2997" s="81"/>
      <c r="RQI2997" s="160"/>
      <c r="RQJ2997" s="559"/>
      <c r="RQK2997" s="125"/>
      <c r="RQL2997" s="470"/>
      <c r="RQM2997" s="449"/>
      <c r="RQN2997" s="462"/>
      <c r="RQO2997" s="299"/>
      <c r="RQP2997" s="81"/>
      <c r="RQQ2997" s="160"/>
      <c r="RQR2997" s="559"/>
      <c r="RQS2997" s="125"/>
      <c r="RQT2997" s="470"/>
      <c r="RQU2997" s="449"/>
      <c r="RQV2997" s="462"/>
      <c r="RQW2997" s="299"/>
      <c r="RQX2997" s="81"/>
      <c r="RQY2997" s="160"/>
      <c r="RQZ2997" s="559"/>
      <c r="RRA2997" s="125"/>
      <c r="RRB2997" s="470"/>
      <c r="RRC2997" s="449"/>
      <c r="RRD2997" s="462"/>
      <c r="RRE2997" s="299"/>
      <c r="RRF2997" s="81"/>
      <c r="RRG2997" s="160"/>
      <c r="RRH2997" s="559"/>
      <c r="RRI2997" s="125"/>
      <c r="RRJ2997" s="470"/>
      <c r="RRK2997" s="449"/>
      <c r="RRL2997" s="462"/>
      <c r="RRM2997" s="299"/>
      <c r="RRN2997" s="81"/>
      <c r="RRO2997" s="160"/>
      <c r="RRP2997" s="559"/>
      <c r="RRQ2997" s="125"/>
      <c r="RRR2997" s="470"/>
      <c r="RRS2997" s="449"/>
      <c r="RRT2997" s="462"/>
      <c r="RRU2997" s="299"/>
      <c r="RRV2997" s="81"/>
      <c r="RRW2997" s="160"/>
      <c r="RRX2997" s="559"/>
      <c r="RRY2997" s="125"/>
      <c r="RRZ2997" s="470"/>
      <c r="RSA2997" s="449"/>
      <c r="RSB2997" s="462"/>
      <c r="RSC2997" s="299"/>
      <c r="RSD2997" s="81"/>
      <c r="RSE2997" s="160"/>
      <c r="RSF2997" s="559"/>
      <c r="RSG2997" s="125"/>
      <c r="RSH2997" s="470"/>
      <c r="RSI2997" s="449"/>
      <c r="RSJ2997" s="462"/>
      <c r="RSK2997" s="299"/>
      <c r="RSL2997" s="81"/>
      <c r="RSM2997" s="160"/>
      <c r="RSN2997" s="559"/>
      <c r="RSO2997" s="125"/>
      <c r="RSP2997" s="470"/>
      <c r="RSQ2997" s="449"/>
      <c r="RSR2997" s="462"/>
      <c r="RSS2997" s="299"/>
      <c r="RST2997" s="81"/>
      <c r="RSU2997" s="160"/>
      <c r="RSV2997" s="559"/>
      <c r="RSW2997" s="125"/>
      <c r="RSX2997" s="470"/>
      <c r="RSY2997" s="449"/>
      <c r="RSZ2997" s="462"/>
      <c r="RTA2997" s="299"/>
      <c r="RTB2997" s="81"/>
      <c r="RTC2997" s="160"/>
      <c r="RTD2997" s="559"/>
      <c r="RTE2997" s="125"/>
      <c r="RTF2997" s="470"/>
      <c r="RTG2997" s="449"/>
      <c r="RTH2997" s="462"/>
      <c r="RTI2997" s="299"/>
      <c r="RTJ2997" s="81"/>
      <c r="RTK2997" s="160"/>
      <c r="RTL2997" s="559"/>
      <c r="RTM2997" s="125"/>
      <c r="RTN2997" s="470"/>
      <c r="RTO2997" s="449"/>
      <c r="RTP2997" s="462"/>
      <c r="RTQ2997" s="299"/>
      <c r="RTR2997" s="81"/>
      <c r="RTS2997" s="160"/>
      <c r="RTT2997" s="559"/>
      <c r="RTU2997" s="125"/>
      <c r="RTV2997" s="470"/>
      <c r="RTW2997" s="449"/>
      <c r="RTX2997" s="462"/>
      <c r="RTY2997" s="299"/>
      <c r="RTZ2997" s="81"/>
      <c r="RUA2997" s="160"/>
      <c r="RUB2997" s="559"/>
      <c r="RUC2997" s="125"/>
      <c r="RUD2997" s="470"/>
      <c r="RUE2997" s="449"/>
      <c r="RUF2997" s="462"/>
      <c r="RUG2997" s="299"/>
      <c r="RUH2997" s="81"/>
      <c r="RUI2997" s="160"/>
      <c r="RUJ2997" s="559"/>
      <c r="RUK2997" s="125"/>
      <c r="RUL2997" s="470"/>
      <c r="RUM2997" s="449"/>
      <c r="RUN2997" s="462"/>
      <c r="RUO2997" s="299"/>
      <c r="RUP2997" s="81"/>
      <c r="RUQ2997" s="160"/>
      <c r="RUR2997" s="559"/>
      <c r="RUS2997" s="125"/>
      <c r="RUT2997" s="470"/>
      <c r="RUU2997" s="449"/>
      <c r="RUV2997" s="462"/>
      <c r="RUW2997" s="299"/>
      <c r="RUX2997" s="81"/>
      <c r="RUY2997" s="160"/>
      <c r="RUZ2997" s="559"/>
      <c r="RVA2997" s="125"/>
      <c r="RVB2997" s="470"/>
      <c r="RVC2997" s="449"/>
      <c r="RVD2997" s="462"/>
      <c r="RVE2997" s="299"/>
      <c r="RVF2997" s="81"/>
      <c r="RVG2997" s="160"/>
      <c r="RVH2997" s="559"/>
      <c r="RVI2997" s="125"/>
      <c r="RVJ2997" s="470"/>
      <c r="RVK2997" s="449"/>
      <c r="RVL2997" s="462"/>
      <c r="RVM2997" s="299"/>
      <c r="RVN2997" s="81"/>
      <c r="RVO2997" s="160"/>
      <c r="RVP2997" s="559"/>
      <c r="RVQ2997" s="125"/>
      <c r="RVR2997" s="470"/>
      <c r="RVS2997" s="449"/>
      <c r="RVT2997" s="462"/>
      <c r="RVU2997" s="299"/>
      <c r="RVV2997" s="81"/>
      <c r="RVW2997" s="160"/>
      <c r="RVX2997" s="559"/>
      <c r="RVY2997" s="125"/>
      <c r="RVZ2997" s="470"/>
      <c r="RWA2997" s="449"/>
      <c r="RWB2997" s="462"/>
      <c r="RWC2997" s="299"/>
      <c r="RWD2997" s="81"/>
      <c r="RWE2997" s="160"/>
      <c r="RWF2997" s="559"/>
      <c r="RWG2997" s="125"/>
      <c r="RWH2997" s="470"/>
      <c r="RWI2997" s="449"/>
      <c r="RWJ2997" s="462"/>
      <c r="RWK2997" s="299"/>
      <c r="RWL2997" s="81"/>
      <c r="RWM2997" s="160"/>
      <c r="RWN2997" s="559"/>
      <c r="RWO2997" s="125"/>
      <c r="RWP2997" s="470"/>
      <c r="RWQ2997" s="449"/>
      <c r="RWR2997" s="462"/>
      <c r="RWS2997" s="299"/>
      <c r="RWT2997" s="81"/>
      <c r="RWU2997" s="160"/>
      <c r="RWV2997" s="559"/>
      <c r="RWW2997" s="125"/>
      <c r="RWX2997" s="470"/>
      <c r="RWY2997" s="449"/>
      <c r="RWZ2997" s="462"/>
      <c r="RXA2997" s="299"/>
      <c r="RXB2997" s="81"/>
      <c r="RXC2997" s="160"/>
      <c r="RXD2997" s="559"/>
      <c r="RXE2997" s="125"/>
      <c r="RXF2997" s="470"/>
      <c r="RXG2997" s="449"/>
      <c r="RXH2997" s="462"/>
      <c r="RXI2997" s="299"/>
      <c r="RXJ2997" s="81"/>
      <c r="RXK2997" s="160"/>
      <c r="RXL2997" s="559"/>
      <c r="RXM2997" s="125"/>
      <c r="RXN2997" s="470"/>
      <c r="RXO2997" s="449"/>
      <c r="RXP2997" s="462"/>
      <c r="RXQ2997" s="299"/>
      <c r="RXR2997" s="81"/>
      <c r="RXS2997" s="160"/>
      <c r="RXT2997" s="559"/>
      <c r="RXU2997" s="125"/>
      <c r="RXV2997" s="470"/>
      <c r="RXW2997" s="449"/>
      <c r="RXX2997" s="462"/>
      <c r="RXY2997" s="299"/>
      <c r="RXZ2997" s="81"/>
      <c r="RYA2997" s="160"/>
      <c r="RYB2997" s="559"/>
      <c r="RYC2997" s="125"/>
      <c r="RYD2997" s="470"/>
      <c r="RYE2997" s="449"/>
      <c r="RYF2997" s="462"/>
      <c r="RYG2997" s="299"/>
      <c r="RYH2997" s="81"/>
      <c r="RYI2997" s="160"/>
      <c r="RYJ2997" s="559"/>
      <c r="RYK2997" s="125"/>
      <c r="RYL2997" s="470"/>
      <c r="RYM2997" s="449"/>
      <c r="RYN2997" s="462"/>
      <c r="RYO2997" s="299"/>
      <c r="RYP2997" s="81"/>
      <c r="RYQ2997" s="160"/>
      <c r="RYR2997" s="559"/>
      <c r="RYS2997" s="125"/>
      <c r="RYT2997" s="470"/>
      <c r="RYU2997" s="449"/>
      <c r="RYV2997" s="462"/>
      <c r="RYW2997" s="299"/>
      <c r="RYX2997" s="81"/>
      <c r="RYY2997" s="160"/>
      <c r="RYZ2997" s="559"/>
      <c r="RZA2997" s="125"/>
      <c r="RZB2997" s="470"/>
      <c r="RZC2997" s="449"/>
      <c r="RZD2997" s="462"/>
      <c r="RZE2997" s="299"/>
      <c r="RZF2997" s="81"/>
      <c r="RZG2997" s="160"/>
      <c r="RZH2997" s="559"/>
      <c r="RZI2997" s="125"/>
      <c r="RZJ2997" s="470"/>
      <c r="RZK2997" s="449"/>
      <c r="RZL2997" s="462"/>
      <c r="RZM2997" s="299"/>
      <c r="RZN2997" s="81"/>
      <c r="RZO2997" s="160"/>
      <c r="RZP2997" s="559"/>
      <c r="RZQ2997" s="125"/>
      <c r="RZR2997" s="470"/>
      <c r="RZS2997" s="449"/>
      <c r="RZT2997" s="462"/>
      <c r="RZU2997" s="299"/>
      <c r="RZV2997" s="81"/>
      <c r="RZW2997" s="160"/>
      <c r="RZX2997" s="559"/>
      <c r="RZY2997" s="125"/>
      <c r="RZZ2997" s="470"/>
      <c r="SAA2997" s="449"/>
      <c r="SAB2997" s="462"/>
      <c r="SAC2997" s="299"/>
      <c r="SAD2997" s="81"/>
      <c r="SAE2997" s="160"/>
      <c r="SAF2997" s="559"/>
      <c r="SAG2997" s="125"/>
      <c r="SAH2997" s="470"/>
      <c r="SAI2997" s="449"/>
      <c r="SAJ2997" s="462"/>
      <c r="SAK2997" s="299"/>
      <c r="SAL2997" s="81"/>
      <c r="SAM2997" s="160"/>
      <c r="SAN2997" s="559"/>
      <c r="SAO2997" s="125"/>
      <c r="SAP2997" s="470"/>
      <c r="SAQ2997" s="449"/>
      <c r="SAR2997" s="462"/>
      <c r="SAS2997" s="299"/>
      <c r="SAT2997" s="81"/>
      <c r="SAU2997" s="160"/>
      <c r="SAV2997" s="559"/>
      <c r="SAW2997" s="125"/>
      <c r="SAX2997" s="470"/>
      <c r="SAY2997" s="449"/>
      <c r="SAZ2997" s="462"/>
      <c r="SBA2997" s="299"/>
      <c r="SBB2997" s="81"/>
      <c r="SBC2997" s="160"/>
      <c r="SBD2997" s="559"/>
      <c r="SBE2997" s="125"/>
      <c r="SBF2997" s="470"/>
      <c r="SBG2997" s="449"/>
      <c r="SBH2997" s="462"/>
      <c r="SBI2997" s="299"/>
      <c r="SBJ2997" s="81"/>
      <c r="SBK2997" s="160"/>
      <c r="SBL2997" s="559"/>
      <c r="SBM2997" s="125"/>
      <c r="SBN2997" s="470"/>
      <c r="SBO2997" s="449"/>
      <c r="SBP2997" s="462"/>
      <c r="SBQ2997" s="299"/>
      <c r="SBR2997" s="81"/>
      <c r="SBS2997" s="160"/>
      <c r="SBT2997" s="559"/>
      <c r="SBU2997" s="125"/>
      <c r="SBV2997" s="470"/>
      <c r="SBW2997" s="449"/>
      <c r="SBX2997" s="462"/>
      <c r="SBY2997" s="299"/>
      <c r="SBZ2997" s="81"/>
      <c r="SCA2997" s="160"/>
      <c r="SCB2997" s="559"/>
      <c r="SCC2997" s="125"/>
      <c r="SCD2997" s="470"/>
      <c r="SCE2997" s="449"/>
      <c r="SCF2997" s="462"/>
      <c r="SCG2997" s="299"/>
      <c r="SCH2997" s="81"/>
      <c r="SCI2997" s="160"/>
      <c r="SCJ2997" s="559"/>
      <c r="SCK2997" s="125"/>
      <c r="SCL2997" s="470"/>
      <c r="SCM2997" s="449"/>
      <c r="SCN2997" s="462"/>
      <c r="SCO2997" s="299"/>
      <c r="SCP2997" s="81"/>
      <c r="SCQ2997" s="160"/>
      <c r="SCR2997" s="559"/>
      <c r="SCS2997" s="125"/>
      <c r="SCT2997" s="470"/>
      <c r="SCU2997" s="449"/>
      <c r="SCV2997" s="462"/>
      <c r="SCW2997" s="299"/>
      <c r="SCX2997" s="81"/>
      <c r="SCY2997" s="160"/>
      <c r="SCZ2997" s="559"/>
      <c r="SDA2997" s="125"/>
      <c r="SDB2997" s="470"/>
      <c r="SDC2997" s="449"/>
      <c r="SDD2997" s="462"/>
      <c r="SDE2997" s="299"/>
      <c r="SDF2997" s="81"/>
      <c r="SDG2997" s="160"/>
      <c r="SDH2997" s="559"/>
      <c r="SDI2997" s="125"/>
      <c r="SDJ2997" s="470"/>
      <c r="SDK2997" s="449"/>
      <c r="SDL2997" s="462"/>
      <c r="SDM2997" s="299"/>
      <c r="SDN2997" s="81"/>
      <c r="SDO2997" s="160"/>
      <c r="SDP2997" s="559"/>
      <c r="SDQ2997" s="125"/>
      <c r="SDR2997" s="470"/>
      <c r="SDS2997" s="449"/>
      <c r="SDT2997" s="462"/>
      <c r="SDU2997" s="299"/>
      <c r="SDV2997" s="81"/>
      <c r="SDW2997" s="160"/>
      <c r="SDX2997" s="559"/>
      <c r="SDY2997" s="125"/>
      <c r="SDZ2997" s="470"/>
      <c r="SEA2997" s="449"/>
      <c r="SEB2997" s="462"/>
      <c r="SEC2997" s="299"/>
      <c r="SED2997" s="81"/>
      <c r="SEE2997" s="160"/>
      <c r="SEF2997" s="559"/>
      <c r="SEG2997" s="125"/>
      <c r="SEH2997" s="470"/>
      <c r="SEI2997" s="449"/>
      <c r="SEJ2997" s="462"/>
      <c r="SEK2997" s="299"/>
      <c r="SEL2997" s="81"/>
      <c r="SEM2997" s="160"/>
      <c r="SEN2997" s="559"/>
      <c r="SEO2997" s="125"/>
      <c r="SEP2997" s="470"/>
      <c r="SEQ2997" s="449"/>
      <c r="SER2997" s="462"/>
      <c r="SES2997" s="299"/>
      <c r="SET2997" s="81"/>
      <c r="SEU2997" s="160"/>
      <c r="SEV2997" s="559"/>
      <c r="SEW2997" s="125"/>
      <c r="SEX2997" s="470"/>
      <c r="SEY2997" s="449"/>
      <c r="SEZ2997" s="462"/>
      <c r="SFA2997" s="299"/>
      <c r="SFB2997" s="81"/>
      <c r="SFC2997" s="160"/>
      <c r="SFD2997" s="559"/>
      <c r="SFE2997" s="125"/>
      <c r="SFF2997" s="470"/>
      <c r="SFG2997" s="449"/>
      <c r="SFH2997" s="462"/>
      <c r="SFI2997" s="299"/>
      <c r="SFJ2997" s="81"/>
      <c r="SFK2997" s="160"/>
      <c r="SFL2997" s="559"/>
      <c r="SFM2997" s="125"/>
      <c r="SFN2997" s="470"/>
      <c r="SFO2997" s="449"/>
      <c r="SFP2997" s="462"/>
      <c r="SFQ2997" s="299"/>
      <c r="SFR2997" s="81"/>
      <c r="SFS2997" s="160"/>
      <c r="SFT2997" s="559"/>
      <c r="SFU2997" s="125"/>
      <c r="SFV2997" s="470"/>
      <c r="SFW2997" s="449"/>
      <c r="SFX2997" s="462"/>
      <c r="SFY2997" s="299"/>
      <c r="SFZ2997" s="81"/>
      <c r="SGA2997" s="160"/>
      <c r="SGB2997" s="559"/>
      <c r="SGC2997" s="125"/>
      <c r="SGD2997" s="470"/>
      <c r="SGE2997" s="449"/>
      <c r="SGF2997" s="462"/>
      <c r="SGG2997" s="299"/>
      <c r="SGH2997" s="81"/>
      <c r="SGI2997" s="160"/>
      <c r="SGJ2997" s="559"/>
      <c r="SGK2997" s="125"/>
      <c r="SGL2997" s="470"/>
      <c r="SGM2997" s="449"/>
      <c r="SGN2997" s="462"/>
      <c r="SGO2997" s="299"/>
      <c r="SGP2997" s="81"/>
      <c r="SGQ2997" s="160"/>
      <c r="SGR2997" s="559"/>
      <c r="SGS2997" s="125"/>
      <c r="SGT2997" s="470"/>
      <c r="SGU2997" s="449"/>
      <c r="SGV2997" s="462"/>
      <c r="SGW2997" s="299"/>
      <c r="SGX2997" s="81"/>
      <c r="SGY2997" s="160"/>
      <c r="SGZ2997" s="559"/>
      <c r="SHA2997" s="125"/>
      <c r="SHB2997" s="470"/>
      <c r="SHC2997" s="449"/>
      <c r="SHD2997" s="462"/>
      <c r="SHE2997" s="299"/>
      <c r="SHF2997" s="81"/>
      <c r="SHG2997" s="160"/>
      <c r="SHH2997" s="559"/>
      <c r="SHI2997" s="125"/>
      <c r="SHJ2997" s="470"/>
      <c r="SHK2997" s="449"/>
      <c r="SHL2997" s="462"/>
      <c r="SHM2997" s="299"/>
      <c r="SHN2997" s="81"/>
      <c r="SHO2997" s="160"/>
      <c r="SHP2997" s="559"/>
      <c r="SHQ2997" s="125"/>
      <c r="SHR2997" s="470"/>
      <c r="SHS2997" s="449"/>
      <c r="SHT2997" s="462"/>
      <c r="SHU2997" s="299"/>
      <c r="SHV2997" s="81"/>
      <c r="SHW2997" s="160"/>
      <c r="SHX2997" s="559"/>
      <c r="SHY2997" s="125"/>
      <c r="SHZ2997" s="470"/>
      <c r="SIA2997" s="449"/>
      <c r="SIB2997" s="462"/>
      <c r="SIC2997" s="299"/>
      <c r="SID2997" s="81"/>
      <c r="SIE2997" s="160"/>
      <c r="SIF2997" s="559"/>
      <c r="SIG2997" s="125"/>
      <c r="SIH2997" s="470"/>
      <c r="SII2997" s="449"/>
      <c r="SIJ2997" s="462"/>
      <c r="SIK2997" s="299"/>
      <c r="SIL2997" s="81"/>
      <c r="SIM2997" s="160"/>
      <c r="SIN2997" s="559"/>
      <c r="SIO2997" s="125"/>
      <c r="SIP2997" s="470"/>
      <c r="SIQ2997" s="449"/>
      <c r="SIR2997" s="462"/>
      <c r="SIS2997" s="299"/>
      <c r="SIT2997" s="81"/>
      <c r="SIU2997" s="160"/>
      <c r="SIV2997" s="559"/>
      <c r="SIW2997" s="125"/>
      <c r="SIX2997" s="470"/>
      <c r="SIY2997" s="449"/>
      <c r="SIZ2997" s="462"/>
      <c r="SJA2997" s="299"/>
      <c r="SJB2997" s="81"/>
      <c r="SJC2997" s="160"/>
      <c r="SJD2997" s="559"/>
      <c r="SJE2997" s="125"/>
      <c r="SJF2997" s="470"/>
      <c r="SJG2997" s="449"/>
      <c r="SJH2997" s="462"/>
      <c r="SJI2997" s="299"/>
      <c r="SJJ2997" s="81"/>
      <c r="SJK2997" s="160"/>
      <c r="SJL2997" s="559"/>
      <c r="SJM2997" s="125"/>
      <c r="SJN2997" s="470"/>
      <c r="SJO2997" s="449"/>
      <c r="SJP2997" s="462"/>
      <c r="SJQ2997" s="299"/>
      <c r="SJR2997" s="81"/>
      <c r="SJS2997" s="160"/>
      <c r="SJT2997" s="559"/>
      <c r="SJU2997" s="125"/>
      <c r="SJV2997" s="470"/>
      <c r="SJW2997" s="449"/>
      <c r="SJX2997" s="462"/>
      <c r="SJY2997" s="299"/>
      <c r="SJZ2997" s="81"/>
      <c r="SKA2997" s="160"/>
      <c r="SKB2997" s="559"/>
      <c r="SKC2997" s="125"/>
      <c r="SKD2997" s="470"/>
      <c r="SKE2997" s="449"/>
      <c r="SKF2997" s="462"/>
      <c r="SKG2997" s="299"/>
      <c r="SKH2997" s="81"/>
      <c r="SKI2997" s="160"/>
      <c r="SKJ2997" s="559"/>
      <c r="SKK2997" s="125"/>
      <c r="SKL2997" s="470"/>
      <c r="SKM2997" s="449"/>
      <c r="SKN2997" s="462"/>
      <c r="SKO2997" s="299"/>
      <c r="SKP2997" s="81"/>
      <c r="SKQ2997" s="160"/>
      <c r="SKR2997" s="559"/>
      <c r="SKS2997" s="125"/>
      <c r="SKT2997" s="470"/>
      <c r="SKU2997" s="449"/>
      <c r="SKV2997" s="462"/>
      <c r="SKW2997" s="299"/>
      <c r="SKX2997" s="81"/>
      <c r="SKY2997" s="160"/>
      <c r="SKZ2997" s="559"/>
      <c r="SLA2997" s="125"/>
      <c r="SLB2997" s="470"/>
      <c r="SLC2997" s="449"/>
      <c r="SLD2997" s="462"/>
      <c r="SLE2997" s="299"/>
      <c r="SLF2997" s="81"/>
      <c r="SLG2997" s="160"/>
      <c r="SLH2997" s="559"/>
      <c r="SLI2997" s="125"/>
      <c r="SLJ2997" s="470"/>
      <c r="SLK2997" s="449"/>
      <c r="SLL2997" s="462"/>
      <c r="SLM2997" s="299"/>
      <c r="SLN2997" s="81"/>
      <c r="SLO2997" s="160"/>
      <c r="SLP2997" s="559"/>
      <c r="SLQ2997" s="125"/>
      <c r="SLR2997" s="470"/>
      <c r="SLS2997" s="449"/>
      <c r="SLT2997" s="462"/>
      <c r="SLU2997" s="299"/>
      <c r="SLV2997" s="81"/>
      <c r="SLW2997" s="160"/>
      <c r="SLX2997" s="559"/>
      <c r="SLY2997" s="125"/>
      <c r="SLZ2997" s="470"/>
      <c r="SMA2997" s="449"/>
      <c r="SMB2997" s="462"/>
      <c r="SMC2997" s="299"/>
      <c r="SMD2997" s="81"/>
      <c r="SME2997" s="160"/>
      <c r="SMF2997" s="559"/>
      <c r="SMG2997" s="125"/>
      <c r="SMH2997" s="470"/>
      <c r="SMI2997" s="449"/>
      <c r="SMJ2997" s="462"/>
      <c r="SMK2997" s="299"/>
      <c r="SML2997" s="81"/>
      <c r="SMM2997" s="160"/>
      <c r="SMN2997" s="559"/>
      <c r="SMO2997" s="125"/>
      <c r="SMP2997" s="470"/>
      <c r="SMQ2997" s="449"/>
      <c r="SMR2997" s="462"/>
      <c r="SMS2997" s="299"/>
      <c r="SMT2997" s="81"/>
      <c r="SMU2997" s="160"/>
      <c r="SMV2997" s="559"/>
      <c r="SMW2997" s="125"/>
      <c r="SMX2997" s="470"/>
      <c r="SMY2997" s="449"/>
      <c r="SMZ2997" s="462"/>
      <c r="SNA2997" s="299"/>
      <c r="SNB2997" s="81"/>
      <c r="SNC2997" s="160"/>
      <c r="SND2997" s="559"/>
      <c r="SNE2997" s="125"/>
      <c r="SNF2997" s="470"/>
      <c r="SNG2997" s="449"/>
      <c r="SNH2997" s="462"/>
      <c r="SNI2997" s="299"/>
      <c r="SNJ2997" s="81"/>
      <c r="SNK2997" s="160"/>
      <c r="SNL2997" s="559"/>
      <c r="SNM2997" s="125"/>
      <c r="SNN2997" s="470"/>
      <c r="SNO2997" s="449"/>
      <c r="SNP2997" s="462"/>
      <c r="SNQ2997" s="299"/>
      <c r="SNR2997" s="81"/>
      <c r="SNS2997" s="160"/>
      <c r="SNT2997" s="559"/>
      <c r="SNU2997" s="125"/>
      <c r="SNV2997" s="470"/>
      <c r="SNW2997" s="449"/>
      <c r="SNX2997" s="462"/>
      <c r="SNY2997" s="299"/>
      <c r="SNZ2997" s="81"/>
      <c r="SOA2997" s="160"/>
      <c r="SOB2997" s="559"/>
      <c r="SOC2997" s="125"/>
      <c r="SOD2997" s="470"/>
      <c r="SOE2997" s="449"/>
      <c r="SOF2997" s="462"/>
      <c r="SOG2997" s="299"/>
      <c r="SOH2997" s="81"/>
      <c r="SOI2997" s="160"/>
      <c r="SOJ2997" s="559"/>
      <c r="SOK2997" s="125"/>
      <c r="SOL2997" s="470"/>
      <c r="SOM2997" s="449"/>
      <c r="SON2997" s="462"/>
      <c r="SOO2997" s="299"/>
      <c r="SOP2997" s="81"/>
      <c r="SOQ2997" s="160"/>
      <c r="SOR2997" s="559"/>
      <c r="SOS2997" s="125"/>
      <c r="SOT2997" s="470"/>
      <c r="SOU2997" s="449"/>
      <c r="SOV2997" s="462"/>
      <c r="SOW2997" s="299"/>
      <c r="SOX2997" s="81"/>
      <c r="SOY2997" s="160"/>
      <c r="SOZ2997" s="559"/>
      <c r="SPA2997" s="125"/>
      <c r="SPB2997" s="470"/>
      <c r="SPC2997" s="449"/>
      <c r="SPD2997" s="462"/>
      <c r="SPE2997" s="299"/>
      <c r="SPF2997" s="81"/>
      <c r="SPG2997" s="160"/>
      <c r="SPH2997" s="559"/>
      <c r="SPI2997" s="125"/>
      <c r="SPJ2997" s="470"/>
      <c r="SPK2997" s="449"/>
      <c r="SPL2997" s="462"/>
      <c r="SPM2997" s="299"/>
      <c r="SPN2997" s="81"/>
      <c r="SPO2997" s="160"/>
      <c r="SPP2997" s="559"/>
      <c r="SPQ2997" s="125"/>
      <c r="SPR2997" s="470"/>
      <c r="SPS2997" s="449"/>
      <c r="SPT2997" s="462"/>
      <c r="SPU2997" s="299"/>
      <c r="SPV2997" s="81"/>
      <c r="SPW2997" s="160"/>
      <c r="SPX2997" s="559"/>
      <c r="SPY2997" s="125"/>
      <c r="SPZ2997" s="470"/>
      <c r="SQA2997" s="449"/>
      <c r="SQB2997" s="462"/>
      <c r="SQC2997" s="299"/>
      <c r="SQD2997" s="81"/>
      <c r="SQE2997" s="160"/>
      <c r="SQF2997" s="559"/>
      <c r="SQG2997" s="125"/>
      <c r="SQH2997" s="470"/>
      <c r="SQI2997" s="449"/>
      <c r="SQJ2997" s="462"/>
      <c r="SQK2997" s="299"/>
      <c r="SQL2997" s="81"/>
      <c r="SQM2997" s="160"/>
      <c r="SQN2997" s="559"/>
      <c r="SQO2997" s="125"/>
      <c r="SQP2997" s="470"/>
      <c r="SQQ2997" s="449"/>
      <c r="SQR2997" s="462"/>
      <c r="SQS2997" s="299"/>
      <c r="SQT2997" s="81"/>
      <c r="SQU2997" s="160"/>
      <c r="SQV2997" s="559"/>
      <c r="SQW2997" s="125"/>
      <c r="SQX2997" s="470"/>
      <c r="SQY2997" s="449"/>
      <c r="SQZ2997" s="462"/>
      <c r="SRA2997" s="299"/>
      <c r="SRB2997" s="81"/>
      <c r="SRC2997" s="160"/>
      <c r="SRD2997" s="559"/>
      <c r="SRE2997" s="125"/>
      <c r="SRF2997" s="470"/>
      <c r="SRG2997" s="449"/>
      <c r="SRH2997" s="462"/>
      <c r="SRI2997" s="299"/>
      <c r="SRJ2997" s="81"/>
      <c r="SRK2997" s="160"/>
      <c r="SRL2997" s="559"/>
      <c r="SRM2997" s="125"/>
      <c r="SRN2997" s="470"/>
      <c r="SRO2997" s="449"/>
      <c r="SRP2997" s="462"/>
      <c r="SRQ2997" s="299"/>
      <c r="SRR2997" s="81"/>
      <c r="SRS2997" s="160"/>
      <c r="SRT2997" s="559"/>
      <c r="SRU2997" s="125"/>
      <c r="SRV2997" s="470"/>
      <c r="SRW2997" s="449"/>
      <c r="SRX2997" s="462"/>
      <c r="SRY2997" s="299"/>
      <c r="SRZ2997" s="81"/>
      <c r="SSA2997" s="160"/>
      <c r="SSB2997" s="559"/>
      <c r="SSC2997" s="125"/>
      <c r="SSD2997" s="470"/>
      <c r="SSE2997" s="449"/>
      <c r="SSF2997" s="462"/>
      <c r="SSG2997" s="299"/>
      <c r="SSH2997" s="81"/>
      <c r="SSI2997" s="160"/>
      <c r="SSJ2997" s="559"/>
      <c r="SSK2997" s="125"/>
      <c r="SSL2997" s="470"/>
      <c r="SSM2997" s="449"/>
      <c r="SSN2997" s="462"/>
      <c r="SSO2997" s="299"/>
      <c r="SSP2997" s="81"/>
      <c r="SSQ2997" s="160"/>
      <c r="SSR2997" s="559"/>
      <c r="SSS2997" s="125"/>
      <c r="SST2997" s="470"/>
      <c r="SSU2997" s="449"/>
      <c r="SSV2997" s="462"/>
      <c r="SSW2997" s="299"/>
      <c r="SSX2997" s="81"/>
      <c r="SSY2997" s="160"/>
      <c r="SSZ2997" s="559"/>
      <c r="STA2997" s="125"/>
      <c r="STB2997" s="470"/>
      <c r="STC2997" s="449"/>
      <c r="STD2997" s="462"/>
      <c r="STE2997" s="299"/>
      <c r="STF2997" s="81"/>
      <c r="STG2997" s="160"/>
      <c r="STH2997" s="559"/>
      <c r="STI2997" s="125"/>
      <c r="STJ2997" s="470"/>
      <c r="STK2997" s="449"/>
      <c r="STL2997" s="462"/>
      <c r="STM2997" s="299"/>
      <c r="STN2997" s="81"/>
      <c r="STO2997" s="160"/>
      <c r="STP2997" s="559"/>
      <c r="STQ2997" s="125"/>
      <c r="STR2997" s="470"/>
      <c r="STS2997" s="449"/>
      <c r="STT2997" s="462"/>
      <c r="STU2997" s="299"/>
      <c r="STV2997" s="81"/>
      <c r="STW2997" s="160"/>
      <c r="STX2997" s="559"/>
      <c r="STY2997" s="125"/>
      <c r="STZ2997" s="470"/>
      <c r="SUA2997" s="449"/>
      <c r="SUB2997" s="462"/>
      <c r="SUC2997" s="299"/>
      <c r="SUD2997" s="81"/>
      <c r="SUE2997" s="160"/>
      <c r="SUF2997" s="559"/>
      <c r="SUG2997" s="125"/>
      <c r="SUH2997" s="470"/>
      <c r="SUI2997" s="449"/>
      <c r="SUJ2997" s="462"/>
      <c r="SUK2997" s="299"/>
      <c r="SUL2997" s="81"/>
      <c r="SUM2997" s="160"/>
      <c r="SUN2997" s="559"/>
      <c r="SUO2997" s="125"/>
      <c r="SUP2997" s="470"/>
      <c r="SUQ2997" s="449"/>
      <c r="SUR2997" s="462"/>
      <c r="SUS2997" s="299"/>
      <c r="SUT2997" s="81"/>
      <c r="SUU2997" s="160"/>
      <c r="SUV2997" s="559"/>
      <c r="SUW2997" s="125"/>
      <c r="SUX2997" s="470"/>
      <c r="SUY2997" s="449"/>
      <c r="SUZ2997" s="462"/>
      <c r="SVA2997" s="299"/>
      <c r="SVB2997" s="81"/>
      <c r="SVC2997" s="160"/>
      <c r="SVD2997" s="559"/>
      <c r="SVE2997" s="125"/>
      <c r="SVF2997" s="470"/>
      <c r="SVG2997" s="449"/>
      <c r="SVH2997" s="462"/>
      <c r="SVI2997" s="299"/>
      <c r="SVJ2997" s="81"/>
      <c r="SVK2997" s="160"/>
      <c r="SVL2997" s="559"/>
      <c r="SVM2997" s="125"/>
      <c r="SVN2997" s="470"/>
      <c r="SVO2997" s="449"/>
      <c r="SVP2997" s="462"/>
      <c r="SVQ2997" s="299"/>
      <c r="SVR2997" s="81"/>
      <c r="SVS2997" s="160"/>
      <c r="SVT2997" s="559"/>
      <c r="SVU2997" s="125"/>
      <c r="SVV2997" s="470"/>
      <c r="SVW2997" s="449"/>
      <c r="SVX2997" s="462"/>
      <c r="SVY2997" s="299"/>
      <c r="SVZ2997" s="81"/>
      <c r="SWA2997" s="160"/>
      <c r="SWB2997" s="559"/>
      <c r="SWC2997" s="125"/>
      <c r="SWD2997" s="470"/>
      <c r="SWE2997" s="449"/>
      <c r="SWF2997" s="462"/>
      <c r="SWG2997" s="299"/>
      <c r="SWH2997" s="81"/>
      <c r="SWI2997" s="160"/>
      <c r="SWJ2997" s="559"/>
      <c r="SWK2997" s="125"/>
      <c r="SWL2997" s="470"/>
      <c r="SWM2997" s="449"/>
      <c r="SWN2997" s="462"/>
      <c r="SWO2997" s="299"/>
      <c r="SWP2997" s="81"/>
      <c r="SWQ2997" s="160"/>
      <c r="SWR2997" s="559"/>
      <c r="SWS2997" s="125"/>
      <c r="SWT2997" s="470"/>
      <c r="SWU2997" s="449"/>
      <c r="SWV2997" s="462"/>
      <c r="SWW2997" s="299"/>
      <c r="SWX2997" s="81"/>
      <c r="SWY2997" s="160"/>
      <c r="SWZ2997" s="559"/>
      <c r="SXA2997" s="125"/>
      <c r="SXB2997" s="470"/>
      <c r="SXC2997" s="449"/>
      <c r="SXD2997" s="462"/>
      <c r="SXE2997" s="299"/>
      <c r="SXF2997" s="81"/>
      <c r="SXG2997" s="160"/>
      <c r="SXH2997" s="559"/>
      <c r="SXI2997" s="125"/>
      <c r="SXJ2997" s="470"/>
      <c r="SXK2997" s="449"/>
      <c r="SXL2997" s="462"/>
      <c r="SXM2997" s="299"/>
      <c r="SXN2997" s="81"/>
      <c r="SXO2997" s="160"/>
      <c r="SXP2997" s="559"/>
      <c r="SXQ2997" s="125"/>
      <c r="SXR2997" s="470"/>
      <c r="SXS2997" s="449"/>
      <c r="SXT2997" s="462"/>
      <c r="SXU2997" s="299"/>
      <c r="SXV2997" s="81"/>
      <c r="SXW2997" s="160"/>
      <c r="SXX2997" s="559"/>
      <c r="SXY2997" s="125"/>
      <c r="SXZ2997" s="470"/>
      <c r="SYA2997" s="449"/>
      <c r="SYB2997" s="462"/>
      <c r="SYC2997" s="299"/>
      <c r="SYD2997" s="81"/>
      <c r="SYE2997" s="160"/>
      <c r="SYF2997" s="559"/>
      <c r="SYG2997" s="125"/>
      <c r="SYH2997" s="470"/>
      <c r="SYI2997" s="449"/>
      <c r="SYJ2997" s="462"/>
      <c r="SYK2997" s="299"/>
      <c r="SYL2997" s="81"/>
      <c r="SYM2997" s="160"/>
      <c r="SYN2997" s="559"/>
      <c r="SYO2997" s="125"/>
      <c r="SYP2997" s="470"/>
      <c r="SYQ2997" s="449"/>
      <c r="SYR2997" s="462"/>
      <c r="SYS2997" s="299"/>
      <c r="SYT2997" s="81"/>
      <c r="SYU2997" s="160"/>
      <c r="SYV2997" s="559"/>
      <c r="SYW2997" s="125"/>
      <c r="SYX2997" s="470"/>
      <c r="SYY2997" s="449"/>
      <c r="SYZ2997" s="462"/>
      <c r="SZA2997" s="299"/>
      <c r="SZB2997" s="81"/>
      <c r="SZC2997" s="160"/>
      <c r="SZD2997" s="559"/>
      <c r="SZE2997" s="125"/>
      <c r="SZF2997" s="470"/>
      <c r="SZG2997" s="449"/>
      <c r="SZH2997" s="462"/>
      <c r="SZI2997" s="299"/>
      <c r="SZJ2997" s="81"/>
      <c r="SZK2997" s="160"/>
      <c r="SZL2997" s="559"/>
      <c r="SZM2997" s="125"/>
      <c r="SZN2997" s="470"/>
      <c r="SZO2997" s="449"/>
      <c r="SZP2997" s="462"/>
      <c r="SZQ2997" s="299"/>
      <c r="SZR2997" s="81"/>
      <c r="SZS2997" s="160"/>
      <c r="SZT2997" s="559"/>
      <c r="SZU2997" s="125"/>
      <c r="SZV2997" s="470"/>
      <c r="SZW2997" s="449"/>
      <c r="SZX2997" s="462"/>
      <c r="SZY2997" s="299"/>
      <c r="SZZ2997" s="81"/>
      <c r="TAA2997" s="160"/>
      <c r="TAB2997" s="559"/>
      <c r="TAC2997" s="125"/>
      <c r="TAD2997" s="470"/>
      <c r="TAE2997" s="449"/>
      <c r="TAF2997" s="462"/>
      <c r="TAG2997" s="299"/>
      <c r="TAH2997" s="81"/>
      <c r="TAI2997" s="160"/>
      <c r="TAJ2997" s="559"/>
      <c r="TAK2997" s="125"/>
      <c r="TAL2997" s="470"/>
      <c r="TAM2997" s="449"/>
      <c r="TAN2997" s="462"/>
      <c r="TAO2997" s="299"/>
      <c r="TAP2997" s="81"/>
      <c r="TAQ2997" s="160"/>
      <c r="TAR2997" s="559"/>
      <c r="TAS2997" s="125"/>
      <c r="TAT2997" s="470"/>
      <c r="TAU2997" s="449"/>
      <c r="TAV2997" s="462"/>
      <c r="TAW2997" s="299"/>
      <c r="TAX2997" s="81"/>
      <c r="TAY2997" s="160"/>
      <c r="TAZ2997" s="559"/>
      <c r="TBA2997" s="125"/>
      <c r="TBB2997" s="470"/>
      <c r="TBC2997" s="449"/>
      <c r="TBD2997" s="462"/>
      <c r="TBE2997" s="299"/>
      <c r="TBF2997" s="81"/>
      <c r="TBG2997" s="160"/>
      <c r="TBH2997" s="559"/>
      <c r="TBI2997" s="125"/>
      <c r="TBJ2997" s="470"/>
      <c r="TBK2997" s="449"/>
      <c r="TBL2997" s="462"/>
      <c r="TBM2997" s="299"/>
      <c r="TBN2997" s="81"/>
      <c r="TBO2997" s="160"/>
      <c r="TBP2997" s="559"/>
      <c r="TBQ2997" s="125"/>
      <c r="TBR2997" s="470"/>
      <c r="TBS2997" s="449"/>
      <c r="TBT2997" s="462"/>
      <c r="TBU2997" s="299"/>
      <c r="TBV2997" s="81"/>
      <c r="TBW2997" s="160"/>
      <c r="TBX2997" s="559"/>
      <c r="TBY2997" s="125"/>
      <c r="TBZ2997" s="470"/>
      <c r="TCA2997" s="449"/>
      <c r="TCB2997" s="462"/>
      <c r="TCC2997" s="299"/>
      <c r="TCD2997" s="81"/>
      <c r="TCE2997" s="160"/>
      <c r="TCF2997" s="559"/>
      <c r="TCG2997" s="125"/>
      <c r="TCH2997" s="470"/>
      <c r="TCI2997" s="449"/>
      <c r="TCJ2997" s="462"/>
      <c r="TCK2997" s="299"/>
      <c r="TCL2997" s="81"/>
      <c r="TCM2997" s="160"/>
      <c r="TCN2997" s="559"/>
      <c r="TCO2997" s="125"/>
      <c r="TCP2997" s="470"/>
      <c r="TCQ2997" s="449"/>
      <c r="TCR2997" s="462"/>
      <c r="TCS2997" s="299"/>
      <c r="TCT2997" s="81"/>
      <c r="TCU2997" s="160"/>
      <c r="TCV2997" s="559"/>
      <c r="TCW2997" s="125"/>
      <c r="TCX2997" s="470"/>
      <c r="TCY2997" s="449"/>
      <c r="TCZ2997" s="462"/>
      <c r="TDA2997" s="299"/>
      <c r="TDB2997" s="81"/>
      <c r="TDC2997" s="160"/>
      <c r="TDD2997" s="559"/>
      <c r="TDE2997" s="125"/>
      <c r="TDF2997" s="470"/>
      <c r="TDG2997" s="449"/>
      <c r="TDH2997" s="462"/>
      <c r="TDI2997" s="299"/>
      <c r="TDJ2997" s="81"/>
      <c r="TDK2997" s="160"/>
      <c r="TDL2997" s="559"/>
      <c r="TDM2997" s="125"/>
      <c r="TDN2997" s="470"/>
      <c r="TDO2997" s="449"/>
      <c r="TDP2997" s="462"/>
      <c r="TDQ2997" s="299"/>
      <c r="TDR2997" s="81"/>
      <c r="TDS2997" s="160"/>
      <c r="TDT2997" s="559"/>
      <c r="TDU2997" s="125"/>
      <c r="TDV2997" s="470"/>
      <c r="TDW2997" s="449"/>
      <c r="TDX2997" s="462"/>
      <c r="TDY2997" s="299"/>
      <c r="TDZ2997" s="81"/>
      <c r="TEA2997" s="160"/>
      <c r="TEB2997" s="559"/>
      <c r="TEC2997" s="125"/>
      <c r="TED2997" s="470"/>
      <c r="TEE2997" s="449"/>
      <c r="TEF2997" s="462"/>
      <c r="TEG2997" s="299"/>
      <c r="TEH2997" s="81"/>
      <c r="TEI2997" s="160"/>
      <c r="TEJ2997" s="559"/>
      <c r="TEK2997" s="125"/>
      <c r="TEL2997" s="470"/>
      <c r="TEM2997" s="449"/>
      <c r="TEN2997" s="462"/>
      <c r="TEO2997" s="299"/>
      <c r="TEP2997" s="81"/>
      <c r="TEQ2997" s="160"/>
      <c r="TER2997" s="559"/>
      <c r="TES2997" s="125"/>
      <c r="TET2997" s="470"/>
      <c r="TEU2997" s="449"/>
      <c r="TEV2997" s="462"/>
      <c r="TEW2997" s="299"/>
      <c r="TEX2997" s="81"/>
      <c r="TEY2997" s="160"/>
      <c r="TEZ2997" s="559"/>
      <c r="TFA2997" s="125"/>
      <c r="TFB2997" s="470"/>
      <c r="TFC2997" s="449"/>
      <c r="TFD2997" s="462"/>
      <c r="TFE2997" s="299"/>
      <c r="TFF2997" s="81"/>
      <c r="TFG2997" s="160"/>
      <c r="TFH2997" s="559"/>
      <c r="TFI2997" s="125"/>
      <c r="TFJ2997" s="470"/>
      <c r="TFK2997" s="449"/>
      <c r="TFL2997" s="462"/>
      <c r="TFM2997" s="299"/>
      <c r="TFN2997" s="81"/>
      <c r="TFO2997" s="160"/>
      <c r="TFP2997" s="559"/>
      <c r="TFQ2997" s="125"/>
      <c r="TFR2997" s="470"/>
      <c r="TFS2997" s="449"/>
      <c r="TFT2997" s="462"/>
      <c r="TFU2997" s="299"/>
      <c r="TFV2997" s="81"/>
      <c r="TFW2997" s="160"/>
      <c r="TFX2997" s="559"/>
      <c r="TFY2997" s="125"/>
      <c r="TFZ2997" s="470"/>
      <c r="TGA2997" s="449"/>
      <c r="TGB2997" s="462"/>
      <c r="TGC2997" s="299"/>
      <c r="TGD2997" s="81"/>
      <c r="TGE2997" s="160"/>
      <c r="TGF2997" s="559"/>
      <c r="TGG2997" s="125"/>
      <c r="TGH2997" s="470"/>
      <c r="TGI2997" s="449"/>
      <c r="TGJ2997" s="462"/>
      <c r="TGK2997" s="299"/>
      <c r="TGL2997" s="81"/>
      <c r="TGM2997" s="160"/>
      <c r="TGN2997" s="559"/>
      <c r="TGO2997" s="125"/>
      <c r="TGP2997" s="470"/>
      <c r="TGQ2997" s="449"/>
      <c r="TGR2997" s="462"/>
      <c r="TGS2997" s="299"/>
      <c r="TGT2997" s="81"/>
      <c r="TGU2997" s="160"/>
      <c r="TGV2997" s="559"/>
      <c r="TGW2997" s="125"/>
      <c r="TGX2997" s="470"/>
      <c r="TGY2997" s="449"/>
      <c r="TGZ2997" s="462"/>
      <c r="THA2997" s="299"/>
      <c r="THB2997" s="81"/>
      <c r="THC2997" s="160"/>
      <c r="THD2997" s="559"/>
      <c r="THE2997" s="125"/>
      <c r="THF2997" s="470"/>
      <c r="THG2997" s="449"/>
      <c r="THH2997" s="462"/>
      <c r="THI2997" s="299"/>
      <c r="THJ2997" s="81"/>
      <c r="THK2997" s="160"/>
      <c r="THL2997" s="559"/>
      <c r="THM2997" s="125"/>
      <c r="THN2997" s="470"/>
      <c r="THO2997" s="449"/>
      <c r="THP2997" s="462"/>
      <c r="THQ2997" s="299"/>
      <c r="THR2997" s="81"/>
      <c r="THS2997" s="160"/>
      <c r="THT2997" s="559"/>
      <c r="THU2997" s="125"/>
      <c r="THV2997" s="470"/>
      <c r="THW2997" s="449"/>
      <c r="THX2997" s="462"/>
      <c r="THY2997" s="299"/>
      <c r="THZ2997" s="81"/>
      <c r="TIA2997" s="160"/>
      <c r="TIB2997" s="559"/>
      <c r="TIC2997" s="125"/>
      <c r="TID2997" s="470"/>
      <c r="TIE2997" s="449"/>
      <c r="TIF2997" s="462"/>
      <c r="TIG2997" s="299"/>
      <c r="TIH2997" s="81"/>
      <c r="TII2997" s="160"/>
      <c r="TIJ2997" s="559"/>
      <c r="TIK2997" s="125"/>
      <c r="TIL2997" s="470"/>
      <c r="TIM2997" s="449"/>
      <c r="TIN2997" s="462"/>
      <c r="TIO2997" s="299"/>
      <c r="TIP2997" s="81"/>
      <c r="TIQ2997" s="160"/>
      <c r="TIR2997" s="559"/>
      <c r="TIS2997" s="125"/>
      <c r="TIT2997" s="470"/>
      <c r="TIU2997" s="449"/>
      <c r="TIV2997" s="462"/>
      <c r="TIW2997" s="299"/>
      <c r="TIX2997" s="81"/>
      <c r="TIY2997" s="160"/>
      <c r="TIZ2997" s="559"/>
      <c r="TJA2997" s="125"/>
      <c r="TJB2997" s="470"/>
      <c r="TJC2997" s="449"/>
      <c r="TJD2997" s="462"/>
      <c r="TJE2997" s="299"/>
      <c r="TJF2997" s="81"/>
      <c r="TJG2997" s="160"/>
      <c r="TJH2997" s="559"/>
      <c r="TJI2997" s="125"/>
      <c r="TJJ2997" s="470"/>
      <c r="TJK2997" s="449"/>
      <c r="TJL2997" s="462"/>
      <c r="TJM2997" s="299"/>
      <c r="TJN2997" s="81"/>
      <c r="TJO2997" s="160"/>
      <c r="TJP2997" s="559"/>
      <c r="TJQ2997" s="125"/>
      <c r="TJR2997" s="470"/>
      <c r="TJS2997" s="449"/>
      <c r="TJT2997" s="462"/>
      <c r="TJU2997" s="299"/>
      <c r="TJV2997" s="81"/>
      <c r="TJW2997" s="160"/>
      <c r="TJX2997" s="559"/>
      <c r="TJY2997" s="125"/>
      <c r="TJZ2997" s="470"/>
      <c r="TKA2997" s="449"/>
      <c r="TKB2997" s="462"/>
      <c r="TKC2997" s="299"/>
      <c r="TKD2997" s="81"/>
      <c r="TKE2997" s="160"/>
      <c r="TKF2997" s="559"/>
      <c r="TKG2997" s="125"/>
      <c r="TKH2997" s="470"/>
      <c r="TKI2997" s="449"/>
      <c r="TKJ2997" s="462"/>
      <c r="TKK2997" s="299"/>
      <c r="TKL2997" s="81"/>
      <c r="TKM2997" s="160"/>
      <c r="TKN2997" s="559"/>
      <c r="TKO2997" s="125"/>
      <c r="TKP2997" s="470"/>
      <c r="TKQ2997" s="449"/>
      <c r="TKR2997" s="462"/>
      <c r="TKS2997" s="299"/>
      <c r="TKT2997" s="81"/>
      <c r="TKU2997" s="160"/>
      <c r="TKV2997" s="559"/>
      <c r="TKW2997" s="125"/>
      <c r="TKX2997" s="470"/>
      <c r="TKY2997" s="449"/>
      <c r="TKZ2997" s="462"/>
      <c r="TLA2997" s="299"/>
      <c r="TLB2997" s="81"/>
      <c r="TLC2997" s="160"/>
      <c r="TLD2997" s="559"/>
      <c r="TLE2997" s="125"/>
      <c r="TLF2997" s="470"/>
      <c r="TLG2997" s="449"/>
      <c r="TLH2997" s="462"/>
      <c r="TLI2997" s="299"/>
      <c r="TLJ2997" s="81"/>
      <c r="TLK2997" s="160"/>
      <c r="TLL2997" s="559"/>
      <c r="TLM2997" s="125"/>
      <c r="TLN2997" s="470"/>
      <c r="TLO2997" s="449"/>
      <c r="TLP2997" s="462"/>
      <c r="TLQ2997" s="299"/>
      <c r="TLR2997" s="81"/>
      <c r="TLS2997" s="160"/>
      <c r="TLT2997" s="559"/>
      <c r="TLU2997" s="125"/>
      <c r="TLV2997" s="470"/>
      <c r="TLW2997" s="449"/>
      <c r="TLX2997" s="462"/>
      <c r="TLY2997" s="299"/>
      <c r="TLZ2997" s="81"/>
      <c r="TMA2997" s="160"/>
      <c r="TMB2997" s="559"/>
      <c r="TMC2997" s="125"/>
      <c r="TMD2997" s="470"/>
      <c r="TME2997" s="449"/>
      <c r="TMF2997" s="462"/>
      <c r="TMG2997" s="299"/>
      <c r="TMH2997" s="81"/>
      <c r="TMI2997" s="160"/>
      <c r="TMJ2997" s="559"/>
      <c r="TMK2997" s="125"/>
      <c r="TML2997" s="470"/>
      <c r="TMM2997" s="449"/>
      <c r="TMN2997" s="462"/>
      <c r="TMO2997" s="299"/>
      <c r="TMP2997" s="81"/>
      <c r="TMQ2997" s="160"/>
      <c r="TMR2997" s="559"/>
      <c r="TMS2997" s="125"/>
      <c r="TMT2997" s="470"/>
      <c r="TMU2997" s="449"/>
      <c r="TMV2997" s="462"/>
      <c r="TMW2997" s="299"/>
      <c r="TMX2997" s="81"/>
      <c r="TMY2997" s="160"/>
      <c r="TMZ2997" s="559"/>
      <c r="TNA2997" s="125"/>
      <c r="TNB2997" s="470"/>
      <c r="TNC2997" s="449"/>
      <c r="TND2997" s="462"/>
      <c r="TNE2997" s="299"/>
      <c r="TNF2997" s="81"/>
      <c r="TNG2997" s="160"/>
      <c r="TNH2997" s="559"/>
      <c r="TNI2997" s="125"/>
      <c r="TNJ2997" s="470"/>
      <c r="TNK2997" s="449"/>
      <c r="TNL2997" s="462"/>
      <c r="TNM2997" s="299"/>
      <c r="TNN2997" s="81"/>
      <c r="TNO2997" s="160"/>
      <c r="TNP2997" s="559"/>
      <c r="TNQ2997" s="125"/>
      <c r="TNR2997" s="470"/>
      <c r="TNS2997" s="449"/>
      <c r="TNT2997" s="462"/>
      <c r="TNU2997" s="299"/>
      <c r="TNV2997" s="81"/>
      <c r="TNW2997" s="160"/>
      <c r="TNX2997" s="559"/>
      <c r="TNY2997" s="125"/>
      <c r="TNZ2997" s="470"/>
      <c r="TOA2997" s="449"/>
      <c r="TOB2997" s="462"/>
      <c r="TOC2997" s="299"/>
      <c r="TOD2997" s="81"/>
      <c r="TOE2997" s="160"/>
      <c r="TOF2997" s="559"/>
      <c r="TOG2997" s="125"/>
      <c r="TOH2997" s="470"/>
      <c r="TOI2997" s="449"/>
      <c r="TOJ2997" s="462"/>
      <c r="TOK2997" s="299"/>
      <c r="TOL2997" s="81"/>
      <c r="TOM2997" s="160"/>
      <c r="TON2997" s="559"/>
      <c r="TOO2997" s="125"/>
      <c r="TOP2997" s="470"/>
      <c r="TOQ2997" s="449"/>
      <c r="TOR2997" s="462"/>
      <c r="TOS2997" s="299"/>
      <c r="TOT2997" s="81"/>
      <c r="TOU2997" s="160"/>
      <c r="TOV2997" s="559"/>
      <c r="TOW2997" s="125"/>
      <c r="TOX2997" s="470"/>
      <c r="TOY2997" s="449"/>
      <c r="TOZ2997" s="462"/>
      <c r="TPA2997" s="299"/>
      <c r="TPB2997" s="81"/>
      <c r="TPC2997" s="160"/>
      <c r="TPD2997" s="559"/>
      <c r="TPE2997" s="125"/>
      <c r="TPF2997" s="470"/>
      <c r="TPG2997" s="449"/>
      <c r="TPH2997" s="462"/>
      <c r="TPI2997" s="299"/>
      <c r="TPJ2997" s="81"/>
      <c r="TPK2997" s="160"/>
      <c r="TPL2997" s="559"/>
      <c r="TPM2997" s="125"/>
      <c r="TPN2997" s="470"/>
      <c r="TPO2997" s="449"/>
      <c r="TPP2997" s="462"/>
      <c r="TPQ2997" s="299"/>
      <c r="TPR2997" s="81"/>
      <c r="TPS2997" s="160"/>
      <c r="TPT2997" s="559"/>
      <c r="TPU2997" s="125"/>
      <c r="TPV2997" s="470"/>
      <c r="TPW2997" s="449"/>
      <c r="TPX2997" s="462"/>
      <c r="TPY2997" s="299"/>
      <c r="TPZ2997" s="81"/>
      <c r="TQA2997" s="160"/>
      <c r="TQB2997" s="559"/>
      <c r="TQC2997" s="125"/>
      <c r="TQD2997" s="470"/>
      <c r="TQE2997" s="449"/>
      <c r="TQF2997" s="462"/>
      <c r="TQG2997" s="299"/>
      <c r="TQH2997" s="81"/>
      <c r="TQI2997" s="160"/>
      <c r="TQJ2997" s="559"/>
      <c r="TQK2997" s="125"/>
      <c r="TQL2997" s="470"/>
      <c r="TQM2997" s="449"/>
      <c r="TQN2997" s="462"/>
      <c r="TQO2997" s="299"/>
      <c r="TQP2997" s="81"/>
      <c r="TQQ2997" s="160"/>
      <c r="TQR2997" s="559"/>
      <c r="TQS2997" s="125"/>
      <c r="TQT2997" s="470"/>
      <c r="TQU2997" s="449"/>
      <c r="TQV2997" s="462"/>
      <c r="TQW2997" s="299"/>
      <c r="TQX2997" s="81"/>
      <c r="TQY2997" s="160"/>
      <c r="TQZ2997" s="559"/>
      <c r="TRA2997" s="125"/>
      <c r="TRB2997" s="470"/>
      <c r="TRC2997" s="449"/>
      <c r="TRD2997" s="462"/>
      <c r="TRE2997" s="299"/>
      <c r="TRF2997" s="81"/>
      <c r="TRG2997" s="160"/>
      <c r="TRH2997" s="559"/>
      <c r="TRI2997" s="125"/>
      <c r="TRJ2997" s="470"/>
      <c r="TRK2997" s="449"/>
      <c r="TRL2997" s="462"/>
      <c r="TRM2997" s="299"/>
      <c r="TRN2997" s="81"/>
      <c r="TRO2997" s="160"/>
      <c r="TRP2997" s="559"/>
      <c r="TRQ2997" s="125"/>
      <c r="TRR2997" s="470"/>
      <c r="TRS2997" s="449"/>
      <c r="TRT2997" s="462"/>
      <c r="TRU2997" s="299"/>
      <c r="TRV2997" s="81"/>
      <c r="TRW2997" s="160"/>
      <c r="TRX2997" s="559"/>
      <c r="TRY2997" s="125"/>
      <c r="TRZ2997" s="470"/>
      <c r="TSA2997" s="449"/>
      <c r="TSB2997" s="462"/>
      <c r="TSC2997" s="299"/>
      <c r="TSD2997" s="81"/>
      <c r="TSE2997" s="160"/>
      <c r="TSF2997" s="559"/>
      <c r="TSG2997" s="125"/>
      <c r="TSH2997" s="470"/>
      <c r="TSI2997" s="449"/>
      <c r="TSJ2997" s="462"/>
      <c r="TSK2997" s="299"/>
      <c r="TSL2997" s="81"/>
      <c r="TSM2997" s="160"/>
      <c r="TSN2997" s="559"/>
      <c r="TSO2997" s="125"/>
      <c r="TSP2997" s="470"/>
      <c r="TSQ2997" s="449"/>
      <c r="TSR2997" s="462"/>
      <c r="TSS2997" s="299"/>
      <c r="TST2997" s="81"/>
      <c r="TSU2997" s="160"/>
      <c r="TSV2997" s="559"/>
      <c r="TSW2997" s="125"/>
      <c r="TSX2997" s="470"/>
      <c r="TSY2997" s="449"/>
      <c r="TSZ2997" s="462"/>
      <c r="TTA2997" s="299"/>
      <c r="TTB2997" s="81"/>
      <c r="TTC2997" s="160"/>
      <c r="TTD2997" s="559"/>
      <c r="TTE2997" s="125"/>
      <c r="TTF2997" s="470"/>
      <c r="TTG2997" s="449"/>
      <c r="TTH2997" s="462"/>
      <c r="TTI2997" s="299"/>
      <c r="TTJ2997" s="81"/>
      <c r="TTK2997" s="160"/>
      <c r="TTL2997" s="559"/>
      <c r="TTM2997" s="125"/>
      <c r="TTN2997" s="470"/>
      <c r="TTO2997" s="449"/>
      <c r="TTP2997" s="462"/>
      <c r="TTQ2997" s="299"/>
      <c r="TTR2997" s="81"/>
      <c r="TTS2997" s="160"/>
      <c r="TTT2997" s="559"/>
      <c r="TTU2997" s="125"/>
      <c r="TTV2997" s="470"/>
      <c r="TTW2997" s="449"/>
      <c r="TTX2997" s="462"/>
      <c r="TTY2997" s="299"/>
      <c r="TTZ2997" s="81"/>
      <c r="TUA2997" s="160"/>
      <c r="TUB2997" s="559"/>
      <c r="TUC2997" s="125"/>
      <c r="TUD2997" s="470"/>
      <c r="TUE2997" s="449"/>
      <c r="TUF2997" s="462"/>
      <c r="TUG2997" s="299"/>
      <c r="TUH2997" s="81"/>
      <c r="TUI2997" s="160"/>
      <c r="TUJ2997" s="559"/>
      <c r="TUK2997" s="125"/>
      <c r="TUL2997" s="470"/>
      <c r="TUM2997" s="449"/>
      <c r="TUN2997" s="462"/>
      <c r="TUO2997" s="299"/>
      <c r="TUP2997" s="81"/>
      <c r="TUQ2997" s="160"/>
      <c r="TUR2997" s="559"/>
      <c r="TUS2997" s="125"/>
      <c r="TUT2997" s="470"/>
      <c r="TUU2997" s="449"/>
      <c r="TUV2997" s="462"/>
      <c r="TUW2997" s="299"/>
      <c r="TUX2997" s="81"/>
      <c r="TUY2997" s="160"/>
      <c r="TUZ2997" s="559"/>
      <c r="TVA2997" s="125"/>
      <c r="TVB2997" s="470"/>
      <c r="TVC2997" s="449"/>
      <c r="TVD2997" s="462"/>
      <c r="TVE2997" s="299"/>
      <c r="TVF2997" s="81"/>
      <c r="TVG2997" s="160"/>
      <c r="TVH2997" s="559"/>
      <c r="TVI2997" s="125"/>
      <c r="TVJ2997" s="470"/>
      <c r="TVK2997" s="449"/>
      <c r="TVL2997" s="462"/>
      <c r="TVM2997" s="299"/>
      <c r="TVN2997" s="81"/>
      <c r="TVO2997" s="160"/>
      <c r="TVP2997" s="559"/>
      <c r="TVQ2997" s="125"/>
      <c r="TVR2997" s="470"/>
      <c r="TVS2997" s="449"/>
      <c r="TVT2997" s="462"/>
      <c r="TVU2997" s="299"/>
      <c r="TVV2997" s="81"/>
      <c r="TVW2997" s="160"/>
      <c r="TVX2997" s="559"/>
      <c r="TVY2997" s="125"/>
      <c r="TVZ2997" s="470"/>
      <c r="TWA2997" s="449"/>
      <c r="TWB2997" s="462"/>
      <c r="TWC2997" s="299"/>
      <c r="TWD2997" s="81"/>
      <c r="TWE2997" s="160"/>
      <c r="TWF2997" s="559"/>
      <c r="TWG2997" s="125"/>
      <c r="TWH2997" s="470"/>
      <c r="TWI2997" s="449"/>
      <c r="TWJ2997" s="462"/>
      <c r="TWK2997" s="299"/>
      <c r="TWL2997" s="81"/>
      <c r="TWM2997" s="160"/>
      <c r="TWN2997" s="559"/>
      <c r="TWO2997" s="125"/>
      <c r="TWP2997" s="470"/>
      <c r="TWQ2997" s="449"/>
      <c r="TWR2997" s="462"/>
      <c r="TWS2997" s="299"/>
      <c r="TWT2997" s="81"/>
      <c r="TWU2997" s="160"/>
      <c r="TWV2997" s="559"/>
      <c r="TWW2997" s="125"/>
      <c r="TWX2997" s="470"/>
      <c r="TWY2997" s="449"/>
      <c r="TWZ2997" s="462"/>
      <c r="TXA2997" s="299"/>
      <c r="TXB2997" s="81"/>
      <c r="TXC2997" s="160"/>
      <c r="TXD2997" s="559"/>
      <c r="TXE2997" s="125"/>
      <c r="TXF2997" s="470"/>
      <c r="TXG2997" s="449"/>
      <c r="TXH2997" s="462"/>
      <c r="TXI2997" s="299"/>
      <c r="TXJ2997" s="81"/>
      <c r="TXK2997" s="160"/>
      <c r="TXL2997" s="559"/>
      <c r="TXM2997" s="125"/>
      <c r="TXN2997" s="470"/>
      <c r="TXO2997" s="449"/>
      <c r="TXP2997" s="462"/>
      <c r="TXQ2997" s="299"/>
      <c r="TXR2997" s="81"/>
      <c r="TXS2997" s="160"/>
      <c r="TXT2997" s="559"/>
      <c r="TXU2997" s="125"/>
      <c r="TXV2997" s="470"/>
      <c r="TXW2997" s="449"/>
      <c r="TXX2997" s="462"/>
      <c r="TXY2997" s="299"/>
      <c r="TXZ2997" s="81"/>
      <c r="TYA2997" s="160"/>
      <c r="TYB2997" s="559"/>
      <c r="TYC2997" s="125"/>
      <c r="TYD2997" s="470"/>
      <c r="TYE2997" s="449"/>
      <c r="TYF2997" s="462"/>
      <c r="TYG2997" s="299"/>
      <c r="TYH2997" s="81"/>
      <c r="TYI2997" s="160"/>
      <c r="TYJ2997" s="559"/>
      <c r="TYK2997" s="125"/>
      <c r="TYL2997" s="470"/>
      <c r="TYM2997" s="449"/>
      <c r="TYN2997" s="462"/>
      <c r="TYO2997" s="299"/>
      <c r="TYP2997" s="81"/>
      <c r="TYQ2997" s="160"/>
      <c r="TYR2997" s="559"/>
      <c r="TYS2997" s="125"/>
      <c r="TYT2997" s="470"/>
      <c r="TYU2997" s="449"/>
      <c r="TYV2997" s="462"/>
      <c r="TYW2997" s="299"/>
      <c r="TYX2997" s="81"/>
      <c r="TYY2997" s="160"/>
      <c r="TYZ2997" s="559"/>
      <c r="TZA2997" s="125"/>
      <c r="TZB2997" s="470"/>
      <c r="TZC2997" s="449"/>
      <c r="TZD2997" s="462"/>
      <c r="TZE2997" s="299"/>
      <c r="TZF2997" s="81"/>
      <c r="TZG2997" s="160"/>
      <c r="TZH2997" s="559"/>
      <c r="TZI2997" s="125"/>
      <c r="TZJ2997" s="470"/>
      <c r="TZK2997" s="449"/>
      <c r="TZL2997" s="462"/>
      <c r="TZM2997" s="299"/>
      <c r="TZN2997" s="81"/>
      <c r="TZO2997" s="160"/>
      <c r="TZP2997" s="559"/>
      <c r="TZQ2997" s="125"/>
      <c r="TZR2997" s="470"/>
      <c r="TZS2997" s="449"/>
      <c r="TZT2997" s="462"/>
      <c r="TZU2997" s="299"/>
      <c r="TZV2997" s="81"/>
      <c r="TZW2997" s="160"/>
      <c r="TZX2997" s="559"/>
      <c r="TZY2997" s="125"/>
      <c r="TZZ2997" s="470"/>
      <c r="UAA2997" s="449"/>
      <c r="UAB2997" s="462"/>
      <c r="UAC2997" s="299"/>
      <c r="UAD2997" s="81"/>
      <c r="UAE2997" s="160"/>
      <c r="UAF2997" s="559"/>
      <c r="UAG2997" s="125"/>
      <c r="UAH2997" s="470"/>
      <c r="UAI2997" s="449"/>
      <c r="UAJ2997" s="462"/>
      <c r="UAK2997" s="299"/>
      <c r="UAL2997" s="81"/>
      <c r="UAM2997" s="160"/>
      <c r="UAN2997" s="559"/>
      <c r="UAO2997" s="125"/>
      <c r="UAP2997" s="470"/>
      <c r="UAQ2997" s="449"/>
      <c r="UAR2997" s="462"/>
      <c r="UAS2997" s="299"/>
      <c r="UAT2997" s="81"/>
      <c r="UAU2997" s="160"/>
      <c r="UAV2997" s="559"/>
      <c r="UAW2997" s="125"/>
      <c r="UAX2997" s="470"/>
      <c r="UAY2997" s="449"/>
      <c r="UAZ2997" s="462"/>
      <c r="UBA2997" s="299"/>
      <c r="UBB2997" s="81"/>
      <c r="UBC2997" s="160"/>
      <c r="UBD2997" s="559"/>
      <c r="UBE2997" s="125"/>
      <c r="UBF2997" s="470"/>
      <c r="UBG2997" s="449"/>
      <c r="UBH2997" s="462"/>
      <c r="UBI2997" s="299"/>
      <c r="UBJ2997" s="81"/>
      <c r="UBK2997" s="160"/>
      <c r="UBL2997" s="559"/>
      <c r="UBM2997" s="125"/>
      <c r="UBN2997" s="470"/>
      <c r="UBO2997" s="449"/>
      <c r="UBP2997" s="462"/>
      <c r="UBQ2997" s="299"/>
      <c r="UBR2997" s="81"/>
      <c r="UBS2997" s="160"/>
      <c r="UBT2997" s="559"/>
      <c r="UBU2997" s="125"/>
      <c r="UBV2997" s="470"/>
      <c r="UBW2997" s="449"/>
      <c r="UBX2997" s="462"/>
      <c r="UBY2997" s="299"/>
      <c r="UBZ2997" s="81"/>
      <c r="UCA2997" s="160"/>
      <c r="UCB2997" s="559"/>
      <c r="UCC2997" s="125"/>
      <c r="UCD2997" s="470"/>
      <c r="UCE2997" s="449"/>
      <c r="UCF2997" s="462"/>
      <c r="UCG2997" s="299"/>
      <c r="UCH2997" s="81"/>
      <c r="UCI2997" s="160"/>
      <c r="UCJ2997" s="559"/>
      <c r="UCK2997" s="125"/>
      <c r="UCL2997" s="470"/>
      <c r="UCM2997" s="449"/>
      <c r="UCN2997" s="462"/>
      <c r="UCO2997" s="299"/>
      <c r="UCP2997" s="81"/>
      <c r="UCQ2997" s="160"/>
      <c r="UCR2997" s="559"/>
      <c r="UCS2997" s="125"/>
      <c r="UCT2997" s="470"/>
      <c r="UCU2997" s="449"/>
      <c r="UCV2997" s="462"/>
      <c r="UCW2997" s="299"/>
      <c r="UCX2997" s="81"/>
      <c r="UCY2997" s="160"/>
      <c r="UCZ2997" s="559"/>
      <c r="UDA2997" s="125"/>
      <c r="UDB2997" s="470"/>
      <c r="UDC2997" s="449"/>
      <c r="UDD2997" s="462"/>
      <c r="UDE2997" s="299"/>
      <c r="UDF2997" s="81"/>
      <c r="UDG2997" s="160"/>
      <c r="UDH2997" s="559"/>
      <c r="UDI2997" s="125"/>
      <c r="UDJ2997" s="470"/>
      <c r="UDK2997" s="449"/>
      <c r="UDL2997" s="462"/>
      <c r="UDM2997" s="299"/>
      <c r="UDN2997" s="81"/>
      <c r="UDO2997" s="160"/>
      <c r="UDP2997" s="559"/>
      <c r="UDQ2997" s="125"/>
      <c r="UDR2997" s="470"/>
      <c r="UDS2997" s="449"/>
      <c r="UDT2997" s="462"/>
      <c r="UDU2997" s="299"/>
      <c r="UDV2997" s="81"/>
      <c r="UDW2997" s="160"/>
      <c r="UDX2997" s="559"/>
      <c r="UDY2997" s="125"/>
      <c r="UDZ2997" s="470"/>
      <c r="UEA2997" s="449"/>
      <c r="UEB2997" s="462"/>
      <c r="UEC2997" s="299"/>
      <c r="UED2997" s="81"/>
      <c r="UEE2997" s="160"/>
      <c r="UEF2997" s="559"/>
      <c r="UEG2997" s="125"/>
      <c r="UEH2997" s="470"/>
      <c r="UEI2997" s="449"/>
      <c r="UEJ2997" s="462"/>
      <c r="UEK2997" s="299"/>
      <c r="UEL2997" s="81"/>
      <c r="UEM2997" s="160"/>
      <c r="UEN2997" s="559"/>
      <c r="UEO2997" s="125"/>
      <c r="UEP2997" s="470"/>
      <c r="UEQ2997" s="449"/>
      <c r="UER2997" s="462"/>
      <c r="UES2997" s="299"/>
      <c r="UET2997" s="81"/>
      <c r="UEU2997" s="160"/>
      <c r="UEV2997" s="559"/>
      <c r="UEW2997" s="125"/>
      <c r="UEX2997" s="470"/>
      <c r="UEY2997" s="449"/>
      <c r="UEZ2997" s="462"/>
      <c r="UFA2997" s="299"/>
      <c r="UFB2997" s="81"/>
      <c r="UFC2997" s="160"/>
      <c r="UFD2997" s="559"/>
      <c r="UFE2997" s="125"/>
      <c r="UFF2997" s="470"/>
      <c r="UFG2997" s="449"/>
      <c r="UFH2997" s="462"/>
      <c r="UFI2997" s="299"/>
      <c r="UFJ2997" s="81"/>
      <c r="UFK2997" s="160"/>
      <c r="UFL2997" s="559"/>
      <c r="UFM2997" s="125"/>
      <c r="UFN2997" s="470"/>
      <c r="UFO2997" s="449"/>
      <c r="UFP2997" s="462"/>
      <c r="UFQ2997" s="299"/>
      <c r="UFR2997" s="81"/>
      <c r="UFS2997" s="160"/>
      <c r="UFT2997" s="559"/>
      <c r="UFU2997" s="125"/>
      <c r="UFV2997" s="470"/>
      <c r="UFW2997" s="449"/>
      <c r="UFX2997" s="462"/>
      <c r="UFY2997" s="299"/>
      <c r="UFZ2997" s="81"/>
      <c r="UGA2997" s="160"/>
      <c r="UGB2997" s="559"/>
      <c r="UGC2997" s="125"/>
      <c r="UGD2997" s="470"/>
      <c r="UGE2997" s="449"/>
      <c r="UGF2997" s="462"/>
      <c r="UGG2997" s="299"/>
      <c r="UGH2997" s="81"/>
      <c r="UGI2997" s="160"/>
      <c r="UGJ2997" s="559"/>
      <c r="UGK2997" s="125"/>
      <c r="UGL2997" s="470"/>
      <c r="UGM2997" s="449"/>
      <c r="UGN2997" s="462"/>
      <c r="UGO2997" s="299"/>
      <c r="UGP2997" s="81"/>
      <c r="UGQ2997" s="160"/>
      <c r="UGR2997" s="559"/>
      <c r="UGS2997" s="125"/>
      <c r="UGT2997" s="470"/>
      <c r="UGU2997" s="449"/>
      <c r="UGV2997" s="462"/>
      <c r="UGW2997" s="299"/>
      <c r="UGX2997" s="81"/>
      <c r="UGY2997" s="160"/>
      <c r="UGZ2997" s="559"/>
      <c r="UHA2997" s="125"/>
      <c r="UHB2997" s="470"/>
      <c r="UHC2997" s="449"/>
      <c r="UHD2997" s="462"/>
      <c r="UHE2997" s="299"/>
      <c r="UHF2997" s="81"/>
      <c r="UHG2997" s="160"/>
      <c r="UHH2997" s="559"/>
      <c r="UHI2997" s="125"/>
      <c r="UHJ2997" s="470"/>
      <c r="UHK2997" s="449"/>
      <c r="UHL2997" s="462"/>
      <c r="UHM2997" s="299"/>
      <c r="UHN2997" s="81"/>
      <c r="UHO2997" s="160"/>
      <c r="UHP2997" s="559"/>
      <c r="UHQ2997" s="125"/>
      <c r="UHR2997" s="470"/>
      <c r="UHS2997" s="449"/>
      <c r="UHT2997" s="462"/>
      <c r="UHU2997" s="299"/>
      <c r="UHV2997" s="81"/>
      <c r="UHW2997" s="160"/>
      <c r="UHX2997" s="559"/>
      <c r="UHY2997" s="125"/>
      <c r="UHZ2997" s="470"/>
      <c r="UIA2997" s="449"/>
      <c r="UIB2997" s="462"/>
      <c r="UIC2997" s="299"/>
      <c r="UID2997" s="81"/>
      <c r="UIE2997" s="160"/>
      <c r="UIF2997" s="559"/>
      <c r="UIG2997" s="125"/>
      <c r="UIH2997" s="470"/>
      <c r="UII2997" s="449"/>
      <c r="UIJ2997" s="462"/>
      <c r="UIK2997" s="299"/>
      <c r="UIL2997" s="81"/>
      <c r="UIM2997" s="160"/>
      <c r="UIN2997" s="559"/>
      <c r="UIO2997" s="125"/>
      <c r="UIP2997" s="470"/>
      <c r="UIQ2997" s="449"/>
      <c r="UIR2997" s="462"/>
      <c r="UIS2997" s="299"/>
      <c r="UIT2997" s="81"/>
      <c r="UIU2997" s="160"/>
      <c r="UIV2997" s="559"/>
      <c r="UIW2997" s="125"/>
      <c r="UIX2997" s="470"/>
      <c r="UIY2997" s="449"/>
      <c r="UIZ2997" s="462"/>
      <c r="UJA2997" s="299"/>
      <c r="UJB2997" s="81"/>
      <c r="UJC2997" s="160"/>
      <c r="UJD2997" s="559"/>
      <c r="UJE2997" s="125"/>
      <c r="UJF2997" s="470"/>
      <c r="UJG2997" s="449"/>
      <c r="UJH2997" s="462"/>
      <c r="UJI2997" s="299"/>
      <c r="UJJ2997" s="81"/>
      <c r="UJK2997" s="160"/>
      <c r="UJL2997" s="559"/>
      <c r="UJM2997" s="125"/>
      <c r="UJN2997" s="470"/>
      <c r="UJO2997" s="449"/>
      <c r="UJP2997" s="462"/>
      <c r="UJQ2997" s="299"/>
      <c r="UJR2997" s="81"/>
      <c r="UJS2997" s="160"/>
      <c r="UJT2997" s="559"/>
      <c r="UJU2997" s="125"/>
      <c r="UJV2997" s="470"/>
      <c r="UJW2997" s="449"/>
      <c r="UJX2997" s="462"/>
      <c r="UJY2997" s="299"/>
      <c r="UJZ2997" s="81"/>
      <c r="UKA2997" s="160"/>
      <c r="UKB2997" s="559"/>
      <c r="UKC2997" s="125"/>
      <c r="UKD2997" s="470"/>
      <c r="UKE2997" s="449"/>
      <c r="UKF2997" s="462"/>
      <c r="UKG2997" s="299"/>
      <c r="UKH2997" s="81"/>
      <c r="UKI2997" s="160"/>
      <c r="UKJ2997" s="559"/>
      <c r="UKK2997" s="125"/>
      <c r="UKL2997" s="470"/>
      <c r="UKM2997" s="449"/>
      <c r="UKN2997" s="462"/>
      <c r="UKO2997" s="299"/>
      <c r="UKP2997" s="81"/>
      <c r="UKQ2997" s="160"/>
      <c r="UKR2997" s="559"/>
      <c r="UKS2997" s="125"/>
      <c r="UKT2997" s="470"/>
      <c r="UKU2997" s="449"/>
      <c r="UKV2997" s="462"/>
      <c r="UKW2997" s="299"/>
      <c r="UKX2997" s="81"/>
      <c r="UKY2997" s="160"/>
      <c r="UKZ2997" s="559"/>
      <c r="ULA2997" s="125"/>
      <c r="ULB2997" s="470"/>
      <c r="ULC2997" s="449"/>
      <c r="ULD2997" s="462"/>
      <c r="ULE2997" s="299"/>
      <c r="ULF2997" s="81"/>
      <c r="ULG2997" s="160"/>
      <c r="ULH2997" s="559"/>
      <c r="ULI2997" s="125"/>
      <c r="ULJ2997" s="470"/>
      <c r="ULK2997" s="449"/>
      <c r="ULL2997" s="462"/>
      <c r="ULM2997" s="299"/>
      <c r="ULN2997" s="81"/>
      <c r="ULO2997" s="160"/>
      <c r="ULP2997" s="559"/>
      <c r="ULQ2997" s="125"/>
      <c r="ULR2997" s="470"/>
      <c r="ULS2997" s="449"/>
      <c r="ULT2997" s="462"/>
      <c r="ULU2997" s="299"/>
      <c r="ULV2997" s="81"/>
      <c r="ULW2997" s="160"/>
      <c r="ULX2997" s="559"/>
      <c r="ULY2997" s="125"/>
      <c r="ULZ2997" s="470"/>
      <c r="UMA2997" s="449"/>
      <c r="UMB2997" s="462"/>
      <c r="UMC2997" s="299"/>
      <c r="UMD2997" s="81"/>
      <c r="UME2997" s="160"/>
      <c r="UMF2997" s="559"/>
      <c r="UMG2997" s="125"/>
      <c r="UMH2997" s="470"/>
      <c r="UMI2997" s="449"/>
      <c r="UMJ2997" s="462"/>
      <c r="UMK2997" s="299"/>
      <c r="UML2997" s="81"/>
      <c r="UMM2997" s="160"/>
      <c r="UMN2997" s="559"/>
      <c r="UMO2997" s="125"/>
      <c r="UMP2997" s="470"/>
      <c r="UMQ2997" s="449"/>
      <c r="UMR2997" s="462"/>
      <c r="UMS2997" s="299"/>
      <c r="UMT2997" s="81"/>
      <c r="UMU2997" s="160"/>
      <c r="UMV2997" s="559"/>
      <c r="UMW2997" s="125"/>
      <c r="UMX2997" s="470"/>
      <c r="UMY2997" s="449"/>
      <c r="UMZ2997" s="462"/>
      <c r="UNA2997" s="299"/>
      <c r="UNB2997" s="81"/>
      <c r="UNC2997" s="160"/>
      <c r="UND2997" s="559"/>
      <c r="UNE2997" s="125"/>
      <c r="UNF2997" s="470"/>
      <c r="UNG2997" s="449"/>
      <c r="UNH2997" s="462"/>
      <c r="UNI2997" s="299"/>
      <c r="UNJ2997" s="81"/>
      <c r="UNK2997" s="160"/>
      <c r="UNL2997" s="559"/>
      <c r="UNM2997" s="125"/>
      <c r="UNN2997" s="470"/>
      <c r="UNO2997" s="449"/>
      <c r="UNP2997" s="462"/>
      <c r="UNQ2997" s="299"/>
      <c r="UNR2997" s="81"/>
      <c r="UNS2997" s="160"/>
      <c r="UNT2997" s="559"/>
      <c r="UNU2997" s="125"/>
      <c r="UNV2997" s="470"/>
      <c r="UNW2997" s="449"/>
      <c r="UNX2997" s="462"/>
      <c r="UNY2997" s="299"/>
      <c r="UNZ2997" s="81"/>
      <c r="UOA2997" s="160"/>
      <c r="UOB2997" s="559"/>
      <c r="UOC2997" s="125"/>
      <c r="UOD2997" s="470"/>
      <c r="UOE2997" s="449"/>
      <c r="UOF2997" s="462"/>
      <c r="UOG2997" s="299"/>
      <c r="UOH2997" s="81"/>
      <c r="UOI2997" s="160"/>
      <c r="UOJ2997" s="559"/>
      <c r="UOK2997" s="125"/>
      <c r="UOL2997" s="470"/>
      <c r="UOM2997" s="449"/>
      <c r="UON2997" s="462"/>
      <c r="UOO2997" s="299"/>
      <c r="UOP2997" s="81"/>
      <c r="UOQ2997" s="160"/>
      <c r="UOR2997" s="559"/>
      <c r="UOS2997" s="125"/>
      <c r="UOT2997" s="470"/>
      <c r="UOU2997" s="449"/>
      <c r="UOV2997" s="462"/>
      <c r="UOW2997" s="299"/>
      <c r="UOX2997" s="81"/>
      <c r="UOY2997" s="160"/>
      <c r="UOZ2997" s="559"/>
      <c r="UPA2997" s="125"/>
      <c r="UPB2997" s="470"/>
      <c r="UPC2997" s="449"/>
      <c r="UPD2997" s="462"/>
      <c r="UPE2997" s="299"/>
      <c r="UPF2997" s="81"/>
      <c r="UPG2997" s="160"/>
      <c r="UPH2997" s="559"/>
      <c r="UPI2997" s="125"/>
      <c r="UPJ2997" s="470"/>
      <c r="UPK2997" s="449"/>
      <c r="UPL2997" s="462"/>
      <c r="UPM2997" s="299"/>
      <c r="UPN2997" s="81"/>
      <c r="UPO2997" s="160"/>
      <c r="UPP2997" s="559"/>
      <c r="UPQ2997" s="125"/>
      <c r="UPR2997" s="470"/>
      <c r="UPS2997" s="449"/>
      <c r="UPT2997" s="462"/>
      <c r="UPU2997" s="299"/>
      <c r="UPV2997" s="81"/>
      <c r="UPW2997" s="160"/>
      <c r="UPX2997" s="559"/>
      <c r="UPY2997" s="125"/>
      <c r="UPZ2997" s="470"/>
      <c r="UQA2997" s="449"/>
      <c r="UQB2997" s="462"/>
      <c r="UQC2997" s="299"/>
      <c r="UQD2997" s="81"/>
      <c r="UQE2997" s="160"/>
      <c r="UQF2997" s="559"/>
      <c r="UQG2997" s="125"/>
      <c r="UQH2997" s="470"/>
      <c r="UQI2997" s="449"/>
      <c r="UQJ2997" s="462"/>
      <c r="UQK2997" s="299"/>
      <c r="UQL2997" s="81"/>
      <c r="UQM2997" s="160"/>
      <c r="UQN2997" s="559"/>
      <c r="UQO2997" s="125"/>
      <c r="UQP2997" s="470"/>
      <c r="UQQ2997" s="449"/>
      <c r="UQR2997" s="462"/>
      <c r="UQS2997" s="299"/>
      <c r="UQT2997" s="81"/>
      <c r="UQU2997" s="160"/>
      <c r="UQV2997" s="559"/>
      <c r="UQW2997" s="125"/>
      <c r="UQX2997" s="470"/>
      <c r="UQY2997" s="449"/>
      <c r="UQZ2997" s="462"/>
      <c r="URA2997" s="299"/>
      <c r="URB2997" s="81"/>
      <c r="URC2997" s="160"/>
      <c r="URD2997" s="559"/>
      <c r="URE2997" s="125"/>
      <c r="URF2997" s="470"/>
      <c r="URG2997" s="449"/>
      <c r="URH2997" s="462"/>
      <c r="URI2997" s="299"/>
      <c r="URJ2997" s="81"/>
      <c r="URK2997" s="160"/>
      <c r="URL2997" s="559"/>
      <c r="URM2997" s="125"/>
      <c r="URN2997" s="470"/>
      <c r="URO2997" s="449"/>
      <c r="URP2997" s="462"/>
      <c r="URQ2997" s="299"/>
      <c r="URR2997" s="81"/>
      <c r="URS2997" s="160"/>
      <c r="URT2997" s="559"/>
      <c r="URU2997" s="125"/>
      <c r="URV2997" s="470"/>
      <c r="URW2997" s="449"/>
      <c r="URX2997" s="462"/>
      <c r="URY2997" s="299"/>
      <c r="URZ2997" s="81"/>
      <c r="USA2997" s="160"/>
      <c r="USB2997" s="559"/>
      <c r="USC2997" s="125"/>
      <c r="USD2997" s="470"/>
      <c r="USE2997" s="449"/>
      <c r="USF2997" s="462"/>
      <c r="USG2997" s="299"/>
      <c r="USH2997" s="81"/>
      <c r="USI2997" s="160"/>
      <c r="USJ2997" s="559"/>
      <c r="USK2997" s="125"/>
      <c r="USL2997" s="470"/>
      <c r="USM2997" s="449"/>
      <c r="USN2997" s="462"/>
      <c r="USO2997" s="299"/>
      <c r="USP2997" s="81"/>
      <c r="USQ2997" s="160"/>
      <c r="USR2997" s="559"/>
      <c r="USS2997" s="125"/>
      <c r="UST2997" s="470"/>
      <c r="USU2997" s="449"/>
      <c r="USV2997" s="462"/>
      <c r="USW2997" s="299"/>
      <c r="USX2997" s="81"/>
      <c r="USY2997" s="160"/>
      <c r="USZ2997" s="559"/>
      <c r="UTA2997" s="125"/>
      <c r="UTB2997" s="470"/>
      <c r="UTC2997" s="449"/>
      <c r="UTD2997" s="462"/>
      <c r="UTE2997" s="299"/>
      <c r="UTF2997" s="81"/>
      <c r="UTG2997" s="160"/>
      <c r="UTH2997" s="559"/>
      <c r="UTI2997" s="125"/>
      <c r="UTJ2997" s="470"/>
      <c r="UTK2997" s="449"/>
      <c r="UTL2997" s="462"/>
      <c r="UTM2997" s="299"/>
      <c r="UTN2997" s="81"/>
      <c r="UTO2997" s="160"/>
      <c r="UTP2997" s="559"/>
      <c r="UTQ2997" s="125"/>
      <c r="UTR2997" s="470"/>
      <c r="UTS2997" s="449"/>
      <c r="UTT2997" s="462"/>
      <c r="UTU2997" s="299"/>
      <c r="UTV2997" s="81"/>
      <c r="UTW2997" s="160"/>
      <c r="UTX2997" s="559"/>
      <c r="UTY2997" s="125"/>
      <c r="UTZ2997" s="470"/>
      <c r="UUA2997" s="449"/>
      <c r="UUB2997" s="462"/>
      <c r="UUC2997" s="299"/>
      <c r="UUD2997" s="81"/>
      <c r="UUE2997" s="160"/>
      <c r="UUF2997" s="559"/>
      <c r="UUG2997" s="125"/>
      <c r="UUH2997" s="470"/>
      <c r="UUI2997" s="449"/>
      <c r="UUJ2997" s="462"/>
      <c r="UUK2997" s="299"/>
      <c r="UUL2997" s="81"/>
      <c r="UUM2997" s="160"/>
      <c r="UUN2997" s="559"/>
      <c r="UUO2997" s="125"/>
      <c r="UUP2997" s="470"/>
      <c r="UUQ2997" s="449"/>
      <c r="UUR2997" s="462"/>
      <c r="UUS2997" s="299"/>
      <c r="UUT2997" s="81"/>
      <c r="UUU2997" s="160"/>
      <c r="UUV2997" s="559"/>
      <c r="UUW2997" s="125"/>
      <c r="UUX2997" s="470"/>
      <c r="UUY2997" s="449"/>
      <c r="UUZ2997" s="462"/>
      <c r="UVA2997" s="299"/>
      <c r="UVB2997" s="81"/>
      <c r="UVC2997" s="160"/>
      <c r="UVD2997" s="559"/>
      <c r="UVE2997" s="125"/>
      <c r="UVF2997" s="470"/>
      <c r="UVG2997" s="449"/>
      <c r="UVH2997" s="462"/>
      <c r="UVI2997" s="299"/>
      <c r="UVJ2997" s="81"/>
      <c r="UVK2997" s="160"/>
      <c r="UVL2997" s="559"/>
      <c r="UVM2997" s="125"/>
      <c r="UVN2997" s="470"/>
      <c r="UVO2997" s="449"/>
      <c r="UVP2997" s="462"/>
      <c r="UVQ2997" s="299"/>
      <c r="UVR2997" s="81"/>
      <c r="UVS2997" s="160"/>
      <c r="UVT2997" s="559"/>
      <c r="UVU2997" s="125"/>
      <c r="UVV2997" s="470"/>
      <c r="UVW2997" s="449"/>
      <c r="UVX2997" s="462"/>
      <c r="UVY2997" s="299"/>
      <c r="UVZ2997" s="81"/>
      <c r="UWA2997" s="160"/>
      <c r="UWB2997" s="559"/>
      <c r="UWC2997" s="125"/>
      <c r="UWD2997" s="470"/>
      <c r="UWE2997" s="449"/>
      <c r="UWF2997" s="462"/>
      <c r="UWG2997" s="299"/>
      <c r="UWH2997" s="81"/>
      <c r="UWI2997" s="160"/>
      <c r="UWJ2997" s="559"/>
      <c r="UWK2997" s="125"/>
      <c r="UWL2997" s="470"/>
      <c r="UWM2997" s="449"/>
      <c r="UWN2997" s="462"/>
      <c r="UWO2997" s="299"/>
      <c r="UWP2997" s="81"/>
      <c r="UWQ2997" s="160"/>
      <c r="UWR2997" s="559"/>
      <c r="UWS2997" s="125"/>
      <c r="UWT2997" s="470"/>
      <c r="UWU2997" s="449"/>
      <c r="UWV2997" s="462"/>
      <c r="UWW2997" s="299"/>
      <c r="UWX2997" s="81"/>
      <c r="UWY2997" s="160"/>
      <c r="UWZ2997" s="559"/>
      <c r="UXA2997" s="125"/>
      <c r="UXB2997" s="470"/>
      <c r="UXC2997" s="449"/>
      <c r="UXD2997" s="462"/>
      <c r="UXE2997" s="299"/>
      <c r="UXF2997" s="81"/>
      <c r="UXG2997" s="160"/>
      <c r="UXH2997" s="559"/>
      <c r="UXI2997" s="125"/>
      <c r="UXJ2997" s="470"/>
      <c r="UXK2997" s="449"/>
      <c r="UXL2997" s="462"/>
      <c r="UXM2997" s="299"/>
      <c r="UXN2997" s="81"/>
      <c r="UXO2997" s="160"/>
      <c r="UXP2997" s="559"/>
      <c r="UXQ2997" s="125"/>
      <c r="UXR2997" s="470"/>
      <c r="UXS2997" s="449"/>
      <c r="UXT2997" s="462"/>
      <c r="UXU2997" s="299"/>
      <c r="UXV2997" s="81"/>
      <c r="UXW2997" s="160"/>
      <c r="UXX2997" s="559"/>
      <c r="UXY2997" s="125"/>
      <c r="UXZ2997" s="470"/>
      <c r="UYA2997" s="449"/>
      <c r="UYB2997" s="462"/>
      <c r="UYC2997" s="299"/>
      <c r="UYD2997" s="81"/>
      <c r="UYE2997" s="160"/>
      <c r="UYF2997" s="559"/>
      <c r="UYG2997" s="125"/>
      <c r="UYH2997" s="470"/>
      <c r="UYI2997" s="449"/>
      <c r="UYJ2997" s="462"/>
      <c r="UYK2997" s="299"/>
      <c r="UYL2997" s="81"/>
      <c r="UYM2997" s="160"/>
      <c r="UYN2997" s="559"/>
      <c r="UYO2997" s="125"/>
      <c r="UYP2997" s="470"/>
      <c r="UYQ2997" s="449"/>
      <c r="UYR2997" s="462"/>
      <c r="UYS2997" s="299"/>
      <c r="UYT2997" s="81"/>
      <c r="UYU2997" s="160"/>
      <c r="UYV2997" s="559"/>
      <c r="UYW2997" s="125"/>
      <c r="UYX2997" s="470"/>
      <c r="UYY2997" s="449"/>
      <c r="UYZ2997" s="462"/>
      <c r="UZA2997" s="299"/>
      <c r="UZB2997" s="81"/>
      <c r="UZC2997" s="160"/>
      <c r="UZD2997" s="559"/>
      <c r="UZE2997" s="125"/>
      <c r="UZF2997" s="470"/>
      <c r="UZG2997" s="449"/>
      <c r="UZH2997" s="462"/>
      <c r="UZI2997" s="299"/>
      <c r="UZJ2997" s="81"/>
      <c r="UZK2997" s="160"/>
      <c r="UZL2997" s="559"/>
      <c r="UZM2997" s="125"/>
      <c r="UZN2997" s="470"/>
      <c r="UZO2997" s="449"/>
      <c r="UZP2997" s="462"/>
      <c r="UZQ2997" s="299"/>
      <c r="UZR2997" s="81"/>
      <c r="UZS2997" s="160"/>
      <c r="UZT2997" s="559"/>
      <c r="UZU2997" s="125"/>
      <c r="UZV2997" s="470"/>
      <c r="UZW2997" s="449"/>
      <c r="UZX2997" s="462"/>
      <c r="UZY2997" s="299"/>
      <c r="UZZ2997" s="81"/>
      <c r="VAA2997" s="160"/>
      <c r="VAB2997" s="559"/>
      <c r="VAC2997" s="125"/>
      <c r="VAD2997" s="470"/>
      <c r="VAE2997" s="449"/>
      <c r="VAF2997" s="462"/>
      <c r="VAG2997" s="299"/>
      <c r="VAH2997" s="81"/>
      <c r="VAI2997" s="160"/>
      <c r="VAJ2997" s="559"/>
      <c r="VAK2997" s="125"/>
      <c r="VAL2997" s="470"/>
      <c r="VAM2997" s="449"/>
      <c r="VAN2997" s="462"/>
      <c r="VAO2997" s="299"/>
      <c r="VAP2997" s="81"/>
      <c r="VAQ2997" s="160"/>
      <c r="VAR2997" s="559"/>
      <c r="VAS2997" s="125"/>
      <c r="VAT2997" s="470"/>
      <c r="VAU2997" s="449"/>
      <c r="VAV2997" s="462"/>
      <c r="VAW2997" s="299"/>
      <c r="VAX2997" s="81"/>
      <c r="VAY2997" s="160"/>
      <c r="VAZ2997" s="559"/>
      <c r="VBA2997" s="125"/>
      <c r="VBB2997" s="470"/>
      <c r="VBC2997" s="449"/>
      <c r="VBD2997" s="462"/>
      <c r="VBE2997" s="299"/>
      <c r="VBF2997" s="81"/>
      <c r="VBG2997" s="160"/>
      <c r="VBH2997" s="559"/>
      <c r="VBI2997" s="125"/>
      <c r="VBJ2997" s="470"/>
      <c r="VBK2997" s="449"/>
      <c r="VBL2997" s="462"/>
      <c r="VBM2997" s="299"/>
      <c r="VBN2997" s="81"/>
      <c r="VBO2997" s="160"/>
      <c r="VBP2997" s="559"/>
      <c r="VBQ2997" s="125"/>
      <c r="VBR2997" s="470"/>
      <c r="VBS2997" s="449"/>
      <c r="VBT2997" s="462"/>
      <c r="VBU2997" s="299"/>
      <c r="VBV2997" s="81"/>
      <c r="VBW2997" s="160"/>
      <c r="VBX2997" s="559"/>
      <c r="VBY2997" s="125"/>
      <c r="VBZ2997" s="470"/>
      <c r="VCA2997" s="449"/>
      <c r="VCB2997" s="462"/>
      <c r="VCC2997" s="299"/>
      <c r="VCD2997" s="81"/>
      <c r="VCE2997" s="160"/>
      <c r="VCF2997" s="559"/>
      <c r="VCG2997" s="125"/>
      <c r="VCH2997" s="470"/>
      <c r="VCI2997" s="449"/>
      <c r="VCJ2997" s="462"/>
      <c r="VCK2997" s="299"/>
      <c r="VCL2997" s="81"/>
      <c r="VCM2997" s="160"/>
      <c r="VCN2997" s="559"/>
      <c r="VCO2997" s="125"/>
      <c r="VCP2997" s="470"/>
      <c r="VCQ2997" s="449"/>
      <c r="VCR2997" s="462"/>
      <c r="VCS2997" s="299"/>
      <c r="VCT2997" s="81"/>
      <c r="VCU2997" s="160"/>
      <c r="VCV2997" s="559"/>
      <c r="VCW2997" s="125"/>
      <c r="VCX2997" s="470"/>
      <c r="VCY2997" s="449"/>
      <c r="VCZ2997" s="462"/>
      <c r="VDA2997" s="299"/>
      <c r="VDB2997" s="81"/>
      <c r="VDC2997" s="160"/>
      <c r="VDD2997" s="559"/>
      <c r="VDE2997" s="125"/>
      <c r="VDF2997" s="470"/>
      <c r="VDG2997" s="449"/>
      <c r="VDH2997" s="462"/>
      <c r="VDI2997" s="299"/>
      <c r="VDJ2997" s="81"/>
      <c r="VDK2997" s="160"/>
      <c r="VDL2997" s="559"/>
      <c r="VDM2997" s="125"/>
      <c r="VDN2997" s="470"/>
      <c r="VDO2997" s="449"/>
      <c r="VDP2997" s="462"/>
      <c r="VDQ2997" s="299"/>
      <c r="VDR2997" s="81"/>
      <c r="VDS2997" s="160"/>
      <c r="VDT2997" s="559"/>
      <c r="VDU2997" s="125"/>
      <c r="VDV2997" s="470"/>
      <c r="VDW2997" s="449"/>
      <c r="VDX2997" s="462"/>
      <c r="VDY2997" s="299"/>
      <c r="VDZ2997" s="81"/>
      <c r="VEA2997" s="160"/>
      <c r="VEB2997" s="559"/>
      <c r="VEC2997" s="125"/>
      <c r="VED2997" s="470"/>
      <c r="VEE2997" s="449"/>
      <c r="VEF2997" s="462"/>
      <c r="VEG2997" s="299"/>
      <c r="VEH2997" s="81"/>
      <c r="VEI2997" s="160"/>
      <c r="VEJ2997" s="559"/>
      <c r="VEK2997" s="125"/>
      <c r="VEL2997" s="470"/>
      <c r="VEM2997" s="449"/>
      <c r="VEN2997" s="462"/>
      <c r="VEO2997" s="299"/>
      <c r="VEP2997" s="81"/>
      <c r="VEQ2997" s="160"/>
      <c r="VER2997" s="559"/>
      <c r="VES2997" s="125"/>
      <c r="VET2997" s="470"/>
      <c r="VEU2997" s="449"/>
      <c r="VEV2997" s="462"/>
      <c r="VEW2997" s="299"/>
      <c r="VEX2997" s="81"/>
      <c r="VEY2997" s="160"/>
      <c r="VEZ2997" s="559"/>
      <c r="VFA2997" s="125"/>
      <c r="VFB2997" s="470"/>
      <c r="VFC2997" s="449"/>
      <c r="VFD2997" s="462"/>
      <c r="VFE2997" s="299"/>
      <c r="VFF2997" s="81"/>
      <c r="VFG2997" s="160"/>
      <c r="VFH2997" s="559"/>
      <c r="VFI2997" s="125"/>
      <c r="VFJ2997" s="470"/>
      <c r="VFK2997" s="449"/>
      <c r="VFL2997" s="462"/>
      <c r="VFM2997" s="299"/>
      <c r="VFN2997" s="81"/>
      <c r="VFO2997" s="160"/>
      <c r="VFP2997" s="559"/>
      <c r="VFQ2997" s="125"/>
      <c r="VFR2997" s="470"/>
      <c r="VFS2997" s="449"/>
      <c r="VFT2997" s="462"/>
      <c r="VFU2997" s="299"/>
      <c r="VFV2997" s="81"/>
      <c r="VFW2997" s="160"/>
      <c r="VFX2997" s="559"/>
      <c r="VFY2997" s="125"/>
      <c r="VFZ2997" s="470"/>
      <c r="VGA2997" s="449"/>
      <c r="VGB2997" s="462"/>
      <c r="VGC2997" s="299"/>
      <c r="VGD2997" s="81"/>
      <c r="VGE2997" s="160"/>
      <c r="VGF2997" s="559"/>
      <c r="VGG2997" s="125"/>
      <c r="VGH2997" s="470"/>
      <c r="VGI2997" s="449"/>
      <c r="VGJ2997" s="462"/>
      <c r="VGK2997" s="299"/>
      <c r="VGL2997" s="81"/>
      <c r="VGM2997" s="160"/>
      <c r="VGN2997" s="559"/>
      <c r="VGO2997" s="125"/>
      <c r="VGP2997" s="470"/>
      <c r="VGQ2997" s="449"/>
      <c r="VGR2997" s="462"/>
      <c r="VGS2997" s="299"/>
      <c r="VGT2997" s="81"/>
      <c r="VGU2997" s="160"/>
      <c r="VGV2997" s="559"/>
      <c r="VGW2997" s="125"/>
      <c r="VGX2997" s="470"/>
      <c r="VGY2997" s="449"/>
      <c r="VGZ2997" s="462"/>
      <c r="VHA2997" s="299"/>
      <c r="VHB2997" s="81"/>
      <c r="VHC2997" s="160"/>
      <c r="VHD2997" s="559"/>
      <c r="VHE2997" s="125"/>
      <c r="VHF2997" s="470"/>
      <c r="VHG2997" s="449"/>
      <c r="VHH2997" s="462"/>
      <c r="VHI2997" s="299"/>
      <c r="VHJ2997" s="81"/>
      <c r="VHK2997" s="160"/>
      <c r="VHL2997" s="559"/>
      <c r="VHM2997" s="125"/>
      <c r="VHN2997" s="470"/>
      <c r="VHO2997" s="449"/>
      <c r="VHP2997" s="462"/>
      <c r="VHQ2997" s="299"/>
      <c r="VHR2997" s="81"/>
      <c r="VHS2997" s="160"/>
      <c r="VHT2997" s="559"/>
      <c r="VHU2997" s="125"/>
      <c r="VHV2997" s="470"/>
      <c r="VHW2997" s="449"/>
      <c r="VHX2997" s="462"/>
      <c r="VHY2997" s="299"/>
      <c r="VHZ2997" s="81"/>
      <c r="VIA2997" s="160"/>
      <c r="VIB2997" s="559"/>
      <c r="VIC2997" s="125"/>
      <c r="VID2997" s="470"/>
      <c r="VIE2997" s="449"/>
      <c r="VIF2997" s="462"/>
      <c r="VIG2997" s="299"/>
      <c r="VIH2997" s="81"/>
      <c r="VII2997" s="160"/>
      <c r="VIJ2997" s="559"/>
      <c r="VIK2997" s="125"/>
      <c r="VIL2997" s="470"/>
      <c r="VIM2997" s="449"/>
      <c r="VIN2997" s="462"/>
      <c r="VIO2997" s="299"/>
      <c r="VIP2997" s="81"/>
      <c r="VIQ2997" s="160"/>
      <c r="VIR2997" s="559"/>
      <c r="VIS2997" s="125"/>
      <c r="VIT2997" s="470"/>
      <c r="VIU2997" s="449"/>
      <c r="VIV2997" s="462"/>
      <c r="VIW2997" s="299"/>
      <c r="VIX2997" s="81"/>
      <c r="VIY2997" s="160"/>
      <c r="VIZ2997" s="559"/>
      <c r="VJA2997" s="125"/>
      <c r="VJB2997" s="470"/>
      <c r="VJC2997" s="449"/>
      <c r="VJD2997" s="462"/>
      <c r="VJE2997" s="299"/>
      <c r="VJF2997" s="81"/>
      <c r="VJG2997" s="160"/>
      <c r="VJH2997" s="559"/>
      <c r="VJI2997" s="125"/>
      <c r="VJJ2997" s="470"/>
      <c r="VJK2997" s="449"/>
      <c r="VJL2997" s="462"/>
      <c r="VJM2997" s="299"/>
      <c r="VJN2997" s="81"/>
      <c r="VJO2997" s="160"/>
      <c r="VJP2997" s="559"/>
      <c r="VJQ2997" s="125"/>
      <c r="VJR2997" s="470"/>
      <c r="VJS2997" s="449"/>
      <c r="VJT2997" s="462"/>
      <c r="VJU2997" s="299"/>
      <c r="VJV2997" s="81"/>
      <c r="VJW2997" s="160"/>
      <c r="VJX2997" s="559"/>
      <c r="VJY2997" s="125"/>
      <c r="VJZ2997" s="470"/>
      <c r="VKA2997" s="449"/>
      <c r="VKB2997" s="462"/>
      <c r="VKC2997" s="299"/>
      <c r="VKD2997" s="81"/>
      <c r="VKE2997" s="160"/>
      <c r="VKF2997" s="559"/>
      <c r="VKG2997" s="125"/>
      <c r="VKH2997" s="470"/>
      <c r="VKI2997" s="449"/>
      <c r="VKJ2997" s="462"/>
      <c r="VKK2997" s="299"/>
      <c r="VKL2997" s="81"/>
      <c r="VKM2997" s="160"/>
      <c r="VKN2997" s="559"/>
      <c r="VKO2997" s="125"/>
      <c r="VKP2997" s="470"/>
      <c r="VKQ2997" s="449"/>
      <c r="VKR2997" s="462"/>
      <c r="VKS2997" s="299"/>
      <c r="VKT2997" s="81"/>
      <c r="VKU2997" s="160"/>
      <c r="VKV2997" s="559"/>
      <c r="VKW2997" s="125"/>
      <c r="VKX2997" s="470"/>
      <c r="VKY2997" s="449"/>
      <c r="VKZ2997" s="462"/>
      <c r="VLA2997" s="299"/>
      <c r="VLB2997" s="81"/>
      <c r="VLC2997" s="160"/>
      <c r="VLD2997" s="559"/>
      <c r="VLE2997" s="125"/>
      <c r="VLF2997" s="470"/>
      <c r="VLG2997" s="449"/>
      <c r="VLH2997" s="462"/>
      <c r="VLI2997" s="299"/>
      <c r="VLJ2997" s="81"/>
      <c r="VLK2997" s="160"/>
      <c r="VLL2997" s="559"/>
      <c r="VLM2997" s="125"/>
      <c r="VLN2997" s="470"/>
      <c r="VLO2997" s="449"/>
      <c r="VLP2997" s="462"/>
      <c r="VLQ2997" s="299"/>
      <c r="VLR2997" s="81"/>
      <c r="VLS2997" s="160"/>
      <c r="VLT2997" s="559"/>
      <c r="VLU2997" s="125"/>
      <c r="VLV2997" s="470"/>
      <c r="VLW2997" s="449"/>
      <c r="VLX2997" s="462"/>
      <c r="VLY2997" s="299"/>
      <c r="VLZ2997" s="81"/>
      <c r="VMA2997" s="160"/>
      <c r="VMB2997" s="559"/>
      <c r="VMC2997" s="125"/>
      <c r="VMD2997" s="470"/>
      <c r="VME2997" s="449"/>
      <c r="VMF2997" s="462"/>
      <c r="VMG2997" s="299"/>
      <c r="VMH2997" s="81"/>
      <c r="VMI2997" s="160"/>
      <c r="VMJ2997" s="559"/>
      <c r="VMK2997" s="125"/>
      <c r="VML2997" s="470"/>
      <c r="VMM2997" s="449"/>
      <c r="VMN2997" s="462"/>
      <c r="VMO2997" s="299"/>
      <c r="VMP2997" s="81"/>
      <c r="VMQ2997" s="160"/>
      <c r="VMR2997" s="559"/>
      <c r="VMS2997" s="125"/>
      <c r="VMT2997" s="470"/>
      <c r="VMU2997" s="449"/>
      <c r="VMV2997" s="462"/>
      <c r="VMW2997" s="299"/>
      <c r="VMX2997" s="81"/>
      <c r="VMY2997" s="160"/>
      <c r="VMZ2997" s="559"/>
      <c r="VNA2997" s="125"/>
      <c r="VNB2997" s="470"/>
      <c r="VNC2997" s="449"/>
      <c r="VND2997" s="462"/>
      <c r="VNE2997" s="299"/>
      <c r="VNF2997" s="81"/>
      <c r="VNG2997" s="160"/>
      <c r="VNH2997" s="559"/>
      <c r="VNI2997" s="125"/>
      <c r="VNJ2997" s="470"/>
      <c r="VNK2997" s="449"/>
      <c r="VNL2997" s="462"/>
      <c r="VNM2997" s="299"/>
      <c r="VNN2997" s="81"/>
      <c r="VNO2997" s="160"/>
      <c r="VNP2997" s="559"/>
      <c r="VNQ2997" s="125"/>
      <c r="VNR2997" s="470"/>
      <c r="VNS2997" s="449"/>
      <c r="VNT2997" s="462"/>
      <c r="VNU2997" s="299"/>
      <c r="VNV2997" s="81"/>
      <c r="VNW2997" s="160"/>
      <c r="VNX2997" s="559"/>
      <c r="VNY2997" s="125"/>
      <c r="VNZ2997" s="470"/>
      <c r="VOA2997" s="449"/>
      <c r="VOB2997" s="462"/>
      <c r="VOC2997" s="299"/>
      <c r="VOD2997" s="81"/>
      <c r="VOE2997" s="160"/>
      <c r="VOF2997" s="559"/>
      <c r="VOG2997" s="125"/>
      <c r="VOH2997" s="470"/>
      <c r="VOI2997" s="449"/>
      <c r="VOJ2997" s="462"/>
      <c r="VOK2997" s="299"/>
      <c r="VOL2997" s="81"/>
      <c r="VOM2997" s="160"/>
      <c r="VON2997" s="559"/>
      <c r="VOO2997" s="125"/>
      <c r="VOP2997" s="470"/>
      <c r="VOQ2997" s="449"/>
      <c r="VOR2997" s="462"/>
      <c r="VOS2997" s="299"/>
      <c r="VOT2997" s="81"/>
      <c r="VOU2997" s="160"/>
      <c r="VOV2997" s="559"/>
      <c r="VOW2997" s="125"/>
      <c r="VOX2997" s="470"/>
      <c r="VOY2997" s="449"/>
      <c r="VOZ2997" s="462"/>
      <c r="VPA2997" s="299"/>
      <c r="VPB2997" s="81"/>
      <c r="VPC2997" s="160"/>
      <c r="VPD2997" s="559"/>
      <c r="VPE2997" s="125"/>
      <c r="VPF2997" s="470"/>
      <c r="VPG2997" s="449"/>
      <c r="VPH2997" s="462"/>
      <c r="VPI2997" s="299"/>
      <c r="VPJ2997" s="81"/>
      <c r="VPK2997" s="160"/>
      <c r="VPL2997" s="559"/>
      <c r="VPM2997" s="125"/>
      <c r="VPN2997" s="470"/>
      <c r="VPO2997" s="449"/>
      <c r="VPP2997" s="462"/>
      <c r="VPQ2997" s="299"/>
      <c r="VPR2997" s="81"/>
      <c r="VPS2997" s="160"/>
      <c r="VPT2997" s="559"/>
      <c r="VPU2997" s="125"/>
      <c r="VPV2997" s="470"/>
      <c r="VPW2997" s="449"/>
      <c r="VPX2997" s="462"/>
      <c r="VPY2997" s="299"/>
      <c r="VPZ2997" s="81"/>
      <c r="VQA2997" s="160"/>
      <c r="VQB2997" s="559"/>
      <c r="VQC2997" s="125"/>
      <c r="VQD2997" s="470"/>
      <c r="VQE2997" s="449"/>
      <c r="VQF2997" s="462"/>
      <c r="VQG2997" s="299"/>
      <c r="VQH2997" s="81"/>
      <c r="VQI2997" s="160"/>
      <c r="VQJ2997" s="559"/>
      <c r="VQK2997" s="125"/>
      <c r="VQL2997" s="470"/>
      <c r="VQM2997" s="449"/>
      <c r="VQN2997" s="462"/>
      <c r="VQO2997" s="299"/>
      <c r="VQP2997" s="81"/>
      <c r="VQQ2997" s="160"/>
      <c r="VQR2997" s="559"/>
      <c r="VQS2997" s="125"/>
      <c r="VQT2997" s="470"/>
      <c r="VQU2997" s="449"/>
      <c r="VQV2997" s="462"/>
      <c r="VQW2997" s="299"/>
      <c r="VQX2997" s="81"/>
      <c r="VQY2997" s="160"/>
      <c r="VQZ2997" s="559"/>
      <c r="VRA2997" s="125"/>
      <c r="VRB2997" s="470"/>
      <c r="VRC2997" s="449"/>
      <c r="VRD2997" s="462"/>
      <c r="VRE2997" s="299"/>
      <c r="VRF2997" s="81"/>
      <c r="VRG2997" s="160"/>
      <c r="VRH2997" s="559"/>
      <c r="VRI2997" s="125"/>
      <c r="VRJ2997" s="470"/>
      <c r="VRK2997" s="449"/>
      <c r="VRL2997" s="462"/>
      <c r="VRM2997" s="299"/>
      <c r="VRN2997" s="81"/>
      <c r="VRO2997" s="160"/>
      <c r="VRP2997" s="559"/>
      <c r="VRQ2997" s="125"/>
      <c r="VRR2997" s="470"/>
      <c r="VRS2997" s="449"/>
      <c r="VRT2997" s="462"/>
      <c r="VRU2997" s="299"/>
      <c r="VRV2997" s="81"/>
      <c r="VRW2997" s="160"/>
      <c r="VRX2997" s="559"/>
      <c r="VRY2997" s="125"/>
      <c r="VRZ2997" s="470"/>
      <c r="VSA2997" s="449"/>
      <c r="VSB2997" s="462"/>
      <c r="VSC2997" s="299"/>
      <c r="VSD2997" s="81"/>
      <c r="VSE2997" s="160"/>
      <c r="VSF2997" s="559"/>
      <c r="VSG2997" s="125"/>
      <c r="VSH2997" s="470"/>
      <c r="VSI2997" s="449"/>
      <c r="VSJ2997" s="462"/>
      <c r="VSK2997" s="299"/>
      <c r="VSL2997" s="81"/>
      <c r="VSM2997" s="160"/>
      <c r="VSN2997" s="559"/>
      <c r="VSO2997" s="125"/>
      <c r="VSP2997" s="470"/>
      <c r="VSQ2997" s="449"/>
      <c r="VSR2997" s="462"/>
      <c r="VSS2997" s="299"/>
      <c r="VST2997" s="81"/>
      <c r="VSU2997" s="160"/>
      <c r="VSV2997" s="559"/>
      <c r="VSW2997" s="125"/>
      <c r="VSX2997" s="470"/>
      <c r="VSY2997" s="449"/>
      <c r="VSZ2997" s="462"/>
      <c r="VTA2997" s="299"/>
      <c r="VTB2997" s="81"/>
      <c r="VTC2997" s="160"/>
      <c r="VTD2997" s="559"/>
      <c r="VTE2997" s="125"/>
      <c r="VTF2997" s="470"/>
      <c r="VTG2997" s="449"/>
      <c r="VTH2997" s="462"/>
      <c r="VTI2997" s="299"/>
      <c r="VTJ2997" s="81"/>
      <c r="VTK2997" s="160"/>
      <c r="VTL2997" s="559"/>
      <c r="VTM2997" s="125"/>
      <c r="VTN2997" s="470"/>
      <c r="VTO2997" s="449"/>
      <c r="VTP2997" s="462"/>
      <c r="VTQ2997" s="299"/>
      <c r="VTR2997" s="81"/>
      <c r="VTS2997" s="160"/>
      <c r="VTT2997" s="559"/>
      <c r="VTU2997" s="125"/>
      <c r="VTV2997" s="470"/>
      <c r="VTW2997" s="449"/>
      <c r="VTX2997" s="462"/>
      <c r="VTY2997" s="299"/>
      <c r="VTZ2997" s="81"/>
      <c r="VUA2997" s="160"/>
      <c r="VUB2997" s="559"/>
      <c r="VUC2997" s="125"/>
      <c r="VUD2997" s="470"/>
      <c r="VUE2997" s="449"/>
      <c r="VUF2997" s="462"/>
      <c r="VUG2997" s="299"/>
      <c r="VUH2997" s="81"/>
      <c r="VUI2997" s="160"/>
      <c r="VUJ2997" s="559"/>
      <c r="VUK2997" s="125"/>
      <c r="VUL2997" s="470"/>
      <c r="VUM2997" s="449"/>
      <c r="VUN2997" s="462"/>
      <c r="VUO2997" s="299"/>
      <c r="VUP2997" s="81"/>
      <c r="VUQ2997" s="160"/>
      <c r="VUR2997" s="559"/>
      <c r="VUS2997" s="125"/>
      <c r="VUT2997" s="470"/>
      <c r="VUU2997" s="449"/>
      <c r="VUV2997" s="462"/>
      <c r="VUW2997" s="299"/>
      <c r="VUX2997" s="81"/>
      <c r="VUY2997" s="160"/>
      <c r="VUZ2997" s="559"/>
      <c r="VVA2997" s="125"/>
      <c r="VVB2997" s="470"/>
      <c r="VVC2997" s="449"/>
      <c r="VVD2997" s="462"/>
      <c r="VVE2997" s="299"/>
      <c r="VVF2997" s="81"/>
      <c r="VVG2997" s="160"/>
      <c r="VVH2997" s="559"/>
      <c r="VVI2997" s="125"/>
      <c r="VVJ2997" s="470"/>
      <c r="VVK2997" s="449"/>
      <c r="VVL2997" s="462"/>
      <c r="VVM2997" s="299"/>
      <c r="VVN2997" s="81"/>
      <c r="VVO2997" s="160"/>
      <c r="VVP2997" s="559"/>
      <c r="VVQ2997" s="125"/>
      <c r="VVR2997" s="470"/>
      <c r="VVS2997" s="449"/>
      <c r="VVT2997" s="462"/>
      <c r="VVU2997" s="299"/>
      <c r="VVV2997" s="81"/>
      <c r="VVW2997" s="160"/>
      <c r="VVX2997" s="559"/>
      <c r="VVY2997" s="125"/>
      <c r="VVZ2997" s="470"/>
      <c r="VWA2997" s="449"/>
      <c r="VWB2997" s="462"/>
      <c r="VWC2997" s="299"/>
      <c r="VWD2997" s="81"/>
      <c r="VWE2997" s="160"/>
      <c r="VWF2997" s="559"/>
      <c r="VWG2997" s="125"/>
      <c r="VWH2997" s="470"/>
      <c r="VWI2997" s="449"/>
      <c r="VWJ2997" s="462"/>
      <c r="VWK2997" s="299"/>
      <c r="VWL2997" s="81"/>
      <c r="VWM2997" s="160"/>
      <c r="VWN2997" s="559"/>
      <c r="VWO2997" s="125"/>
      <c r="VWP2997" s="470"/>
      <c r="VWQ2997" s="449"/>
      <c r="VWR2997" s="462"/>
      <c r="VWS2997" s="299"/>
      <c r="VWT2997" s="81"/>
      <c r="VWU2997" s="160"/>
      <c r="VWV2997" s="559"/>
      <c r="VWW2997" s="125"/>
      <c r="VWX2997" s="470"/>
      <c r="VWY2997" s="449"/>
      <c r="VWZ2997" s="462"/>
      <c r="VXA2997" s="299"/>
      <c r="VXB2997" s="81"/>
      <c r="VXC2997" s="160"/>
      <c r="VXD2997" s="559"/>
      <c r="VXE2997" s="125"/>
      <c r="VXF2997" s="470"/>
      <c r="VXG2997" s="449"/>
      <c r="VXH2997" s="462"/>
      <c r="VXI2997" s="299"/>
      <c r="VXJ2997" s="81"/>
      <c r="VXK2997" s="160"/>
      <c r="VXL2997" s="559"/>
      <c r="VXM2997" s="125"/>
      <c r="VXN2997" s="470"/>
      <c r="VXO2997" s="449"/>
      <c r="VXP2997" s="462"/>
      <c r="VXQ2997" s="299"/>
      <c r="VXR2997" s="81"/>
      <c r="VXS2997" s="160"/>
      <c r="VXT2997" s="559"/>
      <c r="VXU2997" s="125"/>
      <c r="VXV2997" s="470"/>
      <c r="VXW2997" s="449"/>
      <c r="VXX2997" s="462"/>
      <c r="VXY2997" s="299"/>
      <c r="VXZ2997" s="81"/>
      <c r="VYA2997" s="160"/>
      <c r="VYB2997" s="559"/>
      <c r="VYC2997" s="125"/>
      <c r="VYD2997" s="470"/>
      <c r="VYE2997" s="449"/>
      <c r="VYF2997" s="462"/>
      <c r="VYG2997" s="299"/>
      <c r="VYH2997" s="81"/>
      <c r="VYI2997" s="160"/>
      <c r="VYJ2997" s="559"/>
      <c r="VYK2997" s="125"/>
      <c r="VYL2997" s="470"/>
      <c r="VYM2997" s="449"/>
      <c r="VYN2997" s="462"/>
      <c r="VYO2997" s="299"/>
      <c r="VYP2997" s="81"/>
      <c r="VYQ2997" s="160"/>
      <c r="VYR2997" s="559"/>
      <c r="VYS2997" s="125"/>
      <c r="VYT2997" s="470"/>
      <c r="VYU2997" s="449"/>
      <c r="VYV2997" s="462"/>
      <c r="VYW2997" s="299"/>
      <c r="VYX2997" s="81"/>
      <c r="VYY2997" s="160"/>
      <c r="VYZ2997" s="559"/>
      <c r="VZA2997" s="125"/>
      <c r="VZB2997" s="470"/>
      <c r="VZC2997" s="449"/>
      <c r="VZD2997" s="462"/>
      <c r="VZE2997" s="299"/>
      <c r="VZF2997" s="81"/>
      <c r="VZG2997" s="160"/>
      <c r="VZH2997" s="559"/>
      <c r="VZI2997" s="125"/>
      <c r="VZJ2997" s="470"/>
      <c r="VZK2997" s="449"/>
      <c r="VZL2997" s="462"/>
      <c r="VZM2997" s="299"/>
      <c r="VZN2997" s="81"/>
      <c r="VZO2997" s="160"/>
      <c r="VZP2997" s="559"/>
      <c r="VZQ2997" s="125"/>
      <c r="VZR2997" s="470"/>
      <c r="VZS2997" s="449"/>
      <c r="VZT2997" s="462"/>
      <c r="VZU2997" s="299"/>
      <c r="VZV2997" s="81"/>
      <c r="VZW2997" s="160"/>
      <c r="VZX2997" s="559"/>
      <c r="VZY2997" s="125"/>
      <c r="VZZ2997" s="470"/>
      <c r="WAA2997" s="449"/>
      <c r="WAB2997" s="462"/>
      <c r="WAC2997" s="299"/>
      <c r="WAD2997" s="81"/>
      <c r="WAE2997" s="160"/>
      <c r="WAF2997" s="559"/>
      <c r="WAG2997" s="125"/>
      <c r="WAH2997" s="470"/>
      <c r="WAI2997" s="449"/>
      <c r="WAJ2997" s="462"/>
      <c r="WAK2997" s="299"/>
      <c r="WAL2997" s="81"/>
      <c r="WAM2997" s="160"/>
      <c r="WAN2997" s="559"/>
      <c r="WAO2997" s="125"/>
      <c r="WAP2997" s="470"/>
      <c r="WAQ2997" s="449"/>
      <c r="WAR2997" s="462"/>
      <c r="WAS2997" s="299"/>
      <c r="WAT2997" s="81"/>
      <c r="WAU2997" s="160"/>
      <c r="WAV2997" s="559"/>
      <c r="WAW2997" s="125"/>
      <c r="WAX2997" s="470"/>
      <c r="WAY2997" s="449"/>
      <c r="WAZ2997" s="462"/>
      <c r="WBA2997" s="299"/>
      <c r="WBB2997" s="81"/>
      <c r="WBC2997" s="160"/>
      <c r="WBD2997" s="559"/>
      <c r="WBE2997" s="125"/>
      <c r="WBF2997" s="470"/>
      <c r="WBG2997" s="449"/>
      <c r="WBH2997" s="462"/>
      <c r="WBI2997" s="299"/>
      <c r="WBJ2997" s="81"/>
      <c r="WBK2997" s="160"/>
      <c r="WBL2997" s="559"/>
      <c r="WBM2997" s="125"/>
      <c r="WBN2997" s="470"/>
      <c r="WBO2997" s="449"/>
      <c r="WBP2997" s="462"/>
      <c r="WBQ2997" s="299"/>
      <c r="WBR2997" s="81"/>
      <c r="WBS2997" s="160"/>
      <c r="WBT2997" s="559"/>
      <c r="WBU2997" s="125"/>
      <c r="WBV2997" s="470"/>
      <c r="WBW2997" s="449"/>
      <c r="WBX2997" s="462"/>
      <c r="WBY2997" s="299"/>
      <c r="WBZ2997" s="81"/>
      <c r="WCA2997" s="160"/>
      <c r="WCB2997" s="559"/>
      <c r="WCC2997" s="125"/>
      <c r="WCD2997" s="470"/>
      <c r="WCE2997" s="449"/>
      <c r="WCF2997" s="462"/>
      <c r="WCG2997" s="299"/>
      <c r="WCH2997" s="81"/>
      <c r="WCI2997" s="160"/>
      <c r="WCJ2997" s="559"/>
      <c r="WCK2997" s="125"/>
      <c r="WCL2997" s="470"/>
      <c r="WCM2997" s="449"/>
      <c r="WCN2997" s="462"/>
      <c r="WCO2997" s="299"/>
      <c r="WCP2997" s="81"/>
      <c r="WCQ2997" s="160"/>
      <c r="WCR2997" s="559"/>
      <c r="WCS2997" s="125"/>
      <c r="WCT2997" s="470"/>
      <c r="WCU2997" s="449"/>
      <c r="WCV2997" s="462"/>
      <c r="WCW2997" s="299"/>
      <c r="WCX2997" s="81"/>
      <c r="WCY2997" s="160"/>
      <c r="WCZ2997" s="559"/>
      <c r="WDA2997" s="125"/>
      <c r="WDB2997" s="470"/>
      <c r="WDC2997" s="449"/>
      <c r="WDD2997" s="462"/>
      <c r="WDE2997" s="299"/>
      <c r="WDF2997" s="81"/>
      <c r="WDG2997" s="160"/>
      <c r="WDH2997" s="559"/>
      <c r="WDI2997" s="125"/>
      <c r="WDJ2997" s="470"/>
      <c r="WDK2997" s="449"/>
      <c r="WDL2997" s="462"/>
      <c r="WDM2997" s="299"/>
      <c r="WDN2997" s="81"/>
      <c r="WDO2997" s="160"/>
      <c r="WDP2997" s="559"/>
      <c r="WDQ2997" s="125"/>
      <c r="WDR2997" s="470"/>
      <c r="WDS2997" s="449"/>
      <c r="WDT2997" s="462"/>
      <c r="WDU2997" s="299"/>
      <c r="WDV2997" s="81"/>
      <c r="WDW2997" s="160"/>
      <c r="WDX2997" s="559"/>
      <c r="WDY2997" s="125"/>
      <c r="WDZ2997" s="470"/>
      <c r="WEA2997" s="449"/>
      <c r="WEB2997" s="462"/>
      <c r="WEC2997" s="299"/>
      <c r="WED2997" s="81"/>
      <c r="WEE2997" s="160"/>
      <c r="WEF2997" s="559"/>
      <c r="WEG2997" s="125"/>
      <c r="WEH2997" s="470"/>
      <c r="WEI2997" s="449"/>
      <c r="WEJ2997" s="462"/>
      <c r="WEK2997" s="299"/>
      <c r="WEL2997" s="81"/>
      <c r="WEM2997" s="160"/>
      <c r="WEN2997" s="559"/>
      <c r="WEO2997" s="125"/>
      <c r="WEP2997" s="470"/>
      <c r="WEQ2997" s="449"/>
      <c r="WER2997" s="462"/>
      <c r="WES2997" s="299"/>
      <c r="WET2997" s="81"/>
      <c r="WEU2997" s="160"/>
      <c r="WEV2997" s="559"/>
      <c r="WEW2997" s="125"/>
      <c r="WEX2997" s="470"/>
      <c r="WEY2997" s="449"/>
      <c r="WEZ2997" s="462"/>
      <c r="WFA2997" s="299"/>
      <c r="WFB2997" s="81"/>
      <c r="WFC2997" s="160"/>
      <c r="WFD2997" s="559"/>
      <c r="WFE2997" s="125"/>
      <c r="WFF2997" s="470"/>
      <c r="WFG2997" s="449"/>
      <c r="WFH2997" s="462"/>
      <c r="WFI2997" s="299"/>
      <c r="WFJ2997" s="81"/>
      <c r="WFK2997" s="160"/>
      <c r="WFL2997" s="559"/>
      <c r="WFM2997" s="125"/>
      <c r="WFN2997" s="470"/>
      <c r="WFO2997" s="449"/>
      <c r="WFP2997" s="462"/>
      <c r="WFQ2997" s="299"/>
      <c r="WFR2997" s="81"/>
      <c r="WFS2997" s="160"/>
      <c r="WFT2997" s="559"/>
      <c r="WFU2997" s="125"/>
      <c r="WFV2997" s="470"/>
      <c r="WFW2997" s="449"/>
      <c r="WFX2997" s="462"/>
      <c r="WFY2997" s="299"/>
      <c r="WFZ2997" s="81"/>
      <c r="WGA2997" s="160"/>
      <c r="WGB2997" s="559"/>
      <c r="WGC2997" s="125"/>
      <c r="WGD2997" s="470"/>
      <c r="WGE2997" s="449"/>
      <c r="WGF2997" s="462"/>
      <c r="WGG2997" s="299"/>
      <c r="WGH2997" s="81"/>
      <c r="WGI2997" s="160"/>
      <c r="WGJ2997" s="559"/>
      <c r="WGK2997" s="125"/>
      <c r="WGL2997" s="470"/>
      <c r="WGM2997" s="449"/>
      <c r="WGN2997" s="462"/>
      <c r="WGO2997" s="299"/>
      <c r="WGP2997" s="81"/>
      <c r="WGQ2997" s="160"/>
      <c r="WGR2997" s="559"/>
      <c r="WGS2997" s="125"/>
      <c r="WGT2997" s="470"/>
      <c r="WGU2997" s="449"/>
      <c r="WGV2997" s="462"/>
      <c r="WGW2997" s="299"/>
      <c r="WGX2997" s="81"/>
      <c r="WGY2997" s="160"/>
      <c r="WGZ2997" s="559"/>
      <c r="WHA2997" s="125"/>
      <c r="WHB2997" s="470"/>
      <c r="WHC2997" s="449"/>
      <c r="WHD2997" s="462"/>
      <c r="WHE2997" s="299"/>
      <c r="WHF2997" s="81"/>
      <c r="WHG2997" s="160"/>
      <c r="WHH2997" s="559"/>
      <c r="WHI2997" s="125"/>
      <c r="WHJ2997" s="470"/>
      <c r="WHK2997" s="449"/>
      <c r="WHL2997" s="462"/>
      <c r="WHM2997" s="299"/>
      <c r="WHN2997" s="81"/>
      <c r="WHO2997" s="160"/>
      <c r="WHP2997" s="559"/>
      <c r="WHQ2997" s="125"/>
      <c r="WHR2997" s="470"/>
      <c r="WHS2997" s="449"/>
      <c r="WHT2997" s="462"/>
      <c r="WHU2997" s="299"/>
      <c r="WHV2997" s="81"/>
      <c r="WHW2997" s="160"/>
      <c r="WHX2997" s="559"/>
      <c r="WHY2997" s="125"/>
      <c r="WHZ2997" s="470"/>
      <c r="WIA2997" s="449"/>
      <c r="WIB2997" s="462"/>
      <c r="WIC2997" s="299"/>
      <c r="WID2997" s="81"/>
      <c r="WIE2997" s="160"/>
      <c r="WIF2997" s="559"/>
      <c r="WIG2997" s="125"/>
      <c r="WIH2997" s="470"/>
      <c r="WII2997" s="449"/>
      <c r="WIJ2997" s="462"/>
      <c r="WIK2997" s="299"/>
      <c r="WIL2997" s="81"/>
      <c r="WIM2997" s="160"/>
      <c r="WIN2997" s="559"/>
      <c r="WIO2997" s="125"/>
      <c r="WIP2997" s="470"/>
      <c r="WIQ2997" s="449"/>
      <c r="WIR2997" s="462"/>
      <c r="WIS2997" s="299"/>
      <c r="WIT2997" s="81"/>
      <c r="WIU2997" s="160"/>
      <c r="WIV2997" s="559"/>
      <c r="WIW2997" s="125"/>
      <c r="WIX2997" s="470"/>
      <c r="WIY2997" s="449"/>
      <c r="WIZ2997" s="462"/>
      <c r="WJA2997" s="299"/>
      <c r="WJB2997" s="81"/>
      <c r="WJC2997" s="160"/>
      <c r="WJD2997" s="559"/>
      <c r="WJE2997" s="125"/>
      <c r="WJF2997" s="470"/>
      <c r="WJG2997" s="449"/>
      <c r="WJH2997" s="462"/>
      <c r="WJI2997" s="299"/>
      <c r="WJJ2997" s="81"/>
      <c r="WJK2997" s="160"/>
      <c r="WJL2997" s="559"/>
      <c r="WJM2997" s="125"/>
      <c r="WJN2997" s="470"/>
      <c r="WJO2997" s="449"/>
      <c r="WJP2997" s="462"/>
      <c r="WJQ2997" s="299"/>
      <c r="WJR2997" s="81"/>
      <c r="WJS2997" s="160"/>
      <c r="WJT2997" s="559"/>
      <c r="WJU2997" s="125"/>
      <c r="WJV2997" s="470"/>
      <c r="WJW2997" s="449"/>
      <c r="WJX2997" s="462"/>
      <c r="WJY2997" s="299"/>
      <c r="WJZ2997" s="81"/>
      <c r="WKA2997" s="160"/>
      <c r="WKB2997" s="559"/>
      <c r="WKC2997" s="125"/>
      <c r="WKD2997" s="470"/>
      <c r="WKE2997" s="449"/>
      <c r="WKF2997" s="462"/>
      <c r="WKG2997" s="299"/>
      <c r="WKH2997" s="81"/>
      <c r="WKI2997" s="160"/>
      <c r="WKJ2997" s="559"/>
      <c r="WKK2997" s="125"/>
      <c r="WKL2997" s="470"/>
      <c r="WKM2997" s="449"/>
      <c r="WKN2997" s="462"/>
      <c r="WKO2997" s="299"/>
      <c r="WKP2997" s="81"/>
      <c r="WKQ2997" s="160"/>
      <c r="WKR2997" s="559"/>
      <c r="WKS2997" s="125"/>
      <c r="WKT2997" s="470"/>
      <c r="WKU2997" s="449"/>
      <c r="WKV2997" s="462"/>
      <c r="WKW2997" s="299"/>
      <c r="WKX2997" s="81"/>
      <c r="WKY2997" s="160"/>
      <c r="WKZ2997" s="559"/>
      <c r="WLA2997" s="125"/>
      <c r="WLB2997" s="470"/>
      <c r="WLC2997" s="449"/>
      <c r="WLD2997" s="462"/>
      <c r="WLE2997" s="299"/>
      <c r="WLF2997" s="81"/>
      <c r="WLG2997" s="160"/>
      <c r="WLH2997" s="559"/>
      <c r="WLI2997" s="125"/>
      <c r="WLJ2997" s="470"/>
      <c r="WLK2997" s="449"/>
      <c r="WLL2997" s="462"/>
      <c r="WLM2997" s="299"/>
      <c r="WLN2997" s="81"/>
      <c r="WLO2997" s="160"/>
      <c r="WLP2997" s="559"/>
      <c r="WLQ2997" s="125"/>
      <c r="WLR2997" s="470"/>
      <c r="WLS2997" s="449"/>
      <c r="WLT2997" s="462"/>
      <c r="WLU2997" s="299"/>
      <c r="WLV2997" s="81"/>
      <c r="WLW2997" s="160"/>
      <c r="WLX2997" s="559"/>
      <c r="WLY2997" s="125"/>
      <c r="WLZ2997" s="470"/>
      <c r="WMA2997" s="449"/>
      <c r="WMB2997" s="462"/>
      <c r="WMC2997" s="299"/>
      <c r="WMD2997" s="81"/>
      <c r="WME2997" s="160"/>
      <c r="WMF2997" s="559"/>
      <c r="WMG2997" s="125"/>
      <c r="WMH2997" s="470"/>
      <c r="WMI2997" s="449"/>
      <c r="WMJ2997" s="462"/>
      <c r="WMK2997" s="299"/>
      <c r="WML2997" s="81"/>
      <c r="WMM2997" s="160"/>
      <c r="WMN2997" s="559"/>
      <c r="WMO2997" s="125"/>
      <c r="WMP2997" s="470"/>
      <c r="WMQ2997" s="449"/>
      <c r="WMR2997" s="462"/>
      <c r="WMS2997" s="299"/>
      <c r="WMT2997" s="81"/>
      <c r="WMU2997" s="160"/>
      <c r="WMV2997" s="559"/>
      <c r="WMW2997" s="125"/>
      <c r="WMX2997" s="470"/>
      <c r="WMY2997" s="449"/>
      <c r="WMZ2997" s="462"/>
      <c r="WNA2997" s="299"/>
      <c r="WNB2997" s="81"/>
      <c r="WNC2997" s="160"/>
      <c r="WND2997" s="559"/>
      <c r="WNE2997" s="125"/>
      <c r="WNF2997" s="470"/>
      <c r="WNG2997" s="449"/>
      <c r="WNH2997" s="462"/>
      <c r="WNI2997" s="299"/>
      <c r="WNJ2997" s="81"/>
      <c r="WNK2997" s="160"/>
      <c r="WNL2997" s="559"/>
      <c r="WNM2997" s="125"/>
      <c r="WNN2997" s="470"/>
      <c r="WNO2997" s="449"/>
      <c r="WNP2997" s="462"/>
      <c r="WNQ2997" s="299"/>
      <c r="WNR2997" s="81"/>
      <c r="WNS2997" s="160"/>
      <c r="WNT2997" s="559"/>
      <c r="WNU2997" s="125"/>
      <c r="WNV2997" s="470"/>
      <c r="WNW2997" s="449"/>
      <c r="WNX2997" s="462"/>
      <c r="WNY2997" s="299"/>
      <c r="WNZ2997" s="81"/>
      <c r="WOA2997" s="160"/>
      <c r="WOB2997" s="559"/>
      <c r="WOC2997" s="125"/>
      <c r="WOD2997" s="470"/>
      <c r="WOE2997" s="449"/>
      <c r="WOF2997" s="462"/>
      <c r="WOG2997" s="299"/>
      <c r="WOH2997" s="81"/>
      <c r="WOI2997" s="160"/>
      <c r="WOJ2997" s="559"/>
      <c r="WOK2997" s="125"/>
      <c r="WOL2997" s="470"/>
      <c r="WOM2997" s="449"/>
      <c r="WON2997" s="462"/>
      <c r="WOO2997" s="299"/>
      <c r="WOP2997" s="81"/>
      <c r="WOQ2997" s="160"/>
      <c r="WOR2997" s="559"/>
      <c r="WOS2997" s="125"/>
      <c r="WOT2997" s="470"/>
      <c r="WOU2997" s="449"/>
      <c r="WOV2997" s="462"/>
      <c r="WOW2997" s="299"/>
      <c r="WOX2997" s="81"/>
      <c r="WOY2997" s="160"/>
      <c r="WOZ2997" s="559"/>
      <c r="WPA2997" s="125"/>
      <c r="WPB2997" s="470"/>
      <c r="WPC2997" s="449"/>
      <c r="WPD2997" s="462"/>
      <c r="WPE2997" s="299"/>
      <c r="WPF2997" s="81"/>
      <c r="WPG2997" s="160"/>
      <c r="WPH2997" s="559"/>
      <c r="WPI2997" s="125"/>
      <c r="WPJ2997" s="470"/>
      <c r="WPK2997" s="449"/>
      <c r="WPL2997" s="462"/>
      <c r="WPM2997" s="299"/>
      <c r="WPN2997" s="81"/>
      <c r="WPO2997" s="160"/>
      <c r="WPP2997" s="559"/>
      <c r="WPQ2997" s="125"/>
      <c r="WPR2997" s="470"/>
      <c r="WPS2997" s="449"/>
      <c r="WPT2997" s="462"/>
      <c r="WPU2997" s="299"/>
      <c r="WPV2997" s="81"/>
      <c r="WPW2997" s="160"/>
      <c r="WPX2997" s="559"/>
      <c r="WPY2997" s="125"/>
      <c r="WPZ2997" s="470"/>
      <c r="WQA2997" s="449"/>
      <c r="WQB2997" s="462"/>
      <c r="WQC2997" s="299"/>
      <c r="WQD2997" s="81"/>
      <c r="WQE2997" s="160"/>
      <c r="WQF2997" s="559"/>
      <c r="WQG2997" s="125"/>
      <c r="WQH2997" s="470"/>
      <c r="WQI2997" s="449"/>
      <c r="WQJ2997" s="462"/>
      <c r="WQK2997" s="299"/>
      <c r="WQL2997" s="81"/>
      <c r="WQM2997" s="160"/>
      <c r="WQN2997" s="559"/>
      <c r="WQO2997" s="125"/>
      <c r="WQP2997" s="470"/>
      <c r="WQQ2997" s="449"/>
      <c r="WQR2997" s="462"/>
      <c r="WQS2997" s="299"/>
      <c r="WQT2997" s="81"/>
      <c r="WQU2997" s="160"/>
      <c r="WQV2997" s="559"/>
      <c r="WQW2997" s="125"/>
      <c r="WQX2997" s="470"/>
      <c r="WQY2997" s="449"/>
      <c r="WQZ2997" s="462"/>
      <c r="WRA2997" s="299"/>
      <c r="WRB2997" s="81"/>
      <c r="WRC2997" s="160"/>
      <c r="WRD2997" s="559"/>
      <c r="WRE2997" s="125"/>
      <c r="WRF2997" s="470"/>
      <c r="WRG2997" s="449"/>
      <c r="WRH2997" s="462"/>
      <c r="WRI2997" s="299"/>
      <c r="WRJ2997" s="81"/>
      <c r="WRK2997" s="160"/>
      <c r="WRL2997" s="559"/>
      <c r="WRM2997" s="125"/>
      <c r="WRN2997" s="470"/>
      <c r="WRO2997" s="449"/>
      <c r="WRP2997" s="462"/>
      <c r="WRQ2997" s="299"/>
      <c r="WRR2997" s="81"/>
      <c r="WRS2997" s="160"/>
      <c r="WRT2997" s="559"/>
      <c r="WRU2997" s="125"/>
      <c r="WRV2997" s="470"/>
      <c r="WRW2997" s="449"/>
      <c r="WRX2997" s="462"/>
      <c r="WRY2997" s="299"/>
      <c r="WRZ2997" s="81"/>
      <c r="WSA2997" s="160"/>
      <c r="WSB2997" s="559"/>
      <c r="WSC2997" s="125"/>
      <c r="WSD2997" s="470"/>
      <c r="WSE2997" s="449"/>
      <c r="WSF2997" s="462"/>
      <c r="WSG2997" s="299"/>
      <c r="WSH2997" s="81"/>
      <c r="WSI2997" s="160"/>
      <c r="WSJ2997" s="559"/>
      <c r="WSK2997" s="125"/>
      <c r="WSL2997" s="470"/>
      <c r="WSM2997" s="449"/>
      <c r="WSN2997" s="462"/>
      <c r="WSO2997" s="299"/>
      <c r="WSP2997" s="81"/>
      <c r="WSQ2997" s="160"/>
      <c r="WSR2997" s="559"/>
      <c r="WSS2997" s="125"/>
      <c r="WST2997" s="470"/>
      <c r="WSU2997" s="449"/>
      <c r="WSV2997" s="462"/>
      <c r="WSW2997" s="299"/>
      <c r="WSX2997" s="81"/>
      <c r="WSY2997" s="160"/>
      <c r="WSZ2997" s="559"/>
      <c r="WTA2997" s="125"/>
      <c r="WTB2997" s="470"/>
      <c r="WTC2997" s="449"/>
      <c r="WTD2997" s="462"/>
      <c r="WTE2997" s="299"/>
      <c r="WTF2997" s="81"/>
      <c r="WTG2997" s="160"/>
      <c r="WTH2997" s="559"/>
      <c r="WTI2997" s="125"/>
      <c r="WTJ2997" s="470"/>
      <c r="WTK2997" s="449"/>
      <c r="WTL2997" s="462"/>
      <c r="WTM2997" s="299"/>
      <c r="WTN2997" s="81"/>
      <c r="WTO2997" s="160"/>
      <c r="WTP2997" s="559"/>
      <c r="WTQ2997" s="125"/>
      <c r="WTR2997" s="470"/>
      <c r="WTS2997" s="449"/>
      <c r="WTT2997" s="462"/>
      <c r="WTU2997" s="299"/>
      <c r="WTV2997" s="81"/>
      <c r="WTW2997" s="160"/>
      <c r="WTX2997" s="559"/>
      <c r="WTY2997" s="125"/>
      <c r="WTZ2997" s="470"/>
      <c r="WUA2997" s="449"/>
      <c r="WUB2997" s="462"/>
      <c r="WUC2997" s="299"/>
      <c r="WUD2997" s="81"/>
      <c r="WUE2997" s="160"/>
      <c r="WUF2997" s="559"/>
      <c r="WUG2997" s="125"/>
      <c r="WUH2997" s="470"/>
      <c r="WUI2997" s="449"/>
      <c r="WUJ2997" s="462"/>
      <c r="WUK2997" s="299"/>
      <c r="WUL2997" s="81"/>
      <c r="WUM2997" s="160"/>
      <c r="WUN2997" s="559"/>
      <c r="WUO2997" s="125"/>
      <c r="WUP2997" s="470"/>
      <c r="WUQ2997" s="449"/>
      <c r="WUR2997" s="462"/>
      <c r="WUS2997" s="299"/>
      <c r="WUT2997" s="81"/>
      <c r="WUU2997" s="160"/>
      <c r="WUV2997" s="559"/>
      <c r="WUW2997" s="125"/>
      <c r="WUX2997" s="470"/>
      <c r="WUY2997" s="449"/>
      <c r="WUZ2997" s="462"/>
      <c r="WVA2997" s="299"/>
      <c r="WVB2997" s="81"/>
      <c r="WVC2997" s="160"/>
      <c r="WVD2997" s="559"/>
      <c r="WVE2997" s="125"/>
      <c r="WVF2997" s="470"/>
      <c r="WVG2997" s="449"/>
      <c r="WVH2997" s="462"/>
      <c r="WVI2997" s="299"/>
      <c r="WVJ2997" s="81"/>
      <c r="WVK2997" s="160"/>
      <c r="WVL2997" s="559"/>
      <c r="WVM2997" s="125"/>
      <c r="WVN2997" s="470"/>
      <c r="WVO2997" s="449"/>
      <c r="WVP2997" s="462"/>
      <c r="WVQ2997" s="299"/>
      <c r="WVR2997" s="81"/>
      <c r="WVS2997" s="160"/>
      <c r="WVT2997" s="559"/>
      <c r="WVU2997" s="125"/>
      <c r="WVV2997" s="470"/>
      <c r="WVW2997" s="449"/>
      <c r="WVX2997" s="462"/>
      <c r="WVY2997" s="299"/>
      <c r="WVZ2997" s="81"/>
      <c r="WWA2997" s="160"/>
      <c r="WWB2997" s="559"/>
      <c r="WWC2997" s="125"/>
      <c r="WWD2997" s="470"/>
      <c r="WWE2997" s="449"/>
      <c r="WWF2997" s="462"/>
      <c r="WWG2997" s="299"/>
      <c r="WWH2997" s="81"/>
      <c r="WWI2997" s="160"/>
      <c r="WWJ2997" s="559"/>
      <c r="WWK2997" s="125"/>
      <c r="WWL2997" s="470"/>
      <c r="WWM2997" s="449"/>
      <c r="WWN2997" s="462"/>
      <c r="WWO2997" s="299"/>
      <c r="WWP2997" s="81"/>
      <c r="WWQ2997" s="160"/>
      <c r="WWR2997" s="559"/>
      <c r="WWS2997" s="125"/>
      <c r="WWT2997" s="470"/>
      <c r="WWU2997" s="449"/>
      <c r="WWV2997" s="462"/>
      <c r="WWW2997" s="299"/>
      <c r="WWX2997" s="81"/>
      <c r="WWY2997" s="160"/>
      <c r="WWZ2997" s="559"/>
      <c r="WXA2997" s="125"/>
      <c r="WXB2997" s="470"/>
      <c r="WXC2997" s="449"/>
      <c r="WXD2997" s="462"/>
      <c r="WXE2997" s="299"/>
      <c r="WXF2997" s="81"/>
      <c r="WXG2997" s="160"/>
      <c r="WXH2997" s="559"/>
      <c r="WXI2997" s="125"/>
      <c r="WXJ2997" s="470"/>
      <c r="WXK2997" s="449"/>
      <c r="WXL2997" s="462"/>
      <c r="WXM2997" s="299"/>
      <c r="WXN2997" s="81"/>
      <c r="WXO2997" s="160"/>
      <c r="WXP2997" s="559"/>
      <c r="WXQ2997" s="125"/>
      <c r="WXR2997" s="470"/>
      <c r="WXS2997" s="449"/>
      <c r="WXT2997" s="462"/>
      <c r="WXU2997" s="299"/>
      <c r="WXV2997" s="81"/>
      <c r="WXW2997" s="160"/>
      <c r="WXX2997" s="559"/>
      <c r="WXY2997" s="125"/>
      <c r="WXZ2997" s="470"/>
      <c r="WYA2997" s="449"/>
      <c r="WYB2997" s="462"/>
      <c r="WYC2997" s="299"/>
      <c r="WYD2997" s="81"/>
      <c r="WYE2997" s="160"/>
      <c r="WYF2997" s="559"/>
      <c r="WYG2997" s="125"/>
      <c r="WYH2997" s="470"/>
      <c r="WYI2997" s="449"/>
      <c r="WYJ2997" s="462"/>
      <c r="WYK2997" s="299"/>
      <c r="WYL2997" s="81"/>
      <c r="WYM2997" s="160"/>
      <c r="WYN2997" s="559"/>
      <c r="WYO2997" s="125"/>
      <c r="WYP2997" s="470"/>
      <c r="WYQ2997" s="449"/>
      <c r="WYR2997" s="462"/>
      <c r="WYS2997" s="299"/>
      <c r="WYT2997" s="81"/>
      <c r="WYU2997" s="160"/>
      <c r="WYV2997" s="559"/>
      <c r="WYW2997" s="125"/>
      <c r="WYX2997" s="470"/>
      <c r="WYY2997" s="449"/>
      <c r="WYZ2997" s="462"/>
      <c r="WZA2997" s="299"/>
      <c r="WZB2997" s="81"/>
      <c r="WZC2997" s="160"/>
      <c r="WZD2997" s="559"/>
      <c r="WZE2997" s="125"/>
      <c r="WZF2997" s="470"/>
      <c r="WZG2997" s="449"/>
      <c r="WZH2997" s="462"/>
      <c r="WZI2997" s="299"/>
      <c r="WZJ2997" s="81"/>
      <c r="WZK2997" s="160"/>
      <c r="WZL2997" s="559"/>
      <c r="WZM2997" s="125"/>
      <c r="WZN2997" s="470"/>
      <c r="WZO2997" s="449"/>
      <c r="WZP2997" s="462"/>
      <c r="WZQ2997" s="299"/>
      <c r="WZR2997" s="81"/>
      <c r="WZS2997" s="160"/>
      <c r="WZT2997" s="559"/>
      <c r="WZU2997" s="125"/>
      <c r="WZV2997" s="470"/>
      <c r="WZW2997" s="449"/>
      <c r="WZX2997" s="462"/>
      <c r="WZY2997" s="299"/>
      <c r="WZZ2997" s="81"/>
      <c r="XAA2997" s="160"/>
      <c r="XAB2997" s="559"/>
      <c r="XAC2997" s="125"/>
      <c r="XAD2997" s="470"/>
      <c r="XAE2997" s="449"/>
      <c r="XAF2997" s="462"/>
      <c r="XAG2997" s="299"/>
      <c r="XAH2997" s="81"/>
      <c r="XAI2997" s="160"/>
      <c r="XAJ2997" s="559"/>
      <c r="XAK2997" s="125"/>
      <c r="XAL2997" s="470"/>
      <c r="XAM2997" s="449"/>
      <c r="XAN2997" s="462"/>
      <c r="XAO2997" s="299"/>
      <c r="XAP2997" s="81"/>
      <c r="XAQ2997" s="160"/>
      <c r="XAR2997" s="559"/>
      <c r="XAS2997" s="125"/>
      <c r="XAT2997" s="470"/>
      <c r="XAU2997" s="449"/>
      <c r="XAV2997" s="462"/>
      <c r="XAW2997" s="299"/>
      <c r="XAX2997" s="81"/>
      <c r="XAY2997" s="160"/>
      <c r="XAZ2997" s="559"/>
      <c r="XBA2997" s="125"/>
      <c r="XBB2997" s="470"/>
      <c r="XBC2997" s="449"/>
      <c r="XBD2997" s="462"/>
      <c r="XBE2997" s="299"/>
      <c r="XBF2997" s="81"/>
      <c r="XBG2997" s="160"/>
      <c r="XBH2997" s="559"/>
      <c r="XBI2997" s="125"/>
      <c r="XBJ2997" s="470"/>
      <c r="XBK2997" s="449"/>
      <c r="XBL2997" s="462"/>
      <c r="XBM2997" s="299"/>
      <c r="XBN2997" s="81"/>
      <c r="XBO2997" s="160"/>
      <c r="XBP2997" s="559"/>
      <c r="XBQ2997" s="125"/>
      <c r="XBR2997" s="470"/>
      <c r="XBS2997" s="449"/>
      <c r="XBT2997" s="462"/>
      <c r="XBU2997" s="299"/>
      <c r="XBV2997" s="81"/>
      <c r="XBW2997" s="160"/>
      <c r="XBX2997" s="559"/>
      <c r="XBY2997" s="125"/>
      <c r="XBZ2997" s="470"/>
      <c r="XCA2997" s="449"/>
      <c r="XCB2997" s="462"/>
      <c r="XCC2997" s="299"/>
      <c r="XCD2997" s="81"/>
      <c r="XCE2997" s="160"/>
      <c r="XCF2997" s="559"/>
      <c r="XCG2997" s="125"/>
      <c r="XCH2997" s="470"/>
      <c r="XCI2997" s="449"/>
      <c r="XCJ2997" s="462"/>
      <c r="XCK2997" s="299"/>
      <c r="XCL2997" s="81"/>
      <c r="XCM2997" s="160"/>
      <c r="XCN2997" s="559"/>
      <c r="XCO2997" s="125"/>
      <c r="XCP2997" s="470"/>
      <c r="XCQ2997" s="449"/>
      <c r="XCR2997" s="462"/>
      <c r="XCS2997" s="299"/>
      <c r="XCT2997" s="81"/>
      <c r="XCU2997" s="160"/>
      <c r="XCV2997" s="559"/>
      <c r="XCW2997" s="125"/>
      <c r="XCX2997" s="470"/>
      <c r="XCY2997" s="449"/>
      <c r="XCZ2997" s="462"/>
      <c r="XDA2997" s="299"/>
      <c r="XDB2997" s="81"/>
      <c r="XDC2997" s="160"/>
      <c r="XDD2997" s="559"/>
      <c r="XDE2997" s="125"/>
      <c r="XDF2997" s="470"/>
      <c r="XDG2997" s="449"/>
      <c r="XDH2997" s="462"/>
      <c r="XDI2997" s="299"/>
      <c r="XDJ2997" s="81"/>
      <c r="XDK2997" s="160"/>
      <c r="XDL2997" s="559"/>
      <c r="XDM2997" s="125"/>
      <c r="XDN2997" s="470"/>
      <c r="XDO2997" s="449"/>
      <c r="XDP2997" s="462"/>
      <c r="XDQ2997" s="299"/>
      <c r="XDR2997" s="81"/>
      <c r="XDS2997" s="160"/>
      <c r="XDT2997" s="559"/>
      <c r="XDU2997" s="125"/>
      <c r="XDV2997" s="470"/>
      <c r="XDW2997" s="449"/>
      <c r="XDX2997" s="462"/>
      <c r="XDY2997" s="299"/>
      <c r="XDZ2997" s="81"/>
      <c r="XEA2997" s="160"/>
      <c r="XEB2997" s="559"/>
      <c r="XEC2997" s="125"/>
      <c r="XED2997" s="470"/>
      <c r="XEE2997" s="449"/>
      <c r="XEF2997" s="462"/>
      <c r="XEG2997" s="299"/>
      <c r="XEH2997" s="81"/>
      <c r="XEI2997" s="160"/>
      <c r="XEJ2997" s="559"/>
      <c r="XEK2997" s="125"/>
      <c r="XEL2997" s="470"/>
      <c r="XEM2997" s="449"/>
      <c r="XEN2997" s="462"/>
      <c r="XEO2997" s="299"/>
      <c r="XEP2997" s="81"/>
      <c r="XEQ2997" s="160"/>
      <c r="XER2997" s="559"/>
      <c r="XES2997" s="125"/>
      <c r="XET2997" s="470"/>
      <c r="XEU2997" s="449"/>
      <c r="XEV2997" s="462"/>
      <c r="XEW2997" s="299"/>
      <c r="XEX2997" s="81"/>
      <c r="XEY2997" s="160"/>
      <c r="XEZ2997" s="559"/>
      <c r="XFA2997" s="125"/>
      <c r="XFB2997" s="470"/>
      <c r="XFC2997" s="449"/>
      <c r="XFD2997" s="462"/>
    </row>
    <row r="2998" spans="1:16384" ht="15" customHeight="1">
      <c r="A2998" s="1253">
        <v>45113</v>
      </c>
      <c r="B2998" s="1209">
        <v>3880</v>
      </c>
      <c r="C2998" s="1210">
        <v>29050</v>
      </c>
      <c r="D2998" s="1230">
        <v>28380</v>
      </c>
      <c r="E2998" s="1212">
        <f t="shared" ref="E2998" si="1137">D2998-C2998</f>
        <v>-670</v>
      </c>
      <c r="F2998" s="1211">
        <f t="shared" ref="F2998" si="1138">C2998-C2997</f>
        <v>1000</v>
      </c>
      <c r="G2998" s="1236"/>
      <c r="H2998" s="1280"/>
      <c r="I2998" s="1291">
        <v>234500</v>
      </c>
      <c r="J2998" s="81"/>
      <c r="K2998" s="160"/>
      <c r="L2998" s="562"/>
      <c r="M2998" s="125"/>
      <c r="N2998" s="470"/>
      <c r="R2998" s="81"/>
      <c r="S2998" s="160"/>
      <c r="T2998" s="562"/>
      <c r="U2998" s="125"/>
      <c r="V2998" s="470"/>
      <c r="W2998" s="449"/>
      <c r="X2998" s="462"/>
      <c r="Y2998" s="299"/>
      <c r="Z2998" s="81"/>
      <c r="AA2998" s="160"/>
      <c r="AB2998" s="562"/>
      <c r="AC2998" s="125"/>
      <c r="AD2998" s="470"/>
      <c r="AE2998" s="449"/>
      <c r="AF2998" s="462"/>
      <c r="AG2998" s="299"/>
      <c r="AH2998" s="81"/>
      <c r="AI2998" s="160"/>
      <c r="AJ2998" s="562"/>
      <c r="AK2998" s="125"/>
      <c r="AL2998" s="470"/>
      <c r="AM2998" s="449"/>
      <c r="AN2998" s="462"/>
      <c r="AO2998" s="299"/>
      <c r="AP2998" s="81"/>
      <c r="AQ2998" s="160"/>
      <c r="AR2998" s="562"/>
      <c r="AS2998" s="125"/>
      <c r="AT2998" s="470"/>
      <c r="AU2998" s="449"/>
      <c r="AV2998" s="462"/>
      <c r="AW2998" s="299"/>
      <c r="AX2998" s="81"/>
      <c r="AY2998" s="160"/>
      <c r="AZ2998" s="562"/>
      <c r="BA2998" s="125"/>
      <c r="BB2998" s="470"/>
      <c r="BC2998" s="449"/>
      <c r="BD2998" s="462"/>
      <c r="BE2998" s="299"/>
      <c r="BF2998" s="81"/>
      <c r="BG2998" s="160"/>
      <c r="BH2998" s="562"/>
      <c r="BI2998" s="125"/>
      <c r="BJ2998" s="470"/>
      <c r="BK2998" s="449"/>
      <c r="BL2998" s="462"/>
      <c r="BM2998" s="299"/>
      <c r="BN2998" s="81"/>
      <c r="BO2998" s="160"/>
      <c r="BP2998" s="562"/>
      <c r="BQ2998" s="125"/>
      <c r="BR2998" s="470"/>
      <c r="BS2998" s="449"/>
      <c r="BT2998" s="462"/>
      <c r="BU2998" s="299"/>
      <c r="BV2998" s="81"/>
      <c r="BW2998" s="160"/>
      <c r="BX2998" s="562"/>
      <c r="BY2998" s="125"/>
      <c r="BZ2998" s="470"/>
      <c r="CA2998" s="449"/>
      <c r="CB2998" s="462"/>
      <c r="CC2998" s="299"/>
      <c r="CD2998" s="81"/>
      <c r="CE2998" s="160"/>
      <c r="CF2998" s="562"/>
      <c r="CG2998" s="125"/>
      <c r="CH2998" s="470"/>
      <c r="CI2998" s="449"/>
      <c r="CJ2998" s="462"/>
      <c r="CK2998" s="299"/>
      <c r="CL2998" s="81"/>
      <c r="CM2998" s="160"/>
      <c r="CN2998" s="562"/>
      <c r="CO2998" s="125"/>
      <c r="CP2998" s="470"/>
      <c r="CQ2998" s="449"/>
      <c r="CR2998" s="462"/>
      <c r="CS2998" s="299"/>
      <c r="CT2998" s="81"/>
      <c r="CU2998" s="160"/>
      <c r="CV2998" s="562"/>
      <c r="CW2998" s="125"/>
      <c r="CX2998" s="470"/>
      <c r="CY2998" s="449"/>
      <c r="CZ2998" s="462"/>
      <c r="DA2998" s="299"/>
      <c r="DB2998" s="81"/>
      <c r="DC2998" s="160"/>
      <c r="DD2998" s="562"/>
      <c r="DE2998" s="125"/>
      <c r="DF2998" s="470"/>
      <c r="DG2998" s="449"/>
      <c r="DH2998" s="462"/>
      <c r="DI2998" s="299"/>
      <c r="DJ2998" s="81"/>
      <c r="DK2998" s="160"/>
      <c r="DL2998" s="562"/>
      <c r="DM2998" s="125"/>
      <c r="DN2998" s="470"/>
      <c r="DO2998" s="449"/>
      <c r="DP2998" s="462"/>
      <c r="DQ2998" s="299"/>
      <c r="DR2998" s="81"/>
      <c r="DS2998" s="160"/>
      <c r="DT2998" s="562"/>
      <c r="DU2998" s="125"/>
      <c r="DV2998" s="470"/>
      <c r="DW2998" s="449"/>
      <c r="DX2998" s="462"/>
      <c r="DY2998" s="299"/>
      <c r="DZ2998" s="81"/>
      <c r="EA2998" s="160"/>
      <c r="EB2998" s="562"/>
      <c r="EC2998" s="125"/>
      <c r="ED2998" s="470"/>
      <c r="EE2998" s="449"/>
      <c r="EF2998" s="462"/>
      <c r="EG2998" s="299"/>
      <c r="EH2998" s="81"/>
      <c r="EI2998" s="160"/>
      <c r="EJ2998" s="562"/>
      <c r="EK2998" s="125"/>
      <c r="EL2998" s="470"/>
      <c r="EM2998" s="449"/>
      <c r="EN2998" s="462"/>
      <c r="EO2998" s="299"/>
      <c r="EP2998" s="81"/>
      <c r="EQ2998" s="160"/>
      <c r="ER2998" s="562"/>
      <c r="ES2998" s="125"/>
      <c r="ET2998" s="470"/>
      <c r="EU2998" s="449"/>
      <c r="EV2998" s="462"/>
      <c r="EW2998" s="299"/>
      <c r="EX2998" s="81"/>
      <c r="EY2998" s="160"/>
      <c r="EZ2998" s="562"/>
      <c r="FA2998" s="125"/>
      <c r="FB2998" s="470"/>
      <c r="FC2998" s="449"/>
      <c r="FD2998" s="462"/>
      <c r="FE2998" s="299"/>
      <c r="FF2998" s="81"/>
      <c r="FG2998" s="160"/>
      <c r="FH2998" s="562"/>
      <c r="FI2998" s="125"/>
      <c r="FJ2998" s="470"/>
      <c r="FK2998" s="449"/>
      <c r="FL2998" s="462"/>
      <c r="FM2998" s="299"/>
      <c r="FN2998" s="81"/>
      <c r="FO2998" s="160"/>
      <c r="FP2998" s="562"/>
      <c r="FQ2998" s="125"/>
      <c r="FR2998" s="470"/>
      <c r="FS2998" s="449"/>
      <c r="FT2998" s="462"/>
      <c r="FU2998" s="299"/>
      <c r="FV2998" s="81"/>
      <c r="FW2998" s="160"/>
      <c r="FX2998" s="562"/>
      <c r="FY2998" s="125"/>
      <c r="FZ2998" s="470"/>
      <c r="GA2998" s="449"/>
      <c r="GB2998" s="462"/>
      <c r="GC2998" s="299"/>
      <c r="GD2998" s="81"/>
      <c r="GE2998" s="160"/>
      <c r="GF2998" s="562"/>
      <c r="GG2998" s="125"/>
      <c r="GH2998" s="470"/>
      <c r="GI2998" s="449"/>
      <c r="GJ2998" s="462"/>
      <c r="GK2998" s="299"/>
      <c r="GL2998" s="81"/>
      <c r="GM2998" s="160"/>
      <c r="GN2998" s="562"/>
      <c r="GO2998" s="125"/>
      <c r="GP2998" s="470"/>
      <c r="GQ2998" s="449"/>
      <c r="GR2998" s="462"/>
      <c r="GS2998" s="299"/>
      <c r="GT2998" s="81"/>
      <c r="GU2998" s="160"/>
      <c r="GV2998" s="562"/>
      <c r="GW2998" s="125"/>
      <c r="GX2998" s="470"/>
      <c r="GY2998" s="449"/>
      <c r="GZ2998" s="462"/>
      <c r="HA2998" s="299"/>
      <c r="HB2998" s="81"/>
      <c r="HC2998" s="160"/>
      <c r="HD2998" s="562"/>
      <c r="HE2998" s="125"/>
      <c r="HF2998" s="470"/>
      <c r="HG2998" s="449"/>
      <c r="HH2998" s="462"/>
      <c r="HI2998" s="299"/>
      <c r="HJ2998" s="81"/>
      <c r="HK2998" s="160"/>
      <c r="HL2998" s="562"/>
      <c r="HM2998" s="125"/>
      <c r="HN2998" s="470"/>
      <c r="HO2998" s="449"/>
      <c r="HP2998" s="462"/>
      <c r="HQ2998" s="299"/>
      <c r="HR2998" s="81"/>
      <c r="HS2998" s="160"/>
      <c r="HT2998" s="562"/>
      <c r="HU2998" s="125"/>
      <c r="HV2998" s="470"/>
      <c r="HW2998" s="449"/>
      <c r="HX2998" s="462"/>
      <c r="HY2998" s="299"/>
      <c r="HZ2998" s="81"/>
      <c r="IA2998" s="160"/>
      <c r="IB2998" s="562"/>
      <c r="IC2998" s="125"/>
      <c r="ID2998" s="470"/>
      <c r="IE2998" s="449"/>
      <c r="IF2998" s="462"/>
      <c r="IG2998" s="299"/>
      <c r="IH2998" s="81"/>
      <c r="II2998" s="160"/>
      <c r="IJ2998" s="562"/>
      <c r="IK2998" s="125"/>
      <c r="IL2998" s="470"/>
      <c r="IM2998" s="449"/>
      <c r="IN2998" s="462"/>
      <c r="IO2998" s="299"/>
      <c r="IP2998" s="81"/>
      <c r="IQ2998" s="160"/>
      <c r="IR2998" s="562"/>
      <c r="IS2998" s="125"/>
      <c r="IT2998" s="470"/>
      <c r="IU2998" s="449"/>
      <c r="IV2998" s="462"/>
      <c r="IW2998" s="299"/>
      <c r="IX2998" s="81"/>
      <c r="IY2998" s="160"/>
      <c r="IZ2998" s="562"/>
      <c r="JA2998" s="125"/>
      <c r="JB2998" s="470"/>
      <c r="JC2998" s="449"/>
      <c r="JD2998" s="462"/>
      <c r="JE2998" s="299"/>
      <c r="JF2998" s="81"/>
      <c r="JG2998" s="160"/>
      <c r="JH2998" s="562"/>
      <c r="JI2998" s="125"/>
      <c r="JJ2998" s="470"/>
      <c r="JK2998" s="449"/>
      <c r="JL2998" s="462"/>
      <c r="JM2998" s="299"/>
      <c r="JN2998" s="81"/>
      <c r="JO2998" s="160"/>
      <c r="JP2998" s="562"/>
      <c r="JQ2998" s="125"/>
      <c r="JR2998" s="470"/>
      <c r="JS2998" s="449"/>
      <c r="JT2998" s="462"/>
      <c r="JU2998" s="299"/>
      <c r="JV2998" s="81"/>
      <c r="JW2998" s="160"/>
      <c r="JX2998" s="562"/>
      <c r="JY2998" s="125"/>
      <c r="JZ2998" s="470"/>
      <c r="KA2998" s="449"/>
      <c r="KB2998" s="462"/>
      <c r="KC2998" s="299"/>
      <c r="KD2998" s="81"/>
      <c r="KE2998" s="160"/>
      <c r="KF2998" s="562"/>
      <c r="KG2998" s="125"/>
      <c r="KH2998" s="470"/>
      <c r="KI2998" s="449"/>
      <c r="KJ2998" s="462"/>
      <c r="KK2998" s="299"/>
      <c r="KL2998" s="81"/>
      <c r="KM2998" s="160"/>
      <c r="KN2998" s="562"/>
      <c r="KO2998" s="125"/>
      <c r="KP2998" s="470"/>
      <c r="KQ2998" s="449"/>
      <c r="KR2998" s="462"/>
      <c r="KS2998" s="299"/>
      <c r="KT2998" s="81"/>
      <c r="KU2998" s="160"/>
      <c r="KV2998" s="562"/>
      <c r="KW2998" s="125"/>
      <c r="KX2998" s="470"/>
      <c r="KY2998" s="449"/>
      <c r="KZ2998" s="462"/>
      <c r="LA2998" s="299"/>
      <c r="LB2998" s="81"/>
      <c r="LC2998" s="160"/>
      <c r="LD2998" s="562"/>
      <c r="LE2998" s="125"/>
      <c r="LF2998" s="470"/>
      <c r="LG2998" s="449"/>
      <c r="LH2998" s="462"/>
      <c r="LI2998" s="299"/>
      <c r="LJ2998" s="81"/>
      <c r="LK2998" s="160"/>
      <c r="LL2998" s="562"/>
      <c r="LM2998" s="125"/>
      <c r="LN2998" s="470"/>
      <c r="LO2998" s="449"/>
      <c r="LP2998" s="462"/>
      <c r="LQ2998" s="299"/>
      <c r="LR2998" s="81"/>
      <c r="LS2998" s="160"/>
      <c r="LT2998" s="562"/>
      <c r="LU2998" s="125"/>
      <c r="LV2998" s="470"/>
      <c r="LW2998" s="449"/>
      <c r="LX2998" s="462"/>
      <c r="LY2998" s="299"/>
      <c r="LZ2998" s="81"/>
      <c r="MA2998" s="160"/>
      <c r="MB2998" s="562"/>
      <c r="MC2998" s="125"/>
      <c r="MD2998" s="470"/>
      <c r="ME2998" s="449"/>
      <c r="MF2998" s="462"/>
      <c r="MG2998" s="299"/>
      <c r="MH2998" s="81"/>
      <c r="MI2998" s="160"/>
      <c r="MJ2998" s="562"/>
      <c r="MK2998" s="125"/>
      <c r="ML2998" s="470"/>
      <c r="MM2998" s="449"/>
      <c r="MN2998" s="462"/>
      <c r="MO2998" s="299"/>
      <c r="MP2998" s="81"/>
      <c r="MQ2998" s="160"/>
      <c r="MR2998" s="562"/>
      <c r="MS2998" s="125"/>
      <c r="MT2998" s="470"/>
      <c r="MU2998" s="449"/>
      <c r="MV2998" s="462"/>
      <c r="MW2998" s="299"/>
      <c r="MX2998" s="81"/>
      <c r="MY2998" s="160"/>
      <c r="MZ2998" s="562"/>
      <c r="NA2998" s="125"/>
      <c r="NB2998" s="470"/>
      <c r="NC2998" s="449"/>
      <c r="ND2998" s="462"/>
      <c r="NE2998" s="299"/>
      <c r="NF2998" s="81"/>
      <c r="NG2998" s="160"/>
      <c r="NH2998" s="562"/>
      <c r="NI2998" s="125"/>
      <c r="NJ2998" s="470"/>
      <c r="NK2998" s="449"/>
      <c r="NL2998" s="462"/>
      <c r="NM2998" s="299"/>
      <c r="NN2998" s="81"/>
      <c r="NO2998" s="160"/>
      <c r="NP2998" s="562"/>
      <c r="NQ2998" s="125"/>
      <c r="NR2998" s="470"/>
      <c r="NS2998" s="449"/>
      <c r="NT2998" s="462"/>
      <c r="NU2998" s="299"/>
      <c r="NV2998" s="81"/>
      <c r="NW2998" s="160"/>
      <c r="NX2998" s="562"/>
      <c r="NY2998" s="125"/>
      <c r="NZ2998" s="470"/>
      <c r="OA2998" s="449"/>
      <c r="OB2998" s="462"/>
      <c r="OC2998" s="299"/>
      <c r="OD2998" s="81"/>
      <c r="OE2998" s="160"/>
      <c r="OF2998" s="562"/>
      <c r="OG2998" s="125"/>
      <c r="OH2998" s="470"/>
      <c r="OI2998" s="449"/>
      <c r="OJ2998" s="462"/>
      <c r="OK2998" s="299"/>
      <c r="OL2998" s="81"/>
      <c r="OM2998" s="160"/>
      <c r="ON2998" s="562"/>
      <c r="OO2998" s="125"/>
      <c r="OP2998" s="470"/>
      <c r="OQ2998" s="449"/>
      <c r="OR2998" s="462"/>
      <c r="OS2998" s="299"/>
      <c r="OT2998" s="81"/>
      <c r="OU2998" s="160"/>
      <c r="OV2998" s="562"/>
      <c r="OW2998" s="125"/>
      <c r="OX2998" s="470"/>
      <c r="OY2998" s="449"/>
      <c r="OZ2998" s="462"/>
      <c r="PA2998" s="299"/>
      <c r="PB2998" s="81"/>
      <c r="PC2998" s="160"/>
      <c r="PD2998" s="562"/>
      <c r="PE2998" s="125"/>
      <c r="PF2998" s="470"/>
      <c r="PG2998" s="449"/>
      <c r="PH2998" s="462"/>
      <c r="PI2998" s="299"/>
      <c r="PJ2998" s="81"/>
      <c r="PK2998" s="160"/>
      <c r="PL2998" s="562"/>
      <c r="PM2998" s="125"/>
      <c r="PN2998" s="470"/>
      <c r="PO2998" s="449"/>
      <c r="PP2998" s="462"/>
      <c r="PQ2998" s="299"/>
      <c r="PR2998" s="81"/>
      <c r="PS2998" s="160"/>
      <c r="PT2998" s="562"/>
      <c r="PU2998" s="125"/>
      <c r="PV2998" s="470"/>
      <c r="PW2998" s="449"/>
      <c r="PX2998" s="462"/>
      <c r="PY2998" s="299"/>
      <c r="PZ2998" s="81"/>
      <c r="QA2998" s="160"/>
      <c r="QB2998" s="562"/>
      <c r="QC2998" s="125"/>
      <c r="QD2998" s="470"/>
      <c r="QE2998" s="449"/>
      <c r="QF2998" s="462"/>
      <c r="QG2998" s="299"/>
      <c r="QH2998" s="81"/>
      <c r="QI2998" s="160"/>
      <c r="QJ2998" s="562"/>
      <c r="QK2998" s="125"/>
      <c r="QL2998" s="470"/>
      <c r="QM2998" s="449"/>
      <c r="QN2998" s="462"/>
      <c r="QO2998" s="299"/>
      <c r="QP2998" s="81"/>
      <c r="QQ2998" s="160"/>
      <c r="QR2998" s="562"/>
      <c r="QS2998" s="125"/>
      <c r="QT2998" s="470"/>
      <c r="QU2998" s="449"/>
      <c r="QV2998" s="462"/>
      <c r="QW2998" s="299"/>
      <c r="QX2998" s="81"/>
      <c r="QY2998" s="160"/>
      <c r="QZ2998" s="562"/>
      <c r="RA2998" s="125"/>
      <c r="RB2998" s="470"/>
      <c r="RC2998" s="449"/>
      <c r="RD2998" s="462"/>
      <c r="RE2998" s="299"/>
      <c r="RF2998" s="81"/>
      <c r="RG2998" s="160"/>
      <c r="RH2998" s="562"/>
      <c r="RI2998" s="125"/>
      <c r="RJ2998" s="470"/>
      <c r="RK2998" s="449"/>
      <c r="RL2998" s="462"/>
      <c r="RM2998" s="299"/>
      <c r="RN2998" s="81"/>
      <c r="RO2998" s="160"/>
      <c r="RP2998" s="562"/>
      <c r="RQ2998" s="125"/>
      <c r="RR2998" s="470"/>
      <c r="RS2998" s="449"/>
      <c r="RT2998" s="462"/>
      <c r="RU2998" s="299"/>
      <c r="RV2998" s="81"/>
      <c r="RW2998" s="160"/>
      <c r="RX2998" s="562"/>
      <c r="RY2998" s="125"/>
      <c r="RZ2998" s="470"/>
      <c r="SA2998" s="449"/>
      <c r="SB2998" s="462"/>
      <c r="SC2998" s="299"/>
      <c r="SD2998" s="81"/>
      <c r="SE2998" s="160"/>
      <c r="SF2998" s="562"/>
      <c r="SG2998" s="125"/>
      <c r="SH2998" s="470"/>
      <c r="SI2998" s="449"/>
      <c r="SJ2998" s="462"/>
      <c r="SK2998" s="299"/>
      <c r="SL2998" s="81"/>
      <c r="SM2998" s="160"/>
      <c r="SN2998" s="562"/>
      <c r="SO2998" s="125"/>
      <c r="SP2998" s="470"/>
      <c r="SQ2998" s="449"/>
      <c r="SR2998" s="462"/>
      <c r="SS2998" s="299"/>
      <c r="ST2998" s="81"/>
      <c r="SU2998" s="160"/>
      <c r="SV2998" s="562"/>
      <c r="SW2998" s="125"/>
      <c r="SX2998" s="470"/>
      <c r="SY2998" s="449"/>
      <c r="SZ2998" s="462"/>
      <c r="TA2998" s="299"/>
      <c r="TB2998" s="81"/>
      <c r="TC2998" s="160"/>
      <c r="TD2998" s="562"/>
      <c r="TE2998" s="125"/>
      <c r="TF2998" s="470"/>
      <c r="TG2998" s="449"/>
      <c r="TH2998" s="462"/>
      <c r="TI2998" s="299"/>
      <c r="TJ2998" s="81"/>
      <c r="TK2998" s="160"/>
      <c r="TL2998" s="562"/>
      <c r="TM2998" s="125"/>
      <c r="TN2998" s="470"/>
      <c r="TO2998" s="449"/>
      <c r="TP2998" s="462"/>
      <c r="TQ2998" s="299"/>
      <c r="TR2998" s="81"/>
      <c r="TS2998" s="160"/>
      <c r="TT2998" s="562"/>
      <c r="TU2998" s="125"/>
      <c r="TV2998" s="470"/>
      <c r="TW2998" s="449"/>
      <c r="TX2998" s="462"/>
      <c r="TY2998" s="299"/>
      <c r="TZ2998" s="81"/>
      <c r="UA2998" s="160"/>
      <c r="UB2998" s="562"/>
      <c r="UC2998" s="125"/>
      <c r="UD2998" s="470"/>
      <c r="UE2998" s="449"/>
      <c r="UF2998" s="462"/>
      <c r="UG2998" s="299"/>
      <c r="UH2998" s="81"/>
      <c r="UI2998" s="160"/>
      <c r="UJ2998" s="562"/>
      <c r="UK2998" s="125"/>
      <c r="UL2998" s="470"/>
      <c r="UM2998" s="449"/>
      <c r="UN2998" s="462"/>
      <c r="UO2998" s="299"/>
      <c r="UP2998" s="81"/>
      <c r="UQ2998" s="160"/>
      <c r="UR2998" s="562"/>
      <c r="US2998" s="125"/>
      <c r="UT2998" s="470"/>
      <c r="UU2998" s="449"/>
      <c r="UV2998" s="462"/>
      <c r="UW2998" s="299"/>
      <c r="UX2998" s="81"/>
      <c r="UY2998" s="160"/>
      <c r="UZ2998" s="562"/>
      <c r="VA2998" s="125"/>
      <c r="VB2998" s="470"/>
      <c r="VC2998" s="449"/>
      <c r="VD2998" s="462"/>
      <c r="VE2998" s="299"/>
      <c r="VF2998" s="81"/>
      <c r="VG2998" s="160"/>
      <c r="VH2998" s="562"/>
      <c r="VI2998" s="125"/>
      <c r="VJ2998" s="470"/>
      <c r="VK2998" s="449"/>
      <c r="VL2998" s="462"/>
      <c r="VM2998" s="299"/>
      <c r="VN2998" s="81"/>
      <c r="VO2998" s="160"/>
      <c r="VP2998" s="562"/>
      <c r="VQ2998" s="125"/>
      <c r="VR2998" s="470"/>
      <c r="VS2998" s="449"/>
      <c r="VT2998" s="462"/>
      <c r="VU2998" s="299"/>
      <c r="VV2998" s="81"/>
      <c r="VW2998" s="160"/>
      <c r="VX2998" s="562"/>
      <c r="VY2998" s="125"/>
      <c r="VZ2998" s="470"/>
      <c r="WA2998" s="449"/>
      <c r="WB2998" s="462"/>
      <c r="WC2998" s="299"/>
      <c r="WD2998" s="81"/>
      <c r="WE2998" s="160"/>
      <c r="WF2998" s="562"/>
      <c r="WG2998" s="125"/>
      <c r="WH2998" s="470"/>
      <c r="WI2998" s="449"/>
      <c r="WJ2998" s="462"/>
      <c r="WK2998" s="299"/>
      <c r="WL2998" s="81"/>
      <c r="WM2998" s="160"/>
      <c r="WN2998" s="562"/>
      <c r="WO2998" s="125"/>
      <c r="WP2998" s="470"/>
      <c r="WQ2998" s="449"/>
      <c r="WR2998" s="462"/>
      <c r="WS2998" s="299"/>
      <c r="WT2998" s="81"/>
      <c r="WU2998" s="160"/>
      <c r="WV2998" s="562"/>
      <c r="WW2998" s="125"/>
      <c r="WX2998" s="470"/>
      <c r="WY2998" s="449"/>
      <c r="WZ2998" s="462"/>
      <c r="XA2998" s="299"/>
      <c r="XB2998" s="81"/>
      <c r="XC2998" s="160"/>
      <c r="XD2998" s="562"/>
      <c r="XE2998" s="125"/>
      <c r="XF2998" s="470"/>
      <c r="XG2998" s="449"/>
      <c r="XH2998" s="462"/>
      <c r="XI2998" s="299"/>
      <c r="XJ2998" s="81"/>
      <c r="XK2998" s="160"/>
      <c r="XL2998" s="562"/>
      <c r="XM2998" s="125"/>
      <c r="XN2998" s="470"/>
      <c r="XO2998" s="449"/>
      <c r="XP2998" s="462"/>
      <c r="XQ2998" s="299"/>
      <c r="XR2998" s="81"/>
      <c r="XS2998" s="160"/>
      <c r="XT2998" s="562"/>
      <c r="XU2998" s="125"/>
      <c r="XV2998" s="470"/>
      <c r="XW2998" s="449"/>
      <c r="XX2998" s="462"/>
      <c r="XY2998" s="299"/>
      <c r="XZ2998" s="81"/>
      <c r="YA2998" s="160"/>
      <c r="YB2998" s="562"/>
      <c r="YC2998" s="125"/>
      <c r="YD2998" s="470"/>
      <c r="YE2998" s="449"/>
      <c r="YF2998" s="462"/>
      <c r="YG2998" s="299"/>
      <c r="YH2998" s="81"/>
      <c r="YI2998" s="160"/>
      <c r="YJ2998" s="562"/>
      <c r="YK2998" s="125"/>
      <c r="YL2998" s="470"/>
      <c r="YM2998" s="449"/>
      <c r="YN2998" s="462"/>
      <c r="YO2998" s="299"/>
      <c r="YP2998" s="81"/>
      <c r="YQ2998" s="160"/>
      <c r="YR2998" s="562"/>
      <c r="YS2998" s="125"/>
      <c r="YT2998" s="470"/>
      <c r="YU2998" s="449"/>
      <c r="YV2998" s="462"/>
      <c r="YW2998" s="299"/>
      <c r="YX2998" s="81"/>
      <c r="YY2998" s="160"/>
      <c r="YZ2998" s="562"/>
      <c r="ZA2998" s="125"/>
      <c r="ZB2998" s="470"/>
      <c r="ZC2998" s="449"/>
      <c r="ZD2998" s="462"/>
      <c r="ZE2998" s="299"/>
      <c r="ZF2998" s="81"/>
      <c r="ZG2998" s="160"/>
      <c r="ZH2998" s="562"/>
      <c r="ZI2998" s="125"/>
      <c r="ZJ2998" s="470"/>
      <c r="ZK2998" s="449"/>
      <c r="ZL2998" s="462"/>
      <c r="ZM2998" s="299"/>
      <c r="ZN2998" s="81"/>
      <c r="ZO2998" s="160"/>
      <c r="ZP2998" s="562"/>
      <c r="ZQ2998" s="125"/>
      <c r="ZR2998" s="470"/>
      <c r="ZS2998" s="449"/>
      <c r="ZT2998" s="462"/>
      <c r="ZU2998" s="299"/>
      <c r="ZV2998" s="81"/>
      <c r="ZW2998" s="160"/>
      <c r="ZX2998" s="562"/>
      <c r="ZY2998" s="125"/>
      <c r="ZZ2998" s="470"/>
      <c r="AAA2998" s="449"/>
      <c r="AAB2998" s="462"/>
      <c r="AAC2998" s="299"/>
      <c r="AAD2998" s="81"/>
      <c r="AAE2998" s="160"/>
      <c r="AAF2998" s="562"/>
      <c r="AAG2998" s="125"/>
      <c r="AAH2998" s="470"/>
      <c r="AAI2998" s="449"/>
      <c r="AAJ2998" s="462"/>
      <c r="AAK2998" s="299"/>
      <c r="AAL2998" s="81"/>
      <c r="AAM2998" s="160"/>
      <c r="AAN2998" s="562"/>
      <c r="AAO2998" s="125"/>
      <c r="AAP2998" s="470"/>
      <c r="AAQ2998" s="449"/>
      <c r="AAR2998" s="462"/>
      <c r="AAS2998" s="299"/>
      <c r="AAT2998" s="81"/>
      <c r="AAU2998" s="160"/>
      <c r="AAV2998" s="562"/>
      <c r="AAW2998" s="125"/>
      <c r="AAX2998" s="470"/>
      <c r="AAY2998" s="449"/>
      <c r="AAZ2998" s="462"/>
      <c r="ABA2998" s="299"/>
      <c r="ABB2998" s="81"/>
      <c r="ABC2998" s="160"/>
      <c r="ABD2998" s="562"/>
      <c r="ABE2998" s="125"/>
      <c r="ABF2998" s="470"/>
      <c r="ABG2998" s="449"/>
      <c r="ABH2998" s="462"/>
      <c r="ABI2998" s="299"/>
      <c r="ABJ2998" s="81"/>
      <c r="ABK2998" s="160"/>
      <c r="ABL2998" s="562"/>
      <c r="ABM2998" s="125"/>
      <c r="ABN2998" s="470"/>
      <c r="ABO2998" s="449"/>
      <c r="ABP2998" s="462"/>
      <c r="ABQ2998" s="299"/>
      <c r="ABR2998" s="81"/>
      <c r="ABS2998" s="160"/>
      <c r="ABT2998" s="562"/>
      <c r="ABU2998" s="125"/>
      <c r="ABV2998" s="470"/>
      <c r="ABW2998" s="449"/>
      <c r="ABX2998" s="462"/>
      <c r="ABY2998" s="299"/>
      <c r="ABZ2998" s="81"/>
      <c r="ACA2998" s="160"/>
      <c r="ACB2998" s="562"/>
      <c r="ACC2998" s="125"/>
      <c r="ACD2998" s="470"/>
      <c r="ACE2998" s="449"/>
      <c r="ACF2998" s="462"/>
      <c r="ACG2998" s="299"/>
      <c r="ACH2998" s="81"/>
      <c r="ACI2998" s="160"/>
      <c r="ACJ2998" s="562"/>
      <c r="ACK2998" s="125"/>
      <c r="ACL2998" s="470"/>
      <c r="ACM2998" s="449"/>
      <c r="ACN2998" s="462"/>
      <c r="ACO2998" s="299"/>
      <c r="ACP2998" s="81"/>
      <c r="ACQ2998" s="160"/>
      <c r="ACR2998" s="562"/>
      <c r="ACS2998" s="125"/>
      <c r="ACT2998" s="470"/>
      <c r="ACU2998" s="449"/>
      <c r="ACV2998" s="462"/>
      <c r="ACW2998" s="299"/>
      <c r="ACX2998" s="81"/>
      <c r="ACY2998" s="160"/>
      <c r="ACZ2998" s="562"/>
      <c r="ADA2998" s="125"/>
      <c r="ADB2998" s="470"/>
      <c r="ADC2998" s="449"/>
      <c r="ADD2998" s="462"/>
      <c r="ADE2998" s="299"/>
      <c r="ADF2998" s="81"/>
      <c r="ADG2998" s="160"/>
      <c r="ADH2998" s="562"/>
      <c r="ADI2998" s="125"/>
      <c r="ADJ2998" s="470"/>
      <c r="ADK2998" s="449"/>
      <c r="ADL2998" s="462"/>
      <c r="ADM2998" s="299"/>
      <c r="ADN2998" s="81"/>
      <c r="ADO2998" s="160"/>
      <c r="ADP2998" s="562"/>
      <c r="ADQ2998" s="125"/>
      <c r="ADR2998" s="470"/>
      <c r="ADS2998" s="449"/>
      <c r="ADT2998" s="462"/>
      <c r="ADU2998" s="299"/>
      <c r="ADV2998" s="81"/>
      <c r="ADW2998" s="160"/>
      <c r="ADX2998" s="562"/>
      <c r="ADY2998" s="125"/>
      <c r="ADZ2998" s="470"/>
      <c r="AEA2998" s="449"/>
      <c r="AEB2998" s="462"/>
      <c r="AEC2998" s="299"/>
      <c r="AED2998" s="81"/>
      <c r="AEE2998" s="160"/>
      <c r="AEF2998" s="562"/>
      <c r="AEG2998" s="125"/>
      <c r="AEH2998" s="470"/>
      <c r="AEI2998" s="449"/>
      <c r="AEJ2998" s="462"/>
      <c r="AEK2998" s="299"/>
      <c r="AEL2998" s="81"/>
      <c r="AEM2998" s="160"/>
      <c r="AEN2998" s="562"/>
      <c r="AEO2998" s="125"/>
      <c r="AEP2998" s="470"/>
      <c r="AEQ2998" s="449"/>
      <c r="AER2998" s="462"/>
      <c r="AES2998" s="299"/>
      <c r="AET2998" s="81"/>
      <c r="AEU2998" s="160"/>
      <c r="AEV2998" s="562"/>
      <c r="AEW2998" s="125"/>
      <c r="AEX2998" s="470"/>
      <c r="AEY2998" s="449"/>
      <c r="AEZ2998" s="462"/>
      <c r="AFA2998" s="299"/>
      <c r="AFB2998" s="81"/>
      <c r="AFC2998" s="160"/>
      <c r="AFD2998" s="562"/>
      <c r="AFE2998" s="125"/>
      <c r="AFF2998" s="470"/>
      <c r="AFG2998" s="449"/>
      <c r="AFH2998" s="462"/>
      <c r="AFI2998" s="299"/>
      <c r="AFJ2998" s="81"/>
      <c r="AFK2998" s="160"/>
      <c r="AFL2998" s="562"/>
      <c r="AFM2998" s="125"/>
      <c r="AFN2998" s="470"/>
      <c r="AFO2998" s="449"/>
      <c r="AFP2998" s="462"/>
      <c r="AFQ2998" s="299"/>
      <c r="AFR2998" s="81"/>
      <c r="AFS2998" s="160"/>
      <c r="AFT2998" s="562"/>
      <c r="AFU2998" s="125"/>
      <c r="AFV2998" s="470"/>
      <c r="AFW2998" s="449"/>
      <c r="AFX2998" s="462"/>
      <c r="AFY2998" s="299"/>
      <c r="AFZ2998" s="81"/>
      <c r="AGA2998" s="160"/>
      <c r="AGB2998" s="562"/>
      <c r="AGC2998" s="125"/>
      <c r="AGD2998" s="470"/>
      <c r="AGE2998" s="449"/>
      <c r="AGF2998" s="462"/>
      <c r="AGG2998" s="299"/>
      <c r="AGH2998" s="81"/>
      <c r="AGI2998" s="160"/>
      <c r="AGJ2998" s="562"/>
      <c r="AGK2998" s="125"/>
      <c r="AGL2998" s="470"/>
      <c r="AGM2998" s="449"/>
      <c r="AGN2998" s="462"/>
      <c r="AGO2998" s="299"/>
      <c r="AGP2998" s="81"/>
      <c r="AGQ2998" s="160"/>
      <c r="AGR2998" s="562"/>
      <c r="AGS2998" s="125"/>
      <c r="AGT2998" s="470"/>
      <c r="AGU2998" s="449"/>
      <c r="AGV2998" s="462"/>
      <c r="AGW2998" s="299"/>
      <c r="AGX2998" s="81"/>
      <c r="AGY2998" s="160"/>
      <c r="AGZ2998" s="562"/>
      <c r="AHA2998" s="125"/>
      <c r="AHB2998" s="470"/>
      <c r="AHC2998" s="449"/>
      <c r="AHD2998" s="462"/>
      <c r="AHE2998" s="299"/>
      <c r="AHF2998" s="81"/>
      <c r="AHG2998" s="160"/>
      <c r="AHH2998" s="562"/>
      <c r="AHI2998" s="125"/>
      <c r="AHJ2998" s="470"/>
      <c r="AHK2998" s="449"/>
      <c r="AHL2998" s="462"/>
      <c r="AHM2998" s="299"/>
      <c r="AHN2998" s="81"/>
      <c r="AHO2998" s="160"/>
      <c r="AHP2998" s="562"/>
      <c r="AHQ2998" s="125"/>
      <c r="AHR2998" s="470"/>
      <c r="AHS2998" s="449"/>
      <c r="AHT2998" s="462"/>
      <c r="AHU2998" s="299"/>
      <c r="AHV2998" s="81"/>
      <c r="AHW2998" s="160"/>
      <c r="AHX2998" s="562"/>
      <c r="AHY2998" s="125"/>
      <c r="AHZ2998" s="470"/>
      <c r="AIA2998" s="449"/>
      <c r="AIB2998" s="462"/>
      <c r="AIC2998" s="299"/>
      <c r="AID2998" s="81"/>
      <c r="AIE2998" s="160"/>
      <c r="AIF2998" s="562"/>
      <c r="AIG2998" s="125"/>
      <c r="AIH2998" s="470"/>
      <c r="AII2998" s="449"/>
      <c r="AIJ2998" s="462"/>
      <c r="AIK2998" s="299"/>
      <c r="AIL2998" s="81"/>
      <c r="AIM2998" s="160"/>
      <c r="AIN2998" s="562"/>
      <c r="AIO2998" s="125"/>
      <c r="AIP2998" s="470"/>
      <c r="AIQ2998" s="449"/>
      <c r="AIR2998" s="462"/>
      <c r="AIS2998" s="299"/>
      <c r="AIT2998" s="81"/>
      <c r="AIU2998" s="160"/>
      <c r="AIV2998" s="562"/>
      <c r="AIW2998" s="125"/>
      <c r="AIX2998" s="470"/>
      <c r="AIY2998" s="449"/>
      <c r="AIZ2998" s="462"/>
      <c r="AJA2998" s="299"/>
      <c r="AJB2998" s="81"/>
      <c r="AJC2998" s="160"/>
      <c r="AJD2998" s="562"/>
      <c r="AJE2998" s="125"/>
      <c r="AJF2998" s="470"/>
      <c r="AJG2998" s="449"/>
      <c r="AJH2998" s="462"/>
      <c r="AJI2998" s="299"/>
      <c r="AJJ2998" s="81"/>
      <c r="AJK2998" s="160"/>
      <c r="AJL2998" s="562"/>
      <c r="AJM2998" s="125"/>
      <c r="AJN2998" s="470"/>
      <c r="AJO2998" s="449"/>
      <c r="AJP2998" s="462"/>
      <c r="AJQ2998" s="299"/>
      <c r="AJR2998" s="81"/>
      <c r="AJS2998" s="160"/>
      <c r="AJT2998" s="562"/>
      <c r="AJU2998" s="125"/>
      <c r="AJV2998" s="470"/>
      <c r="AJW2998" s="449"/>
      <c r="AJX2998" s="462"/>
      <c r="AJY2998" s="299"/>
      <c r="AJZ2998" s="81"/>
      <c r="AKA2998" s="160"/>
      <c r="AKB2998" s="562"/>
      <c r="AKC2998" s="125"/>
      <c r="AKD2998" s="470"/>
      <c r="AKE2998" s="449"/>
      <c r="AKF2998" s="462"/>
      <c r="AKG2998" s="299"/>
      <c r="AKH2998" s="81"/>
      <c r="AKI2998" s="160"/>
      <c r="AKJ2998" s="562"/>
      <c r="AKK2998" s="125"/>
      <c r="AKL2998" s="470"/>
      <c r="AKM2998" s="449"/>
      <c r="AKN2998" s="462"/>
      <c r="AKO2998" s="299"/>
      <c r="AKP2998" s="81"/>
      <c r="AKQ2998" s="160"/>
      <c r="AKR2998" s="562"/>
      <c r="AKS2998" s="125"/>
      <c r="AKT2998" s="470"/>
      <c r="AKU2998" s="449"/>
      <c r="AKV2998" s="462"/>
      <c r="AKW2998" s="299"/>
      <c r="AKX2998" s="81"/>
      <c r="AKY2998" s="160"/>
      <c r="AKZ2998" s="562"/>
      <c r="ALA2998" s="125"/>
      <c r="ALB2998" s="470"/>
      <c r="ALC2998" s="449"/>
      <c r="ALD2998" s="462"/>
      <c r="ALE2998" s="299"/>
      <c r="ALF2998" s="81"/>
      <c r="ALG2998" s="160"/>
      <c r="ALH2998" s="562"/>
      <c r="ALI2998" s="125"/>
      <c r="ALJ2998" s="470"/>
      <c r="ALK2998" s="449"/>
      <c r="ALL2998" s="462"/>
      <c r="ALM2998" s="299"/>
      <c r="ALN2998" s="81"/>
      <c r="ALO2998" s="160"/>
      <c r="ALP2998" s="562"/>
      <c r="ALQ2998" s="125"/>
      <c r="ALR2998" s="470"/>
      <c r="ALS2998" s="449"/>
      <c r="ALT2998" s="462"/>
      <c r="ALU2998" s="299"/>
      <c r="ALV2998" s="81"/>
      <c r="ALW2998" s="160"/>
      <c r="ALX2998" s="562"/>
      <c r="ALY2998" s="125"/>
      <c r="ALZ2998" s="470"/>
      <c r="AMA2998" s="449"/>
      <c r="AMB2998" s="462"/>
      <c r="AMC2998" s="299"/>
      <c r="AMD2998" s="81"/>
      <c r="AME2998" s="160"/>
      <c r="AMF2998" s="562"/>
      <c r="AMG2998" s="125"/>
      <c r="AMH2998" s="470"/>
      <c r="AMI2998" s="449"/>
      <c r="AMJ2998" s="462"/>
      <c r="AMK2998" s="299"/>
      <c r="AML2998" s="81"/>
      <c r="AMM2998" s="160"/>
      <c r="AMN2998" s="562"/>
      <c r="AMO2998" s="125"/>
      <c r="AMP2998" s="470"/>
      <c r="AMQ2998" s="449"/>
      <c r="AMR2998" s="462"/>
      <c r="AMS2998" s="299"/>
      <c r="AMT2998" s="81"/>
      <c r="AMU2998" s="160"/>
      <c r="AMV2998" s="562"/>
      <c r="AMW2998" s="125"/>
      <c r="AMX2998" s="470"/>
      <c r="AMY2998" s="449"/>
      <c r="AMZ2998" s="462"/>
      <c r="ANA2998" s="299"/>
      <c r="ANB2998" s="81"/>
      <c r="ANC2998" s="160"/>
      <c r="AND2998" s="562"/>
      <c r="ANE2998" s="125"/>
      <c r="ANF2998" s="470"/>
      <c r="ANG2998" s="449"/>
      <c r="ANH2998" s="462"/>
      <c r="ANI2998" s="299"/>
      <c r="ANJ2998" s="81"/>
      <c r="ANK2998" s="160"/>
      <c r="ANL2998" s="562"/>
      <c r="ANM2998" s="125"/>
      <c r="ANN2998" s="470"/>
      <c r="ANO2998" s="449"/>
      <c r="ANP2998" s="462"/>
      <c r="ANQ2998" s="299"/>
      <c r="ANR2998" s="81"/>
      <c r="ANS2998" s="160"/>
      <c r="ANT2998" s="562"/>
      <c r="ANU2998" s="125"/>
      <c r="ANV2998" s="470"/>
      <c r="ANW2998" s="449"/>
      <c r="ANX2998" s="462"/>
      <c r="ANY2998" s="299"/>
      <c r="ANZ2998" s="81"/>
      <c r="AOA2998" s="160"/>
      <c r="AOB2998" s="562"/>
      <c r="AOC2998" s="125"/>
      <c r="AOD2998" s="470"/>
      <c r="AOE2998" s="449"/>
      <c r="AOF2998" s="462"/>
      <c r="AOG2998" s="299"/>
      <c r="AOH2998" s="81"/>
      <c r="AOI2998" s="160"/>
      <c r="AOJ2998" s="562"/>
      <c r="AOK2998" s="125"/>
      <c r="AOL2998" s="470"/>
      <c r="AOM2998" s="449"/>
      <c r="AON2998" s="462"/>
      <c r="AOO2998" s="299"/>
      <c r="AOP2998" s="81"/>
      <c r="AOQ2998" s="160"/>
      <c r="AOR2998" s="562"/>
      <c r="AOS2998" s="125"/>
      <c r="AOT2998" s="470"/>
      <c r="AOU2998" s="449"/>
      <c r="AOV2998" s="462"/>
      <c r="AOW2998" s="299"/>
      <c r="AOX2998" s="81"/>
      <c r="AOY2998" s="160"/>
      <c r="AOZ2998" s="562"/>
      <c r="APA2998" s="125"/>
      <c r="APB2998" s="470"/>
      <c r="APC2998" s="449"/>
      <c r="APD2998" s="462"/>
      <c r="APE2998" s="299"/>
      <c r="APF2998" s="81"/>
      <c r="APG2998" s="160"/>
      <c r="APH2998" s="562"/>
      <c r="API2998" s="125"/>
      <c r="APJ2998" s="470"/>
      <c r="APK2998" s="449"/>
      <c r="APL2998" s="462"/>
      <c r="APM2998" s="299"/>
      <c r="APN2998" s="81"/>
      <c r="APO2998" s="160"/>
      <c r="APP2998" s="562"/>
      <c r="APQ2998" s="125"/>
      <c r="APR2998" s="470"/>
      <c r="APS2998" s="449"/>
      <c r="APT2998" s="462"/>
      <c r="APU2998" s="299"/>
      <c r="APV2998" s="81"/>
      <c r="APW2998" s="160"/>
      <c r="APX2998" s="562"/>
      <c r="APY2998" s="125"/>
      <c r="APZ2998" s="470"/>
      <c r="AQA2998" s="449"/>
      <c r="AQB2998" s="462"/>
      <c r="AQC2998" s="299"/>
      <c r="AQD2998" s="81"/>
      <c r="AQE2998" s="160"/>
      <c r="AQF2998" s="562"/>
      <c r="AQG2998" s="125"/>
      <c r="AQH2998" s="470"/>
      <c r="AQI2998" s="449"/>
      <c r="AQJ2998" s="462"/>
      <c r="AQK2998" s="299"/>
      <c r="AQL2998" s="81"/>
      <c r="AQM2998" s="160"/>
      <c r="AQN2998" s="562"/>
      <c r="AQO2998" s="125"/>
      <c r="AQP2998" s="470"/>
      <c r="AQQ2998" s="449"/>
      <c r="AQR2998" s="462"/>
      <c r="AQS2998" s="299"/>
      <c r="AQT2998" s="81"/>
      <c r="AQU2998" s="160"/>
      <c r="AQV2998" s="562"/>
      <c r="AQW2998" s="125"/>
      <c r="AQX2998" s="470"/>
      <c r="AQY2998" s="449"/>
      <c r="AQZ2998" s="462"/>
      <c r="ARA2998" s="299"/>
      <c r="ARB2998" s="81"/>
      <c r="ARC2998" s="160"/>
      <c r="ARD2998" s="562"/>
      <c r="ARE2998" s="125"/>
      <c r="ARF2998" s="470"/>
      <c r="ARG2998" s="449"/>
      <c r="ARH2998" s="462"/>
      <c r="ARI2998" s="299"/>
      <c r="ARJ2998" s="81"/>
      <c r="ARK2998" s="160"/>
      <c r="ARL2998" s="562"/>
      <c r="ARM2998" s="125"/>
      <c r="ARN2998" s="470"/>
      <c r="ARO2998" s="449"/>
      <c r="ARP2998" s="462"/>
      <c r="ARQ2998" s="299"/>
      <c r="ARR2998" s="81"/>
      <c r="ARS2998" s="160"/>
      <c r="ART2998" s="562"/>
      <c r="ARU2998" s="125"/>
      <c r="ARV2998" s="470"/>
      <c r="ARW2998" s="449"/>
      <c r="ARX2998" s="462"/>
      <c r="ARY2998" s="299"/>
      <c r="ARZ2998" s="81"/>
      <c r="ASA2998" s="160"/>
      <c r="ASB2998" s="562"/>
      <c r="ASC2998" s="125"/>
      <c r="ASD2998" s="470"/>
      <c r="ASE2998" s="449"/>
      <c r="ASF2998" s="462"/>
      <c r="ASG2998" s="299"/>
      <c r="ASH2998" s="81"/>
      <c r="ASI2998" s="160"/>
      <c r="ASJ2998" s="562"/>
      <c r="ASK2998" s="125"/>
      <c r="ASL2998" s="470"/>
      <c r="ASM2998" s="449"/>
      <c r="ASN2998" s="462"/>
      <c r="ASO2998" s="299"/>
      <c r="ASP2998" s="81"/>
      <c r="ASQ2998" s="160"/>
      <c r="ASR2998" s="562"/>
      <c r="ASS2998" s="125"/>
      <c r="AST2998" s="470"/>
      <c r="ASU2998" s="449"/>
      <c r="ASV2998" s="462"/>
      <c r="ASW2998" s="299"/>
      <c r="ASX2998" s="81"/>
      <c r="ASY2998" s="160"/>
      <c r="ASZ2998" s="562"/>
      <c r="ATA2998" s="125"/>
      <c r="ATB2998" s="470"/>
      <c r="ATC2998" s="449"/>
      <c r="ATD2998" s="462"/>
      <c r="ATE2998" s="299"/>
      <c r="ATF2998" s="81"/>
      <c r="ATG2998" s="160"/>
      <c r="ATH2998" s="562"/>
      <c r="ATI2998" s="125"/>
      <c r="ATJ2998" s="470"/>
      <c r="ATK2998" s="449"/>
      <c r="ATL2998" s="462"/>
      <c r="ATM2998" s="299"/>
      <c r="ATN2998" s="81"/>
      <c r="ATO2998" s="160"/>
      <c r="ATP2998" s="562"/>
      <c r="ATQ2998" s="125"/>
      <c r="ATR2998" s="470"/>
      <c r="ATS2998" s="449"/>
      <c r="ATT2998" s="462"/>
      <c r="ATU2998" s="299"/>
      <c r="ATV2998" s="81"/>
      <c r="ATW2998" s="160"/>
      <c r="ATX2998" s="562"/>
      <c r="ATY2998" s="125"/>
      <c r="ATZ2998" s="470"/>
      <c r="AUA2998" s="449"/>
      <c r="AUB2998" s="462"/>
      <c r="AUC2998" s="299"/>
      <c r="AUD2998" s="81"/>
      <c r="AUE2998" s="160"/>
      <c r="AUF2998" s="562"/>
      <c r="AUG2998" s="125"/>
      <c r="AUH2998" s="470"/>
      <c r="AUI2998" s="449"/>
      <c r="AUJ2998" s="462"/>
      <c r="AUK2998" s="299"/>
      <c r="AUL2998" s="81"/>
      <c r="AUM2998" s="160"/>
      <c r="AUN2998" s="562"/>
      <c r="AUO2998" s="125"/>
      <c r="AUP2998" s="470"/>
      <c r="AUQ2998" s="449"/>
      <c r="AUR2998" s="462"/>
      <c r="AUS2998" s="299"/>
      <c r="AUT2998" s="81"/>
      <c r="AUU2998" s="160"/>
      <c r="AUV2998" s="562"/>
      <c r="AUW2998" s="125"/>
      <c r="AUX2998" s="470"/>
      <c r="AUY2998" s="449"/>
      <c r="AUZ2998" s="462"/>
      <c r="AVA2998" s="299"/>
      <c r="AVB2998" s="81"/>
      <c r="AVC2998" s="160"/>
      <c r="AVD2998" s="562"/>
      <c r="AVE2998" s="125"/>
      <c r="AVF2998" s="470"/>
      <c r="AVG2998" s="449"/>
      <c r="AVH2998" s="462"/>
      <c r="AVI2998" s="299"/>
      <c r="AVJ2998" s="81"/>
      <c r="AVK2998" s="160"/>
      <c r="AVL2998" s="562"/>
      <c r="AVM2998" s="125"/>
      <c r="AVN2998" s="470"/>
      <c r="AVO2998" s="449"/>
      <c r="AVP2998" s="462"/>
      <c r="AVQ2998" s="299"/>
      <c r="AVR2998" s="81"/>
      <c r="AVS2998" s="160"/>
      <c r="AVT2998" s="562"/>
      <c r="AVU2998" s="125"/>
      <c r="AVV2998" s="470"/>
      <c r="AVW2998" s="449"/>
      <c r="AVX2998" s="462"/>
      <c r="AVY2998" s="299"/>
      <c r="AVZ2998" s="81"/>
      <c r="AWA2998" s="160"/>
      <c r="AWB2998" s="562"/>
      <c r="AWC2998" s="125"/>
      <c r="AWD2998" s="470"/>
      <c r="AWE2998" s="449"/>
      <c r="AWF2998" s="462"/>
      <c r="AWG2998" s="299"/>
      <c r="AWH2998" s="81"/>
      <c r="AWI2998" s="160"/>
      <c r="AWJ2998" s="562"/>
      <c r="AWK2998" s="125"/>
      <c r="AWL2998" s="470"/>
      <c r="AWM2998" s="449"/>
      <c r="AWN2998" s="462"/>
      <c r="AWO2998" s="299"/>
      <c r="AWP2998" s="81"/>
      <c r="AWQ2998" s="160"/>
      <c r="AWR2998" s="562"/>
      <c r="AWS2998" s="125"/>
      <c r="AWT2998" s="470"/>
      <c r="AWU2998" s="449"/>
      <c r="AWV2998" s="462"/>
      <c r="AWW2998" s="299"/>
      <c r="AWX2998" s="81"/>
      <c r="AWY2998" s="160"/>
      <c r="AWZ2998" s="562"/>
      <c r="AXA2998" s="125"/>
      <c r="AXB2998" s="470"/>
      <c r="AXC2998" s="449"/>
      <c r="AXD2998" s="462"/>
      <c r="AXE2998" s="299"/>
      <c r="AXF2998" s="81"/>
      <c r="AXG2998" s="160"/>
      <c r="AXH2998" s="562"/>
      <c r="AXI2998" s="125"/>
      <c r="AXJ2998" s="470"/>
      <c r="AXK2998" s="449"/>
      <c r="AXL2998" s="462"/>
      <c r="AXM2998" s="299"/>
      <c r="AXN2998" s="81"/>
      <c r="AXO2998" s="160"/>
      <c r="AXP2998" s="562"/>
      <c r="AXQ2998" s="125"/>
      <c r="AXR2998" s="470"/>
      <c r="AXS2998" s="449"/>
      <c r="AXT2998" s="462"/>
      <c r="AXU2998" s="299"/>
      <c r="AXV2998" s="81"/>
      <c r="AXW2998" s="160"/>
      <c r="AXX2998" s="562"/>
      <c r="AXY2998" s="125"/>
      <c r="AXZ2998" s="470"/>
      <c r="AYA2998" s="449"/>
      <c r="AYB2998" s="462"/>
      <c r="AYC2998" s="299"/>
      <c r="AYD2998" s="81"/>
      <c r="AYE2998" s="160"/>
      <c r="AYF2998" s="562"/>
      <c r="AYG2998" s="125"/>
      <c r="AYH2998" s="470"/>
      <c r="AYI2998" s="449"/>
      <c r="AYJ2998" s="462"/>
      <c r="AYK2998" s="299"/>
      <c r="AYL2998" s="81"/>
      <c r="AYM2998" s="160"/>
      <c r="AYN2998" s="562"/>
      <c r="AYO2998" s="125"/>
      <c r="AYP2998" s="470"/>
      <c r="AYQ2998" s="449"/>
      <c r="AYR2998" s="462"/>
      <c r="AYS2998" s="299"/>
      <c r="AYT2998" s="81"/>
      <c r="AYU2998" s="160"/>
      <c r="AYV2998" s="562"/>
      <c r="AYW2998" s="125"/>
      <c r="AYX2998" s="470"/>
      <c r="AYY2998" s="449"/>
      <c r="AYZ2998" s="462"/>
      <c r="AZA2998" s="299"/>
      <c r="AZB2998" s="81"/>
      <c r="AZC2998" s="160"/>
      <c r="AZD2998" s="562"/>
      <c r="AZE2998" s="125"/>
      <c r="AZF2998" s="470"/>
      <c r="AZG2998" s="449"/>
      <c r="AZH2998" s="462"/>
      <c r="AZI2998" s="299"/>
      <c r="AZJ2998" s="81"/>
      <c r="AZK2998" s="160"/>
      <c r="AZL2998" s="562"/>
      <c r="AZM2998" s="125"/>
      <c r="AZN2998" s="470"/>
      <c r="AZO2998" s="449"/>
      <c r="AZP2998" s="462"/>
      <c r="AZQ2998" s="299"/>
      <c r="AZR2998" s="81"/>
      <c r="AZS2998" s="160"/>
      <c r="AZT2998" s="562"/>
      <c r="AZU2998" s="125"/>
      <c r="AZV2998" s="470"/>
      <c r="AZW2998" s="449"/>
      <c r="AZX2998" s="462"/>
      <c r="AZY2998" s="299"/>
      <c r="AZZ2998" s="81"/>
      <c r="BAA2998" s="160"/>
      <c r="BAB2998" s="562"/>
      <c r="BAC2998" s="125"/>
      <c r="BAD2998" s="470"/>
      <c r="BAE2998" s="449"/>
      <c r="BAF2998" s="462"/>
      <c r="BAG2998" s="299"/>
      <c r="BAH2998" s="81"/>
      <c r="BAI2998" s="160"/>
      <c r="BAJ2998" s="562"/>
      <c r="BAK2998" s="125"/>
      <c r="BAL2998" s="470"/>
      <c r="BAM2998" s="449"/>
      <c r="BAN2998" s="462"/>
      <c r="BAO2998" s="299"/>
      <c r="BAP2998" s="81"/>
      <c r="BAQ2998" s="160"/>
      <c r="BAR2998" s="562"/>
      <c r="BAS2998" s="125"/>
      <c r="BAT2998" s="470"/>
      <c r="BAU2998" s="449"/>
      <c r="BAV2998" s="462"/>
      <c r="BAW2998" s="299"/>
      <c r="BAX2998" s="81"/>
      <c r="BAY2998" s="160"/>
      <c r="BAZ2998" s="562"/>
      <c r="BBA2998" s="125"/>
      <c r="BBB2998" s="470"/>
      <c r="BBC2998" s="449"/>
      <c r="BBD2998" s="462"/>
      <c r="BBE2998" s="299"/>
      <c r="BBF2998" s="81"/>
      <c r="BBG2998" s="160"/>
      <c r="BBH2998" s="562"/>
      <c r="BBI2998" s="125"/>
      <c r="BBJ2998" s="470"/>
      <c r="BBK2998" s="449"/>
      <c r="BBL2998" s="462"/>
      <c r="BBM2998" s="299"/>
      <c r="BBN2998" s="81"/>
      <c r="BBO2998" s="160"/>
      <c r="BBP2998" s="562"/>
      <c r="BBQ2998" s="125"/>
      <c r="BBR2998" s="470"/>
      <c r="BBS2998" s="449"/>
      <c r="BBT2998" s="462"/>
      <c r="BBU2998" s="299"/>
      <c r="BBV2998" s="81"/>
      <c r="BBW2998" s="160"/>
      <c r="BBX2998" s="562"/>
      <c r="BBY2998" s="125"/>
      <c r="BBZ2998" s="470"/>
      <c r="BCA2998" s="449"/>
      <c r="BCB2998" s="462"/>
      <c r="BCC2998" s="299"/>
      <c r="BCD2998" s="81"/>
      <c r="BCE2998" s="160"/>
      <c r="BCF2998" s="562"/>
      <c r="BCG2998" s="125"/>
      <c r="BCH2998" s="470"/>
      <c r="BCI2998" s="449"/>
      <c r="BCJ2998" s="462"/>
      <c r="BCK2998" s="299"/>
      <c r="BCL2998" s="81"/>
      <c r="BCM2998" s="160"/>
      <c r="BCN2998" s="562"/>
      <c r="BCO2998" s="125"/>
      <c r="BCP2998" s="470"/>
      <c r="BCQ2998" s="449"/>
      <c r="BCR2998" s="462"/>
      <c r="BCS2998" s="299"/>
      <c r="BCT2998" s="81"/>
      <c r="BCU2998" s="160"/>
      <c r="BCV2998" s="562"/>
      <c r="BCW2998" s="125"/>
      <c r="BCX2998" s="470"/>
      <c r="BCY2998" s="449"/>
      <c r="BCZ2998" s="462"/>
      <c r="BDA2998" s="299"/>
      <c r="BDB2998" s="81"/>
      <c r="BDC2998" s="160"/>
      <c r="BDD2998" s="562"/>
      <c r="BDE2998" s="125"/>
      <c r="BDF2998" s="470"/>
      <c r="BDG2998" s="449"/>
      <c r="BDH2998" s="462"/>
      <c r="BDI2998" s="299"/>
      <c r="BDJ2998" s="81"/>
      <c r="BDK2998" s="160"/>
      <c r="BDL2998" s="562"/>
      <c r="BDM2998" s="125"/>
      <c r="BDN2998" s="470"/>
      <c r="BDO2998" s="449"/>
      <c r="BDP2998" s="462"/>
      <c r="BDQ2998" s="299"/>
      <c r="BDR2998" s="81"/>
      <c r="BDS2998" s="160"/>
      <c r="BDT2998" s="562"/>
      <c r="BDU2998" s="125"/>
      <c r="BDV2998" s="470"/>
      <c r="BDW2998" s="449"/>
      <c r="BDX2998" s="462"/>
      <c r="BDY2998" s="299"/>
      <c r="BDZ2998" s="81"/>
      <c r="BEA2998" s="160"/>
      <c r="BEB2998" s="562"/>
      <c r="BEC2998" s="125"/>
      <c r="BED2998" s="470"/>
      <c r="BEE2998" s="449"/>
      <c r="BEF2998" s="462"/>
      <c r="BEG2998" s="299"/>
      <c r="BEH2998" s="81"/>
      <c r="BEI2998" s="160"/>
      <c r="BEJ2998" s="562"/>
      <c r="BEK2998" s="125"/>
      <c r="BEL2998" s="470"/>
      <c r="BEM2998" s="449"/>
      <c r="BEN2998" s="462"/>
      <c r="BEO2998" s="299"/>
      <c r="BEP2998" s="81"/>
      <c r="BEQ2998" s="160"/>
      <c r="BER2998" s="562"/>
      <c r="BES2998" s="125"/>
      <c r="BET2998" s="470"/>
      <c r="BEU2998" s="449"/>
      <c r="BEV2998" s="462"/>
      <c r="BEW2998" s="299"/>
      <c r="BEX2998" s="81"/>
      <c r="BEY2998" s="160"/>
      <c r="BEZ2998" s="562"/>
      <c r="BFA2998" s="125"/>
      <c r="BFB2998" s="470"/>
      <c r="BFC2998" s="449"/>
      <c r="BFD2998" s="462"/>
      <c r="BFE2998" s="299"/>
      <c r="BFF2998" s="81"/>
      <c r="BFG2998" s="160"/>
      <c r="BFH2998" s="562"/>
      <c r="BFI2998" s="125"/>
      <c r="BFJ2998" s="470"/>
      <c r="BFK2998" s="449"/>
      <c r="BFL2998" s="462"/>
      <c r="BFM2998" s="299"/>
      <c r="BFN2998" s="81"/>
      <c r="BFO2998" s="160"/>
      <c r="BFP2998" s="562"/>
      <c r="BFQ2998" s="125"/>
      <c r="BFR2998" s="470"/>
      <c r="BFS2998" s="449"/>
      <c r="BFT2998" s="462"/>
      <c r="BFU2998" s="299"/>
      <c r="BFV2998" s="81"/>
      <c r="BFW2998" s="160"/>
      <c r="BFX2998" s="562"/>
      <c r="BFY2998" s="125"/>
      <c r="BFZ2998" s="470"/>
      <c r="BGA2998" s="449"/>
      <c r="BGB2998" s="462"/>
      <c r="BGC2998" s="299"/>
      <c r="BGD2998" s="81"/>
      <c r="BGE2998" s="160"/>
      <c r="BGF2998" s="562"/>
      <c r="BGG2998" s="125"/>
      <c r="BGH2998" s="470"/>
      <c r="BGI2998" s="449"/>
      <c r="BGJ2998" s="462"/>
      <c r="BGK2998" s="299"/>
      <c r="BGL2998" s="81"/>
      <c r="BGM2998" s="160"/>
      <c r="BGN2998" s="562"/>
      <c r="BGO2998" s="125"/>
      <c r="BGP2998" s="470"/>
      <c r="BGQ2998" s="449"/>
      <c r="BGR2998" s="462"/>
      <c r="BGS2998" s="299"/>
      <c r="BGT2998" s="81"/>
      <c r="BGU2998" s="160"/>
      <c r="BGV2998" s="562"/>
      <c r="BGW2998" s="125"/>
      <c r="BGX2998" s="470"/>
      <c r="BGY2998" s="449"/>
      <c r="BGZ2998" s="462"/>
      <c r="BHA2998" s="299"/>
      <c r="BHB2998" s="81"/>
      <c r="BHC2998" s="160"/>
      <c r="BHD2998" s="562"/>
      <c r="BHE2998" s="125"/>
      <c r="BHF2998" s="470"/>
      <c r="BHG2998" s="449"/>
      <c r="BHH2998" s="462"/>
      <c r="BHI2998" s="299"/>
      <c r="BHJ2998" s="81"/>
      <c r="BHK2998" s="160"/>
      <c r="BHL2998" s="562"/>
      <c r="BHM2998" s="125"/>
      <c r="BHN2998" s="470"/>
      <c r="BHO2998" s="449"/>
      <c r="BHP2998" s="462"/>
      <c r="BHQ2998" s="299"/>
      <c r="BHR2998" s="81"/>
      <c r="BHS2998" s="160"/>
      <c r="BHT2998" s="562"/>
      <c r="BHU2998" s="125"/>
      <c r="BHV2998" s="470"/>
      <c r="BHW2998" s="449"/>
      <c r="BHX2998" s="462"/>
      <c r="BHY2998" s="299"/>
      <c r="BHZ2998" s="81"/>
      <c r="BIA2998" s="160"/>
      <c r="BIB2998" s="562"/>
      <c r="BIC2998" s="125"/>
      <c r="BID2998" s="470"/>
      <c r="BIE2998" s="449"/>
      <c r="BIF2998" s="462"/>
      <c r="BIG2998" s="299"/>
      <c r="BIH2998" s="81"/>
      <c r="BII2998" s="160"/>
      <c r="BIJ2998" s="562"/>
      <c r="BIK2998" s="125"/>
      <c r="BIL2998" s="470"/>
      <c r="BIM2998" s="449"/>
      <c r="BIN2998" s="462"/>
      <c r="BIO2998" s="299"/>
      <c r="BIP2998" s="81"/>
      <c r="BIQ2998" s="160"/>
      <c r="BIR2998" s="562"/>
      <c r="BIS2998" s="125"/>
      <c r="BIT2998" s="470"/>
      <c r="BIU2998" s="449"/>
      <c r="BIV2998" s="462"/>
      <c r="BIW2998" s="299"/>
      <c r="BIX2998" s="81"/>
      <c r="BIY2998" s="160"/>
      <c r="BIZ2998" s="562"/>
      <c r="BJA2998" s="125"/>
      <c r="BJB2998" s="470"/>
      <c r="BJC2998" s="449"/>
      <c r="BJD2998" s="462"/>
      <c r="BJE2998" s="299"/>
      <c r="BJF2998" s="81"/>
      <c r="BJG2998" s="160"/>
      <c r="BJH2998" s="562"/>
      <c r="BJI2998" s="125"/>
      <c r="BJJ2998" s="470"/>
      <c r="BJK2998" s="449"/>
      <c r="BJL2998" s="462"/>
      <c r="BJM2998" s="299"/>
      <c r="BJN2998" s="81"/>
      <c r="BJO2998" s="160"/>
      <c r="BJP2998" s="562"/>
      <c r="BJQ2998" s="125"/>
      <c r="BJR2998" s="470"/>
      <c r="BJS2998" s="449"/>
      <c r="BJT2998" s="462"/>
      <c r="BJU2998" s="299"/>
      <c r="BJV2998" s="81"/>
      <c r="BJW2998" s="160"/>
      <c r="BJX2998" s="562"/>
      <c r="BJY2998" s="125"/>
      <c r="BJZ2998" s="470"/>
      <c r="BKA2998" s="449"/>
      <c r="BKB2998" s="462"/>
      <c r="BKC2998" s="299"/>
      <c r="BKD2998" s="81"/>
      <c r="BKE2998" s="160"/>
      <c r="BKF2998" s="562"/>
      <c r="BKG2998" s="125"/>
      <c r="BKH2998" s="470"/>
      <c r="BKI2998" s="449"/>
      <c r="BKJ2998" s="462"/>
      <c r="BKK2998" s="299"/>
      <c r="BKL2998" s="81"/>
      <c r="BKM2998" s="160"/>
      <c r="BKN2998" s="562"/>
      <c r="BKO2998" s="125"/>
      <c r="BKP2998" s="470"/>
      <c r="BKQ2998" s="449"/>
      <c r="BKR2998" s="462"/>
      <c r="BKS2998" s="299"/>
      <c r="BKT2998" s="81"/>
      <c r="BKU2998" s="160"/>
      <c r="BKV2998" s="562"/>
      <c r="BKW2998" s="125"/>
      <c r="BKX2998" s="470"/>
      <c r="BKY2998" s="449"/>
      <c r="BKZ2998" s="462"/>
      <c r="BLA2998" s="299"/>
      <c r="BLB2998" s="81"/>
      <c r="BLC2998" s="160"/>
      <c r="BLD2998" s="562"/>
      <c r="BLE2998" s="125"/>
      <c r="BLF2998" s="470"/>
      <c r="BLG2998" s="449"/>
      <c r="BLH2998" s="462"/>
      <c r="BLI2998" s="299"/>
      <c r="BLJ2998" s="81"/>
      <c r="BLK2998" s="160"/>
      <c r="BLL2998" s="562"/>
      <c r="BLM2998" s="125"/>
      <c r="BLN2998" s="470"/>
      <c r="BLO2998" s="449"/>
      <c r="BLP2998" s="462"/>
      <c r="BLQ2998" s="299"/>
      <c r="BLR2998" s="81"/>
      <c r="BLS2998" s="160"/>
      <c r="BLT2998" s="562"/>
      <c r="BLU2998" s="125"/>
      <c r="BLV2998" s="470"/>
      <c r="BLW2998" s="449"/>
      <c r="BLX2998" s="462"/>
      <c r="BLY2998" s="299"/>
      <c r="BLZ2998" s="81"/>
      <c r="BMA2998" s="160"/>
      <c r="BMB2998" s="562"/>
      <c r="BMC2998" s="125"/>
      <c r="BMD2998" s="470"/>
      <c r="BME2998" s="449"/>
      <c r="BMF2998" s="462"/>
      <c r="BMG2998" s="299"/>
      <c r="BMH2998" s="81"/>
      <c r="BMI2998" s="160"/>
      <c r="BMJ2998" s="562"/>
      <c r="BMK2998" s="125"/>
      <c r="BML2998" s="470"/>
      <c r="BMM2998" s="449"/>
      <c r="BMN2998" s="462"/>
      <c r="BMO2998" s="299"/>
      <c r="BMP2998" s="81"/>
      <c r="BMQ2998" s="160"/>
      <c r="BMR2998" s="562"/>
      <c r="BMS2998" s="125"/>
      <c r="BMT2998" s="470"/>
      <c r="BMU2998" s="449"/>
      <c r="BMV2998" s="462"/>
      <c r="BMW2998" s="299"/>
      <c r="BMX2998" s="81"/>
      <c r="BMY2998" s="160"/>
      <c r="BMZ2998" s="562"/>
      <c r="BNA2998" s="125"/>
      <c r="BNB2998" s="470"/>
      <c r="BNC2998" s="449"/>
      <c r="BND2998" s="462"/>
      <c r="BNE2998" s="299"/>
      <c r="BNF2998" s="81"/>
      <c r="BNG2998" s="160"/>
      <c r="BNH2998" s="562"/>
      <c r="BNI2998" s="125"/>
      <c r="BNJ2998" s="470"/>
      <c r="BNK2998" s="449"/>
      <c r="BNL2998" s="462"/>
      <c r="BNM2998" s="299"/>
      <c r="BNN2998" s="81"/>
      <c r="BNO2998" s="160"/>
      <c r="BNP2998" s="562"/>
      <c r="BNQ2998" s="125"/>
      <c r="BNR2998" s="470"/>
      <c r="BNS2998" s="449"/>
      <c r="BNT2998" s="462"/>
      <c r="BNU2998" s="299"/>
      <c r="BNV2998" s="81"/>
      <c r="BNW2998" s="160"/>
      <c r="BNX2998" s="562"/>
      <c r="BNY2998" s="125"/>
      <c r="BNZ2998" s="470"/>
      <c r="BOA2998" s="449"/>
      <c r="BOB2998" s="462"/>
      <c r="BOC2998" s="299"/>
      <c r="BOD2998" s="81"/>
      <c r="BOE2998" s="160"/>
      <c r="BOF2998" s="562"/>
      <c r="BOG2998" s="125"/>
      <c r="BOH2998" s="470"/>
      <c r="BOI2998" s="449"/>
      <c r="BOJ2998" s="462"/>
      <c r="BOK2998" s="299"/>
      <c r="BOL2998" s="81"/>
      <c r="BOM2998" s="160"/>
      <c r="BON2998" s="562"/>
      <c r="BOO2998" s="125"/>
      <c r="BOP2998" s="470"/>
      <c r="BOQ2998" s="449"/>
      <c r="BOR2998" s="462"/>
      <c r="BOS2998" s="299"/>
      <c r="BOT2998" s="81"/>
      <c r="BOU2998" s="160"/>
      <c r="BOV2998" s="562"/>
      <c r="BOW2998" s="125"/>
      <c r="BOX2998" s="470"/>
      <c r="BOY2998" s="449"/>
      <c r="BOZ2998" s="462"/>
      <c r="BPA2998" s="299"/>
      <c r="BPB2998" s="81"/>
      <c r="BPC2998" s="160"/>
      <c r="BPD2998" s="562"/>
      <c r="BPE2998" s="125"/>
      <c r="BPF2998" s="470"/>
      <c r="BPG2998" s="449"/>
      <c r="BPH2998" s="462"/>
      <c r="BPI2998" s="299"/>
      <c r="BPJ2998" s="81"/>
      <c r="BPK2998" s="160"/>
      <c r="BPL2998" s="562"/>
      <c r="BPM2998" s="125"/>
      <c r="BPN2998" s="470"/>
      <c r="BPO2998" s="449"/>
      <c r="BPP2998" s="462"/>
      <c r="BPQ2998" s="299"/>
      <c r="BPR2998" s="81"/>
      <c r="BPS2998" s="160"/>
      <c r="BPT2998" s="562"/>
      <c r="BPU2998" s="125"/>
      <c r="BPV2998" s="470"/>
      <c r="BPW2998" s="449"/>
      <c r="BPX2998" s="462"/>
      <c r="BPY2998" s="299"/>
      <c r="BPZ2998" s="81"/>
      <c r="BQA2998" s="160"/>
      <c r="BQB2998" s="562"/>
      <c r="BQC2998" s="125"/>
      <c r="BQD2998" s="470"/>
      <c r="BQE2998" s="449"/>
      <c r="BQF2998" s="462"/>
      <c r="BQG2998" s="299"/>
      <c r="BQH2998" s="81"/>
      <c r="BQI2998" s="160"/>
      <c r="BQJ2998" s="562"/>
      <c r="BQK2998" s="125"/>
      <c r="BQL2998" s="470"/>
      <c r="BQM2998" s="449"/>
      <c r="BQN2998" s="462"/>
      <c r="BQO2998" s="299"/>
      <c r="BQP2998" s="81"/>
      <c r="BQQ2998" s="160"/>
      <c r="BQR2998" s="562"/>
      <c r="BQS2998" s="125"/>
      <c r="BQT2998" s="470"/>
      <c r="BQU2998" s="449"/>
      <c r="BQV2998" s="462"/>
      <c r="BQW2998" s="299"/>
      <c r="BQX2998" s="81"/>
      <c r="BQY2998" s="160"/>
      <c r="BQZ2998" s="562"/>
      <c r="BRA2998" s="125"/>
      <c r="BRB2998" s="470"/>
      <c r="BRC2998" s="449"/>
      <c r="BRD2998" s="462"/>
      <c r="BRE2998" s="299"/>
      <c r="BRF2998" s="81"/>
      <c r="BRG2998" s="160"/>
      <c r="BRH2998" s="562"/>
      <c r="BRI2998" s="125"/>
      <c r="BRJ2998" s="470"/>
      <c r="BRK2998" s="449"/>
      <c r="BRL2998" s="462"/>
      <c r="BRM2998" s="299"/>
      <c r="BRN2998" s="81"/>
      <c r="BRO2998" s="160"/>
      <c r="BRP2998" s="562"/>
      <c r="BRQ2998" s="125"/>
      <c r="BRR2998" s="470"/>
      <c r="BRS2998" s="449"/>
      <c r="BRT2998" s="462"/>
      <c r="BRU2998" s="299"/>
      <c r="BRV2998" s="81"/>
      <c r="BRW2998" s="160"/>
      <c r="BRX2998" s="562"/>
      <c r="BRY2998" s="125"/>
      <c r="BRZ2998" s="470"/>
      <c r="BSA2998" s="449"/>
      <c r="BSB2998" s="462"/>
      <c r="BSC2998" s="299"/>
      <c r="BSD2998" s="81"/>
      <c r="BSE2998" s="160"/>
      <c r="BSF2998" s="562"/>
      <c r="BSG2998" s="125"/>
      <c r="BSH2998" s="470"/>
      <c r="BSI2998" s="449"/>
      <c r="BSJ2998" s="462"/>
      <c r="BSK2998" s="299"/>
      <c r="BSL2998" s="81"/>
      <c r="BSM2998" s="160"/>
      <c r="BSN2998" s="562"/>
      <c r="BSO2998" s="125"/>
      <c r="BSP2998" s="470"/>
      <c r="BSQ2998" s="449"/>
      <c r="BSR2998" s="462"/>
      <c r="BSS2998" s="299"/>
      <c r="BST2998" s="81"/>
      <c r="BSU2998" s="160"/>
      <c r="BSV2998" s="562"/>
      <c r="BSW2998" s="125"/>
      <c r="BSX2998" s="470"/>
      <c r="BSY2998" s="449"/>
      <c r="BSZ2998" s="462"/>
      <c r="BTA2998" s="299"/>
      <c r="BTB2998" s="81"/>
      <c r="BTC2998" s="160"/>
      <c r="BTD2998" s="562"/>
      <c r="BTE2998" s="125"/>
      <c r="BTF2998" s="470"/>
      <c r="BTG2998" s="449"/>
      <c r="BTH2998" s="462"/>
      <c r="BTI2998" s="299"/>
      <c r="BTJ2998" s="81"/>
      <c r="BTK2998" s="160"/>
      <c r="BTL2998" s="562"/>
      <c r="BTM2998" s="125"/>
      <c r="BTN2998" s="470"/>
      <c r="BTO2998" s="449"/>
      <c r="BTP2998" s="462"/>
      <c r="BTQ2998" s="299"/>
      <c r="BTR2998" s="81"/>
      <c r="BTS2998" s="160"/>
      <c r="BTT2998" s="562"/>
      <c r="BTU2998" s="125"/>
      <c r="BTV2998" s="470"/>
      <c r="BTW2998" s="449"/>
      <c r="BTX2998" s="462"/>
      <c r="BTY2998" s="299"/>
      <c r="BTZ2998" s="81"/>
      <c r="BUA2998" s="160"/>
      <c r="BUB2998" s="562"/>
      <c r="BUC2998" s="125"/>
      <c r="BUD2998" s="470"/>
      <c r="BUE2998" s="449"/>
      <c r="BUF2998" s="462"/>
      <c r="BUG2998" s="299"/>
      <c r="BUH2998" s="81"/>
      <c r="BUI2998" s="160"/>
      <c r="BUJ2998" s="562"/>
      <c r="BUK2998" s="125"/>
      <c r="BUL2998" s="470"/>
      <c r="BUM2998" s="449"/>
      <c r="BUN2998" s="462"/>
      <c r="BUO2998" s="299"/>
      <c r="BUP2998" s="81"/>
      <c r="BUQ2998" s="160"/>
      <c r="BUR2998" s="562"/>
      <c r="BUS2998" s="125"/>
      <c r="BUT2998" s="470"/>
      <c r="BUU2998" s="449"/>
      <c r="BUV2998" s="462"/>
      <c r="BUW2998" s="299"/>
      <c r="BUX2998" s="81"/>
      <c r="BUY2998" s="160"/>
      <c r="BUZ2998" s="562"/>
      <c r="BVA2998" s="125"/>
      <c r="BVB2998" s="470"/>
      <c r="BVC2998" s="449"/>
      <c r="BVD2998" s="462"/>
      <c r="BVE2998" s="299"/>
      <c r="BVF2998" s="81"/>
      <c r="BVG2998" s="160"/>
      <c r="BVH2998" s="562"/>
      <c r="BVI2998" s="125"/>
      <c r="BVJ2998" s="470"/>
      <c r="BVK2998" s="449"/>
      <c r="BVL2998" s="462"/>
      <c r="BVM2998" s="299"/>
      <c r="BVN2998" s="81"/>
      <c r="BVO2998" s="160"/>
      <c r="BVP2998" s="562"/>
      <c r="BVQ2998" s="125"/>
      <c r="BVR2998" s="470"/>
      <c r="BVS2998" s="449"/>
      <c r="BVT2998" s="462"/>
      <c r="BVU2998" s="299"/>
      <c r="BVV2998" s="81"/>
      <c r="BVW2998" s="160"/>
      <c r="BVX2998" s="562"/>
      <c r="BVY2998" s="125"/>
      <c r="BVZ2998" s="470"/>
      <c r="BWA2998" s="449"/>
      <c r="BWB2998" s="462"/>
      <c r="BWC2998" s="299"/>
      <c r="BWD2998" s="81"/>
      <c r="BWE2998" s="160"/>
      <c r="BWF2998" s="562"/>
      <c r="BWG2998" s="125"/>
      <c r="BWH2998" s="470"/>
      <c r="BWI2998" s="449"/>
      <c r="BWJ2998" s="462"/>
      <c r="BWK2998" s="299"/>
      <c r="BWL2998" s="81"/>
      <c r="BWM2998" s="160"/>
      <c r="BWN2998" s="562"/>
      <c r="BWO2998" s="125"/>
      <c r="BWP2998" s="470"/>
      <c r="BWQ2998" s="449"/>
      <c r="BWR2998" s="462"/>
      <c r="BWS2998" s="299"/>
      <c r="BWT2998" s="81"/>
      <c r="BWU2998" s="160"/>
      <c r="BWV2998" s="562"/>
      <c r="BWW2998" s="125"/>
      <c r="BWX2998" s="470"/>
      <c r="BWY2998" s="449"/>
      <c r="BWZ2998" s="462"/>
      <c r="BXA2998" s="299"/>
      <c r="BXB2998" s="81"/>
      <c r="BXC2998" s="160"/>
      <c r="BXD2998" s="562"/>
      <c r="BXE2998" s="125"/>
      <c r="BXF2998" s="470"/>
      <c r="BXG2998" s="449"/>
      <c r="BXH2998" s="462"/>
      <c r="BXI2998" s="299"/>
      <c r="BXJ2998" s="81"/>
      <c r="BXK2998" s="160"/>
      <c r="BXL2998" s="562"/>
      <c r="BXM2998" s="125"/>
      <c r="BXN2998" s="470"/>
      <c r="BXO2998" s="449"/>
      <c r="BXP2998" s="462"/>
      <c r="BXQ2998" s="299"/>
      <c r="BXR2998" s="81"/>
      <c r="BXS2998" s="160"/>
      <c r="BXT2998" s="562"/>
      <c r="BXU2998" s="125"/>
      <c r="BXV2998" s="470"/>
      <c r="BXW2998" s="449"/>
      <c r="BXX2998" s="462"/>
      <c r="BXY2998" s="299"/>
      <c r="BXZ2998" s="81"/>
      <c r="BYA2998" s="160"/>
      <c r="BYB2998" s="562"/>
      <c r="BYC2998" s="125"/>
      <c r="BYD2998" s="470"/>
      <c r="BYE2998" s="449"/>
      <c r="BYF2998" s="462"/>
      <c r="BYG2998" s="299"/>
      <c r="BYH2998" s="81"/>
      <c r="BYI2998" s="160"/>
      <c r="BYJ2998" s="562"/>
      <c r="BYK2998" s="125"/>
      <c r="BYL2998" s="470"/>
      <c r="BYM2998" s="449"/>
      <c r="BYN2998" s="462"/>
      <c r="BYO2998" s="299"/>
      <c r="BYP2998" s="81"/>
      <c r="BYQ2998" s="160"/>
      <c r="BYR2998" s="562"/>
      <c r="BYS2998" s="125"/>
      <c r="BYT2998" s="470"/>
      <c r="BYU2998" s="449"/>
      <c r="BYV2998" s="462"/>
      <c r="BYW2998" s="299"/>
      <c r="BYX2998" s="81"/>
      <c r="BYY2998" s="160"/>
      <c r="BYZ2998" s="562"/>
      <c r="BZA2998" s="125"/>
      <c r="BZB2998" s="470"/>
      <c r="BZC2998" s="449"/>
      <c r="BZD2998" s="462"/>
      <c r="BZE2998" s="299"/>
      <c r="BZF2998" s="81"/>
      <c r="BZG2998" s="160"/>
      <c r="BZH2998" s="562"/>
      <c r="BZI2998" s="125"/>
      <c r="BZJ2998" s="470"/>
      <c r="BZK2998" s="449"/>
      <c r="BZL2998" s="462"/>
      <c r="BZM2998" s="299"/>
      <c r="BZN2998" s="81"/>
      <c r="BZO2998" s="160"/>
      <c r="BZP2998" s="562"/>
      <c r="BZQ2998" s="125"/>
      <c r="BZR2998" s="470"/>
      <c r="BZS2998" s="449"/>
      <c r="BZT2998" s="462"/>
      <c r="BZU2998" s="299"/>
      <c r="BZV2998" s="81"/>
      <c r="BZW2998" s="160"/>
      <c r="BZX2998" s="562"/>
      <c r="BZY2998" s="125"/>
      <c r="BZZ2998" s="470"/>
      <c r="CAA2998" s="449"/>
      <c r="CAB2998" s="462"/>
      <c r="CAC2998" s="299"/>
      <c r="CAD2998" s="81"/>
      <c r="CAE2998" s="160"/>
      <c r="CAF2998" s="562"/>
      <c r="CAG2998" s="125"/>
      <c r="CAH2998" s="470"/>
      <c r="CAI2998" s="449"/>
      <c r="CAJ2998" s="462"/>
      <c r="CAK2998" s="299"/>
      <c r="CAL2998" s="81"/>
      <c r="CAM2998" s="160"/>
      <c r="CAN2998" s="562"/>
      <c r="CAO2998" s="125"/>
      <c r="CAP2998" s="470"/>
      <c r="CAQ2998" s="449"/>
      <c r="CAR2998" s="462"/>
      <c r="CAS2998" s="299"/>
      <c r="CAT2998" s="81"/>
      <c r="CAU2998" s="160"/>
      <c r="CAV2998" s="562"/>
      <c r="CAW2998" s="125"/>
      <c r="CAX2998" s="470"/>
      <c r="CAY2998" s="449"/>
      <c r="CAZ2998" s="462"/>
      <c r="CBA2998" s="299"/>
      <c r="CBB2998" s="81"/>
      <c r="CBC2998" s="160"/>
      <c r="CBD2998" s="562"/>
      <c r="CBE2998" s="125"/>
      <c r="CBF2998" s="470"/>
      <c r="CBG2998" s="449"/>
      <c r="CBH2998" s="462"/>
      <c r="CBI2998" s="299"/>
      <c r="CBJ2998" s="81"/>
      <c r="CBK2998" s="160"/>
      <c r="CBL2998" s="562"/>
      <c r="CBM2998" s="125"/>
      <c r="CBN2998" s="470"/>
      <c r="CBO2998" s="449"/>
      <c r="CBP2998" s="462"/>
      <c r="CBQ2998" s="299"/>
      <c r="CBR2998" s="81"/>
      <c r="CBS2998" s="160"/>
      <c r="CBT2998" s="562"/>
      <c r="CBU2998" s="125"/>
      <c r="CBV2998" s="470"/>
      <c r="CBW2998" s="449"/>
      <c r="CBX2998" s="462"/>
      <c r="CBY2998" s="299"/>
      <c r="CBZ2998" s="81"/>
      <c r="CCA2998" s="160"/>
      <c r="CCB2998" s="562"/>
      <c r="CCC2998" s="125"/>
      <c r="CCD2998" s="470"/>
      <c r="CCE2998" s="449"/>
      <c r="CCF2998" s="462"/>
      <c r="CCG2998" s="299"/>
      <c r="CCH2998" s="81"/>
      <c r="CCI2998" s="160"/>
      <c r="CCJ2998" s="562"/>
      <c r="CCK2998" s="125"/>
      <c r="CCL2998" s="470"/>
      <c r="CCM2998" s="449"/>
      <c r="CCN2998" s="462"/>
      <c r="CCO2998" s="299"/>
      <c r="CCP2998" s="81"/>
      <c r="CCQ2998" s="160"/>
      <c r="CCR2998" s="562"/>
      <c r="CCS2998" s="125"/>
      <c r="CCT2998" s="470"/>
      <c r="CCU2998" s="449"/>
      <c r="CCV2998" s="462"/>
      <c r="CCW2998" s="299"/>
      <c r="CCX2998" s="81"/>
      <c r="CCY2998" s="160"/>
      <c r="CCZ2998" s="562"/>
      <c r="CDA2998" s="125"/>
      <c r="CDB2998" s="470"/>
      <c r="CDC2998" s="449"/>
      <c r="CDD2998" s="462"/>
      <c r="CDE2998" s="299"/>
      <c r="CDF2998" s="81"/>
      <c r="CDG2998" s="160"/>
      <c r="CDH2998" s="562"/>
      <c r="CDI2998" s="125"/>
      <c r="CDJ2998" s="470"/>
      <c r="CDK2998" s="449"/>
      <c r="CDL2998" s="462"/>
      <c r="CDM2998" s="299"/>
      <c r="CDN2998" s="81"/>
      <c r="CDO2998" s="160"/>
      <c r="CDP2998" s="562"/>
      <c r="CDQ2998" s="125"/>
      <c r="CDR2998" s="470"/>
      <c r="CDS2998" s="449"/>
      <c r="CDT2998" s="462"/>
      <c r="CDU2998" s="299"/>
      <c r="CDV2998" s="81"/>
      <c r="CDW2998" s="160"/>
      <c r="CDX2998" s="562"/>
      <c r="CDY2998" s="125"/>
      <c r="CDZ2998" s="470"/>
      <c r="CEA2998" s="449"/>
      <c r="CEB2998" s="462"/>
      <c r="CEC2998" s="299"/>
      <c r="CED2998" s="81"/>
      <c r="CEE2998" s="160"/>
      <c r="CEF2998" s="562"/>
      <c r="CEG2998" s="125"/>
      <c r="CEH2998" s="470"/>
      <c r="CEI2998" s="449"/>
      <c r="CEJ2998" s="462"/>
      <c r="CEK2998" s="299"/>
      <c r="CEL2998" s="81"/>
      <c r="CEM2998" s="160"/>
      <c r="CEN2998" s="562"/>
      <c r="CEO2998" s="125"/>
      <c r="CEP2998" s="470"/>
      <c r="CEQ2998" s="449"/>
      <c r="CER2998" s="462"/>
      <c r="CES2998" s="299"/>
      <c r="CET2998" s="81"/>
      <c r="CEU2998" s="160"/>
      <c r="CEV2998" s="562"/>
      <c r="CEW2998" s="125"/>
      <c r="CEX2998" s="470"/>
      <c r="CEY2998" s="449"/>
      <c r="CEZ2998" s="462"/>
      <c r="CFA2998" s="299"/>
      <c r="CFB2998" s="81"/>
      <c r="CFC2998" s="160"/>
      <c r="CFD2998" s="562"/>
      <c r="CFE2998" s="125"/>
      <c r="CFF2998" s="470"/>
      <c r="CFG2998" s="449"/>
      <c r="CFH2998" s="462"/>
      <c r="CFI2998" s="299"/>
      <c r="CFJ2998" s="81"/>
      <c r="CFK2998" s="160"/>
      <c r="CFL2998" s="562"/>
      <c r="CFM2998" s="125"/>
      <c r="CFN2998" s="470"/>
      <c r="CFO2998" s="449"/>
      <c r="CFP2998" s="462"/>
      <c r="CFQ2998" s="299"/>
      <c r="CFR2998" s="81"/>
      <c r="CFS2998" s="160"/>
      <c r="CFT2998" s="562"/>
      <c r="CFU2998" s="125"/>
      <c r="CFV2998" s="470"/>
      <c r="CFW2998" s="449"/>
      <c r="CFX2998" s="462"/>
      <c r="CFY2998" s="299"/>
      <c r="CFZ2998" s="81"/>
      <c r="CGA2998" s="160"/>
      <c r="CGB2998" s="562"/>
      <c r="CGC2998" s="125"/>
      <c r="CGD2998" s="470"/>
      <c r="CGE2998" s="449"/>
      <c r="CGF2998" s="462"/>
      <c r="CGG2998" s="299"/>
      <c r="CGH2998" s="81"/>
      <c r="CGI2998" s="160"/>
      <c r="CGJ2998" s="562"/>
      <c r="CGK2998" s="125"/>
      <c r="CGL2998" s="470"/>
      <c r="CGM2998" s="449"/>
      <c r="CGN2998" s="462"/>
      <c r="CGO2998" s="299"/>
      <c r="CGP2998" s="81"/>
      <c r="CGQ2998" s="160"/>
      <c r="CGR2998" s="562"/>
      <c r="CGS2998" s="125"/>
      <c r="CGT2998" s="470"/>
      <c r="CGU2998" s="449"/>
      <c r="CGV2998" s="462"/>
      <c r="CGW2998" s="299"/>
      <c r="CGX2998" s="81"/>
      <c r="CGY2998" s="160"/>
      <c r="CGZ2998" s="562"/>
      <c r="CHA2998" s="125"/>
      <c r="CHB2998" s="470"/>
      <c r="CHC2998" s="449"/>
      <c r="CHD2998" s="462"/>
      <c r="CHE2998" s="299"/>
      <c r="CHF2998" s="81"/>
      <c r="CHG2998" s="160"/>
      <c r="CHH2998" s="562"/>
      <c r="CHI2998" s="125"/>
      <c r="CHJ2998" s="470"/>
      <c r="CHK2998" s="449"/>
      <c r="CHL2998" s="462"/>
      <c r="CHM2998" s="299"/>
      <c r="CHN2998" s="81"/>
      <c r="CHO2998" s="160"/>
      <c r="CHP2998" s="562"/>
      <c r="CHQ2998" s="125"/>
      <c r="CHR2998" s="470"/>
      <c r="CHS2998" s="449"/>
      <c r="CHT2998" s="462"/>
      <c r="CHU2998" s="299"/>
      <c r="CHV2998" s="81"/>
      <c r="CHW2998" s="160"/>
      <c r="CHX2998" s="562"/>
      <c r="CHY2998" s="125"/>
      <c r="CHZ2998" s="470"/>
      <c r="CIA2998" s="449"/>
      <c r="CIB2998" s="462"/>
      <c r="CIC2998" s="299"/>
      <c r="CID2998" s="81"/>
      <c r="CIE2998" s="160"/>
      <c r="CIF2998" s="562"/>
      <c r="CIG2998" s="125"/>
      <c r="CIH2998" s="470"/>
      <c r="CII2998" s="449"/>
      <c r="CIJ2998" s="462"/>
      <c r="CIK2998" s="299"/>
      <c r="CIL2998" s="81"/>
      <c r="CIM2998" s="160"/>
      <c r="CIN2998" s="562"/>
      <c r="CIO2998" s="125"/>
      <c r="CIP2998" s="470"/>
      <c r="CIQ2998" s="449"/>
      <c r="CIR2998" s="462"/>
      <c r="CIS2998" s="299"/>
      <c r="CIT2998" s="81"/>
      <c r="CIU2998" s="160"/>
      <c r="CIV2998" s="562"/>
      <c r="CIW2998" s="125"/>
      <c r="CIX2998" s="470"/>
      <c r="CIY2998" s="449"/>
      <c r="CIZ2998" s="462"/>
      <c r="CJA2998" s="299"/>
      <c r="CJB2998" s="81"/>
      <c r="CJC2998" s="160"/>
      <c r="CJD2998" s="562"/>
      <c r="CJE2998" s="125"/>
      <c r="CJF2998" s="470"/>
      <c r="CJG2998" s="449"/>
      <c r="CJH2998" s="462"/>
      <c r="CJI2998" s="299"/>
      <c r="CJJ2998" s="81"/>
      <c r="CJK2998" s="160"/>
      <c r="CJL2998" s="562"/>
      <c r="CJM2998" s="125"/>
      <c r="CJN2998" s="470"/>
      <c r="CJO2998" s="449"/>
      <c r="CJP2998" s="462"/>
      <c r="CJQ2998" s="299"/>
      <c r="CJR2998" s="81"/>
      <c r="CJS2998" s="160"/>
      <c r="CJT2998" s="562"/>
      <c r="CJU2998" s="125"/>
      <c r="CJV2998" s="470"/>
      <c r="CJW2998" s="449"/>
      <c r="CJX2998" s="462"/>
      <c r="CJY2998" s="299"/>
      <c r="CJZ2998" s="81"/>
      <c r="CKA2998" s="160"/>
      <c r="CKB2998" s="562"/>
      <c r="CKC2998" s="125"/>
      <c r="CKD2998" s="470"/>
      <c r="CKE2998" s="449"/>
      <c r="CKF2998" s="462"/>
      <c r="CKG2998" s="299"/>
      <c r="CKH2998" s="81"/>
      <c r="CKI2998" s="160"/>
      <c r="CKJ2998" s="562"/>
      <c r="CKK2998" s="125"/>
      <c r="CKL2998" s="470"/>
      <c r="CKM2998" s="449"/>
      <c r="CKN2998" s="462"/>
      <c r="CKO2998" s="299"/>
      <c r="CKP2998" s="81"/>
      <c r="CKQ2998" s="160"/>
      <c r="CKR2998" s="562"/>
      <c r="CKS2998" s="125"/>
      <c r="CKT2998" s="470"/>
      <c r="CKU2998" s="449"/>
      <c r="CKV2998" s="462"/>
      <c r="CKW2998" s="299"/>
      <c r="CKX2998" s="81"/>
      <c r="CKY2998" s="160"/>
      <c r="CKZ2998" s="562"/>
      <c r="CLA2998" s="125"/>
      <c r="CLB2998" s="470"/>
      <c r="CLC2998" s="449"/>
      <c r="CLD2998" s="462"/>
      <c r="CLE2998" s="299"/>
      <c r="CLF2998" s="81"/>
      <c r="CLG2998" s="160"/>
      <c r="CLH2998" s="562"/>
      <c r="CLI2998" s="125"/>
      <c r="CLJ2998" s="470"/>
      <c r="CLK2998" s="449"/>
      <c r="CLL2998" s="462"/>
      <c r="CLM2998" s="299"/>
      <c r="CLN2998" s="81"/>
      <c r="CLO2998" s="160"/>
      <c r="CLP2998" s="562"/>
      <c r="CLQ2998" s="125"/>
      <c r="CLR2998" s="470"/>
      <c r="CLS2998" s="449"/>
      <c r="CLT2998" s="462"/>
      <c r="CLU2998" s="299"/>
      <c r="CLV2998" s="81"/>
      <c r="CLW2998" s="160"/>
      <c r="CLX2998" s="562"/>
      <c r="CLY2998" s="125"/>
      <c r="CLZ2998" s="470"/>
      <c r="CMA2998" s="449"/>
      <c r="CMB2998" s="462"/>
      <c r="CMC2998" s="299"/>
      <c r="CMD2998" s="81"/>
      <c r="CME2998" s="160"/>
      <c r="CMF2998" s="562"/>
      <c r="CMG2998" s="125"/>
      <c r="CMH2998" s="470"/>
      <c r="CMI2998" s="449"/>
      <c r="CMJ2998" s="462"/>
      <c r="CMK2998" s="299"/>
      <c r="CML2998" s="81"/>
      <c r="CMM2998" s="160"/>
      <c r="CMN2998" s="562"/>
      <c r="CMO2998" s="125"/>
      <c r="CMP2998" s="470"/>
      <c r="CMQ2998" s="449"/>
      <c r="CMR2998" s="462"/>
      <c r="CMS2998" s="299"/>
      <c r="CMT2998" s="81"/>
      <c r="CMU2998" s="160"/>
      <c r="CMV2998" s="562"/>
      <c r="CMW2998" s="125"/>
      <c r="CMX2998" s="470"/>
      <c r="CMY2998" s="449"/>
      <c r="CMZ2998" s="462"/>
      <c r="CNA2998" s="299"/>
      <c r="CNB2998" s="81"/>
      <c r="CNC2998" s="160"/>
      <c r="CND2998" s="562"/>
      <c r="CNE2998" s="125"/>
      <c r="CNF2998" s="470"/>
      <c r="CNG2998" s="449"/>
      <c r="CNH2998" s="462"/>
      <c r="CNI2998" s="299"/>
      <c r="CNJ2998" s="81"/>
      <c r="CNK2998" s="160"/>
      <c r="CNL2998" s="562"/>
      <c r="CNM2998" s="125"/>
      <c r="CNN2998" s="470"/>
      <c r="CNO2998" s="449"/>
      <c r="CNP2998" s="462"/>
      <c r="CNQ2998" s="299"/>
      <c r="CNR2998" s="81"/>
      <c r="CNS2998" s="160"/>
      <c r="CNT2998" s="562"/>
      <c r="CNU2998" s="125"/>
      <c r="CNV2998" s="470"/>
      <c r="CNW2998" s="449"/>
      <c r="CNX2998" s="462"/>
      <c r="CNY2998" s="299"/>
      <c r="CNZ2998" s="81"/>
      <c r="COA2998" s="160"/>
      <c r="COB2998" s="562"/>
      <c r="COC2998" s="125"/>
      <c r="COD2998" s="470"/>
      <c r="COE2998" s="449"/>
      <c r="COF2998" s="462"/>
      <c r="COG2998" s="299"/>
      <c r="COH2998" s="81"/>
      <c r="COI2998" s="160"/>
      <c r="COJ2998" s="562"/>
      <c r="COK2998" s="125"/>
      <c r="COL2998" s="470"/>
      <c r="COM2998" s="449"/>
      <c r="CON2998" s="462"/>
      <c r="COO2998" s="299"/>
      <c r="COP2998" s="81"/>
      <c r="COQ2998" s="160"/>
      <c r="COR2998" s="562"/>
      <c r="COS2998" s="125"/>
      <c r="COT2998" s="470"/>
      <c r="COU2998" s="449"/>
      <c r="COV2998" s="462"/>
      <c r="COW2998" s="299"/>
      <c r="COX2998" s="81"/>
      <c r="COY2998" s="160"/>
      <c r="COZ2998" s="562"/>
      <c r="CPA2998" s="125"/>
      <c r="CPB2998" s="470"/>
      <c r="CPC2998" s="449"/>
      <c r="CPD2998" s="462"/>
      <c r="CPE2998" s="299"/>
      <c r="CPF2998" s="81"/>
      <c r="CPG2998" s="160"/>
      <c r="CPH2998" s="562"/>
      <c r="CPI2998" s="125"/>
      <c r="CPJ2998" s="470"/>
      <c r="CPK2998" s="449"/>
      <c r="CPL2998" s="462"/>
      <c r="CPM2998" s="299"/>
      <c r="CPN2998" s="81"/>
      <c r="CPO2998" s="160"/>
      <c r="CPP2998" s="562"/>
      <c r="CPQ2998" s="125"/>
      <c r="CPR2998" s="470"/>
      <c r="CPS2998" s="449"/>
      <c r="CPT2998" s="462"/>
      <c r="CPU2998" s="299"/>
      <c r="CPV2998" s="81"/>
      <c r="CPW2998" s="160"/>
      <c r="CPX2998" s="562"/>
      <c r="CPY2998" s="125"/>
      <c r="CPZ2998" s="470"/>
      <c r="CQA2998" s="449"/>
      <c r="CQB2998" s="462"/>
      <c r="CQC2998" s="299"/>
      <c r="CQD2998" s="81"/>
      <c r="CQE2998" s="160"/>
      <c r="CQF2998" s="562"/>
      <c r="CQG2998" s="125"/>
      <c r="CQH2998" s="470"/>
      <c r="CQI2998" s="449"/>
      <c r="CQJ2998" s="462"/>
      <c r="CQK2998" s="299"/>
      <c r="CQL2998" s="81"/>
      <c r="CQM2998" s="160"/>
      <c r="CQN2998" s="562"/>
      <c r="CQO2998" s="125"/>
      <c r="CQP2998" s="470"/>
      <c r="CQQ2998" s="449"/>
      <c r="CQR2998" s="462"/>
      <c r="CQS2998" s="299"/>
      <c r="CQT2998" s="81"/>
      <c r="CQU2998" s="160"/>
      <c r="CQV2998" s="562"/>
      <c r="CQW2998" s="125"/>
      <c r="CQX2998" s="470"/>
      <c r="CQY2998" s="449"/>
      <c r="CQZ2998" s="462"/>
      <c r="CRA2998" s="299"/>
      <c r="CRB2998" s="81"/>
      <c r="CRC2998" s="160"/>
      <c r="CRD2998" s="562"/>
      <c r="CRE2998" s="125"/>
      <c r="CRF2998" s="470"/>
      <c r="CRG2998" s="449"/>
      <c r="CRH2998" s="462"/>
      <c r="CRI2998" s="299"/>
      <c r="CRJ2998" s="81"/>
      <c r="CRK2998" s="160"/>
      <c r="CRL2998" s="562"/>
      <c r="CRM2998" s="125"/>
      <c r="CRN2998" s="470"/>
      <c r="CRO2998" s="449"/>
      <c r="CRP2998" s="462"/>
      <c r="CRQ2998" s="299"/>
      <c r="CRR2998" s="81"/>
      <c r="CRS2998" s="160"/>
      <c r="CRT2998" s="562"/>
      <c r="CRU2998" s="125"/>
      <c r="CRV2998" s="470"/>
      <c r="CRW2998" s="449"/>
      <c r="CRX2998" s="462"/>
      <c r="CRY2998" s="299"/>
      <c r="CRZ2998" s="81"/>
      <c r="CSA2998" s="160"/>
      <c r="CSB2998" s="562"/>
      <c r="CSC2998" s="125"/>
      <c r="CSD2998" s="470"/>
      <c r="CSE2998" s="449"/>
      <c r="CSF2998" s="462"/>
      <c r="CSG2998" s="299"/>
      <c r="CSH2998" s="81"/>
      <c r="CSI2998" s="160"/>
      <c r="CSJ2998" s="562"/>
      <c r="CSK2998" s="125"/>
      <c r="CSL2998" s="470"/>
      <c r="CSM2998" s="449"/>
      <c r="CSN2998" s="462"/>
      <c r="CSO2998" s="299"/>
      <c r="CSP2998" s="81"/>
      <c r="CSQ2998" s="160"/>
      <c r="CSR2998" s="562"/>
      <c r="CSS2998" s="125"/>
      <c r="CST2998" s="470"/>
      <c r="CSU2998" s="449"/>
      <c r="CSV2998" s="462"/>
      <c r="CSW2998" s="299"/>
      <c r="CSX2998" s="81"/>
      <c r="CSY2998" s="160"/>
      <c r="CSZ2998" s="562"/>
      <c r="CTA2998" s="125"/>
      <c r="CTB2998" s="470"/>
      <c r="CTC2998" s="449"/>
      <c r="CTD2998" s="462"/>
      <c r="CTE2998" s="299"/>
      <c r="CTF2998" s="81"/>
      <c r="CTG2998" s="160"/>
      <c r="CTH2998" s="562"/>
      <c r="CTI2998" s="125"/>
      <c r="CTJ2998" s="470"/>
      <c r="CTK2998" s="449"/>
      <c r="CTL2998" s="462"/>
      <c r="CTM2998" s="299"/>
      <c r="CTN2998" s="81"/>
      <c r="CTO2998" s="160"/>
      <c r="CTP2998" s="562"/>
      <c r="CTQ2998" s="125"/>
      <c r="CTR2998" s="470"/>
      <c r="CTS2998" s="449"/>
      <c r="CTT2998" s="462"/>
      <c r="CTU2998" s="299"/>
      <c r="CTV2998" s="81"/>
      <c r="CTW2998" s="160"/>
      <c r="CTX2998" s="562"/>
      <c r="CTY2998" s="125"/>
      <c r="CTZ2998" s="470"/>
      <c r="CUA2998" s="449"/>
      <c r="CUB2998" s="462"/>
      <c r="CUC2998" s="299"/>
      <c r="CUD2998" s="81"/>
      <c r="CUE2998" s="160"/>
      <c r="CUF2998" s="562"/>
      <c r="CUG2998" s="125"/>
      <c r="CUH2998" s="470"/>
      <c r="CUI2998" s="449"/>
      <c r="CUJ2998" s="462"/>
      <c r="CUK2998" s="299"/>
      <c r="CUL2998" s="81"/>
      <c r="CUM2998" s="160"/>
      <c r="CUN2998" s="562"/>
      <c r="CUO2998" s="125"/>
      <c r="CUP2998" s="470"/>
      <c r="CUQ2998" s="449"/>
      <c r="CUR2998" s="462"/>
      <c r="CUS2998" s="299"/>
      <c r="CUT2998" s="81"/>
      <c r="CUU2998" s="160"/>
      <c r="CUV2998" s="562"/>
      <c r="CUW2998" s="125"/>
      <c r="CUX2998" s="470"/>
      <c r="CUY2998" s="449"/>
      <c r="CUZ2998" s="462"/>
      <c r="CVA2998" s="299"/>
      <c r="CVB2998" s="81"/>
      <c r="CVC2998" s="160"/>
      <c r="CVD2998" s="562"/>
      <c r="CVE2998" s="125"/>
      <c r="CVF2998" s="470"/>
      <c r="CVG2998" s="449"/>
      <c r="CVH2998" s="462"/>
      <c r="CVI2998" s="299"/>
      <c r="CVJ2998" s="81"/>
      <c r="CVK2998" s="160"/>
      <c r="CVL2998" s="562"/>
      <c r="CVM2998" s="125"/>
      <c r="CVN2998" s="470"/>
      <c r="CVO2998" s="449"/>
      <c r="CVP2998" s="462"/>
      <c r="CVQ2998" s="299"/>
      <c r="CVR2998" s="81"/>
      <c r="CVS2998" s="160"/>
      <c r="CVT2998" s="562"/>
      <c r="CVU2998" s="125"/>
      <c r="CVV2998" s="470"/>
      <c r="CVW2998" s="449"/>
      <c r="CVX2998" s="462"/>
      <c r="CVY2998" s="299"/>
      <c r="CVZ2998" s="81"/>
      <c r="CWA2998" s="160"/>
      <c r="CWB2998" s="562"/>
      <c r="CWC2998" s="125"/>
      <c r="CWD2998" s="470"/>
      <c r="CWE2998" s="449"/>
      <c r="CWF2998" s="462"/>
      <c r="CWG2998" s="299"/>
      <c r="CWH2998" s="81"/>
      <c r="CWI2998" s="160"/>
      <c r="CWJ2998" s="562"/>
      <c r="CWK2998" s="125"/>
      <c r="CWL2998" s="470"/>
      <c r="CWM2998" s="449"/>
      <c r="CWN2998" s="462"/>
      <c r="CWO2998" s="299"/>
      <c r="CWP2998" s="81"/>
      <c r="CWQ2998" s="160"/>
      <c r="CWR2998" s="562"/>
      <c r="CWS2998" s="125"/>
      <c r="CWT2998" s="470"/>
      <c r="CWU2998" s="449"/>
      <c r="CWV2998" s="462"/>
      <c r="CWW2998" s="299"/>
      <c r="CWX2998" s="81"/>
      <c r="CWY2998" s="160"/>
      <c r="CWZ2998" s="562"/>
      <c r="CXA2998" s="125"/>
      <c r="CXB2998" s="470"/>
      <c r="CXC2998" s="449"/>
      <c r="CXD2998" s="462"/>
      <c r="CXE2998" s="299"/>
      <c r="CXF2998" s="81"/>
      <c r="CXG2998" s="160"/>
      <c r="CXH2998" s="562"/>
      <c r="CXI2998" s="125"/>
      <c r="CXJ2998" s="470"/>
      <c r="CXK2998" s="449"/>
      <c r="CXL2998" s="462"/>
      <c r="CXM2998" s="299"/>
      <c r="CXN2998" s="81"/>
      <c r="CXO2998" s="160"/>
      <c r="CXP2998" s="562"/>
      <c r="CXQ2998" s="125"/>
      <c r="CXR2998" s="470"/>
      <c r="CXS2998" s="449"/>
      <c r="CXT2998" s="462"/>
      <c r="CXU2998" s="299"/>
      <c r="CXV2998" s="81"/>
      <c r="CXW2998" s="160"/>
      <c r="CXX2998" s="562"/>
      <c r="CXY2998" s="125"/>
      <c r="CXZ2998" s="470"/>
      <c r="CYA2998" s="449"/>
      <c r="CYB2998" s="462"/>
      <c r="CYC2998" s="299"/>
      <c r="CYD2998" s="81"/>
      <c r="CYE2998" s="160"/>
      <c r="CYF2998" s="562"/>
      <c r="CYG2998" s="125"/>
      <c r="CYH2998" s="470"/>
      <c r="CYI2998" s="449"/>
      <c r="CYJ2998" s="462"/>
      <c r="CYK2998" s="299"/>
      <c r="CYL2998" s="81"/>
      <c r="CYM2998" s="160"/>
      <c r="CYN2998" s="562"/>
      <c r="CYO2998" s="125"/>
      <c r="CYP2998" s="470"/>
      <c r="CYQ2998" s="449"/>
      <c r="CYR2998" s="462"/>
      <c r="CYS2998" s="299"/>
      <c r="CYT2998" s="81"/>
      <c r="CYU2998" s="160"/>
      <c r="CYV2998" s="562"/>
      <c r="CYW2998" s="125"/>
      <c r="CYX2998" s="470"/>
      <c r="CYY2998" s="449"/>
      <c r="CYZ2998" s="462"/>
      <c r="CZA2998" s="299"/>
      <c r="CZB2998" s="81"/>
      <c r="CZC2998" s="160"/>
      <c r="CZD2998" s="562"/>
      <c r="CZE2998" s="125"/>
      <c r="CZF2998" s="470"/>
      <c r="CZG2998" s="449"/>
      <c r="CZH2998" s="462"/>
      <c r="CZI2998" s="299"/>
      <c r="CZJ2998" s="81"/>
      <c r="CZK2998" s="160"/>
      <c r="CZL2998" s="562"/>
      <c r="CZM2998" s="125"/>
      <c r="CZN2998" s="470"/>
      <c r="CZO2998" s="449"/>
      <c r="CZP2998" s="462"/>
      <c r="CZQ2998" s="299"/>
      <c r="CZR2998" s="81"/>
      <c r="CZS2998" s="160"/>
      <c r="CZT2998" s="562"/>
      <c r="CZU2998" s="125"/>
      <c r="CZV2998" s="470"/>
      <c r="CZW2998" s="449"/>
      <c r="CZX2998" s="462"/>
      <c r="CZY2998" s="299"/>
      <c r="CZZ2998" s="81"/>
      <c r="DAA2998" s="160"/>
      <c r="DAB2998" s="562"/>
      <c r="DAC2998" s="125"/>
      <c r="DAD2998" s="470"/>
      <c r="DAE2998" s="449"/>
      <c r="DAF2998" s="462"/>
      <c r="DAG2998" s="299"/>
      <c r="DAH2998" s="81"/>
      <c r="DAI2998" s="160"/>
      <c r="DAJ2998" s="562"/>
      <c r="DAK2998" s="125"/>
      <c r="DAL2998" s="470"/>
      <c r="DAM2998" s="449"/>
      <c r="DAN2998" s="462"/>
      <c r="DAO2998" s="299"/>
      <c r="DAP2998" s="81"/>
      <c r="DAQ2998" s="160"/>
      <c r="DAR2998" s="562"/>
      <c r="DAS2998" s="125"/>
      <c r="DAT2998" s="470"/>
      <c r="DAU2998" s="449"/>
      <c r="DAV2998" s="462"/>
      <c r="DAW2998" s="299"/>
      <c r="DAX2998" s="81"/>
      <c r="DAY2998" s="160"/>
      <c r="DAZ2998" s="562"/>
      <c r="DBA2998" s="125"/>
      <c r="DBB2998" s="470"/>
      <c r="DBC2998" s="449"/>
      <c r="DBD2998" s="462"/>
      <c r="DBE2998" s="299"/>
      <c r="DBF2998" s="81"/>
      <c r="DBG2998" s="160"/>
      <c r="DBH2998" s="562"/>
      <c r="DBI2998" s="125"/>
      <c r="DBJ2998" s="470"/>
      <c r="DBK2998" s="449"/>
      <c r="DBL2998" s="462"/>
      <c r="DBM2998" s="299"/>
      <c r="DBN2998" s="81"/>
      <c r="DBO2998" s="160"/>
      <c r="DBP2998" s="562"/>
      <c r="DBQ2998" s="125"/>
      <c r="DBR2998" s="470"/>
      <c r="DBS2998" s="449"/>
      <c r="DBT2998" s="462"/>
      <c r="DBU2998" s="299"/>
      <c r="DBV2998" s="81"/>
      <c r="DBW2998" s="160"/>
      <c r="DBX2998" s="562"/>
      <c r="DBY2998" s="125"/>
      <c r="DBZ2998" s="470"/>
      <c r="DCA2998" s="449"/>
      <c r="DCB2998" s="462"/>
      <c r="DCC2998" s="299"/>
      <c r="DCD2998" s="81"/>
      <c r="DCE2998" s="160"/>
      <c r="DCF2998" s="562"/>
      <c r="DCG2998" s="125"/>
      <c r="DCH2998" s="470"/>
      <c r="DCI2998" s="449"/>
      <c r="DCJ2998" s="462"/>
      <c r="DCK2998" s="299"/>
      <c r="DCL2998" s="81"/>
      <c r="DCM2998" s="160"/>
      <c r="DCN2998" s="562"/>
      <c r="DCO2998" s="125"/>
      <c r="DCP2998" s="470"/>
      <c r="DCQ2998" s="449"/>
      <c r="DCR2998" s="462"/>
      <c r="DCS2998" s="299"/>
      <c r="DCT2998" s="81"/>
      <c r="DCU2998" s="160"/>
      <c r="DCV2998" s="562"/>
      <c r="DCW2998" s="125"/>
      <c r="DCX2998" s="470"/>
      <c r="DCY2998" s="449"/>
      <c r="DCZ2998" s="462"/>
      <c r="DDA2998" s="299"/>
      <c r="DDB2998" s="81"/>
      <c r="DDC2998" s="160"/>
      <c r="DDD2998" s="562"/>
      <c r="DDE2998" s="125"/>
      <c r="DDF2998" s="470"/>
      <c r="DDG2998" s="449"/>
      <c r="DDH2998" s="462"/>
      <c r="DDI2998" s="299"/>
      <c r="DDJ2998" s="81"/>
      <c r="DDK2998" s="160"/>
      <c r="DDL2998" s="562"/>
      <c r="DDM2998" s="125"/>
      <c r="DDN2998" s="470"/>
      <c r="DDO2998" s="449"/>
      <c r="DDP2998" s="462"/>
      <c r="DDQ2998" s="299"/>
      <c r="DDR2998" s="81"/>
      <c r="DDS2998" s="160"/>
      <c r="DDT2998" s="562"/>
      <c r="DDU2998" s="125"/>
      <c r="DDV2998" s="470"/>
      <c r="DDW2998" s="449"/>
      <c r="DDX2998" s="462"/>
      <c r="DDY2998" s="299"/>
      <c r="DDZ2998" s="81"/>
      <c r="DEA2998" s="160"/>
      <c r="DEB2998" s="562"/>
      <c r="DEC2998" s="125"/>
      <c r="DED2998" s="470"/>
      <c r="DEE2998" s="449"/>
      <c r="DEF2998" s="462"/>
      <c r="DEG2998" s="299"/>
      <c r="DEH2998" s="81"/>
      <c r="DEI2998" s="160"/>
      <c r="DEJ2998" s="562"/>
      <c r="DEK2998" s="125"/>
      <c r="DEL2998" s="470"/>
      <c r="DEM2998" s="449"/>
      <c r="DEN2998" s="462"/>
      <c r="DEO2998" s="299"/>
      <c r="DEP2998" s="81"/>
      <c r="DEQ2998" s="160"/>
      <c r="DER2998" s="562"/>
      <c r="DES2998" s="125"/>
      <c r="DET2998" s="470"/>
      <c r="DEU2998" s="449"/>
      <c r="DEV2998" s="462"/>
      <c r="DEW2998" s="299"/>
      <c r="DEX2998" s="81"/>
      <c r="DEY2998" s="160"/>
      <c r="DEZ2998" s="562"/>
      <c r="DFA2998" s="125"/>
      <c r="DFB2998" s="470"/>
      <c r="DFC2998" s="449"/>
      <c r="DFD2998" s="462"/>
      <c r="DFE2998" s="299"/>
      <c r="DFF2998" s="81"/>
      <c r="DFG2998" s="160"/>
      <c r="DFH2998" s="562"/>
      <c r="DFI2998" s="125"/>
      <c r="DFJ2998" s="470"/>
      <c r="DFK2998" s="449"/>
      <c r="DFL2998" s="462"/>
      <c r="DFM2998" s="299"/>
      <c r="DFN2998" s="81"/>
      <c r="DFO2998" s="160"/>
      <c r="DFP2998" s="562"/>
      <c r="DFQ2998" s="125"/>
      <c r="DFR2998" s="470"/>
      <c r="DFS2998" s="449"/>
      <c r="DFT2998" s="462"/>
      <c r="DFU2998" s="299"/>
      <c r="DFV2998" s="81"/>
      <c r="DFW2998" s="160"/>
      <c r="DFX2998" s="562"/>
      <c r="DFY2998" s="125"/>
      <c r="DFZ2998" s="470"/>
      <c r="DGA2998" s="449"/>
      <c r="DGB2998" s="462"/>
      <c r="DGC2998" s="299"/>
      <c r="DGD2998" s="81"/>
      <c r="DGE2998" s="160"/>
      <c r="DGF2998" s="562"/>
      <c r="DGG2998" s="125"/>
      <c r="DGH2998" s="470"/>
      <c r="DGI2998" s="449"/>
      <c r="DGJ2998" s="462"/>
      <c r="DGK2998" s="299"/>
      <c r="DGL2998" s="81"/>
      <c r="DGM2998" s="160"/>
      <c r="DGN2998" s="562"/>
      <c r="DGO2998" s="125"/>
      <c r="DGP2998" s="470"/>
      <c r="DGQ2998" s="449"/>
      <c r="DGR2998" s="462"/>
      <c r="DGS2998" s="299"/>
      <c r="DGT2998" s="81"/>
      <c r="DGU2998" s="160"/>
      <c r="DGV2998" s="562"/>
      <c r="DGW2998" s="125"/>
      <c r="DGX2998" s="470"/>
      <c r="DGY2998" s="449"/>
      <c r="DGZ2998" s="462"/>
      <c r="DHA2998" s="299"/>
      <c r="DHB2998" s="81"/>
      <c r="DHC2998" s="160"/>
      <c r="DHD2998" s="562"/>
      <c r="DHE2998" s="125"/>
      <c r="DHF2998" s="470"/>
      <c r="DHG2998" s="449"/>
      <c r="DHH2998" s="462"/>
      <c r="DHI2998" s="299"/>
      <c r="DHJ2998" s="81"/>
      <c r="DHK2998" s="160"/>
      <c r="DHL2998" s="562"/>
      <c r="DHM2998" s="125"/>
      <c r="DHN2998" s="470"/>
      <c r="DHO2998" s="449"/>
      <c r="DHP2998" s="462"/>
      <c r="DHQ2998" s="299"/>
      <c r="DHR2998" s="81"/>
      <c r="DHS2998" s="160"/>
      <c r="DHT2998" s="562"/>
      <c r="DHU2998" s="125"/>
      <c r="DHV2998" s="470"/>
      <c r="DHW2998" s="449"/>
      <c r="DHX2998" s="462"/>
      <c r="DHY2998" s="299"/>
      <c r="DHZ2998" s="81"/>
      <c r="DIA2998" s="160"/>
      <c r="DIB2998" s="562"/>
      <c r="DIC2998" s="125"/>
      <c r="DID2998" s="470"/>
      <c r="DIE2998" s="449"/>
      <c r="DIF2998" s="462"/>
      <c r="DIG2998" s="299"/>
      <c r="DIH2998" s="81"/>
      <c r="DII2998" s="160"/>
      <c r="DIJ2998" s="562"/>
      <c r="DIK2998" s="125"/>
      <c r="DIL2998" s="470"/>
      <c r="DIM2998" s="449"/>
      <c r="DIN2998" s="462"/>
      <c r="DIO2998" s="299"/>
      <c r="DIP2998" s="81"/>
      <c r="DIQ2998" s="160"/>
      <c r="DIR2998" s="562"/>
      <c r="DIS2998" s="125"/>
      <c r="DIT2998" s="470"/>
      <c r="DIU2998" s="449"/>
      <c r="DIV2998" s="462"/>
      <c r="DIW2998" s="299"/>
      <c r="DIX2998" s="81"/>
      <c r="DIY2998" s="160"/>
      <c r="DIZ2998" s="562"/>
      <c r="DJA2998" s="125"/>
      <c r="DJB2998" s="470"/>
      <c r="DJC2998" s="449"/>
      <c r="DJD2998" s="462"/>
      <c r="DJE2998" s="299"/>
      <c r="DJF2998" s="81"/>
      <c r="DJG2998" s="160"/>
      <c r="DJH2998" s="562"/>
      <c r="DJI2998" s="125"/>
      <c r="DJJ2998" s="470"/>
      <c r="DJK2998" s="449"/>
      <c r="DJL2998" s="462"/>
      <c r="DJM2998" s="299"/>
      <c r="DJN2998" s="81"/>
      <c r="DJO2998" s="160"/>
      <c r="DJP2998" s="562"/>
      <c r="DJQ2998" s="125"/>
      <c r="DJR2998" s="470"/>
      <c r="DJS2998" s="449"/>
      <c r="DJT2998" s="462"/>
      <c r="DJU2998" s="299"/>
      <c r="DJV2998" s="81"/>
      <c r="DJW2998" s="160"/>
      <c r="DJX2998" s="562"/>
      <c r="DJY2998" s="125"/>
      <c r="DJZ2998" s="470"/>
      <c r="DKA2998" s="449"/>
      <c r="DKB2998" s="462"/>
      <c r="DKC2998" s="299"/>
      <c r="DKD2998" s="81"/>
      <c r="DKE2998" s="160"/>
      <c r="DKF2998" s="562"/>
      <c r="DKG2998" s="125"/>
      <c r="DKH2998" s="470"/>
      <c r="DKI2998" s="449"/>
      <c r="DKJ2998" s="462"/>
      <c r="DKK2998" s="299"/>
      <c r="DKL2998" s="81"/>
      <c r="DKM2998" s="160"/>
      <c r="DKN2998" s="562"/>
      <c r="DKO2998" s="125"/>
      <c r="DKP2998" s="470"/>
      <c r="DKQ2998" s="449"/>
      <c r="DKR2998" s="462"/>
      <c r="DKS2998" s="299"/>
      <c r="DKT2998" s="81"/>
      <c r="DKU2998" s="160"/>
      <c r="DKV2998" s="562"/>
      <c r="DKW2998" s="125"/>
      <c r="DKX2998" s="470"/>
      <c r="DKY2998" s="449"/>
      <c r="DKZ2998" s="462"/>
      <c r="DLA2998" s="299"/>
      <c r="DLB2998" s="81"/>
      <c r="DLC2998" s="160"/>
      <c r="DLD2998" s="562"/>
      <c r="DLE2998" s="125"/>
      <c r="DLF2998" s="470"/>
      <c r="DLG2998" s="449"/>
      <c r="DLH2998" s="462"/>
      <c r="DLI2998" s="299"/>
      <c r="DLJ2998" s="81"/>
      <c r="DLK2998" s="160"/>
      <c r="DLL2998" s="562"/>
      <c r="DLM2998" s="125"/>
      <c r="DLN2998" s="470"/>
      <c r="DLO2998" s="449"/>
      <c r="DLP2998" s="462"/>
      <c r="DLQ2998" s="299"/>
      <c r="DLR2998" s="81"/>
      <c r="DLS2998" s="160"/>
      <c r="DLT2998" s="562"/>
      <c r="DLU2998" s="125"/>
      <c r="DLV2998" s="470"/>
      <c r="DLW2998" s="449"/>
      <c r="DLX2998" s="462"/>
      <c r="DLY2998" s="299"/>
      <c r="DLZ2998" s="81"/>
      <c r="DMA2998" s="160"/>
      <c r="DMB2998" s="562"/>
      <c r="DMC2998" s="125"/>
      <c r="DMD2998" s="470"/>
      <c r="DME2998" s="449"/>
      <c r="DMF2998" s="462"/>
      <c r="DMG2998" s="299"/>
      <c r="DMH2998" s="81"/>
      <c r="DMI2998" s="160"/>
      <c r="DMJ2998" s="562"/>
      <c r="DMK2998" s="125"/>
      <c r="DML2998" s="470"/>
      <c r="DMM2998" s="449"/>
      <c r="DMN2998" s="462"/>
      <c r="DMO2998" s="299"/>
      <c r="DMP2998" s="81"/>
      <c r="DMQ2998" s="160"/>
      <c r="DMR2998" s="562"/>
      <c r="DMS2998" s="125"/>
      <c r="DMT2998" s="470"/>
      <c r="DMU2998" s="449"/>
      <c r="DMV2998" s="462"/>
      <c r="DMW2998" s="299"/>
      <c r="DMX2998" s="81"/>
      <c r="DMY2998" s="160"/>
      <c r="DMZ2998" s="562"/>
      <c r="DNA2998" s="125"/>
      <c r="DNB2998" s="470"/>
      <c r="DNC2998" s="449"/>
      <c r="DND2998" s="462"/>
      <c r="DNE2998" s="299"/>
      <c r="DNF2998" s="81"/>
      <c r="DNG2998" s="160"/>
      <c r="DNH2998" s="562"/>
      <c r="DNI2998" s="125"/>
      <c r="DNJ2998" s="470"/>
      <c r="DNK2998" s="449"/>
      <c r="DNL2998" s="462"/>
      <c r="DNM2998" s="299"/>
      <c r="DNN2998" s="81"/>
      <c r="DNO2998" s="160"/>
      <c r="DNP2998" s="562"/>
      <c r="DNQ2998" s="125"/>
      <c r="DNR2998" s="470"/>
      <c r="DNS2998" s="449"/>
      <c r="DNT2998" s="462"/>
      <c r="DNU2998" s="299"/>
      <c r="DNV2998" s="81"/>
      <c r="DNW2998" s="160"/>
      <c r="DNX2998" s="562"/>
      <c r="DNY2998" s="125"/>
      <c r="DNZ2998" s="470"/>
      <c r="DOA2998" s="449"/>
      <c r="DOB2998" s="462"/>
      <c r="DOC2998" s="299"/>
      <c r="DOD2998" s="81"/>
      <c r="DOE2998" s="160"/>
      <c r="DOF2998" s="562"/>
      <c r="DOG2998" s="125"/>
      <c r="DOH2998" s="470"/>
      <c r="DOI2998" s="449"/>
      <c r="DOJ2998" s="462"/>
      <c r="DOK2998" s="299"/>
      <c r="DOL2998" s="81"/>
      <c r="DOM2998" s="160"/>
      <c r="DON2998" s="562"/>
      <c r="DOO2998" s="125"/>
      <c r="DOP2998" s="470"/>
      <c r="DOQ2998" s="449"/>
      <c r="DOR2998" s="462"/>
      <c r="DOS2998" s="299"/>
      <c r="DOT2998" s="81"/>
      <c r="DOU2998" s="160"/>
      <c r="DOV2998" s="562"/>
      <c r="DOW2998" s="125"/>
      <c r="DOX2998" s="470"/>
      <c r="DOY2998" s="449"/>
      <c r="DOZ2998" s="462"/>
      <c r="DPA2998" s="299"/>
      <c r="DPB2998" s="81"/>
      <c r="DPC2998" s="160"/>
      <c r="DPD2998" s="562"/>
      <c r="DPE2998" s="125"/>
      <c r="DPF2998" s="470"/>
      <c r="DPG2998" s="449"/>
      <c r="DPH2998" s="462"/>
      <c r="DPI2998" s="299"/>
      <c r="DPJ2998" s="81"/>
      <c r="DPK2998" s="160"/>
      <c r="DPL2998" s="562"/>
      <c r="DPM2998" s="125"/>
      <c r="DPN2998" s="470"/>
      <c r="DPO2998" s="449"/>
      <c r="DPP2998" s="462"/>
      <c r="DPQ2998" s="299"/>
      <c r="DPR2998" s="81"/>
      <c r="DPS2998" s="160"/>
      <c r="DPT2998" s="562"/>
      <c r="DPU2998" s="125"/>
      <c r="DPV2998" s="470"/>
      <c r="DPW2998" s="449"/>
      <c r="DPX2998" s="462"/>
      <c r="DPY2998" s="299"/>
      <c r="DPZ2998" s="81"/>
      <c r="DQA2998" s="160"/>
      <c r="DQB2998" s="562"/>
      <c r="DQC2998" s="125"/>
      <c r="DQD2998" s="470"/>
      <c r="DQE2998" s="449"/>
      <c r="DQF2998" s="462"/>
      <c r="DQG2998" s="299"/>
      <c r="DQH2998" s="81"/>
      <c r="DQI2998" s="160"/>
      <c r="DQJ2998" s="562"/>
      <c r="DQK2998" s="125"/>
      <c r="DQL2998" s="470"/>
      <c r="DQM2998" s="449"/>
      <c r="DQN2998" s="462"/>
      <c r="DQO2998" s="299"/>
      <c r="DQP2998" s="81"/>
      <c r="DQQ2998" s="160"/>
      <c r="DQR2998" s="562"/>
      <c r="DQS2998" s="125"/>
      <c r="DQT2998" s="470"/>
      <c r="DQU2998" s="449"/>
      <c r="DQV2998" s="462"/>
      <c r="DQW2998" s="299"/>
      <c r="DQX2998" s="81"/>
      <c r="DQY2998" s="160"/>
      <c r="DQZ2998" s="562"/>
      <c r="DRA2998" s="125"/>
      <c r="DRB2998" s="470"/>
      <c r="DRC2998" s="449"/>
      <c r="DRD2998" s="462"/>
      <c r="DRE2998" s="299"/>
      <c r="DRF2998" s="81"/>
      <c r="DRG2998" s="160"/>
      <c r="DRH2998" s="562"/>
      <c r="DRI2998" s="125"/>
      <c r="DRJ2998" s="470"/>
      <c r="DRK2998" s="449"/>
      <c r="DRL2998" s="462"/>
      <c r="DRM2998" s="299"/>
      <c r="DRN2998" s="81"/>
      <c r="DRO2998" s="160"/>
      <c r="DRP2998" s="562"/>
      <c r="DRQ2998" s="125"/>
      <c r="DRR2998" s="470"/>
      <c r="DRS2998" s="449"/>
      <c r="DRT2998" s="462"/>
      <c r="DRU2998" s="299"/>
      <c r="DRV2998" s="81"/>
      <c r="DRW2998" s="160"/>
      <c r="DRX2998" s="562"/>
      <c r="DRY2998" s="125"/>
      <c r="DRZ2998" s="470"/>
      <c r="DSA2998" s="449"/>
      <c r="DSB2998" s="462"/>
      <c r="DSC2998" s="299"/>
      <c r="DSD2998" s="81"/>
      <c r="DSE2998" s="160"/>
      <c r="DSF2998" s="562"/>
      <c r="DSG2998" s="125"/>
      <c r="DSH2998" s="470"/>
      <c r="DSI2998" s="449"/>
      <c r="DSJ2998" s="462"/>
      <c r="DSK2998" s="299"/>
      <c r="DSL2998" s="81"/>
      <c r="DSM2998" s="160"/>
      <c r="DSN2998" s="562"/>
      <c r="DSO2998" s="125"/>
      <c r="DSP2998" s="470"/>
      <c r="DSQ2998" s="449"/>
      <c r="DSR2998" s="462"/>
      <c r="DSS2998" s="299"/>
      <c r="DST2998" s="81"/>
      <c r="DSU2998" s="160"/>
      <c r="DSV2998" s="562"/>
      <c r="DSW2998" s="125"/>
      <c r="DSX2998" s="470"/>
      <c r="DSY2998" s="449"/>
      <c r="DSZ2998" s="462"/>
      <c r="DTA2998" s="299"/>
      <c r="DTB2998" s="81"/>
      <c r="DTC2998" s="160"/>
      <c r="DTD2998" s="562"/>
      <c r="DTE2998" s="125"/>
      <c r="DTF2998" s="470"/>
      <c r="DTG2998" s="449"/>
      <c r="DTH2998" s="462"/>
      <c r="DTI2998" s="299"/>
      <c r="DTJ2998" s="81"/>
      <c r="DTK2998" s="160"/>
      <c r="DTL2998" s="562"/>
      <c r="DTM2998" s="125"/>
      <c r="DTN2998" s="470"/>
      <c r="DTO2998" s="449"/>
      <c r="DTP2998" s="462"/>
      <c r="DTQ2998" s="299"/>
      <c r="DTR2998" s="81"/>
      <c r="DTS2998" s="160"/>
      <c r="DTT2998" s="562"/>
      <c r="DTU2998" s="125"/>
      <c r="DTV2998" s="470"/>
      <c r="DTW2998" s="449"/>
      <c r="DTX2998" s="462"/>
      <c r="DTY2998" s="299"/>
      <c r="DTZ2998" s="81"/>
      <c r="DUA2998" s="160"/>
      <c r="DUB2998" s="562"/>
      <c r="DUC2998" s="125"/>
      <c r="DUD2998" s="470"/>
      <c r="DUE2998" s="449"/>
      <c r="DUF2998" s="462"/>
      <c r="DUG2998" s="299"/>
      <c r="DUH2998" s="81"/>
      <c r="DUI2998" s="160"/>
      <c r="DUJ2998" s="562"/>
      <c r="DUK2998" s="125"/>
      <c r="DUL2998" s="470"/>
      <c r="DUM2998" s="449"/>
      <c r="DUN2998" s="462"/>
      <c r="DUO2998" s="299"/>
      <c r="DUP2998" s="81"/>
      <c r="DUQ2998" s="160"/>
      <c r="DUR2998" s="562"/>
      <c r="DUS2998" s="125"/>
      <c r="DUT2998" s="470"/>
      <c r="DUU2998" s="449"/>
      <c r="DUV2998" s="462"/>
      <c r="DUW2998" s="299"/>
      <c r="DUX2998" s="81"/>
      <c r="DUY2998" s="160"/>
      <c r="DUZ2998" s="562"/>
      <c r="DVA2998" s="125"/>
      <c r="DVB2998" s="470"/>
      <c r="DVC2998" s="449"/>
      <c r="DVD2998" s="462"/>
      <c r="DVE2998" s="299"/>
      <c r="DVF2998" s="81"/>
      <c r="DVG2998" s="160"/>
      <c r="DVH2998" s="562"/>
      <c r="DVI2998" s="125"/>
      <c r="DVJ2998" s="470"/>
      <c r="DVK2998" s="449"/>
      <c r="DVL2998" s="462"/>
      <c r="DVM2998" s="299"/>
      <c r="DVN2998" s="81"/>
      <c r="DVO2998" s="160"/>
      <c r="DVP2998" s="562"/>
      <c r="DVQ2998" s="125"/>
      <c r="DVR2998" s="470"/>
      <c r="DVS2998" s="449"/>
      <c r="DVT2998" s="462"/>
      <c r="DVU2998" s="299"/>
      <c r="DVV2998" s="81"/>
      <c r="DVW2998" s="160"/>
      <c r="DVX2998" s="562"/>
      <c r="DVY2998" s="125"/>
      <c r="DVZ2998" s="470"/>
      <c r="DWA2998" s="449"/>
      <c r="DWB2998" s="462"/>
      <c r="DWC2998" s="299"/>
      <c r="DWD2998" s="81"/>
      <c r="DWE2998" s="160"/>
      <c r="DWF2998" s="562"/>
      <c r="DWG2998" s="125"/>
      <c r="DWH2998" s="470"/>
      <c r="DWI2998" s="449"/>
      <c r="DWJ2998" s="462"/>
      <c r="DWK2998" s="299"/>
      <c r="DWL2998" s="81"/>
      <c r="DWM2998" s="160"/>
      <c r="DWN2998" s="562"/>
      <c r="DWO2998" s="125"/>
      <c r="DWP2998" s="470"/>
      <c r="DWQ2998" s="449"/>
      <c r="DWR2998" s="462"/>
      <c r="DWS2998" s="299"/>
      <c r="DWT2998" s="81"/>
      <c r="DWU2998" s="160"/>
      <c r="DWV2998" s="562"/>
      <c r="DWW2998" s="125"/>
      <c r="DWX2998" s="470"/>
      <c r="DWY2998" s="449"/>
      <c r="DWZ2998" s="462"/>
      <c r="DXA2998" s="299"/>
      <c r="DXB2998" s="81"/>
      <c r="DXC2998" s="160"/>
      <c r="DXD2998" s="562"/>
      <c r="DXE2998" s="125"/>
      <c r="DXF2998" s="470"/>
      <c r="DXG2998" s="449"/>
      <c r="DXH2998" s="462"/>
      <c r="DXI2998" s="299"/>
      <c r="DXJ2998" s="81"/>
      <c r="DXK2998" s="160"/>
      <c r="DXL2998" s="562"/>
      <c r="DXM2998" s="125"/>
      <c r="DXN2998" s="470"/>
      <c r="DXO2998" s="449"/>
      <c r="DXP2998" s="462"/>
      <c r="DXQ2998" s="299"/>
      <c r="DXR2998" s="81"/>
      <c r="DXS2998" s="160"/>
      <c r="DXT2998" s="562"/>
      <c r="DXU2998" s="125"/>
      <c r="DXV2998" s="470"/>
      <c r="DXW2998" s="449"/>
      <c r="DXX2998" s="462"/>
      <c r="DXY2998" s="299"/>
      <c r="DXZ2998" s="81"/>
      <c r="DYA2998" s="160"/>
      <c r="DYB2998" s="562"/>
      <c r="DYC2998" s="125"/>
      <c r="DYD2998" s="470"/>
      <c r="DYE2998" s="449"/>
      <c r="DYF2998" s="462"/>
      <c r="DYG2998" s="299"/>
      <c r="DYH2998" s="81"/>
      <c r="DYI2998" s="160"/>
      <c r="DYJ2998" s="562"/>
      <c r="DYK2998" s="125"/>
      <c r="DYL2998" s="470"/>
      <c r="DYM2998" s="449"/>
      <c r="DYN2998" s="462"/>
      <c r="DYO2998" s="299"/>
      <c r="DYP2998" s="81"/>
      <c r="DYQ2998" s="160"/>
      <c r="DYR2998" s="562"/>
      <c r="DYS2998" s="125"/>
      <c r="DYT2998" s="470"/>
      <c r="DYU2998" s="449"/>
      <c r="DYV2998" s="462"/>
      <c r="DYW2998" s="299"/>
      <c r="DYX2998" s="81"/>
      <c r="DYY2998" s="160"/>
      <c r="DYZ2998" s="562"/>
      <c r="DZA2998" s="125"/>
      <c r="DZB2998" s="470"/>
      <c r="DZC2998" s="449"/>
      <c r="DZD2998" s="462"/>
      <c r="DZE2998" s="299"/>
      <c r="DZF2998" s="81"/>
      <c r="DZG2998" s="160"/>
      <c r="DZH2998" s="562"/>
      <c r="DZI2998" s="125"/>
      <c r="DZJ2998" s="470"/>
      <c r="DZK2998" s="449"/>
      <c r="DZL2998" s="462"/>
      <c r="DZM2998" s="299"/>
      <c r="DZN2998" s="81"/>
      <c r="DZO2998" s="160"/>
      <c r="DZP2998" s="562"/>
      <c r="DZQ2998" s="125"/>
      <c r="DZR2998" s="470"/>
      <c r="DZS2998" s="449"/>
      <c r="DZT2998" s="462"/>
      <c r="DZU2998" s="299"/>
      <c r="DZV2998" s="81"/>
      <c r="DZW2998" s="160"/>
      <c r="DZX2998" s="562"/>
      <c r="DZY2998" s="125"/>
      <c r="DZZ2998" s="470"/>
      <c r="EAA2998" s="449"/>
      <c r="EAB2998" s="462"/>
      <c r="EAC2998" s="299"/>
      <c r="EAD2998" s="81"/>
      <c r="EAE2998" s="160"/>
      <c r="EAF2998" s="562"/>
      <c r="EAG2998" s="125"/>
      <c r="EAH2998" s="470"/>
      <c r="EAI2998" s="449"/>
      <c r="EAJ2998" s="462"/>
      <c r="EAK2998" s="299"/>
      <c r="EAL2998" s="81"/>
      <c r="EAM2998" s="160"/>
      <c r="EAN2998" s="562"/>
      <c r="EAO2998" s="125"/>
      <c r="EAP2998" s="470"/>
      <c r="EAQ2998" s="449"/>
      <c r="EAR2998" s="462"/>
      <c r="EAS2998" s="299"/>
      <c r="EAT2998" s="81"/>
      <c r="EAU2998" s="160"/>
      <c r="EAV2998" s="562"/>
      <c r="EAW2998" s="125"/>
      <c r="EAX2998" s="470"/>
      <c r="EAY2998" s="449"/>
      <c r="EAZ2998" s="462"/>
      <c r="EBA2998" s="299"/>
      <c r="EBB2998" s="81"/>
      <c r="EBC2998" s="160"/>
      <c r="EBD2998" s="562"/>
      <c r="EBE2998" s="125"/>
      <c r="EBF2998" s="470"/>
      <c r="EBG2998" s="449"/>
      <c r="EBH2998" s="462"/>
      <c r="EBI2998" s="299"/>
      <c r="EBJ2998" s="81"/>
      <c r="EBK2998" s="160"/>
      <c r="EBL2998" s="562"/>
      <c r="EBM2998" s="125"/>
      <c r="EBN2998" s="470"/>
      <c r="EBO2998" s="449"/>
      <c r="EBP2998" s="462"/>
      <c r="EBQ2998" s="299"/>
      <c r="EBR2998" s="81"/>
      <c r="EBS2998" s="160"/>
      <c r="EBT2998" s="562"/>
      <c r="EBU2998" s="125"/>
      <c r="EBV2998" s="470"/>
      <c r="EBW2998" s="449"/>
      <c r="EBX2998" s="462"/>
      <c r="EBY2998" s="299"/>
      <c r="EBZ2998" s="81"/>
      <c r="ECA2998" s="160"/>
      <c r="ECB2998" s="562"/>
      <c r="ECC2998" s="125"/>
      <c r="ECD2998" s="470"/>
      <c r="ECE2998" s="449"/>
      <c r="ECF2998" s="462"/>
      <c r="ECG2998" s="299"/>
      <c r="ECH2998" s="81"/>
      <c r="ECI2998" s="160"/>
      <c r="ECJ2998" s="562"/>
      <c r="ECK2998" s="125"/>
      <c r="ECL2998" s="470"/>
      <c r="ECM2998" s="449"/>
      <c r="ECN2998" s="462"/>
      <c r="ECO2998" s="299"/>
      <c r="ECP2998" s="81"/>
      <c r="ECQ2998" s="160"/>
      <c r="ECR2998" s="562"/>
      <c r="ECS2998" s="125"/>
      <c r="ECT2998" s="470"/>
      <c r="ECU2998" s="449"/>
      <c r="ECV2998" s="462"/>
      <c r="ECW2998" s="299"/>
      <c r="ECX2998" s="81"/>
      <c r="ECY2998" s="160"/>
      <c r="ECZ2998" s="562"/>
      <c r="EDA2998" s="125"/>
      <c r="EDB2998" s="470"/>
      <c r="EDC2998" s="449"/>
      <c r="EDD2998" s="462"/>
      <c r="EDE2998" s="299"/>
      <c r="EDF2998" s="81"/>
      <c r="EDG2998" s="160"/>
      <c r="EDH2998" s="562"/>
      <c r="EDI2998" s="125"/>
      <c r="EDJ2998" s="470"/>
      <c r="EDK2998" s="449"/>
      <c r="EDL2998" s="462"/>
      <c r="EDM2998" s="299"/>
      <c r="EDN2998" s="81"/>
      <c r="EDO2998" s="160"/>
      <c r="EDP2998" s="562"/>
      <c r="EDQ2998" s="125"/>
      <c r="EDR2998" s="470"/>
      <c r="EDS2998" s="449"/>
      <c r="EDT2998" s="462"/>
      <c r="EDU2998" s="299"/>
      <c r="EDV2998" s="81"/>
      <c r="EDW2998" s="160"/>
      <c r="EDX2998" s="562"/>
      <c r="EDY2998" s="125"/>
      <c r="EDZ2998" s="470"/>
      <c r="EEA2998" s="449"/>
      <c r="EEB2998" s="462"/>
      <c r="EEC2998" s="299"/>
      <c r="EED2998" s="81"/>
      <c r="EEE2998" s="160"/>
      <c r="EEF2998" s="562"/>
      <c r="EEG2998" s="125"/>
      <c r="EEH2998" s="470"/>
      <c r="EEI2998" s="449"/>
      <c r="EEJ2998" s="462"/>
      <c r="EEK2998" s="299"/>
      <c r="EEL2998" s="81"/>
      <c r="EEM2998" s="160"/>
      <c r="EEN2998" s="562"/>
      <c r="EEO2998" s="125"/>
      <c r="EEP2998" s="470"/>
      <c r="EEQ2998" s="449"/>
      <c r="EER2998" s="462"/>
      <c r="EES2998" s="299"/>
      <c r="EET2998" s="81"/>
      <c r="EEU2998" s="160"/>
      <c r="EEV2998" s="562"/>
      <c r="EEW2998" s="125"/>
      <c r="EEX2998" s="470"/>
      <c r="EEY2998" s="449"/>
      <c r="EEZ2998" s="462"/>
      <c r="EFA2998" s="299"/>
      <c r="EFB2998" s="81"/>
      <c r="EFC2998" s="160"/>
      <c r="EFD2998" s="562"/>
      <c r="EFE2998" s="125"/>
      <c r="EFF2998" s="470"/>
      <c r="EFG2998" s="449"/>
      <c r="EFH2998" s="462"/>
      <c r="EFI2998" s="299"/>
      <c r="EFJ2998" s="81"/>
      <c r="EFK2998" s="160"/>
      <c r="EFL2998" s="562"/>
      <c r="EFM2998" s="125"/>
      <c r="EFN2998" s="470"/>
      <c r="EFO2998" s="449"/>
      <c r="EFP2998" s="462"/>
      <c r="EFQ2998" s="299"/>
      <c r="EFR2998" s="81"/>
      <c r="EFS2998" s="160"/>
      <c r="EFT2998" s="562"/>
      <c r="EFU2998" s="125"/>
      <c r="EFV2998" s="470"/>
      <c r="EFW2998" s="449"/>
      <c r="EFX2998" s="462"/>
      <c r="EFY2998" s="299"/>
      <c r="EFZ2998" s="81"/>
      <c r="EGA2998" s="160"/>
      <c r="EGB2998" s="562"/>
      <c r="EGC2998" s="125"/>
      <c r="EGD2998" s="470"/>
      <c r="EGE2998" s="449"/>
      <c r="EGF2998" s="462"/>
      <c r="EGG2998" s="299"/>
      <c r="EGH2998" s="81"/>
      <c r="EGI2998" s="160"/>
      <c r="EGJ2998" s="562"/>
      <c r="EGK2998" s="125"/>
      <c r="EGL2998" s="470"/>
      <c r="EGM2998" s="449"/>
      <c r="EGN2998" s="462"/>
      <c r="EGO2998" s="299"/>
      <c r="EGP2998" s="81"/>
      <c r="EGQ2998" s="160"/>
      <c r="EGR2998" s="562"/>
      <c r="EGS2998" s="125"/>
      <c r="EGT2998" s="470"/>
      <c r="EGU2998" s="449"/>
      <c r="EGV2998" s="462"/>
      <c r="EGW2998" s="299"/>
      <c r="EGX2998" s="81"/>
      <c r="EGY2998" s="160"/>
      <c r="EGZ2998" s="562"/>
      <c r="EHA2998" s="125"/>
      <c r="EHB2998" s="470"/>
      <c r="EHC2998" s="449"/>
      <c r="EHD2998" s="462"/>
      <c r="EHE2998" s="299"/>
      <c r="EHF2998" s="81"/>
      <c r="EHG2998" s="160"/>
      <c r="EHH2998" s="562"/>
      <c r="EHI2998" s="125"/>
      <c r="EHJ2998" s="470"/>
      <c r="EHK2998" s="449"/>
      <c r="EHL2998" s="462"/>
      <c r="EHM2998" s="299"/>
      <c r="EHN2998" s="81"/>
      <c r="EHO2998" s="160"/>
      <c r="EHP2998" s="562"/>
      <c r="EHQ2998" s="125"/>
      <c r="EHR2998" s="470"/>
      <c r="EHS2998" s="449"/>
      <c r="EHT2998" s="462"/>
      <c r="EHU2998" s="299"/>
      <c r="EHV2998" s="81"/>
      <c r="EHW2998" s="160"/>
      <c r="EHX2998" s="562"/>
      <c r="EHY2998" s="125"/>
      <c r="EHZ2998" s="470"/>
      <c r="EIA2998" s="449"/>
      <c r="EIB2998" s="462"/>
      <c r="EIC2998" s="299"/>
      <c r="EID2998" s="81"/>
      <c r="EIE2998" s="160"/>
      <c r="EIF2998" s="562"/>
      <c r="EIG2998" s="125"/>
      <c r="EIH2998" s="470"/>
      <c r="EII2998" s="449"/>
      <c r="EIJ2998" s="462"/>
      <c r="EIK2998" s="299"/>
      <c r="EIL2998" s="81"/>
      <c r="EIM2998" s="160"/>
      <c r="EIN2998" s="562"/>
      <c r="EIO2998" s="125"/>
      <c r="EIP2998" s="470"/>
      <c r="EIQ2998" s="449"/>
      <c r="EIR2998" s="462"/>
      <c r="EIS2998" s="299"/>
      <c r="EIT2998" s="81"/>
      <c r="EIU2998" s="160"/>
      <c r="EIV2998" s="562"/>
      <c r="EIW2998" s="125"/>
      <c r="EIX2998" s="470"/>
      <c r="EIY2998" s="449"/>
      <c r="EIZ2998" s="462"/>
      <c r="EJA2998" s="299"/>
      <c r="EJB2998" s="81"/>
      <c r="EJC2998" s="160"/>
      <c r="EJD2998" s="562"/>
      <c r="EJE2998" s="125"/>
      <c r="EJF2998" s="470"/>
      <c r="EJG2998" s="449"/>
      <c r="EJH2998" s="462"/>
      <c r="EJI2998" s="299"/>
      <c r="EJJ2998" s="81"/>
      <c r="EJK2998" s="160"/>
      <c r="EJL2998" s="562"/>
      <c r="EJM2998" s="125"/>
      <c r="EJN2998" s="470"/>
      <c r="EJO2998" s="449"/>
      <c r="EJP2998" s="462"/>
      <c r="EJQ2998" s="299"/>
      <c r="EJR2998" s="81"/>
      <c r="EJS2998" s="160"/>
      <c r="EJT2998" s="562"/>
      <c r="EJU2998" s="125"/>
      <c r="EJV2998" s="470"/>
      <c r="EJW2998" s="449"/>
      <c r="EJX2998" s="462"/>
      <c r="EJY2998" s="299"/>
      <c r="EJZ2998" s="81"/>
      <c r="EKA2998" s="160"/>
      <c r="EKB2998" s="562"/>
      <c r="EKC2998" s="125"/>
      <c r="EKD2998" s="470"/>
      <c r="EKE2998" s="449"/>
      <c r="EKF2998" s="462"/>
      <c r="EKG2998" s="299"/>
      <c r="EKH2998" s="81"/>
      <c r="EKI2998" s="160"/>
      <c r="EKJ2998" s="562"/>
      <c r="EKK2998" s="125"/>
      <c r="EKL2998" s="470"/>
      <c r="EKM2998" s="449"/>
      <c r="EKN2998" s="462"/>
      <c r="EKO2998" s="299"/>
      <c r="EKP2998" s="81"/>
      <c r="EKQ2998" s="160"/>
      <c r="EKR2998" s="562"/>
      <c r="EKS2998" s="125"/>
      <c r="EKT2998" s="470"/>
      <c r="EKU2998" s="449"/>
      <c r="EKV2998" s="462"/>
      <c r="EKW2998" s="299"/>
      <c r="EKX2998" s="81"/>
      <c r="EKY2998" s="160"/>
      <c r="EKZ2998" s="562"/>
      <c r="ELA2998" s="125"/>
      <c r="ELB2998" s="470"/>
      <c r="ELC2998" s="449"/>
      <c r="ELD2998" s="462"/>
      <c r="ELE2998" s="299"/>
      <c r="ELF2998" s="81"/>
      <c r="ELG2998" s="160"/>
      <c r="ELH2998" s="562"/>
      <c r="ELI2998" s="125"/>
      <c r="ELJ2998" s="470"/>
      <c r="ELK2998" s="449"/>
      <c r="ELL2998" s="462"/>
      <c r="ELM2998" s="299"/>
      <c r="ELN2998" s="81"/>
      <c r="ELO2998" s="160"/>
      <c r="ELP2998" s="562"/>
      <c r="ELQ2998" s="125"/>
      <c r="ELR2998" s="470"/>
      <c r="ELS2998" s="449"/>
      <c r="ELT2998" s="462"/>
      <c r="ELU2998" s="299"/>
      <c r="ELV2998" s="81"/>
      <c r="ELW2998" s="160"/>
      <c r="ELX2998" s="562"/>
      <c r="ELY2998" s="125"/>
      <c r="ELZ2998" s="470"/>
      <c r="EMA2998" s="449"/>
      <c r="EMB2998" s="462"/>
      <c r="EMC2998" s="299"/>
      <c r="EMD2998" s="81"/>
      <c r="EME2998" s="160"/>
      <c r="EMF2998" s="562"/>
      <c r="EMG2998" s="125"/>
      <c r="EMH2998" s="470"/>
      <c r="EMI2998" s="449"/>
      <c r="EMJ2998" s="462"/>
      <c r="EMK2998" s="299"/>
      <c r="EML2998" s="81"/>
      <c r="EMM2998" s="160"/>
      <c r="EMN2998" s="562"/>
      <c r="EMO2998" s="125"/>
      <c r="EMP2998" s="470"/>
      <c r="EMQ2998" s="449"/>
      <c r="EMR2998" s="462"/>
      <c r="EMS2998" s="299"/>
      <c r="EMT2998" s="81"/>
      <c r="EMU2998" s="160"/>
      <c r="EMV2998" s="562"/>
      <c r="EMW2998" s="125"/>
      <c r="EMX2998" s="470"/>
      <c r="EMY2998" s="449"/>
      <c r="EMZ2998" s="462"/>
      <c r="ENA2998" s="299"/>
      <c r="ENB2998" s="81"/>
      <c r="ENC2998" s="160"/>
      <c r="END2998" s="562"/>
      <c r="ENE2998" s="125"/>
      <c r="ENF2998" s="470"/>
      <c r="ENG2998" s="449"/>
      <c r="ENH2998" s="462"/>
      <c r="ENI2998" s="299"/>
      <c r="ENJ2998" s="81"/>
      <c r="ENK2998" s="160"/>
      <c r="ENL2998" s="562"/>
      <c r="ENM2998" s="125"/>
      <c r="ENN2998" s="470"/>
      <c r="ENO2998" s="449"/>
      <c r="ENP2998" s="462"/>
      <c r="ENQ2998" s="299"/>
      <c r="ENR2998" s="81"/>
      <c r="ENS2998" s="160"/>
      <c r="ENT2998" s="562"/>
      <c r="ENU2998" s="125"/>
      <c r="ENV2998" s="470"/>
      <c r="ENW2998" s="449"/>
      <c r="ENX2998" s="462"/>
      <c r="ENY2998" s="299"/>
      <c r="ENZ2998" s="81"/>
      <c r="EOA2998" s="160"/>
      <c r="EOB2998" s="562"/>
      <c r="EOC2998" s="125"/>
      <c r="EOD2998" s="470"/>
      <c r="EOE2998" s="449"/>
      <c r="EOF2998" s="462"/>
      <c r="EOG2998" s="299"/>
      <c r="EOH2998" s="81"/>
      <c r="EOI2998" s="160"/>
      <c r="EOJ2998" s="562"/>
      <c r="EOK2998" s="125"/>
      <c r="EOL2998" s="470"/>
      <c r="EOM2998" s="449"/>
      <c r="EON2998" s="462"/>
      <c r="EOO2998" s="299"/>
      <c r="EOP2998" s="81"/>
      <c r="EOQ2998" s="160"/>
      <c r="EOR2998" s="562"/>
      <c r="EOS2998" s="125"/>
      <c r="EOT2998" s="470"/>
      <c r="EOU2998" s="449"/>
      <c r="EOV2998" s="462"/>
      <c r="EOW2998" s="299"/>
      <c r="EOX2998" s="81"/>
      <c r="EOY2998" s="160"/>
      <c r="EOZ2998" s="562"/>
      <c r="EPA2998" s="125"/>
      <c r="EPB2998" s="470"/>
      <c r="EPC2998" s="449"/>
      <c r="EPD2998" s="462"/>
      <c r="EPE2998" s="299"/>
      <c r="EPF2998" s="81"/>
      <c r="EPG2998" s="160"/>
      <c r="EPH2998" s="562"/>
      <c r="EPI2998" s="125"/>
      <c r="EPJ2998" s="470"/>
      <c r="EPK2998" s="449"/>
      <c r="EPL2998" s="462"/>
      <c r="EPM2998" s="299"/>
      <c r="EPN2998" s="81"/>
      <c r="EPO2998" s="160"/>
      <c r="EPP2998" s="562"/>
      <c r="EPQ2998" s="125"/>
      <c r="EPR2998" s="470"/>
      <c r="EPS2998" s="449"/>
      <c r="EPT2998" s="462"/>
      <c r="EPU2998" s="299"/>
      <c r="EPV2998" s="81"/>
      <c r="EPW2998" s="160"/>
      <c r="EPX2998" s="562"/>
      <c r="EPY2998" s="125"/>
      <c r="EPZ2998" s="470"/>
      <c r="EQA2998" s="449"/>
      <c r="EQB2998" s="462"/>
      <c r="EQC2998" s="299"/>
      <c r="EQD2998" s="81"/>
      <c r="EQE2998" s="160"/>
      <c r="EQF2998" s="562"/>
      <c r="EQG2998" s="125"/>
      <c r="EQH2998" s="470"/>
      <c r="EQI2998" s="449"/>
      <c r="EQJ2998" s="462"/>
      <c r="EQK2998" s="299"/>
      <c r="EQL2998" s="81"/>
      <c r="EQM2998" s="160"/>
      <c r="EQN2998" s="562"/>
      <c r="EQO2998" s="125"/>
      <c r="EQP2998" s="470"/>
      <c r="EQQ2998" s="449"/>
      <c r="EQR2998" s="462"/>
      <c r="EQS2998" s="299"/>
      <c r="EQT2998" s="81"/>
      <c r="EQU2998" s="160"/>
      <c r="EQV2998" s="562"/>
      <c r="EQW2998" s="125"/>
      <c r="EQX2998" s="470"/>
      <c r="EQY2998" s="449"/>
      <c r="EQZ2998" s="462"/>
      <c r="ERA2998" s="299"/>
      <c r="ERB2998" s="81"/>
      <c r="ERC2998" s="160"/>
      <c r="ERD2998" s="562"/>
      <c r="ERE2998" s="125"/>
      <c r="ERF2998" s="470"/>
      <c r="ERG2998" s="449"/>
      <c r="ERH2998" s="462"/>
      <c r="ERI2998" s="299"/>
      <c r="ERJ2998" s="81"/>
      <c r="ERK2998" s="160"/>
      <c r="ERL2998" s="562"/>
      <c r="ERM2998" s="125"/>
      <c r="ERN2998" s="470"/>
      <c r="ERO2998" s="449"/>
      <c r="ERP2998" s="462"/>
      <c r="ERQ2998" s="299"/>
      <c r="ERR2998" s="81"/>
      <c r="ERS2998" s="160"/>
      <c r="ERT2998" s="562"/>
      <c r="ERU2998" s="125"/>
      <c r="ERV2998" s="470"/>
      <c r="ERW2998" s="449"/>
      <c r="ERX2998" s="462"/>
      <c r="ERY2998" s="299"/>
      <c r="ERZ2998" s="81"/>
      <c r="ESA2998" s="160"/>
      <c r="ESB2998" s="562"/>
      <c r="ESC2998" s="125"/>
      <c r="ESD2998" s="470"/>
      <c r="ESE2998" s="449"/>
      <c r="ESF2998" s="462"/>
      <c r="ESG2998" s="299"/>
      <c r="ESH2998" s="81"/>
      <c r="ESI2998" s="160"/>
      <c r="ESJ2998" s="562"/>
      <c r="ESK2998" s="125"/>
      <c r="ESL2998" s="470"/>
      <c r="ESM2998" s="449"/>
      <c r="ESN2998" s="462"/>
      <c r="ESO2998" s="299"/>
      <c r="ESP2998" s="81"/>
      <c r="ESQ2998" s="160"/>
      <c r="ESR2998" s="562"/>
      <c r="ESS2998" s="125"/>
      <c r="EST2998" s="470"/>
      <c r="ESU2998" s="449"/>
      <c r="ESV2998" s="462"/>
      <c r="ESW2998" s="299"/>
      <c r="ESX2998" s="81"/>
      <c r="ESY2998" s="160"/>
      <c r="ESZ2998" s="562"/>
      <c r="ETA2998" s="125"/>
      <c r="ETB2998" s="470"/>
      <c r="ETC2998" s="449"/>
      <c r="ETD2998" s="462"/>
      <c r="ETE2998" s="299"/>
      <c r="ETF2998" s="81"/>
      <c r="ETG2998" s="160"/>
      <c r="ETH2998" s="562"/>
      <c r="ETI2998" s="125"/>
      <c r="ETJ2998" s="470"/>
      <c r="ETK2998" s="449"/>
      <c r="ETL2998" s="462"/>
      <c r="ETM2998" s="299"/>
      <c r="ETN2998" s="81"/>
      <c r="ETO2998" s="160"/>
      <c r="ETP2998" s="562"/>
      <c r="ETQ2998" s="125"/>
      <c r="ETR2998" s="470"/>
      <c r="ETS2998" s="449"/>
      <c r="ETT2998" s="462"/>
      <c r="ETU2998" s="299"/>
      <c r="ETV2998" s="81"/>
      <c r="ETW2998" s="160"/>
      <c r="ETX2998" s="562"/>
      <c r="ETY2998" s="125"/>
      <c r="ETZ2998" s="470"/>
      <c r="EUA2998" s="449"/>
      <c r="EUB2998" s="462"/>
      <c r="EUC2998" s="299"/>
      <c r="EUD2998" s="81"/>
      <c r="EUE2998" s="160"/>
      <c r="EUF2998" s="562"/>
      <c r="EUG2998" s="125"/>
      <c r="EUH2998" s="470"/>
      <c r="EUI2998" s="449"/>
      <c r="EUJ2998" s="462"/>
      <c r="EUK2998" s="299"/>
      <c r="EUL2998" s="81"/>
      <c r="EUM2998" s="160"/>
      <c r="EUN2998" s="562"/>
      <c r="EUO2998" s="125"/>
      <c r="EUP2998" s="470"/>
      <c r="EUQ2998" s="449"/>
      <c r="EUR2998" s="462"/>
      <c r="EUS2998" s="299"/>
      <c r="EUT2998" s="81"/>
      <c r="EUU2998" s="160"/>
      <c r="EUV2998" s="562"/>
      <c r="EUW2998" s="125"/>
      <c r="EUX2998" s="470"/>
      <c r="EUY2998" s="449"/>
      <c r="EUZ2998" s="462"/>
      <c r="EVA2998" s="299"/>
      <c r="EVB2998" s="81"/>
      <c r="EVC2998" s="160"/>
      <c r="EVD2998" s="562"/>
      <c r="EVE2998" s="125"/>
      <c r="EVF2998" s="470"/>
      <c r="EVG2998" s="449"/>
      <c r="EVH2998" s="462"/>
      <c r="EVI2998" s="299"/>
      <c r="EVJ2998" s="81"/>
      <c r="EVK2998" s="160"/>
      <c r="EVL2998" s="562"/>
      <c r="EVM2998" s="125"/>
      <c r="EVN2998" s="470"/>
      <c r="EVO2998" s="449"/>
      <c r="EVP2998" s="462"/>
      <c r="EVQ2998" s="299"/>
      <c r="EVR2998" s="81"/>
      <c r="EVS2998" s="160"/>
      <c r="EVT2998" s="562"/>
      <c r="EVU2998" s="125"/>
      <c r="EVV2998" s="470"/>
      <c r="EVW2998" s="449"/>
      <c r="EVX2998" s="462"/>
      <c r="EVY2998" s="299"/>
      <c r="EVZ2998" s="81"/>
      <c r="EWA2998" s="160"/>
      <c r="EWB2998" s="562"/>
      <c r="EWC2998" s="125"/>
      <c r="EWD2998" s="470"/>
      <c r="EWE2998" s="449"/>
      <c r="EWF2998" s="462"/>
      <c r="EWG2998" s="299"/>
      <c r="EWH2998" s="81"/>
      <c r="EWI2998" s="160"/>
      <c r="EWJ2998" s="562"/>
      <c r="EWK2998" s="125"/>
      <c r="EWL2998" s="470"/>
      <c r="EWM2998" s="449"/>
      <c r="EWN2998" s="462"/>
      <c r="EWO2998" s="299"/>
      <c r="EWP2998" s="81"/>
      <c r="EWQ2998" s="160"/>
      <c r="EWR2998" s="562"/>
      <c r="EWS2998" s="125"/>
      <c r="EWT2998" s="470"/>
      <c r="EWU2998" s="449"/>
      <c r="EWV2998" s="462"/>
      <c r="EWW2998" s="299"/>
      <c r="EWX2998" s="81"/>
      <c r="EWY2998" s="160"/>
      <c r="EWZ2998" s="562"/>
      <c r="EXA2998" s="125"/>
      <c r="EXB2998" s="470"/>
      <c r="EXC2998" s="449"/>
      <c r="EXD2998" s="462"/>
      <c r="EXE2998" s="299"/>
      <c r="EXF2998" s="81"/>
      <c r="EXG2998" s="160"/>
      <c r="EXH2998" s="562"/>
      <c r="EXI2998" s="125"/>
      <c r="EXJ2998" s="470"/>
      <c r="EXK2998" s="449"/>
      <c r="EXL2998" s="462"/>
      <c r="EXM2998" s="299"/>
      <c r="EXN2998" s="81"/>
      <c r="EXO2998" s="160"/>
      <c r="EXP2998" s="562"/>
      <c r="EXQ2998" s="125"/>
      <c r="EXR2998" s="470"/>
      <c r="EXS2998" s="449"/>
      <c r="EXT2998" s="462"/>
      <c r="EXU2998" s="299"/>
      <c r="EXV2998" s="81"/>
      <c r="EXW2998" s="160"/>
      <c r="EXX2998" s="562"/>
      <c r="EXY2998" s="125"/>
      <c r="EXZ2998" s="470"/>
      <c r="EYA2998" s="449"/>
      <c r="EYB2998" s="462"/>
      <c r="EYC2998" s="299"/>
      <c r="EYD2998" s="81"/>
      <c r="EYE2998" s="160"/>
      <c r="EYF2998" s="562"/>
      <c r="EYG2998" s="125"/>
      <c r="EYH2998" s="470"/>
      <c r="EYI2998" s="449"/>
      <c r="EYJ2998" s="462"/>
      <c r="EYK2998" s="299"/>
      <c r="EYL2998" s="81"/>
      <c r="EYM2998" s="160"/>
      <c r="EYN2998" s="562"/>
      <c r="EYO2998" s="125"/>
      <c r="EYP2998" s="470"/>
      <c r="EYQ2998" s="449"/>
      <c r="EYR2998" s="462"/>
      <c r="EYS2998" s="299"/>
      <c r="EYT2998" s="81"/>
      <c r="EYU2998" s="160"/>
      <c r="EYV2998" s="562"/>
      <c r="EYW2998" s="125"/>
      <c r="EYX2998" s="470"/>
      <c r="EYY2998" s="449"/>
      <c r="EYZ2998" s="462"/>
      <c r="EZA2998" s="299"/>
      <c r="EZB2998" s="81"/>
      <c r="EZC2998" s="160"/>
      <c r="EZD2998" s="562"/>
      <c r="EZE2998" s="125"/>
      <c r="EZF2998" s="470"/>
      <c r="EZG2998" s="449"/>
      <c r="EZH2998" s="462"/>
      <c r="EZI2998" s="299"/>
      <c r="EZJ2998" s="81"/>
      <c r="EZK2998" s="160"/>
      <c r="EZL2998" s="562"/>
      <c r="EZM2998" s="125"/>
      <c r="EZN2998" s="470"/>
      <c r="EZO2998" s="449"/>
      <c r="EZP2998" s="462"/>
      <c r="EZQ2998" s="299"/>
      <c r="EZR2998" s="81"/>
      <c r="EZS2998" s="160"/>
      <c r="EZT2998" s="562"/>
      <c r="EZU2998" s="125"/>
      <c r="EZV2998" s="470"/>
      <c r="EZW2998" s="449"/>
      <c r="EZX2998" s="462"/>
      <c r="EZY2998" s="299"/>
      <c r="EZZ2998" s="81"/>
      <c r="FAA2998" s="160"/>
      <c r="FAB2998" s="562"/>
      <c r="FAC2998" s="125"/>
      <c r="FAD2998" s="470"/>
      <c r="FAE2998" s="449"/>
      <c r="FAF2998" s="462"/>
      <c r="FAG2998" s="299"/>
      <c r="FAH2998" s="81"/>
      <c r="FAI2998" s="160"/>
      <c r="FAJ2998" s="562"/>
      <c r="FAK2998" s="125"/>
      <c r="FAL2998" s="470"/>
      <c r="FAM2998" s="449"/>
      <c r="FAN2998" s="462"/>
      <c r="FAO2998" s="299"/>
      <c r="FAP2998" s="81"/>
      <c r="FAQ2998" s="160"/>
      <c r="FAR2998" s="562"/>
      <c r="FAS2998" s="125"/>
      <c r="FAT2998" s="470"/>
      <c r="FAU2998" s="449"/>
      <c r="FAV2998" s="462"/>
      <c r="FAW2998" s="299"/>
      <c r="FAX2998" s="81"/>
      <c r="FAY2998" s="160"/>
      <c r="FAZ2998" s="562"/>
      <c r="FBA2998" s="125"/>
      <c r="FBB2998" s="470"/>
      <c r="FBC2998" s="449"/>
      <c r="FBD2998" s="462"/>
      <c r="FBE2998" s="299"/>
      <c r="FBF2998" s="81"/>
      <c r="FBG2998" s="160"/>
      <c r="FBH2998" s="562"/>
      <c r="FBI2998" s="125"/>
      <c r="FBJ2998" s="470"/>
      <c r="FBK2998" s="449"/>
      <c r="FBL2998" s="462"/>
      <c r="FBM2998" s="299"/>
      <c r="FBN2998" s="81"/>
      <c r="FBO2998" s="160"/>
      <c r="FBP2998" s="562"/>
      <c r="FBQ2998" s="125"/>
      <c r="FBR2998" s="470"/>
      <c r="FBS2998" s="449"/>
      <c r="FBT2998" s="462"/>
      <c r="FBU2998" s="299"/>
      <c r="FBV2998" s="81"/>
      <c r="FBW2998" s="160"/>
      <c r="FBX2998" s="562"/>
      <c r="FBY2998" s="125"/>
      <c r="FBZ2998" s="470"/>
      <c r="FCA2998" s="449"/>
      <c r="FCB2998" s="462"/>
      <c r="FCC2998" s="299"/>
      <c r="FCD2998" s="81"/>
      <c r="FCE2998" s="160"/>
      <c r="FCF2998" s="562"/>
      <c r="FCG2998" s="125"/>
      <c r="FCH2998" s="470"/>
      <c r="FCI2998" s="449"/>
      <c r="FCJ2998" s="462"/>
      <c r="FCK2998" s="299"/>
      <c r="FCL2998" s="81"/>
      <c r="FCM2998" s="160"/>
      <c r="FCN2998" s="562"/>
      <c r="FCO2998" s="125"/>
      <c r="FCP2998" s="470"/>
      <c r="FCQ2998" s="449"/>
      <c r="FCR2998" s="462"/>
      <c r="FCS2998" s="299"/>
      <c r="FCT2998" s="81"/>
      <c r="FCU2998" s="160"/>
      <c r="FCV2998" s="562"/>
      <c r="FCW2998" s="125"/>
      <c r="FCX2998" s="470"/>
      <c r="FCY2998" s="449"/>
      <c r="FCZ2998" s="462"/>
      <c r="FDA2998" s="299"/>
      <c r="FDB2998" s="81"/>
      <c r="FDC2998" s="160"/>
      <c r="FDD2998" s="562"/>
      <c r="FDE2998" s="125"/>
      <c r="FDF2998" s="470"/>
      <c r="FDG2998" s="449"/>
      <c r="FDH2998" s="462"/>
      <c r="FDI2998" s="299"/>
      <c r="FDJ2998" s="81"/>
      <c r="FDK2998" s="160"/>
      <c r="FDL2998" s="562"/>
      <c r="FDM2998" s="125"/>
      <c r="FDN2998" s="470"/>
      <c r="FDO2998" s="449"/>
      <c r="FDP2998" s="462"/>
      <c r="FDQ2998" s="299"/>
      <c r="FDR2998" s="81"/>
      <c r="FDS2998" s="160"/>
      <c r="FDT2998" s="562"/>
      <c r="FDU2998" s="125"/>
      <c r="FDV2998" s="470"/>
      <c r="FDW2998" s="449"/>
      <c r="FDX2998" s="462"/>
      <c r="FDY2998" s="299"/>
      <c r="FDZ2998" s="81"/>
      <c r="FEA2998" s="160"/>
      <c r="FEB2998" s="562"/>
      <c r="FEC2998" s="125"/>
      <c r="FED2998" s="470"/>
      <c r="FEE2998" s="449"/>
      <c r="FEF2998" s="462"/>
      <c r="FEG2998" s="299"/>
      <c r="FEH2998" s="81"/>
      <c r="FEI2998" s="160"/>
      <c r="FEJ2998" s="562"/>
      <c r="FEK2998" s="125"/>
      <c r="FEL2998" s="470"/>
      <c r="FEM2998" s="449"/>
      <c r="FEN2998" s="462"/>
      <c r="FEO2998" s="299"/>
      <c r="FEP2998" s="81"/>
      <c r="FEQ2998" s="160"/>
      <c r="FER2998" s="562"/>
      <c r="FES2998" s="125"/>
      <c r="FET2998" s="470"/>
      <c r="FEU2998" s="449"/>
      <c r="FEV2998" s="462"/>
      <c r="FEW2998" s="299"/>
      <c r="FEX2998" s="81"/>
      <c r="FEY2998" s="160"/>
      <c r="FEZ2998" s="562"/>
      <c r="FFA2998" s="125"/>
      <c r="FFB2998" s="470"/>
      <c r="FFC2998" s="449"/>
      <c r="FFD2998" s="462"/>
      <c r="FFE2998" s="299"/>
      <c r="FFF2998" s="81"/>
      <c r="FFG2998" s="160"/>
      <c r="FFH2998" s="562"/>
      <c r="FFI2998" s="125"/>
      <c r="FFJ2998" s="470"/>
      <c r="FFK2998" s="449"/>
      <c r="FFL2998" s="462"/>
      <c r="FFM2998" s="299"/>
      <c r="FFN2998" s="81"/>
      <c r="FFO2998" s="160"/>
      <c r="FFP2998" s="562"/>
      <c r="FFQ2998" s="125"/>
      <c r="FFR2998" s="470"/>
      <c r="FFS2998" s="449"/>
      <c r="FFT2998" s="462"/>
      <c r="FFU2998" s="299"/>
      <c r="FFV2998" s="81"/>
      <c r="FFW2998" s="160"/>
      <c r="FFX2998" s="562"/>
      <c r="FFY2998" s="125"/>
      <c r="FFZ2998" s="470"/>
      <c r="FGA2998" s="449"/>
      <c r="FGB2998" s="462"/>
      <c r="FGC2998" s="299"/>
      <c r="FGD2998" s="81"/>
      <c r="FGE2998" s="160"/>
      <c r="FGF2998" s="562"/>
      <c r="FGG2998" s="125"/>
      <c r="FGH2998" s="470"/>
      <c r="FGI2998" s="449"/>
      <c r="FGJ2998" s="462"/>
      <c r="FGK2998" s="299"/>
      <c r="FGL2998" s="81"/>
      <c r="FGM2998" s="160"/>
      <c r="FGN2998" s="562"/>
      <c r="FGO2998" s="125"/>
      <c r="FGP2998" s="470"/>
      <c r="FGQ2998" s="449"/>
      <c r="FGR2998" s="462"/>
      <c r="FGS2998" s="299"/>
      <c r="FGT2998" s="81"/>
      <c r="FGU2998" s="160"/>
      <c r="FGV2998" s="562"/>
      <c r="FGW2998" s="125"/>
      <c r="FGX2998" s="470"/>
      <c r="FGY2998" s="449"/>
      <c r="FGZ2998" s="462"/>
      <c r="FHA2998" s="299"/>
      <c r="FHB2998" s="81"/>
      <c r="FHC2998" s="160"/>
      <c r="FHD2998" s="562"/>
      <c r="FHE2998" s="125"/>
      <c r="FHF2998" s="470"/>
      <c r="FHG2998" s="449"/>
      <c r="FHH2998" s="462"/>
      <c r="FHI2998" s="299"/>
      <c r="FHJ2998" s="81"/>
      <c r="FHK2998" s="160"/>
      <c r="FHL2998" s="562"/>
      <c r="FHM2998" s="125"/>
      <c r="FHN2998" s="470"/>
      <c r="FHO2998" s="449"/>
      <c r="FHP2998" s="462"/>
      <c r="FHQ2998" s="299"/>
      <c r="FHR2998" s="81"/>
      <c r="FHS2998" s="160"/>
      <c r="FHT2998" s="562"/>
      <c r="FHU2998" s="125"/>
      <c r="FHV2998" s="470"/>
      <c r="FHW2998" s="449"/>
      <c r="FHX2998" s="462"/>
      <c r="FHY2998" s="299"/>
      <c r="FHZ2998" s="81"/>
      <c r="FIA2998" s="160"/>
      <c r="FIB2998" s="562"/>
      <c r="FIC2998" s="125"/>
      <c r="FID2998" s="470"/>
      <c r="FIE2998" s="449"/>
      <c r="FIF2998" s="462"/>
      <c r="FIG2998" s="299"/>
      <c r="FIH2998" s="81"/>
      <c r="FII2998" s="160"/>
      <c r="FIJ2998" s="562"/>
      <c r="FIK2998" s="125"/>
      <c r="FIL2998" s="470"/>
      <c r="FIM2998" s="449"/>
      <c r="FIN2998" s="462"/>
      <c r="FIO2998" s="299"/>
      <c r="FIP2998" s="81"/>
      <c r="FIQ2998" s="160"/>
      <c r="FIR2998" s="562"/>
      <c r="FIS2998" s="125"/>
      <c r="FIT2998" s="470"/>
      <c r="FIU2998" s="449"/>
      <c r="FIV2998" s="462"/>
      <c r="FIW2998" s="299"/>
      <c r="FIX2998" s="81"/>
      <c r="FIY2998" s="160"/>
      <c r="FIZ2998" s="562"/>
      <c r="FJA2998" s="125"/>
      <c r="FJB2998" s="470"/>
      <c r="FJC2998" s="449"/>
      <c r="FJD2998" s="462"/>
      <c r="FJE2998" s="299"/>
      <c r="FJF2998" s="81"/>
      <c r="FJG2998" s="160"/>
      <c r="FJH2998" s="562"/>
      <c r="FJI2998" s="125"/>
      <c r="FJJ2998" s="470"/>
      <c r="FJK2998" s="449"/>
      <c r="FJL2998" s="462"/>
      <c r="FJM2998" s="299"/>
      <c r="FJN2998" s="81"/>
      <c r="FJO2998" s="160"/>
      <c r="FJP2998" s="562"/>
      <c r="FJQ2998" s="125"/>
      <c r="FJR2998" s="470"/>
      <c r="FJS2998" s="449"/>
      <c r="FJT2998" s="462"/>
      <c r="FJU2998" s="299"/>
      <c r="FJV2998" s="81"/>
      <c r="FJW2998" s="160"/>
      <c r="FJX2998" s="562"/>
      <c r="FJY2998" s="125"/>
      <c r="FJZ2998" s="470"/>
      <c r="FKA2998" s="449"/>
      <c r="FKB2998" s="462"/>
      <c r="FKC2998" s="299"/>
      <c r="FKD2998" s="81"/>
      <c r="FKE2998" s="160"/>
      <c r="FKF2998" s="562"/>
      <c r="FKG2998" s="125"/>
      <c r="FKH2998" s="470"/>
      <c r="FKI2998" s="449"/>
      <c r="FKJ2998" s="462"/>
      <c r="FKK2998" s="299"/>
      <c r="FKL2998" s="81"/>
      <c r="FKM2998" s="160"/>
      <c r="FKN2998" s="562"/>
      <c r="FKO2998" s="125"/>
      <c r="FKP2998" s="470"/>
      <c r="FKQ2998" s="449"/>
      <c r="FKR2998" s="462"/>
      <c r="FKS2998" s="299"/>
      <c r="FKT2998" s="81"/>
      <c r="FKU2998" s="160"/>
      <c r="FKV2998" s="562"/>
      <c r="FKW2998" s="125"/>
      <c r="FKX2998" s="470"/>
      <c r="FKY2998" s="449"/>
      <c r="FKZ2998" s="462"/>
      <c r="FLA2998" s="299"/>
      <c r="FLB2998" s="81"/>
      <c r="FLC2998" s="160"/>
      <c r="FLD2998" s="562"/>
      <c r="FLE2998" s="125"/>
      <c r="FLF2998" s="470"/>
      <c r="FLG2998" s="449"/>
      <c r="FLH2998" s="462"/>
      <c r="FLI2998" s="299"/>
      <c r="FLJ2998" s="81"/>
      <c r="FLK2998" s="160"/>
      <c r="FLL2998" s="562"/>
      <c r="FLM2998" s="125"/>
      <c r="FLN2998" s="470"/>
      <c r="FLO2998" s="449"/>
      <c r="FLP2998" s="462"/>
      <c r="FLQ2998" s="299"/>
      <c r="FLR2998" s="81"/>
      <c r="FLS2998" s="160"/>
      <c r="FLT2998" s="562"/>
      <c r="FLU2998" s="125"/>
      <c r="FLV2998" s="470"/>
      <c r="FLW2998" s="449"/>
      <c r="FLX2998" s="462"/>
      <c r="FLY2998" s="299"/>
      <c r="FLZ2998" s="81"/>
      <c r="FMA2998" s="160"/>
      <c r="FMB2998" s="562"/>
      <c r="FMC2998" s="125"/>
      <c r="FMD2998" s="470"/>
      <c r="FME2998" s="449"/>
      <c r="FMF2998" s="462"/>
      <c r="FMG2998" s="299"/>
      <c r="FMH2998" s="81"/>
      <c r="FMI2998" s="160"/>
      <c r="FMJ2998" s="562"/>
      <c r="FMK2998" s="125"/>
      <c r="FML2998" s="470"/>
      <c r="FMM2998" s="449"/>
      <c r="FMN2998" s="462"/>
      <c r="FMO2998" s="299"/>
      <c r="FMP2998" s="81"/>
      <c r="FMQ2998" s="160"/>
      <c r="FMR2998" s="562"/>
      <c r="FMS2998" s="125"/>
      <c r="FMT2998" s="470"/>
      <c r="FMU2998" s="449"/>
      <c r="FMV2998" s="462"/>
      <c r="FMW2998" s="299"/>
      <c r="FMX2998" s="81"/>
      <c r="FMY2998" s="160"/>
      <c r="FMZ2998" s="562"/>
      <c r="FNA2998" s="125"/>
      <c r="FNB2998" s="470"/>
      <c r="FNC2998" s="449"/>
      <c r="FND2998" s="462"/>
      <c r="FNE2998" s="299"/>
      <c r="FNF2998" s="81"/>
      <c r="FNG2998" s="160"/>
      <c r="FNH2998" s="562"/>
      <c r="FNI2998" s="125"/>
      <c r="FNJ2998" s="470"/>
      <c r="FNK2998" s="449"/>
      <c r="FNL2998" s="462"/>
      <c r="FNM2998" s="299"/>
      <c r="FNN2998" s="81"/>
      <c r="FNO2998" s="160"/>
      <c r="FNP2998" s="562"/>
      <c r="FNQ2998" s="125"/>
      <c r="FNR2998" s="470"/>
      <c r="FNS2998" s="449"/>
      <c r="FNT2998" s="462"/>
      <c r="FNU2998" s="299"/>
      <c r="FNV2998" s="81"/>
      <c r="FNW2998" s="160"/>
      <c r="FNX2998" s="562"/>
      <c r="FNY2998" s="125"/>
      <c r="FNZ2998" s="470"/>
      <c r="FOA2998" s="449"/>
      <c r="FOB2998" s="462"/>
      <c r="FOC2998" s="299"/>
      <c r="FOD2998" s="81"/>
      <c r="FOE2998" s="160"/>
      <c r="FOF2998" s="562"/>
      <c r="FOG2998" s="125"/>
      <c r="FOH2998" s="470"/>
      <c r="FOI2998" s="449"/>
      <c r="FOJ2998" s="462"/>
      <c r="FOK2998" s="299"/>
      <c r="FOL2998" s="81"/>
      <c r="FOM2998" s="160"/>
      <c r="FON2998" s="562"/>
      <c r="FOO2998" s="125"/>
      <c r="FOP2998" s="470"/>
      <c r="FOQ2998" s="449"/>
      <c r="FOR2998" s="462"/>
      <c r="FOS2998" s="299"/>
      <c r="FOT2998" s="81"/>
      <c r="FOU2998" s="160"/>
      <c r="FOV2998" s="562"/>
      <c r="FOW2998" s="125"/>
      <c r="FOX2998" s="470"/>
      <c r="FOY2998" s="449"/>
      <c r="FOZ2998" s="462"/>
      <c r="FPA2998" s="299"/>
      <c r="FPB2998" s="81"/>
      <c r="FPC2998" s="160"/>
      <c r="FPD2998" s="562"/>
      <c r="FPE2998" s="125"/>
      <c r="FPF2998" s="470"/>
      <c r="FPG2998" s="449"/>
      <c r="FPH2998" s="462"/>
      <c r="FPI2998" s="299"/>
      <c r="FPJ2998" s="81"/>
      <c r="FPK2998" s="160"/>
      <c r="FPL2998" s="562"/>
      <c r="FPM2998" s="125"/>
      <c r="FPN2998" s="470"/>
      <c r="FPO2998" s="449"/>
      <c r="FPP2998" s="462"/>
      <c r="FPQ2998" s="299"/>
      <c r="FPR2998" s="81"/>
      <c r="FPS2998" s="160"/>
      <c r="FPT2998" s="562"/>
      <c r="FPU2998" s="125"/>
      <c r="FPV2998" s="470"/>
      <c r="FPW2998" s="449"/>
      <c r="FPX2998" s="462"/>
      <c r="FPY2998" s="299"/>
      <c r="FPZ2998" s="81"/>
      <c r="FQA2998" s="160"/>
      <c r="FQB2998" s="562"/>
      <c r="FQC2998" s="125"/>
      <c r="FQD2998" s="470"/>
      <c r="FQE2998" s="449"/>
      <c r="FQF2998" s="462"/>
      <c r="FQG2998" s="299"/>
      <c r="FQH2998" s="81"/>
      <c r="FQI2998" s="160"/>
      <c r="FQJ2998" s="562"/>
      <c r="FQK2998" s="125"/>
      <c r="FQL2998" s="470"/>
      <c r="FQM2998" s="449"/>
      <c r="FQN2998" s="462"/>
      <c r="FQO2998" s="299"/>
      <c r="FQP2998" s="81"/>
      <c r="FQQ2998" s="160"/>
      <c r="FQR2998" s="562"/>
      <c r="FQS2998" s="125"/>
      <c r="FQT2998" s="470"/>
      <c r="FQU2998" s="449"/>
      <c r="FQV2998" s="462"/>
      <c r="FQW2998" s="299"/>
      <c r="FQX2998" s="81"/>
      <c r="FQY2998" s="160"/>
      <c r="FQZ2998" s="562"/>
      <c r="FRA2998" s="125"/>
      <c r="FRB2998" s="470"/>
      <c r="FRC2998" s="449"/>
      <c r="FRD2998" s="462"/>
      <c r="FRE2998" s="299"/>
      <c r="FRF2998" s="81"/>
      <c r="FRG2998" s="160"/>
      <c r="FRH2998" s="562"/>
      <c r="FRI2998" s="125"/>
      <c r="FRJ2998" s="470"/>
      <c r="FRK2998" s="449"/>
      <c r="FRL2998" s="462"/>
      <c r="FRM2998" s="299"/>
      <c r="FRN2998" s="81"/>
      <c r="FRO2998" s="160"/>
      <c r="FRP2998" s="562"/>
      <c r="FRQ2998" s="125"/>
      <c r="FRR2998" s="470"/>
      <c r="FRS2998" s="449"/>
      <c r="FRT2998" s="462"/>
      <c r="FRU2998" s="299"/>
      <c r="FRV2998" s="81"/>
      <c r="FRW2998" s="160"/>
      <c r="FRX2998" s="562"/>
      <c r="FRY2998" s="125"/>
      <c r="FRZ2998" s="470"/>
      <c r="FSA2998" s="449"/>
      <c r="FSB2998" s="462"/>
      <c r="FSC2998" s="299"/>
      <c r="FSD2998" s="81"/>
      <c r="FSE2998" s="160"/>
      <c r="FSF2998" s="562"/>
      <c r="FSG2998" s="125"/>
      <c r="FSH2998" s="470"/>
      <c r="FSI2998" s="449"/>
      <c r="FSJ2998" s="462"/>
      <c r="FSK2998" s="299"/>
      <c r="FSL2998" s="81"/>
      <c r="FSM2998" s="160"/>
      <c r="FSN2998" s="562"/>
      <c r="FSO2998" s="125"/>
      <c r="FSP2998" s="470"/>
      <c r="FSQ2998" s="449"/>
      <c r="FSR2998" s="462"/>
      <c r="FSS2998" s="299"/>
      <c r="FST2998" s="81"/>
      <c r="FSU2998" s="160"/>
      <c r="FSV2998" s="562"/>
      <c r="FSW2998" s="125"/>
      <c r="FSX2998" s="470"/>
      <c r="FSY2998" s="449"/>
      <c r="FSZ2998" s="462"/>
      <c r="FTA2998" s="299"/>
      <c r="FTB2998" s="81"/>
      <c r="FTC2998" s="160"/>
      <c r="FTD2998" s="562"/>
      <c r="FTE2998" s="125"/>
      <c r="FTF2998" s="470"/>
      <c r="FTG2998" s="449"/>
      <c r="FTH2998" s="462"/>
      <c r="FTI2998" s="299"/>
      <c r="FTJ2998" s="81"/>
      <c r="FTK2998" s="160"/>
      <c r="FTL2998" s="562"/>
      <c r="FTM2998" s="125"/>
      <c r="FTN2998" s="470"/>
      <c r="FTO2998" s="449"/>
      <c r="FTP2998" s="462"/>
      <c r="FTQ2998" s="299"/>
      <c r="FTR2998" s="81"/>
      <c r="FTS2998" s="160"/>
      <c r="FTT2998" s="562"/>
      <c r="FTU2998" s="125"/>
      <c r="FTV2998" s="470"/>
      <c r="FTW2998" s="449"/>
      <c r="FTX2998" s="462"/>
      <c r="FTY2998" s="299"/>
      <c r="FTZ2998" s="81"/>
      <c r="FUA2998" s="160"/>
      <c r="FUB2998" s="562"/>
      <c r="FUC2998" s="125"/>
      <c r="FUD2998" s="470"/>
      <c r="FUE2998" s="449"/>
      <c r="FUF2998" s="462"/>
      <c r="FUG2998" s="299"/>
      <c r="FUH2998" s="81"/>
      <c r="FUI2998" s="160"/>
      <c r="FUJ2998" s="562"/>
      <c r="FUK2998" s="125"/>
      <c r="FUL2998" s="470"/>
      <c r="FUM2998" s="449"/>
      <c r="FUN2998" s="462"/>
      <c r="FUO2998" s="299"/>
      <c r="FUP2998" s="81"/>
      <c r="FUQ2998" s="160"/>
      <c r="FUR2998" s="562"/>
      <c r="FUS2998" s="125"/>
      <c r="FUT2998" s="470"/>
      <c r="FUU2998" s="449"/>
      <c r="FUV2998" s="462"/>
      <c r="FUW2998" s="299"/>
      <c r="FUX2998" s="81"/>
      <c r="FUY2998" s="160"/>
      <c r="FUZ2998" s="562"/>
      <c r="FVA2998" s="125"/>
      <c r="FVB2998" s="470"/>
      <c r="FVC2998" s="449"/>
      <c r="FVD2998" s="462"/>
      <c r="FVE2998" s="299"/>
      <c r="FVF2998" s="81"/>
      <c r="FVG2998" s="160"/>
      <c r="FVH2998" s="562"/>
      <c r="FVI2998" s="125"/>
      <c r="FVJ2998" s="470"/>
      <c r="FVK2998" s="449"/>
      <c r="FVL2998" s="462"/>
      <c r="FVM2998" s="299"/>
      <c r="FVN2998" s="81"/>
      <c r="FVO2998" s="160"/>
      <c r="FVP2998" s="562"/>
      <c r="FVQ2998" s="125"/>
      <c r="FVR2998" s="470"/>
      <c r="FVS2998" s="449"/>
      <c r="FVT2998" s="462"/>
      <c r="FVU2998" s="299"/>
      <c r="FVV2998" s="81"/>
      <c r="FVW2998" s="160"/>
      <c r="FVX2998" s="562"/>
      <c r="FVY2998" s="125"/>
      <c r="FVZ2998" s="470"/>
      <c r="FWA2998" s="449"/>
      <c r="FWB2998" s="462"/>
      <c r="FWC2998" s="299"/>
      <c r="FWD2998" s="81"/>
      <c r="FWE2998" s="160"/>
      <c r="FWF2998" s="562"/>
      <c r="FWG2998" s="125"/>
      <c r="FWH2998" s="470"/>
      <c r="FWI2998" s="449"/>
      <c r="FWJ2998" s="462"/>
      <c r="FWK2998" s="299"/>
      <c r="FWL2998" s="81"/>
      <c r="FWM2998" s="160"/>
      <c r="FWN2998" s="562"/>
      <c r="FWO2998" s="125"/>
      <c r="FWP2998" s="470"/>
      <c r="FWQ2998" s="449"/>
      <c r="FWR2998" s="462"/>
      <c r="FWS2998" s="299"/>
      <c r="FWT2998" s="81"/>
      <c r="FWU2998" s="160"/>
      <c r="FWV2998" s="562"/>
      <c r="FWW2998" s="125"/>
      <c r="FWX2998" s="470"/>
      <c r="FWY2998" s="449"/>
      <c r="FWZ2998" s="462"/>
      <c r="FXA2998" s="299"/>
      <c r="FXB2998" s="81"/>
      <c r="FXC2998" s="160"/>
      <c r="FXD2998" s="562"/>
      <c r="FXE2998" s="125"/>
      <c r="FXF2998" s="470"/>
      <c r="FXG2998" s="449"/>
      <c r="FXH2998" s="462"/>
      <c r="FXI2998" s="299"/>
      <c r="FXJ2998" s="81"/>
      <c r="FXK2998" s="160"/>
      <c r="FXL2998" s="562"/>
      <c r="FXM2998" s="125"/>
      <c r="FXN2998" s="470"/>
      <c r="FXO2998" s="449"/>
      <c r="FXP2998" s="462"/>
      <c r="FXQ2998" s="299"/>
      <c r="FXR2998" s="81"/>
      <c r="FXS2998" s="160"/>
      <c r="FXT2998" s="562"/>
      <c r="FXU2998" s="125"/>
      <c r="FXV2998" s="470"/>
      <c r="FXW2998" s="449"/>
      <c r="FXX2998" s="462"/>
      <c r="FXY2998" s="299"/>
      <c r="FXZ2998" s="81"/>
      <c r="FYA2998" s="160"/>
      <c r="FYB2998" s="562"/>
      <c r="FYC2998" s="125"/>
      <c r="FYD2998" s="470"/>
      <c r="FYE2998" s="449"/>
      <c r="FYF2998" s="462"/>
      <c r="FYG2998" s="299"/>
      <c r="FYH2998" s="81"/>
      <c r="FYI2998" s="160"/>
      <c r="FYJ2998" s="562"/>
      <c r="FYK2998" s="125"/>
      <c r="FYL2998" s="470"/>
      <c r="FYM2998" s="449"/>
      <c r="FYN2998" s="462"/>
      <c r="FYO2998" s="299"/>
      <c r="FYP2998" s="81"/>
      <c r="FYQ2998" s="160"/>
      <c r="FYR2998" s="562"/>
      <c r="FYS2998" s="125"/>
      <c r="FYT2998" s="470"/>
      <c r="FYU2998" s="449"/>
      <c r="FYV2998" s="462"/>
      <c r="FYW2998" s="299"/>
      <c r="FYX2998" s="81"/>
      <c r="FYY2998" s="160"/>
      <c r="FYZ2998" s="562"/>
      <c r="FZA2998" s="125"/>
      <c r="FZB2998" s="470"/>
      <c r="FZC2998" s="449"/>
      <c r="FZD2998" s="462"/>
      <c r="FZE2998" s="299"/>
      <c r="FZF2998" s="81"/>
      <c r="FZG2998" s="160"/>
      <c r="FZH2998" s="562"/>
      <c r="FZI2998" s="125"/>
      <c r="FZJ2998" s="470"/>
      <c r="FZK2998" s="449"/>
      <c r="FZL2998" s="462"/>
      <c r="FZM2998" s="299"/>
      <c r="FZN2998" s="81"/>
      <c r="FZO2998" s="160"/>
      <c r="FZP2998" s="562"/>
      <c r="FZQ2998" s="125"/>
      <c r="FZR2998" s="470"/>
      <c r="FZS2998" s="449"/>
      <c r="FZT2998" s="462"/>
      <c r="FZU2998" s="299"/>
      <c r="FZV2998" s="81"/>
      <c r="FZW2998" s="160"/>
      <c r="FZX2998" s="562"/>
      <c r="FZY2998" s="125"/>
      <c r="FZZ2998" s="470"/>
      <c r="GAA2998" s="449"/>
      <c r="GAB2998" s="462"/>
      <c r="GAC2998" s="299"/>
      <c r="GAD2998" s="81"/>
      <c r="GAE2998" s="160"/>
      <c r="GAF2998" s="562"/>
      <c r="GAG2998" s="125"/>
      <c r="GAH2998" s="470"/>
      <c r="GAI2998" s="449"/>
      <c r="GAJ2998" s="462"/>
      <c r="GAK2998" s="299"/>
      <c r="GAL2998" s="81"/>
      <c r="GAM2998" s="160"/>
      <c r="GAN2998" s="562"/>
      <c r="GAO2998" s="125"/>
      <c r="GAP2998" s="470"/>
      <c r="GAQ2998" s="449"/>
      <c r="GAR2998" s="462"/>
      <c r="GAS2998" s="299"/>
      <c r="GAT2998" s="81"/>
      <c r="GAU2998" s="160"/>
      <c r="GAV2998" s="562"/>
      <c r="GAW2998" s="125"/>
      <c r="GAX2998" s="470"/>
      <c r="GAY2998" s="449"/>
      <c r="GAZ2998" s="462"/>
      <c r="GBA2998" s="299"/>
      <c r="GBB2998" s="81"/>
      <c r="GBC2998" s="160"/>
      <c r="GBD2998" s="562"/>
      <c r="GBE2998" s="125"/>
      <c r="GBF2998" s="470"/>
      <c r="GBG2998" s="449"/>
      <c r="GBH2998" s="462"/>
      <c r="GBI2998" s="299"/>
      <c r="GBJ2998" s="81"/>
      <c r="GBK2998" s="160"/>
      <c r="GBL2998" s="562"/>
      <c r="GBM2998" s="125"/>
      <c r="GBN2998" s="470"/>
      <c r="GBO2998" s="449"/>
      <c r="GBP2998" s="462"/>
      <c r="GBQ2998" s="299"/>
      <c r="GBR2998" s="81"/>
      <c r="GBS2998" s="160"/>
      <c r="GBT2998" s="562"/>
      <c r="GBU2998" s="125"/>
      <c r="GBV2998" s="470"/>
      <c r="GBW2998" s="449"/>
      <c r="GBX2998" s="462"/>
      <c r="GBY2998" s="299"/>
      <c r="GBZ2998" s="81"/>
      <c r="GCA2998" s="160"/>
      <c r="GCB2998" s="562"/>
      <c r="GCC2998" s="125"/>
      <c r="GCD2998" s="470"/>
      <c r="GCE2998" s="449"/>
      <c r="GCF2998" s="462"/>
      <c r="GCG2998" s="299"/>
      <c r="GCH2998" s="81"/>
      <c r="GCI2998" s="160"/>
      <c r="GCJ2998" s="562"/>
      <c r="GCK2998" s="125"/>
      <c r="GCL2998" s="470"/>
      <c r="GCM2998" s="449"/>
      <c r="GCN2998" s="462"/>
      <c r="GCO2998" s="299"/>
      <c r="GCP2998" s="81"/>
      <c r="GCQ2998" s="160"/>
      <c r="GCR2998" s="562"/>
      <c r="GCS2998" s="125"/>
      <c r="GCT2998" s="470"/>
      <c r="GCU2998" s="449"/>
      <c r="GCV2998" s="462"/>
      <c r="GCW2998" s="299"/>
      <c r="GCX2998" s="81"/>
      <c r="GCY2998" s="160"/>
      <c r="GCZ2998" s="562"/>
      <c r="GDA2998" s="125"/>
      <c r="GDB2998" s="470"/>
      <c r="GDC2998" s="449"/>
      <c r="GDD2998" s="462"/>
      <c r="GDE2998" s="299"/>
      <c r="GDF2998" s="81"/>
      <c r="GDG2998" s="160"/>
      <c r="GDH2998" s="562"/>
      <c r="GDI2998" s="125"/>
      <c r="GDJ2998" s="470"/>
      <c r="GDK2998" s="449"/>
      <c r="GDL2998" s="462"/>
      <c r="GDM2998" s="299"/>
      <c r="GDN2998" s="81"/>
      <c r="GDO2998" s="160"/>
      <c r="GDP2998" s="562"/>
      <c r="GDQ2998" s="125"/>
      <c r="GDR2998" s="470"/>
      <c r="GDS2998" s="449"/>
      <c r="GDT2998" s="462"/>
      <c r="GDU2998" s="299"/>
      <c r="GDV2998" s="81"/>
      <c r="GDW2998" s="160"/>
      <c r="GDX2998" s="562"/>
      <c r="GDY2998" s="125"/>
      <c r="GDZ2998" s="470"/>
      <c r="GEA2998" s="449"/>
      <c r="GEB2998" s="462"/>
      <c r="GEC2998" s="299"/>
      <c r="GED2998" s="81"/>
      <c r="GEE2998" s="160"/>
      <c r="GEF2998" s="562"/>
      <c r="GEG2998" s="125"/>
      <c r="GEH2998" s="470"/>
      <c r="GEI2998" s="449"/>
      <c r="GEJ2998" s="462"/>
      <c r="GEK2998" s="299"/>
      <c r="GEL2998" s="81"/>
      <c r="GEM2998" s="160"/>
      <c r="GEN2998" s="562"/>
      <c r="GEO2998" s="125"/>
      <c r="GEP2998" s="470"/>
      <c r="GEQ2998" s="449"/>
      <c r="GER2998" s="462"/>
      <c r="GES2998" s="299"/>
      <c r="GET2998" s="81"/>
      <c r="GEU2998" s="160"/>
      <c r="GEV2998" s="562"/>
      <c r="GEW2998" s="125"/>
      <c r="GEX2998" s="470"/>
      <c r="GEY2998" s="449"/>
      <c r="GEZ2998" s="462"/>
      <c r="GFA2998" s="299"/>
      <c r="GFB2998" s="81"/>
      <c r="GFC2998" s="160"/>
      <c r="GFD2998" s="562"/>
      <c r="GFE2998" s="125"/>
      <c r="GFF2998" s="470"/>
      <c r="GFG2998" s="449"/>
      <c r="GFH2998" s="462"/>
      <c r="GFI2998" s="299"/>
      <c r="GFJ2998" s="81"/>
      <c r="GFK2998" s="160"/>
      <c r="GFL2998" s="562"/>
      <c r="GFM2998" s="125"/>
      <c r="GFN2998" s="470"/>
      <c r="GFO2998" s="449"/>
      <c r="GFP2998" s="462"/>
      <c r="GFQ2998" s="299"/>
      <c r="GFR2998" s="81"/>
      <c r="GFS2998" s="160"/>
      <c r="GFT2998" s="562"/>
      <c r="GFU2998" s="125"/>
      <c r="GFV2998" s="470"/>
      <c r="GFW2998" s="449"/>
      <c r="GFX2998" s="462"/>
      <c r="GFY2998" s="299"/>
      <c r="GFZ2998" s="81"/>
      <c r="GGA2998" s="160"/>
      <c r="GGB2998" s="562"/>
      <c r="GGC2998" s="125"/>
      <c r="GGD2998" s="470"/>
      <c r="GGE2998" s="449"/>
      <c r="GGF2998" s="462"/>
      <c r="GGG2998" s="299"/>
      <c r="GGH2998" s="81"/>
      <c r="GGI2998" s="160"/>
      <c r="GGJ2998" s="562"/>
      <c r="GGK2998" s="125"/>
      <c r="GGL2998" s="470"/>
      <c r="GGM2998" s="449"/>
      <c r="GGN2998" s="462"/>
      <c r="GGO2998" s="299"/>
      <c r="GGP2998" s="81"/>
      <c r="GGQ2998" s="160"/>
      <c r="GGR2998" s="562"/>
      <c r="GGS2998" s="125"/>
      <c r="GGT2998" s="470"/>
      <c r="GGU2998" s="449"/>
      <c r="GGV2998" s="462"/>
      <c r="GGW2998" s="299"/>
      <c r="GGX2998" s="81"/>
      <c r="GGY2998" s="160"/>
      <c r="GGZ2998" s="562"/>
      <c r="GHA2998" s="125"/>
      <c r="GHB2998" s="470"/>
      <c r="GHC2998" s="449"/>
      <c r="GHD2998" s="462"/>
      <c r="GHE2998" s="299"/>
      <c r="GHF2998" s="81"/>
      <c r="GHG2998" s="160"/>
      <c r="GHH2998" s="562"/>
      <c r="GHI2998" s="125"/>
      <c r="GHJ2998" s="470"/>
      <c r="GHK2998" s="449"/>
      <c r="GHL2998" s="462"/>
      <c r="GHM2998" s="299"/>
      <c r="GHN2998" s="81"/>
      <c r="GHO2998" s="160"/>
      <c r="GHP2998" s="562"/>
      <c r="GHQ2998" s="125"/>
      <c r="GHR2998" s="470"/>
      <c r="GHS2998" s="449"/>
      <c r="GHT2998" s="462"/>
      <c r="GHU2998" s="299"/>
      <c r="GHV2998" s="81"/>
      <c r="GHW2998" s="160"/>
      <c r="GHX2998" s="562"/>
      <c r="GHY2998" s="125"/>
      <c r="GHZ2998" s="470"/>
      <c r="GIA2998" s="449"/>
      <c r="GIB2998" s="462"/>
      <c r="GIC2998" s="299"/>
      <c r="GID2998" s="81"/>
      <c r="GIE2998" s="160"/>
      <c r="GIF2998" s="562"/>
      <c r="GIG2998" s="125"/>
      <c r="GIH2998" s="470"/>
      <c r="GII2998" s="449"/>
      <c r="GIJ2998" s="462"/>
      <c r="GIK2998" s="299"/>
      <c r="GIL2998" s="81"/>
      <c r="GIM2998" s="160"/>
      <c r="GIN2998" s="562"/>
      <c r="GIO2998" s="125"/>
      <c r="GIP2998" s="470"/>
      <c r="GIQ2998" s="449"/>
      <c r="GIR2998" s="462"/>
      <c r="GIS2998" s="299"/>
      <c r="GIT2998" s="81"/>
      <c r="GIU2998" s="160"/>
      <c r="GIV2998" s="562"/>
      <c r="GIW2998" s="125"/>
      <c r="GIX2998" s="470"/>
      <c r="GIY2998" s="449"/>
      <c r="GIZ2998" s="462"/>
      <c r="GJA2998" s="299"/>
      <c r="GJB2998" s="81"/>
      <c r="GJC2998" s="160"/>
      <c r="GJD2998" s="562"/>
      <c r="GJE2998" s="125"/>
      <c r="GJF2998" s="470"/>
      <c r="GJG2998" s="449"/>
      <c r="GJH2998" s="462"/>
      <c r="GJI2998" s="299"/>
      <c r="GJJ2998" s="81"/>
      <c r="GJK2998" s="160"/>
      <c r="GJL2998" s="562"/>
      <c r="GJM2998" s="125"/>
      <c r="GJN2998" s="470"/>
      <c r="GJO2998" s="449"/>
      <c r="GJP2998" s="462"/>
      <c r="GJQ2998" s="299"/>
      <c r="GJR2998" s="81"/>
      <c r="GJS2998" s="160"/>
      <c r="GJT2998" s="562"/>
      <c r="GJU2998" s="125"/>
      <c r="GJV2998" s="470"/>
      <c r="GJW2998" s="449"/>
      <c r="GJX2998" s="462"/>
      <c r="GJY2998" s="299"/>
      <c r="GJZ2998" s="81"/>
      <c r="GKA2998" s="160"/>
      <c r="GKB2998" s="562"/>
      <c r="GKC2998" s="125"/>
      <c r="GKD2998" s="470"/>
      <c r="GKE2998" s="449"/>
      <c r="GKF2998" s="462"/>
      <c r="GKG2998" s="299"/>
      <c r="GKH2998" s="81"/>
      <c r="GKI2998" s="160"/>
      <c r="GKJ2998" s="562"/>
      <c r="GKK2998" s="125"/>
      <c r="GKL2998" s="470"/>
      <c r="GKM2998" s="449"/>
      <c r="GKN2998" s="462"/>
      <c r="GKO2998" s="299"/>
      <c r="GKP2998" s="81"/>
      <c r="GKQ2998" s="160"/>
      <c r="GKR2998" s="562"/>
      <c r="GKS2998" s="125"/>
      <c r="GKT2998" s="470"/>
      <c r="GKU2998" s="449"/>
      <c r="GKV2998" s="462"/>
      <c r="GKW2998" s="299"/>
      <c r="GKX2998" s="81"/>
      <c r="GKY2998" s="160"/>
      <c r="GKZ2998" s="562"/>
      <c r="GLA2998" s="125"/>
      <c r="GLB2998" s="470"/>
      <c r="GLC2998" s="449"/>
      <c r="GLD2998" s="462"/>
      <c r="GLE2998" s="299"/>
      <c r="GLF2998" s="81"/>
      <c r="GLG2998" s="160"/>
      <c r="GLH2998" s="562"/>
      <c r="GLI2998" s="125"/>
      <c r="GLJ2998" s="470"/>
      <c r="GLK2998" s="449"/>
      <c r="GLL2998" s="462"/>
      <c r="GLM2998" s="299"/>
      <c r="GLN2998" s="81"/>
      <c r="GLO2998" s="160"/>
      <c r="GLP2998" s="562"/>
      <c r="GLQ2998" s="125"/>
      <c r="GLR2998" s="470"/>
      <c r="GLS2998" s="449"/>
      <c r="GLT2998" s="462"/>
      <c r="GLU2998" s="299"/>
      <c r="GLV2998" s="81"/>
      <c r="GLW2998" s="160"/>
      <c r="GLX2998" s="562"/>
      <c r="GLY2998" s="125"/>
      <c r="GLZ2998" s="470"/>
      <c r="GMA2998" s="449"/>
      <c r="GMB2998" s="462"/>
      <c r="GMC2998" s="299"/>
      <c r="GMD2998" s="81"/>
      <c r="GME2998" s="160"/>
      <c r="GMF2998" s="562"/>
      <c r="GMG2998" s="125"/>
      <c r="GMH2998" s="470"/>
      <c r="GMI2998" s="449"/>
      <c r="GMJ2998" s="462"/>
      <c r="GMK2998" s="299"/>
      <c r="GML2998" s="81"/>
      <c r="GMM2998" s="160"/>
      <c r="GMN2998" s="562"/>
      <c r="GMO2998" s="125"/>
      <c r="GMP2998" s="470"/>
      <c r="GMQ2998" s="449"/>
      <c r="GMR2998" s="462"/>
      <c r="GMS2998" s="299"/>
      <c r="GMT2998" s="81"/>
      <c r="GMU2998" s="160"/>
      <c r="GMV2998" s="562"/>
      <c r="GMW2998" s="125"/>
      <c r="GMX2998" s="470"/>
      <c r="GMY2998" s="449"/>
      <c r="GMZ2998" s="462"/>
      <c r="GNA2998" s="299"/>
      <c r="GNB2998" s="81"/>
      <c r="GNC2998" s="160"/>
      <c r="GND2998" s="562"/>
      <c r="GNE2998" s="125"/>
      <c r="GNF2998" s="470"/>
      <c r="GNG2998" s="449"/>
      <c r="GNH2998" s="462"/>
      <c r="GNI2998" s="299"/>
      <c r="GNJ2998" s="81"/>
      <c r="GNK2998" s="160"/>
      <c r="GNL2998" s="562"/>
      <c r="GNM2998" s="125"/>
      <c r="GNN2998" s="470"/>
      <c r="GNO2998" s="449"/>
      <c r="GNP2998" s="462"/>
      <c r="GNQ2998" s="299"/>
      <c r="GNR2998" s="81"/>
      <c r="GNS2998" s="160"/>
      <c r="GNT2998" s="562"/>
      <c r="GNU2998" s="125"/>
      <c r="GNV2998" s="470"/>
      <c r="GNW2998" s="449"/>
      <c r="GNX2998" s="462"/>
      <c r="GNY2998" s="299"/>
      <c r="GNZ2998" s="81"/>
      <c r="GOA2998" s="160"/>
      <c r="GOB2998" s="562"/>
      <c r="GOC2998" s="125"/>
      <c r="GOD2998" s="470"/>
      <c r="GOE2998" s="449"/>
      <c r="GOF2998" s="462"/>
      <c r="GOG2998" s="299"/>
      <c r="GOH2998" s="81"/>
      <c r="GOI2998" s="160"/>
      <c r="GOJ2998" s="562"/>
      <c r="GOK2998" s="125"/>
      <c r="GOL2998" s="470"/>
      <c r="GOM2998" s="449"/>
      <c r="GON2998" s="462"/>
      <c r="GOO2998" s="299"/>
      <c r="GOP2998" s="81"/>
      <c r="GOQ2998" s="160"/>
      <c r="GOR2998" s="562"/>
      <c r="GOS2998" s="125"/>
      <c r="GOT2998" s="470"/>
      <c r="GOU2998" s="449"/>
      <c r="GOV2998" s="462"/>
      <c r="GOW2998" s="299"/>
      <c r="GOX2998" s="81"/>
      <c r="GOY2998" s="160"/>
      <c r="GOZ2998" s="562"/>
      <c r="GPA2998" s="125"/>
      <c r="GPB2998" s="470"/>
      <c r="GPC2998" s="449"/>
      <c r="GPD2998" s="462"/>
      <c r="GPE2998" s="299"/>
      <c r="GPF2998" s="81"/>
      <c r="GPG2998" s="160"/>
      <c r="GPH2998" s="562"/>
      <c r="GPI2998" s="125"/>
      <c r="GPJ2998" s="470"/>
      <c r="GPK2998" s="449"/>
      <c r="GPL2998" s="462"/>
      <c r="GPM2998" s="299"/>
      <c r="GPN2998" s="81"/>
      <c r="GPO2998" s="160"/>
      <c r="GPP2998" s="562"/>
      <c r="GPQ2998" s="125"/>
      <c r="GPR2998" s="470"/>
      <c r="GPS2998" s="449"/>
      <c r="GPT2998" s="462"/>
      <c r="GPU2998" s="299"/>
      <c r="GPV2998" s="81"/>
      <c r="GPW2998" s="160"/>
      <c r="GPX2998" s="562"/>
      <c r="GPY2998" s="125"/>
      <c r="GPZ2998" s="470"/>
      <c r="GQA2998" s="449"/>
      <c r="GQB2998" s="462"/>
      <c r="GQC2998" s="299"/>
      <c r="GQD2998" s="81"/>
      <c r="GQE2998" s="160"/>
      <c r="GQF2998" s="562"/>
      <c r="GQG2998" s="125"/>
      <c r="GQH2998" s="470"/>
      <c r="GQI2998" s="449"/>
      <c r="GQJ2998" s="462"/>
      <c r="GQK2998" s="299"/>
      <c r="GQL2998" s="81"/>
      <c r="GQM2998" s="160"/>
      <c r="GQN2998" s="562"/>
      <c r="GQO2998" s="125"/>
      <c r="GQP2998" s="470"/>
      <c r="GQQ2998" s="449"/>
      <c r="GQR2998" s="462"/>
      <c r="GQS2998" s="299"/>
      <c r="GQT2998" s="81"/>
      <c r="GQU2998" s="160"/>
      <c r="GQV2998" s="562"/>
      <c r="GQW2998" s="125"/>
      <c r="GQX2998" s="470"/>
      <c r="GQY2998" s="449"/>
      <c r="GQZ2998" s="462"/>
      <c r="GRA2998" s="299"/>
      <c r="GRB2998" s="81"/>
      <c r="GRC2998" s="160"/>
      <c r="GRD2998" s="562"/>
      <c r="GRE2998" s="125"/>
      <c r="GRF2998" s="470"/>
      <c r="GRG2998" s="449"/>
      <c r="GRH2998" s="462"/>
      <c r="GRI2998" s="299"/>
      <c r="GRJ2998" s="81"/>
      <c r="GRK2998" s="160"/>
      <c r="GRL2998" s="562"/>
      <c r="GRM2998" s="125"/>
      <c r="GRN2998" s="470"/>
      <c r="GRO2998" s="449"/>
      <c r="GRP2998" s="462"/>
      <c r="GRQ2998" s="299"/>
      <c r="GRR2998" s="81"/>
      <c r="GRS2998" s="160"/>
      <c r="GRT2998" s="562"/>
      <c r="GRU2998" s="125"/>
      <c r="GRV2998" s="470"/>
      <c r="GRW2998" s="449"/>
      <c r="GRX2998" s="462"/>
      <c r="GRY2998" s="299"/>
      <c r="GRZ2998" s="81"/>
      <c r="GSA2998" s="160"/>
      <c r="GSB2998" s="562"/>
      <c r="GSC2998" s="125"/>
      <c r="GSD2998" s="470"/>
      <c r="GSE2998" s="449"/>
      <c r="GSF2998" s="462"/>
      <c r="GSG2998" s="299"/>
      <c r="GSH2998" s="81"/>
      <c r="GSI2998" s="160"/>
      <c r="GSJ2998" s="562"/>
      <c r="GSK2998" s="125"/>
      <c r="GSL2998" s="470"/>
      <c r="GSM2998" s="449"/>
      <c r="GSN2998" s="462"/>
      <c r="GSO2998" s="299"/>
      <c r="GSP2998" s="81"/>
      <c r="GSQ2998" s="160"/>
      <c r="GSR2998" s="562"/>
      <c r="GSS2998" s="125"/>
      <c r="GST2998" s="470"/>
      <c r="GSU2998" s="449"/>
      <c r="GSV2998" s="462"/>
      <c r="GSW2998" s="299"/>
      <c r="GSX2998" s="81"/>
      <c r="GSY2998" s="160"/>
      <c r="GSZ2998" s="562"/>
      <c r="GTA2998" s="125"/>
      <c r="GTB2998" s="470"/>
      <c r="GTC2998" s="449"/>
      <c r="GTD2998" s="462"/>
      <c r="GTE2998" s="299"/>
      <c r="GTF2998" s="81"/>
      <c r="GTG2998" s="160"/>
      <c r="GTH2998" s="562"/>
      <c r="GTI2998" s="125"/>
      <c r="GTJ2998" s="470"/>
      <c r="GTK2998" s="449"/>
      <c r="GTL2998" s="462"/>
      <c r="GTM2998" s="299"/>
      <c r="GTN2998" s="81"/>
      <c r="GTO2998" s="160"/>
      <c r="GTP2998" s="562"/>
      <c r="GTQ2998" s="125"/>
      <c r="GTR2998" s="470"/>
      <c r="GTS2998" s="449"/>
      <c r="GTT2998" s="462"/>
      <c r="GTU2998" s="299"/>
      <c r="GTV2998" s="81"/>
      <c r="GTW2998" s="160"/>
      <c r="GTX2998" s="562"/>
      <c r="GTY2998" s="125"/>
      <c r="GTZ2998" s="470"/>
      <c r="GUA2998" s="449"/>
      <c r="GUB2998" s="462"/>
      <c r="GUC2998" s="299"/>
      <c r="GUD2998" s="81"/>
      <c r="GUE2998" s="160"/>
      <c r="GUF2998" s="562"/>
      <c r="GUG2998" s="125"/>
      <c r="GUH2998" s="470"/>
      <c r="GUI2998" s="449"/>
      <c r="GUJ2998" s="462"/>
      <c r="GUK2998" s="299"/>
      <c r="GUL2998" s="81"/>
      <c r="GUM2998" s="160"/>
      <c r="GUN2998" s="562"/>
      <c r="GUO2998" s="125"/>
      <c r="GUP2998" s="470"/>
      <c r="GUQ2998" s="449"/>
      <c r="GUR2998" s="462"/>
      <c r="GUS2998" s="299"/>
      <c r="GUT2998" s="81"/>
      <c r="GUU2998" s="160"/>
      <c r="GUV2998" s="562"/>
      <c r="GUW2998" s="125"/>
      <c r="GUX2998" s="470"/>
      <c r="GUY2998" s="449"/>
      <c r="GUZ2998" s="462"/>
      <c r="GVA2998" s="299"/>
      <c r="GVB2998" s="81"/>
      <c r="GVC2998" s="160"/>
      <c r="GVD2998" s="562"/>
      <c r="GVE2998" s="125"/>
      <c r="GVF2998" s="470"/>
      <c r="GVG2998" s="449"/>
      <c r="GVH2998" s="462"/>
      <c r="GVI2998" s="299"/>
      <c r="GVJ2998" s="81"/>
      <c r="GVK2998" s="160"/>
      <c r="GVL2998" s="562"/>
      <c r="GVM2998" s="125"/>
      <c r="GVN2998" s="470"/>
      <c r="GVO2998" s="449"/>
      <c r="GVP2998" s="462"/>
      <c r="GVQ2998" s="299"/>
      <c r="GVR2998" s="81"/>
      <c r="GVS2998" s="160"/>
      <c r="GVT2998" s="562"/>
      <c r="GVU2998" s="125"/>
      <c r="GVV2998" s="470"/>
      <c r="GVW2998" s="449"/>
      <c r="GVX2998" s="462"/>
      <c r="GVY2998" s="299"/>
      <c r="GVZ2998" s="81"/>
      <c r="GWA2998" s="160"/>
      <c r="GWB2998" s="562"/>
      <c r="GWC2998" s="125"/>
      <c r="GWD2998" s="470"/>
      <c r="GWE2998" s="449"/>
      <c r="GWF2998" s="462"/>
      <c r="GWG2998" s="299"/>
      <c r="GWH2998" s="81"/>
      <c r="GWI2998" s="160"/>
      <c r="GWJ2998" s="562"/>
      <c r="GWK2998" s="125"/>
      <c r="GWL2998" s="470"/>
      <c r="GWM2998" s="449"/>
      <c r="GWN2998" s="462"/>
      <c r="GWO2998" s="299"/>
      <c r="GWP2998" s="81"/>
      <c r="GWQ2998" s="160"/>
      <c r="GWR2998" s="562"/>
      <c r="GWS2998" s="125"/>
      <c r="GWT2998" s="470"/>
      <c r="GWU2998" s="449"/>
      <c r="GWV2998" s="462"/>
      <c r="GWW2998" s="299"/>
      <c r="GWX2998" s="81"/>
      <c r="GWY2998" s="160"/>
      <c r="GWZ2998" s="562"/>
      <c r="GXA2998" s="125"/>
      <c r="GXB2998" s="470"/>
      <c r="GXC2998" s="449"/>
      <c r="GXD2998" s="462"/>
      <c r="GXE2998" s="299"/>
      <c r="GXF2998" s="81"/>
      <c r="GXG2998" s="160"/>
      <c r="GXH2998" s="562"/>
      <c r="GXI2998" s="125"/>
      <c r="GXJ2998" s="470"/>
      <c r="GXK2998" s="449"/>
      <c r="GXL2998" s="462"/>
      <c r="GXM2998" s="299"/>
      <c r="GXN2998" s="81"/>
      <c r="GXO2998" s="160"/>
      <c r="GXP2998" s="562"/>
      <c r="GXQ2998" s="125"/>
      <c r="GXR2998" s="470"/>
      <c r="GXS2998" s="449"/>
      <c r="GXT2998" s="462"/>
      <c r="GXU2998" s="299"/>
      <c r="GXV2998" s="81"/>
      <c r="GXW2998" s="160"/>
      <c r="GXX2998" s="562"/>
      <c r="GXY2998" s="125"/>
      <c r="GXZ2998" s="470"/>
      <c r="GYA2998" s="449"/>
      <c r="GYB2998" s="462"/>
      <c r="GYC2998" s="299"/>
      <c r="GYD2998" s="81"/>
      <c r="GYE2998" s="160"/>
      <c r="GYF2998" s="562"/>
      <c r="GYG2998" s="125"/>
      <c r="GYH2998" s="470"/>
      <c r="GYI2998" s="449"/>
      <c r="GYJ2998" s="462"/>
      <c r="GYK2998" s="299"/>
      <c r="GYL2998" s="81"/>
      <c r="GYM2998" s="160"/>
      <c r="GYN2998" s="562"/>
      <c r="GYO2998" s="125"/>
      <c r="GYP2998" s="470"/>
      <c r="GYQ2998" s="449"/>
      <c r="GYR2998" s="462"/>
      <c r="GYS2998" s="299"/>
      <c r="GYT2998" s="81"/>
      <c r="GYU2998" s="160"/>
      <c r="GYV2998" s="562"/>
      <c r="GYW2998" s="125"/>
      <c r="GYX2998" s="470"/>
      <c r="GYY2998" s="449"/>
      <c r="GYZ2998" s="462"/>
      <c r="GZA2998" s="299"/>
      <c r="GZB2998" s="81"/>
      <c r="GZC2998" s="160"/>
      <c r="GZD2998" s="562"/>
      <c r="GZE2998" s="125"/>
      <c r="GZF2998" s="470"/>
      <c r="GZG2998" s="449"/>
      <c r="GZH2998" s="462"/>
      <c r="GZI2998" s="299"/>
      <c r="GZJ2998" s="81"/>
      <c r="GZK2998" s="160"/>
      <c r="GZL2998" s="562"/>
      <c r="GZM2998" s="125"/>
      <c r="GZN2998" s="470"/>
      <c r="GZO2998" s="449"/>
      <c r="GZP2998" s="462"/>
      <c r="GZQ2998" s="299"/>
      <c r="GZR2998" s="81"/>
      <c r="GZS2998" s="160"/>
      <c r="GZT2998" s="562"/>
      <c r="GZU2998" s="125"/>
      <c r="GZV2998" s="470"/>
      <c r="GZW2998" s="449"/>
      <c r="GZX2998" s="462"/>
      <c r="GZY2998" s="299"/>
      <c r="GZZ2998" s="81"/>
      <c r="HAA2998" s="160"/>
      <c r="HAB2998" s="562"/>
      <c r="HAC2998" s="125"/>
      <c r="HAD2998" s="470"/>
      <c r="HAE2998" s="449"/>
      <c r="HAF2998" s="462"/>
      <c r="HAG2998" s="299"/>
      <c r="HAH2998" s="81"/>
      <c r="HAI2998" s="160"/>
      <c r="HAJ2998" s="562"/>
      <c r="HAK2998" s="125"/>
      <c r="HAL2998" s="470"/>
      <c r="HAM2998" s="449"/>
      <c r="HAN2998" s="462"/>
      <c r="HAO2998" s="299"/>
      <c r="HAP2998" s="81"/>
      <c r="HAQ2998" s="160"/>
      <c r="HAR2998" s="562"/>
      <c r="HAS2998" s="125"/>
      <c r="HAT2998" s="470"/>
      <c r="HAU2998" s="449"/>
      <c r="HAV2998" s="462"/>
      <c r="HAW2998" s="299"/>
      <c r="HAX2998" s="81"/>
      <c r="HAY2998" s="160"/>
      <c r="HAZ2998" s="562"/>
      <c r="HBA2998" s="125"/>
      <c r="HBB2998" s="470"/>
      <c r="HBC2998" s="449"/>
      <c r="HBD2998" s="462"/>
      <c r="HBE2998" s="299"/>
      <c r="HBF2998" s="81"/>
      <c r="HBG2998" s="160"/>
      <c r="HBH2998" s="562"/>
      <c r="HBI2998" s="125"/>
      <c r="HBJ2998" s="470"/>
      <c r="HBK2998" s="449"/>
      <c r="HBL2998" s="462"/>
      <c r="HBM2998" s="299"/>
      <c r="HBN2998" s="81"/>
      <c r="HBO2998" s="160"/>
      <c r="HBP2998" s="562"/>
      <c r="HBQ2998" s="125"/>
      <c r="HBR2998" s="470"/>
      <c r="HBS2998" s="449"/>
      <c r="HBT2998" s="462"/>
      <c r="HBU2998" s="299"/>
      <c r="HBV2998" s="81"/>
      <c r="HBW2998" s="160"/>
      <c r="HBX2998" s="562"/>
      <c r="HBY2998" s="125"/>
      <c r="HBZ2998" s="470"/>
      <c r="HCA2998" s="449"/>
      <c r="HCB2998" s="462"/>
      <c r="HCC2998" s="299"/>
      <c r="HCD2998" s="81"/>
      <c r="HCE2998" s="160"/>
      <c r="HCF2998" s="562"/>
      <c r="HCG2998" s="125"/>
      <c r="HCH2998" s="470"/>
      <c r="HCI2998" s="449"/>
      <c r="HCJ2998" s="462"/>
      <c r="HCK2998" s="299"/>
      <c r="HCL2998" s="81"/>
      <c r="HCM2998" s="160"/>
      <c r="HCN2998" s="562"/>
      <c r="HCO2998" s="125"/>
      <c r="HCP2998" s="470"/>
      <c r="HCQ2998" s="449"/>
      <c r="HCR2998" s="462"/>
      <c r="HCS2998" s="299"/>
      <c r="HCT2998" s="81"/>
      <c r="HCU2998" s="160"/>
      <c r="HCV2998" s="562"/>
      <c r="HCW2998" s="125"/>
      <c r="HCX2998" s="470"/>
      <c r="HCY2998" s="449"/>
      <c r="HCZ2998" s="462"/>
      <c r="HDA2998" s="299"/>
      <c r="HDB2998" s="81"/>
      <c r="HDC2998" s="160"/>
      <c r="HDD2998" s="562"/>
      <c r="HDE2998" s="125"/>
      <c r="HDF2998" s="470"/>
      <c r="HDG2998" s="449"/>
      <c r="HDH2998" s="462"/>
      <c r="HDI2998" s="299"/>
      <c r="HDJ2998" s="81"/>
      <c r="HDK2998" s="160"/>
      <c r="HDL2998" s="562"/>
      <c r="HDM2998" s="125"/>
      <c r="HDN2998" s="470"/>
      <c r="HDO2998" s="449"/>
      <c r="HDP2998" s="462"/>
      <c r="HDQ2998" s="299"/>
      <c r="HDR2998" s="81"/>
      <c r="HDS2998" s="160"/>
      <c r="HDT2998" s="562"/>
      <c r="HDU2998" s="125"/>
      <c r="HDV2998" s="470"/>
      <c r="HDW2998" s="449"/>
      <c r="HDX2998" s="462"/>
      <c r="HDY2998" s="299"/>
      <c r="HDZ2998" s="81"/>
      <c r="HEA2998" s="160"/>
      <c r="HEB2998" s="562"/>
      <c r="HEC2998" s="125"/>
      <c r="HED2998" s="470"/>
      <c r="HEE2998" s="449"/>
      <c r="HEF2998" s="462"/>
      <c r="HEG2998" s="299"/>
      <c r="HEH2998" s="81"/>
      <c r="HEI2998" s="160"/>
      <c r="HEJ2998" s="562"/>
      <c r="HEK2998" s="125"/>
      <c r="HEL2998" s="470"/>
      <c r="HEM2998" s="449"/>
      <c r="HEN2998" s="462"/>
      <c r="HEO2998" s="299"/>
      <c r="HEP2998" s="81"/>
      <c r="HEQ2998" s="160"/>
      <c r="HER2998" s="562"/>
      <c r="HES2998" s="125"/>
      <c r="HET2998" s="470"/>
      <c r="HEU2998" s="449"/>
      <c r="HEV2998" s="462"/>
      <c r="HEW2998" s="299"/>
      <c r="HEX2998" s="81"/>
      <c r="HEY2998" s="160"/>
      <c r="HEZ2998" s="562"/>
      <c r="HFA2998" s="125"/>
      <c r="HFB2998" s="470"/>
      <c r="HFC2998" s="449"/>
      <c r="HFD2998" s="462"/>
      <c r="HFE2998" s="299"/>
      <c r="HFF2998" s="81"/>
      <c r="HFG2998" s="160"/>
      <c r="HFH2998" s="562"/>
      <c r="HFI2998" s="125"/>
      <c r="HFJ2998" s="470"/>
      <c r="HFK2998" s="449"/>
      <c r="HFL2998" s="462"/>
      <c r="HFM2998" s="299"/>
      <c r="HFN2998" s="81"/>
      <c r="HFO2998" s="160"/>
      <c r="HFP2998" s="562"/>
      <c r="HFQ2998" s="125"/>
      <c r="HFR2998" s="470"/>
      <c r="HFS2998" s="449"/>
      <c r="HFT2998" s="462"/>
      <c r="HFU2998" s="299"/>
      <c r="HFV2998" s="81"/>
      <c r="HFW2998" s="160"/>
      <c r="HFX2998" s="562"/>
      <c r="HFY2998" s="125"/>
      <c r="HFZ2998" s="470"/>
      <c r="HGA2998" s="449"/>
      <c r="HGB2998" s="462"/>
      <c r="HGC2998" s="299"/>
      <c r="HGD2998" s="81"/>
      <c r="HGE2998" s="160"/>
      <c r="HGF2998" s="562"/>
      <c r="HGG2998" s="125"/>
      <c r="HGH2998" s="470"/>
      <c r="HGI2998" s="449"/>
      <c r="HGJ2998" s="462"/>
      <c r="HGK2998" s="299"/>
      <c r="HGL2998" s="81"/>
      <c r="HGM2998" s="160"/>
      <c r="HGN2998" s="562"/>
      <c r="HGO2998" s="125"/>
      <c r="HGP2998" s="470"/>
      <c r="HGQ2998" s="449"/>
      <c r="HGR2998" s="462"/>
      <c r="HGS2998" s="299"/>
      <c r="HGT2998" s="81"/>
      <c r="HGU2998" s="160"/>
      <c r="HGV2998" s="562"/>
      <c r="HGW2998" s="125"/>
      <c r="HGX2998" s="470"/>
      <c r="HGY2998" s="449"/>
      <c r="HGZ2998" s="462"/>
      <c r="HHA2998" s="299"/>
      <c r="HHB2998" s="81"/>
      <c r="HHC2998" s="160"/>
      <c r="HHD2998" s="562"/>
      <c r="HHE2998" s="125"/>
      <c r="HHF2998" s="470"/>
      <c r="HHG2998" s="449"/>
      <c r="HHH2998" s="462"/>
      <c r="HHI2998" s="299"/>
      <c r="HHJ2998" s="81"/>
      <c r="HHK2998" s="160"/>
      <c r="HHL2998" s="562"/>
      <c r="HHM2998" s="125"/>
      <c r="HHN2998" s="470"/>
      <c r="HHO2998" s="449"/>
      <c r="HHP2998" s="462"/>
      <c r="HHQ2998" s="299"/>
      <c r="HHR2998" s="81"/>
      <c r="HHS2998" s="160"/>
      <c r="HHT2998" s="562"/>
      <c r="HHU2998" s="125"/>
      <c r="HHV2998" s="470"/>
      <c r="HHW2998" s="449"/>
      <c r="HHX2998" s="462"/>
      <c r="HHY2998" s="299"/>
      <c r="HHZ2998" s="81"/>
      <c r="HIA2998" s="160"/>
      <c r="HIB2998" s="562"/>
      <c r="HIC2998" s="125"/>
      <c r="HID2998" s="470"/>
      <c r="HIE2998" s="449"/>
      <c r="HIF2998" s="462"/>
      <c r="HIG2998" s="299"/>
      <c r="HIH2998" s="81"/>
      <c r="HII2998" s="160"/>
      <c r="HIJ2998" s="562"/>
      <c r="HIK2998" s="125"/>
      <c r="HIL2998" s="470"/>
      <c r="HIM2998" s="449"/>
      <c r="HIN2998" s="462"/>
      <c r="HIO2998" s="299"/>
      <c r="HIP2998" s="81"/>
      <c r="HIQ2998" s="160"/>
      <c r="HIR2998" s="562"/>
      <c r="HIS2998" s="125"/>
      <c r="HIT2998" s="470"/>
      <c r="HIU2998" s="449"/>
      <c r="HIV2998" s="462"/>
      <c r="HIW2998" s="299"/>
      <c r="HIX2998" s="81"/>
      <c r="HIY2998" s="160"/>
      <c r="HIZ2998" s="562"/>
      <c r="HJA2998" s="125"/>
      <c r="HJB2998" s="470"/>
      <c r="HJC2998" s="449"/>
      <c r="HJD2998" s="462"/>
      <c r="HJE2998" s="299"/>
      <c r="HJF2998" s="81"/>
      <c r="HJG2998" s="160"/>
      <c r="HJH2998" s="562"/>
      <c r="HJI2998" s="125"/>
      <c r="HJJ2998" s="470"/>
      <c r="HJK2998" s="449"/>
      <c r="HJL2998" s="462"/>
      <c r="HJM2998" s="299"/>
      <c r="HJN2998" s="81"/>
      <c r="HJO2998" s="160"/>
      <c r="HJP2998" s="562"/>
      <c r="HJQ2998" s="125"/>
      <c r="HJR2998" s="470"/>
      <c r="HJS2998" s="449"/>
      <c r="HJT2998" s="462"/>
      <c r="HJU2998" s="299"/>
      <c r="HJV2998" s="81"/>
      <c r="HJW2998" s="160"/>
      <c r="HJX2998" s="562"/>
      <c r="HJY2998" s="125"/>
      <c r="HJZ2998" s="470"/>
      <c r="HKA2998" s="449"/>
      <c r="HKB2998" s="462"/>
      <c r="HKC2998" s="299"/>
      <c r="HKD2998" s="81"/>
      <c r="HKE2998" s="160"/>
      <c r="HKF2998" s="562"/>
      <c r="HKG2998" s="125"/>
      <c r="HKH2998" s="470"/>
      <c r="HKI2998" s="449"/>
      <c r="HKJ2998" s="462"/>
      <c r="HKK2998" s="299"/>
      <c r="HKL2998" s="81"/>
      <c r="HKM2998" s="160"/>
      <c r="HKN2998" s="562"/>
      <c r="HKO2998" s="125"/>
      <c r="HKP2998" s="470"/>
      <c r="HKQ2998" s="449"/>
      <c r="HKR2998" s="462"/>
      <c r="HKS2998" s="299"/>
      <c r="HKT2998" s="81"/>
      <c r="HKU2998" s="160"/>
      <c r="HKV2998" s="562"/>
      <c r="HKW2998" s="125"/>
      <c r="HKX2998" s="470"/>
      <c r="HKY2998" s="449"/>
      <c r="HKZ2998" s="462"/>
      <c r="HLA2998" s="299"/>
      <c r="HLB2998" s="81"/>
      <c r="HLC2998" s="160"/>
      <c r="HLD2998" s="562"/>
      <c r="HLE2998" s="125"/>
      <c r="HLF2998" s="470"/>
      <c r="HLG2998" s="449"/>
      <c r="HLH2998" s="462"/>
      <c r="HLI2998" s="299"/>
      <c r="HLJ2998" s="81"/>
      <c r="HLK2998" s="160"/>
      <c r="HLL2998" s="562"/>
      <c r="HLM2998" s="125"/>
      <c r="HLN2998" s="470"/>
      <c r="HLO2998" s="449"/>
      <c r="HLP2998" s="462"/>
      <c r="HLQ2998" s="299"/>
      <c r="HLR2998" s="81"/>
      <c r="HLS2998" s="160"/>
      <c r="HLT2998" s="562"/>
      <c r="HLU2998" s="125"/>
      <c r="HLV2998" s="470"/>
      <c r="HLW2998" s="449"/>
      <c r="HLX2998" s="462"/>
      <c r="HLY2998" s="299"/>
      <c r="HLZ2998" s="81"/>
      <c r="HMA2998" s="160"/>
      <c r="HMB2998" s="562"/>
      <c r="HMC2998" s="125"/>
      <c r="HMD2998" s="470"/>
      <c r="HME2998" s="449"/>
      <c r="HMF2998" s="462"/>
      <c r="HMG2998" s="299"/>
      <c r="HMH2998" s="81"/>
      <c r="HMI2998" s="160"/>
      <c r="HMJ2998" s="562"/>
      <c r="HMK2998" s="125"/>
      <c r="HML2998" s="470"/>
      <c r="HMM2998" s="449"/>
      <c r="HMN2998" s="462"/>
      <c r="HMO2998" s="299"/>
      <c r="HMP2998" s="81"/>
      <c r="HMQ2998" s="160"/>
      <c r="HMR2998" s="562"/>
      <c r="HMS2998" s="125"/>
      <c r="HMT2998" s="470"/>
      <c r="HMU2998" s="449"/>
      <c r="HMV2998" s="462"/>
      <c r="HMW2998" s="299"/>
      <c r="HMX2998" s="81"/>
      <c r="HMY2998" s="160"/>
      <c r="HMZ2998" s="562"/>
      <c r="HNA2998" s="125"/>
      <c r="HNB2998" s="470"/>
      <c r="HNC2998" s="449"/>
      <c r="HND2998" s="462"/>
      <c r="HNE2998" s="299"/>
      <c r="HNF2998" s="81"/>
      <c r="HNG2998" s="160"/>
      <c r="HNH2998" s="562"/>
      <c r="HNI2998" s="125"/>
      <c r="HNJ2998" s="470"/>
      <c r="HNK2998" s="449"/>
      <c r="HNL2998" s="462"/>
      <c r="HNM2998" s="299"/>
      <c r="HNN2998" s="81"/>
      <c r="HNO2998" s="160"/>
      <c r="HNP2998" s="562"/>
      <c r="HNQ2998" s="125"/>
      <c r="HNR2998" s="470"/>
      <c r="HNS2998" s="449"/>
      <c r="HNT2998" s="462"/>
      <c r="HNU2998" s="299"/>
      <c r="HNV2998" s="81"/>
      <c r="HNW2998" s="160"/>
      <c r="HNX2998" s="562"/>
      <c r="HNY2998" s="125"/>
      <c r="HNZ2998" s="470"/>
      <c r="HOA2998" s="449"/>
      <c r="HOB2998" s="462"/>
      <c r="HOC2998" s="299"/>
      <c r="HOD2998" s="81"/>
      <c r="HOE2998" s="160"/>
      <c r="HOF2998" s="562"/>
      <c r="HOG2998" s="125"/>
      <c r="HOH2998" s="470"/>
      <c r="HOI2998" s="449"/>
      <c r="HOJ2998" s="462"/>
      <c r="HOK2998" s="299"/>
      <c r="HOL2998" s="81"/>
      <c r="HOM2998" s="160"/>
      <c r="HON2998" s="562"/>
      <c r="HOO2998" s="125"/>
      <c r="HOP2998" s="470"/>
      <c r="HOQ2998" s="449"/>
      <c r="HOR2998" s="462"/>
      <c r="HOS2998" s="299"/>
      <c r="HOT2998" s="81"/>
      <c r="HOU2998" s="160"/>
      <c r="HOV2998" s="562"/>
      <c r="HOW2998" s="125"/>
      <c r="HOX2998" s="470"/>
      <c r="HOY2998" s="449"/>
      <c r="HOZ2998" s="462"/>
      <c r="HPA2998" s="299"/>
      <c r="HPB2998" s="81"/>
      <c r="HPC2998" s="160"/>
      <c r="HPD2998" s="562"/>
      <c r="HPE2998" s="125"/>
      <c r="HPF2998" s="470"/>
      <c r="HPG2998" s="449"/>
      <c r="HPH2998" s="462"/>
      <c r="HPI2998" s="299"/>
      <c r="HPJ2998" s="81"/>
      <c r="HPK2998" s="160"/>
      <c r="HPL2998" s="562"/>
      <c r="HPM2998" s="125"/>
      <c r="HPN2998" s="470"/>
      <c r="HPO2998" s="449"/>
      <c r="HPP2998" s="462"/>
      <c r="HPQ2998" s="299"/>
      <c r="HPR2998" s="81"/>
      <c r="HPS2998" s="160"/>
      <c r="HPT2998" s="562"/>
      <c r="HPU2998" s="125"/>
      <c r="HPV2998" s="470"/>
      <c r="HPW2998" s="449"/>
      <c r="HPX2998" s="462"/>
      <c r="HPY2998" s="299"/>
      <c r="HPZ2998" s="81"/>
      <c r="HQA2998" s="160"/>
      <c r="HQB2998" s="562"/>
      <c r="HQC2998" s="125"/>
      <c r="HQD2998" s="470"/>
      <c r="HQE2998" s="449"/>
      <c r="HQF2998" s="462"/>
      <c r="HQG2998" s="299"/>
      <c r="HQH2998" s="81"/>
      <c r="HQI2998" s="160"/>
      <c r="HQJ2998" s="562"/>
      <c r="HQK2998" s="125"/>
      <c r="HQL2998" s="470"/>
      <c r="HQM2998" s="449"/>
      <c r="HQN2998" s="462"/>
      <c r="HQO2998" s="299"/>
      <c r="HQP2998" s="81"/>
      <c r="HQQ2998" s="160"/>
      <c r="HQR2998" s="562"/>
      <c r="HQS2998" s="125"/>
      <c r="HQT2998" s="470"/>
      <c r="HQU2998" s="449"/>
      <c r="HQV2998" s="462"/>
      <c r="HQW2998" s="299"/>
      <c r="HQX2998" s="81"/>
      <c r="HQY2998" s="160"/>
      <c r="HQZ2998" s="562"/>
      <c r="HRA2998" s="125"/>
      <c r="HRB2998" s="470"/>
      <c r="HRC2998" s="449"/>
      <c r="HRD2998" s="462"/>
      <c r="HRE2998" s="299"/>
      <c r="HRF2998" s="81"/>
      <c r="HRG2998" s="160"/>
      <c r="HRH2998" s="562"/>
      <c r="HRI2998" s="125"/>
      <c r="HRJ2998" s="470"/>
      <c r="HRK2998" s="449"/>
      <c r="HRL2998" s="462"/>
      <c r="HRM2998" s="299"/>
      <c r="HRN2998" s="81"/>
      <c r="HRO2998" s="160"/>
      <c r="HRP2998" s="562"/>
      <c r="HRQ2998" s="125"/>
      <c r="HRR2998" s="470"/>
      <c r="HRS2998" s="449"/>
      <c r="HRT2998" s="462"/>
      <c r="HRU2998" s="299"/>
      <c r="HRV2998" s="81"/>
      <c r="HRW2998" s="160"/>
      <c r="HRX2998" s="562"/>
      <c r="HRY2998" s="125"/>
      <c r="HRZ2998" s="470"/>
      <c r="HSA2998" s="449"/>
      <c r="HSB2998" s="462"/>
      <c r="HSC2998" s="299"/>
      <c r="HSD2998" s="81"/>
      <c r="HSE2998" s="160"/>
      <c r="HSF2998" s="562"/>
      <c r="HSG2998" s="125"/>
      <c r="HSH2998" s="470"/>
      <c r="HSI2998" s="449"/>
      <c r="HSJ2998" s="462"/>
      <c r="HSK2998" s="299"/>
      <c r="HSL2998" s="81"/>
      <c r="HSM2998" s="160"/>
      <c r="HSN2998" s="562"/>
      <c r="HSO2998" s="125"/>
      <c r="HSP2998" s="470"/>
      <c r="HSQ2998" s="449"/>
      <c r="HSR2998" s="462"/>
      <c r="HSS2998" s="299"/>
      <c r="HST2998" s="81"/>
      <c r="HSU2998" s="160"/>
      <c r="HSV2998" s="562"/>
      <c r="HSW2998" s="125"/>
      <c r="HSX2998" s="470"/>
      <c r="HSY2998" s="449"/>
      <c r="HSZ2998" s="462"/>
      <c r="HTA2998" s="299"/>
      <c r="HTB2998" s="81"/>
      <c r="HTC2998" s="160"/>
      <c r="HTD2998" s="562"/>
      <c r="HTE2998" s="125"/>
      <c r="HTF2998" s="470"/>
      <c r="HTG2998" s="449"/>
      <c r="HTH2998" s="462"/>
      <c r="HTI2998" s="299"/>
      <c r="HTJ2998" s="81"/>
      <c r="HTK2998" s="160"/>
      <c r="HTL2998" s="562"/>
      <c r="HTM2998" s="125"/>
      <c r="HTN2998" s="470"/>
      <c r="HTO2998" s="449"/>
      <c r="HTP2998" s="462"/>
      <c r="HTQ2998" s="299"/>
      <c r="HTR2998" s="81"/>
      <c r="HTS2998" s="160"/>
      <c r="HTT2998" s="562"/>
      <c r="HTU2998" s="125"/>
      <c r="HTV2998" s="470"/>
      <c r="HTW2998" s="449"/>
      <c r="HTX2998" s="462"/>
      <c r="HTY2998" s="299"/>
      <c r="HTZ2998" s="81"/>
      <c r="HUA2998" s="160"/>
      <c r="HUB2998" s="562"/>
      <c r="HUC2998" s="125"/>
      <c r="HUD2998" s="470"/>
      <c r="HUE2998" s="449"/>
      <c r="HUF2998" s="462"/>
      <c r="HUG2998" s="299"/>
      <c r="HUH2998" s="81"/>
      <c r="HUI2998" s="160"/>
      <c r="HUJ2998" s="562"/>
      <c r="HUK2998" s="125"/>
      <c r="HUL2998" s="470"/>
      <c r="HUM2998" s="449"/>
      <c r="HUN2998" s="462"/>
      <c r="HUO2998" s="299"/>
      <c r="HUP2998" s="81"/>
      <c r="HUQ2998" s="160"/>
      <c r="HUR2998" s="562"/>
      <c r="HUS2998" s="125"/>
      <c r="HUT2998" s="470"/>
      <c r="HUU2998" s="449"/>
      <c r="HUV2998" s="462"/>
      <c r="HUW2998" s="299"/>
      <c r="HUX2998" s="81"/>
      <c r="HUY2998" s="160"/>
      <c r="HUZ2998" s="562"/>
      <c r="HVA2998" s="125"/>
      <c r="HVB2998" s="470"/>
      <c r="HVC2998" s="449"/>
      <c r="HVD2998" s="462"/>
      <c r="HVE2998" s="299"/>
      <c r="HVF2998" s="81"/>
      <c r="HVG2998" s="160"/>
      <c r="HVH2998" s="562"/>
      <c r="HVI2998" s="125"/>
      <c r="HVJ2998" s="470"/>
      <c r="HVK2998" s="449"/>
      <c r="HVL2998" s="462"/>
      <c r="HVM2998" s="299"/>
      <c r="HVN2998" s="81"/>
      <c r="HVO2998" s="160"/>
      <c r="HVP2998" s="562"/>
      <c r="HVQ2998" s="125"/>
      <c r="HVR2998" s="470"/>
      <c r="HVS2998" s="449"/>
      <c r="HVT2998" s="462"/>
      <c r="HVU2998" s="299"/>
      <c r="HVV2998" s="81"/>
      <c r="HVW2998" s="160"/>
      <c r="HVX2998" s="562"/>
      <c r="HVY2998" s="125"/>
      <c r="HVZ2998" s="470"/>
      <c r="HWA2998" s="449"/>
      <c r="HWB2998" s="462"/>
      <c r="HWC2998" s="299"/>
      <c r="HWD2998" s="81"/>
      <c r="HWE2998" s="160"/>
      <c r="HWF2998" s="562"/>
      <c r="HWG2998" s="125"/>
      <c r="HWH2998" s="470"/>
      <c r="HWI2998" s="449"/>
      <c r="HWJ2998" s="462"/>
      <c r="HWK2998" s="299"/>
      <c r="HWL2998" s="81"/>
      <c r="HWM2998" s="160"/>
      <c r="HWN2998" s="562"/>
      <c r="HWO2998" s="125"/>
      <c r="HWP2998" s="470"/>
      <c r="HWQ2998" s="449"/>
      <c r="HWR2998" s="462"/>
      <c r="HWS2998" s="299"/>
      <c r="HWT2998" s="81"/>
      <c r="HWU2998" s="160"/>
      <c r="HWV2998" s="562"/>
      <c r="HWW2998" s="125"/>
      <c r="HWX2998" s="470"/>
      <c r="HWY2998" s="449"/>
      <c r="HWZ2998" s="462"/>
      <c r="HXA2998" s="299"/>
      <c r="HXB2998" s="81"/>
      <c r="HXC2998" s="160"/>
      <c r="HXD2998" s="562"/>
      <c r="HXE2998" s="125"/>
      <c r="HXF2998" s="470"/>
      <c r="HXG2998" s="449"/>
      <c r="HXH2998" s="462"/>
      <c r="HXI2998" s="299"/>
      <c r="HXJ2998" s="81"/>
      <c r="HXK2998" s="160"/>
      <c r="HXL2998" s="562"/>
      <c r="HXM2998" s="125"/>
      <c r="HXN2998" s="470"/>
      <c r="HXO2998" s="449"/>
      <c r="HXP2998" s="462"/>
      <c r="HXQ2998" s="299"/>
      <c r="HXR2998" s="81"/>
      <c r="HXS2998" s="160"/>
      <c r="HXT2998" s="562"/>
      <c r="HXU2998" s="125"/>
      <c r="HXV2998" s="470"/>
      <c r="HXW2998" s="449"/>
      <c r="HXX2998" s="462"/>
      <c r="HXY2998" s="299"/>
      <c r="HXZ2998" s="81"/>
      <c r="HYA2998" s="160"/>
      <c r="HYB2998" s="562"/>
      <c r="HYC2998" s="125"/>
      <c r="HYD2998" s="470"/>
      <c r="HYE2998" s="449"/>
      <c r="HYF2998" s="462"/>
      <c r="HYG2998" s="299"/>
      <c r="HYH2998" s="81"/>
      <c r="HYI2998" s="160"/>
      <c r="HYJ2998" s="562"/>
      <c r="HYK2998" s="125"/>
      <c r="HYL2998" s="470"/>
      <c r="HYM2998" s="449"/>
      <c r="HYN2998" s="462"/>
      <c r="HYO2998" s="299"/>
      <c r="HYP2998" s="81"/>
      <c r="HYQ2998" s="160"/>
      <c r="HYR2998" s="562"/>
      <c r="HYS2998" s="125"/>
      <c r="HYT2998" s="470"/>
      <c r="HYU2998" s="449"/>
      <c r="HYV2998" s="462"/>
      <c r="HYW2998" s="299"/>
      <c r="HYX2998" s="81"/>
      <c r="HYY2998" s="160"/>
      <c r="HYZ2998" s="562"/>
      <c r="HZA2998" s="125"/>
      <c r="HZB2998" s="470"/>
      <c r="HZC2998" s="449"/>
      <c r="HZD2998" s="462"/>
      <c r="HZE2998" s="299"/>
      <c r="HZF2998" s="81"/>
      <c r="HZG2998" s="160"/>
      <c r="HZH2998" s="562"/>
      <c r="HZI2998" s="125"/>
      <c r="HZJ2998" s="470"/>
      <c r="HZK2998" s="449"/>
      <c r="HZL2998" s="462"/>
      <c r="HZM2998" s="299"/>
      <c r="HZN2998" s="81"/>
      <c r="HZO2998" s="160"/>
      <c r="HZP2998" s="562"/>
      <c r="HZQ2998" s="125"/>
      <c r="HZR2998" s="470"/>
      <c r="HZS2998" s="449"/>
      <c r="HZT2998" s="462"/>
      <c r="HZU2998" s="299"/>
      <c r="HZV2998" s="81"/>
      <c r="HZW2998" s="160"/>
      <c r="HZX2998" s="562"/>
      <c r="HZY2998" s="125"/>
      <c r="HZZ2998" s="470"/>
      <c r="IAA2998" s="449"/>
      <c r="IAB2998" s="462"/>
      <c r="IAC2998" s="299"/>
      <c r="IAD2998" s="81"/>
      <c r="IAE2998" s="160"/>
      <c r="IAF2998" s="562"/>
      <c r="IAG2998" s="125"/>
      <c r="IAH2998" s="470"/>
      <c r="IAI2998" s="449"/>
      <c r="IAJ2998" s="462"/>
      <c r="IAK2998" s="299"/>
      <c r="IAL2998" s="81"/>
      <c r="IAM2998" s="160"/>
      <c r="IAN2998" s="562"/>
      <c r="IAO2998" s="125"/>
      <c r="IAP2998" s="470"/>
      <c r="IAQ2998" s="449"/>
      <c r="IAR2998" s="462"/>
      <c r="IAS2998" s="299"/>
      <c r="IAT2998" s="81"/>
      <c r="IAU2998" s="160"/>
      <c r="IAV2998" s="562"/>
      <c r="IAW2998" s="125"/>
      <c r="IAX2998" s="470"/>
      <c r="IAY2998" s="449"/>
      <c r="IAZ2998" s="462"/>
      <c r="IBA2998" s="299"/>
      <c r="IBB2998" s="81"/>
      <c r="IBC2998" s="160"/>
      <c r="IBD2998" s="562"/>
      <c r="IBE2998" s="125"/>
      <c r="IBF2998" s="470"/>
      <c r="IBG2998" s="449"/>
      <c r="IBH2998" s="462"/>
      <c r="IBI2998" s="299"/>
      <c r="IBJ2998" s="81"/>
      <c r="IBK2998" s="160"/>
      <c r="IBL2998" s="562"/>
      <c r="IBM2998" s="125"/>
      <c r="IBN2998" s="470"/>
      <c r="IBO2998" s="449"/>
      <c r="IBP2998" s="462"/>
      <c r="IBQ2998" s="299"/>
      <c r="IBR2998" s="81"/>
      <c r="IBS2998" s="160"/>
      <c r="IBT2998" s="562"/>
      <c r="IBU2998" s="125"/>
      <c r="IBV2998" s="470"/>
      <c r="IBW2998" s="449"/>
      <c r="IBX2998" s="462"/>
      <c r="IBY2998" s="299"/>
      <c r="IBZ2998" s="81"/>
      <c r="ICA2998" s="160"/>
      <c r="ICB2998" s="562"/>
      <c r="ICC2998" s="125"/>
      <c r="ICD2998" s="470"/>
      <c r="ICE2998" s="449"/>
      <c r="ICF2998" s="462"/>
      <c r="ICG2998" s="299"/>
      <c r="ICH2998" s="81"/>
      <c r="ICI2998" s="160"/>
      <c r="ICJ2998" s="562"/>
      <c r="ICK2998" s="125"/>
      <c r="ICL2998" s="470"/>
      <c r="ICM2998" s="449"/>
      <c r="ICN2998" s="462"/>
      <c r="ICO2998" s="299"/>
      <c r="ICP2998" s="81"/>
      <c r="ICQ2998" s="160"/>
      <c r="ICR2998" s="562"/>
      <c r="ICS2998" s="125"/>
      <c r="ICT2998" s="470"/>
      <c r="ICU2998" s="449"/>
      <c r="ICV2998" s="462"/>
      <c r="ICW2998" s="299"/>
      <c r="ICX2998" s="81"/>
      <c r="ICY2998" s="160"/>
      <c r="ICZ2998" s="562"/>
      <c r="IDA2998" s="125"/>
      <c r="IDB2998" s="470"/>
      <c r="IDC2998" s="449"/>
      <c r="IDD2998" s="462"/>
      <c r="IDE2998" s="299"/>
      <c r="IDF2998" s="81"/>
      <c r="IDG2998" s="160"/>
      <c r="IDH2998" s="562"/>
      <c r="IDI2998" s="125"/>
      <c r="IDJ2998" s="470"/>
      <c r="IDK2998" s="449"/>
      <c r="IDL2998" s="462"/>
      <c r="IDM2998" s="299"/>
      <c r="IDN2998" s="81"/>
      <c r="IDO2998" s="160"/>
      <c r="IDP2998" s="562"/>
      <c r="IDQ2998" s="125"/>
      <c r="IDR2998" s="470"/>
      <c r="IDS2998" s="449"/>
      <c r="IDT2998" s="462"/>
      <c r="IDU2998" s="299"/>
      <c r="IDV2998" s="81"/>
      <c r="IDW2998" s="160"/>
      <c r="IDX2998" s="562"/>
      <c r="IDY2998" s="125"/>
      <c r="IDZ2998" s="470"/>
      <c r="IEA2998" s="449"/>
      <c r="IEB2998" s="462"/>
      <c r="IEC2998" s="299"/>
      <c r="IED2998" s="81"/>
      <c r="IEE2998" s="160"/>
      <c r="IEF2998" s="562"/>
      <c r="IEG2998" s="125"/>
      <c r="IEH2998" s="470"/>
      <c r="IEI2998" s="449"/>
      <c r="IEJ2998" s="462"/>
      <c r="IEK2998" s="299"/>
      <c r="IEL2998" s="81"/>
      <c r="IEM2998" s="160"/>
      <c r="IEN2998" s="562"/>
      <c r="IEO2998" s="125"/>
      <c r="IEP2998" s="470"/>
      <c r="IEQ2998" s="449"/>
      <c r="IER2998" s="462"/>
      <c r="IES2998" s="299"/>
      <c r="IET2998" s="81"/>
      <c r="IEU2998" s="160"/>
      <c r="IEV2998" s="562"/>
      <c r="IEW2998" s="125"/>
      <c r="IEX2998" s="470"/>
      <c r="IEY2998" s="449"/>
      <c r="IEZ2998" s="462"/>
      <c r="IFA2998" s="299"/>
      <c r="IFB2998" s="81"/>
      <c r="IFC2998" s="160"/>
      <c r="IFD2998" s="562"/>
      <c r="IFE2998" s="125"/>
      <c r="IFF2998" s="470"/>
      <c r="IFG2998" s="449"/>
      <c r="IFH2998" s="462"/>
      <c r="IFI2998" s="299"/>
      <c r="IFJ2998" s="81"/>
      <c r="IFK2998" s="160"/>
      <c r="IFL2998" s="562"/>
      <c r="IFM2998" s="125"/>
      <c r="IFN2998" s="470"/>
      <c r="IFO2998" s="449"/>
      <c r="IFP2998" s="462"/>
      <c r="IFQ2998" s="299"/>
      <c r="IFR2998" s="81"/>
      <c r="IFS2998" s="160"/>
      <c r="IFT2998" s="562"/>
      <c r="IFU2998" s="125"/>
      <c r="IFV2998" s="470"/>
      <c r="IFW2998" s="449"/>
      <c r="IFX2998" s="462"/>
      <c r="IFY2998" s="299"/>
      <c r="IFZ2998" s="81"/>
      <c r="IGA2998" s="160"/>
      <c r="IGB2998" s="562"/>
      <c r="IGC2998" s="125"/>
      <c r="IGD2998" s="470"/>
      <c r="IGE2998" s="449"/>
      <c r="IGF2998" s="462"/>
      <c r="IGG2998" s="299"/>
      <c r="IGH2998" s="81"/>
      <c r="IGI2998" s="160"/>
      <c r="IGJ2998" s="562"/>
      <c r="IGK2998" s="125"/>
      <c r="IGL2998" s="470"/>
      <c r="IGM2998" s="449"/>
      <c r="IGN2998" s="462"/>
      <c r="IGO2998" s="299"/>
      <c r="IGP2998" s="81"/>
      <c r="IGQ2998" s="160"/>
      <c r="IGR2998" s="562"/>
      <c r="IGS2998" s="125"/>
      <c r="IGT2998" s="470"/>
      <c r="IGU2998" s="449"/>
      <c r="IGV2998" s="462"/>
      <c r="IGW2998" s="299"/>
      <c r="IGX2998" s="81"/>
      <c r="IGY2998" s="160"/>
      <c r="IGZ2998" s="562"/>
      <c r="IHA2998" s="125"/>
      <c r="IHB2998" s="470"/>
      <c r="IHC2998" s="449"/>
      <c r="IHD2998" s="462"/>
      <c r="IHE2998" s="299"/>
      <c r="IHF2998" s="81"/>
      <c r="IHG2998" s="160"/>
      <c r="IHH2998" s="562"/>
      <c r="IHI2998" s="125"/>
      <c r="IHJ2998" s="470"/>
      <c r="IHK2998" s="449"/>
      <c r="IHL2998" s="462"/>
      <c r="IHM2998" s="299"/>
      <c r="IHN2998" s="81"/>
      <c r="IHO2998" s="160"/>
      <c r="IHP2998" s="562"/>
      <c r="IHQ2998" s="125"/>
      <c r="IHR2998" s="470"/>
      <c r="IHS2998" s="449"/>
      <c r="IHT2998" s="462"/>
      <c r="IHU2998" s="299"/>
      <c r="IHV2998" s="81"/>
      <c r="IHW2998" s="160"/>
      <c r="IHX2998" s="562"/>
      <c r="IHY2998" s="125"/>
      <c r="IHZ2998" s="470"/>
      <c r="IIA2998" s="449"/>
      <c r="IIB2998" s="462"/>
      <c r="IIC2998" s="299"/>
      <c r="IID2998" s="81"/>
      <c r="IIE2998" s="160"/>
      <c r="IIF2998" s="562"/>
      <c r="IIG2998" s="125"/>
      <c r="IIH2998" s="470"/>
      <c r="III2998" s="449"/>
      <c r="IIJ2998" s="462"/>
      <c r="IIK2998" s="299"/>
      <c r="IIL2998" s="81"/>
      <c r="IIM2998" s="160"/>
      <c r="IIN2998" s="562"/>
      <c r="IIO2998" s="125"/>
      <c r="IIP2998" s="470"/>
      <c r="IIQ2998" s="449"/>
      <c r="IIR2998" s="462"/>
      <c r="IIS2998" s="299"/>
      <c r="IIT2998" s="81"/>
      <c r="IIU2998" s="160"/>
      <c r="IIV2998" s="562"/>
      <c r="IIW2998" s="125"/>
      <c r="IIX2998" s="470"/>
      <c r="IIY2998" s="449"/>
      <c r="IIZ2998" s="462"/>
      <c r="IJA2998" s="299"/>
      <c r="IJB2998" s="81"/>
      <c r="IJC2998" s="160"/>
      <c r="IJD2998" s="562"/>
      <c r="IJE2998" s="125"/>
      <c r="IJF2998" s="470"/>
      <c r="IJG2998" s="449"/>
      <c r="IJH2998" s="462"/>
      <c r="IJI2998" s="299"/>
      <c r="IJJ2998" s="81"/>
      <c r="IJK2998" s="160"/>
      <c r="IJL2998" s="562"/>
      <c r="IJM2998" s="125"/>
      <c r="IJN2998" s="470"/>
      <c r="IJO2998" s="449"/>
      <c r="IJP2998" s="462"/>
      <c r="IJQ2998" s="299"/>
      <c r="IJR2998" s="81"/>
      <c r="IJS2998" s="160"/>
      <c r="IJT2998" s="562"/>
      <c r="IJU2998" s="125"/>
      <c r="IJV2998" s="470"/>
      <c r="IJW2998" s="449"/>
      <c r="IJX2998" s="462"/>
      <c r="IJY2998" s="299"/>
      <c r="IJZ2998" s="81"/>
      <c r="IKA2998" s="160"/>
      <c r="IKB2998" s="562"/>
      <c r="IKC2998" s="125"/>
      <c r="IKD2998" s="470"/>
      <c r="IKE2998" s="449"/>
      <c r="IKF2998" s="462"/>
      <c r="IKG2998" s="299"/>
      <c r="IKH2998" s="81"/>
      <c r="IKI2998" s="160"/>
      <c r="IKJ2998" s="562"/>
      <c r="IKK2998" s="125"/>
      <c r="IKL2998" s="470"/>
      <c r="IKM2998" s="449"/>
      <c r="IKN2998" s="462"/>
      <c r="IKO2998" s="299"/>
      <c r="IKP2998" s="81"/>
      <c r="IKQ2998" s="160"/>
      <c r="IKR2998" s="562"/>
      <c r="IKS2998" s="125"/>
      <c r="IKT2998" s="470"/>
      <c r="IKU2998" s="449"/>
      <c r="IKV2998" s="462"/>
      <c r="IKW2998" s="299"/>
      <c r="IKX2998" s="81"/>
      <c r="IKY2998" s="160"/>
      <c r="IKZ2998" s="562"/>
      <c r="ILA2998" s="125"/>
      <c r="ILB2998" s="470"/>
      <c r="ILC2998" s="449"/>
      <c r="ILD2998" s="462"/>
      <c r="ILE2998" s="299"/>
      <c r="ILF2998" s="81"/>
      <c r="ILG2998" s="160"/>
      <c r="ILH2998" s="562"/>
      <c r="ILI2998" s="125"/>
      <c r="ILJ2998" s="470"/>
      <c r="ILK2998" s="449"/>
      <c r="ILL2998" s="462"/>
      <c r="ILM2998" s="299"/>
      <c r="ILN2998" s="81"/>
      <c r="ILO2998" s="160"/>
      <c r="ILP2998" s="562"/>
      <c r="ILQ2998" s="125"/>
      <c r="ILR2998" s="470"/>
      <c r="ILS2998" s="449"/>
      <c r="ILT2998" s="462"/>
      <c r="ILU2998" s="299"/>
      <c r="ILV2998" s="81"/>
      <c r="ILW2998" s="160"/>
      <c r="ILX2998" s="562"/>
      <c r="ILY2998" s="125"/>
      <c r="ILZ2998" s="470"/>
      <c r="IMA2998" s="449"/>
      <c r="IMB2998" s="462"/>
      <c r="IMC2998" s="299"/>
      <c r="IMD2998" s="81"/>
      <c r="IME2998" s="160"/>
      <c r="IMF2998" s="562"/>
      <c r="IMG2998" s="125"/>
      <c r="IMH2998" s="470"/>
      <c r="IMI2998" s="449"/>
      <c r="IMJ2998" s="462"/>
      <c r="IMK2998" s="299"/>
      <c r="IML2998" s="81"/>
      <c r="IMM2998" s="160"/>
      <c r="IMN2998" s="562"/>
      <c r="IMO2998" s="125"/>
      <c r="IMP2998" s="470"/>
      <c r="IMQ2998" s="449"/>
      <c r="IMR2998" s="462"/>
      <c r="IMS2998" s="299"/>
      <c r="IMT2998" s="81"/>
      <c r="IMU2998" s="160"/>
      <c r="IMV2998" s="562"/>
      <c r="IMW2998" s="125"/>
      <c r="IMX2998" s="470"/>
      <c r="IMY2998" s="449"/>
      <c r="IMZ2998" s="462"/>
      <c r="INA2998" s="299"/>
      <c r="INB2998" s="81"/>
      <c r="INC2998" s="160"/>
      <c r="IND2998" s="562"/>
      <c r="INE2998" s="125"/>
      <c r="INF2998" s="470"/>
      <c r="ING2998" s="449"/>
      <c r="INH2998" s="462"/>
      <c r="INI2998" s="299"/>
      <c r="INJ2998" s="81"/>
      <c r="INK2998" s="160"/>
      <c r="INL2998" s="562"/>
      <c r="INM2998" s="125"/>
      <c r="INN2998" s="470"/>
      <c r="INO2998" s="449"/>
      <c r="INP2998" s="462"/>
      <c r="INQ2998" s="299"/>
      <c r="INR2998" s="81"/>
      <c r="INS2998" s="160"/>
      <c r="INT2998" s="562"/>
      <c r="INU2998" s="125"/>
      <c r="INV2998" s="470"/>
      <c r="INW2998" s="449"/>
      <c r="INX2998" s="462"/>
      <c r="INY2998" s="299"/>
      <c r="INZ2998" s="81"/>
      <c r="IOA2998" s="160"/>
      <c r="IOB2998" s="562"/>
      <c r="IOC2998" s="125"/>
      <c r="IOD2998" s="470"/>
      <c r="IOE2998" s="449"/>
      <c r="IOF2998" s="462"/>
      <c r="IOG2998" s="299"/>
      <c r="IOH2998" s="81"/>
      <c r="IOI2998" s="160"/>
      <c r="IOJ2998" s="562"/>
      <c r="IOK2998" s="125"/>
      <c r="IOL2998" s="470"/>
      <c r="IOM2998" s="449"/>
      <c r="ION2998" s="462"/>
      <c r="IOO2998" s="299"/>
      <c r="IOP2998" s="81"/>
      <c r="IOQ2998" s="160"/>
      <c r="IOR2998" s="562"/>
      <c r="IOS2998" s="125"/>
      <c r="IOT2998" s="470"/>
      <c r="IOU2998" s="449"/>
      <c r="IOV2998" s="462"/>
      <c r="IOW2998" s="299"/>
      <c r="IOX2998" s="81"/>
      <c r="IOY2998" s="160"/>
      <c r="IOZ2998" s="562"/>
      <c r="IPA2998" s="125"/>
      <c r="IPB2998" s="470"/>
      <c r="IPC2998" s="449"/>
      <c r="IPD2998" s="462"/>
      <c r="IPE2998" s="299"/>
      <c r="IPF2998" s="81"/>
      <c r="IPG2998" s="160"/>
      <c r="IPH2998" s="562"/>
      <c r="IPI2998" s="125"/>
      <c r="IPJ2998" s="470"/>
      <c r="IPK2998" s="449"/>
      <c r="IPL2998" s="462"/>
      <c r="IPM2998" s="299"/>
      <c r="IPN2998" s="81"/>
      <c r="IPO2998" s="160"/>
      <c r="IPP2998" s="562"/>
      <c r="IPQ2998" s="125"/>
      <c r="IPR2998" s="470"/>
      <c r="IPS2998" s="449"/>
      <c r="IPT2998" s="462"/>
      <c r="IPU2998" s="299"/>
      <c r="IPV2998" s="81"/>
      <c r="IPW2998" s="160"/>
      <c r="IPX2998" s="562"/>
      <c r="IPY2998" s="125"/>
      <c r="IPZ2998" s="470"/>
      <c r="IQA2998" s="449"/>
      <c r="IQB2998" s="462"/>
      <c r="IQC2998" s="299"/>
      <c r="IQD2998" s="81"/>
      <c r="IQE2998" s="160"/>
      <c r="IQF2998" s="562"/>
      <c r="IQG2998" s="125"/>
      <c r="IQH2998" s="470"/>
      <c r="IQI2998" s="449"/>
      <c r="IQJ2998" s="462"/>
      <c r="IQK2998" s="299"/>
      <c r="IQL2998" s="81"/>
      <c r="IQM2998" s="160"/>
      <c r="IQN2998" s="562"/>
      <c r="IQO2998" s="125"/>
      <c r="IQP2998" s="470"/>
      <c r="IQQ2998" s="449"/>
      <c r="IQR2998" s="462"/>
      <c r="IQS2998" s="299"/>
      <c r="IQT2998" s="81"/>
      <c r="IQU2998" s="160"/>
      <c r="IQV2998" s="562"/>
      <c r="IQW2998" s="125"/>
      <c r="IQX2998" s="470"/>
      <c r="IQY2998" s="449"/>
      <c r="IQZ2998" s="462"/>
      <c r="IRA2998" s="299"/>
      <c r="IRB2998" s="81"/>
      <c r="IRC2998" s="160"/>
      <c r="IRD2998" s="562"/>
      <c r="IRE2998" s="125"/>
      <c r="IRF2998" s="470"/>
      <c r="IRG2998" s="449"/>
      <c r="IRH2998" s="462"/>
      <c r="IRI2998" s="299"/>
      <c r="IRJ2998" s="81"/>
      <c r="IRK2998" s="160"/>
      <c r="IRL2998" s="562"/>
      <c r="IRM2998" s="125"/>
      <c r="IRN2998" s="470"/>
      <c r="IRO2998" s="449"/>
      <c r="IRP2998" s="462"/>
      <c r="IRQ2998" s="299"/>
      <c r="IRR2998" s="81"/>
      <c r="IRS2998" s="160"/>
      <c r="IRT2998" s="562"/>
      <c r="IRU2998" s="125"/>
      <c r="IRV2998" s="470"/>
      <c r="IRW2998" s="449"/>
      <c r="IRX2998" s="462"/>
      <c r="IRY2998" s="299"/>
      <c r="IRZ2998" s="81"/>
      <c r="ISA2998" s="160"/>
      <c r="ISB2998" s="562"/>
      <c r="ISC2998" s="125"/>
      <c r="ISD2998" s="470"/>
      <c r="ISE2998" s="449"/>
      <c r="ISF2998" s="462"/>
      <c r="ISG2998" s="299"/>
      <c r="ISH2998" s="81"/>
      <c r="ISI2998" s="160"/>
      <c r="ISJ2998" s="562"/>
      <c r="ISK2998" s="125"/>
      <c r="ISL2998" s="470"/>
      <c r="ISM2998" s="449"/>
      <c r="ISN2998" s="462"/>
      <c r="ISO2998" s="299"/>
      <c r="ISP2998" s="81"/>
      <c r="ISQ2998" s="160"/>
      <c r="ISR2998" s="562"/>
      <c r="ISS2998" s="125"/>
      <c r="IST2998" s="470"/>
      <c r="ISU2998" s="449"/>
      <c r="ISV2998" s="462"/>
      <c r="ISW2998" s="299"/>
      <c r="ISX2998" s="81"/>
      <c r="ISY2998" s="160"/>
      <c r="ISZ2998" s="562"/>
      <c r="ITA2998" s="125"/>
      <c r="ITB2998" s="470"/>
      <c r="ITC2998" s="449"/>
      <c r="ITD2998" s="462"/>
      <c r="ITE2998" s="299"/>
      <c r="ITF2998" s="81"/>
      <c r="ITG2998" s="160"/>
      <c r="ITH2998" s="562"/>
      <c r="ITI2998" s="125"/>
      <c r="ITJ2998" s="470"/>
      <c r="ITK2998" s="449"/>
      <c r="ITL2998" s="462"/>
      <c r="ITM2998" s="299"/>
      <c r="ITN2998" s="81"/>
      <c r="ITO2998" s="160"/>
      <c r="ITP2998" s="562"/>
      <c r="ITQ2998" s="125"/>
      <c r="ITR2998" s="470"/>
      <c r="ITS2998" s="449"/>
      <c r="ITT2998" s="462"/>
      <c r="ITU2998" s="299"/>
      <c r="ITV2998" s="81"/>
      <c r="ITW2998" s="160"/>
      <c r="ITX2998" s="562"/>
      <c r="ITY2998" s="125"/>
      <c r="ITZ2998" s="470"/>
      <c r="IUA2998" s="449"/>
      <c r="IUB2998" s="462"/>
      <c r="IUC2998" s="299"/>
      <c r="IUD2998" s="81"/>
      <c r="IUE2998" s="160"/>
      <c r="IUF2998" s="562"/>
      <c r="IUG2998" s="125"/>
      <c r="IUH2998" s="470"/>
      <c r="IUI2998" s="449"/>
      <c r="IUJ2998" s="462"/>
      <c r="IUK2998" s="299"/>
      <c r="IUL2998" s="81"/>
      <c r="IUM2998" s="160"/>
      <c r="IUN2998" s="562"/>
      <c r="IUO2998" s="125"/>
      <c r="IUP2998" s="470"/>
      <c r="IUQ2998" s="449"/>
      <c r="IUR2998" s="462"/>
      <c r="IUS2998" s="299"/>
      <c r="IUT2998" s="81"/>
      <c r="IUU2998" s="160"/>
      <c r="IUV2998" s="562"/>
      <c r="IUW2998" s="125"/>
      <c r="IUX2998" s="470"/>
      <c r="IUY2998" s="449"/>
      <c r="IUZ2998" s="462"/>
      <c r="IVA2998" s="299"/>
      <c r="IVB2998" s="81"/>
      <c r="IVC2998" s="160"/>
      <c r="IVD2998" s="562"/>
      <c r="IVE2998" s="125"/>
      <c r="IVF2998" s="470"/>
      <c r="IVG2998" s="449"/>
      <c r="IVH2998" s="462"/>
      <c r="IVI2998" s="299"/>
      <c r="IVJ2998" s="81"/>
      <c r="IVK2998" s="160"/>
      <c r="IVL2998" s="562"/>
      <c r="IVM2998" s="125"/>
      <c r="IVN2998" s="470"/>
      <c r="IVO2998" s="449"/>
      <c r="IVP2998" s="462"/>
      <c r="IVQ2998" s="299"/>
      <c r="IVR2998" s="81"/>
      <c r="IVS2998" s="160"/>
      <c r="IVT2998" s="562"/>
      <c r="IVU2998" s="125"/>
      <c r="IVV2998" s="470"/>
      <c r="IVW2998" s="449"/>
      <c r="IVX2998" s="462"/>
      <c r="IVY2998" s="299"/>
      <c r="IVZ2998" s="81"/>
      <c r="IWA2998" s="160"/>
      <c r="IWB2998" s="562"/>
      <c r="IWC2998" s="125"/>
      <c r="IWD2998" s="470"/>
      <c r="IWE2998" s="449"/>
      <c r="IWF2998" s="462"/>
      <c r="IWG2998" s="299"/>
      <c r="IWH2998" s="81"/>
      <c r="IWI2998" s="160"/>
      <c r="IWJ2998" s="562"/>
      <c r="IWK2998" s="125"/>
      <c r="IWL2998" s="470"/>
      <c r="IWM2998" s="449"/>
      <c r="IWN2998" s="462"/>
      <c r="IWO2998" s="299"/>
      <c r="IWP2998" s="81"/>
      <c r="IWQ2998" s="160"/>
      <c r="IWR2998" s="562"/>
      <c r="IWS2998" s="125"/>
      <c r="IWT2998" s="470"/>
      <c r="IWU2998" s="449"/>
      <c r="IWV2998" s="462"/>
      <c r="IWW2998" s="299"/>
      <c r="IWX2998" s="81"/>
      <c r="IWY2998" s="160"/>
      <c r="IWZ2998" s="562"/>
      <c r="IXA2998" s="125"/>
      <c r="IXB2998" s="470"/>
      <c r="IXC2998" s="449"/>
      <c r="IXD2998" s="462"/>
      <c r="IXE2998" s="299"/>
      <c r="IXF2998" s="81"/>
      <c r="IXG2998" s="160"/>
      <c r="IXH2998" s="562"/>
      <c r="IXI2998" s="125"/>
      <c r="IXJ2998" s="470"/>
      <c r="IXK2998" s="449"/>
      <c r="IXL2998" s="462"/>
      <c r="IXM2998" s="299"/>
      <c r="IXN2998" s="81"/>
      <c r="IXO2998" s="160"/>
      <c r="IXP2998" s="562"/>
      <c r="IXQ2998" s="125"/>
      <c r="IXR2998" s="470"/>
      <c r="IXS2998" s="449"/>
      <c r="IXT2998" s="462"/>
      <c r="IXU2998" s="299"/>
      <c r="IXV2998" s="81"/>
      <c r="IXW2998" s="160"/>
      <c r="IXX2998" s="562"/>
      <c r="IXY2998" s="125"/>
      <c r="IXZ2998" s="470"/>
      <c r="IYA2998" s="449"/>
      <c r="IYB2998" s="462"/>
      <c r="IYC2998" s="299"/>
      <c r="IYD2998" s="81"/>
      <c r="IYE2998" s="160"/>
      <c r="IYF2998" s="562"/>
      <c r="IYG2998" s="125"/>
      <c r="IYH2998" s="470"/>
      <c r="IYI2998" s="449"/>
      <c r="IYJ2998" s="462"/>
      <c r="IYK2998" s="299"/>
      <c r="IYL2998" s="81"/>
      <c r="IYM2998" s="160"/>
      <c r="IYN2998" s="562"/>
      <c r="IYO2998" s="125"/>
      <c r="IYP2998" s="470"/>
      <c r="IYQ2998" s="449"/>
      <c r="IYR2998" s="462"/>
      <c r="IYS2998" s="299"/>
      <c r="IYT2998" s="81"/>
      <c r="IYU2998" s="160"/>
      <c r="IYV2998" s="562"/>
      <c r="IYW2998" s="125"/>
      <c r="IYX2998" s="470"/>
      <c r="IYY2998" s="449"/>
      <c r="IYZ2998" s="462"/>
      <c r="IZA2998" s="299"/>
      <c r="IZB2998" s="81"/>
      <c r="IZC2998" s="160"/>
      <c r="IZD2998" s="562"/>
      <c r="IZE2998" s="125"/>
      <c r="IZF2998" s="470"/>
      <c r="IZG2998" s="449"/>
      <c r="IZH2998" s="462"/>
      <c r="IZI2998" s="299"/>
      <c r="IZJ2998" s="81"/>
      <c r="IZK2998" s="160"/>
      <c r="IZL2998" s="562"/>
      <c r="IZM2998" s="125"/>
      <c r="IZN2998" s="470"/>
      <c r="IZO2998" s="449"/>
      <c r="IZP2998" s="462"/>
      <c r="IZQ2998" s="299"/>
      <c r="IZR2998" s="81"/>
      <c r="IZS2998" s="160"/>
      <c r="IZT2998" s="562"/>
      <c r="IZU2998" s="125"/>
      <c r="IZV2998" s="470"/>
      <c r="IZW2998" s="449"/>
      <c r="IZX2998" s="462"/>
      <c r="IZY2998" s="299"/>
      <c r="IZZ2998" s="81"/>
      <c r="JAA2998" s="160"/>
      <c r="JAB2998" s="562"/>
      <c r="JAC2998" s="125"/>
      <c r="JAD2998" s="470"/>
      <c r="JAE2998" s="449"/>
      <c r="JAF2998" s="462"/>
      <c r="JAG2998" s="299"/>
      <c r="JAH2998" s="81"/>
      <c r="JAI2998" s="160"/>
      <c r="JAJ2998" s="562"/>
      <c r="JAK2998" s="125"/>
      <c r="JAL2998" s="470"/>
      <c r="JAM2998" s="449"/>
      <c r="JAN2998" s="462"/>
      <c r="JAO2998" s="299"/>
      <c r="JAP2998" s="81"/>
      <c r="JAQ2998" s="160"/>
      <c r="JAR2998" s="562"/>
      <c r="JAS2998" s="125"/>
      <c r="JAT2998" s="470"/>
      <c r="JAU2998" s="449"/>
      <c r="JAV2998" s="462"/>
      <c r="JAW2998" s="299"/>
      <c r="JAX2998" s="81"/>
      <c r="JAY2998" s="160"/>
      <c r="JAZ2998" s="562"/>
      <c r="JBA2998" s="125"/>
      <c r="JBB2998" s="470"/>
      <c r="JBC2998" s="449"/>
      <c r="JBD2998" s="462"/>
      <c r="JBE2998" s="299"/>
      <c r="JBF2998" s="81"/>
      <c r="JBG2998" s="160"/>
      <c r="JBH2998" s="562"/>
      <c r="JBI2998" s="125"/>
      <c r="JBJ2998" s="470"/>
      <c r="JBK2998" s="449"/>
      <c r="JBL2998" s="462"/>
      <c r="JBM2998" s="299"/>
      <c r="JBN2998" s="81"/>
      <c r="JBO2998" s="160"/>
      <c r="JBP2998" s="562"/>
      <c r="JBQ2998" s="125"/>
      <c r="JBR2998" s="470"/>
      <c r="JBS2998" s="449"/>
      <c r="JBT2998" s="462"/>
      <c r="JBU2998" s="299"/>
      <c r="JBV2998" s="81"/>
      <c r="JBW2998" s="160"/>
      <c r="JBX2998" s="562"/>
      <c r="JBY2998" s="125"/>
      <c r="JBZ2998" s="470"/>
      <c r="JCA2998" s="449"/>
      <c r="JCB2998" s="462"/>
      <c r="JCC2998" s="299"/>
      <c r="JCD2998" s="81"/>
      <c r="JCE2998" s="160"/>
      <c r="JCF2998" s="562"/>
      <c r="JCG2998" s="125"/>
      <c r="JCH2998" s="470"/>
      <c r="JCI2998" s="449"/>
      <c r="JCJ2998" s="462"/>
      <c r="JCK2998" s="299"/>
      <c r="JCL2998" s="81"/>
      <c r="JCM2998" s="160"/>
      <c r="JCN2998" s="562"/>
      <c r="JCO2998" s="125"/>
      <c r="JCP2998" s="470"/>
      <c r="JCQ2998" s="449"/>
      <c r="JCR2998" s="462"/>
      <c r="JCS2998" s="299"/>
      <c r="JCT2998" s="81"/>
      <c r="JCU2998" s="160"/>
      <c r="JCV2998" s="562"/>
      <c r="JCW2998" s="125"/>
      <c r="JCX2998" s="470"/>
      <c r="JCY2998" s="449"/>
      <c r="JCZ2998" s="462"/>
      <c r="JDA2998" s="299"/>
      <c r="JDB2998" s="81"/>
      <c r="JDC2998" s="160"/>
      <c r="JDD2998" s="562"/>
      <c r="JDE2998" s="125"/>
      <c r="JDF2998" s="470"/>
      <c r="JDG2998" s="449"/>
      <c r="JDH2998" s="462"/>
      <c r="JDI2998" s="299"/>
      <c r="JDJ2998" s="81"/>
      <c r="JDK2998" s="160"/>
      <c r="JDL2998" s="562"/>
      <c r="JDM2998" s="125"/>
      <c r="JDN2998" s="470"/>
      <c r="JDO2998" s="449"/>
      <c r="JDP2998" s="462"/>
      <c r="JDQ2998" s="299"/>
      <c r="JDR2998" s="81"/>
      <c r="JDS2998" s="160"/>
      <c r="JDT2998" s="562"/>
      <c r="JDU2998" s="125"/>
      <c r="JDV2998" s="470"/>
      <c r="JDW2998" s="449"/>
      <c r="JDX2998" s="462"/>
      <c r="JDY2998" s="299"/>
      <c r="JDZ2998" s="81"/>
      <c r="JEA2998" s="160"/>
      <c r="JEB2998" s="562"/>
      <c r="JEC2998" s="125"/>
      <c r="JED2998" s="470"/>
      <c r="JEE2998" s="449"/>
      <c r="JEF2998" s="462"/>
      <c r="JEG2998" s="299"/>
      <c r="JEH2998" s="81"/>
      <c r="JEI2998" s="160"/>
      <c r="JEJ2998" s="562"/>
      <c r="JEK2998" s="125"/>
      <c r="JEL2998" s="470"/>
      <c r="JEM2998" s="449"/>
      <c r="JEN2998" s="462"/>
      <c r="JEO2998" s="299"/>
      <c r="JEP2998" s="81"/>
      <c r="JEQ2998" s="160"/>
      <c r="JER2998" s="562"/>
      <c r="JES2998" s="125"/>
      <c r="JET2998" s="470"/>
      <c r="JEU2998" s="449"/>
      <c r="JEV2998" s="462"/>
      <c r="JEW2998" s="299"/>
      <c r="JEX2998" s="81"/>
      <c r="JEY2998" s="160"/>
      <c r="JEZ2998" s="562"/>
      <c r="JFA2998" s="125"/>
      <c r="JFB2998" s="470"/>
      <c r="JFC2998" s="449"/>
      <c r="JFD2998" s="462"/>
      <c r="JFE2998" s="299"/>
      <c r="JFF2998" s="81"/>
      <c r="JFG2998" s="160"/>
      <c r="JFH2998" s="562"/>
      <c r="JFI2998" s="125"/>
      <c r="JFJ2998" s="470"/>
      <c r="JFK2998" s="449"/>
      <c r="JFL2998" s="462"/>
      <c r="JFM2998" s="299"/>
      <c r="JFN2998" s="81"/>
      <c r="JFO2998" s="160"/>
      <c r="JFP2998" s="562"/>
      <c r="JFQ2998" s="125"/>
      <c r="JFR2998" s="470"/>
      <c r="JFS2998" s="449"/>
      <c r="JFT2998" s="462"/>
      <c r="JFU2998" s="299"/>
      <c r="JFV2998" s="81"/>
      <c r="JFW2998" s="160"/>
      <c r="JFX2998" s="562"/>
      <c r="JFY2998" s="125"/>
      <c r="JFZ2998" s="470"/>
      <c r="JGA2998" s="449"/>
      <c r="JGB2998" s="462"/>
      <c r="JGC2998" s="299"/>
      <c r="JGD2998" s="81"/>
      <c r="JGE2998" s="160"/>
      <c r="JGF2998" s="562"/>
      <c r="JGG2998" s="125"/>
      <c r="JGH2998" s="470"/>
      <c r="JGI2998" s="449"/>
      <c r="JGJ2998" s="462"/>
      <c r="JGK2998" s="299"/>
      <c r="JGL2998" s="81"/>
      <c r="JGM2998" s="160"/>
      <c r="JGN2998" s="562"/>
      <c r="JGO2998" s="125"/>
      <c r="JGP2998" s="470"/>
      <c r="JGQ2998" s="449"/>
      <c r="JGR2998" s="462"/>
      <c r="JGS2998" s="299"/>
      <c r="JGT2998" s="81"/>
      <c r="JGU2998" s="160"/>
      <c r="JGV2998" s="562"/>
      <c r="JGW2998" s="125"/>
      <c r="JGX2998" s="470"/>
      <c r="JGY2998" s="449"/>
      <c r="JGZ2998" s="462"/>
      <c r="JHA2998" s="299"/>
      <c r="JHB2998" s="81"/>
      <c r="JHC2998" s="160"/>
      <c r="JHD2998" s="562"/>
      <c r="JHE2998" s="125"/>
      <c r="JHF2998" s="470"/>
      <c r="JHG2998" s="449"/>
      <c r="JHH2998" s="462"/>
      <c r="JHI2998" s="299"/>
      <c r="JHJ2998" s="81"/>
      <c r="JHK2998" s="160"/>
      <c r="JHL2998" s="562"/>
      <c r="JHM2998" s="125"/>
      <c r="JHN2998" s="470"/>
      <c r="JHO2998" s="449"/>
      <c r="JHP2998" s="462"/>
      <c r="JHQ2998" s="299"/>
      <c r="JHR2998" s="81"/>
      <c r="JHS2998" s="160"/>
      <c r="JHT2998" s="562"/>
      <c r="JHU2998" s="125"/>
      <c r="JHV2998" s="470"/>
      <c r="JHW2998" s="449"/>
      <c r="JHX2998" s="462"/>
      <c r="JHY2998" s="299"/>
      <c r="JHZ2998" s="81"/>
      <c r="JIA2998" s="160"/>
      <c r="JIB2998" s="562"/>
      <c r="JIC2998" s="125"/>
      <c r="JID2998" s="470"/>
      <c r="JIE2998" s="449"/>
      <c r="JIF2998" s="462"/>
      <c r="JIG2998" s="299"/>
      <c r="JIH2998" s="81"/>
      <c r="JII2998" s="160"/>
      <c r="JIJ2998" s="562"/>
      <c r="JIK2998" s="125"/>
      <c r="JIL2998" s="470"/>
      <c r="JIM2998" s="449"/>
      <c r="JIN2998" s="462"/>
      <c r="JIO2998" s="299"/>
      <c r="JIP2998" s="81"/>
      <c r="JIQ2998" s="160"/>
      <c r="JIR2998" s="562"/>
      <c r="JIS2998" s="125"/>
      <c r="JIT2998" s="470"/>
      <c r="JIU2998" s="449"/>
      <c r="JIV2998" s="462"/>
      <c r="JIW2998" s="299"/>
      <c r="JIX2998" s="81"/>
      <c r="JIY2998" s="160"/>
      <c r="JIZ2998" s="562"/>
      <c r="JJA2998" s="125"/>
      <c r="JJB2998" s="470"/>
      <c r="JJC2998" s="449"/>
      <c r="JJD2998" s="462"/>
      <c r="JJE2998" s="299"/>
      <c r="JJF2998" s="81"/>
      <c r="JJG2998" s="160"/>
      <c r="JJH2998" s="562"/>
      <c r="JJI2998" s="125"/>
      <c r="JJJ2998" s="470"/>
      <c r="JJK2998" s="449"/>
      <c r="JJL2998" s="462"/>
      <c r="JJM2998" s="299"/>
      <c r="JJN2998" s="81"/>
      <c r="JJO2998" s="160"/>
      <c r="JJP2998" s="562"/>
      <c r="JJQ2998" s="125"/>
      <c r="JJR2998" s="470"/>
      <c r="JJS2998" s="449"/>
      <c r="JJT2998" s="462"/>
      <c r="JJU2998" s="299"/>
      <c r="JJV2998" s="81"/>
      <c r="JJW2998" s="160"/>
      <c r="JJX2998" s="562"/>
      <c r="JJY2998" s="125"/>
      <c r="JJZ2998" s="470"/>
      <c r="JKA2998" s="449"/>
      <c r="JKB2998" s="462"/>
      <c r="JKC2998" s="299"/>
      <c r="JKD2998" s="81"/>
      <c r="JKE2998" s="160"/>
      <c r="JKF2998" s="562"/>
      <c r="JKG2998" s="125"/>
      <c r="JKH2998" s="470"/>
      <c r="JKI2998" s="449"/>
      <c r="JKJ2998" s="462"/>
      <c r="JKK2998" s="299"/>
      <c r="JKL2998" s="81"/>
      <c r="JKM2998" s="160"/>
      <c r="JKN2998" s="562"/>
      <c r="JKO2998" s="125"/>
      <c r="JKP2998" s="470"/>
      <c r="JKQ2998" s="449"/>
      <c r="JKR2998" s="462"/>
      <c r="JKS2998" s="299"/>
      <c r="JKT2998" s="81"/>
      <c r="JKU2998" s="160"/>
      <c r="JKV2998" s="562"/>
      <c r="JKW2998" s="125"/>
      <c r="JKX2998" s="470"/>
      <c r="JKY2998" s="449"/>
      <c r="JKZ2998" s="462"/>
      <c r="JLA2998" s="299"/>
      <c r="JLB2998" s="81"/>
      <c r="JLC2998" s="160"/>
      <c r="JLD2998" s="562"/>
      <c r="JLE2998" s="125"/>
      <c r="JLF2998" s="470"/>
      <c r="JLG2998" s="449"/>
      <c r="JLH2998" s="462"/>
      <c r="JLI2998" s="299"/>
      <c r="JLJ2998" s="81"/>
      <c r="JLK2998" s="160"/>
      <c r="JLL2998" s="562"/>
      <c r="JLM2998" s="125"/>
      <c r="JLN2998" s="470"/>
      <c r="JLO2998" s="449"/>
      <c r="JLP2998" s="462"/>
      <c r="JLQ2998" s="299"/>
      <c r="JLR2998" s="81"/>
      <c r="JLS2998" s="160"/>
      <c r="JLT2998" s="562"/>
      <c r="JLU2998" s="125"/>
      <c r="JLV2998" s="470"/>
      <c r="JLW2998" s="449"/>
      <c r="JLX2998" s="462"/>
      <c r="JLY2998" s="299"/>
      <c r="JLZ2998" s="81"/>
      <c r="JMA2998" s="160"/>
      <c r="JMB2998" s="562"/>
      <c r="JMC2998" s="125"/>
      <c r="JMD2998" s="470"/>
      <c r="JME2998" s="449"/>
      <c r="JMF2998" s="462"/>
      <c r="JMG2998" s="299"/>
      <c r="JMH2998" s="81"/>
      <c r="JMI2998" s="160"/>
      <c r="JMJ2998" s="562"/>
      <c r="JMK2998" s="125"/>
      <c r="JML2998" s="470"/>
      <c r="JMM2998" s="449"/>
      <c r="JMN2998" s="462"/>
      <c r="JMO2998" s="299"/>
      <c r="JMP2998" s="81"/>
      <c r="JMQ2998" s="160"/>
      <c r="JMR2998" s="562"/>
      <c r="JMS2998" s="125"/>
      <c r="JMT2998" s="470"/>
      <c r="JMU2998" s="449"/>
      <c r="JMV2998" s="462"/>
      <c r="JMW2998" s="299"/>
      <c r="JMX2998" s="81"/>
      <c r="JMY2998" s="160"/>
      <c r="JMZ2998" s="562"/>
      <c r="JNA2998" s="125"/>
      <c r="JNB2998" s="470"/>
      <c r="JNC2998" s="449"/>
      <c r="JND2998" s="462"/>
      <c r="JNE2998" s="299"/>
      <c r="JNF2998" s="81"/>
      <c r="JNG2998" s="160"/>
      <c r="JNH2998" s="562"/>
      <c r="JNI2998" s="125"/>
      <c r="JNJ2998" s="470"/>
      <c r="JNK2998" s="449"/>
      <c r="JNL2998" s="462"/>
      <c r="JNM2998" s="299"/>
      <c r="JNN2998" s="81"/>
      <c r="JNO2998" s="160"/>
      <c r="JNP2998" s="562"/>
      <c r="JNQ2998" s="125"/>
      <c r="JNR2998" s="470"/>
      <c r="JNS2998" s="449"/>
      <c r="JNT2998" s="462"/>
      <c r="JNU2998" s="299"/>
      <c r="JNV2998" s="81"/>
      <c r="JNW2998" s="160"/>
      <c r="JNX2998" s="562"/>
      <c r="JNY2998" s="125"/>
      <c r="JNZ2998" s="470"/>
      <c r="JOA2998" s="449"/>
      <c r="JOB2998" s="462"/>
      <c r="JOC2998" s="299"/>
      <c r="JOD2998" s="81"/>
      <c r="JOE2998" s="160"/>
      <c r="JOF2998" s="562"/>
      <c r="JOG2998" s="125"/>
      <c r="JOH2998" s="470"/>
      <c r="JOI2998" s="449"/>
      <c r="JOJ2998" s="462"/>
      <c r="JOK2998" s="299"/>
      <c r="JOL2998" s="81"/>
      <c r="JOM2998" s="160"/>
      <c r="JON2998" s="562"/>
      <c r="JOO2998" s="125"/>
      <c r="JOP2998" s="470"/>
      <c r="JOQ2998" s="449"/>
      <c r="JOR2998" s="462"/>
      <c r="JOS2998" s="299"/>
      <c r="JOT2998" s="81"/>
      <c r="JOU2998" s="160"/>
      <c r="JOV2998" s="562"/>
      <c r="JOW2998" s="125"/>
      <c r="JOX2998" s="470"/>
      <c r="JOY2998" s="449"/>
      <c r="JOZ2998" s="462"/>
      <c r="JPA2998" s="299"/>
      <c r="JPB2998" s="81"/>
      <c r="JPC2998" s="160"/>
      <c r="JPD2998" s="562"/>
      <c r="JPE2998" s="125"/>
      <c r="JPF2998" s="470"/>
      <c r="JPG2998" s="449"/>
      <c r="JPH2998" s="462"/>
      <c r="JPI2998" s="299"/>
      <c r="JPJ2998" s="81"/>
      <c r="JPK2998" s="160"/>
      <c r="JPL2998" s="562"/>
      <c r="JPM2998" s="125"/>
      <c r="JPN2998" s="470"/>
      <c r="JPO2998" s="449"/>
      <c r="JPP2998" s="462"/>
      <c r="JPQ2998" s="299"/>
      <c r="JPR2998" s="81"/>
      <c r="JPS2998" s="160"/>
      <c r="JPT2998" s="562"/>
      <c r="JPU2998" s="125"/>
      <c r="JPV2998" s="470"/>
      <c r="JPW2998" s="449"/>
      <c r="JPX2998" s="462"/>
      <c r="JPY2998" s="299"/>
      <c r="JPZ2998" s="81"/>
      <c r="JQA2998" s="160"/>
      <c r="JQB2998" s="562"/>
      <c r="JQC2998" s="125"/>
      <c r="JQD2998" s="470"/>
      <c r="JQE2998" s="449"/>
      <c r="JQF2998" s="462"/>
      <c r="JQG2998" s="299"/>
      <c r="JQH2998" s="81"/>
      <c r="JQI2998" s="160"/>
      <c r="JQJ2998" s="562"/>
      <c r="JQK2998" s="125"/>
      <c r="JQL2998" s="470"/>
      <c r="JQM2998" s="449"/>
      <c r="JQN2998" s="462"/>
      <c r="JQO2998" s="299"/>
      <c r="JQP2998" s="81"/>
      <c r="JQQ2998" s="160"/>
      <c r="JQR2998" s="562"/>
      <c r="JQS2998" s="125"/>
      <c r="JQT2998" s="470"/>
      <c r="JQU2998" s="449"/>
      <c r="JQV2998" s="462"/>
      <c r="JQW2998" s="299"/>
      <c r="JQX2998" s="81"/>
      <c r="JQY2998" s="160"/>
      <c r="JQZ2998" s="562"/>
      <c r="JRA2998" s="125"/>
      <c r="JRB2998" s="470"/>
      <c r="JRC2998" s="449"/>
      <c r="JRD2998" s="462"/>
      <c r="JRE2998" s="299"/>
      <c r="JRF2998" s="81"/>
      <c r="JRG2998" s="160"/>
      <c r="JRH2998" s="562"/>
      <c r="JRI2998" s="125"/>
      <c r="JRJ2998" s="470"/>
      <c r="JRK2998" s="449"/>
      <c r="JRL2998" s="462"/>
      <c r="JRM2998" s="299"/>
      <c r="JRN2998" s="81"/>
      <c r="JRO2998" s="160"/>
      <c r="JRP2998" s="562"/>
      <c r="JRQ2998" s="125"/>
      <c r="JRR2998" s="470"/>
      <c r="JRS2998" s="449"/>
      <c r="JRT2998" s="462"/>
      <c r="JRU2998" s="299"/>
      <c r="JRV2998" s="81"/>
      <c r="JRW2998" s="160"/>
      <c r="JRX2998" s="562"/>
      <c r="JRY2998" s="125"/>
      <c r="JRZ2998" s="470"/>
      <c r="JSA2998" s="449"/>
      <c r="JSB2998" s="462"/>
      <c r="JSC2998" s="299"/>
      <c r="JSD2998" s="81"/>
      <c r="JSE2998" s="160"/>
      <c r="JSF2998" s="562"/>
      <c r="JSG2998" s="125"/>
      <c r="JSH2998" s="470"/>
      <c r="JSI2998" s="449"/>
      <c r="JSJ2998" s="462"/>
      <c r="JSK2998" s="299"/>
      <c r="JSL2998" s="81"/>
      <c r="JSM2998" s="160"/>
      <c r="JSN2998" s="562"/>
      <c r="JSO2998" s="125"/>
      <c r="JSP2998" s="470"/>
      <c r="JSQ2998" s="449"/>
      <c r="JSR2998" s="462"/>
      <c r="JSS2998" s="299"/>
      <c r="JST2998" s="81"/>
      <c r="JSU2998" s="160"/>
      <c r="JSV2998" s="562"/>
      <c r="JSW2998" s="125"/>
      <c r="JSX2998" s="470"/>
      <c r="JSY2998" s="449"/>
      <c r="JSZ2998" s="462"/>
      <c r="JTA2998" s="299"/>
      <c r="JTB2998" s="81"/>
      <c r="JTC2998" s="160"/>
      <c r="JTD2998" s="562"/>
      <c r="JTE2998" s="125"/>
      <c r="JTF2998" s="470"/>
      <c r="JTG2998" s="449"/>
      <c r="JTH2998" s="462"/>
      <c r="JTI2998" s="299"/>
      <c r="JTJ2998" s="81"/>
      <c r="JTK2998" s="160"/>
      <c r="JTL2998" s="562"/>
      <c r="JTM2998" s="125"/>
      <c r="JTN2998" s="470"/>
      <c r="JTO2998" s="449"/>
      <c r="JTP2998" s="462"/>
      <c r="JTQ2998" s="299"/>
      <c r="JTR2998" s="81"/>
      <c r="JTS2998" s="160"/>
      <c r="JTT2998" s="562"/>
      <c r="JTU2998" s="125"/>
      <c r="JTV2998" s="470"/>
      <c r="JTW2998" s="449"/>
      <c r="JTX2998" s="462"/>
      <c r="JTY2998" s="299"/>
      <c r="JTZ2998" s="81"/>
      <c r="JUA2998" s="160"/>
      <c r="JUB2998" s="562"/>
      <c r="JUC2998" s="125"/>
      <c r="JUD2998" s="470"/>
      <c r="JUE2998" s="449"/>
      <c r="JUF2998" s="462"/>
      <c r="JUG2998" s="299"/>
      <c r="JUH2998" s="81"/>
      <c r="JUI2998" s="160"/>
      <c r="JUJ2998" s="562"/>
      <c r="JUK2998" s="125"/>
      <c r="JUL2998" s="470"/>
      <c r="JUM2998" s="449"/>
      <c r="JUN2998" s="462"/>
      <c r="JUO2998" s="299"/>
      <c r="JUP2998" s="81"/>
      <c r="JUQ2998" s="160"/>
      <c r="JUR2998" s="562"/>
      <c r="JUS2998" s="125"/>
      <c r="JUT2998" s="470"/>
      <c r="JUU2998" s="449"/>
      <c r="JUV2998" s="462"/>
      <c r="JUW2998" s="299"/>
      <c r="JUX2998" s="81"/>
      <c r="JUY2998" s="160"/>
      <c r="JUZ2998" s="562"/>
      <c r="JVA2998" s="125"/>
      <c r="JVB2998" s="470"/>
      <c r="JVC2998" s="449"/>
      <c r="JVD2998" s="462"/>
      <c r="JVE2998" s="299"/>
      <c r="JVF2998" s="81"/>
      <c r="JVG2998" s="160"/>
      <c r="JVH2998" s="562"/>
      <c r="JVI2998" s="125"/>
      <c r="JVJ2998" s="470"/>
      <c r="JVK2998" s="449"/>
      <c r="JVL2998" s="462"/>
      <c r="JVM2998" s="299"/>
      <c r="JVN2998" s="81"/>
      <c r="JVO2998" s="160"/>
      <c r="JVP2998" s="562"/>
      <c r="JVQ2998" s="125"/>
      <c r="JVR2998" s="470"/>
      <c r="JVS2998" s="449"/>
      <c r="JVT2998" s="462"/>
      <c r="JVU2998" s="299"/>
      <c r="JVV2998" s="81"/>
      <c r="JVW2998" s="160"/>
      <c r="JVX2998" s="562"/>
      <c r="JVY2998" s="125"/>
      <c r="JVZ2998" s="470"/>
      <c r="JWA2998" s="449"/>
      <c r="JWB2998" s="462"/>
      <c r="JWC2998" s="299"/>
      <c r="JWD2998" s="81"/>
      <c r="JWE2998" s="160"/>
      <c r="JWF2998" s="562"/>
      <c r="JWG2998" s="125"/>
      <c r="JWH2998" s="470"/>
      <c r="JWI2998" s="449"/>
      <c r="JWJ2998" s="462"/>
      <c r="JWK2998" s="299"/>
      <c r="JWL2998" s="81"/>
      <c r="JWM2998" s="160"/>
      <c r="JWN2998" s="562"/>
      <c r="JWO2998" s="125"/>
      <c r="JWP2998" s="470"/>
      <c r="JWQ2998" s="449"/>
      <c r="JWR2998" s="462"/>
      <c r="JWS2998" s="299"/>
      <c r="JWT2998" s="81"/>
      <c r="JWU2998" s="160"/>
      <c r="JWV2998" s="562"/>
      <c r="JWW2998" s="125"/>
      <c r="JWX2998" s="470"/>
      <c r="JWY2998" s="449"/>
      <c r="JWZ2998" s="462"/>
      <c r="JXA2998" s="299"/>
      <c r="JXB2998" s="81"/>
      <c r="JXC2998" s="160"/>
      <c r="JXD2998" s="562"/>
      <c r="JXE2998" s="125"/>
      <c r="JXF2998" s="470"/>
      <c r="JXG2998" s="449"/>
      <c r="JXH2998" s="462"/>
      <c r="JXI2998" s="299"/>
      <c r="JXJ2998" s="81"/>
      <c r="JXK2998" s="160"/>
      <c r="JXL2998" s="562"/>
      <c r="JXM2998" s="125"/>
      <c r="JXN2998" s="470"/>
      <c r="JXO2998" s="449"/>
      <c r="JXP2998" s="462"/>
      <c r="JXQ2998" s="299"/>
      <c r="JXR2998" s="81"/>
      <c r="JXS2998" s="160"/>
      <c r="JXT2998" s="562"/>
      <c r="JXU2998" s="125"/>
      <c r="JXV2998" s="470"/>
      <c r="JXW2998" s="449"/>
      <c r="JXX2998" s="462"/>
      <c r="JXY2998" s="299"/>
      <c r="JXZ2998" s="81"/>
      <c r="JYA2998" s="160"/>
      <c r="JYB2998" s="562"/>
      <c r="JYC2998" s="125"/>
      <c r="JYD2998" s="470"/>
      <c r="JYE2998" s="449"/>
      <c r="JYF2998" s="462"/>
      <c r="JYG2998" s="299"/>
      <c r="JYH2998" s="81"/>
      <c r="JYI2998" s="160"/>
      <c r="JYJ2998" s="562"/>
      <c r="JYK2998" s="125"/>
      <c r="JYL2998" s="470"/>
      <c r="JYM2998" s="449"/>
      <c r="JYN2998" s="462"/>
      <c r="JYO2998" s="299"/>
      <c r="JYP2998" s="81"/>
      <c r="JYQ2998" s="160"/>
      <c r="JYR2998" s="562"/>
      <c r="JYS2998" s="125"/>
      <c r="JYT2998" s="470"/>
      <c r="JYU2998" s="449"/>
      <c r="JYV2998" s="462"/>
      <c r="JYW2998" s="299"/>
      <c r="JYX2998" s="81"/>
      <c r="JYY2998" s="160"/>
      <c r="JYZ2998" s="562"/>
      <c r="JZA2998" s="125"/>
      <c r="JZB2998" s="470"/>
      <c r="JZC2998" s="449"/>
      <c r="JZD2998" s="462"/>
      <c r="JZE2998" s="299"/>
      <c r="JZF2998" s="81"/>
      <c r="JZG2998" s="160"/>
      <c r="JZH2998" s="562"/>
      <c r="JZI2998" s="125"/>
      <c r="JZJ2998" s="470"/>
      <c r="JZK2998" s="449"/>
      <c r="JZL2998" s="462"/>
      <c r="JZM2998" s="299"/>
      <c r="JZN2998" s="81"/>
      <c r="JZO2998" s="160"/>
      <c r="JZP2998" s="562"/>
      <c r="JZQ2998" s="125"/>
      <c r="JZR2998" s="470"/>
      <c r="JZS2998" s="449"/>
      <c r="JZT2998" s="462"/>
      <c r="JZU2998" s="299"/>
      <c r="JZV2998" s="81"/>
      <c r="JZW2998" s="160"/>
      <c r="JZX2998" s="562"/>
      <c r="JZY2998" s="125"/>
      <c r="JZZ2998" s="470"/>
      <c r="KAA2998" s="449"/>
      <c r="KAB2998" s="462"/>
      <c r="KAC2998" s="299"/>
      <c r="KAD2998" s="81"/>
      <c r="KAE2998" s="160"/>
      <c r="KAF2998" s="562"/>
      <c r="KAG2998" s="125"/>
      <c r="KAH2998" s="470"/>
      <c r="KAI2998" s="449"/>
      <c r="KAJ2998" s="462"/>
      <c r="KAK2998" s="299"/>
      <c r="KAL2998" s="81"/>
      <c r="KAM2998" s="160"/>
      <c r="KAN2998" s="562"/>
      <c r="KAO2998" s="125"/>
      <c r="KAP2998" s="470"/>
      <c r="KAQ2998" s="449"/>
      <c r="KAR2998" s="462"/>
      <c r="KAS2998" s="299"/>
      <c r="KAT2998" s="81"/>
      <c r="KAU2998" s="160"/>
      <c r="KAV2998" s="562"/>
      <c r="KAW2998" s="125"/>
      <c r="KAX2998" s="470"/>
      <c r="KAY2998" s="449"/>
      <c r="KAZ2998" s="462"/>
      <c r="KBA2998" s="299"/>
      <c r="KBB2998" s="81"/>
      <c r="KBC2998" s="160"/>
      <c r="KBD2998" s="562"/>
      <c r="KBE2998" s="125"/>
      <c r="KBF2998" s="470"/>
      <c r="KBG2998" s="449"/>
      <c r="KBH2998" s="462"/>
      <c r="KBI2998" s="299"/>
      <c r="KBJ2998" s="81"/>
      <c r="KBK2998" s="160"/>
      <c r="KBL2998" s="562"/>
      <c r="KBM2998" s="125"/>
      <c r="KBN2998" s="470"/>
      <c r="KBO2998" s="449"/>
      <c r="KBP2998" s="462"/>
      <c r="KBQ2998" s="299"/>
      <c r="KBR2998" s="81"/>
      <c r="KBS2998" s="160"/>
      <c r="KBT2998" s="562"/>
      <c r="KBU2998" s="125"/>
      <c r="KBV2998" s="470"/>
      <c r="KBW2998" s="449"/>
      <c r="KBX2998" s="462"/>
      <c r="KBY2998" s="299"/>
      <c r="KBZ2998" s="81"/>
      <c r="KCA2998" s="160"/>
      <c r="KCB2998" s="562"/>
      <c r="KCC2998" s="125"/>
      <c r="KCD2998" s="470"/>
      <c r="KCE2998" s="449"/>
      <c r="KCF2998" s="462"/>
      <c r="KCG2998" s="299"/>
      <c r="KCH2998" s="81"/>
      <c r="KCI2998" s="160"/>
      <c r="KCJ2998" s="562"/>
      <c r="KCK2998" s="125"/>
      <c r="KCL2998" s="470"/>
      <c r="KCM2998" s="449"/>
      <c r="KCN2998" s="462"/>
      <c r="KCO2998" s="299"/>
      <c r="KCP2998" s="81"/>
      <c r="KCQ2998" s="160"/>
      <c r="KCR2998" s="562"/>
      <c r="KCS2998" s="125"/>
      <c r="KCT2998" s="470"/>
      <c r="KCU2998" s="449"/>
      <c r="KCV2998" s="462"/>
      <c r="KCW2998" s="299"/>
      <c r="KCX2998" s="81"/>
      <c r="KCY2998" s="160"/>
      <c r="KCZ2998" s="562"/>
      <c r="KDA2998" s="125"/>
      <c r="KDB2998" s="470"/>
      <c r="KDC2998" s="449"/>
      <c r="KDD2998" s="462"/>
      <c r="KDE2998" s="299"/>
      <c r="KDF2998" s="81"/>
      <c r="KDG2998" s="160"/>
      <c r="KDH2998" s="562"/>
      <c r="KDI2998" s="125"/>
      <c r="KDJ2998" s="470"/>
      <c r="KDK2998" s="449"/>
      <c r="KDL2998" s="462"/>
      <c r="KDM2998" s="299"/>
      <c r="KDN2998" s="81"/>
      <c r="KDO2998" s="160"/>
      <c r="KDP2998" s="562"/>
      <c r="KDQ2998" s="125"/>
      <c r="KDR2998" s="470"/>
      <c r="KDS2998" s="449"/>
      <c r="KDT2998" s="462"/>
      <c r="KDU2998" s="299"/>
      <c r="KDV2998" s="81"/>
      <c r="KDW2998" s="160"/>
      <c r="KDX2998" s="562"/>
      <c r="KDY2998" s="125"/>
      <c r="KDZ2998" s="470"/>
      <c r="KEA2998" s="449"/>
      <c r="KEB2998" s="462"/>
      <c r="KEC2998" s="299"/>
      <c r="KED2998" s="81"/>
      <c r="KEE2998" s="160"/>
      <c r="KEF2998" s="562"/>
      <c r="KEG2998" s="125"/>
      <c r="KEH2998" s="470"/>
      <c r="KEI2998" s="449"/>
      <c r="KEJ2998" s="462"/>
      <c r="KEK2998" s="299"/>
      <c r="KEL2998" s="81"/>
      <c r="KEM2998" s="160"/>
      <c r="KEN2998" s="562"/>
      <c r="KEO2998" s="125"/>
      <c r="KEP2998" s="470"/>
      <c r="KEQ2998" s="449"/>
      <c r="KER2998" s="462"/>
      <c r="KES2998" s="299"/>
      <c r="KET2998" s="81"/>
      <c r="KEU2998" s="160"/>
      <c r="KEV2998" s="562"/>
      <c r="KEW2998" s="125"/>
      <c r="KEX2998" s="470"/>
      <c r="KEY2998" s="449"/>
      <c r="KEZ2998" s="462"/>
      <c r="KFA2998" s="299"/>
      <c r="KFB2998" s="81"/>
      <c r="KFC2998" s="160"/>
      <c r="KFD2998" s="562"/>
      <c r="KFE2998" s="125"/>
      <c r="KFF2998" s="470"/>
      <c r="KFG2998" s="449"/>
      <c r="KFH2998" s="462"/>
      <c r="KFI2998" s="299"/>
      <c r="KFJ2998" s="81"/>
      <c r="KFK2998" s="160"/>
      <c r="KFL2998" s="562"/>
      <c r="KFM2998" s="125"/>
      <c r="KFN2998" s="470"/>
      <c r="KFO2998" s="449"/>
      <c r="KFP2998" s="462"/>
      <c r="KFQ2998" s="299"/>
      <c r="KFR2998" s="81"/>
      <c r="KFS2998" s="160"/>
      <c r="KFT2998" s="562"/>
      <c r="KFU2998" s="125"/>
      <c r="KFV2998" s="470"/>
      <c r="KFW2998" s="449"/>
      <c r="KFX2998" s="462"/>
      <c r="KFY2998" s="299"/>
      <c r="KFZ2998" s="81"/>
      <c r="KGA2998" s="160"/>
      <c r="KGB2998" s="562"/>
      <c r="KGC2998" s="125"/>
      <c r="KGD2998" s="470"/>
      <c r="KGE2998" s="449"/>
      <c r="KGF2998" s="462"/>
      <c r="KGG2998" s="299"/>
      <c r="KGH2998" s="81"/>
      <c r="KGI2998" s="160"/>
      <c r="KGJ2998" s="562"/>
      <c r="KGK2998" s="125"/>
      <c r="KGL2998" s="470"/>
      <c r="KGM2998" s="449"/>
      <c r="KGN2998" s="462"/>
      <c r="KGO2998" s="299"/>
      <c r="KGP2998" s="81"/>
      <c r="KGQ2998" s="160"/>
      <c r="KGR2998" s="562"/>
      <c r="KGS2998" s="125"/>
      <c r="KGT2998" s="470"/>
      <c r="KGU2998" s="449"/>
      <c r="KGV2998" s="462"/>
      <c r="KGW2998" s="299"/>
      <c r="KGX2998" s="81"/>
      <c r="KGY2998" s="160"/>
      <c r="KGZ2998" s="562"/>
      <c r="KHA2998" s="125"/>
      <c r="KHB2998" s="470"/>
      <c r="KHC2998" s="449"/>
      <c r="KHD2998" s="462"/>
      <c r="KHE2998" s="299"/>
      <c r="KHF2998" s="81"/>
      <c r="KHG2998" s="160"/>
      <c r="KHH2998" s="562"/>
      <c r="KHI2998" s="125"/>
      <c r="KHJ2998" s="470"/>
      <c r="KHK2998" s="449"/>
      <c r="KHL2998" s="462"/>
      <c r="KHM2998" s="299"/>
      <c r="KHN2998" s="81"/>
      <c r="KHO2998" s="160"/>
      <c r="KHP2998" s="562"/>
      <c r="KHQ2998" s="125"/>
      <c r="KHR2998" s="470"/>
      <c r="KHS2998" s="449"/>
      <c r="KHT2998" s="462"/>
      <c r="KHU2998" s="299"/>
      <c r="KHV2998" s="81"/>
      <c r="KHW2998" s="160"/>
      <c r="KHX2998" s="562"/>
      <c r="KHY2998" s="125"/>
      <c r="KHZ2998" s="470"/>
      <c r="KIA2998" s="449"/>
      <c r="KIB2998" s="462"/>
      <c r="KIC2998" s="299"/>
      <c r="KID2998" s="81"/>
      <c r="KIE2998" s="160"/>
      <c r="KIF2998" s="562"/>
      <c r="KIG2998" s="125"/>
      <c r="KIH2998" s="470"/>
      <c r="KII2998" s="449"/>
      <c r="KIJ2998" s="462"/>
      <c r="KIK2998" s="299"/>
      <c r="KIL2998" s="81"/>
      <c r="KIM2998" s="160"/>
      <c r="KIN2998" s="562"/>
      <c r="KIO2998" s="125"/>
      <c r="KIP2998" s="470"/>
      <c r="KIQ2998" s="449"/>
      <c r="KIR2998" s="462"/>
      <c r="KIS2998" s="299"/>
      <c r="KIT2998" s="81"/>
      <c r="KIU2998" s="160"/>
      <c r="KIV2998" s="562"/>
      <c r="KIW2998" s="125"/>
      <c r="KIX2998" s="470"/>
      <c r="KIY2998" s="449"/>
      <c r="KIZ2998" s="462"/>
      <c r="KJA2998" s="299"/>
      <c r="KJB2998" s="81"/>
      <c r="KJC2998" s="160"/>
      <c r="KJD2998" s="562"/>
      <c r="KJE2998" s="125"/>
      <c r="KJF2998" s="470"/>
      <c r="KJG2998" s="449"/>
      <c r="KJH2998" s="462"/>
      <c r="KJI2998" s="299"/>
      <c r="KJJ2998" s="81"/>
      <c r="KJK2998" s="160"/>
      <c r="KJL2998" s="562"/>
      <c r="KJM2998" s="125"/>
      <c r="KJN2998" s="470"/>
      <c r="KJO2998" s="449"/>
      <c r="KJP2998" s="462"/>
      <c r="KJQ2998" s="299"/>
      <c r="KJR2998" s="81"/>
      <c r="KJS2998" s="160"/>
      <c r="KJT2998" s="562"/>
      <c r="KJU2998" s="125"/>
      <c r="KJV2998" s="470"/>
      <c r="KJW2998" s="449"/>
      <c r="KJX2998" s="462"/>
      <c r="KJY2998" s="299"/>
      <c r="KJZ2998" s="81"/>
      <c r="KKA2998" s="160"/>
      <c r="KKB2998" s="562"/>
      <c r="KKC2998" s="125"/>
      <c r="KKD2998" s="470"/>
      <c r="KKE2998" s="449"/>
      <c r="KKF2998" s="462"/>
      <c r="KKG2998" s="299"/>
      <c r="KKH2998" s="81"/>
      <c r="KKI2998" s="160"/>
      <c r="KKJ2998" s="562"/>
      <c r="KKK2998" s="125"/>
      <c r="KKL2998" s="470"/>
      <c r="KKM2998" s="449"/>
      <c r="KKN2998" s="462"/>
      <c r="KKO2998" s="299"/>
      <c r="KKP2998" s="81"/>
      <c r="KKQ2998" s="160"/>
      <c r="KKR2998" s="562"/>
      <c r="KKS2998" s="125"/>
      <c r="KKT2998" s="470"/>
      <c r="KKU2998" s="449"/>
      <c r="KKV2998" s="462"/>
      <c r="KKW2998" s="299"/>
      <c r="KKX2998" s="81"/>
      <c r="KKY2998" s="160"/>
      <c r="KKZ2998" s="562"/>
      <c r="KLA2998" s="125"/>
      <c r="KLB2998" s="470"/>
      <c r="KLC2998" s="449"/>
      <c r="KLD2998" s="462"/>
      <c r="KLE2998" s="299"/>
      <c r="KLF2998" s="81"/>
      <c r="KLG2998" s="160"/>
      <c r="KLH2998" s="562"/>
      <c r="KLI2998" s="125"/>
      <c r="KLJ2998" s="470"/>
      <c r="KLK2998" s="449"/>
      <c r="KLL2998" s="462"/>
      <c r="KLM2998" s="299"/>
      <c r="KLN2998" s="81"/>
      <c r="KLO2998" s="160"/>
      <c r="KLP2998" s="562"/>
      <c r="KLQ2998" s="125"/>
      <c r="KLR2998" s="470"/>
      <c r="KLS2998" s="449"/>
      <c r="KLT2998" s="462"/>
      <c r="KLU2998" s="299"/>
      <c r="KLV2998" s="81"/>
      <c r="KLW2998" s="160"/>
      <c r="KLX2998" s="562"/>
      <c r="KLY2998" s="125"/>
      <c r="KLZ2998" s="470"/>
      <c r="KMA2998" s="449"/>
      <c r="KMB2998" s="462"/>
      <c r="KMC2998" s="299"/>
      <c r="KMD2998" s="81"/>
      <c r="KME2998" s="160"/>
      <c r="KMF2998" s="562"/>
      <c r="KMG2998" s="125"/>
      <c r="KMH2998" s="470"/>
      <c r="KMI2998" s="449"/>
      <c r="KMJ2998" s="462"/>
      <c r="KMK2998" s="299"/>
      <c r="KML2998" s="81"/>
      <c r="KMM2998" s="160"/>
      <c r="KMN2998" s="562"/>
      <c r="KMO2998" s="125"/>
      <c r="KMP2998" s="470"/>
      <c r="KMQ2998" s="449"/>
      <c r="KMR2998" s="462"/>
      <c r="KMS2998" s="299"/>
      <c r="KMT2998" s="81"/>
      <c r="KMU2998" s="160"/>
      <c r="KMV2998" s="562"/>
      <c r="KMW2998" s="125"/>
      <c r="KMX2998" s="470"/>
      <c r="KMY2998" s="449"/>
      <c r="KMZ2998" s="462"/>
      <c r="KNA2998" s="299"/>
      <c r="KNB2998" s="81"/>
      <c r="KNC2998" s="160"/>
      <c r="KND2998" s="562"/>
      <c r="KNE2998" s="125"/>
      <c r="KNF2998" s="470"/>
      <c r="KNG2998" s="449"/>
      <c r="KNH2998" s="462"/>
      <c r="KNI2998" s="299"/>
      <c r="KNJ2998" s="81"/>
      <c r="KNK2998" s="160"/>
      <c r="KNL2998" s="562"/>
      <c r="KNM2998" s="125"/>
      <c r="KNN2998" s="470"/>
      <c r="KNO2998" s="449"/>
      <c r="KNP2998" s="462"/>
      <c r="KNQ2998" s="299"/>
      <c r="KNR2998" s="81"/>
      <c r="KNS2998" s="160"/>
      <c r="KNT2998" s="562"/>
      <c r="KNU2998" s="125"/>
      <c r="KNV2998" s="470"/>
      <c r="KNW2998" s="449"/>
      <c r="KNX2998" s="462"/>
      <c r="KNY2998" s="299"/>
      <c r="KNZ2998" s="81"/>
      <c r="KOA2998" s="160"/>
      <c r="KOB2998" s="562"/>
      <c r="KOC2998" s="125"/>
      <c r="KOD2998" s="470"/>
      <c r="KOE2998" s="449"/>
      <c r="KOF2998" s="462"/>
      <c r="KOG2998" s="299"/>
      <c r="KOH2998" s="81"/>
      <c r="KOI2998" s="160"/>
      <c r="KOJ2998" s="562"/>
      <c r="KOK2998" s="125"/>
      <c r="KOL2998" s="470"/>
      <c r="KOM2998" s="449"/>
      <c r="KON2998" s="462"/>
      <c r="KOO2998" s="299"/>
      <c r="KOP2998" s="81"/>
      <c r="KOQ2998" s="160"/>
      <c r="KOR2998" s="562"/>
      <c r="KOS2998" s="125"/>
      <c r="KOT2998" s="470"/>
      <c r="KOU2998" s="449"/>
      <c r="KOV2998" s="462"/>
      <c r="KOW2998" s="299"/>
      <c r="KOX2998" s="81"/>
      <c r="KOY2998" s="160"/>
      <c r="KOZ2998" s="562"/>
      <c r="KPA2998" s="125"/>
      <c r="KPB2998" s="470"/>
      <c r="KPC2998" s="449"/>
      <c r="KPD2998" s="462"/>
      <c r="KPE2998" s="299"/>
      <c r="KPF2998" s="81"/>
      <c r="KPG2998" s="160"/>
      <c r="KPH2998" s="562"/>
      <c r="KPI2998" s="125"/>
      <c r="KPJ2998" s="470"/>
      <c r="KPK2998" s="449"/>
      <c r="KPL2998" s="462"/>
      <c r="KPM2998" s="299"/>
      <c r="KPN2998" s="81"/>
      <c r="KPO2998" s="160"/>
      <c r="KPP2998" s="562"/>
      <c r="KPQ2998" s="125"/>
      <c r="KPR2998" s="470"/>
      <c r="KPS2998" s="449"/>
      <c r="KPT2998" s="462"/>
      <c r="KPU2998" s="299"/>
      <c r="KPV2998" s="81"/>
      <c r="KPW2998" s="160"/>
      <c r="KPX2998" s="562"/>
      <c r="KPY2998" s="125"/>
      <c r="KPZ2998" s="470"/>
      <c r="KQA2998" s="449"/>
      <c r="KQB2998" s="462"/>
      <c r="KQC2998" s="299"/>
      <c r="KQD2998" s="81"/>
      <c r="KQE2998" s="160"/>
      <c r="KQF2998" s="562"/>
      <c r="KQG2998" s="125"/>
      <c r="KQH2998" s="470"/>
      <c r="KQI2998" s="449"/>
      <c r="KQJ2998" s="462"/>
      <c r="KQK2998" s="299"/>
      <c r="KQL2998" s="81"/>
      <c r="KQM2998" s="160"/>
      <c r="KQN2998" s="562"/>
      <c r="KQO2998" s="125"/>
      <c r="KQP2998" s="470"/>
      <c r="KQQ2998" s="449"/>
      <c r="KQR2998" s="462"/>
      <c r="KQS2998" s="299"/>
      <c r="KQT2998" s="81"/>
      <c r="KQU2998" s="160"/>
      <c r="KQV2998" s="562"/>
      <c r="KQW2998" s="125"/>
      <c r="KQX2998" s="470"/>
      <c r="KQY2998" s="449"/>
      <c r="KQZ2998" s="462"/>
      <c r="KRA2998" s="299"/>
      <c r="KRB2998" s="81"/>
      <c r="KRC2998" s="160"/>
      <c r="KRD2998" s="562"/>
      <c r="KRE2998" s="125"/>
      <c r="KRF2998" s="470"/>
      <c r="KRG2998" s="449"/>
      <c r="KRH2998" s="462"/>
      <c r="KRI2998" s="299"/>
      <c r="KRJ2998" s="81"/>
      <c r="KRK2998" s="160"/>
      <c r="KRL2998" s="562"/>
      <c r="KRM2998" s="125"/>
      <c r="KRN2998" s="470"/>
      <c r="KRO2998" s="449"/>
      <c r="KRP2998" s="462"/>
      <c r="KRQ2998" s="299"/>
      <c r="KRR2998" s="81"/>
      <c r="KRS2998" s="160"/>
      <c r="KRT2998" s="562"/>
      <c r="KRU2998" s="125"/>
      <c r="KRV2998" s="470"/>
      <c r="KRW2998" s="449"/>
      <c r="KRX2998" s="462"/>
      <c r="KRY2998" s="299"/>
      <c r="KRZ2998" s="81"/>
      <c r="KSA2998" s="160"/>
      <c r="KSB2998" s="562"/>
      <c r="KSC2998" s="125"/>
      <c r="KSD2998" s="470"/>
      <c r="KSE2998" s="449"/>
      <c r="KSF2998" s="462"/>
      <c r="KSG2998" s="299"/>
      <c r="KSH2998" s="81"/>
      <c r="KSI2998" s="160"/>
      <c r="KSJ2998" s="562"/>
      <c r="KSK2998" s="125"/>
      <c r="KSL2998" s="470"/>
      <c r="KSM2998" s="449"/>
      <c r="KSN2998" s="462"/>
      <c r="KSO2998" s="299"/>
      <c r="KSP2998" s="81"/>
      <c r="KSQ2998" s="160"/>
      <c r="KSR2998" s="562"/>
      <c r="KSS2998" s="125"/>
      <c r="KST2998" s="470"/>
      <c r="KSU2998" s="449"/>
      <c r="KSV2998" s="462"/>
      <c r="KSW2998" s="299"/>
      <c r="KSX2998" s="81"/>
      <c r="KSY2998" s="160"/>
      <c r="KSZ2998" s="562"/>
      <c r="KTA2998" s="125"/>
      <c r="KTB2998" s="470"/>
      <c r="KTC2998" s="449"/>
      <c r="KTD2998" s="462"/>
      <c r="KTE2998" s="299"/>
      <c r="KTF2998" s="81"/>
      <c r="KTG2998" s="160"/>
      <c r="KTH2998" s="562"/>
      <c r="KTI2998" s="125"/>
      <c r="KTJ2998" s="470"/>
      <c r="KTK2998" s="449"/>
      <c r="KTL2998" s="462"/>
      <c r="KTM2998" s="299"/>
      <c r="KTN2998" s="81"/>
      <c r="KTO2998" s="160"/>
      <c r="KTP2998" s="562"/>
      <c r="KTQ2998" s="125"/>
      <c r="KTR2998" s="470"/>
      <c r="KTS2998" s="449"/>
      <c r="KTT2998" s="462"/>
      <c r="KTU2998" s="299"/>
      <c r="KTV2998" s="81"/>
      <c r="KTW2998" s="160"/>
      <c r="KTX2998" s="562"/>
      <c r="KTY2998" s="125"/>
      <c r="KTZ2998" s="470"/>
      <c r="KUA2998" s="449"/>
      <c r="KUB2998" s="462"/>
      <c r="KUC2998" s="299"/>
      <c r="KUD2998" s="81"/>
      <c r="KUE2998" s="160"/>
      <c r="KUF2998" s="562"/>
      <c r="KUG2998" s="125"/>
      <c r="KUH2998" s="470"/>
      <c r="KUI2998" s="449"/>
      <c r="KUJ2998" s="462"/>
      <c r="KUK2998" s="299"/>
      <c r="KUL2998" s="81"/>
      <c r="KUM2998" s="160"/>
      <c r="KUN2998" s="562"/>
      <c r="KUO2998" s="125"/>
      <c r="KUP2998" s="470"/>
      <c r="KUQ2998" s="449"/>
      <c r="KUR2998" s="462"/>
      <c r="KUS2998" s="299"/>
      <c r="KUT2998" s="81"/>
      <c r="KUU2998" s="160"/>
      <c r="KUV2998" s="562"/>
      <c r="KUW2998" s="125"/>
      <c r="KUX2998" s="470"/>
      <c r="KUY2998" s="449"/>
      <c r="KUZ2998" s="462"/>
      <c r="KVA2998" s="299"/>
      <c r="KVB2998" s="81"/>
      <c r="KVC2998" s="160"/>
      <c r="KVD2998" s="562"/>
      <c r="KVE2998" s="125"/>
      <c r="KVF2998" s="470"/>
      <c r="KVG2998" s="449"/>
      <c r="KVH2998" s="462"/>
      <c r="KVI2998" s="299"/>
      <c r="KVJ2998" s="81"/>
      <c r="KVK2998" s="160"/>
      <c r="KVL2998" s="562"/>
      <c r="KVM2998" s="125"/>
      <c r="KVN2998" s="470"/>
      <c r="KVO2998" s="449"/>
      <c r="KVP2998" s="462"/>
      <c r="KVQ2998" s="299"/>
      <c r="KVR2998" s="81"/>
      <c r="KVS2998" s="160"/>
      <c r="KVT2998" s="562"/>
      <c r="KVU2998" s="125"/>
      <c r="KVV2998" s="470"/>
      <c r="KVW2998" s="449"/>
      <c r="KVX2998" s="462"/>
      <c r="KVY2998" s="299"/>
      <c r="KVZ2998" s="81"/>
      <c r="KWA2998" s="160"/>
      <c r="KWB2998" s="562"/>
      <c r="KWC2998" s="125"/>
      <c r="KWD2998" s="470"/>
      <c r="KWE2998" s="449"/>
      <c r="KWF2998" s="462"/>
      <c r="KWG2998" s="299"/>
      <c r="KWH2998" s="81"/>
      <c r="KWI2998" s="160"/>
      <c r="KWJ2998" s="562"/>
      <c r="KWK2998" s="125"/>
      <c r="KWL2998" s="470"/>
      <c r="KWM2998" s="449"/>
      <c r="KWN2998" s="462"/>
      <c r="KWO2998" s="299"/>
      <c r="KWP2998" s="81"/>
      <c r="KWQ2998" s="160"/>
      <c r="KWR2998" s="562"/>
      <c r="KWS2998" s="125"/>
      <c r="KWT2998" s="470"/>
      <c r="KWU2998" s="449"/>
      <c r="KWV2998" s="462"/>
      <c r="KWW2998" s="299"/>
      <c r="KWX2998" s="81"/>
      <c r="KWY2998" s="160"/>
      <c r="KWZ2998" s="562"/>
      <c r="KXA2998" s="125"/>
      <c r="KXB2998" s="470"/>
      <c r="KXC2998" s="449"/>
      <c r="KXD2998" s="462"/>
      <c r="KXE2998" s="299"/>
      <c r="KXF2998" s="81"/>
      <c r="KXG2998" s="160"/>
      <c r="KXH2998" s="562"/>
      <c r="KXI2998" s="125"/>
      <c r="KXJ2998" s="470"/>
      <c r="KXK2998" s="449"/>
      <c r="KXL2998" s="462"/>
      <c r="KXM2998" s="299"/>
      <c r="KXN2998" s="81"/>
      <c r="KXO2998" s="160"/>
      <c r="KXP2998" s="562"/>
      <c r="KXQ2998" s="125"/>
      <c r="KXR2998" s="470"/>
      <c r="KXS2998" s="449"/>
      <c r="KXT2998" s="462"/>
      <c r="KXU2998" s="299"/>
      <c r="KXV2998" s="81"/>
      <c r="KXW2998" s="160"/>
      <c r="KXX2998" s="562"/>
      <c r="KXY2998" s="125"/>
      <c r="KXZ2998" s="470"/>
      <c r="KYA2998" s="449"/>
      <c r="KYB2998" s="462"/>
      <c r="KYC2998" s="299"/>
      <c r="KYD2998" s="81"/>
      <c r="KYE2998" s="160"/>
      <c r="KYF2998" s="562"/>
      <c r="KYG2998" s="125"/>
      <c r="KYH2998" s="470"/>
      <c r="KYI2998" s="449"/>
      <c r="KYJ2998" s="462"/>
      <c r="KYK2998" s="299"/>
      <c r="KYL2998" s="81"/>
      <c r="KYM2998" s="160"/>
      <c r="KYN2998" s="562"/>
      <c r="KYO2998" s="125"/>
      <c r="KYP2998" s="470"/>
      <c r="KYQ2998" s="449"/>
      <c r="KYR2998" s="462"/>
      <c r="KYS2998" s="299"/>
      <c r="KYT2998" s="81"/>
      <c r="KYU2998" s="160"/>
      <c r="KYV2998" s="562"/>
      <c r="KYW2998" s="125"/>
      <c r="KYX2998" s="470"/>
      <c r="KYY2998" s="449"/>
      <c r="KYZ2998" s="462"/>
      <c r="KZA2998" s="299"/>
      <c r="KZB2998" s="81"/>
      <c r="KZC2998" s="160"/>
      <c r="KZD2998" s="562"/>
      <c r="KZE2998" s="125"/>
      <c r="KZF2998" s="470"/>
      <c r="KZG2998" s="449"/>
      <c r="KZH2998" s="462"/>
      <c r="KZI2998" s="299"/>
      <c r="KZJ2998" s="81"/>
      <c r="KZK2998" s="160"/>
      <c r="KZL2998" s="562"/>
      <c r="KZM2998" s="125"/>
      <c r="KZN2998" s="470"/>
      <c r="KZO2998" s="449"/>
      <c r="KZP2998" s="462"/>
      <c r="KZQ2998" s="299"/>
      <c r="KZR2998" s="81"/>
      <c r="KZS2998" s="160"/>
      <c r="KZT2998" s="562"/>
      <c r="KZU2998" s="125"/>
      <c r="KZV2998" s="470"/>
      <c r="KZW2998" s="449"/>
      <c r="KZX2998" s="462"/>
      <c r="KZY2998" s="299"/>
      <c r="KZZ2998" s="81"/>
      <c r="LAA2998" s="160"/>
      <c r="LAB2998" s="562"/>
      <c r="LAC2998" s="125"/>
      <c r="LAD2998" s="470"/>
      <c r="LAE2998" s="449"/>
      <c r="LAF2998" s="462"/>
      <c r="LAG2998" s="299"/>
      <c r="LAH2998" s="81"/>
      <c r="LAI2998" s="160"/>
      <c r="LAJ2998" s="562"/>
      <c r="LAK2998" s="125"/>
      <c r="LAL2998" s="470"/>
      <c r="LAM2998" s="449"/>
      <c r="LAN2998" s="462"/>
      <c r="LAO2998" s="299"/>
      <c r="LAP2998" s="81"/>
      <c r="LAQ2998" s="160"/>
      <c r="LAR2998" s="562"/>
      <c r="LAS2998" s="125"/>
      <c r="LAT2998" s="470"/>
      <c r="LAU2998" s="449"/>
      <c r="LAV2998" s="462"/>
      <c r="LAW2998" s="299"/>
      <c r="LAX2998" s="81"/>
      <c r="LAY2998" s="160"/>
      <c r="LAZ2998" s="562"/>
      <c r="LBA2998" s="125"/>
      <c r="LBB2998" s="470"/>
      <c r="LBC2998" s="449"/>
      <c r="LBD2998" s="462"/>
      <c r="LBE2998" s="299"/>
      <c r="LBF2998" s="81"/>
      <c r="LBG2998" s="160"/>
      <c r="LBH2998" s="562"/>
      <c r="LBI2998" s="125"/>
      <c r="LBJ2998" s="470"/>
      <c r="LBK2998" s="449"/>
      <c r="LBL2998" s="462"/>
      <c r="LBM2998" s="299"/>
      <c r="LBN2998" s="81"/>
      <c r="LBO2998" s="160"/>
      <c r="LBP2998" s="562"/>
      <c r="LBQ2998" s="125"/>
      <c r="LBR2998" s="470"/>
      <c r="LBS2998" s="449"/>
      <c r="LBT2998" s="462"/>
      <c r="LBU2998" s="299"/>
      <c r="LBV2998" s="81"/>
      <c r="LBW2998" s="160"/>
      <c r="LBX2998" s="562"/>
      <c r="LBY2998" s="125"/>
      <c r="LBZ2998" s="470"/>
      <c r="LCA2998" s="449"/>
      <c r="LCB2998" s="462"/>
      <c r="LCC2998" s="299"/>
      <c r="LCD2998" s="81"/>
      <c r="LCE2998" s="160"/>
      <c r="LCF2998" s="562"/>
      <c r="LCG2998" s="125"/>
      <c r="LCH2998" s="470"/>
      <c r="LCI2998" s="449"/>
      <c r="LCJ2998" s="462"/>
      <c r="LCK2998" s="299"/>
      <c r="LCL2998" s="81"/>
      <c r="LCM2998" s="160"/>
      <c r="LCN2998" s="562"/>
      <c r="LCO2998" s="125"/>
      <c r="LCP2998" s="470"/>
      <c r="LCQ2998" s="449"/>
      <c r="LCR2998" s="462"/>
      <c r="LCS2998" s="299"/>
      <c r="LCT2998" s="81"/>
      <c r="LCU2998" s="160"/>
      <c r="LCV2998" s="562"/>
      <c r="LCW2998" s="125"/>
      <c r="LCX2998" s="470"/>
      <c r="LCY2998" s="449"/>
      <c r="LCZ2998" s="462"/>
      <c r="LDA2998" s="299"/>
      <c r="LDB2998" s="81"/>
      <c r="LDC2998" s="160"/>
      <c r="LDD2998" s="562"/>
      <c r="LDE2998" s="125"/>
      <c r="LDF2998" s="470"/>
      <c r="LDG2998" s="449"/>
      <c r="LDH2998" s="462"/>
      <c r="LDI2998" s="299"/>
      <c r="LDJ2998" s="81"/>
      <c r="LDK2998" s="160"/>
      <c r="LDL2998" s="562"/>
      <c r="LDM2998" s="125"/>
      <c r="LDN2998" s="470"/>
      <c r="LDO2998" s="449"/>
      <c r="LDP2998" s="462"/>
      <c r="LDQ2998" s="299"/>
      <c r="LDR2998" s="81"/>
      <c r="LDS2998" s="160"/>
      <c r="LDT2998" s="562"/>
      <c r="LDU2998" s="125"/>
      <c r="LDV2998" s="470"/>
      <c r="LDW2998" s="449"/>
      <c r="LDX2998" s="462"/>
      <c r="LDY2998" s="299"/>
      <c r="LDZ2998" s="81"/>
      <c r="LEA2998" s="160"/>
      <c r="LEB2998" s="562"/>
      <c r="LEC2998" s="125"/>
      <c r="LED2998" s="470"/>
      <c r="LEE2998" s="449"/>
      <c r="LEF2998" s="462"/>
      <c r="LEG2998" s="299"/>
      <c r="LEH2998" s="81"/>
      <c r="LEI2998" s="160"/>
      <c r="LEJ2998" s="562"/>
      <c r="LEK2998" s="125"/>
      <c r="LEL2998" s="470"/>
      <c r="LEM2998" s="449"/>
      <c r="LEN2998" s="462"/>
      <c r="LEO2998" s="299"/>
      <c r="LEP2998" s="81"/>
      <c r="LEQ2998" s="160"/>
      <c r="LER2998" s="562"/>
      <c r="LES2998" s="125"/>
      <c r="LET2998" s="470"/>
      <c r="LEU2998" s="449"/>
      <c r="LEV2998" s="462"/>
      <c r="LEW2998" s="299"/>
      <c r="LEX2998" s="81"/>
      <c r="LEY2998" s="160"/>
      <c r="LEZ2998" s="562"/>
      <c r="LFA2998" s="125"/>
      <c r="LFB2998" s="470"/>
      <c r="LFC2998" s="449"/>
      <c r="LFD2998" s="462"/>
      <c r="LFE2998" s="299"/>
      <c r="LFF2998" s="81"/>
      <c r="LFG2998" s="160"/>
      <c r="LFH2998" s="562"/>
      <c r="LFI2998" s="125"/>
      <c r="LFJ2998" s="470"/>
      <c r="LFK2998" s="449"/>
      <c r="LFL2998" s="462"/>
      <c r="LFM2998" s="299"/>
      <c r="LFN2998" s="81"/>
      <c r="LFO2998" s="160"/>
      <c r="LFP2998" s="562"/>
      <c r="LFQ2998" s="125"/>
      <c r="LFR2998" s="470"/>
      <c r="LFS2998" s="449"/>
      <c r="LFT2998" s="462"/>
      <c r="LFU2998" s="299"/>
      <c r="LFV2998" s="81"/>
      <c r="LFW2998" s="160"/>
      <c r="LFX2998" s="562"/>
      <c r="LFY2998" s="125"/>
      <c r="LFZ2998" s="470"/>
      <c r="LGA2998" s="449"/>
      <c r="LGB2998" s="462"/>
      <c r="LGC2998" s="299"/>
      <c r="LGD2998" s="81"/>
      <c r="LGE2998" s="160"/>
      <c r="LGF2998" s="562"/>
      <c r="LGG2998" s="125"/>
      <c r="LGH2998" s="470"/>
      <c r="LGI2998" s="449"/>
      <c r="LGJ2998" s="462"/>
      <c r="LGK2998" s="299"/>
      <c r="LGL2998" s="81"/>
      <c r="LGM2998" s="160"/>
      <c r="LGN2998" s="562"/>
      <c r="LGO2998" s="125"/>
      <c r="LGP2998" s="470"/>
      <c r="LGQ2998" s="449"/>
      <c r="LGR2998" s="462"/>
      <c r="LGS2998" s="299"/>
      <c r="LGT2998" s="81"/>
      <c r="LGU2998" s="160"/>
      <c r="LGV2998" s="562"/>
      <c r="LGW2998" s="125"/>
      <c r="LGX2998" s="470"/>
      <c r="LGY2998" s="449"/>
      <c r="LGZ2998" s="462"/>
      <c r="LHA2998" s="299"/>
      <c r="LHB2998" s="81"/>
      <c r="LHC2998" s="160"/>
      <c r="LHD2998" s="562"/>
      <c r="LHE2998" s="125"/>
      <c r="LHF2998" s="470"/>
      <c r="LHG2998" s="449"/>
      <c r="LHH2998" s="462"/>
      <c r="LHI2998" s="299"/>
      <c r="LHJ2998" s="81"/>
      <c r="LHK2998" s="160"/>
      <c r="LHL2998" s="562"/>
      <c r="LHM2998" s="125"/>
      <c r="LHN2998" s="470"/>
      <c r="LHO2998" s="449"/>
      <c r="LHP2998" s="462"/>
      <c r="LHQ2998" s="299"/>
      <c r="LHR2998" s="81"/>
      <c r="LHS2998" s="160"/>
      <c r="LHT2998" s="562"/>
      <c r="LHU2998" s="125"/>
      <c r="LHV2998" s="470"/>
      <c r="LHW2998" s="449"/>
      <c r="LHX2998" s="462"/>
      <c r="LHY2998" s="299"/>
      <c r="LHZ2998" s="81"/>
      <c r="LIA2998" s="160"/>
      <c r="LIB2998" s="562"/>
      <c r="LIC2998" s="125"/>
      <c r="LID2998" s="470"/>
      <c r="LIE2998" s="449"/>
      <c r="LIF2998" s="462"/>
      <c r="LIG2998" s="299"/>
      <c r="LIH2998" s="81"/>
      <c r="LII2998" s="160"/>
      <c r="LIJ2998" s="562"/>
      <c r="LIK2998" s="125"/>
      <c r="LIL2998" s="470"/>
      <c r="LIM2998" s="449"/>
      <c r="LIN2998" s="462"/>
      <c r="LIO2998" s="299"/>
      <c r="LIP2998" s="81"/>
      <c r="LIQ2998" s="160"/>
      <c r="LIR2998" s="562"/>
      <c r="LIS2998" s="125"/>
      <c r="LIT2998" s="470"/>
      <c r="LIU2998" s="449"/>
      <c r="LIV2998" s="462"/>
      <c r="LIW2998" s="299"/>
      <c r="LIX2998" s="81"/>
      <c r="LIY2998" s="160"/>
      <c r="LIZ2998" s="562"/>
      <c r="LJA2998" s="125"/>
      <c r="LJB2998" s="470"/>
      <c r="LJC2998" s="449"/>
      <c r="LJD2998" s="462"/>
      <c r="LJE2998" s="299"/>
      <c r="LJF2998" s="81"/>
      <c r="LJG2998" s="160"/>
      <c r="LJH2998" s="562"/>
      <c r="LJI2998" s="125"/>
      <c r="LJJ2998" s="470"/>
      <c r="LJK2998" s="449"/>
      <c r="LJL2998" s="462"/>
      <c r="LJM2998" s="299"/>
      <c r="LJN2998" s="81"/>
      <c r="LJO2998" s="160"/>
      <c r="LJP2998" s="562"/>
      <c r="LJQ2998" s="125"/>
      <c r="LJR2998" s="470"/>
      <c r="LJS2998" s="449"/>
      <c r="LJT2998" s="462"/>
      <c r="LJU2998" s="299"/>
      <c r="LJV2998" s="81"/>
      <c r="LJW2998" s="160"/>
      <c r="LJX2998" s="562"/>
      <c r="LJY2998" s="125"/>
      <c r="LJZ2998" s="470"/>
      <c r="LKA2998" s="449"/>
      <c r="LKB2998" s="462"/>
      <c r="LKC2998" s="299"/>
      <c r="LKD2998" s="81"/>
      <c r="LKE2998" s="160"/>
      <c r="LKF2998" s="562"/>
      <c r="LKG2998" s="125"/>
      <c r="LKH2998" s="470"/>
      <c r="LKI2998" s="449"/>
      <c r="LKJ2998" s="462"/>
      <c r="LKK2998" s="299"/>
      <c r="LKL2998" s="81"/>
      <c r="LKM2998" s="160"/>
      <c r="LKN2998" s="562"/>
      <c r="LKO2998" s="125"/>
      <c r="LKP2998" s="470"/>
      <c r="LKQ2998" s="449"/>
      <c r="LKR2998" s="462"/>
      <c r="LKS2998" s="299"/>
      <c r="LKT2998" s="81"/>
      <c r="LKU2998" s="160"/>
      <c r="LKV2998" s="562"/>
      <c r="LKW2998" s="125"/>
      <c r="LKX2998" s="470"/>
      <c r="LKY2998" s="449"/>
      <c r="LKZ2998" s="462"/>
      <c r="LLA2998" s="299"/>
      <c r="LLB2998" s="81"/>
      <c r="LLC2998" s="160"/>
      <c r="LLD2998" s="562"/>
      <c r="LLE2998" s="125"/>
      <c r="LLF2998" s="470"/>
      <c r="LLG2998" s="449"/>
      <c r="LLH2998" s="462"/>
      <c r="LLI2998" s="299"/>
      <c r="LLJ2998" s="81"/>
      <c r="LLK2998" s="160"/>
      <c r="LLL2998" s="562"/>
      <c r="LLM2998" s="125"/>
      <c r="LLN2998" s="470"/>
      <c r="LLO2998" s="449"/>
      <c r="LLP2998" s="462"/>
      <c r="LLQ2998" s="299"/>
      <c r="LLR2998" s="81"/>
      <c r="LLS2998" s="160"/>
      <c r="LLT2998" s="562"/>
      <c r="LLU2998" s="125"/>
      <c r="LLV2998" s="470"/>
      <c r="LLW2998" s="449"/>
      <c r="LLX2998" s="462"/>
      <c r="LLY2998" s="299"/>
      <c r="LLZ2998" s="81"/>
      <c r="LMA2998" s="160"/>
      <c r="LMB2998" s="562"/>
      <c r="LMC2998" s="125"/>
      <c r="LMD2998" s="470"/>
      <c r="LME2998" s="449"/>
      <c r="LMF2998" s="462"/>
      <c r="LMG2998" s="299"/>
      <c r="LMH2998" s="81"/>
      <c r="LMI2998" s="160"/>
      <c r="LMJ2998" s="562"/>
      <c r="LMK2998" s="125"/>
      <c r="LML2998" s="470"/>
      <c r="LMM2998" s="449"/>
      <c r="LMN2998" s="462"/>
      <c r="LMO2998" s="299"/>
      <c r="LMP2998" s="81"/>
      <c r="LMQ2998" s="160"/>
      <c r="LMR2998" s="562"/>
      <c r="LMS2998" s="125"/>
      <c r="LMT2998" s="470"/>
      <c r="LMU2998" s="449"/>
      <c r="LMV2998" s="462"/>
      <c r="LMW2998" s="299"/>
      <c r="LMX2998" s="81"/>
      <c r="LMY2998" s="160"/>
      <c r="LMZ2998" s="562"/>
      <c r="LNA2998" s="125"/>
      <c r="LNB2998" s="470"/>
      <c r="LNC2998" s="449"/>
      <c r="LND2998" s="462"/>
      <c r="LNE2998" s="299"/>
      <c r="LNF2998" s="81"/>
      <c r="LNG2998" s="160"/>
      <c r="LNH2998" s="562"/>
      <c r="LNI2998" s="125"/>
      <c r="LNJ2998" s="470"/>
      <c r="LNK2998" s="449"/>
      <c r="LNL2998" s="462"/>
      <c r="LNM2998" s="299"/>
      <c r="LNN2998" s="81"/>
      <c r="LNO2998" s="160"/>
      <c r="LNP2998" s="562"/>
      <c r="LNQ2998" s="125"/>
      <c r="LNR2998" s="470"/>
      <c r="LNS2998" s="449"/>
      <c r="LNT2998" s="462"/>
      <c r="LNU2998" s="299"/>
      <c r="LNV2998" s="81"/>
      <c r="LNW2998" s="160"/>
      <c r="LNX2998" s="562"/>
      <c r="LNY2998" s="125"/>
      <c r="LNZ2998" s="470"/>
      <c r="LOA2998" s="449"/>
      <c r="LOB2998" s="462"/>
      <c r="LOC2998" s="299"/>
      <c r="LOD2998" s="81"/>
      <c r="LOE2998" s="160"/>
      <c r="LOF2998" s="562"/>
      <c r="LOG2998" s="125"/>
      <c r="LOH2998" s="470"/>
      <c r="LOI2998" s="449"/>
      <c r="LOJ2998" s="462"/>
      <c r="LOK2998" s="299"/>
      <c r="LOL2998" s="81"/>
      <c r="LOM2998" s="160"/>
      <c r="LON2998" s="562"/>
      <c r="LOO2998" s="125"/>
      <c r="LOP2998" s="470"/>
      <c r="LOQ2998" s="449"/>
      <c r="LOR2998" s="462"/>
      <c r="LOS2998" s="299"/>
      <c r="LOT2998" s="81"/>
      <c r="LOU2998" s="160"/>
      <c r="LOV2998" s="562"/>
      <c r="LOW2998" s="125"/>
      <c r="LOX2998" s="470"/>
      <c r="LOY2998" s="449"/>
      <c r="LOZ2998" s="462"/>
      <c r="LPA2998" s="299"/>
      <c r="LPB2998" s="81"/>
      <c r="LPC2998" s="160"/>
      <c r="LPD2998" s="562"/>
      <c r="LPE2998" s="125"/>
      <c r="LPF2998" s="470"/>
      <c r="LPG2998" s="449"/>
      <c r="LPH2998" s="462"/>
      <c r="LPI2998" s="299"/>
      <c r="LPJ2998" s="81"/>
      <c r="LPK2998" s="160"/>
      <c r="LPL2998" s="562"/>
      <c r="LPM2998" s="125"/>
      <c r="LPN2998" s="470"/>
      <c r="LPO2998" s="449"/>
      <c r="LPP2998" s="462"/>
      <c r="LPQ2998" s="299"/>
      <c r="LPR2998" s="81"/>
      <c r="LPS2998" s="160"/>
      <c r="LPT2998" s="562"/>
      <c r="LPU2998" s="125"/>
      <c r="LPV2998" s="470"/>
      <c r="LPW2998" s="449"/>
      <c r="LPX2998" s="462"/>
      <c r="LPY2998" s="299"/>
      <c r="LPZ2998" s="81"/>
      <c r="LQA2998" s="160"/>
      <c r="LQB2998" s="562"/>
      <c r="LQC2998" s="125"/>
      <c r="LQD2998" s="470"/>
      <c r="LQE2998" s="449"/>
      <c r="LQF2998" s="462"/>
      <c r="LQG2998" s="299"/>
      <c r="LQH2998" s="81"/>
      <c r="LQI2998" s="160"/>
      <c r="LQJ2998" s="562"/>
      <c r="LQK2998" s="125"/>
      <c r="LQL2998" s="470"/>
      <c r="LQM2998" s="449"/>
      <c r="LQN2998" s="462"/>
      <c r="LQO2998" s="299"/>
      <c r="LQP2998" s="81"/>
      <c r="LQQ2998" s="160"/>
      <c r="LQR2998" s="562"/>
      <c r="LQS2998" s="125"/>
      <c r="LQT2998" s="470"/>
      <c r="LQU2998" s="449"/>
      <c r="LQV2998" s="462"/>
      <c r="LQW2998" s="299"/>
      <c r="LQX2998" s="81"/>
      <c r="LQY2998" s="160"/>
      <c r="LQZ2998" s="562"/>
      <c r="LRA2998" s="125"/>
      <c r="LRB2998" s="470"/>
      <c r="LRC2998" s="449"/>
      <c r="LRD2998" s="462"/>
      <c r="LRE2998" s="299"/>
      <c r="LRF2998" s="81"/>
      <c r="LRG2998" s="160"/>
      <c r="LRH2998" s="562"/>
      <c r="LRI2998" s="125"/>
      <c r="LRJ2998" s="470"/>
      <c r="LRK2998" s="449"/>
      <c r="LRL2998" s="462"/>
      <c r="LRM2998" s="299"/>
      <c r="LRN2998" s="81"/>
      <c r="LRO2998" s="160"/>
      <c r="LRP2998" s="562"/>
      <c r="LRQ2998" s="125"/>
      <c r="LRR2998" s="470"/>
      <c r="LRS2998" s="449"/>
      <c r="LRT2998" s="462"/>
      <c r="LRU2998" s="299"/>
      <c r="LRV2998" s="81"/>
      <c r="LRW2998" s="160"/>
      <c r="LRX2998" s="562"/>
      <c r="LRY2998" s="125"/>
      <c r="LRZ2998" s="470"/>
      <c r="LSA2998" s="449"/>
      <c r="LSB2998" s="462"/>
      <c r="LSC2998" s="299"/>
      <c r="LSD2998" s="81"/>
      <c r="LSE2998" s="160"/>
      <c r="LSF2998" s="562"/>
      <c r="LSG2998" s="125"/>
      <c r="LSH2998" s="470"/>
      <c r="LSI2998" s="449"/>
      <c r="LSJ2998" s="462"/>
      <c r="LSK2998" s="299"/>
      <c r="LSL2998" s="81"/>
      <c r="LSM2998" s="160"/>
      <c r="LSN2998" s="562"/>
      <c r="LSO2998" s="125"/>
      <c r="LSP2998" s="470"/>
      <c r="LSQ2998" s="449"/>
      <c r="LSR2998" s="462"/>
      <c r="LSS2998" s="299"/>
      <c r="LST2998" s="81"/>
      <c r="LSU2998" s="160"/>
      <c r="LSV2998" s="562"/>
      <c r="LSW2998" s="125"/>
      <c r="LSX2998" s="470"/>
      <c r="LSY2998" s="449"/>
      <c r="LSZ2998" s="462"/>
      <c r="LTA2998" s="299"/>
      <c r="LTB2998" s="81"/>
      <c r="LTC2998" s="160"/>
      <c r="LTD2998" s="562"/>
      <c r="LTE2998" s="125"/>
      <c r="LTF2998" s="470"/>
      <c r="LTG2998" s="449"/>
      <c r="LTH2998" s="462"/>
      <c r="LTI2998" s="299"/>
      <c r="LTJ2998" s="81"/>
      <c r="LTK2998" s="160"/>
      <c r="LTL2998" s="562"/>
      <c r="LTM2998" s="125"/>
      <c r="LTN2998" s="470"/>
      <c r="LTO2998" s="449"/>
      <c r="LTP2998" s="462"/>
      <c r="LTQ2998" s="299"/>
      <c r="LTR2998" s="81"/>
      <c r="LTS2998" s="160"/>
      <c r="LTT2998" s="562"/>
      <c r="LTU2998" s="125"/>
      <c r="LTV2998" s="470"/>
      <c r="LTW2998" s="449"/>
      <c r="LTX2998" s="462"/>
      <c r="LTY2998" s="299"/>
      <c r="LTZ2998" s="81"/>
      <c r="LUA2998" s="160"/>
      <c r="LUB2998" s="562"/>
      <c r="LUC2998" s="125"/>
      <c r="LUD2998" s="470"/>
      <c r="LUE2998" s="449"/>
      <c r="LUF2998" s="462"/>
      <c r="LUG2998" s="299"/>
      <c r="LUH2998" s="81"/>
      <c r="LUI2998" s="160"/>
      <c r="LUJ2998" s="562"/>
      <c r="LUK2998" s="125"/>
      <c r="LUL2998" s="470"/>
      <c r="LUM2998" s="449"/>
      <c r="LUN2998" s="462"/>
      <c r="LUO2998" s="299"/>
      <c r="LUP2998" s="81"/>
      <c r="LUQ2998" s="160"/>
      <c r="LUR2998" s="562"/>
      <c r="LUS2998" s="125"/>
      <c r="LUT2998" s="470"/>
      <c r="LUU2998" s="449"/>
      <c r="LUV2998" s="462"/>
      <c r="LUW2998" s="299"/>
      <c r="LUX2998" s="81"/>
      <c r="LUY2998" s="160"/>
      <c r="LUZ2998" s="562"/>
      <c r="LVA2998" s="125"/>
      <c r="LVB2998" s="470"/>
      <c r="LVC2998" s="449"/>
      <c r="LVD2998" s="462"/>
      <c r="LVE2998" s="299"/>
      <c r="LVF2998" s="81"/>
      <c r="LVG2998" s="160"/>
      <c r="LVH2998" s="562"/>
      <c r="LVI2998" s="125"/>
      <c r="LVJ2998" s="470"/>
      <c r="LVK2998" s="449"/>
      <c r="LVL2998" s="462"/>
      <c r="LVM2998" s="299"/>
      <c r="LVN2998" s="81"/>
      <c r="LVO2998" s="160"/>
      <c r="LVP2998" s="562"/>
      <c r="LVQ2998" s="125"/>
      <c r="LVR2998" s="470"/>
      <c r="LVS2998" s="449"/>
      <c r="LVT2998" s="462"/>
      <c r="LVU2998" s="299"/>
      <c r="LVV2998" s="81"/>
      <c r="LVW2998" s="160"/>
      <c r="LVX2998" s="562"/>
      <c r="LVY2998" s="125"/>
      <c r="LVZ2998" s="470"/>
      <c r="LWA2998" s="449"/>
      <c r="LWB2998" s="462"/>
      <c r="LWC2998" s="299"/>
      <c r="LWD2998" s="81"/>
      <c r="LWE2998" s="160"/>
      <c r="LWF2998" s="562"/>
      <c r="LWG2998" s="125"/>
      <c r="LWH2998" s="470"/>
      <c r="LWI2998" s="449"/>
      <c r="LWJ2998" s="462"/>
      <c r="LWK2998" s="299"/>
      <c r="LWL2998" s="81"/>
      <c r="LWM2998" s="160"/>
      <c r="LWN2998" s="562"/>
      <c r="LWO2998" s="125"/>
      <c r="LWP2998" s="470"/>
      <c r="LWQ2998" s="449"/>
      <c r="LWR2998" s="462"/>
      <c r="LWS2998" s="299"/>
      <c r="LWT2998" s="81"/>
      <c r="LWU2998" s="160"/>
      <c r="LWV2998" s="562"/>
      <c r="LWW2998" s="125"/>
      <c r="LWX2998" s="470"/>
      <c r="LWY2998" s="449"/>
      <c r="LWZ2998" s="462"/>
      <c r="LXA2998" s="299"/>
      <c r="LXB2998" s="81"/>
      <c r="LXC2998" s="160"/>
      <c r="LXD2998" s="562"/>
      <c r="LXE2998" s="125"/>
      <c r="LXF2998" s="470"/>
      <c r="LXG2998" s="449"/>
      <c r="LXH2998" s="462"/>
      <c r="LXI2998" s="299"/>
      <c r="LXJ2998" s="81"/>
      <c r="LXK2998" s="160"/>
      <c r="LXL2998" s="562"/>
      <c r="LXM2998" s="125"/>
      <c r="LXN2998" s="470"/>
      <c r="LXO2998" s="449"/>
      <c r="LXP2998" s="462"/>
      <c r="LXQ2998" s="299"/>
      <c r="LXR2998" s="81"/>
      <c r="LXS2998" s="160"/>
      <c r="LXT2998" s="562"/>
      <c r="LXU2998" s="125"/>
      <c r="LXV2998" s="470"/>
      <c r="LXW2998" s="449"/>
      <c r="LXX2998" s="462"/>
      <c r="LXY2998" s="299"/>
      <c r="LXZ2998" s="81"/>
      <c r="LYA2998" s="160"/>
      <c r="LYB2998" s="562"/>
      <c r="LYC2998" s="125"/>
      <c r="LYD2998" s="470"/>
      <c r="LYE2998" s="449"/>
      <c r="LYF2998" s="462"/>
      <c r="LYG2998" s="299"/>
      <c r="LYH2998" s="81"/>
      <c r="LYI2998" s="160"/>
      <c r="LYJ2998" s="562"/>
      <c r="LYK2998" s="125"/>
      <c r="LYL2998" s="470"/>
      <c r="LYM2998" s="449"/>
      <c r="LYN2998" s="462"/>
      <c r="LYO2998" s="299"/>
      <c r="LYP2998" s="81"/>
      <c r="LYQ2998" s="160"/>
      <c r="LYR2998" s="562"/>
      <c r="LYS2998" s="125"/>
      <c r="LYT2998" s="470"/>
      <c r="LYU2998" s="449"/>
      <c r="LYV2998" s="462"/>
      <c r="LYW2998" s="299"/>
      <c r="LYX2998" s="81"/>
      <c r="LYY2998" s="160"/>
      <c r="LYZ2998" s="562"/>
      <c r="LZA2998" s="125"/>
      <c r="LZB2998" s="470"/>
      <c r="LZC2998" s="449"/>
      <c r="LZD2998" s="462"/>
      <c r="LZE2998" s="299"/>
      <c r="LZF2998" s="81"/>
      <c r="LZG2998" s="160"/>
      <c r="LZH2998" s="562"/>
      <c r="LZI2998" s="125"/>
      <c r="LZJ2998" s="470"/>
      <c r="LZK2998" s="449"/>
      <c r="LZL2998" s="462"/>
      <c r="LZM2998" s="299"/>
      <c r="LZN2998" s="81"/>
      <c r="LZO2998" s="160"/>
      <c r="LZP2998" s="562"/>
      <c r="LZQ2998" s="125"/>
      <c r="LZR2998" s="470"/>
      <c r="LZS2998" s="449"/>
      <c r="LZT2998" s="462"/>
      <c r="LZU2998" s="299"/>
      <c r="LZV2998" s="81"/>
      <c r="LZW2998" s="160"/>
      <c r="LZX2998" s="562"/>
      <c r="LZY2998" s="125"/>
      <c r="LZZ2998" s="470"/>
      <c r="MAA2998" s="449"/>
      <c r="MAB2998" s="462"/>
      <c r="MAC2998" s="299"/>
      <c r="MAD2998" s="81"/>
      <c r="MAE2998" s="160"/>
      <c r="MAF2998" s="562"/>
      <c r="MAG2998" s="125"/>
      <c r="MAH2998" s="470"/>
      <c r="MAI2998" s="449"/>
      <c r="MAJ2998" s="462"/>
      <c r="MAK2998" s="299"/>
      <c r="MAL2998" s="81"/>
      <c r="MAM2998" s="160"/>
      <c r="MAN2998" s="562"/>
      <c r="MAO2998" s="125"/>
      <c r="MAP2998" s="470"/>
      <c r="MAQ2998" s="449"/>
      <c r="MAR2998" s="462"/>
      <c r="MAS2998" s="299"/>
      <c r="MAT2998" s="81"/>
      <c r="MAU2998" s="160"/>
      <c r="MAV2998" s="562"/>
      <c r="MAW2998" s="125"/>
      <c r="MAX2998" s="470"/>
      <c r="MAY2998" s="449"/>
      <c r="MAZ2998" s="462"/>
      <c r="MBA2998" s="299"/>
      <c r="MBB2998" s="81"/>
      <c r="MBC2998" s="160"/>
      <c r="MBD2998" s="562"/>
      <c r="MBE2998" s="125"/>
      <c r="MBF2998" s="470"/>
      <c r="MBG2998" s="449"/>
      <c r="MBH2998" s="462"/>
      <c r="MBI2998" s="299"/>
      <c r="MBJ2998" s="81"/>
      <c r="MBK2998" s="160"/>
      <c r="MBL2998" s="562"/>
      <c r="MBM2998" s="125"/>
      <c r="MBN2998" s="470"/>
      <c r="MBO2998" s="449"/>
      <c r="MBP2998" s="462"/>
      <c r="MBQ2998" s="299"/>
      <c r="MBR2998" s="81"/>
      <c r="MBS2998" s="160"/>
      <c r="MBT2998" s="562"/>
      <c r="MBU2998" s="125"/>
      <c r="MBV2998" s="470"/>
      <c r="MBW2998" s="449"/>
      <c r="MBX2998" s="462"/>
      <c r="MBY2998" s="299"/>
      <c r="MBZ2998" s="81"/>
      <c r="MCA2998" s="160"/>
      <c r="MCB2998" s="562"/>
      <c r="MCC2998" s="125"/>
      <c r="MCD2998" s="470"/>
      <c r="MCE2998" s="449"/>
      <c r="MCF2998" s="462"/>
      <c r="MCG2998" s="299"/>
      <c r="MCH2998" s="81"/>
      <c r="MCI2998" s="160"/>
      <c r="MCJ2998" s="562"/>
      <c r="MCK2998" s="125"/>
      <c r="MCL2998" s="470"/>
      <c r="MCM2998" s="449"/>
      <c r="MCN2998" s="462"/>
      <c r="MCO2998" s="299"/>
      <c r="MCP2998" s="81"/>
      <c r="MCQ2998" s="160"/>
      <c r="MCR2998" s="562"/>
      <c r="MCS2998" s="125"/>
      <c r="MCT2998" s="470"/>
      <c r="MCU2998" s="449"/>
      <c r="MCV2998" s="462"/>
      <c r="MCW2998" s="299"/>
      <c r="MCX2998" s="81"/>
      <c r="MCY2998" s="160"/>
      <c r="MCZ2998" s="562"/>
      <c r="MDA2998" s="125"/>
      <c r="MDB2998" s="470"/>
      <c r="MDC2998" s="449"/>
      <c r="MDD2998" s="462"/>
      <c r="MDE2998" s="299"/>
      <c r="MDF2998" s="81"/>
      <c r="MDG2998" s="160"/>
      <c r="MDH2998" s="562"/>
      <c r="MDI2998" s="125"/>
      <c r="MDJ2998" s="470"/>
      <c r="MDK2998" s="449"/>
      <c r="MDL2998" s="462"/>
      <c r="MDM2998" s="299"/>
      <c r="MDN2998" s="81"/>
      <c r="MDO2998" s="160"/>
      <c r="MDP2998" s="562"/>
      <c r="MDQ2998" s="125"/>
      <c r="MDR2998" s="470"/>
      <c r="MDS2998" s="449"/>
      <c r="MDT2998" s="462"/>
      <c r="MDU2998" s="299"/>
      <c r="MDV2998" s="81"/>
      <c r="MDW2998" s="160"/>
      <c r="MDX2998" s="562"/>
      <c r="MDY2998" s="125"/>
      <c r="MDZ2998" s="470"/>
      <c r="MEA2998" s="449"/>
      <c r="MEB2998" s="462"/>
      <c r="MEC2998" s="299"/>
      <c r="MED2998" s="81"/>
      <c r="MEE2998" s="160"/>
      <c r="MEF2998" s="562"/>
      <c r="MEG2998" s="125"/>
      <c r="MEH2998" s="470"/>
      <c r="MEI2998" s="449"/>
      <c r="MEJ2998" s="462"/>
      <c r="MEK2998" s="299"/>
      <c r="MEL2998" s="81"/>
      <c r="MEM2998" s="160"/>
      <c r="MEN2998" s="562"/>
      <c r="MEO2998" s="125"/>
      <c r="MEP2998" s="470"/>
      <c r="MEQ2998" s="449"/>
      <c r="MER2998" s="462"/>
      <c r="MES2998" s="299"/>
      <c r="MET2998" s="81"/>
      <c r="MEU2998" s="160"/>
      <c r="MEV2998" s="562"/>
      <c r="MEW2998" s="125"/>
      <c r="MEX2998" s="470"/>
      <c r="MEY2998" s="449"/>
      <c r="MEZ2998" s="462"/>
      <c r="MFA2998" s="299"/>
      <c r="MFB2998" s="81"/>
      <c r="MFC2998" s="160"/>
      <c r="MFD2998" s="562"/>
      <c r="MFE2998" s="125"/>
      <c r="MFF2998" s="470"/>
      <c r="MFG2998" s="449"/>
      <c r="MFH2998" s="462"/>
      <c r="MFI2998" s="299"/>
      <c r="MFJ2998" s="81"/>
      <c r="MFK2998" s="160"/>
      <c r="MFL2998" s="562"/>
      <c r="MFM2998" s="125"/>
      <c r="MFN2998" s="470"/>
      <c r="MFO2998" s="449"/>
      <c r="MFP2998" s="462"/>
      <c r="MFQ2998" s="299"/>
      <c r="MFR2998" s="81"/>
      <c r="MFS2998" s="160"/>
      <c r="MFT2998" s="562"/>
      <c r="MFU2998" s="125"/>
      <c r="MFV2998" s="470"/>
      <c r="MFW2998" s="449"/>
      <c r="MFX2998" s="462"/>
      <c r="MFY2998" s="299"/>
      <c r="MFZ2998" s="81"/>
      <c r="MGA2998" s="160"/>
      <c r="MGB2998" s="562"/>
      <c r="MGC2998" s="125"/>
      <c r="MGD2998" s="470"/>
      <c r="MGE2998" s="449"/>
      <c r="MGF2998" s="462"/>
      <c r="MGG2998" s="299"/>
      <c r="MGH2998" s="81"/>
      <c r="MGI2998" s="160"/>
      <c r="MGJ2998" s="562"/>
      <c r="MGK2998" s="125"/>
      <c r="MGL2998" s="470"/>
      <c r="MGM2998" s="449"/>
      <c r="MGN2998" s="462"/>
      <c r="MGO2998" s="299"/>
      <c r="MGP2998" s="81"/>
      <c r="MGQ2998" s="160"/>
      <c r="MGR2998" s="562"/>
      <c r="MGS2998" s="125"/>
      <c r="MGT2998" s="470"/>
      <c r="MGU2998" s="449"/>
      <c r="MGV2998" s="462"/>
      <c r="MGW2998" s="299"/>
      <c r="MGX2998" s="81"/>
      <c r="MGY2998" s="160"/>
      <c r="MGZ2998" s="562"/>
      <c r="MHA2998" s="125"/>
      <c r="MHB2998" s="470"/>
      <c r="MHC2998" s="449"/>
      <c r="MHD2998" s="462"/>
      <c r="MHE2998" s="299"/>
      <c r="MHF2998" s="81"/>
      <c r="MHG2998" s="160"/>
      <c r="MHH2998" s="562"/>
      <c r="MHI2998" s="125"/>
      <c r="MHJ2998" s="470"/>
      <c r="MHK2998" s="449"/>
      <c r="MHL2998" s="462"/>
      <c r="MHM2998" s="299"/>
      <c r="MHN2998" s="81"/>
      <c r="MHO2998" s="160"/>
      <c r="MHP2998" s="562"/>
      <c r="MHQ2998" s="125"/>
      <c r="MHR2998" s="470"/>
      <c r="MHS2998" s="449"/>
      <c r="MHT2998" s="462"/>
      <c r="MHU2998" s="299"/>
      <c r="MHV2998" s="81"/>
      <c r="MHW2998" s="160"/>
      <c r="MHX2998" s="562"/>
      <c r="MHY2998" s="125"/>
      <c r="MHZ2998" s="470"/>
      <c r="MIA2998" s="449"/>
      <c r="MIB2998" s="462"/>
      <c r="MIC2998" s="299"/>
      <c r="MID2998" s="81"/>
      <c r="MIE2998" s="160"/>
      <c r="MIF2998" s="562"/>
      <c r="MIG2998" s="125"/>
      <c r="MIH2998" s="470"/>
      <c r="MII2998" s="449"/>
      <c r="MIJ2998" s="462"/>
      <c r="MIK2998" s="299"/>
      <c r="MIL2998" s="81"/>
      <c r="MIM2998" s="160"/>
      <c r="MIN2998" s="562"/>
      <c r="MIO2998" s="125"/>
      <c r="MIP2998" s="470"/>
      <c r="MIQ2998" s="449"/>
      <c r="MIR2998" s="462"/>
      <c r="MIS2998" s="299"/>
      <c r="MIT2998" s="81"/>
      <c r="MIU2998" s="160"/>
      <c r="MIV2998" s="562"/>
      <c r="MIW2998" s="125"/>
      <c r="MIX2998" s="470"/>
      <c r="MIY2998" s="449"/>
      <c r="MIZ2998" s="462"/>
      <c r="MJA2998" s="299"/>
      <c r="MJB2998" s="81"/>
      <c r="MJC2998" s="160"/>
      <c r="MJD2998" s="562"/>
      <c r="MJE2998" s="125"/>
      <c r="MJF2998" s="470"/>
      <c r="MJG2998" s="449"/>
      <c r="MJH2998" s="462"/>
      <c r="MJI2998" s="299"/>
      <c r="MJJ2998" s="81"/>
      <c r="MJK2998" s="160"/>
      <c r="MJL2998" s="562"/>
      <c r="MJM2998" s="125"/>
      <c r="MJN2998" s="470"/>
      <c r="MJO2998" s="449"/>
      <c r="MJP2998" s="462"/>
      <c r="MJQ2998" s="299"/>
      <c r="MJR2998" s="81"/>
      <c r="MJS2998" s="160"/>
      <c r="MJT2998" s="562"/>
      <c r="MJU2998" s="125"/>
      <c r="MJV2998" s="470"/>
      <c r="MJW2998" s="449"/>
      <c r="MJX2998" s="462"/>
      <c r="MJY2998" s="299"/>
      <c r="MJZ2998" s="81"/>
      <c r="MKA2998" s="160"/>
      <c r="MKB2998" s="562"/>
      <c r="MKC2998" s="125"/>
      <c r="MKD2998" s="470"/>
      <c r="MKE2998" s="449"/>
      <c r="MKF2998" s="462"/>
      <c r="MKG2998" s="299"/>
      <c r="MKH2998" s="81"/>
      <c r="MKI2998" s="160"/>
      <c r="MKJ2998" s="562"/>
      <c r="MKK2998" s="125"/>
      <c r="MKL2998" s="470"/>
      <c r="MKM2998" s="449"/>
      <c r="MKN2998" s="462"/>
      <c r="MKO2998" s="299"/>
      <c r="MKP2998" s="81"/>
      <c r="MKQ2998" s="160"/>
      <c r="MKR2998" s="562"/>
      <c r="MKS2998" s="125"/>
      <c r="MKT2998" s="470"/>
      <c r="MKU2998" s="449"/>
      <c r="MKV2998" s="462"/>
      <c r="MKW2998" s="299"/>
      <c r="MKX2998" s="81"/>
      <c r="MKY2998" s="160"/>
      <c r="MKZ2998" s="562"/>
      <c r="MLA2998" s="125"/>
      <c r="MLB2998" s="470"/>
      <c r="MLC2998" s="449"/>
      <c r="MLD2998" s="462"/>
      <c r="MLE2998" s="299"/>
      <c r="MLF2998" s="81"/>
      <c r="MLG2998" s="160"/>
      <c r="MLH2998" s="562"/>
      <c r="MLI2998" s="125"/>
      <c r="MLJ2998" s="470"/>
      <c r="MLK2998" s="449"/>
      <c r="MLL2998" s="462"/>
      <c r="MLM2998" s="299"/>
      <c r="MLN2998" s="81"/>
      <c r="MLO2998" s="160"/>
      <c r="MLP2998" s="562"/>
      <c r="MLQ2998" s="125"/>
      <c r="MLR2998" s="470"/>
      <c r="MLS2998" s="449"/>
      <c r="MLT2998" s="462"/>
      <c r="MLU2998" s="299"/>
      <c r="MLV2998" s="81"/>
      <c r="MLW2998" s="160"/>
      <c r="MLX2998" s="562"/>
      <c r="MLY2998" s="125"/>
      <c r="MLZ2998" s="470"/>
      <c r="MMA2998" s="449"/>
      <c r="MMB2998" s="462"/>
      <c r="MMC2998" s="299"/>
      <c r="MMD2998" s="81"/>
      <c r="MME2998" s="160"/>
      <c r="MMF2998" s="562"/>
      <c r="MMG2998" s="125"/>
      <c r="MMH2998" s="470"/>
      <c r="MMI2998" s="449"/>
      <c r="MMJ2998" s="462"/>
      <c r="MMK2998" s="299"/>
      <c r="MML2998" s="81"/>
      <c r="MMM2998" s="160"/>
      <c r="MMN2998" s="562"/>
      <c r="MMO2998" s="125"/>
      <c r="MMP2998" s="470"/>
      <c r="MMQ2998" s="449"/>
      <c r="MMR2998" s="462"/>
      <c r="MMS2998" s="299"/>
      <c r="MMT2998" s="81"/>
      <c r="MMU2998" s="160"/>
      <c r="MMV2998" s="562"/>
      <c r="MMW2998" s="125"/>
      <c r="MMX2998" s="470"/>
      <c r="MMY2998" s="449"/>
      <c r="MMZ2998" s="462"/>
      <c r="MNA2998" s="299"/>
      <c r="MNB2998" s="81"/>
      <c r="MNC2998" s="160"/>
      <c r="MND2998" s="562"/>
      <c r="MNE2998" s="125"/>
      <c r="MNF2998" s="470"/>
      <c r="MNG2998" s="449"/>
      <c r="MNH2998" s="462"/>
      <c r="MNI2998" s="299"/>
      <c r="MNJ2998" s="81"/>
      <c r="MNK2998" s="160"/>
      <c r="MNL2998" s="562"/>
      <c r="MNM2998" s="125"/>
      <c r="MNN2998" s="470"/>
      <c r="MNO2998" s="449"/>
      <c r="MNP2998" s="462"/>
      <c r="MNQ2998" s="299"/>
      <c r="MNR2998" s="81"/>
      <c r="MNS2998" s="160"/>
      <c r="MNT2998" s="562"/>
      <c r="MNU2998" s="125"/>
      <c r="MNV2998" s="470"/>
      <c r="MNW2998" s="449"/>
      <c r="MNX2998" s="462"/>
      <c r="MNY2998" s="299"/>
      <c r="MNZ2998" s="81"/>
      <c r="MOA2998" s="160"/>
      <c r="MOB2998" s="562"/>
      <c r="MOC2998" s="125"/>
      <c r="MOD2998" s="470"/>
      <c r="MOE2998" s="449"/>
      <c r="MOF2998" s="462"/>
      <c r="MOG2998" s="299"/>
      <c r="MOH2998" s="81"/>
      <c r="MOI2998" s="160"/>
      <c r="MOJ2998" s="562"/>
      <c r="MOK2998" s="125"/>
      <c r="MOL2998" s="470"/>
      <c r="MOM2998" s="449"/>
      <c r="MON2998" s="462"/>
      <c r="MOO2998" s="299"/>
      <c r="MOP2998" s="81"/>
      <c r="MOQ2998" s="160"/>
      <c r="MOR2998" s="562"/>
      <c r="MOS2998" s="125"/>
      <c r="MOT2998" s="470"/>
      <c r="MOU2998" s="449"/>
      <c r="MOV2998" s="462"/>
      <c r="MOW2998" s="299"/>
      <c r="MOX2998" s="81"/>
      <c r="MOY2998" s="160"/>
      <c r="MOZ2998" s="562"/>
      <c r="MPA2998" s="125"/>
      <c r="MPB2998" s="470"/>
      <c r="MPC2998" s="449"/>
      <c r="MPD2998" s="462"/>
      <c r="MPE2998" s="299"/>
      <c r="MPF2998" s="81"/>
      <c r="MPG2998" s="160"/>
      <c r="MPH2998" s="562"/>
      <c r="MPI2998" s="125"/>
      <c r="MPJ2998" s="470"/>
      <c r="MPK2998" s="449"/>
      <c r="MPL2998" s="462"/>
      <c r="MPM2998" s="299"/>
      <c r="MPN2998" s="81"/>
      <c r="MPO2998" s="160"/>
      <c r="MPP2998" s="562"/>
      <c r="MPQ2998" s="125"/>
      <c r="MPR2998" s="470"/>
      <c r="MPS2998" s="449"/>
      <c r="MPT2998" s="462"/>
      <c r="MPU2998" s="299"/>
      <c r="MPV2998" s="81"/>
      <c r="MPW2998" s="160"/>
      <c r="MPX2998" s="562"/>
      <c r="MPY2998" s="125"/>
      <c r="MPZ2998" s="470"/>
      <c r="MQA2998" s="449"/>
      <c r="MQB2998" s="462"/>
      <c r="MQC2998" s="299"/>
      <c r="MQD2998" s="81"/>
      <c r="MQE2998" s="160"/>
      <c r="MQF2998" s="562"/>
      <c r="MQG2998" s="125"/>
      <c r="MQH2998" s="470"/>
      <c r="MQI2998" s="449"/>
      <c r="MQJ2998" s="462"/>
      <c r="MQK2998" s="299"/>
      <c r="MQL2998" s="81"/>
      <c r="MQM2998" s="160"/>
      <c r="MQN2998" s="562"/>
      <c r="MQO2998" s="125"/>
      <c r="MQP2998" s="470"/>
      <c r="MQQ2998" s="449"/>
      <c r="MQR2998" s="462"/>
      <c r="MQS2998" s="299"/>
      <c r="MQT2998" s="81"/>
      <c r="MQU2998" s="160"/>
      <c r="MQV2998" s="562"/>
      <c r="MQW2998" s="125"/>
      <c r="MQX2998" s="470"/>
      <c r="MQY2998" s="449"/>
      <c r="MQZ2998" s="462"/>
      <c r="MRA2998" s="299"/>
      <c r="MRB2998" s="81"/>
      <c r="MRC2998" s="160"/>
      <c r="MRD2998" s="562"/>
      <c r="MRE2998" s="125"/>
      <c r="MRF2998" s="470"/>
      <c r="MRG2998" s="449"/>
      <c r="MRH2998" s="462"/>
      <c r="MRI2998" s="299"/>
      <c r="MRJ2998" s="81"/>
      <c r="MRK2998" s="160"/>
      <c r="MRL2998" s="562"/>
      <c r="MRM2998" s="125"/>
      <c r="MRN2998" s="470"/>
      <c r="MRO2998" s="449"/>
      <c r="MRP2998" s="462"/>
      <c r="MRQ2998" s="299"/>
      <c r="MRR2998" s="81"/>
      <c r="MRS2998" s="160"/>
      <c r="MRT2998" s="562"/>
      <c r="MRU2998" s="125"/>
      <c r="MRV2998" s="470"/>
      <c r="MRW2998" s="449"/>
      <c r="MRX2998" s="462"/>
      <c r="MRY2998" s="299"/>
      <c r="MRZ2998" s="81"/>
      <c r="MSA2998" s="160"/>
      <c r="MSB2998" s="562"/>
      <c r="MSC2998" s="125"/>
      <c r="MSD2998" s="470"/>
      <c r="MSE2998" s="449"/>
      <c r="MSF2998" s="462"/>
      <c r="MSG2998" s="299"/>
      <c r="MSH2998" s="81"/>
      <c r="MSI2998" s="160"/>
      <c r="MSJ2998" s="562"/>
      <c r="MSK2998" s="125"/>
      <c r="MSL2998" s="470"/>
      <c r="MSM2998" s="449"/>
      <c r="MSN2998" s="462"/>
      <c r="MSO2998" s="299"/>
      <c r="MSP2998" s="81"/>
      <c r="MSQ2998" s="160"/>
      <c r="MSR2998" s="562"/>
      <c r="MSS2998" s="125"/>
      <c r="MST2998" s="470"/>
      <c r="MSU2998" s="449"/>
      <c r="MSV2998" s="462"/>
      <c r="MSW2998" s="299"/>
      <c r="MSX2998" s="81"/>
      <c r="MSY2998" s="160"/>
      <c r="MSZ2998" s="562"/>
      <c r="MTA2998" s="125"/>
      <c r="MTB2998" s="470"/>
      <c r="MTC2998" s="449"/>
      <c r="MTD2998" s="462"/>
      <c r="MTE2998" s="299"/>
      <c r="MTF2998" s="81"/>
      <c r="MTG2998" s="160"/>
      <c r="MTH2998" s="562"/>
      <c r="MTI2998" s="125"/>
      <c r="MTJ2998" s="470"/>
      <c r="MTK2998" s="449"/>
      <c r="MTL2998" s="462"/>
      <c r="MTM2998" s="299"/>
      <c r="MTN2998" s="81"/>
      <c r="MTO2998" s="160"/>
      <c r="MTP2998" s="562"/>
      <c r="MTQ2998" s="125"/>
      <c r="MTR2998" s="470"/>
      <c r="MTS2998" s="449"/>
      <c r="MTT2998" s="462"/>
      <c r="MTU2998" s="299"/>
      <c r="MTV2998" s="81"/>
      <c r="MTW2998" s="160"/>
      <c r="MTX2998" s="562"/>
      <c r="MTY2998" s="125"/>
      <c r="MTZ2998" s="470"/>
      <c r="MUA2998" s="449"/>
      <c r="MUB2998" s="462"/>
      <c r="MUC2998" s="299"/>
      <c r="MUD2998" s="81"/>
      <c r="MUE2998" s="160"/>
      <c r="MUF2998" s="562"/>
      <c r="MUG2998" s="125"/>
      <c r="MUH2998" s="470"/>
      <c r="MUI2998" s="449"/>
      <c r="MUJ2998" s="462"/>
      <c r="MUK2998" s="299"/>
      <c r="MUL2998" s="81"/>
      <c r="MUM2998" s="160"/>
      <c r="MUN2998" s="562"/>
      <c r="MUO2998" s="125"/>
      <c r="MUP2998" s="470"/>
      <c r="MUQ2998" s="449"/>
      <c r="MUR2998" s="462"/>
      <c r="MUS2998" s="299"/>
      <c r="MUT2998" s="81"/>
      <c r="MUU2998" s="160"/>
      <c r="MUV2998" s="562"/>
      <c r="MUW2998" s="125"/>
      <c r="MUX2998" s="470"/>
      <c r="MUY2998" s="449"/>
      <c r="MUZ2998" s="462"/>
      <c r="MVA2998" s="299"/>
      <c r="MVB2998" s="81"/>
      <c r="MVC2998" s="160"/>
      <c r="MVD2998" s="562"/>
      <c r="MVE2998" s="125"/>
      <c r="MVF2998" s="470"/>
      <c r="MVG2998" s="449"/>
      <c r="MVH2998" s="462"/>
      <c r="MVI2998" s="299"/>
      <c r="MVJ2998" s="81"/>
      <c r="MVK2998" s="160"/>
      <c r="MVL2998" s="562"/>
      <c r="MVM2998" s="125"/>
      <c r="MVN2998" s="470"/>
      <c r="MVO2998" s="449"/>
      <c r="MVP2998" s="462"/>
      <c r="MVQ2998" s="299"/>
      <c r="MVR2998" s="81"/>
      <c r="MVS2998" s="160"/>
      <c r="MVT2998" s="562"/>
      <c r="MVU2998" s="125"/>
      <c r="MVV2998" s="470"/>
      <c r="MVW2998" s="449"/>
      <c r="MVX2998" s="462"/>
      <c r="MVY2998" s="299"/>
      <c r="MVZ2998" s="81"/>
      <c r="MWA2998" s="160"/>
      <c r="MWB2998" s="562"/>
      <c r="MWC2998" s="125"/>
      <c r="MWD2998" s="470"/>
      <c r="MWE2998" s="449"/>
      <c r="MWF2998" s="462"/>
      <c r="MWG2998" s="299"/>
      <c r="MWH2998" s="81"/>
      <c r="MWI2998" s="160"/>
      <c r="MWJ2998" s="562"/>
      <c r="MWK2998" s="125"/>
      <c r="MWL2998" s="470"/>
      <c r="MWM2998" s="449"/>
      <c r="MWN2998" s="462"/>
      <c r="MWO2998" s="299"/>
      <c r="MWP2998" s="81"/>
      <c r="MWQ2998" s="160"/>
      <c r="MWR2998" s="562"/>
      <c r="MWS2998" s="125"/>
      <c r="MWT2998" s="470"/>
      <c r="MWU2998" s="449"/>
      <c r="MWV2998" s="462"/>
      <c r="MWW2998" s="299"/>
      <c r="MWX2998" s="81"/>
      <c r="MWY2998" s="160"/>
      <c r="MWZ2998" s="562"/>
      <c r="MXA2998" s="125"/>
      <c r="MXB2998" s="470"/>
      <c r="MXC2998" s="449"/>
      <c r="MXD2998" s="462"/>
      <c r="MXE2998" s="299"/>
      <c r="MXF2998" s="81"/>
      <c r="MXG2998" s="160"/>
      <c r="MXH2998" s="562"/>
      <c r="MXI2998" s="125"/>
      <c r="MXJ2998" s="470"/>
      <c r="MXK2998" s="449"/>
      <c r="MXL2998" s="462"/>
      <c r="MXM2998" s="299"/>
      <c r="MXN2998" s="81"/>
      <c r="MXO2998" s="160"/>
      <c r="MXP2998" s="562"/>
      <c r="MXQ2998" s="125"/>
      <c r="MXR2998" s="470"/>
      <c r="MXS2998" s="449"/>
      <c r="MXT2998" s="462"/>
      <c r="MXU2998" s="299"/>
      <c r="MXV2998" s="81"/>
      <c r="MXW2998" s="160"/>
      <c r="MXX2998" s="562"/>
      <c r="MXY2998" s="125"/>
      <c r="MXZ2998" s="470"/>
      <c r="MYA2998" s="449"/>
      <c r="MYB2998" s="462"/>
      <c r="MYC2998" s="299"/>
      <c r="MYD2998" s="81"/>
      <c r="MYE2998" s="160"/>
      <c r="MYF2998" s="562"/>
      <c r="MYG2998" s="125"/>
      <c r="MYH2998" s="470"/>
      <c r="MYI2998" s="449"/>
      <c r="MYJ2998" s="462"/>
      <c r="MYK2998" s="299"/>
      <c r="MYL2998" s="81"/>
      <c r="MYM2998" s="160"/>
      <c r="MYN2998" s="562"/>
      <c r="MYO2998" s="125"/>
      <c r="MYP2998" s="470"/>
      <c r="MYQ2998" s="449"/>
      <c r="MYR2998" s="462"/>
      <c r="MYS2998" s="299"/>
      <c r="MYT2998" s="81"/>
      <c r="MYU2998" s="160"/>
      <c r="MYV2998" s="562"/>
      <c r="MYW2998" s="125"/>
      <c r="MYX2998" s="470"/>
      <c r="MYY2998" s="449"/>
      <c r="MYZ2998" s="462"/>
      <c r="MZA2998" s="299"/>
      <c r="MZB2998" s="81"/>
      <c r="MZC2998" s="160"/>
      <c r="MZD2998" s="562"/>
      <c r="MZE2998" s="125"/>
      <c r="MZF2998" s="470"/>
      <c r="MZG2998" s="449"/>
      <c r="MZH2998" s="462"/>
      <c r="MZI2998" s="299"/>
      <c r="MZJ2998" s="81"/>
      <c r="MZK2998" s="160"/>
      <c r="MZL2998" s="562"/>
      <c r="MZM2998" s="125"/>
      <c r="MZN2998" s="470"/>
      <c r="MZO2998" s="449"/>
      <c r="MZP2998" s="462"/>
      <c r="MZQ2998" s="299"/>
      <c r="MZR2998" s="81"/>
      <c r="MZS2998" s="160"/>
      <c r="MZT2998" s="562"/>
      <c r="MZU2998" s="125"/>
      <c r="MZV2998" s="470"/>
      <c r="MZW2998" s="449"/>
      <c r="MZX2998" s="462"/>
      <c r="MZY2998" s="299"/>
      <c r="MZZ2998" s="81"/>
      <c r="NAA2998" s="160"/>
      <c r="NAB2998" s="562"/>
      <c r="NAC2998" s="125"/>
      <c r="NAD2998" s="470"/>
      <c r="NAE2998" s="449"/>
      <c r="NAF2998" s="462"/>
      <c r="NAG2998" s="299"/>
      <c r="NAH2998" s="81"/>
      <c r="NAI2998" s="160"/>
      <c r="NAJ2998" s="562"/>
      <c r="NAK2998" s="125"/>
      <c r="NAL2998" s="470"/>
      <c r="NAM2998" s="449"/>
      <c r="NAN2998" s="462"/>
      <c r="NAO2998" s="299"/>
      <c r="NAP2998" s="81"/>
      <c r="NAQ2998" s="160"/>
      <c r="NAR2998" s="562"/>
      <c r="NAS2998" s="125"/>
      <c r="NAT2998" s="470"/>
      <c r="NAU2998" s="449"/>
      <c r="NAV2998" s="462"/>
      <c r="NAW2998" s="299"/>
      <c r="NAX2998" s="81"/>
      <c r="NAY2998" s="160"/>
      <c r="NAZ2998" s="562"/>
      <c r="NBA2998" s="125"/>
      <c r="NBB2998" s="470"/>
      <c r="NBC2998" s="449"/>
      <c r="NBD2998" s="462"/>
      <c r="NBE2998" s="299"/>
      <c r="NBF2998" s="81"/>
      <c r="NBG2998" s="160"/>
      <c r="NBH2998" s="562"/>
      <c r="NBI2998" s="125"/>
      <c r="NBJ2998" s="470"/>
      <c r="NBK2998" s="449"/>
      <c r="NBL2998" s="462"/>
      <c r="NBM2998" s="299"/>
      <c r="NBN2998" s="81"/>
      <c r="NBO2998" s="160"/>
      <c r="NBP2998" s="562"/>
      <c r="NBQ2998" s="125"/>
      <c r="NBR2998" s="470"/>
      <c r="NBS2998" s="449"/>
      <c r="NBT2998" s="462"/>
      <c r="NBU2998" s="299"/>
      <c r="NBV2998" s="81"/>
      <c r="NBW2998" s="160"/>
      <c r="NBX2998" s="562"/>
      <c r="NBY2998" s="125"/>
      <c r="NBZ2998" s="470"/>
      <c r="NCA2998" s="449"/>
      <c r="NCB2998" s="462"/>
      <c r="NCC2998" s="299"/>
      <c r="NCD2998" s="81"/>
      <c r="NCE2998" s="160"/>
      <c r="NCF2998" s="562"/>
      <c r="NCG2998" s="125"/>
      <c r="NCH2998" s="470"/>
      <c r="NCI2998" s="449"/>
      <c r="NCJ2998" s="462"/>
      <c r="NCK2998" s="299"/>
      <c r="NCL2998" s="81"/>
      <c r="NCM2998" s="160"/>
      <c r="NCN2998" s="562"/>
      <c r="NCO2998" s="125"/>
      <c r="NCP2998" s="470"/>
      <c r="NCQ2998" s="449"/>
      <c r="NCR2998" s="462"/>
      <c r="NCS2998" s="299"/>
      <c r="NCT2998" s="81"/>
      <c r="NCU2998" s="160"/>
      <c r="NCV2998" s="562"/>
      <c r="NCW2998" s="125"/>
      <c r="NCX2998" s="470"/>
      <c r="NCY2998" s="449"/>
      <c r="NCZ2998" s="462"/>
      <c r="NDA2998" s="299"/>
      <c r="NDB2998" s="81"/>
      <c r="NDC2998" s="160"/>
      <c r="NDD2998" s="562"/>
      <c r="NDE2998" s="125"/>
      <c r="NDF2998" s="470"/>
      <c r="NDG2998" s="449"/>
      <c r="NDH2998" s="462"/>
      <c r="NDI2998" s="299"/>
      <c r="NDJ2998" s="81"/>
      <c r="NDK2998" s="160"/>
      <c r="NDL2998" s="562"/>
      <c r="NDM2998" s="125"/>
      <c r="NDN2998" s="470"/>
      <c r="NDO2998" s="449"/>
      <c r="NDP2998" s="462"/>
      <c r="NDQ2998" s="299"/>
      <c r="NDR2998" s="81"/>
      <c r="NDS2998" s="160"/>
      <c r="NDT2998" s="562"/>
      <c r="NDU2998" s="125"/>
      <c r="NDV2998" s="470"/>
      <c r="NDW2998" s="449"/>
      <c r="NDX2998" s="462"/>
      <c r="NDY2998" s="299"/>
      <c r="NDZ2998" s="81"/>
      <c r="NEA2998" s="160"/>
      <c r="NEB2998" s="562"/>
      <c r="NEC2998" s="125"/>
      <c r="NED2998" s="470"/>
      <c r="NEE2998" s="449"/>
      <c r="NEF2998" s="462"/>
      <c r="NEG2998" s="299"/>
      <c r="NEH2998" s="81"/>
      <c r="NEI2998" s="160"/>
      <c r="NEJ2998" s="562"/>
      <c r="NEK2998" s="125"/>
      <c r="NEL2998" s="470"/>
      <c r="NEM2998" s="449"/>
      <c r="NEN2998" s="462"/>
      <c r="NEO2998" s="299"/>
      <c r="NEP2998" s="81"/>
      <c r="NEQ2998" s="160"/>
      <c r="NER2998" s="562"/>
      <c r="NES2998" s="125"/>
      <c r="NET2998" s="470"/>
      <c r="NEU2998" s="449"/>
      <c r="NEV2998" s="462"/>
      <c r="NEW2998" s="299"/>
      <c r="NEX2998" s="81"/>
      <c r="NEY2998" s="160"/>
      <c r="NEZ2998" s="562"/>
      <c r="NFA2998" s="125"/>
      <c r="NFB2998" s="470"/>
      <c r="NFC2998" s="449"/>
      <c r="NFD2998" s="462"/>
      <c r="NFE2998" s="299"/>
      <c r="NFF2998" s="81"/>
      <c r="NFG2998" s="160"/>
      <c r="NFH2998" s="562"/>
      <c r="NFI2998" s="125"/>
      <c r="NFJ2998" s="470"/>
      <c r="NFK2998" s="449"/>
      <c r="NFL2998" s="462"/>
      <c r="NFM2998" s="299"/>
      <c r="NFN2998" s="81"/>
      <c r="NFO2998" s="160"/>
      <c r="NFP2998" s="562"/>
      <c r="NFQ2998" s="125"/>
      <c r="NFR2998" s="470"/>
      <c r="NFS2998" s="449"/>
      <c r="NFT2998" s="462"/>
      <c r="NFU2998" s="299"/>
      <c r="NFV2998" s="81"/>
      <c r="NFW2998" s="160"/>
      <c r="NFX2998" s="562"/>
      <c r="NFY2998" s="125"/>
      <c r="NFZ2998" s="470"/>
      <c r="NGA2998" s="449"/>
      <c r="NGB2998" s="462"/>
      <c r="NGC2998" s="299"/>
      <c r="NGD2998" s="81"/>
      <c r="NGE2998" s="160"/>
      <c r="NGF2998" s="562"/>
      <c r="NGG2998" s="125"/>
      <c r="NGH2998" s="470"/>
      <c r="NGI2998" s="449"/>
      <c r="NGJ2998" s="462"/>
      <c r="NGK2998" s="299"/>
      <c r="NGL2998" s="81"/>
      <c r="NGM2998" s="160"/>
      <c r="NGN2998" s="562"/>
      <c r="NGO2998" s="125"/>
      <c r="NGP2998" s="470"/>
      <c r="NGQ2998" s="449"/>
      <c r="NGR2998" s="462"/>
      <c r="NGS2998" s="299"/>
      <c r="NGT2998" s="81"/>
      <c r="NGU2998" s="160"/>
      <c r="NGV2998" s="562"/>
      <c r="NGW2998" s="125"/>
      <c r="NGX2998" s="470"/>
      <c r="NGY2998" s="449"/>
      <c r="NGZ2998" s="462"/>
      <c r="NHA2998" s="299"/>
      <c r="NHB2998" s="81"/>
      <c r="NHC2998" s="160"/>
      <c r="NHD2998" s="562"/>
      <c r="NHE2998" s="125"/>
      <c r="NHF2998" s="470"/>
      <c r="NHG2998" s="449"/>
      <c r="NHH2998" s="462"/>
      <c r="NHI2998" s="299"/>
      <c r="NHJ2998" s="81"/>
      <c r="NHK2998" s="160"/>
      <c r="NHL2998" s="562"/>
      <c r="NHM2998" s="125"/>
      <c r="NHN2998" s="470"/>
      <c r="NHO2998" s="449"/>
      <c r="NHP2998" s="462"/>
      <c r="NHQ2998" s="299"/>
      <c r="NHR2998" s="81"/>
      <c r="NHS2998" s="160"/>
      <c r="NHT2998" s="562"/>
      <c r="NHU2998" s="125"/>
      <c r="NHV2998" s="470"/>
      <c r="NHW2998" s="449"/>
      <c r="NHX2998" s="462"/>
      <c r="NHY2998" s="299"/>
      <c r="NHZ2998" s="81"/>
      <c r="NIA2998" s="160"/>
      <c r="NIB2998" s="562"/>
      <c r="NIC2998" s="125"/>
      <c r="NID2998" s="470"/>
      <c r="NIE2998" s="449"/>
      <c r="NIF2998" s="462"/>
      <c r="NIG2998" s="299"/>
      <c r="NIH2998" s="81"/>
      <c r="NII2998" s="160"/>
      <c r="NIJ2998" s="562"/>
      <c r="NIK2998" s="125"/>
      <c r="NIL2998" s="470"/>
      <c r="NIM2998" s="449"/>
      <c r="NIN2998" s="462"/>
      <c r="NIO2998" s="299"/>
      <c r="NIP2998" s="81"/>
      <c r="NIQ2998" s="160"/>
      <c r="NIR2998" s="562"/>
      <c r="NIS2998" s="125"/>
      <c r="NIT2998" s="470"/>
      <c r="NIU2998" s="449"/>
      <c r="NIV2998" s="462"/>
      <c r="NIW2998" s="299"/>
      <c r="NIX2998" s="81"/>
      <c r="NIY2998" s="160"/>
      <c r="NIZ2998" s="562"/>
      <c r="NJA2998" s="125"/>
      <c r="NJB2998" s="470"/>
      <c r="NJC2998" s="449"/>
      <c r="NJD2998" s="462"/>
      <c r="NJE2998" s="299"/>
      <c r="NJF2998" s="81"/>
      <c r="NJG2998" s="160"/>
      <c r="NJH2998" s="562"/>
      <c r="NJI2998" s="125"/>
      <c r="NJJ2998" s="470"/>
      <c r="NJK2998" s="449"/>
      <c r="NJL2998" s="462"/>
      <c r="NJM2998" s="299"/>
      <c r="NJN2998" s="81"/>
      <c r="NJO2998" s="160"/>
      <c r="NJP2998" s="562"/>
      <c r="NJQ2998" s="125"/>
      <c r="NJR2998" s="470"/>
      <c r="NJS2998" s="449"/>
      <c r="NJT2998" s="462"/>
      <c r="NJU2998" s="299"/>
      <c r="NJV2998" s="81"/>
      <c r="NJW2998" s="160"/>
      <c r="NJX2998" s="562"/>
      <c r="NJY2998" s="125"/>
      <c r="NJZ2998" s="470"/>
      <c r="NKA2998" s="449"/>
      <c r="NKB2998" s="462"/>
      <c r="NKC2998" s="299"/>
      <c r="NKD2998" s="81"/>
      <c r="NKE2998" s="160"/>
      <c r="NKF2998" s="562"/>
      <c r="NKG2998" s="125"/>
      <c r="NKH2998" s="470"/>
      <c r="NKI2998" s="449"/>
      <c r="NKJ2998" s="462"/>
      <c r="NKK2998" s="299"/>
      <c r="NKL2998" s="81"/>
      <c r="NKM2998" s="160"/>
      <c r="NKN2998" s="562"/>
      <c r="NKO2998" s="125"/>
      <c r="NKP2998" s="470"/>
      <c r="NKQ2998" s="449"/>
      <c r="NKR2998" s="462"/>
      <c r="NKS2998" s="299"/>
      <c r="NKT2998" s="81"/>
      <c r="NKU2998" s="160"/>
      <c r="NKV2998" s="562"/>
      <c r="NKW2998" s="125"/>
      <c r="NKX2998" s="470"/>
      <c r="NKY2998" s="449"/>
      <c r="NKZ2998" s="462"/>
      <c r="NLA2998" s="299"/>
      <c r="NLB2998" s="81"/>
      <c r="NLC2998" s="160"/>
      <c r="NLD2998" s="562"/>
      <c r="NLE2998" s="125"/>
      <c r="NLF2998" s="470"/>
      <c r="NLG2998" s="449"/>
      <c r="NLH2998" s="462"/>
      <c r="NLI2998" s="299"/>
      <c r="NLJ2998" s="81"/>
      <c r="NLK2998" s="160"/>
      <c r="NLL2998" s="562"/>
      <c r="NLM2998" s="125"/>
      <c r="NLN2998" s="470"/>
      <c r="NLO2998" s="449"/>
      <c r="NLP2998" s="462"/>
      <c r="NLQ2998" s="299"/>
      <c r="NLR2998" s="81"/>
      <c r="NLS2998" s="160"/>
      <c r="NLT2998" s="562"/>
      <c r="NLU2998" s="125"/>
      <c r="NLV2998" s="470"/>
      <c r="NLW2998" s="449"/>
      <c r="NLX2998" s="462"/>
      <c r="NLY2998" s="299"/>
      <c r="NLZ2998" s="81"/>
      <c r="NMA2998" s="160"/>
      <c r="NMB2998" s="562"/>
      <c r="NMC2998" s="125"/>
      <c r="NMD2998" s="470"/>
      <c r="NME2998" s="449"/>
      <c r="NMF2998" s="462"/>
      <c r="NMG2998" s="299"/>
      <c r="NMH2998" s="81"/>
      <c r="NMI2998" s="160"/>
      <c r="NMJ2998" s="562"/>
      <c r="NMK2998" s="125"/>
      <c r="NML2998" s="470"/>
      <c r="NMM2998" s="449"/>
      <c r="NMN2998" s="462"/>
      <c r="NMO2998" s="299"/>
      <c r="NMP2998" s="81"/>
      <c r="NMQ2998" s="160"/>
      <c r="NMR2998" s="562"/>
      <c r="NMS2998" s="125"/>
      <c r="NMT2998" s="470"/>
      <c r="NMU2998" s="449"/>
      <c r="NMV2998" s="462"/>
      <c r="NMW2998" s="299"/>
      <c r="NMX2998" s="81"/>
      <c r="NMY2998" s="160"/>
      <c r="NMZ2998" s="562"/>
      <c r="NNA2998" s="125"/>
      <c r="NNB2998" s="470"/>
      <c r="NNC2998" s="449"/>
      <c r="NND2998" s="462"/>
      <c r="NNE2998" s="299"/>
      <c r="NNF2998" s="81"/>
      <c r="NNG2998" s="160"/>
      <c r="NNH2998" s="562"/>
      <c r="NNI2998" s="125"/>
      <c r="NNJ2998" s="470"/>
      <c r="NNK2998" s="449"/>
      <c r="NNL2998" s="462"/>
      <c r="NNM2998" s="299"/>
      <c r="NNN2998" s="81"/>
      <c r="NNO2998" s="160"/>
      <c r="NNP2998" s="562"/>
      <c r="NNQ2998" s="125"/>
      <c r="NNR2998" s="470"/>
      <c r="NNS2998" s="449"/>
      <c r="NNT2998" s="462"/>
      <c r="NNU2998" s="299"/>
      <c r="NNV2998" s="81"/>
      <c r="NNW2998" s="160"/>
      <c r="NNX2998" s="562"/>
      <c r="NNY2998" s="125"/>
      <c r="NNZ2998" s="470"/>
      <c r="NOA2998" s="449"/>
      <c r="NOB2998" s="462"/>
      <c r="NOC2998" s="299"/>
      <c r="NOD2998" s="81"/>
      <c r="NOE2998" s="160"/>
      <c r="NOF2998" s="562"/>
      <c r="NOG2998" s="125"/>
      <c r="NOH2998" s="470"/>
      <c r="NOI2998" s="449"/>
      <c r="NOJ2998" s="462"/>
      <c r="NOK2998" s="299"/>
      <c r="NOL2998" s="81"/>
      <c r="NOM2998" s="160"/>
      <c r="NON2998" s="562"/>
      <c r="NOO2998" s="125"/>
      <c r="NOP2998" s="470"/>
      <c r="NOQ2998" s="449"/>
      <c r="NOR2998" s="462"/>
      <c r="NOS2998" s="299"/>
      <c r="NOT2998" s="81"/>
      <c r="NOU2998" s="160"/>
      <c r="NOV2998" s="562"/>
      <c r="NOW2998" s="125"/>
      <c r="NOX2998" s="470"/>
      <c r="NOY2998" s="449"/>
      <c r="NOZ2998" s="462"/>
      <c r="NPA2998" s="299"/>
      <c r="NPB2998" s="81"/>
      <c r="NPC2998" s="160"/>
      <c r="NPD2998" s="562"/>
      <c r="NPE2998" s="125"/>
      <c r="NPF2998" s="470"/>
      <c r="NPG2998" s="449"/>
      <c r="NPH2998" s="462"/>
      <c r="NPI2998" s="299"/>
      <c r="NPJ2998" s="81"/>
      <c r="NPK2998" s="160"/>
      <c r="NPL2998" s="562"/>
      <c r="NPM2998" s="125"/>
      <c r="NPN2998" s="470"/>
      <c r="NPO2998" s="449"/>
      <c r="NPP2998" s="462"/>
      <c r="NPQ2998" s="299"/>
      <c r="NPR2998" s="81"/>
      <c r="NPS2998" s="160"/>
      <c r="NPT2998" s="562"/>
      <c r="NPU2998" s="125"/>
      <c r="NPV2998" s="470"/>
      <c r="NPW2998" s="449"/>
      <c r="NPX2998" s="462"/>
      <c r="NPY2998" s="299"/>
      <c r="NPZ2998" s="81"/>
      <c r="NQA2998" s="160"/>
      <c r="NQB2998" s="562"/>
      <c r="NQC2998" s="125"/>
      <c r="NQD2998" s="470"/>
      <c r="NQE2998" s="449"/>
      <c r="NQF2998" s="462"/>
      <c r="NQG2998" s="299"/>
      <c r="NQH2998" s="81"/>
      <c r="NQI2998" s="160"/>
      <c r="NQJ2998" s="562"/>
      <c r="NQK2998" s="125"/>
      <c r="NQL2998" s="470"/>
      <c r="NQM2998" s="449"/>
      <c r="NQN2998" s="462"/>
      <c r="NQO2998" s="299"/>
      <c r="NQP2998" s="81"/>
      <c r="NQQ2998" s="160"/>
      <c r="NQR2998" s="562"/>
      <c r="NQS2998" s="125"/>
      <c r="NQT2998" s="470"/>
      <c r="NQU2998" s="449"/>
      <c r="NQV2998" s="462"/>
      <c r="NQW2998" s="299"/>
      <c r="NQX2998" s="81"/>
      <c r="NQY2998" s="160"/>
      <c r="NQZ2998" s="562"/>
      <c r="NRA2998" s="125"/>
      <c r="NRB2998" s="470"/>
      <c r="NRC2998" s="449"/>
      <c r="NRD2998" s="462"/>
      <c r="NRE2998" s="299"/>
      <c r="NRF2998" s="81"/>
      <c r="NRG2998" s="160"/>
      <c r="NRH2998" s="562"/>
      <c r="NRI2998" s="125"/>
      <c r="NRJ2998" s="470"/>
      <c r="NRK2998" s="449"/>
      <c r="NRL2998" s="462"/>
      <c r="NRM2998" s="299"/>
      <c r="NRN2998" s="81"/>
      <c r="NRO2998" s="160"/>
      <c r="NRP2998" s="562"/>
      <c r="NRQ2998" s="125"/>
      <c r="NRR2998" s="470"/>
      <c r="NRS2998" s="449"/>
      <c r="NRT2998" s="462"/>
      <c r="NRU2998" s="299"/>
      <c r="NRV2998" s="81"/>
      <c r="NRW2998" s="160"/>
      <c r="NRX2998" s="562"/>
      <c r="NRY2998" s="125"/>
      <c r="NRZ2998" s="470"/>
      <c r="NSA2998" s="449"/>
      <c r="NSB2998" s="462"/>
      <c r="NSC2998" s="299"/>
      <c r="NSD2998" s="81"/>
      <c r="NSE2998" s="160"/>
      <c r="NSF2998" s="562"/>
      <c r="NSG2998" s="125"/>
      <c r="NSH2998" s="470"/>
      <c r="NSI2998" s="449"/>
      <c r="NSJ2998" s="462"/>
      <c r="NSK2998" s="299"/>
      <c r="NSL2998" s="81"/>
      <c r="NSM2998" s="160"/>
      <c r="NSN2998" s="562"/>
      <c r="NSO2998" s="125"/>
      <c r="NSP2998" s="470"/>
      <c r="NSQ2998" s="449"/>
      <c r="NSR2998" s="462"/>
      <c r="NSS2998" s="299"/>
      <c r="NST2998" s="81"/>
      <c r="NSU2998" s="160"/>
      <c r="NSV2998" s="562"/>
      <c r="NSW2998" s="125"/>
      <c r="NSX2998" s="470"/>
      <c r="NSY2998" s="449"/>
      <c r="NSZ2998" s="462"/>
      <c r="NTA2998" s="299"/>
      <c r="NTB2998" s="81"/>
      <c r="NTC2998" s="160"/>
      <c r="NTD2998" s="562"/>
      <c r="NTE2998" s="125"/>
      <c r="NTF2998" s="470"/>
      <c r="NTG2998" s="449"/>
      <c r="NTH2998" s="462"/>
      <c r="NTI2998" s="299"/>
      <c r="NTJ2998" s="81"/>
      <c r="NTK2998" s="160"/>
      <c r="NTL2998" s="562"/>
      <c r="NTM2998" s="125"/>
      <c r="NTN2998" s="470"/>
      <c r="NTO2998" s="449"/>
      <c r="NTP2998" s="462"/>
      <c r="NTQ2998" s="299"/>
      <c r="NTR2998" s="81"/>
      <c r="NTS2998" s="160"/>
      <c r="NTT2998" s="562"/>
      <c r="NTU2998" s="125"/>
      <c r="NTV2998" s="470"/>
      <c r="NTW2998" s="449"/>
      <c r="NTX2998" s="462"/>
      <c r="NTY2998" s="299"/>
      <c r="NTZ2998" s="81"/>
      <c r="NUA2998" s="160"/>
      <c r="NUB2998" s="562"/>
      <c r="NUC2998" s="125"/>
      <c r="NUD2998" s="470"/>
      <c r="NUE2998" s="449"/>
      <c r="NUF2998" s="462"/>
      <c r="NUG2998" s="299"/>
      <c r="NUH2998" s="81"/>
      <c r="NUI2998" s="160"/>
      <c r="NUJ2998" s="562"/>
      <c r="NUK2998" s="125"/>
      <c r="NUL2998" s="470"/>
      <c r="NUM2998" s="449"/>
      <c r="NUN2998" s="462"/>
      <c r="NUO2998" s="299"/>
      <c r="NUP2998" s="81"/>
      <c r="NUQ2998" s="160"/>
      <c r="NUR2998" s="562"/>
      <c r="NUS2998" s="125"/>
      <c r="NUT2998" s="470"/>
      <c r="NUU2998" s="449"/>
      <c r="NUV2998" s="462"/>
      <c r="NUW2998" s="299"/>
      <c r="NUX2998" s="81"/>
      <c r="NUY2998" s="160"/>
      <c r="NUZ2998" s="562"/>
      <c r="NVA2998" s="125"/>
      <c r="NVB2998" s="470"/>
      <c r="NVC2998" s="449"/>
      <c r="NVD2998" s="462"/>
      <c r="NVE2998" s="299"/>
      <c r="NVF2998" s="81"/>
      <c r="NVG2998" s="160"/>
      <c r="NVH2998" s="562"/>
      <c r="NVI2998" s="125"/>
      <c r="NVJ2998" s="470"/>
      <c r="NVK2998" s="449"/>
      <c r="NVL2998" s="462"/>
      <c r="NVM2998" s="299"/>
      <c r="NVN2998" s="81"/>
      <c r="NVO2998" s="160"/>
      <c r="NVP2998" s="562"/>
      <c r="NVQ2998" s="125"/>
      <c r="NVR2998" s="470"/>
      <c r="NVS2998" s="449"/>
      <c r="NVT2998" s="462"/>
      <c r="NVU2998" s="299"/>
      <c r="NVV2998" s="81"/>
      <c r="NVW2998" s="160"/>
      <c r="NVX2998" s="562"/>
      <c r="NVY2998" s="125"/>
      <c r="NVZ2998" s="470"/>
      <c r="NWA2998" s="449"/>
      <c r="NWB2998" s="462"/>
      <c r="NWC2998" s="299"/>
      <c r="NWD2998" s="81"/>
      <c r="NWE2998" s="160"/>
      <c r="NWF2998" s="562"/>
      <c r="NWG2998" s="125"/>
      <c r="NWH2998" s="470"/>
      <c r="NWI2998" s="449"/>
      <c r="NWJ2998" s="462"/>
      <c r="NWK2998" s="299"/>
      <c r="NWL2998" s="81"/>
      <c r="NWM2998" s="160"/>
      <c r="NWN2998" s="562"/>
      <c r="NWO2998" s="125"/>
      <c r="NWP2998" s="470"/>
      <c r="NWQ2998" s="449"/>
      <c r="NWR2998" s="462"/>
      <c r="NWS2998" s="299"/>
      <c r="NWT2998" s="81"/>
      <c r="NWU2998" s="160"/>
      <c r="NWV2998" s="562"/>
      <c r="NWW2998" s="125"/>
      <c r="NWX2998" s="470"/>
      <c r="NWY2998" s="449"/>
      <c r="NWZ2998" s="462"/>
      <c r="NXA2998" s="299"/>
      <c r="NXB2998" s="81"/>
      <c r="NXC2998" s="160"/>
      <c r="NXD2998" s="562"/>
      <c r="NXE2998" s="125"/>
      <c r="NXF2998" s="470"/>
      <c r="NXG2998" s="449"/>
      <c r="NXH2998" s="462"/>
      <c r="NXI2998" s="299"/>
      <c r="NXJ2998" s="81"/>
      <c r="NXK2998" s="160"/>
      <c r="NXL2998" s="562"/>
      <c r="NXM2998" s="125"/>
      <c r="NXN2998" s="470"/>
      <c r="NXO2998" s="449"/>
      <c r="NXP2998" s="462"/>
      <c r="NXQ2998" s="299"/>
      <c r="NXR2998" s="81"/>
      <c r="NXS2998" s="160"/>
      <c r="NXT2998" s="562"/>
      <c r="NXU2998" s="125"/>
      <c r="NXV2998" s="470"/>
      <c r="NXW2998" s="449"/>
      <c r="NXX2998" s="462"/>
      <c r="NXY2998" s="299"/>
      <c r="NXZ2998" s="81"/>
      <c r="NYA2998" s="160"/>
      <c r="NYB2998" s="562"/>
      <c r="NYC2998" s="125"/>
      <c r="NYD2998" s="470"/>
      <c r="NYE2998" s="449"/>
      <c r="NYF2998" s="462"/>
      <c r="NYG2998" s="299"/>
      <c r="NYH2998" s="81"/>
      <c r="NYI2998" s="160"/>
      <c r="NYJ2998" s="562"/>
      <c r="NYK2998" s="125"/>
      <c r="NYL2998" s="470"/>
      <c r="NYM2998" s="449"/>
      <c r="NYN2998" s="462"/>
      <c r="NYO2998" s="299"/>
      <c r="NYP2998" s="81"/>
      <c r="NYQ2998" s="160"/>
      <c r="NYR2998" s="562"/>
      <c r="NYS2998" s="125"/>
      <c r="NYT2998" s="470"/>
      <c r="NYU2998" s="449"/>
      <c r="NYV2998" s="462"/>
      <c r="NYW2998" s="299"/>
      <c r="NYX2998" s="81"/>
      <c r="NYY2998" s="160"/>
      <c r="NYZ2998" s="562"/>
      <c r="NZA2998" s="125"/>
      <c r="NZB2998" s="470"/>
      <c r="NZC2998" s="449"/>
      <c r="NZD2998" s="462"/>
      <c r="NZE2998" s="299"/>
      <c r="NZF2998" s="81"/>
      <c r="NZG2998" s="160"/>
      <c r="NZH2998" s="562"/>
      <c r="NZI2998" s="125"/>
      <c r="NZJ2998" s="470"/>
      <c r="NZK2998" s="449"/>
      <c r="NZL2998" s="462"/>
      <c r="NZM2998" s="299"/>
      <c r="NZN2998" s="81"/>
      <c r="NZO2998" s="160"/>
      <c r="NZP2998" s="562"/>
      <c r="NZQ2998" s="125"/>
      <c r="NZR2998" s="470"/>
      <c r="NZS2998" s="449"/>
      <c r="NZT2998" s="462"/>
      <c r="NZU2998" s="299"/>
      <c r="NZV2998" s="81"/>
      <c r="NZW2998" s="160"/>
      <c r="NZX2998" s="562"/>
      <c r="NZY2998" s="125"/>
      <c r="NZZ2998" s="470"/>
      <c r="OAA2998" s="449"/>
      <c r="OAB2998" s="462"/>
      <c r="OAC2998" s="299"/>
      <c r="OAD2998" s="81"/>
      <c r="OAE2998" s="160"/>
      <c r="OAF2998" s="562"/>
      <c r="OAG2998" s="125"/>
      <c r="OAH2998" s="470"/>
      <c r="OAI2998" s="449"/>
      <c r="OAJ2998" s="462"/>
      <c r="OAK2998" s="299"/>
      <c r="OAL2998" s="81"/>
      <c r="OAM2998" s="160"/>
      <c r="OAN2998" s="562"/>
      <c r="OAO2998" s="125"/>
      <c r="OAP2998" s="470"/>
      <c r="OAQ2998" s="449"/>
      <c r="OAR2998" s="462"/>
      <c r="OAS2998" s="299"/>
      <c r="OAT2998" s="81"/>
      <c r="OAU2998" s="160"/>
      <c r="OAV2998" s="562"/>
      <c r="OAW2998" s="125"/>
      <c r="OAX2998" s="470"/>
      <c r="OAY2998" s="449"/>
      <c r="OAZ2998" s="462"/>
      <c r="OBA2998" s="299"/>
      <c r="OBB2998" s="81"/>
      <c r="OBC2998" s="160"/>
      <c r="OBD2998" s="562"/>
      <c r="OBE2998" s="125"/>
      <c r="OBF2998" s="470"/>
      <c r="OBG2998" s="449"/>
      <c r="OBH2998" s="462"/>
      <c r="OBI2998" s="299"/>
      <c r="OBJ2998" s="81"/>
      <c r="OBK2998" s="160"/>
      <c r="OBL2998" s="562"/>
      <c r="OBM2998" s="125"/>
      <c r="OBN2998" s="470"/>
      <c r="OBO2998" s="449"/>
      <c r="OBP2998" s="462"/>
      <c r="OBQ2998" s="299"/>
      <c r="OBR2998" s="81"/>
      <c r="OBS2998" s="160"/>
      <c r="OBT2998" s="562"/>
      <c r="OBU2998" s="125"/>
      <c r="OBV2998" s="470"/>
      <c r="OBW2998" s="449"/>
      <c r="OBX2998" s="462"/>
      <c r="OBY2998" s="299"/>
      <c r="OBZ2998" s="81"/>
      <c r="OCA2998" s="160"/>
      <c r="OCB2998" s="562"/>
      <c r="OCC2998" s="125"/>
      <c r="OCD2998" s="470"/>
      <c r="OCE2998" s="449"/>
      <c r="OCF2998" s="462"/>
      <c r="OCG2998" s="299"/>
      <c r="OCH2998" s="81"/>
      <c r="OCI2998" s="160"/>
      <c r="OCJ2998" s="562"/>
      <c r="OCK2998" s="125"/>
      <c r="OCL2998" s="470"/>
      <c r="OCM2998" s="449"/>
      <c r="OCN2998" s="462"/>
      <c r="OCO2998" s="299"/>
      <c r="OCP2998" s="81"/>
      <c r="OCQ2998" s="160"/>
      <c r="OCR2998" s="562"/>
      <c r="OCS2998" s="125"/>
      <c r="OCT2998" s="470"/>
      <c r="OCU2998" s="449"/>
      <c r="OCV2998" s="462"/>
      <c r="OCW2998" s="299"/>
      <c r="OCX2998" s="81"/>
      <c r="OCY2998" s="160"/>
      <c r="OCZ2998" s="562"/>
      <c r="ODA2998" s="125"/>
      <c r="ODB2998" s="470"/>
      <c r="ODC2998" s="449"/>
      <c r="ODD2998" s="462"/>
      <c r="ODE2998" s="299"/>
      <c r="ODF2998" s="81"/>
      <c r="ODG2998" s="160"/>
      <c r="ODH2998" s="562"/>
      <c r="ODI2998" s="125"/>
      <c r="ODJ2998" s="470"/>
      <c r="ODK2998" s="449"/>
      <c r="ODL2998" s="462"/>
      <c r="ODM2998" s="299"/>
      <c r="ODN2998" s="81"/>
      <c r="ODO2998" s="160"/>
      <c r="ODP2998" s="562"/>
      <c r="ODQ2998" s="125"/>
      <c r="ODR2998" s="470"/>
      <c r="ODS2998" s="449"/>
      <c r="ODT2998" s="462"/>
      <c r="ODU2998" s="299"/>
      <c r="ODV2998" s="81"/>
      <c r="ODW2998" s="160"/>
      <c r="ODX2998" s="562"/>
      <c r="ODY2998" s="125"/>
      <c r="ODZ2998" s="470"/>
      <c r="OEA2998" s="449"/>
      <c r="OEB2998" s="462"/>
      <c r="OEC2998" s="299"/>
      <c r="OED2998" s="81"/>
      <c r="OEE2998" s="160"/>
      <c r="OEF2998" s="562"/>
      <c r="OEG2998" s="125"/>
      <c r="OEH2998" s="470"/>
      <c r="OEI2998" s="449"/>
      <c r="OEJ2998" s="462"/>
      <c r="OEK2998" s="299"/>
      <c r="OEL2998" s="81"/>
      <c r="OEM2998" s="160"/>
      <c r="OEN2998" s="562"/>
      <c r="OEO2998" s="125"/>
      <c r="OEP2998" s="470"/>
      <c r="OEQ2998" s="449"/>
      <c r="OER2998" s="462"/>
      <c r="OES2998" s="299"/>
      <c r="OET2998" s="81"/>
      <c r="OEU2998" s="160"/>
      <c r="OEV2998" s="562"/>
      <c r="OEW2998" s="125"/>
      <c r="OEX2998" s="470"/>
      <c r="OEY2998" s="449"/>
      <c r="OEZ2998" s="462"/>
      <c r="OFA2998" s="299"/>
      <c r="OFB2998" s="81"/>
      <c r="OFC2998" s="160"/>
      <c r="OFD2998" s="562"/>
      <c r="OFE2998" s="125"/>
      <c r="OFF2998" s="470"/>
      <c r="OFG2998" s="449"/>
      <c r="OFH2998" s="462"/>
      <c r="OFI2998" s="299"/>
      <c r="OFJ2998" s="81"/>
      <c r="OFK2998" s="160"/>
      <c r="OFL2998" s="562"/>
      <c r="OFM2998" s="125"/>
      <c r="OFN2998" s="470"/>
      <c r="OFO2998" s="449"/>
      <c r="OFP2998" s="462"/>
      <c r="OFQ2998" s="299"/>
      <c r="OFR2998" s="81"/>
      <c r="OFS2998" s="160"/>
      <c r="OFT2998" s="562"/>
      <c r="OFU2998" s="125"/>
      <c r="OFV2998" s="470"/>
      <c r="OFW2998" s="449"/>
      <c r="OFX2998" s="462"/>
      <c r="OFY2998" s="299"/>
      <c r="OFZ2998" s="81"/>
      <c r="OGA2998" s="160"/>
      <c r="OGB2998" s="562"/>
      <c r="OGC2998" s="125"/>
      <c r="OGD2998" s="470"/>
      <c r="OGE2998" s="449"/>
      <c r="OGF2998" s="462"/>
      <c r="OGG2998" s="299"/>
      <c r="OGH2998" s="81"/>
      <c r="OGI2998" s="160"/>
      <c r="OGJ2998" s="562"/>
      <c r="OGK2998" s="125"/>
      <c r="OGL2998" s="470"/>
      <c r="OGM2998" s="449"/>
      <c r="OGN2998" s="462"/>
      <c r="OGO2998" s="299"/>
      <c r="OGP2998" s="81"/>
      <c r="OGQ2998" s="160"/>
      <c r="OGR2998" s="562"/>
      <c r="OGS2998" s="125"/>
      <c r="OGT2998" s="470"/>
      <c r="OGU2998" s="449"/>
      <c r="OGV2998" s="462"/>
      <c r="OGW2998" s="299"/>
      <c r="OGX2998" s="81"/>
      <c r="OGY2998" s="160"/>
      <c r="OGZ2998" s="562"/>
      <c r="OHA2998" s="125"/>
      <c r="OHB2998" s="470"/>
      <c r="OHC2998" s="449"/>
      <c r="OHD2998" s="462"/>
      <c r="OHE2998" s="299"/>
      <c r="OHF2998" s="81"/>
      <c r="OHG2998" s="160"/>
      <c r="OHH2998" s="562"/>
      <c r="OHI2998" s="125"/>
      <c r="OHJ2998" s="470"/>
      <c r="OHK2998" s="449"/>
      <c r="OHL2998" s="462"/>
      <c r="OHM2998" s="299"/>
      <c r="OHN2998" s="81"/>
      <c r="OHO2998" s="160"/>
      <c r="OHP2998" s="562"/>
      <c r="OHQ2998" s="125"/>
      <c r="OHR2998" s="470"/>
      <c r="OHS2998" s="449"/>
      <c r="OHT2998" s="462"/>
      <c r="OHU2998" s="299"/>
      <c r="OHV2998" s="81"/>
      <c r="OHW2998" s="160"/>
      <c r="OHX2998" s="562"/>
      <c r="OHY2998" s="125"/>
      <c r="OHZ2998" s="470"/>
      <c r="OIA2998" s="449"/>
      <c r="OIB2998" s="462"/>
      <c r="OIC2998" s="299"/>
      <c r="OID2998" s="81"/>
      <c r="OIE2998" s="160"/>
      <c r="OIF2998" s="562"/>
      <c r="OIG2998" s="125"/>
      <c r="OIH2998" s="470"/>
      <c r="OII2998" s="449"/>
      <c r="OIJ2998" s="462"/>
      <c r="OIK2998" s="299"/>
      <c r="OIL2998" s="81"/>
      <c r="OIM2998" s="160"/>
      <c r="OIN2998" s="562"/>
      <c r="OIO2998" s="125"/>
      <c r="OIP2998" s="470"/>
      <c r="OIQ2998" s="449"/>
      <c r="OIR2998" s="462"/>
      <c r="OIS2998" s="299"/>
      <c r="OIT2998" s="81"/>
      <c r="OIU2998" s="160"/>
      <c r="OIV2998" s="562"/>
      <c r="OIW2998" s="125"/>
      <c r="OIX2998" s="470"/>
      <c r="OIY2998" s="449"/>
      <c r="OIZ2998" s="462"/>
      <c r="OJA2998" s="299"/>
      <c r="OJB2998" s="81"/>
      <c r="OJC2998" s="160"/>
      <c r="OJD2998" s="562"/>
      <c r="OJE2998" s="125"/>
      <c r="OJF2998" s="470"/>
      <c r="OJG2998" s="449"/>
      <c r="OJH2998" s="462"/>
      <c r="OJI2998" s="299"/>
      <c r="OJJ2998" s="81"/>
      <c r="OJK2998" s="160"/>
      <c r="OJL2998" s="562"/>
      <c r="OJM2998" s="125"/>
      <c r="OJN2998" s="470"/>
      <c r="OJO2998" s="449"/>
      <c r="OJP2998" s="462"/>
      <c r="OJQ2998" s="299"/>
      <c r="OJR2998" s="81"/>
      <c r="OJS2998" s="160"/>
      <c r="OJT2998" s="562"/>
      <c r="OJU2998" s="125"/>
      <c r="OJV2998" s="470"/>
      <c r="OJW2998" s="449"/>
      <c r="OJX2998" s="462"/>
      <c r="OJY2998" s="299"/>
      <c r="OJZ2998" s="81"/>
      <c r="OKA2998" s="160"/>
      <c r="OKB2998" s="562"/>
      <c r="OKC2998" s="125"/>
      <c r="OKD2998" s="470"/>
      <c r="OKE2998" s="449"/>
      <c r="OKF2998" s="462"/>
      <c r="OKG2998" s="299"/>
      <c r="OKH2998" s="81"/>
      <c r="OKI2998" s="160"/>
      <c r="OKJ2998" s="562"/>
      <c r="OKK2998" s="125"/>
      <c r="OKL2998" s="470"/>
      <c r="OKM2998" s="449"/>
      <c r="OKN2998" s="462"/>
      <c r="OKO2998" s="299"/>
      <c r="OKP2998" s="81"/>
      <c r="OKQ2998" s="160"/>
      <c r="OKR2998" s="562"/>
      <c r="OKS2998" s="125"/>
      <c r="OKT2998" s="470"/>
      <c r="OKU2998" s="449"/>
      <c r="OKV2998" s="462"/>
      <c r="OKW2998" s="299"/>
      <c r="OKX2998" s="81"/>
      <c r="OKY2998" s="160"/>
      <c r="OKZ2998" s="562"/>
      <c r="OLA2998" s="125"/>
      <c r="OLB2998" s="470"/>
      <c r="OLC2998" s="449"/>
      <c r="OLD2998" s="462"/>
      <c r="OLE2998" s="299"/>
      <c r="OLF2998" s="81"/>
      <c r="OLG2998" s="160"/>
      <c r="OLH2998" s="562"/>
      <c r="OLI2998" s="125"/>
      <c r="OLJ2998" s="470"/>
      <c r="OLK2998" s="449"/>
      <c r="OLL2998" s="462"/>
      <c r="OLM2998" s="299"/>
      <c r="OLN2998" s="81"/>
      <c r="OLO2998" s="160"/>
      <c r="OLP2998" s="562"/>
      <c r="OLQ2998" s="125"/>
      <c r="OLR2998" s="470"/>
      <c r="OLS2998" s="449"/>
      <c r="OLT2998" s="462"/>
      <c r="OLU2998" s="299"/>
      <c r="OLV2998" s="81"/>
      <c r="OLW2998" s="160"/>
      <c r="OLX2998" s="562"/>
      <c r="OLY2998" s="125"/>
      <c r="OLZ2998" s="470"/>
      <c r="OMA2998" s="449"/>
      <c r="OMB2998" s="462"/>
      <c r="OMC2998" s="299"/>
      <c r="OMD2998" s="81"/>
      <c r="OME2998" s="160"/>
      <c r="OMF2998" s="562"/>
      <c r="OMG2998" s="125"/>
      <c r="OMH2998" s="470"/>
      <c r="OMI2998" s="449"/>
      <c r="OMJ2998" s="462"/>
      <c r="OMK2998" s="299"/>
      <c r="OML2998" s="81"/>
      <c r="OMM2998" s="160"/>
      <c r="OMN2998" s="562"/>
      <c r="OMO2998" s="125"/>
      <c r="OMP2998" s="470"/>
      <c r="OMQ2998" s="449"/>
      <c r="OMR2998" s="462"/>
      <c r="OMS2998" s="299"/>
      <c r="OMT2998" s="81"/>
      <c r="OMU2998" s="160"/>
      <c r="OMV2998" s="562"/>
      <c r="OMW2998" s="125"/>
      <c r="OMX2998" s="470"/>
      <c r="OMY2998" s="449"/>
      <c r="OMZ2998" s="462"/>
      <c r="ONA2998" s="299"/>
      <c r="ONB2998" s="81"/>
      <c r="ONC2998" s="160"/>
      <c r="OND2998" s="562"/>
      <c r="ONE2998" s="125"/>
      <c r="ONF2998" s="470"/>
      <c r="ONG2998" s="449"/>
      <c r="ONH2998" s="462"/>
      <c r="ONI2998" s="299"/>
      <c r="ONJ2998" s="81"/>
      <c r="ONK2998" s="160"/>
      <c r="ONL2998" s="562"/>
      <c r="ONM2998" s="125"/>
      <c r="ONN2998" s="470"/>
      <c r="ONO2998" s="449"/>
      <c r="ONP2998" s="462"/>
      <c r="ONQ2998" s="299"/>
      <c r="ONR2998" s="81"/>
      <c r="ONS2998" s="160"/>
      <c r="ONT2998" s="562"/>
      <c r="ONU2998" s="125"/>
      <c r="ONV2998" s="470"/>
      <c r="ONW2998" s="449"/>
      <c r="ONX2998" s="462"/>
      <c r="ONY2998" s="299"/>
      <c r="ONZ2998" s="81"/>
      <c r="OOA2998" s="160"/>
      <c r="OOB2998" s="562"/>
      <c r="OOC2998" s="125"/>
      <c r="OOD2998" s="470"/>
      <c r="OOE2998" s="449"/>
      <c r="OOF2998" s="462"/>
      <c r="OOG2998" s="299"/>
      <c r="OOH2998" s="81"/>
      <c r="OOI2998" s="160"/>
      <c r="OOJ2998" s="562"/>
      <c r="OOK2998" s="125"/>
      <c r="OOL2998" s="470"/>
      <c r="OOM2998" s="449"/>
      <c r="OON2998" s="462"/>
      <c r="OOO2998" s="299"/>
      <c r="OOP2998" s="81"/>
      <c r="OOQ2998" s="160"/>
      <c r="OOR2998" s="562"/>
      <c r="OOS2998" s="125"/>
      <c r="OOT2998" s="470"/>
      <c r="OOU2998" s="449"/>
      <c r="OOV2998" s="462"/>
      <c r="OOW2998" s="299"/>
      <c r="OOX2998" s="81"/>
      <c r="OOY2998" s="160"/>
      <c r="OOZ2998" s="562"/>
      <c r="OPA2998" s="125"/>
      <c r="OPB2998" s="470"/>
      <c r="OPC2998" s="449"/>
      <c r="OPD2998" s="462"/>
      <c r="OPE2998" s="299"/>
      <c r="OPF2998" s="81"/>
      <c r="OPG2998" s="160"/>
      <c r="OPH2998" s="562"/>
      <c r="OPI2998" s="125"/>
      <c r="OPJ2998" s="470"/>
      <c r="OPK2998" s="449"/>
      <c r="OPL2998" s="462"/>
      <c r="OPM2998" s="299"/>
      <c r="OPN2998" s="81"/>
      <c r="OPO2998" s="160"/>
      <c r="OPP2998" s="562"/>
      <c r="OPQ2998" s="125"/>
      <c r="OPR2998" s="470"/>
      <c r="OPS2998" s="449"/>
      <c r="OPT2998" s="462"/>
      <c r="OPU2998" s="299"/>
      <c r="OPV2998" s="81"/>
      <c r="OPW2998" s="160"/>
      <c r="OPX2998" s="562"/>
      <c r="OPY2998" s="125"/>
      <c r="OPZ2998" s="470"/>
      <c r="OQA2998" s="449"/>
      <c r="OQB2998" s="462"/>
      <c r="OQC2998" s="299"/>
      <c r="OQD2998" s="81"/>
      <c r="OQE2998" s="160"/>
      <c r="OQF2998" s="562"/>
      <c r="OQG2998" s="125"/>
      <c r="OQH2998" s="470"/>
      <c r="OQI2998" s="449"/>
      <c r="OQJ2998" s="462"/>
      <c r="OQK2998" s="299"/>
      <c r="OQL2998" s="81"/>
      <c r="OQM2998" s="160"/>
      <c r="OQN2998" s="562"/>
      <c r="OQO2998" s="125"/>
      <c r="OQP2998" s="470"/>
      <c r="OQQ2998" s="449"/>
      <c r="OQR2998" s="462"/>
      <c r="OQS2998" s="299"/>
      <c r="OQT2998" s="81"/>
      <c r="OQU2998" s="160"/>
      <c r="OQV2998" s="562"/>
      <c r="OQW2998" s="125"/>
      <c r="OQX2998" s="470"/>
      <c r="OQY2998" s="449"/>
      <c r="OQZ2998" s="462"/>
      <c r="ORA2998" s="299"/>
      <c r="ORB2998" s="81"/>
      <c r="ORC2998" s="160"/>
      <c r="ORD2998" s="562"/>
      <c r="ORE2998" s="125"/>
      <c r="ORF2998" s="470"/>
      <c r="ORG2998" s="449"/>
      <c r="ORH2998" s="462"/>
      <c r="ORI2998" s="299"/>
      <c r="ORJ2998" s="81"/>
      <c r="ORK2998" s="160"/>
      <c r="ORL2998" s="562"/>
      <c r="ORM2998" s="125"/>
      <c r="ORN2998" s="470"/>
      <c r="ORO2998" s="449"/>
      <c r="ORP2998" s="462"/>
      <c r="ORQ2998" s="299"/>
      <c r="ORR2998" s="81"/>
      <c r="ORS2998" s="160"/>
      <c r="ORT2998" s="562"/>
      <c r="ORU2998" s="125"/>
      <c r="ORV2998" s="470"/>
      <c r="ORW2998" s="449"/>
      <c r="ORX2998" s="462"/>
      <c r="ORY2998" s="299"/>
      <c r="ORZ2998" s="81"/>
      <c r="OSA2998" s="160"/>
      <c r="OSB2998" s="562"/>
      <c r="OSC2998" s="125"/>
      <c r="OSD2998" s="470"/>
      <c r="OSE2998" s="449"/>
      <c r="OSF2998" s="462"/>
      <c r="OSG2998" s="299"/>
      <c r="OSH2998" s="81"/>
      <c r="OSI2998" s="160"/>
      <c r="OSJ2998" s="562"/>
      <c r="OSK2998" s="125"/>
      <c r="OSL2998" s="470"/>
      <c r="OSM2998" s="449"/>
      <c r="OSN2998" s="462"/>
      <c r="OSO2998" s="299"/>
      <c r="OSP2998" s="81"/>
      <c r="OSQ2998" s="160"/>
      <c r="OSR2998" s="562"/>
      <c r="OSS2998" s="125"/>
      <c r="OST2998" s="470"/>
      <c r="OSU2998" s="449"/>
      <c r="OSV2998" s="462"/>
      <c r="OSW2998" s="299"/>
      <c r="OSX2998" s="81"/>
      <c r="OSY2998" s="160"/>
      <c r="OSZ2998" s="562"/>
      <c r="OTA2998" s="125"/>
      <c r="OTB2998" s="470"/>
      <c r="OTC2998" s="449"/>
      <c r="OTD2998" s="462"/>
      <c r="OTE2998" s="299"/>
      <c r="OTF2998" s="81"/>
      <c r="OTG2998" s="160"/>
      <c r="OTH2998" s="562"/>
      <c r="OTI2998" s="125"/>
      <c r="OTJ2998" s="470"/>
      <c r="OTK2998" s="449"/>
      <c r="OTL2998" s="462"/>
      <c r="OTM2998" s="299"/>
      <c r="OTN2998" s="81"/>
      <c r="OTO2998" s="160"/>
      <c r="OTP2998" s="562"/>
      <c r="OTQ2998" s="125"/>
      <c r="OTR2998" s="470"/>
      <c r="OTS2998" s="449"/>
      <c r="OTT2998" s="462"/>
      <c r="OTU2998" s="299"/>
      <c r="OTV2998" s="81"/>
      <c r="OTW2998" s="160"/>
      <c r="OTX2998" s="562"/>
      <c r="OTY2998" s="125"/>
      <c r="OTZ2998" s="470"/>
      <c r="OUA2998" s="449"/>
      <c r="OUB2998" s="462"/>
      <c r="OUC2998" s="299"/>
      <c r="OUD2998" s="81"/>
      <c r="OUE2998" s="160"/>
      <c r="OUF2998" s="562"/>
      <c r="OUG2998" s="125"/>
      <c r="OUH2998" s="470"/>
      <c r="OUI2998" s="449"/>
      <c r="OUJ2998" s="462"/>
      <c r="OUK2998" s="299"/>
      <c r="OUL2998" s="81"/>
      <c r="OUM2998" s="160"/>
      <c r="OUN2998" s="562"/>
      <c r="OUO2998" s="125"/>
      <c r="OUP2998" s="470"/>
      <c r="OUQ2998" s="449"/>
      <c r="OUR2998" s="462"/>
      <c r="OUS2998" s="299"/>
      <c r="OUT2998" s="81"/>
      <c r="OUU2998" s="160"/>
      <c r="OUV2998" s="562"/>
      <c r="OUW2998" s="125"/>
      <c r="OUX2998" s="470"/>
      <c r="OUY2998" s="449"/>
      <c r="OUZ2998" s="462"/>
      <c r="OVA2998" s="299"/>
      <c r="OVB2998" s="81"/>
      <c r="OVC2998" s="160"/>
      <c r="OVD2998" s="562"/>
      <c r="OVE2998" s="125"/>
      <c r="OVF2998" s="470"/>
      <c r="OVG2998" s="449"/>
      <c r="OVH2998" s="462"/>
      <c r="OVI2998" s="299"/>
      <c r="OVJ2998" s="81"/>
      <c r="OVK2998" s="160"/>
      <c r="OVL2998" s="562"/>
      <c r="OVM2998" s="125"/>
      <c r="OVN2998" s="470"/>
      <c r="OVO2998" s="449"/>
      <c r="OVP2998" s="462"/>
      <c r="OVQ2998" s="299"/>
      <c r="OVR2998" s="81"/>
      <c r="OVS2998" s="160"/>
      <c r="OVT2998" s="562"/>
      <c r="OVU2998" s="125"/>
      <c r="OVV2998" s="470"/>
      <c r="OVW2998" s="449"/>
      <c r="OVX2998" s="462"/>
      <c r="OVY2998" s="299"/>
      <c r="OVZ2998" s="81"/>
      <c r="OWA2998" s="160"/>
      <c r="OWB2998" s="562"/>
      <c r="OWC2998" s="125"/>
      <c r="OWD2998" s="470"/>
      <c r="OWE2998" s="449"/>
      <c r="OWF2998" s="462"/>
      <c r="OWG2998" s="299"/>
      <c r="OWH2998" s="81"/>
      <c r="OWI2998" s="160"/>
      <c r="OWJ2998" s="562"/>
      <c r="OWK2998" s="125"/>
      <c r="OWL2998" s="470"/>
      <c r="OWM2998" s="449"/>
      <c r="OWN2998" s="462"/>
      <c r="OWO2998" s="299"/>
      <c r="OWP2998" s="81"/>
      <c r="OWQ2998" s="160"/>
      <c r="OWR2998" s="562"/>
      <c r="OWS2998" s="125"/>
      <c r="OWT2998" s="470"/>
      <c r="OWU2998" s="449"/>
      <c r="OWV2998" s="462"/>
      <c r="OWW2998" s="299"/>
      <c r="OWX2998" s="81"/>
      <c r="OWY2998" s="160"/>
      <c r="OWZ2998" s="562"/>
      <c r="OXA2998" s="125"/>
      <c r="OXB2998" s="470"/>
      <c r="OXC2998" s="449"/>
      <c r="OXD2998" s="462"/>
      <c r="OXE2998" s="299"/>
      <c r="OXF2998" s="81"/>
      <c r="OXG2998" s="160"/>
      <c r="OXH2998" s="562"/>
      <c r="OXI2998" s="125"/>
      <c r="OXJ2998" s="470"/>
      <c r="OXK2998" s="449"/>
      <c r="OXL2998" s="462"/>
      <c r="OXM2998" s="299"/>
      <c r="OXN2998" s="81"/>
      <c r="OXO2998" s="160"/>
      <c r="OXP2998" s="562"/>
      <c r="OXQ2998" s="125"/>
      <c r="OXR2998" s="470"/>
      <c r="OXS2998" s="449"/>
      <c r="OXT2998" s="462"/>
      <c r="OXU2998" s="299"/>
      <c r="OXV2998" s="81"/>
      <c r="OXW2998" s="160"/>
      <c r="OXX2998" s="562"/>
      <c r="OXY2998" s="125"/>
      <c r="OXZ2998" s="470"/>
      <c r="OYA2998" s="449"/>
      <c r="OYB2998" s="462"/>
      <c r="OYC2998" s="299"/>
      <c r="OYD2998" s="81"/>
      <c r="OYE2998" s="160"/>
      <c r="OYF2998" s="562"/>
      <c r="OYG2998" s="125"/>
      <c r="OYH2998" s="470"/>
      <c r="OYI2998" s="449"/>
      <c r="OYJ2998" s="462"/>
      <c r="OYK2998" s="299"/>
      <c r="OYL2998" s="81"/>
      <c r="OYM2998" s="160"/>
      <c r="OYN2998" s="562"/>
      <c r="OYO2998" s="125"/>
      <c r="OYP2998" s="470"/>
      <c r="OYQ2998" s="449"/>
      <c r="OYR2998" s="462"/>
      <c r="OYS2998" s="299"/>
      <c r="OYT2998" s="81"/>
      <c r="OYU2998" s="160"/>
      <c r="OYV2998" s="562"/>
      <c r="OYW2998" s="125"/>
      <c r="OYX2998" s="470"/>
      <c r="OYY2998" s="449"/>
      <c r="OYZ2998" s="462"/>
      <c r="OZA2998" s="299"/>
      <c r="OZB2998" s="81"/>
      <c r="OZC2998" s="160"/>
      <c r="OZD2998" s="562"/>
      <c r="OZE2998" s="125"/>
      <c r="OZF2998" s="470"/>
      <c r="OZG2998" s="449"/>
      <c r="OZH2998" s="462"/>
      <c r="OZI2998" s="299"/>
      <c r="OZJ2998" s="81"/>
      <c r="OZK2998" s="160"/>
      <c r="OZL2998" s="562"/>
      <c r="OZM2998" s="125"/>
      <c r="OZN2998" s="470"/>
      <c r="OZO2998" s="449"/>
      <c r="OZP2998" s="462"/>
      <c r="OZQ2998" s="299"/>
      <c r="OZR2998" s="81"/>
      <c r="OZS2998" s="160"/>
      <c r="OZT2998" s="562"/>
      <c r="OZU2998" s="125"/>
      <c r="OZV2998" s="470"/>
      <c r="OZW2998" s="449"/>
      <c r="OZX2998" s="462"/>
      <c r="OZY2998" s="299"/>
      <c r="OZZ2998" s="81"/>
      <c r="PAA2998" s="160"/>
      <c r="PAB2998" s="562"/>
      <c r="PAC2998" s="125"/>
      <c r="PAD2998" s="470"/>
      <c r="PAE2998" s="449"/>
      <c r="PAF2998" s="462"/>
      <c r="PAG2998" s="299"/>
      <c r="PAH2998" s="81"/>
      <c r="PAI2998" s="160"/>
      <c r="PAJ2998" s="562"/>
      <c r="PAK2998" s="125"/>
      <c r="PAL2998" s="470"/>
      <c r="PAM2998" s="449"/>
      <c r="PAN2998" s="462"/>
      <c r="PAO2998" s="299"/>
      <c r="PAP2998" s="81"/>
      <c r="PAQ2998" s="160"/>
      <c r="PAR2998" s="562"/>
      <c r="PAS2998" s="125"/>
      <c r="PAT2998" s="470"/>
      <c r="PAU2998" s="449"/>
      <c r="PAV2998" s="462"/>
      <c r="PAW2998" s="299"/>
      <c r="PAX2998" s="81"/>
      <c r="PAY2998" s="160"/>
      <c r="PAZ2998" s="562"/>
      <c r="PBA2998" s="125"/>
      <c r="PBB2998" s="470"/>
      <c r="PBC2998" s="449"/>
      <c r="PBD2998" s="462"/>
      <c r="PBE2998" s="299"/>
      <c r="PBF2998" s="81"/>
      <c r="PBG2998" s="160"/>
      <c r="PBH2998" s="562"/>
      <c r="PBI2998" s="125"/>
      <c r="PBJ2998" s="470"/>
      <c r="PBK2998" s="449"/>
      <c r="PBL2998" s="462"/>
      <c r="PBM2998" s="299"/>
      <c r="PBN2998" s="81"/>
      <c r="PBO2998" s="160"/>
      <c r="PBP2998" s="562"/>
      <c r="PBQ2998" s="125"/>
      <c r="PBR2998" s="470"/>
      <c r="PBS2998" s="449"/>
      <c r="PBT2998" s="462"/>
      <c r="PBU2998" s="299"/>
      <c r="PBV2998" s="81"/>
      <c r="PBW2998" s="160"/>
      <c r="PBX2998" s="562"/>
      <c r="PBY2998" s="125"/>
      <c r="PBZ2998" s="470"/>
      <c r="PCA2998" s="449"/>
      <c r="PCB2998" s="462"/>
      <c r="PCC2998" s="299"/>
      <c r="PCD2998" s="81"/>
      <c r="PCE2998" s="160"/>
      <c r="PCF2998" s="562"/>
      <c r="PCG2998" s="125"/>
      <c r="PCH2998" s="470"/>
      <c r="PCI2998" s="449"/>
      <c r="PCJ2998" s="462"/>
      <c r="PCK2998" s="299"/>
      <c r="PCL2998" s="81"/>
      <c r="PCM2998" s="160"/>
      <c r="PCN2998" s="562"/>
      <c r="PCO2998" s="125"/>
      <c r="PCP2998" s="470"/>
      <c r="PCQ2998" s="449"/>
      <c r="PCR2998" s="462"/>
      <c r="PCS2998" s="299"/>
      <c r="PCT2998" s="81"/>
      <c r="PCU2998" s="160"/>
      <c r="PCV2998" s="562"/>
      <c r="PCW2998" s="125"/>
      <c r="PCX2998" s="470"/>
      <c r="PCY2998" s="449"/>
      <c r="PCZ2998" s="462"/>
      <c r="PDA2998" s="299"/>
      <c r="PDB2998" s="81"/>
      <c r="PDC2998" s="160"/>
      <c r="PDD2998" s="562"/>
      <c r="PDE2998" s="125"/>
      <c r="PDF2998" s="470"/>
      <c r="PDG2998" s="449"/>
      <c r="PDH2998" s="462"/>
      <c r="PDI2998" s="299"/>
      <c r="PDJ2998" s="81"/>
      <c r="PDK2998" s="160"/>
      <c r="PDL2998" s="562"/>
      <c r="PDM2998" s="125"/>
      <c r="PDN2998" s="470"/>
      <c r="PDO2998" s="449"/>
      <c r="PDP2998" s="462"/>
      <c r="PDQ2998" s="299"/>
      <c r="PDR2998" s="81"/>
      <c r="PDS2998" s="160"/>
      <c r="PDT2998" s="562"/>
      <c r="PDU2998" s="125"/>
      <c r="PDV2998" s="470"/>
      <c r="PDW2998" s="449"/>
      <c r="PDX2998" s="462"/>
      <c r="PDY2998" s="299"/>
      <c r="PDZ2998" s="81"/>
      <c r="PEA2998" s="160"/>
      <c r="PEB2998" s="562"/>
      <c r="PEC2998" s="125"/>
      <c r="PED2998" s="470"/>
      <c r="PEE2998" s="449"/>
      <c r="PEF2998" s="462"/>
      <c r="PEG2998" s="299"/>
      <c r="PEH2998" s="81"/>
      <c r="PEI2998" s="160"/>
      <c r="PEJ2998" s="562"/>
      <c r="PEK2998" s="125"/>
      <c r="PEL2998" s="470"/>
      <c r="PEM2998" s="449"/>
      <c r="PEN2998" s="462"/>
      <c r="PEO2998" s="299"/>
      <c r="PEP2998" s="81"/>
      <c r="PEQ2998" s="160"/>
      <c r="PER2998" s="562"/>
      <c r="PES2998" s="125"/>
      <c r="PET2998" s="470"/>
      <c r="PEU2998" s="449"/>
      <c r="PEV2998" s="462"/>
      <c r="PEW2998" s="299"/>
      <c r="PEX2998" s="81"/>
      <c r="PEY2998" s="160"/>
      <c r="PEZ2998" s="562"/>
      <c r="PFA2998" s="125"/>
      <c r="PFB2998" s="470"/>
      <c r="PFC2998" s="449"/>
      <c r="PFD2998" s="462"/>
      <c r="PFE2998" s="299"/>
      <c r="PFF2998" s="81"/>
      <c r="PFG2998" s="160"/>
      <c r="PFH2998" s="562"/>
      <c r="PFI2998" s="125"/>
      <c r="PFJ2998" s="470"/>
      <c r="PFK2998" s="449"/>
      <c r="PFL2998" s="462"/>
      <c r="PFM2998" s="299"/>
      <c r="PFN2998" s="81"/>
      <c r="PFO2998" s="160"/>
      <c r="PFP2998" s="562"/>
      <c r="PFQ2998" s="125"/>
      <c r="PFR2998" s="470"/>
      <c r="PFS2998" s="449"/>
      <c r="PFT2998" s="462"/>
      <c r="PFU2998" s="299"/>
      <c r="PFV2998" s="81"/>
      <c r="PFW2998" s="160"/>
      <c r="PFX2998" s="562"/>
      <c r="PFY2998" s="125"/>
      <c r="PFZ2998" s="470"/>
      <c r="PGA2998" s="449"/>
      <c r="PGB2998" s="462"/>
      <c r="PGC2998" s="299"/>
      <c r="PGD2998" s="81"/>
      <c r="PGE2998" s="160"/>
      <c r="PGF2998" s="562"/>
      <c r="PGG2998" s="125"/>
      <c r="PGH2998" s="470"/>
      <c r="PGI2998" s="449"/>
      <c r="PGJ2998" s="462"/>
      <c r="PGK2998" s="299"/>
      <c r="PGL2998" s="81"/>
      <c r="PGM2998" s="160"/>
      <c r="PGN2998" s="562"/>
      <c r="PGO2998" s="125"/>
      <c r="PGP2998" s="470"/>
      <c r="PGQ2998" s="449"/>
      <c r="PGR2998" s="462"/>
      <c r="PGS2998" s="299"/>
      <c r="PGT2998" s="81"/>
      <c r="PGU2998" s="160"/>
      <c r="PGV2998" s="562"/>
      <c r="PGW2998" s="125"/>
      <c r="PGX2998" s="470"/>
      <c r="PGY2998" s="449"/>
      <c r="PGZ2998" s="462"/>
      <c r="PHA2998" s="299"/>
      <c r="PHB2998" s="81"/>
      <c r="PHC2998" s="160"/>
      <c r="PHD2998" s="562"/>
      <c r="PHE2998" s="125"/>
      <c r="PHF2998" s="470"/>
      <c r="PHG2998" s="449"/>
      <c r="PHH2998" s="462"/>
      <c r="PHI2998" s="299"/>
      <c r="PHJ2998" s="81"/>
      <c r="PHK2998" s="160"/>
      <c r="PHL2998" s="562"/>
      <c r="PHM2998" s="125"/>
      <c r="PHN2998" s="470"/>
      <c r="PHO2998" s="449"/>
      <c r="PHP2998" s="462"/>
      <c r="PHQ2998" s="299"/>
      <c r="PHR2998" s="81"/>
      <c r="PHS2998" s="160"/>
      <c r="PHT2998" s="562"/>
      <c r="PHU2998" s="125"/>
      <c r="PHV2998" s="470"/>
      <c r="PHW2998" s="449"/>
      <c r="PHX2998" s="462"/>
      <c r="PHY2998" s="299"/>
      <c r="PHZ2998" s="81"/>
      <c r="PIA2998" s="160"/>
      <c r="PIB2998" s="562"/>
      <c r="PIC2998" s="125"/>
      <c r="PID2998" s="470"/>
      <c r="PIE2998" s="449"/>
      <c r="PIF2998" s="462"/>
      <c r="PIG2998" s="299"/>
      <c r="PIH2998" s="81"/>
      <c r="PII2998" s="160"/>
      <c r="PIJ2998" s="562"/>
      <c r="PIK2998" s="125"/>
      <c r="PIL2998" s="470"/>
      <c r="PIM2998" s="449"/>
      <c r="PIN2998" s="462"/>
      <c r="PIO2998" s="299"/>
      <c r="PIP2998" s="81"/>
      <c r="PIQ2998" s="160"/>
      <c r="PIR2998" s="562"/>
      <c r="PIS2998" s="125"/>
      <c r="PIT2998" s="470"/>
      <c r="PIU2998" s="449"/>
      <c r="PIV2998" s="462"/>
      <c r="PIW2998" s="299"/>
      <c r="PIX2998" s="81"/>
      <c r="PIY2998" s="160"/>
      <c r="PIZ2998" s="562"/>
      <c r="PJA2998" s="125"/>
      <c r="PJB2998" s="470"/>
      <c r="PJC2998" s="449"/>
      <c r="PJD2998" s="462"/>
      <c r="PJE2998" s="299"/>
      <c r="PJF2998" s="81"/>
      <c r="PJG2998" s="160"/>
      <c r="PJH2998" s="562"/>
      <c r="PJI2998" s="125"/>
      <c r="PJJ2998" s="470"/>
      <c r="PJK2998" s="449"/>
      <c r="PJL2998" s="462"/>
      <c r="PJM2998" s="299"/>
      <c r="PJN2998" s="81"/>
      <c r="PJO2998" s="160"/>
      <c r="PJP2998" s="562"/>
      <c r="PJQ2998" s="125"/>
      <c r="PJR2998" s="470"/>
      <c r="PJS2998" s="449"/>
      <c r="PJT2998" s="462"/>
      <c r="PJU2998" s="299"/>
      <c r="PJV2998" s="81"/>
      <c r="PJW2998" s="160"/>
      <c r="PJX2998" s="562"/>
      <c r="PJY2998" s="125"/>
      <c r="PJZ2998" s="470"/>
      <c r="PKA2998" s="449"/>
      <c r="PKB2998" s="462"/>
      <c r="PKC2998" s="299"/>
      <c r="PKD2998" s="81"/>
      <c r="PKE2998" s="160"/>
      <c r="PKF2998" s="562"/>
      <c r="PKG2998" s="125"/>
      <c r="PKH2998" s="470"/>
      <c r="PKI2998" s="449"/>
      <c r="PKJ2998" s="462"/>
      <c r="PKK2998" s="299"/>
      <c r="PKL2998" s="81"/>
      <c r="PKM2998" s="160"/>
      <c r="PKN2998" s="562"/>
      <c r="PKO2998" s="125"/>
      <c r="PKP2998" s="470"/>
      <c r="PKQ2998" s="449"/>
      <c r="PKR2998" s="462"/>
      <c r="PKS2998" s="299"/>
      <c r="PKT2998" s="81"/>
      <c r="PKU2998" s="160"/>
      <c r="PKV2998" s="562"/>
      <c r="PKW2998" s="125"/>
      <c r="PKX2998" s="470"/>
      <c r="PKY2998" s="449"/>
      <c r="PKZ2998" s="462"/>
      <c r="PLA2998" s="299"/>
      <c r="PLB2998" s="81"/>
      <c r="PLC2998" s="160"/>
      <c r="PLD2998" s="562"/>
      <c r="PLE2998" s="125"/>
      <c r="PLF2998" s="470"/>
      <c r="PLG2998" s="449"/>
      <c r="PLH2998" s="462"/>
      <c r="PLI2998" s="299"/>
      <c r="PLJ2998" s="81"/>
      <c r="PLK2998" s="160"/>
      <c r="PLL2998" s="562"/>
      <c r="PLM2998" s="125"/>
      <c r="PLN2998" s="470"/>
      <c r="PLO2998" s="449"/>
      <c r="PLP2998" s="462"/>
      <c r="PLQ2998" s="299"/>
      <c r="PLR2998" s="81"/>
      <c r="PLS2998" s="160"/>
      <c r="PLT2998" s="562"/>
      <c r="PLU2998" s="125"/>
      <c r="PLV2998" s="470"/>
      <c r="PLW2998" s="449"/>
      <c r="PLX2998" s="462"/>
      <c r="PLY2998" s="299"/>
      <c r="PLZ2998" s="81"/>
      <c r="PMA2998" s="160"/>
      <c r="PMB2998" s="562"/>
      <c r="PMC2998" s="125"/>
      <c r="PMD2998" s="470"/>
      <c r="PME2998" s="449"/>
      <c r="PMF2998" s="462"/>
      <c r="PMG2998" s="299"/>
      <c r="PMH2998" s="81"/>
      <c r="PMI2998" s="160"/>
      <c r="PMJ2998" s="562"/>
      <c r="PMK2998" s="125"/>
      <c r="PML2998" s="470"/>
      <c r="PMM2998" s="449"/>
      <c r="PMN2998" s="462"/>
      <c r="PMO2998" s="299"/>
      <c r="PMP2998" s="81"/>
      <c r="PMQ2998" s="160"/>
      <c r="PMR2998" s="562"/>
      <c r="PMS2998" s="125"/>
      <c r="PMT2998" s="470"/>
      <c r="PMU2998" s="449"/>
      <c r="PMV2998" s="462"/>
      <c r="PMW2998" s="299"/>
      <c r="PMX2998" s="81"/>
      <c r="PMY2998" s="160"/>
      <c r="PMZ2998" s="562"/>
      <c r="PNA2998" s="125"/>
      <c r="PNB2998" s="470"/>
      <c r="PNC2998" s="449"/>
      <c r="PND2998" s="462"/>
      <c r="PNE2998" s="299"/>
      <c r="PNF2998" s="81"/>
      <c r="PNG2998" s="160"/>
      <c r="PNH2998" s="562"/>
      <c r="PNI2998" s="125"/>
      <c r="PNJ2998" s="470"/>
      <c r="PNK2998" s="449"/>
      <c r="PNL2998" s="462"/>
      <c r="PNM2998" s="299"/>
      <c r="PNN2998" s="81"/>
      <c r="PNO2998" s="160"/>
      <c r="PNP2998" s="562"/>
      <c r="PNQ2998" s="125"/>
      <c r="PNR2998" s="470"/>
      <c r="PNS2998" s="449"/>
      <c r="PNT2998" s="462"/>
      <c r="PNU2998" s="299"/>
      <c r="PNV2998" s="81"/>
      <c r="PNW2998" s="160"/>
      <c r="PNX2998" s="562"/>
      <c r="PNY2998" s="125"/>
      <c r="PNZ2998" s="470"/>
      <c r="POA2998" s="449"/>
      <c r="POB2998" s="462"/>
      <c r="POC2998" s="299"/>
      <c r="POD2998" s="81"/>
      <c r="POE2998" s="160"/>
      <c r="POF2998" s="562"/>
      <c r="POG2998" s="125"/>
      <c r="POH2998" s="470"/>
      <c r="POI2998" s="449"/>
      <c r="POJ2998" s="462"/>
      <c r="POK2998" s="299"/>
      <c r="POL2998" s="81"/>
      <c r="POM2998" s="160"/>
      <c r="PON2998" s="562"/>
      <c r="POO2998" s="125"/>
      <c r="POP2998" s="470"/>
      <c r="POQ2998" s="449"/>
      <c r="POR2998" s="462"/>
      <c r="POS2998" s="299"/>
      <c r="POT2998" s="81"/>
      <c r="POU2998" s="160"/>
      <c r="POV2998" s="562"/>
      <c r="POW2998" s="125"/>
      <c r="POX2998" s="470"/>
      <c r="POY2998" s="449"/>
      <c r="POZ2998" s="462"/>
      <c r="PPA2998" s="299"/>
      <c r="PPB2998" s="81"/>
      <c r="PPC2998" s="160"/>
      <c r="PPD2998" s="562"/>
      <c r="PPE2998" s="125"/>
      <c r="PPF2998" s="470"/>
      <c r="PPG2998" s="449"/>
      <c r="PPH2998" s="462"/>
      <c r="PPI2998" s="299"/>
      <c r="PPJ2998" s="81"/>
      <c r="PPK2998" s="160"/>
      <c r="PPL2998" s="562"/>
      <c r="PPM2998" s="125"/>
      <c r="PPN2998" s="470"/>
      <c r="PPO2998" s="449"/>
      <c r="PPP2998" s="462"/>
      <c r="PPQ2998" s="299"/>
      <c r="PPR2998" s="81"/>
      <c r="PPS2998" s="160"/>
      <c r="PPT2998" s="562"/>
      <c r="PPU2998" s="125"/>
      <c r="PPV2998" s="470"/>
      <c r="PPW2998" s="449"/>
      <c r="PPX2998" s="462"/>
      <c r="PPY2998" s="299"/>
      <c r="PPZ2998" s="81"/>
      <c r="PQA2998" s="160"/>
      <c r="PQB2998" s="562"/>
      <c r="PQC2998" s="125"/>
      <c r="PQD2998" s="470"/>
      <c r="PQE2998" s="449"/>
      <c r="PQF2998" s="462"/>
      <c r="PQG2998" s="299"/>
      <c r="PQH2998" s="81"/>
      <c r="PQI2998" s="160"/>
      <c r="PQJ2998" s="562"/>
      <c r="PQK2998" s="125"/>
      <c r="PQL2998" s="470"/>
      <c r="PQM2998" s="449"/>
      <c r="PQN2998" s="462"/>
      <c r="PQO2998" s="299"/>
      <c r="PQP2998" s="81"/>
      <c r="PQQ2998" s="160"/>
      <c r="PQR2998" s="562"/>
      <c r="PQS2998" s="125"/>
      <c r="PQT2998" s="470"/>
      <c r="PQU2998" s="449"/>
      <c r="PQV2998" s="462"/>
      <c r="PQW2998" s="299"/>
      <c r="PQX2998" s="81"/>
      <c r="PQY2998" s="160"/>
      <c r="PQZ2998" s="562"/>
      <c r="PRA2998" s="125"/>
      <c r="PRB2998" s="470"/>
      <c r="PRC2998" s="449"/>
      <c r="PRD2998" s="462"/>
      <c r="PRE2998" s="299"/>
      <c r="PRF2998" s="81"/>
      <c r="PRG2998" s="160"/>
      <c r="PRH2998" s="562"/>
      <c r="PRI2998" s="125"/>
      <c r="PRJ2998" s="470"/>
      <c r="PRK2998" s="449"/>
      <c r="PRL2998" s="462"/>
      <c r="PRM2998" s="299"/>
      <c r="PRN2998" s="81"/>
      <c r="PRO2998" s="160"/>
      <c r="PRP2998" s="562"/>
      <c r="PRQ2998" s="125"/>
      <c r="PRR2998" s="470"/>
      <c r="PRS2998" s="449"/>
      <c r="PRT2998" s="462"/>
      <c r="PRU2998" s="299"/>
      <c r="PRV2998" s="81"/>
      <c r="PRW2998" s="160"/>
      <c r="PRX2998" s="562"/>
      <c r="PRY2998" s="125"/>
      <c r="PRZ2998" s="470"/>
      <c r="PSA2998" s="449"/>
      <c r="PSB2998" s="462"/>
      <c r="PSC2998" s="299"/>
      <c r="PSD2998" s="81"/>
      <c r="PSE2998" s="160"/>
      <c r="PSF2998" s="562"/>
      <c r="PSG2998" s="125"/>
      <c r="PSH2998" s="470"/>
      <c r="PSI2998" s="449"/>
      <c r="PSJ2998" s="462"/>
      <c r="PSK2998" s="299"/>
      <c r="PSL2998" s="81"/>
      <c r="PSM2998" s="160"/>
      <c r="PSN2998" s="562"/>
      <c r="PSO2998" s="125"/>
      <c r="PSP2998" s="470"/>
      <c r="PSQ2998" s="449"/>
      <c r="PSR2998" s="462"/>
      <c r="PSS2998" s="299"/>
      <c r="PST2998" s="81"/>
      <c r="PSU2998" s="160"/>
      <c r="PSV2998" s="562"/>
      <c r="PSW2998" s="125"/>
      <c r="PSX2998" s="470"/>
      <c r="PSY2998" s="449"/>
      <c r="PSZ2998" s="462"/>
      <c r="PTA2998" s="299"/>
      <c r="PTB2998" s="81"/>
      <c r="PTC2998" s="160"/>
      <c r="PTD2998" s="562"/>
      <c r="PTE2998" s="125"/>
      <c r="PTF2998" s="470"/>
      <c r="PTG2998" s="449"/>
      <c r="PTH2998" s="462"/>
      <c r="PTI2998" s="299"/>
      <c r="PTJ2998" s="81"/>
      <c r="PTK2998" s="160"/>
      <c r="PTL2998" s="562"/>
      <c r="PTM2998" s="125"/>
      <c r="PTN2998" s="470"/>
      <c r="PTO2998" s="449"/>
      <c r="PTP2998" s="462"/>
      <c r="PTQ2998" s="299"/>
      <c r="PTR2998" s="81"/>
      <c r="PTS2998" s="160"/>
      <c r="PTT2998" s="562"/>
      <c r="PTU2998" s="125"/>
      <c r="PTV2998" s="470"/>
      <c r="PTW2998" s="449"/>
      <c r="PTX2998" s="462"/>
      <c r="PTY2998" s="299"/>
      <c r="PTZ2998" s="81"/>
      <c r="PUA2998" s="160"/>
      <c r="PUB2998" s="562"/>
      <c r="PUC2998" s="125"/>
      <c r="PUD2998" s="470"/>
      <c r="PUE2998" s="449"/>
      <c r="PUF2998" s="462"/>
      <c r="PUG2998" s="299"/>
      <c r="PUH2998" s="81"/>
      <c r="PUI2998" s="160"/>
      <c r="PUJ2998" s="562"/>
      <c r="PUK2998" s="125"/>
      <c r="PUL2998" s="470"/>
      <c r="PUM2998" s="449"/>
      <c r="PUN2998" s="462"/>
      <c r="PUO2998" s="299"/>
      <c r="PUP2998" s="81"/>
      <c r="PUQ2998" s="160"/>
      <c r="PUR2998" s="562"/>
      <c r="PUS2998" s="125"/>
      <c r="PUT2998" s="470"/>
      <c r="PUU2998" s="449"/>
      <c r="PUV2998" s="462"/>
      <c r="PUW2998" s="299"/>
      <c r="PUX2998" s="81"/>
      <c r="PUY2998" s="160"/>
      <c r="PUZ2998" s="562"/>
      <c r="PVA2998" s="125"/>
      <c r="PVB2998" s="470"/>
      <c r="PVC2998" s="449"/>
      <c r="PVD2998" s="462"/>
      <c r="PVE2998" s="299"/>
      <c r="PVF2998" s="81"/>
      <c r="PVG2998" s="160"/>
      <c r="PVH2998" s="562"/>
      <c r="PVI2998" s="125"/>
      <c r="PVJ2998" s="470"/>
      <c r="PVK2998" s="449"/>
      <c r="PVL2998" s="462"/>
      <c r="PVM2998" s="299"/>
      <c r="PVN2998" s="81"/>
      <c r="PVO2998" s="160"/>
      <c r="PVP2998" s="562"/>
      <c r="PVQ2998" s="125"/>
      <c r="PVR2998" s="470"/>
      <c r="PVS2998" s="449"/>
      <c r="PVT2998" s="462"/>
      <c r="PVU2998" s="299"/>
      <c r="PVV2998" s="81"/>
      <c r="PVW2998" s="160"/>
      <c r="PVX2998" s="562"/>
      <c r="PVY2998" s="125"/>
      <c r="PVZ2998" s="470"/>
      <c r="PWA2998" s="449"/>
      <c r="PWB2998" s="462"/>
      <c r="PWC2998" s="299"/>
      <c r="PWD2998" s="81"/>
      <c r="PWE2998" s="160"/>
      <c r="PWF2998" s="562"/>
      <c r="PWG2998" s="125"/>
      <c r="PWH2998" s="470"/>
      <c r="PWI2998" s="449"/>
      <c r="PWJ2998" s="462"/>
      <c r="PWK2998" s="299"/>
      <c r="PWL2998" s="81"/>
      <c r="PWM2998" s="160"/>
      <c r="PWN2998" s="562"/>
      <c r="PWO2998" s="125"/>
      <c r="PWP2998" s="470"/>
      <c r="PWQ2998" s="449"/>
      <c r="PWR2998" s="462"/>
      <c r="PWS2998" s="299"/>
      <c r="PWT2998" s="81"/>
      <c r="PWU2998" s="160"/>
      <c r="PWV2998" s="562"/>
      <c r="PWW2998" s="125"/>
      <c r="PWX2998" s="470"/>
      <c r="PWY2998" s="449"/>
      <c r="PWZ2998" s="462"/>
      <c r="PXA2998" s="299"/>
      <c r="PXB2998" s="81"/>
      <c r="PXC2998" s="160"/>
      <c r="PXD2998" s="562"/>
      <c r="PXE2998" s="125"/>
      <c r="PXF2998" s="470"/>
      <c r="PXG2998" s="449"/>
      <c r="PXH2998" s="462"/>
      <c r="PXI2998" s="299"/>
      <c r="PXJ2998" s="81"/>
      <c r="PXK2998" s="160"/>
      <c r="PXL2998" s="562"/>
      <c r="PXM2998" s="125"/>
      <c r="PXN2998" s="470"/>
      <c r="PXO2998" s="449"/>
      <c r="PXP2998" s="462"/>
      <c r="PXQ2998" s="299"/>
      <c r="PXR2998" s="81"/>
      <c r="PXS2998" s="160"/>
      <c r="PXT2998" s="562"/>
      <c r="PXU2998" s="125"/>
      <c r="PXV2998" s="470"/>
      <c r="PXW2998" s="449"/>
      <c r="PXX2998" s="462"/>
      <c r="PXY2998" s="299"/>
      <c r="PXZ2998" s="81"/>
      <c r="PYA2998" s="160"/>
      <c r="PYB2998" s="562"/>
      <c r="PYC2998" s="125"/>
      <c r="PYD2998" s="470"/>
      <c r="PYE2998" s="449"/>
      <c r="PYF2998" s="462"/>
      <c r="PYG2998" s="299"/>
      <c r="PYH2998" s="81"/>
      <c r="PYI2998" s="160"/>
      <c r="PYJ2998" s="562"/>
      <c r="PYK2998" s="125"/>
      <c r="PYL2998" s="470"/>
      <c r="PYM2998" s="449"/>
      <c r="PYN2998" s="462"/>
      <c r="PYO2998" s="299"/>
      <c r="PYP2998" s="81"/>
      <c r="PYQ2998" s="160"/>
      <c r="PYR2998" s="562"/>
      <c r="PYS2998" s="125"/>
      <c r="PYT2998" s="470"/>
      <c r="PYU2998" s="449"/>
      <c r="PYV2998" s="462"/>
      <c r="PYW2998" s="299"/>
      <c r="PYX2998" s="81"/>
      <c r="PYY2998" s="160"/>
      <c r="PYZ2998" s="562"/>
      <c r="PZA2998" s="125"/>
      <c r="PZB2998" s="470"/>
      <c r="PZC2998" s="449"/>
      <c r="PZD2998" s="462"/>
      <c r="PZE2998" s="299"/>
      <c r="PZF2998" s="81"/>
      <c r="PZG2998" s="160"/>
      <c r="PZH2998" s="562"/>
      <c r="PZI2998" s="125"/>
      <c r="PZJ2998" s="470"/>
      <c r="PZK2998" s="449"/>
      <c r="PZL2998" s="462"/>
      <c r="PZM2998" s="299"/>
      <c r="PZN2998" s="81"/>
      <c r="PZO2998" s="160"/>
      <c r="PZP2998" s="562"/>
      <c r="PZQ2998" s="125"/>
      <c r="PZR2998" s="470"/>
      <c r="PZS2998" s="449"/>
      <c r="PZT2998" s="462"/>
      <c r="PZU2998" s="299"/>
      <c r="PZV2998" s="81"/>
      <c r="PZW2998" s="160"/>
      <c r="PZX2998" s="562"/>
      <c r="PZY2998" s="125"/>
      <c r="PZZ2998" s="470"/>
      <c r="QAA2998" s="449"/>
      <c r="QAB2998" s="462"/>
      <c r="QAC2998" s="299"/>
      <c r="QAD2998" s="81"/>
      <c r="QAE2998" s="160"/>
      <c r="QAF2998" s="562"/>
      <c r="QAG2998" s="125"/>
      <c r="QAH2998" s="470"/>
      <c r="QAI2998" s="449"/>
      <c r="QAJ2998" s="462"/>
      <c r="QAK2998" s="299"/>
      <c r="QAL2998" s="81"/>
      <c r="QAM2998" s="160"/>
      <c r="QAN2998" s="562"/>
      <c r="QAO2998" s="125"/>
      <c r="QAP2998" s="470"/>
      <c r="QAQ2998" s="449"/>
      <c r="QAR2998" s="462"/>
      <c r="QAS2998" s="299"/>
      <c r="QAT2998" s="81"/>
      <c r="QAU2998" s="160"/>
      <c r="QAV2998" s="562"/>
      <c r="QAW2998" s="125"/>
      <c r="QAX2998" s="470"/>
      <c r="QAY2998" s="449"/>
      <c r="QAZ2998" s="462"/>
      <c r="QBA2998" s="299"/>
      <c r="QBB2998" s="81"/>
      <c r="QBC2998" s="160"/>
      <c r="QBD2998" s="562"/>
      <c r="QBE2998" s="125"/>
      <c r="QBF2998" s="470"/>
      <c r="QBG2998" s="449"/>
      <c r="QBH2998" s="462"/>
      <c r="QBI2998" s="299"/>
      <c r="QBJ2998" s="81"/>
      <c r="QBK2998" s="160"/>
      <c r="QBL2998" s="562"/>
      <c r="QBM2998" s="125"/>
      <c r="QBN2998" s="470"/>
      <c r="QBO2998" s="449"/>
      <c r="QBP2998" s="462"/>
      <c r="QBQ2998" s="299"/>
      <c r="QBR2998" s="81"/>
      <c r="QBS2998" s="160"/>
      <c r="QBT2998" s="562"/>
      <c r="QBU2998" s="125"/>
      <c r="QBV2998" s="470"/>
      <c r="QBW2998" s="449"/>
      <c r="QBX2998" s="462"/>
      <c r="QBY2998" s="299"/>
      <c r="QBZ2998" s="81"/>
      <c r="QCA2998" s="160"/>
      <c r="QCB2998" s="562"/>
      <c r="QCC2998" s="125"/>
      <c r="QCD2998" s="470"/>
      <c r="QCE2998" s="449"/>
      <c r="QCF2998" s="462"/>
      <c r="QCG2998" s="299"/>
      <c r="QCH2998" s="81"/>
      <c r="QCI2998" s="160"/>
      <c r="QCJ2998" s="562"/>
      <c r="QCK2998" s="125"/>
      <c r="QCL2998" s="470"/>
      <c r="QCM2998" s="449"/>
      <c r="QCN2998" s="462"/>
      <c r="QCO2998" s="299"/>
      <c r="QCP2998" s="81"/>
      <c r="QCQ2998" s="160"/>
      <c r="QCR2998" s="562"/>
      <c r="QCS2998" s="125"/>
      <c r="QCT2998" s="470"/>
      <c r="QCU2998" s="449"/>
      <c r="QCV2998" s="462"/>
      <c r="QCW2998" s="299"/>
      <c r="QCX2998" s="81"/>
      <c r="QCY2998" s="160"/>
      <c r="QCZ2998" s="562"/>
      <c r="QDA2998" s="125"/>
      <c r="QDB2998" s="470"/>
      <c r="QDC2998" s="449"/>
      <c r="QDD2998" s="462"/>
      <c r="QDE2998" s="299"/>
      <c r="QDF2998" s="81"/>
      <c r="QDG2998" s="160"/>
      <c r="QDH2998" s="562"/>
      <c r="QDI2998" s="125"/>
      <c r="QDJ2998" s="470"/>
      <c r="QDK2998" s="449"/>
      <c r="QDL2998" s="462"/>
      <c r="QDM2998" s="299"/>
      <c r="QDN2998" s="81"/>
      <c r="QDO2998" s="160"/>
      <c r="QDP2998" s="562"/>
      <c r="QDQ2998" s="125"/>
      <c r="QDR2998" s="470"/>
      <c r="QDS2998" s="449"/>
      <c r="QDT2998" s="462"/>
      <c r="QDU2998" s="299"/>
      <c r="QDV2998" s="81"/>
      <c r="QDW2998" s="160"/>
      <c r="QDX2998" s="562"/>
      <c r="QDY2998" s="125"/>
      <c r="QDZ2998" s="470"/>
      <c r="QEA2998" s="449"/>
      <c r="QEB2998" s="462"/>
      <c r="QEC2998" s="299"/>
      <c r="QED2998" s="81"/>
      <c r="QEE2998" s="160"/>
      <c r="QEF2998" s="562"/>
      <c r="QEG2998" s="125"/>
      <c r="QEH2998" s="470"/>
      <c r="QEI2998" s="449"/>
      <c r="QEJ2998" s="462"/>
      <c r="QEK2998" s="299"/>
      <c r="QEL2998" s="81"/>
      <c r="QEM2998" s="160"/>
      <c r="QEN2998" s="562"/>
      <c r="QEO2998" s="125"/>
      <c r="QEP2998" s="470"/>
      <c r="QEQ2998" s="449"/>
      <c r="QER2998" s="462"/>
      <c r="QES2998" s="299"/>
      <c r="QET2998" s="81"/>
      <c r="QEU2998" s="160"/>
      <c r="QEV2998" s="562"/>
      <c r="QEW2998" s="125"/>
      <c r="QEX2998" s="470"/>
      <c r="QEY2998" s="449"/>
      <c r="QEZ2998" s="462"/>
      <c r="QFA2998" s="299"/>
      <c r="QFB2998" s="81"/>
      <c r="QFC2998" s="160"/>
      <c r="QFD2998" s="562"/>
      <c r="QFE2998" s="125"/>
      <c r="QFF2998" s="470"/>
      <c r="QFG2998" s="449"/>
      <c r="QFH2998" s="462"/>
      <c r="QFI2998" s="299"/>
      <c r="QFJ2998" s="81"/>
      <c r="QFK2998" s="160"/>
      <c r="QFL2998" s="562"/>
      <c r="QFM2998" s="125"/>
      <c r="QFN2998" s="470"/>
      <c r="QFO2998" s="449"/>
      <c r="QFP2998" s="462"/>
      <c r="QFQ2998" s="299"/>
      <c r="QFR2998" s="81"/>
      <c r="QFS2998" s="160"/>
      <c r="QFT2998" s="562"/>
      <c r="QFU2998" s="125"/>
      <c r="QFV2998" s="470"/>
      <c r="QFW2998" s="449"/>
      <c r="QFX2998" s="462"/>
      <c r="QFY2998" s="299"/>
      <c r="QFZ2998" s="81"/>
      <c r="QGA2998" s="160"/>
      <c r="QGB2998" s="562"/>
      <c r="QGC2998" s="125"/>
      <c r="QGD2998" s="470"/>
      <c r="QGE2998" s="449"/>
      <c r="QGF2998" s="462"/>
      <c r="QGG2998" s="299"/>
      <c r="QGH2998" s="81"/>
      <c r="QGI2998" s="160"/>
      <c r="QGJ2998" s="562"/>
      <c r="QGK2998" s="125"/>
      <c r="QGL2998" s="470"/>
      <c r="QGM2998" s="449"/>
      <c r="QGN2998" s="462"/>
      <c r="QGO2998" s="299"/>
      <c r="QGP2998" s="81"/>
      <c r="QGQ2998" s="160"/>
      <c r="QGR2998" s="562"/>
      <c r="QGS2998" s="125"/>
      <c r="QGT2998" s="470"/>
      <c r="QGU2998" s="449"/>
      <c r="QGV2998" s="462"/>
      <c r="QGW2998" s="299"/>
      <c r="QGX2998" s="81"/>
      <c r="QGY2998" s="160"/>
      <c r="QGZ2998" s="562"/>
      <c r="QHA2998" s="125"/>
      <c r="QHB2998" s="470"/>
      <c r="QHC2998" s="449"/>
      <c r="QHD2998" s="462"/>
      <c r="QHE2998" s="299"/>
      <c r="QHF2998" s="81"/>
      <c r="QHG2998" s="160"/>
      <c r="QHH2998" s="562"/>
      <c r="QHI2998" s="125"/>
      <c r="QHJ2998" s="470"/>
      <c r="QHK2998" s="449"/>
      <c r="QHL2998" s="462"/>
      <c r="QHM2998" s="299"/>
      <c r="QHN2998" s="81"/>
      <c r="QHO2998" s="160"/>
      <c r="QHP2998" s="562"/>
      <c r="QHQ2998" s="125"/>
      <c r="QHR2998" s="470"/>
      <c r="QHS2998" s="449"/>
      <c r="QHT2998" s="462"/>
      <c r="QHU2998" s="299"/>
      <c r="QHV2998" s="81"/>
      <c r="QHW2998" s="160"/>
      <c r="QHX2998" s="562"/>
      <c r="QHY2998" s="125"/>
      <c r="QHZ2998" s="470"/>
      <c r="QIA2998" s="449"/>
      <c r="QIB2998" s="462"/>
      <c r="QIC2998" s="299"/>
      <c r="QID2998" s="81"/>
      <c r="QIE2998" s="160"/>
      <c r="QIF2998" s="562"/>
      <c r="QIG2998" s="125"/>
      <c r="QIH2998" s="470"/>
      <c r="QII2998" s="449"/>
      <c r="QIJ2998" s="462"/>
      <c r="QIK2998" s="299"/>
      <c r="QIL2998" s="81"/>
      <c r="QIM2998" s="160"/>
      <c r="QIN2998" s="562"/>
      <c r="QIO2998" s="125"/>
      <c r="QIP2998" s="470"/>
      <c r="QIQ2998" s="449"/>
      <c r="QIR2998" s="462"/>
      <c r="QIS2998" s="299"/>
      <c r="QIT2998" s="81"/>
      <c r="QIU2998" s="160"/>
      <c r="QIV2998" s="562"/>
      <c r="QIW2998" s="125"/>
      <c r="QIX2998" s="470"/>
      <c r="QIY2998" s="449"/>
      <c r="QIZ2998" s="462"/>
      <c r="QJA2998" s="299"/>
      <c r="QJB2998" s="81"/>
      <c r="QJC2998" s="160"/>
      <c r="QJD2998" s="562"/>
      <c r="QJE2998" s="125"/>
      <c r="QJF2998" s="470"/>
      <c r="QJG2998" s="449"/>
      <c r="QJH2998" s="462"/>
      <c r="QJI2998" s="299"/>
      <c r="QJJ2998" s="81"/>
      <c r="QJK2998" s="160"/>
      <c r="QJL2998" s="562"/>
      <c r="QJM2998" s="125"/>
      <c r="QJN2998" s="470"/>
      <c r="QJO2998" s="449"/>
      <c r="QJP2998" s="462"/>
      <c r="QJQ2998" s="299"/>
      <c r="QJR2998" s="81"/>
      <c r="QJS2998" s="160"/>
      <c r="QJT2998" s="562"/>
      <c r="QJU2998" s="125"/>
      <c r="QJV2998" s="470"/>
      <c r="QJW2998" s="449"/>
      <c r="QJX2998" s="462"/>
      <c r="QJY2998" s="299"/>
      <c r="QJZ2998" s="81"/>
      <c r="QKA2998" s="160"/>
      <c r="QKB2998" s="562"/>
      <c r="QKC2998" s="125"/>
      <c r="QKD2998" s="470"/>
      <c r="QKE2998" s="449"/>
      <c r="QKF2998" s="462"/>
      <c r="QKG2998" s="299"/>
      <c r="QKH2998" s="81"/>
      <c r="QKI2998" s="160"/>
      <c r="QKJ2998" s="562"/>
      <c r="QKK2998" s="125"/>
      <c r="QKL2998" s="470"/>
      <c r="QKM2998" s="449"/>
      <c r="QKN2998" s="462"/>
      <c r="QKO2998" s="299"/>
      <c r="QKP2998" s="81"/>
      <c r="QKQ2998" s="160"/>
      <c r="QKR2998" s="562"/>
      <c r="QKS2998" s="125"/>
      <c r="QKT2998" s="470"/>
      <c r="QKU2998" s="449"/>
      <c r="QKV2998" s="462"/>
      <c r="QKW2998" s="299"/>
      <c r="QKX2998" s="81"/>
      <c r="QKY2998" s="160"/>
      <c r="QKZ2998" s="562"/>
      <c r="QLA2998" s="125"/>
      <c r="QLB2998" s="470"/>
      <c r="QLC2998" s="449"/>
      <c r="QLD2998" s="462"/>
      <c r="QLE2998" s="299"/>
      <c r="QLF2998" s="81"/>
      <c r="QLG2998" s="160"/>
      <c r="QLH2998" s="562"/>
      <c r="QLI2998" s="125"/>
      <c r="QLJ2998" s="470"/>
      <c r="QLK2998" s="449"/>
      <c r="QLL2998" s="462"/>
      <c r="QLM2998" s="299"/>
      <c r="QLN2998" s="81"/>
      <c r="QLO2998" s="160"/>
      <c r="QLP2998" s="562"/>
      <c r="QLQ2998" s="125"/>
      <c r="QLR2998" s="470"/>
      <c r="QLS2998" s="449"/>
      <c r="QLT2998" s="462"/>
      <c r="QLU2998" s="299"/>
      <c r="QLV2998" s="81"/>
      <c r="QLW2998" s="160"/>
      <c r="QLX2998" s="562"/>
      <c r="QLY2998" s="125"/>
      <c r="QLZ2998" s="470"/>
      <c r="QMA2998" s="449"/>
      <c r="QMB2998" s="462"/>
      <c r="QMC2998" s="299"/>
      <c r="QMD2998" s="81"/>
      <c r="QME2998" s="160"/>
      <c r="QMF2998" s="562"/>
      <c r="QMG2998" s="125"/>
      <c r="QMH2998" s="470"/>
      <c r="QMI2998" s="449"/>
      <c r="QMJ2998" s="462"/>
      <c r="QMK2998" s="299"/>
      <c r="QML2998" s="81"/>
      <c r="QMM2998" s="160"/>
      <c r="QMN2998" s="562"/>
      <c r="QMO2998" s="125"/>
      <c r="QMP2998" s="470"/>
      <c r="QMQ2998" s="449"/>
      <c r="QMR2998" s="462"/>
      <c r="QMS2998" s="299"/>
      <c r="QMT2998" s="81"/>
      <c r="QMU2998" s="160"/>
      <c r="QMV2998" s="562"/>
      <c r="QMW2998" s="125"/>
      <c r="QMX2998" s="470"/>
      <c r="QMY2998" s="449"/>
      <c r="QMZ2998" s="462"/>
      <c r="QNA2998" s="299"/>
      <c r="QNB2998" s="81"/>
      <c r="QNC2998" s="160"/>
      <c r="QND2998" s="562"/>
      <c r="QNE2998" s="125"/>
      <c r="QNF2998" s="470"/>
      <c r="QNG2998" s="449"/>
      <c r="QNH2998" s="462"/>
      <c r="QNI2998" s="299"/>
      <c r="QNJ2998" s="81"/>
      <c r="QNK2998" s="160"/>
      <c r="QNL2998" s="562"/>
      <c r="QNM2998" s="125"/>
      <c r="QNN2998" s="470"/>
      <c r="QNO2998" s="449"/>
      <c r="QNP2998" s="462"/>
      <c r="QNQ2998" s="299"/>
      <c r="QNR2998" s="81"/>
      <c r="QNS2998" s="160"/>
      <c r="QNT2998" s="562"/>
      <c r="QNU2998" s="125"/>
      <c r="QNV2998" s="470"/>
      <c r="QNW2998" s="449"/>
      <c r="QNX2998" s="462"/>
      <c r="QNY2998" s="299"/>
      <c r="QNZ2998" s="81"/>
      <c r="QOA2998" s="160"/>
      <c r="QOB2998" s="562"/>
      <c r="QOC2998" s="125"/>
      <c r="QOD2998" s="470"/>
      <c r="QOE2998" s="449"/>
      <c r="QOF2998" s="462"/>
      <c r="QOG2998" s="299"/>
      <c r="QOH2998" s="81"/>
      <c r="QOI2998" s="160"/>
      <c r="QOJ2998" s="562"/>
      <c r="QOK2998" s="125"/>
      <c r="QOL2998" s="470"/>
      <c r="QOM2998" s="449"/>
      <c r="QON2998" s="462"/>
      <c r="QOO2998" s="299"/>
      <c r="QOP2998" s="81"/>
      <c r="QOQ2998" s="160"/>
      <c r="QOR2998" s="562"/>
      <c r="QOS2998" s="125"/>
      <c r="QOT2998" s="470"/>
      <c r="QOU2998" s="449"/>
      <c r="QOV2998" s="462"/>
      <c r="QOW2998" s="299"/>
      <c r="QOX2998" s="81"/>
      <c r="QOY2998" s="160"/>
      <c r="QOZ2998" s="562"/>
      <c r="QPA2998" s="125"/>
      <c r="QPB2998" s="470"/>
      <c r="QPC2998" s="449"/>
      <c r="QPD2998" s="462"/>
      <c r="QPE2998" s="299"/>
      <c r="QPF2998" s="81"/>
      <c r="QPG2998" s="160"/>
      <c r="QPH2998" s="562"/>
      <c r="QPI2998" s="125"/>
      <c r="QPJ2998" s="470"/>
      <c r="QPK2998" s="449"/>
      <c r="QPL2998" s="462"/>
      <c r="QPM2998" s="299"/>
      <c r="QPN2998" s="81"/>
      <c r="QPO2998" s="160"/>
      <c r="QPP2998" s="562"/>
      <c r="QPQ2998" s="125"/>
      <c r="QPR2998" s="470"/>
      <c r="QPS2998" s="449"/>
      <c r="QPT2998" s="462"/>
      <c r="QPU2998" s="299"/>
      <c r="QPV2998" s="81"/>
      <c r="QPW2998" s="160"/>
      <c r="QPX2998" s="562"/>
      <c r="QPY2998" s="125"/>
      <c r="QPZ2998" s="470"/>
      <c r="QQA2998" s="449"/>
      <c r="QQB2998" s="462"/>
      <c r="QQC2998" s="299"/>
      <c r="QQD2998" s="81"/>
      <c r="QQE2998" s="160"/>
      <c r="QQF2998" s="562"/>
      <c r="QQG2998" s="125"/>
      <c r="QQH2998" s="470"/>
      <c r="QQI2998" s="449"/>
      <c r="QQJ2998" s="462"/>
      <c r="QQK2998" s="299"/>
      <c r="QQL2998" s="81"/>
      <c r="QQM2998" s="160"/>
      <c r="QQN2998" s="562"/>
      <c r="QQO2998" s="125"/>
      <c r="QQP2998" s="470"/>
      <c r="QQQ2998" s="449"/>
      <c r="QQR2998" s="462"/>
      <c r="QQS2998" s="299"/>
      <c r="QQT2998" s="81"/>
      <c r="QQU2998" s="160"/>
      <c r="QQV2998" s="562"/>
      <c r="QQW2998" s="125"/>
      <c r="QQX2998" s="470"/>
      <c r="QQY2998" s="449"/>
      <c r="QQZ2998" s="462"/>
      <c r="QRA2998" s="299"/>
      <c r="QRB2998" s="81"/>
      <c r="QRC2998" s="160"/>
      <c r="QRD2998" s="562"/>
      <c r="QRE2998" s="125"/>
      <c r="QRF2998" s="470"/>
      <c r="QRG2998" s="449"/>
      <c r="QRH2998" s="462"/>
      <c r="QRI2998" s="299"/>
      <c r="QRJ2998" s="81"/>
      <c r="QRK2998" s="160"/>
      <c r="QRL2998" s="562"/>
      <c r="QRM2998" s="125"/>
      <c r="QRN2998" s="470"/>
      <c r="QRO2998" s="449"/>
      <c r="QRP2998" s="462"/>
      <c r="QRQ2998" s="299"/>
      <c r="QRR2998" s="81"/>
      <c r="QRS2998" s="160"/>
      <c r="QRT2998" s="562"/>
      <c r="QRU2998" s="125"/>
      <c r="QRV2998" s="470"/>
      <c r="QRW2998" s="449"/>
      <c r="QRX2998" s="462"/>
      <c r="QRY2998" s="299"/>
      <c r="QRZ2998" s="81"/>
      <c r="QSA2998" s="160"/>
      <c r="QSB2998" s="562"/>
      <c r="QSC2998" s="125"/>
      <c r="QSD2998" s="470"/>
      <c r="QSE2998" s="449"/>
      <c r="QSF2998" s="462"/>
      <c r="QSG2998" s="299"/>
      <c r="QSH2998" s="81"/>
      <c r="QSI2998" s="160"/>
      <c r="QSJ2998" s="562"/>
      <c r="QSK2998" s="125"/>
      <c r="QSL2998" s="470"/>
      <c r="QSM2998" s="449"/>
      <c r="QSN2998" s="462"/>
      <c r="QSO2998" s="299"/>
      <c r="QSP2998" s="81"/>
      <c r="QSQ2998" s="160"/>
      <c r="QSR2998" s="562"/>
      <c r="QSS2998" s="125"/>
      <c r="QST2998" s="470"/>
      <c r="QSU2998" s="449"/>
      <c r="QSV2998" s="462"/>
      <c r="QSW2998" s="299"/>
      <c r="QSX2998" s="81"/>
      <c r="QSY2998" s="160"/>
      <c r="QSZ2998" s="562"/>
      <c r="QTA2998" s="125"/>
      <c r="QTB2998" s="470"/>
      <c r="QTC2998" s="449"/>
      <c r="QTD2998" s="462"/>
      <c r="QTE2998" s="299"/>
      <c r="QTF2998" s="81"/>
      <c r="QTG2998" s="160"/>
      <c r="QTH2998" s="562"/>
      <c r="QTI2998" s="125"/>
      <c r="QTJ2998" s="470"/>
      <c r="QTK2998" s="449"/>
      <c r="QTL2998" s="462"/>
      <c r="QTM2998" s="299"/>
      <c r="QTN2998" s="81"/>
      <c r="QTO2998" s="160"/>
      <c r="QTP2998" s="562"/>
      <c r="QTQ2998" s="125"/>
      <c r="QTR2998" s="470"/>
      <c r="QTS2998" s="449"/>
      <c r="QTT2998" s="462"/>
      <c r="QTU2998" s="299"/>
      <c r="QTV2998" s="81"/>
      <c r="QTW2998" s="160"/>
      <c r="QTX2998" s="562"/>
      <c r="QTY2998" s="125"/>
      <c r="QTZ2998" s="470"/>
      <c r="QUA2998" s="449"/>
      <c r="QUB2998" s="462"/>
      <c r="QUC2998" s="299"/>
      <c r="QUD2998" s="81"/>
      <c r="QUE2998" s="160"/>
      <c r="QUF2998" s="562"/>
      <c r="QUG2998" s="125"/>
      <c r="QUH2998" s="470"/>
      <c r="QUI2998" s="449"/>
      <c r="QUJ2998" s="462"/>
      <c r="QUK2998" s="299"/>
      <c r="QUL2998" s="81"/>
      <c r="QUM2998" s="160"/>
      <c r="QUN2998" s="562"/>
      <c r="QUO2998" s="125"/>
      <c r="QUP2998" s="470"/>
      <c r="QUQ2998" s="449"/>
      <c r="QUR2998" s="462"/>
      <c r="QUS2998" s="299"/>
      <c r="QUT2998" s="81"/>
      <c r="QUU2998" s="160"/>
      <c r="QUV2998" s="562"/>
      <c r="QUW2998" s="125"/>
      <c r="QUX2998" s="470"/>
      <c r="QUY2998" s="449"/>
      <c r="QUZ2998" s="462"/>
      <c r="QVA2998" s="299"/>
      <c r="QVB2998" s="81"/>
      <c r="QVC2998" s="160"/>
      <c r="QVD2998" s="562"/>
      <c r="QVE2998" s="125"/>
      <c r="QVF2998" s="470"/>
      <c r="QVG2998" s="449"/>
      <c r="QVH2998" s="462"/>
      <c r="QVI2998" s="299"/>
      <c r="QVJ2998" s="81"/>
      <c r="QVK2998" s="160"/>
      <c r="QVL2998" s="562"/>
      <c r="QVM2998" s="125"/>
      <c r="QVN2998" s="470"/>
      <c r="QVO2998" s="449"/>
      <c r="QVP2998" s="462"/>
      <c r="QVQ2998" s="299"/>
      <c r="QVR2998" s="81"/>
      <c r="QVS2998" s="160"/>
      <c r="QVT2998" s="562"/>
      <c r="QVU2998" s="125"/>
      <c r="QVV2998" s="470"/>
      <c r="QVW2998" s="449"/>
      <c r="QVX2998" s="462"/>
      <c r="QVY2998" s="299"/>
      <c r="QVZ2998" s="81"/>
      <c r="QWA2998" s="160"/>
      <c r="QWB2998" s="562"/>
      <c r="QWC2998" s="125"/>
      <c r="QWD2998" s="470"/>
      <c r="QWE2998" s="449"/>
      <c r="QWF2998" s="462"/>
      <c r="QWG2998" s="299"/>
      <c r="QWH2998" s="81"/>
      <c r="QWI2998" s="160"/>
      <c r="QWJ2998" s="562"/>
      <c r="QWK2998" s="125"/>
      <c r="QWL2998" s="470"/>
      <c r="QWM2998" s="449"/>
      <c r="QWN2998" s="462"/>
      <c r="QWO2998" s="299"/>
      <c r="QWP2998" s="81"/>
      <c r="QWQ2998" s="160"/>
      <c r="QWR2998" s="562"/>
      <c r="QWS2998" s="125"/>
      <c r="QWT2998" s="470"/>
      <c r="QWU2998" s="449"/>
      <c r="QWV2998" s="462"/>
      <c r="QWW2998" s="299"/>
      <c r="QWX2998" s="81"/>
      <c r="QWY2998" s="160"/>
      <c r="QWZ2998" s="562"/>
      <c r="QXA2998" s="125"/>
      <c r="QXB2998" s="470"/>
      <c r="QXC2998" s="449"/>
      <c r="QXD2998" s="462"/>
      <c r="QXE2998" s="299"/>
      <c r="QXF2998" s="81"/>
      <c r="QXG2998" s="160"/>
      <c r="QXH2998" s="562"/>
      <c r="QXI2998" s="125"/>
      <c r="QXJ2998" s="470"/>
      <c r="QXK2998" s="449"/>
      <c r="QXL2998" s="462"/>
      <c r="QXM2998" s="299"/>
      <c r="QXN2998" s="81"/>
      <c r="QXO2998" s="160"/>
      <c r="QXP2998" s="562"/>
      <c r="QXQ2998" s="125"/>
      <c r="QXR2998" s="470"/>
      <c r="QXS2998" s="449"/>
      <c r="QXT2998" s="462"/>
      <c r="QXU2998" s="299"/>
      <c r="QXV2998" s="81"/>
      <c r="QXW2998" s="160"/>
      <c r="QXX2998" s="562"/>
      <c r="QXY2998" s="125"/>
      <c r="QXZ2998" s="470"/>
      <c r="QYA2998" s="449"/>
      <c r="QYB2998" s="462"/>
      <c r="QYC2998" s="299"/>
      <c r="QYD2998" s="81"/>
      <c r="QYE2998" s="160"/>
      <c r="QYF2998" s="562"/>
      <c r="QYG2998" s="125"/>
      <c r="QYH2998" s="470"/>
      <c r="QYI2998" s="449"/>
      <c r="QYJ2998" s="462"/>
      <c r="QYK2998" s="299"/>
      <c r="QYL2998" s="81"/>
      <c r="QYM2998" s="160"/>
      <c r="QYN2998" s="562"/>
      <c r="QYO2998" s="125"/>
      <c r="QYP2998" s="470"/>
      <c r="QYQ2998" s="449"/>
      <c r="QYR2998" s="462"/>
      <c r="QYS2998" s="299"/>
      <c r="QYT2998" s="81"/>
      <c r="QYU2998" s="160"/>
      <c r="QYV2998" s="562"/>
      <c r="QYW2998" s="125"/>
      <c r="QYX2998" s="470"/>
      <c r="QYY2998" s="449"/>
      <c r="QYZ2998" s="462"/>
      <c r="QZA2998" s="299"/>
      <c r="QZB2998" s="81"/>
      <c r="QZC2998" s="160"/>
      <c r="QZD2998" s="562"/>
      <c r="QZE2998" s="125"/>
      <c r="QZF2998" s="470"/>
      <c r="QZG2998" s="449"/>
      <c r="QZH2998" s="462"/>
      <c r="QZI2998" s="299"/>
      <c r="QZJ2998" s="81"/>
      <c r="QZK2998" s="160"/>
      <c r="QZL2998" s="562"/>
      <c r="QZM2998" s="125"/>
      <c r="QZN2998" s="470"/>
      <c r="QZO2998" s="449"/>
      <c r="QZP2998" s="462"/>
      <c r="QZQ2998" s="299"/>
      <c r="QZR2998" s="81"/>
      <c r="QZS2998" s="160"/>
      <c r="QZT2998" s="562"/>
      <c r="QZU2998" s="125"/>
      <c r="QZV2998" s="470"/>
      <c r="QZW2998" s="449"/>
      <c r="QZX2998" s="462"/>
      <c r="QZY2998" s="299"/>
      <c r="QZZ2998" s="81"/>
      <c r="RAA2998" s="160"/>
      <c r="RAB2998" s="562"/>
      <c r="RAC2998" s="125"/>
      <c r="RAD2998" s="470"/>
      <c r="RAE2998" s="449"/>
      <c r="RAF2998" s="462"/>
      <c r="RAG2998" s="299"/>
      <c r="RAH2998" s="81"/>
      <c r="RAI2998" s="160"/>
      <c r="RAJ2998" s="562"/>
      <c r="RAK2998" s="125"/>
      <c r="RAL2998" s="470"/>
      <c r="RAM2998" s="449"/>
      <c r="RAN2998" s="462"/>
      <c r="RAO2998" s="299"/>
      <c r="RAP2998" s="81"/>
      <c r="RAQ2998" s="160"/>
      <c r="RAR2998" s="562"/>
      <c r="RAS2998" s="125"/>
      <c r="RAT2998" s="470"/>
      <c r="RAU2998" s="449"/>
      <c r="RAV2998" s="462"/>
      <c r="RAW2998" s="299"/>
      <c r="RAX2998" s="81"/>
      <c r="RAY2998" s="160"/>
      <c r="RAZ2998" s="562"/>
      <c r="RBA2998" s="125"/>
      <c r="RBB2998" s="470"/>
      <c r="RBC2998" s="449"/>
      <c r="RBD2998" s="462"/>
      <c r="RBE2998" s="299"/>
      <c r="RBF2998" s="81"/>
      <c r="RBG2998" s="160"/>
      <c r="RBH2998" s="562"/>
      <c r="RBI2998" s="125"/>
      <c r="RBJ2998" s="470"/>
      <c r="RBK2998" s="449"/>
      <c r="RBL2998" s="462"/>
      <c r="RBM2998" s="299"/>
      <c r="RBN2998" s="81"/>
      <c r="RBO2998" s="160"/>
      <c r="RBP2998" s="562"/>
      <c r="RBQ2998" s="125"/>
      <c r="RBR2998" s="470"/>
      <c r="RBS2998" s="449"/>
      <c r="RBT2998" s="462"/>
      <c r="RBU2998" s="299"/>
      <c r="RBV2998" s="81"/>
      <c r="RBW2998" s="160"/>
      <c r="RBX2998" s="562"/>
      <c r="RBY2998" s="125"/>
      <c r="RBZ2998" s="470"/>
      <c r="RCA2998" s="449"/>
      <c r="RCB2998" s="462"/>
      <c r="RCC2998" s="299"/>
      <c r="RCD2998" s="81"/>
      <c r="RCE2998" s="160"/>
      <c r="RCF2998" s="562"/>
      <c r="RCG2998" s="125"/>
      <c r="RCH2998" s="470"/>
      <c r="RCI2998" s="449"/>
      <c r="RCJ2998" s="462"/>
      <c r="RCK2998" s="299"/>
      <c r="RCL2998" s="81"/>
      <c r="RCM2998" s="160"/>
      <c r="RCN2998" s="562"/>
      <c r="RCO2998" s="125"/>
      <c r="RCP2998" s="470"/>
      <c r="RCQ2998" s="449"/>
      <c r="RCR2998" s="462"/>
      <c r="RCS2998" s="299"/>
      <c r="RCT2998" s="81"/>
      <c r="RCU2998" s="160"/>
      <c r="RCV2998" s="562"/>
      <c r="RCW2998" s="125"/>
      <c r="RCX2998" s="470"/>
      <c r="RCY2998" s="449"/>
      <c r="RCZ2998" s="462"/>
      <c r="RDA2998" s="299"/>
      <c r="RDB2998" s="81"/>
      <c r="RDC2998" s="160"/>
      <c r="RDD2998" s="562"/>
      <c r="RDE2998" s="125"/>
      <c r="RDF2998" s="470"/>
      <c r="RDG2998" s="449"/>
      <c r="RDH2998" s="462"/>
      <c r="RDI2998" s="299"/>
      <c r="RDJ2998" s="81"/>
      <c r="RDK2998" s="160"/>
      <c r="RDL2998" s="562"/>
      <c r="RDM2998" s="125"/>
      <c r="RDN2998" s="470"/>
      <c r="RDO2998" s="449"/>
      <c r="RDP2998" s="462"/>
      <c r="RDQ2998" s="299"/>
      <c r="RDR2998" s="81"/>
      <c r="RDS2998" s="160"/>
      <c r="RDT2998" s="562"/>
      <c r="RDU2998" s="125"/>
      <c r="RDV2998" s="470"/>
      <c r="RDW2998" s="449"/>
      <c r="RDX2998" s="462"/>
      <c r="RDY2998" s="299"/>
      <c r="RDZ2998" s="81"/>
      <c r="REA2998" s="160"/>
      <c r="REB2998" s="562"/>
      <c r="REC2998" s="125"/>
      <c r="RED2998" s="470"/>
      <c r="REE2998" s="449"/>
      <c r="REF2998" s="462"/>
      <c r="REG2998" s="299"/>
      <c r="REH2998" s="81"/>
      <c r="REI2998" s="160"/>
      <c r="REJ2998" s="562"/>
      <c r="REK2998" s="125"/>
      <c r="REL2998" s="470"/>
      <c r="REM2998" s="449"/>
      <c r="REN2998" s="462"/>
      <c r="REO2998" s="299"/>
      <c r="REP2998" s="81"/>
      <c r="REQ2998" s="160"/>
      <c r="RER2998" s="562"/>
      <c r="RES2998" s="125"/>
      <c r="RET2998" s="470"/>
      <c r="REU2998" s="449"/>
      <c r="REV2998" s="462"/>
      <c r="REW2998" s="299"/>
      <c r="REX2998" s="81"/>
      <c r="REY2998" s="160"/>
      <c r="REZ2998" s="562"/>
      <c r="RFA2998" s="125"/>
      <c r="RFB2998" s="470"/>
      <c r="RFC2998" s="449"/>
      <c r="RFD2998" s="462"/>
      <c r="RFE2998" s="299"/>
      <c r="RFF2998" s="81"/>
      <c r="RFG2998" s="160"/>
      <c r="RFH2998" s="562"/>
      <c r="RFI2998" s="125"/>
      <c r="RFJ2998" s="470"/>
      <c r="RFK2998" s="449"/>
      <c r="RFL2998" s="462"/>
      <c r="RFM2998" s="299"/>
      <c r="RFN2998" s="81"/>
      <c r="RFO2998" s="160"/>
      <c r="RFP2998" s="562"/>
      <c r="RFQ2998" s="125"/>
      <c r="RFR2998" s="470"/>
      <c r="RFS2998" s="449"/>
      <c r="RFT2998" s="462"/>
      <c r="RFU2998" s="299"/>
      <c r="RFV2998" s="81"/>
      <c r="RFW2998" s="160"/>
      <c r="RFX2998" s="562"/>
      <c r="RFY2998" s="125"/>
      <c r="RFZ2998" s="470"/>
      <c r="RGA2998" s="449"/>
      <c r="RGB2998" s="462"/>
      <c r="RGC2998" s="299"/>
      <c r="RGD2998" s="81"/>
      <c r="RGE2998" s="160"/>
      <c r="RGF2998" s="562"/>
      <c r="RGG2998" s="125"/>
      <c r="RGH2998" s="470"/>
      <c r="RGI2998" s="449"/>
      <c r="RGJ2998" s="462"/>
      <c r="RGK2998" s="299"/>
      <c r="RGL2998" s="81"/>
      <c r="RGM2998" s="160"/>
      <c r="RGN2998" s="562"/>
      <c r="RGO2998" s="125"/>
      <c r="RGP2998" s="470"/>
      <c r="RGQ2998" s="449"/>
      <c r="RGR2998" s="462"/>
      <c r="RGS2998" s="299"/>
      <c r="RGT2998" s="81"/>
      <c r="RGU2998" s="160"/>
      <c r="RGV2998" s="562"/>
      <c r="RGW2998" s="125"/>
      <c r="RGX2998" s="470"/>
      <c r="RGY2998" s="449"/>
      <c r="RGZ2998" s="462"/>
      <c r="RHA2998" s="299"/>
      <c r="RHB2998" s="81"/>
      <c r="RHC2998" s="160"/>
      <c r="RHD2998" s="562"/>
      <c r="RHE2998" s="125"/>
      <c r="RHF2998" s="470"/>
      <c r="RHG2998" s="449"/>
      <c r="RHH2998" s="462"/>
      <c r="RHI2998" s="299"/>
      <c r="RHJ2998" s="81"/>
      <c r="RHK2998" s="160"/>
      <c r="RHL2998" s="562"/>
      <c r="RHM2998" s="125"/>
      <c r="RHN2998" s="470"/>
      <c r="RHO2998" s="449"/>
      <c r="RHP2998" s="462"/>
      <c r="RHQ2998" s="299"/>
      <c r="RHR2998" s="81"/>
      <c r="RHS2998" s="160"/>
      <c r="RHT2998" s="562"/>
      <c r="RHU2998" s="125"/>
      <c r="RHV2998" s="470"/>
      <c r="RHW2998" s="449"/>
      <c r="RHX2998" s="462"/>
      <c r="RHY2998" s="299"/>
      <c r="RHZ2998" s="81"/>
      <c r="RIA2998" s="160"/>
      <c r="RIB2998" s="562"/>
      <c r="RIC2998" s="125"/>
      <c r="RID2998" s="470"/>
      <c r="RIE2998" s="449"/>
      <c r="RIF2998" s="462"/>
      <c r="RIG2998" s="299"/>
      <c r="RIH2998" s="81"/>
      <c r="RII2998" s="160"/>
      <c r="RIJ2998" s="562"/>
      <c r="RIK2998" s="125"/>
      <c r="RIL2998" s="470"/>
      <c r="RIM2998" s="449"/>
      <c r="RIN2998" s="462"/>
      <c r="RIO2998" s="299"/>
      <c r="RIP2998" s="81"/>
      <c r="RIQ2998" s="160"/>
      <c r="RIR2998" s="562"/>
      <c r="RIS2998" s="125"/>
      <c r="RIT2998" s="470"/>
      <c r="RIU2998" s="449"/>
      <c r="RIV2998" s="462"/>
      <c r="RIW2998" s="299"/>
      <c r="RIX2998" s="81"/>
      <c r="RIY2998" s="160"/>
      <c r="RIZ2998" s="562"/>
      <c r="RJA2998" s="125"/>
      <c r="RJB2998" s="470"/>
      <c r="RJC2998" s="449"/>
      <c r="RJD2998" s="462"/>
      <c r="RJE2998" s="299"/>
      <c r="RJF2998" s="81"/>
      <c r="RJG2998" s="160"/>
      <c r="RJH2998" s="562"/>
      <c r="RJI2998" s="125"/>
      <c r="RJJ2998" s="470"/>
      <c r="RJK2998" s="449"/>
      <c r="RJL2998" s="462"/>
      <c r="RJM2998" s="299"/>
      <c r="RJN2998" s="81"/>
      <c r="RJO2998" s="160"/>
      <c r="RJP2998" s="562"/>
      <c r="RJQ2998" s="125"/>
      <c r="RJR2998" s="470"/>
      <c r="RJS2998" s="449"/>
      <c r="RJT2998" s="462"/>
      <c r="RJU2998" s="299"/>
      <c r="RJV2998" s="81"/>
      <c r="RJW2998" s="160"/>
      <c r="RJX2998" s="562"/>
      <c r="RJY2998" s="125"/>
      <c r="RJZ2998" s="470"/>
      <c r="RKA2998" s="449"/>
      <c r="RKB2998" s="462"/>
      <c r="RKC2998" s="299"/>
      <c r="RKD2998" s="81"/>
      <c r="RKE2998" s="160"/>
      <c r="RKF2998" s="562"/>
      <c r="RKG2998" s="125"/>
      <c r="RKH2998" s="470"/>
      <c r="RKI2998" s="449"/>
      <c r="RKJ2998" s="462"/>
      <c r="RKK2998" s="299"/>
      <c r="RKL2998" s="81"/>
      <c r="RKM2998" s="160"/>
      <c r="RKN2998" s="562"/>
      <c r="RKO2998" s="125"/>
      <c r="RKP2998" s="470"/>
      <c r="RKQ2998" s="449"/>
      <c r="RKR2998" s="462"/>
      <c r="RKS2998" s="299"/>
      <c r="RKT2998" s="81"/>
      <c r="RKU2998" s="160"/>
      <c r="RKV2998" s="562"/>
      <c r="RKW2998" s="125"/>
      <c r="RKX2998" s="470"/>
      <c r="RKY2998" s="449"/>
      <c r="RKZ2998" s="462"/>
      <c r="RLA2998" s="299"/>
      <c r="RLB2998" s="81"/>
      <c r="RLC2998" s="160"/>
      <c r="RLD2998" s="562"/>
      <c r="RLE2998" s="125"/>
      <c r="RLF2998" s="470"/>
      <c r="RLG2998" s="449"/>
      <c r="RLH2998" s="462"/>
      <c r="RLI2998" s="299"/>
      <c r="RLJ2998" s="81"/>
      <c r="RLK2998" s="160"/>
      <c r="RLL2998" s="562"/>
      <c r="RLM2998" s="125"/>
      <c r="RLN2998" s="470"/>
      <c r="RLO2998" s="449"/>
      <c r="RLP2998" s="462"/>
      <c r="RLQ2998" s="299"/>
      <c r="RLR2998" s="81"/>
      <c r="RLS2998" s="160"/>
      <c r="RLT2998" s="562"/>
      <c r="RLU2998" s="125"/>
      <c r="RLV2998" s="470"/>
      <c r="RLW2998" s="449"/>
      <c r="RLX2998" s="462"/>
      <c r="RLY2998" s="299"/>
      <c r="RLZ2998" s="81"/>
      <c r="RMA2998" s="160"/>
      <c r="RMB2998" s="562"/>
      <c r="RMC2998" s="125"/>
      <c r="RMD2998" s="470"/>
      <c r="RME2998" s="449"/>
      <c r="RMF2998" s="462"/>
      <c r="RMG2998" s="299"/>
      <c r="RMH2998" s="81"/>
      <c r="RMI2998" s="160"/>
      <c r="RMJ2998" s="562"/>
      <c r="RMK2998" s="125"/>
      <c r="RML2998" s="470"/>
      <c r="RMM2998" s="449"/>
      <c r="RMN2998" s="462"/>
      <c r="RMO2998" s="299"/>
      <c r="RMP2998" s="81"/>
      <c r="RMQ2998" s="160"/>
      <c r="RMR2998" s="562"/>
      <c r="RMS2998" s="125"/>
      <c r="RMT2998" s="470"/>
      <c r="RMU2998" s="449"/>
      <c r="RMV2998" s="462"/>
      <c r="RMW2998" s="299"/>
      <c r="RMX2998" s="81"/>
      <c r="RMY2998" s="160"/>
      <c r="RMZ2998" s="562"/>
      <c r="RNA2998" s="125"/>
      <c r="RNB2998" s="470"/>
      <c r="RNC2998" s="449"/>
      <c r="RND2998" s="462"/>
      <c r="RNE2998" s="299"/>
      <c r="RNF2998" s="81"/>
      <c r="RNG2998" s="160"/>
      <c r="RNH2998" s="562"/>
      <c r="RNI2998" s="125"/>
      <c r="RNJ2998" s="470"/>
      <c r="RNK2998" s="449"/>
      <c r="RNL2998" s="462"/>
      <c r="RNM2998" s="299"/>
      <c r="RNN2998" s="81"/>
      <c r="RNO2998" s="160"/>
      <c r="RNP2998" s="562"/>
      <c r="RNQ2998" s="125"/>
      <c r="RNR2998" s="470"/>
      <c r="RNS2998" s="449"/>
      <c r="RNT2998" s="462"/>
      <c r="RNU2998" s="299"/>
      <c r="RNV2998" s="81"/>
      <c r="RNW2998" s="160"/>
      <c r="RNX2998" s="562"/>
      <c r="RNY2998" s="125"/>
      <c r="RNZ2998" s="470"/>
      <c r="ROA2998" s="449"/>
      <c r="ROB2998" s="462"/>
      <c r="ROC2998" s="299"/>
      <c r="ROD2998" s="81"/>
      <c r="ROE2998" s="160"/>
      <c r="ROF2998" s="562"/>
      <c r="ROG2998" s="125"/>
      <c r="ROH2998" s="470"/>
      <c r="ROI2998" s="449"/>
      <c r="ROJ2998" s="462"/>
      <c r="ROK2998" s="299"/>
      <c r="ROL2998" s="81"/>
      <c r="ROM2998" s="160"/>
      <c r="RON2998" s="562"/>
      <c r="ROO2998" s="125"/>
      <c r="ROP2998" s="470"/>
      <c r="ROQ2998" s="449"/>
      <c r="ROR2998" s="462"/>
      <c r="ROS2998" s="299"/>
      <c r="ROT2998" s="81"/>
      <c r="ROU2998" s="160"/>
      <c r="ROV2998" s="562"/>
      <c r="ROW2998" s="125"/>
      <c r="ROX2998" s="470"/>
      <c r="ROY2998" s="449"/>
      <c r="ROZ2998" s="462"/>
      <c r="RPA2998" s="299"/>
      <c r="RPB2998" s="81"/>
      <c r="RPC2998" s="160"/>
      <c r="RPD2998" s="562"/>
      <c r="RPE2998" s="125"/>
      <c r="RPF2998" s="470"/>
      <c r="RPG2998" s="449"/>
      <c r="RPH2998" s="462"/>
      <c r="RPI2998" s="299"/>
      <c r="RPJ2998" s="81"/>
      <c r="RPK2998" s="160"/>
      <c r="RPL2998" s="562"/>
      <c r="RPM2998" s="125"/>
      <c r="RPN2998" s="470"/>
      <c r="RPO2998" s="449"/>
      <c r="RPP2998" s="462"/>
      <c r="RPQ2998" s="299"/>
      <c r="RPR2998" s="81"/>
      <c r="RPS2998" s="160"/>
      <c r="RPT2998" s="562"/>
      <c r="RPU2998" s="125"/>
      <c r="RPV2998" s="470"/>
      <c r="RPW2998" s="449"/>
      <c r="RPX2998" s="462"/>
      <c r="RPY2998" s="299"/>
      <c r="RPZ2998" s="81"/>
      <c r="RQA2998" s="160"/>
      <c r="RQB2998" s="562"/>
      <c r="RQC2998" s="125"/>
      <c r="RQD2998" s="470"/>
      <c r="RQE2998" s="449"/>
      <c r="RQF2998" s="462"/>
      <c r="RQG2998" s="299"/>
      <c r="RQH2998" s="81"/>
      <c r="RQI2998" s="160"/>
      <c r="RQJ2998" s="562"/>
      <c r="RQK2998" s="125"/>
      <c r="RQL2998" s="470"/>
      <c r="RQM2998" s="449"/>
      <c r="RQN2998" s="462"/>
      <c r="RQO2998" s="299"/>
      <c r="RQP2998" s="81"/>
      <c r="RQQ2998" s="160"/>
      <c r="RQR2998" s="562"/>
      <c r="RQS2998" s="125"/>
      <c r="RQT2998" s="470"/>
      <c r="RQU2998" s="449"/>
      <c r="RQV2998" s="462"/>
      <c r="RQW2998" s="299"/>
      <c r="RQX2998" s="81"/>
      <c r="RQY2998" s="160"/>
      <c r="RQZ2998" s="562"/>
      <c r="RRA2998" s="125"/>
      <c r="RRB2998" s="470"/>
      <c r="RRC2998" s="449"/>
      <c r="RRD2998" s="462"/>
      <c r="RRE2998" s="299"/>
      <c r="RRF2998" s="81"/>
      <c r="RRG2998" s="160"/>
      <c r="RRH2998" s="562"/>
      <c r="RRI2998" s="125"/>
      <c r="RRJ2998" s="470"/>
      <c r="RRK2998" s="449"/>
      <c r="RRL2998" s="462"/>
      <c r="RRM2998" s="299"/>
      <c r="RRN2998" s="81"/>
      <c r="RRO2998" s="160"/>
      <c r="RRP2998" s="562"/>
      <c r="RRQ2998" s="125"/>
      <c r="RRR2998" s="470"/>
      <c r="RRS2998" s="449"/>
      <c r="RRT2998" s="462"/>
      <c r="RRU2998" s="299"/>
      <c r="RRV2998" s="81"/>
      <c r="RRW2998" s="160"/>
      <c r="RRX2998" s="562"/>
      <c r="RRY2998" s="125"/>
      <c r="RRZ2998" s="470"/>
      <c r="RSA2998" s="449"/>
      <c r="RSB2998" s="462"/>
      <c r="RSC2998" s="299"/>
      <c r="RSD2998" s="81"/>
      <c r="RSE2998" s="160"/>
      <c r="RSF2998" s="562"/>
      <c r="RSG2998" s="125"/>
      <c r="RSH2998" s="470"/>
      <c r="RSI2998" s="449"/>
      <c r="RSJ2998" s="462"/>
      <c r="RSK2998" s="299"/>
      <c r="RSL2998" s="81"/>
      <c r="RSM2998" s="160"/>
      <c r="RSN2998" s="562"/>
      <c r="RSO2998" s="125"/>
      <c r="RSP2998" s="470"/>
      <c r="RSQ2998" s="449"/>
      <c r="RSR2998" s="462"/>
      <c r="RSS2998" s="299"/>
      <c r="RST2998" s="81"/>
      <c r="RSU2998" s="160"/>
      <c r="RSV2998" s="562"/>
      <c r="RSW2998" s="125"/>
      <c r="RSX2998" s="470"/>
      <c r="RSY2998" s="449"/>
      <c r="RSZ2998" s="462"/>
      <c r="RTA2998" s="299"/>
      <c r="RTB2998" s="81"/>
      <c r="RTC2998" s="160"/>
      <c r="RTD2998" s="562"/>
      <c r="RTE2998" s="125"/>
      <c r="RTF2998" s="470"/>
      <c r="RTG2998" s="449"/>
      <c r="RTH2998" s="462"/>
      <c r="RTI2998" s="299"/>
      <c r="RTJ2998" s="81"/>
      <c r="RTK2998" s="160"/>
      <c r="RTL2998" s="562"/>
      <c r="RTM2998" s="125"/>
      <c r="RTN2998" s="470"/>
      <c r="RTO2998" s="449"/>
      <c r="RTP2998" s="462"/>
      <c r="RTQ2998" s="299"/>
      <c r="RTR2998" s="81"/>
      <c r="RTS2998" s="160"/>
      <c r="RTT2998" s="562"/>
      <c r="RTU2998" s="125"/>
      <c r="RTV2998" s="470"/>
      <c r="RTW2998" s="449"/>
      <c r="RTX2998" s="462"/>
      <c r="RTY2998" s="299"/>
      <c r="RTZ2998" s="81"/>
      <c r="RUA2998" s="160"/>
      <c r="RUB2998" s="562"/>
      <c r="RUC2998" s="125"/>
      <c r="RUD2998" s="470"/>
      <c r="RUE2998" s="449"/>
      <c r="RUF2998" s="462"/>
      <c r="RUG2998" s="299"/>
      <c r="RUH2998" s="81"/>
      <c r="RUI2998" s="160"/>
      <c r="RUJ2998" s="562"/>
      <c r="RUK2998" s="125"/>
      <c r="RUL2998" s="470"/>
      <c r="RUM2998" s="449"/>
      <c r="RUN2998" s="462"/>
      <c r="RUO2998" s="299"/>
      <c r="RUP2998" s="81"/>
      <c r="RUQ2998" s="160"/>
      <c r="RUR2998" s="562"/>
      <c r="RUS2998" s="125"/>
      <c r="RUT2998" s="470"/>
      <c r="RUU2998" s="449"/>
      <c r="RUV2998" s="462"/>
      <c r="RUW2998" s="299"/>
      <c r="RUX2998" s="81"/>
      <c r="RUY2998" s="160"/>
      <c r="RUZ2998" s="562"/>
      <c r="RVA2998" s="125"/>
      <c r="RVB2998" s="470"/>
      <c r="RVC2998" s="449"/>
      <c r="RVD2998" s="462"/>
      <c r="RVE2998" s="299"/>
      <c r="RVF2998" s="81"/>
      <c r="RVG2998" s="160"/>
      <c r="RVH2998" s="562"/>
      <c r="RVI2998" s="125"/>
      <c r="RVJ2998" s="470"/>
      <c r="RVK2998" s="449"/>
      <c r="RVL2998" s="462"/>
      <c r="RVM2998" s="299"/>
      <c r="RVN2998" s="81"/>
      <c r="RVO2998" s="160"/>
      <c r="RVP2998" s="562"/>
      <c r="RVQ2998" s="125"/>
      <c r="RVR2998" s="470"/>
      <c r="RVS2998" s="449"/>
      <c r="RVT2998" s="462"/>
      <c r="RVU2998" s="299"/>
      <c r="RVV2998" s="81"/>
      <c r="RVW2998" s="160"/>
      <c r="RVX2998" s="562"/>
      <c r="RVY2998" s="125"/>
      <c r="RVZ2998" s="470"/>
      <c r="RWA2998" s="449"/>
      <c r="RWB2998" s="462"/>
      <c r="RWC2998" s="299"/>
      <c r="RWD2998" s="81"/>
      <c r="RWE2998" s="160"/>
      <c r="RWF2998" s="562"/>
      <c r="RWG2998" s="125"/>
      <c r="RWH2998" s="470"/>
      <c r="RWI2998" s="449"/>
      <c r="RWJ2998" s="462"/>
      <c r="RWK2998" s="299"/>
      <c r="RWL2998" s="81"/>
      <c r="RWM2998" s="160"/>
      <c r="RWN2998" s="562"/>
      <c r="RWO2998" s="125"/>
      <c r="RWP2998" s="470"/>
      <c r="RWQ2998" s="449"/>
      <c r="RWR2998" s="462"/>
      <c r="RWS2998" s="299"/>
      <c r="RWT2998" s="81"/>
      <c r="RWU2998" s="160"/>
      <c r="RWV2998" s="562"/>
      <c r="RWW2998" s="125"/>
      <c r="RWX2998" s="470"/>
      <c r="RWY2998" s="449"/>
      <c r="RWZ2998" s="462"/>
      <c r="RXA2998" s="299"/>
      <c r="RXB2998" s="81"/>
      <c r="RXC2998" s="160"/>
      <c r="RXD2998" s="562"/>
      <c r="RXE2998" s="125"/>
      <c r="RXF2998" s="470"/>
      <c r="RXG2998" s="449"/>
      <c r="RXH2998" s="462"/>
      <c r="RXI2998" s="299"/>
      <c r="RXJ2998" s="81"/>
      <c r="RXK2998" s="160"/>
      <c r="RXL2998" s="562"/>
      <c r="RXM2998" s="125"/>
      <c r="RXN2998" s="470"/>
      <c r="RXO2998" s="449"/>
      <c r="RXP2998" s="462"/>
      <c r="RXQ2998" s="299"/>
      <c r="RXR2998" s="81"/>
      <c r="RXS2998" s="160"/>
      <c r="RXT2998" s="562"/>
      <c r="RXU2998" s="125"/>
      <c r="RXV2998" s="470"/>
      <c r="RXW2998" s="449"/>
      <c r="RXX2998" s="462"/>
      <c r="RXY2998" s="299"/>
      <c r="RXZ2998" s="81"/>
      <c r="RYA2998" s="160"/>
      <c r="RYB2998" s="562"/>
      <c r="RYC2998" s="125"/>
      <c r="RYD2998" s="470"/>
      <c r="RYE2998" s="449"/>
      <c r="RYF2998" s="462"/>
      <c r="RYG2998" s="299"/>
      <c r="RYH2998" s="81"/>
      <c r="RYI2998" s="160"/>
      <c r="RYJ2998" s="562"/>
      <c r="RYK2998" s="125"/>
      <c r="RYL2998" s="470"/>
      <c r="RYM2998" s="449"/>
      <c r="RYN2998" s="462"/>
      <c r="RYO2998" s="299"/>
      <c r="RYP2998" s="81"/>
      <c r="RYQ2998" s="160"/>
      <c r="RYR2998" s="562"/>
      <c r="RYS2998" s="125"/>
      <c r="RYT2998" s="470"/>
      <c r="RYU2998" s="449"/>
      <c r="RYV2998" s="462"/>
      <c r="RYW2998" s="299"/>
      <c r="RYX2998" s="81"/>
      <c r="RYY2998" s="160"/>
      <c r="RYZ2998" s="562"/>
      <c r="RZA2998" s="125"/>
      <c r="RZB2998" s="470"/>
      <c r="RZC2998" s="449"/>
      <c r="RZD2998" s="462"/>
      <c r="RZE2998" s="299"/>
      <c r="RZF2998" s="81"/>
      <c r="RZG2998" s="160"/>
      <c r="RZH2998" s="562"/>
      <c r="RZI2998" s="125"/>
      <c r="RZJ2998" s="470"/>
      <c r="RZK2998" s="449"/>
      <c r="RZL2998" s="462"/>
      <c r="RZM2998" s="299"/>
      <c r="RZN2998" s="81"/>
      <c r="RZO2998" s="160"/>
      <c r="RZP2998" s="562"/>
      <c r="RZQ2998" s="125"/>
      <c r="RZR2998" s="470"/>
      <c r="RZS2998" s="449"/>
      <c r="RZT2998" s="462"/>
      <c r="RZU2998" s="299"/>
      <c r="RZV2998" s="81"/>
      <c r="RZW2998" s="160"/>
      <c r="RZX2998" s="562"/>
      <c r="RZY2998" s="125"/>
      <c r="RZZ2998" s="470"/>
      <c r="SAA2998" s="449"/>
      <c r="SAB2998" s="462"/>
      <c r="SAC2998" s="299"/>
      <c r="SAD2998" s="81"/>
      <c r="SAE2998" s="160"/>
      <c r="SAF2998" s="562"/>
      <c r="SAG2998" s="125"/>
      <c r="SAH2998" s="470"/>
      <c r="SAI2998" s="449"/>
      <c r="SAJ2998" s="462"/>
      <c r="SAK2998" s="299"/>
      <c r="SAL2998" s="81"/>
      <c r="SAM2998" s="160"/>
      <c r="SAN2998" s="562"/>
      <c r="SAO2998" s="125"/>
      <c r="SAP2998" s="470"/>
      <c r="SAQ2998" s="449"/>
      <c r="SAR2998" s="462"/>
      <c r="SAS2998" s="299"/>
      <c r="SAT2998" s="81"/>
      <c r="SAU2998" s="160"/>
      <c r="SAV2998" s="562"/>
      <c r="SAW2998" s="125"/>
      <c r="SAX2998" s="470"/>
      <c r="SAY2998" s="449"/>
      <c r="SAZ2998" s="462"/>
      <c r="SBA2998" s="299"/>
      <c r="SBB2998" s="81"/>
      <c r="SBC2998" s="160"/>
      <c r="SBD2998" s="562"/>
      <c r="SBE2998" s="125"/>
      <c r="SBF2998" s="470"/>
      <c r="SBG2998" s="449"/>
      <c r="SBH2998" s="462"/>
      <c r="SBI2998" s="299"/>
      <c r="SBJ2998" s="81"/>
      <c r="SBK2998" s="160"/>
      <c r="SBL2998" s="562"/>
      <c r="SBM2998" s="125"/>
      <c r="SBN2998" s="470"/>
      <c r="SBO2998" s="449"/>
      <c r="SBP2998" s="462"/>
      <c r="SBQ2998" s="299"/>
      <c r="SBR2998" s="81"/>
      <c r="SBS2998" s="160"/>
      <c r="SBT2998" s="562"/>
      <c r="SBU2998" s="125"/>
      <c r="SBV2998" s="470"/>
      <c r="SBW2998" s="449"/>
      <c r="SBX2998" s="462"/>
      <c r="SBY2998" s="299"/>
      <c r="SBZ2998" s="81"/>
      <c r="SCA2998" s="160"/>
      <c r="SCB2998" s="562"/>
      <c r="SCC2998" s="125"/>
      <c r="SCD2998" s="470"/>
      <c r="SCE2998" s="449"/>
      <c r="SCF2998" s="462"/>
      <c r="SCG2998" s="299"/>
      <c r="SCH2998" s="81"/>
      <c r="SCI2998" s="160"/>
      <c r="SCJ2998" s="562"/>
      <c r="SCK2998" s="125"/>
      <c r="SCL2998" s="470"/>
      <c r="SCM2998" s="449"/>
      <c r="SCN2998" s="462"/>
      <c r="SCO2998" s="299"/>
      <c r="SCP2998" s="81"/>
      <c r="SCQ2998" s="160"/>
      <c r="SCR2998" s="562"/>
      <c r="SCS2998" s="125"/>
      <c r="SCT2998" s="470"/>
      <c r="SCU2998" s="449"/>
      <c r="SCV2998" s="462"/>
      <c r="SCW2998" s="299"/>
      <c r="SCX2998" s="81"/>
      <c r="SCY2998" s="160"/>
      <c r="SCZ2998" s="562"/>
      <c r="SDA2998" s="125"/>
      <c r="SDB2998" s="470"/>
      <c r="SDC2998" s="449"/>
      <c r="SDD2998" s="462"/>
      <c r="SDE2998" s="299"/>
      <c r="SDF2998" s="81"/>
      <c r="SDG2998" s="160"/>
      <c r="SDH2998" s="562"/>
      <c r="SDI2998" s="125"/>
      <c r="SDJ2998" s="470"/>
      <c r="SDK2998" s="449"/>
      <c r="SDL2998" s="462"/>
      <c r="SDM2998" s="299"/>
      <c r="SDN2998" s="81"/>
      <c r="SDO2998" s="160"/>
      <c r="SDP2998" s="562"/>
      <c r="SDQ2998" s="125"/>
      <c r="SDR2998" s="470"/>
      <c r="SDS2998" s="449"/>
      <c r="SDT2998" s="462"/>
      <c r="SDU2998" s="299"/>
      <c r="SDV2998" s="81"/>
      <c r="SDW2998" s="160"/>
      <c r="SDX2998" s="562"/>
      <c r="SDY2998" s="125"/>
      <c r="SDZ2998" s="470"/>
      <c r="SEA2998" s="449"/>
      <c r="SEB2998" s="462"/>
      <c r="SEC2998" s="299"/>
      <c r="SED2998" s="81"/>
      <c r="SEE2998" s="160"/>
      <c r="SEF2998" s="562"/>
      <c r="SEG2998" s="125"/>
      <c r="SEH2998" s="470"/>
      <c r="SEI2998" s="449"/>
      <c r="SEJ2998" s="462"/>
      <c r="SEK2998" s="299"/>
      <c r="SEL2998" s="81"/>
      <c r="SEM2998" s="160"/>
      <c r="SEN2998" s="562"/>
      <c r="SEO2998" s="125"/>
      <c r="SEP2998" s="470"/>
      <c r="SEQ2998" s="449"/>
      <c r="SER2998" s="462"/>
      <c r="SES2998" s="299"/>
      <c r="SET2998" s="81"/>
      <c r="SEU2998" s="160"/>
      <c r="SEV2998" s="562"/>
      <c r="SEW2998" s="125"/>
      <c r="SEX2998" s="470"/>
      <c r="SEY2998" s="449"/>
      <c r="SEZ2998" s="462"/>
      <c r="SFA2998" s="299"/>
      <c r="SFB2998" s="81"/>
      <c r="SFC2998" s="160"/>
      <c r="SFD2998" s="562"/>
      <c r="SFE2998" s="125"/>
      <c r="SFF2998" s="470"/>
      <c r="SFG2998" s="449"/>
      <c r="SFH2998" s="462"/>
      <c r="SFI2998" s="299"/>
      <c r="SFJ2998" s="81"/>
      <c r="SFK2998" s="160"/>
      <c r="SFL2998" s="562"/>
      <c r="SFM2998" s="125"/>
      <c r="SFN2998" s="470"/>
      <c r="SFO2998" s="449"/>
      <c r="SFP2998" s="462"/>
      <c r="SFQ2998" s="299"/>
      <c r="SFR2998" s="81"/>
      <c r="SFS2998" s="160"/>
      <c r="SFT2998" s="562"/>
      <c r="SFU2998" s="125"/>
      <c r="SFV2998" s="470"/>
      <c r="SFW2998" s="449"/>
      <c r="SFX2998" s="462"/>
      <c r="SFY2998" s="299"/>
      <c r="SFZ2998" s="81"/>
      <c r="SGA2998" s="160"/>
      <c r="SGB2998" s="562"/>
      <c r="SGC2998" s="125"/>
      <c r="SGD2998" s="470"/>
      <c r="SGE2998" s="449"/>
      <c r="SGF2998" s="462"/>
      <c r="SGG2998" s="299"/>
      <c r="SGH2998" s="81"/>
      <c r="SGI2998" s="160"/>
      <c r="SGJ2998" s="562"/>
      <c r="SGK2998" s="125"/>
      <c r="SGL2998" s="470"/>
      <c r="SGM2998" s="449"/>
      <c r="SGN2998" s="462"/>
      <c r="SGO2998" s="299"/>
      <c r="SGP2998" s="81"/>
      <c r="SGQ2998" s="160"/>
      <c r="SGR2998" s="562"/>
      <c r="SGS2998" s="125"/>
      <c r="SGT2998" s="470"/>
      <c r="SGU2998" s="449"/>
      <c r="SGV2998" s="462"/>
      <c r="SGW2998" s="299"/>
      <c r="SGX2998" s="81"/>
      <c r="SGY2998" s="160"/>
      <c r="SGZ2998" s="562"/>
      <c r="SHA2998" s="125"/>
      <c r="SHB2998" s="470"/>
      <c r="SHC2998" s="449"/>
      <c r="SHD2998" s="462"/>
      <c r="SHE2998" s="299"/>
      <c r="SHF2998" s="81"/>
      <c r="SHG2998" s="160"/>
      <c r="SHH2998" s="562"/>
      <c r="SHI2998" s="125"/>
      <c r="SHJ2998" s="470"/>
      <c r="SHK2998" s="449"/>
      <c r="SHL2998" s="462"/>
      <c r="SHM2998" s="299"/>
      <c r="SHN2998" s="81"/>
      <c r="SHO2998" s="160"/>
      <c r="SHP2998" s="562"/>
      <c r="SHQ2998" s="125"/>
      <c r="SHR2998" s="470"/>
      <c r="SHS2998" s="449"/>
      <c r="SHT2998" s="462"/>
      <c r="SHU2998" s="299"/>
      <c r="SHV2998" s="81"/>
      <c r="SHW2998" s="160"/>
      <c r="SHX2998" s="562"/>
      <c r="SHY2998" s="125"/>
      <c r="SHZ2998" s="470"/>
      <c r="SIA2998" s="449"/>
      <c r="SIB2998" s="462"/>
      <c r="SIC2998" s="299"/>
      <c r="SID2998" s="81"/>
      <c r="SIE2998" s="160"/>
      <c r="SIF2998" s="562"/>
      <c r="SIG2998" s="125"/>
      <c r="SIH2998" s="470"/>
      <c r="SII2998" s="449"/>
      <c r="SIJ2998" s="462"/>
      <c r="SIK2998" s="299"/>
      <c r="SIL2998" s="81"/>
      <c r="SIM2998" s="160"/>
      <c r="SIN2998" s="562"/>
      <c r="SIO2998" s="125"/>
      <c r="SIP2998" s="470"/>
      <c r="SIQ2998" s="449"/>
      <c r="SIR2998" s="462"/>
      <c r="SIS2998" s="299"/>
      <c r="SIT2998" s="81"/>
      <c r="SIU2998" s="160"/>
      <c r="SIV2998" s="562"/>
      <c r="SIW2998" s="125"/>
      <c r="SIX2998" s="470"/>
      <c r="SIY2998" s="449"/>
      <c r="SIZ2998" s="462"/>
      <c r="SJA2998" s="299"/>
      <c r="SJB2998" s="81"/>
      <c r="SJC2998" s="160"/>
      <c r="SJD2998" s="562"/>
      <c r="SJE2998" s="125"/>
      <c r="SJF2998" s="470"/>
      <c r="SJG2998" s="449"/>
      <c r="SJH2998" s="462"/>
      <c r="SJI2998" s="299"/>
      <c r="SJJ2998" s="81"/>
      <c r="SJK2998" s="160"/>
      <c r="SJL2998" s="562"/>
      <c r="SJM2998" s="125"/>
      <c r="SJN2998" s="470"/>
      <c r="SJO2998" s="449"/>
      <c r="SJP2998" s="462"/>
      <c r="SJQ2998" s="299"/>
      <c r="SJR2998" s="81"/>
      <c r="SJS2998" s="160"/>
      <c r="SJT2998" s="562"/>
      <c r="SJU2998" s="125"/>
      <c r="SJV2998" s="470"/>
      <c r="SJW2998" s="449"/>
      <c r="SJX2998" s="462"/>
      <c r="SJY2998" s="299"/>
      <c r="SJZ2998" s="81"/>
      <c r="SKA2998" s="160"/>
      <c r="SKB2998" s="562"/>
      <c r="SKC2998" s="125"/>
      <c r="SKD2998" s="470"/>
      <c r="SKE2998" s="449"/>
      <c r="SKF2998" s="462"/>
      <c r="SKG2998" s="299"/>
      <c r="SKH2998" s="81"/>
      <c r="SKI2998" s="160"/>
      <c r="SKJ2998" s="562"/>
      <c r="SKK2998" s="125"/>
      <c r="SKL2998" s="470"/>
      <c r="SKM2998" s="449"/>
      <c r="SKN2998" s="462"/>
      <c r="SKO2998" s="299"/>
      <c r="SKP2998" s="81"/>
      <c r="SKQ2998" s="160"/>
      <c r="SKR2998" s="562"/>
      <c r="SKS2998" s="125"/>
      <c r="SKT2998" s="470"/>
      <c r="SKU2998" s="449"/>
      <c r="SKV2998" s="462"/>
      <c r="SKW2998" s="299"/>
      <c r="SKX2998" s="81"/>
      <c r="SKY2998" s="160"/>
      <c r="SKZ2998" s="562"/>
      <c r="SLA2998" s="125"/>
      <c r="SLB2998" s="470"/>
      <c r="SLC2998" s="449"/>
      <c r="SLD2998" s="462"/>
      <c r="SLE2998" s="299"/>
      <c r="SLF2998" s="81"/>
      <c r="SLG2998" s="160"/>
      <c r="SLH2998" s="562"/>
      <c r="SLI2998" s="125"/>
      <c r="SLJ2998" s="470"/>
      <c r="SLK2998" s="449"/>
      <c r="SLL2998" s="462"/>
      <c r="SLM2998" s="299"/>
      <c r="SLN2998" s="81"/>
      <c r="SLO2998" s="160"/>
      <c r="SLP2998" s="562"/>
      <c r="SLQ2998" s="125"/>
      <c r="SLR2998" s="470"/>
      <c r="SLS2998" s="449"/>
      <c r="SLT2998" s="462"/>
      <c r="SLU2998" s="299"/>
      <c r="SLV2998" s="81"/>
      <c r="SLW2998" s="160"/>
      <c r="SLX2998" s="562"/>
      <c r="SLY2998" s="125"/>
      <c r="SLZ2998" s="470"/>
      <c r="SMA2998" s="449"/>
      <c r="SMB2998" s="462"/>
      <c r="SMC2998" s="299"/>
      <c r="SMD2998" s="81"/>
      <c r="SME2998" s="160"/>
      <c r="SMF2998" s="562"/>
      <c r="SMG2998" s="125"/>
      <c r="SMH2998" s="470"/>
      <c r="SMI2998" s="449"/>
      <c r="SMJ2998" s="462"/>
      <c r="SMK2998" s="299"/>
      <c r="SML2998" s="81"/>
      <c r="SMM2998" s="160"/>
      <c r="SMN2998" s="562"/>
      <c r="SMO2998" s="125"/>
      <c r="SMP2998" s="470"/>
      <c r="SMQ2998" s="449"/>
      <c r="SMR2998" s="462"/>
      <c r="SMS2998" s="299"/>
      <c r="SMT2998" s="81"/>
      <c r="SMU2998" s="160"/>
      <c r="SMV2998" s="562"/>
      <c r="SMW2998" s="125"/>
      <c r="SMX2998" s="470"/>
      <c r="SMY2998" s="449"/>
      <c r="SMZ2998" s="462"/>
      <c r="SNA2998" s="299"/>
      <c r="SNB2998" s="81"/>
      <c r="SNC2998" s="160"/>
      <c r="SND2998" s="562"/>
      <c r="SNE2998" s="125"/>
      <c r="SNF2998" s="470"/>
      <c r="SNG2998" s="449"/>
      <c r="SNH2998" s="462"/>
      <c r="SNI2998" s="299"/>
      <c r="SNJ2998" s="81"/>
      <c r="SNK2998" s="160"/>
      <c r="SNL2998" s="562"/>
      <c r="SNM2998" s="125"/>
      <c r="SNN2998" s="470"/>
      <c r="SNO2998" s="449"/>
      <c r="SNP2998" s="462"/>
      <c r="SNQ2998" s="299"/>
      <c r="SNR2998" s="81"/>
      <c r="SNS2998" s="160"/>
      <c r="SNT2998" s="562"/>
      <c r="SNU2998" s="125"/>
      <c r="SNV2998" s="470"/>
      <c r="SNW2998" s="449"/>
      <c r="SNX2998" s="462"/>
      <c r="SNY2998" s="299"/>
      <c r="SNZ2998" s="81"/>
      <c r="SOA2998" s="160"/>
      <c r="SOB2998" s="562"/>
      <c r="SOC2998" s="125"/>
      <c r="SOD2998" s="470"/>
      <c r="SOE2998" s="449"/>
      <c r="SOF2998" s="462"/>
      <c r="SOG2998" s="299"/>
      <c r="SOH2998" s="81"/>
      <c r="SOI2998" s="160"/>
      <c r="SOJ2998" s="562"/>
      <c r="SOK2998" s="125"/>
      <c r="SOL2998" s="470"/>
      <c r="SOM2998" s="449"/>
      <c r="SON2998" s="462"/>
      <c r="SOO2998" s="299"/>
      <c r="SOP2998" s="81"/>
      <c r="SOQ2998" s="160"/>
      <c r="SOR2998" s="562"/>
      <c r="SOS2998" s="125"/>
      <c r="SOT2998" s="470"/>
      <c r="SOU2998" s="449"/>
      <c r="SOV2998" s="462"/>
      <c r="SOW2998" s="299"/>
      <c r="SOX2998" s="81"/>
      <c r="SOY2998" s="160"/>
      <c r="SOZ2998" s="562"/>
      <c r="SPA2998" s="125"/>
      <c r="SPB2998" s="470"/>
      <c r="SPC2998" s="449"/>
      <c r="SPD2998" s="462"/>
      <c r="SPE2998" s="299"/>
      <c r="SPF2998" s="81"/>
      <c r="SPG2998" s="160"/>
      <c r="SPH2998" s="562"/>
      <c r="SPI2998" s="125"/>
      <c r="SPJ2998" s="470"/>
      <c r="SPK2998" s="449"/>
      <c r="SPL2998" s="462"/>
      <c r="SPM2998" s="299"/>
      <c r="SPN2998" s="81"/>
      <c r="SPO2998" s="160"/>
      <c r="SPP2998" s="562"/>
      <c r="SPQ2998" s="125"/>
      <c r="SPR2998" s="470"/>
      <c r="SPS2998" s="449"/>
      <c r="SPT2998" s="462"/>
      <c r="SPU2998" s="299"/>
      <c r="SPV2998" s="81"/>
      <c r="SPW2998" s="160"/>
      <c r="SPX2998" s="562"/>
      <c r="SPY2998" s="125"/>
      <c r="SPZ2998" s="470"/>
      <c r="SQA2998" s="449"/>
      <c r="SQB2998" s="462"/>
      <c r="SQC2998" s="299"/>
      <c r="SQD2998" s="81"/>
      <c r="SQE2998" s="160"/>
      <c r="SQF2998" s="562"/>
      <c r="SQG2998" s="125"/>
      <c r="SQH2998" s="470"/>
      <c r="SQI2998" s="449"/>
      <c r="SQJ2998" s="462"/>
      <c r="SQK2998" s="299"/>
      <c r="SQL2998" s="81"/>
      <c r="SQM2998" s="160"/>
      <c r="SQN2998" s="562"/>
      <c r="SQO2998" s="125"/>
      <c r="SQP2998" s="470"/>
      <c r="SQQ2998" s="449"/>
      <c r="SQR2998" s="462"/>
      <c r="SQS2998" s="299"/>
      <c r="SQT2998" s="81"/>
      <c r="SQU2998" s="160"/>
      <c r="SQV2998" s="562"/>
      <c r="SQW2998" s="125"/>
      <c r="SQX2998" s="470"/>
      <c r="SQY2998" s="449"/>
      <c r="SQZ2998" s="462"/>
      <c r="SRA2998" s="299"/>
      <c r="SRB2998" s="81"/>
      <c r="SRC2998" s="160"/>
      <c r="SRD2998" s="562"/>
      <c r="SRE2998" s="125"/>
      <c r="SRF2998" s="470"/>
      <c r="SRG2998" s="449"/>
      <c r="SRH2998" s="462"/>
      <c r="SRI2998" s="299"/>
      <c r="SRJ2998" s="81"/>
      <c r="SRK2998" s="160"/>
      <c r="SRL2998" s="562"/>
      <c r="SRM2998" s="125"/>
      <c r="SRN2998" s="470"/>
      <c r="SRO2998" s="449"/>
      <c r="SRP2998" s="462"/>
      <c r="SRQ2998" s="299"/>
      <c r="SRR2998" s="81"/>
      <c r="SRS2998" s="160"/>
      <c r="SRT2998" s="562"/>
      <c r="SRU2998" s="125"/>
      <c r="SRV2998" s="470"/>
      <c r="SRW2998" s="449"/>
      <c r="SRX2998" s="462"/>
      <c r="SRY2998" s="299"/>
      <c r="SRZ2998" s="81"/>
      <c r="SSA2998" s="160"/>
      <c r="SSB2998" s="562"/>
      <c r="SSC2998" s="125"/>
      <c r="SSD2998" s="470"/>
      <c r="SSE2998" s="449"/>
      <c r="SSF2998" s="462"/>
      <c r="SSG2998" s="299"/>
      <c r="SSH2998" s="81"/>
      <c r="SSI2998" s="160"/>
      <c r="SSJ2998" s="562"/>
      <c r="SSK2998" s="125"/>
      <c r="SSL2998" s="470"/>
      <c r="SSM2998" s="449"/>
      <c r="SSN2998" s="462"/>
      <c r="SSO2998" s="299"/>
      <c r="SSP2998" s="81"/>
      <c r="SSQ2998" s="160"/>
      <c r="SSR2998" s="562"/>
      <c r="SSS2998" s="125"/>
      <c r="SST2998" s="470"/>
      <c r="SSU2998" s="449"/>
      <c r="SSV2998" s="462"/>
      <c r="SSW2998" s="299"/>
      <c r="SSX2998" s="81"/>
      <c r="SSY2998" s="160"/>
      <c r="SSZ2998" s="562"/>
      <c r="STA2998" s="125"/>
      <c r="STB2998" s="470"/>
      <c r="STC2998" s="449"/>
      <c r="STD2998" s="462"/>
      <c r="STE2998" s="299"/>
      <c r="STF2998" s="81"/>
      <c r="STG2998" s="160"/>
      <c r="STH2998" s="562"/>
      <c r="STI2998" s="125"/>
      <c r="STJ2998" s="470"/>
      <c r="STK2998" s="449"/>
      <c r="STL2998" s="462"/>
      <c r="STM2998" s="299"/>
      <c r="STN2998" s="81"/>
      <c r="STO2998" s="160"/>
      <c r="STP2998" s="562"/>
      <c r="STQ2998" s="125"/>
      <c r="STR2998" s="470"/>
      <c r="STS2998" s="449"/>
      <c r="STT2998" s="462"/>
      <c r="STU2998" s="299"/>
      <c r="STV2998" s="81"/>
      <c r="STW2998" s="160"/>
      <c r="STX2998" s="562"/>
      <c r="STY2998" s="125"/>
      <c r="STZ2998" s="470"/>
      <c r="SUA2998" s="449"/>
      <c r="SUB2998" s="462"/>
      <c r="SUC2998" s="299"/>
      <c r="SUD2998" s="81"/>
      <c r="SUE2998" s="160"/>
      <c r="SUF2998" s="562"/>
      <c r="SUG2998" s="125"/>
      <c r="SUH2998" s="470"/>
      <c r="SUI2998" s="449"/>
      <c r="SUJ2998" s="462"/>
      <c r="SUK2998" s="299"/>
      <c r="SUL2998" s="81"/>
      <c r="SUM2998" s="160"/>
      <c r="SUN2998" s="562"/>
      <c r="SUO2998" s="125"/>
      <c r="SUP2998" s="470"/>
      <c r="SUQ2998" s="449"/>
      <c r="SUR2998" s="462"/>
      <c r="SUS2998" s="299"/>
      <c r="SUT2998" s="81"/>
      <c r="SUU2998" s="160"/>
      <c r="SUV2998" s="562"/>
      <c r="SUW2998" s="125"/>
      <c r="SUX2998" s="470"/>
      <c r="SUY2998" s="449"/>
      <c r="SUZ2998" s="462"/>
      <c r="SVA2998" s="299"/>
      <c r="SVB2998" s="81"/>
      <c r="SVC2998" s="160"/>
      <c r="SVD2998" s="562"/>
      <c r="SVE2998" s="125"/>
      <c r="SVF2998" s="470"/>
      <c r="SVG2998" s="449"/>
      <c r="SVH2998" s="462"/>
      <c r="SVI2998" s="299"/>
      <c r="SVJ2998" s="81"/>
      <c r="SVK2998" s="160"/>
      <c r="SVL2998" s="562"/>
      <c r="SVM2998" s="125"/>
      <c r="SVN2998" s="470"/>
      <c r="SVO2998" s="449"/>
      <c r="SVP2998" s="462"/>
      <c r="SVQ2998" s="299"/>
      <c r="SVR2998" s="81"/>
      <c r="SVS2998" s="160"/>
      <c r="SVT2998" s="562"/>
      <c r="SVU2998" s="125"/>
      <c r="SVV2998" s="470"/>
      <c r="SVW2998" s="449"/>
      <c r="SVX2998" s="462"/>
      <c r="SVY2998" s="299"/>
      <c r="SVZ2998" s="81"/>
      <c r="SWA2998" s="160"/>
      <c r="SWB2998" s="562"/>
      <c r="SWC2998" s="125"/>
      <c r="SWD2998" s="470"/>
      <c r="SWE2998" s="449"/>
      <c r="SWF2998" s="462"/>
      <c r="SWG2998" s="299"/>
      <c r="SWH2998" s="81"/>
      <c r="SWI2998" s="160"/>
      <c r="SWJ2998" s="562"/>
      <c r="SWK2998" s="125"/>
      <c r="SWL2998" s="470"/>
      <c r="SWM2998" s="449"/>
      <c r="SWN2998" s="462"/>
      <c r="SWO2998" s="299"/>
      <c r="SWP2998" s="81"/>
      <c r="SWQ2998" s="160"/>
      <c r="SWR2998" s="562"/>
      <c r="SWS2998" s="125"/>
      <c r="SWT2998" s="470"/>
      <c r="SWU2998" s="449"/>
      <c r="SWV2998" s="462"/>
      <c r="SWW2998" s="299"/>
      <c r="SWX2998" s="81"/>
      <c r="SWY2998" s="160"/>
      <c r="SWZ2998" s="562"/>
      <c r="SXA2998" s="125"/>
      <c r="SXB2998" s="470"/>
      <c r="SXC2998" s="449"/>
      <c r="SXD2998" s="462"/>
      <c r="SXE2998" s="299"/>
      <c r="SXF2998" s="81"/>
      <c r="SXG2998" s="160"/>
      <c r="SXH2998" s="562"/>
      <c r="SXI2998" s="125"/>
      <c r="SXJ2998" s="470"/>
      <c r="SXK2998" s="449"/>
      <c r="SXL2998" s="462"/>
      <c r="SXM2998" s="299"/>
      <c r="SXN2998" s="81"/>
      <c r="SXO2998" s="160"/>
      <c r="SXP2998" s="562"/>
      <c r="SXQ2998" s="125"/>
      <c r="SXR2998" s="470"/>
      <c r="SXS2998" s="449"/>
      <c r="SXT2998" s="462"/>
      <c r="SXU2998" s="299"/>
      <c r="SXV2998" s="81"/>
      <c r="SXW2998" s="160"/>
      <c r="SXX2998" s="562"/>
      <c r="SXY2998" s="125"/>
      <c r="SXZ2998" s="470"/>
      <c r="SYA2998" s="449"/>
      <c r="SYB2998" s="462"/>
      <c r="SYC2998" s="299"/>
      <c r="SYD2998" s="81"/>
      <c r="SYE2998" s="160"/>
      <c r="SYF2998" s="562"/>
      <c r="SYG2998" s="125"/>
      <c r="SYH2998" s="470"/>
      <c r="SYI2998" s="449"/>
      <c r="SYJ2998" s="462"/>
      <c r="SYK2998" s="299"/>
      <c r="SYL2998" s="81"/>
      <c r="SYM2998" s="160"/>
      <c r="SYN2998" s="562"/>
      <c r="SYO2998" s="125"/>
      <c r="SYP2998" s="470"/>
      <c r="SYQ2998" s="449"/>
      <c r="SYR2998" s="462"/>
      <c r="SYS2998" s="299"/>
      <c r="SYT2998" s="81"/>
      <c r="SYU2998" s="160"/>
      <c r="SYV2998" s="562"/>
      <c r="SYW2998" s="125"/>
      <c r="SYX2998" s="470"/>
      <c r="SYY2998" s="449"/>
      <c r="SYZ2998" s="462"/>
      <c r="SZA2998" s="299"/>
      <c r="SZB2998" s="81"/>
      <c r="SZC2998" s="160"/>
      <c r="SZD2998" s="562"/>
      <c r="SZE2998" s="125"/>
      <c r="SZF2998" s="470"/>
      <c r="SZG2998" s="449"/>
      <c r="SZH2998" s="462"/>
      <c r="SZI2998" s="299"/>
      <c r="SZJ2998" s="81"/>
      <c r="SZK2998" s="160"/>
      <c r="SZL2998" s="562"/>
      <c r="SZM2998" s="125"/>
      <c r="SZN2998" s="470"/>
      <c r="SZO2998" s="449"/>
      <c r="SZP2998" s="462"/>
      <c r="SZQ2998" s="299"/>
      <c r="SZR2998" s="81"/>
      <c r="SZS2998" s="160"/>
      <c r="SZT2998" s="562"/>
      <c r="SZU2998" s="125"/>
      <c r="SZV2998" s="470"/>
      <c r="SZW2998" s="449"/>
      <c r="SZX2998" s="462"/>
      <c r="SZY2998" s="299"/>
      <c r="SZZ2998" s="81"/>
      <c r="TAA2998" s="160"/>
      <c r="TAB2998" s="562"/>
      <c r="TAC2998" s="125"/>
      <c r="TAD2998" s="470"/>
      <c r="TAE2998" s="449"/>
      <c r="TAF2998" s="462"/>
      <c r="TAG2998" s="299"/>
      <c r="TAH2998" s="81"/>
      <c r="TAI2998" s="160"/>
      <c r="TAJ2998" s="562"/>
      <c r="TAK2998" s="125"/>
      <c r="TAL2998" s="470"/>
      <c r="TAM2998" s="449"/>
      <c r="TAN2998" s="462"/>
      <c r="TAO2998" s="299"/>
      <c r="TAP2998" s="81"/>
      <c r="TAQ2998" s="160"/>
      <c r="TAR2998" s="562"/>
      <c r="TAS2998" s="125"/>
      <c r="TAT2998" s="470"/>
      <c r="TAU2998" s="449"/>
      <c r="TAV2998" s="462"/>
      <c r="TAW2998" s="299"/>
      <c r="TAX2998" s="81"/>
      <c r="TAY2998" s="160"/>
      <c r="TAZ2998" s="562"/>
      <c r="TBA2998" s="125"/>
      <c r="TBB2998" s="470"/>
      <c r="TBC2998" s="449"/>
      <c r="TBD2998" s="462"/>
      <c r="TBE2998" s="299"/>
      <c r="TBF2998" s="81"/>
      <c r="TBG2998" s="160"/>
      <c r="TBH2998" s="562"/>
      <c r="TBI2998" s="125"/>
      <c r="TBJ2998" s="470"/>
      <c r="TBK2998" s="449"/>
      <c r="TBL2998" s="462"/>
      <c r="TBM2998" s="299"/>
      <c r="TBN2998" s="81"/>
      <c r="TBO2998" s="160"/>
      <c r="TBP2998" s="562"/>
      <c r="TBQ2998" s="125"/>
      <c r="TBR2998" s="470"/>
      <c r="TBS2998" s="449"/>
      <c r="TBT2998" s="462"/>
      <c r="TBU2998" s="299"/>
      <c r="TBV2998" s="81"/>
      <c r="TBW2998" s="160"/>
      <c r="TBX2998" s="562"/>
      <c r="TBY2998" s="125"/>
      <c r="TBZ2998" s="470"/>
      <c r="TCA2998" s="449"/>
      <c r="TCB2998" s="462"/>
      <c r="TCC2998" s="299"/>
      <c r="TCD2998" s="81"/>
      <c r="TCE2998" s="160"/>
      <c r="TCF2998" s="562"/>
      <c r="TCG2998" s="125"/>
      <c r="TCH2998" s="470"/>
      <c r="TCI2998" s="449"/>
      <c r="TCJ2998" s="462"/>
      <c r="TCK2998" s="299"/>
      <c r="TCL2998" s="81"/>
      <c r="TCM2998" s="160"/>
      <c r="TCN2998" s="562"/>
      <c r="TCO2998" s="125"/>
      <c r="TCP2998" s="470"/>
      <c r="TCQ2998" s="449"/>
      <c r="TCR2998" s="462"/>
      <c r="TCS2998" s="299"/>
      <c r="TCT2998" s="81"/>
      <c r="TCU2998" s="160"/>
      <c r="TCV2998" s="562"/>
      <c r="TCW2998" s="125"/>
      <c r="TCX2998" s="470"/>
      <c r="TCY2998" s="449"/>
      <c r="TCZ2998" s="462"/>
      <c r="TDA2998" s="299"/>
      <c r="TDB2998" s="81"/>
      <c r="TDC2998" s="160"/>
      <c r="TDD2998" s="562"/>
      <c r="TDE2998" s="125"/>
      <c r="TDF2998" s="470"/>
      <c r="TDG2998" s="449"/>
      <c r="TDH2998" s="462"/>
      <c r="TDI2998" s="299"/>
      <c r="TDJ2998" s="81"/>
      <c r="TDK2998" s="160"/>
      <c r="TDL2998" s="562"/>
      <c r="TDM2998" s="125"/>
      <c r="TDN2998" s="470"/>
      <c r="TDO2998" s="449"/>
      <c r="TDP2998" s="462"/>
      <c r="TDQ2998" s="299"/>
      <c r="TDR2998" s="81"/>
      <c r="TDS2998" s="160"/>
      <c r="TDT2998" s="562"/>
      <c r="TDU2998" s="125"/>
      <c r="TDV2998" s="470"/>
      <c r="TDW2998" s="449"/>
      <c r="TDX2998" s="462"/>
      <c r="TDY2998" s="299"/>
      <c r="TDZ2998" s="81"/>
      <c r="TEA2998" s="160"/>
      <c r="TEB2998" s="562"/>
      <c r="TEC2998" s="125"/>
      <c r="TED2998" s="470"/>
      <c r="TEE2998" s="449"/>
      <c r="TEF2998" s="462"/>
      <c r="TEG2998" s="299"/>
      <c r="TEH2998" s="81"/>
      <c r="TEI2998" s="160"/>
      <c r="TEJ2998" s="562"/>
      <c r="TEK2998" s="125"/>
      <c r="TEL2998" s="470"/>
      <c r="TEM2998" s="449"/>
      <c r="TEN2998" s="462"/>
      <c r="TEO2998" s="299"/>
      <c r="TEP2998" s="81"/>
      <c r="TEQ2998" s="160"/>
      <c r="TER2998" s="562"/>
      <c r="TES2998" s="125"/>
      <c r="TET2998" s="470"/>
      <c r="TEU2998" s="449"/>
      <c r="TEV2998" s="462"/>
      <c r="TEW2998" s="299"/>
      <c r="TEX2998" s="81"/>
      <c r="TEY2998" s="160"/>
      <c r="TEZ2998" s="562"/>
      <c r="TFA2998" s="125"/>
      <c r="TFB2998" s="470"/>
      <c r="TFC2998" s="449"/>
      <c r="TFD2998" s="462"/>
      <c r="TFE2998" s="299"/>
      <c r="TFF2998" s="81"/>
      <c r="TFG2998" s="160"/>
      <c r="TFH2998" s="562"/>
      <c r="TFI2998" s="125"/>
      <c r="TFJ2998" s="470"/>
      <c r="TFK2998" s="449"/>
      <c r="TFL2998" s="462"/>
      <c r="TFM2998" s="299"/>
      <c r="TFN2998" s="81"/>
      <c r="TFO2998" s="160"/>
      <c r="TFP2998" s="562"/>
      <c r="TFQ2998" s="125"/>
      <c r="TFR2998" s="470"/>
      <c r="TFS2998" s="449"/>
      <c r="TFT2998" s="462"/>
      <c r="TFU2998" s="299"/>
      <c r="TFV2998" s="81"/>
      <c r="TFW2998" s="160"/>
      <c r="TFX2998" s="562"/>
      <c r="TFY2998" s="125"/>
      <c r="TFZ2998" s="470"/>
      <c r="TGA2998" s="449"/>
      <c r="TGB2998" s="462"/>
      <c r="TGC2998" s="299"/>
      <c r="TGD2998" s="81"/>
      <c r="TGE2998" s="160"/>
      <c r="TGF2998" s="562"/>
      <c r="TGG2998" s="125"/>
      <c r="TGH2998" s="470"/>
      <c r="TGI2998" s="449"/>
      <c r="TGJ2998" s="462"/>
      <c r="TGK2998" s="299"/>
      <c r="TGL2998" s="81"/>
      <c r="TGM2998" s="160"/>
      <c r="TGN2998" s="562"/>
      <c r="TGO2998" s="125"/>
      <c r="TGP2998" s="470"/>
      <c r="TGQ2998" s="449"/>
      <c r="TGR2998" s="462"/>
      <c r="TGS2998" s="299"/>
      <c r="TGT2998" s="81"/>
      <c r="TGU2998" s="160"/>
      <c r="TGV2998" s="562"/>
      <c r="TGW2998" s="125"/>
      <c r="TGX2998" s="470"/>
      <c r="TGY2998" s="449"/>
      <c r="TGZ2998" s="462"/>
      <c r="THA2998" s="299"/>
      <c r="THB2998" s="81"/>
      <c r="THC2998" s="160"/>
      <c r="THD2998" s="562"/>
      <c r="THE2998" s="125"/>
      <c r="THF2998" s="470"/>
      <c r="THG2998" s="449"/>
      <c r="THH2998" s="462"/>
      <c r="THI2998" s="299"/>
      <c r="THJ2998" s="81"/>
      <c r="THK2998" s="160"/>
      <c r="THL2998" s="562"/>
      <c r="THM2998" s="125"/>
      <c r="THN2998" s="470"/>
      <c r="THO2998" s="449"/>
      <c r="THP2998" s="462"/>
      <c r="THQ2998" s="299"/>
      <c r="THR2998" s="81"/>
      <c r="THS2998" s="160"/>
      <c r="THT2998" s="562"/>
      <c r="THU2998" s="125"/>
      <c r="THV2998" s="470"/>
      <c r="THW2998" s="449"/>
      <c r="THX2998" s="462"/>
      <c r="THY2998" s="299"/>
      <c r="THZ2998" s="81"/>
      <c r="TIA2998" s="160"/>
      <c r="TIB2998" s="562"/>
      <c r="TIC2998" s="125"/>
      <c r="TID2998" s="470"/>
      <c r="TIE2998" s="449"/>
      <c r="TIF2998" s="462"/>
      <c r="TIG2998" s="299"/>
      <c r="TIH2998" s="81"/>
      <c r="TII2998" s="160"/>
      <c r="TIJ2998" s="562"/>
      <c r="TIK2998" s="125"/>
      <c r="TIL2998" s="470"/>
      <c r="TIM2998" s="449"/>
      <c r="TIN2998" s="462"/>
      <c r="TIO2998" s="299"/>
      <c r="TIP2998" s="81"/>
      <c r="TIQ2998" s="160"/>
      <c r="TIR2998" s="562"/>
      <c r="TIS2998" s="125"/>
      <c r="TIT2998" s="470"/>
      <c r="TIU2998" s="449"/>
      <c r="TIV2998" s="462"/>
      <c r="TIW2998" s="299"/>
      <c r="TIX2998" s="81"/>
      <c r="TIY2998" s="160"/>
      <c r="TIZ2998" s="562"/>
      <c r="TJA2998" s="125"/>
      <c r="TJB2998" s="470"/>
      <c r="TJC2998" s="449"/>
      <c r="TJD2998" s="462"/>
      <c r="TJE2998" s="299"/>
      <c r="TJF2998" s="81"/>
      <c r="TJG2998" s="160"/>
      <c r="TJH2998" s="562"/>
      <c r="TJI2998" s="125"/>
      <c r="TJJ2998" s="470"/>
      <c r="TJK2998" s="449"/>
      <c r="TJL2998" s="462"/>
      <c r="TJM2998" s="299"/>
      <c r="TJN2998" s="81"/>
      <c r="TJO2998" s="160"/>
      <c r="TJP2998" s="562"/>
      <c r="TJQ2998" s="125"/>
      <c r="TJR2998" s="470"/>
      <c r="TJS2998" s="449"/>
      <c r="TJT2998" s="462"/>
      <c r="TJU2998" s="299"/>
      <c r="TJV2998" s="81"/>
      <c r="TJW2998" s="160"/>
      <c r="TJX2998" s="562"/>
      <c r="TJY2998" s="125"/>
      <c r="TJZ2998" s="470"/>
      <c r="TKA2998" s="449"/>
      <c r="TKB2998" s="462"/>
      <c r="TKC2998" s="299"/>
      <c r="TKD2998" s="81"/>
      <c r="TKE2998" s="160"/>
      <c r="TKF2998" s="562"/>
      <c r="TKG2998" s="125"/>
      <c r="TKH2998" s="470"/>
      <c r="TKI2998" s="449"/>
      <c r="TKJ2998" s="462"/>
      <c r="TKK2998" s="299"/>
      <c r="TKL2998" s="81"/>
      <c r="TKM2998" s="160"/>
      <c r="TKN2998" s="562"/>
      <c r="TKO2998" s="125"/>
      <c r="TKP2998" s="470"/>
      <c r="TKQ2998" s="449"/>
      <c r="TKR2998" s="462"/>
      <c r="TKS2998" s="299"/>
      <c r="TKT2998" s="81"/>
      <c r="TKU2998" s="160"/>
      <c r="TKV2998" s="562"/>
      <c r="TKW2998" s="125"/>
      <c r="TKX2998" s="470"/>
      <c r="TKY2998" s="449"/>
      <c r="TKZ2998" s="462"/>
      <c r="TLA2998" s="299"/>
      <c r="TLB2998" s="81"/>
      <c r="TLC2998" s="160"/>
      <c r="TLD2998" s="562"/>
      <c r="TLE2998" s="125"/>
      <c r="TLF2998" s="470"/>
      <c r="TLG2998" s="449"/>
      <c r="TLH2998" s="462"/>
      <c r="TLI2998" s="299"/>
      <c r="TLJ2998" s="81"/>
      <c r="TLK2998" s="160"/>
      <c r="TLL2998" s="562"/>
      <c r="TLM2998" s="125"/>
      <c r="TLN2998" s="470"/>
      <c r="TLO2998" s="449"/>
      <c r="TLP2998" s="462"/>
      <c r="TLQ2998" s="299"/>
      <c r="TLR2998" s="81"/>
      <c r="TLS2998" s="160"/>
      <c r="TLT2998" s="562"/>
      <c r="TLU2998" s="125"/>
      <c r="TLV2998" s="470"/>
      <c r="TLW2998" s="449"/>
      <c r="TLX2998" s="462"/>
      <c r="TLY2998" s="299"/>
      <c r="TLZ2998" s="81"/>
      <c r="TMA2998" s="160"/>
      <c r="TMB2998" s="562"/>
      <c r="TMC2998" s="125"/>
      <c r="TMD2998" s="470"/>
      <c r="TME2998" s="449"/>
      <c r="TMF2998" s="462"/>
      <c r="TMG2998" s="299"/>
      <c r="TMH2998" s="81"/>
      <c r="TMI2998" s="160"/>
      <c r="TMJ2998" s="562"/>
      <c r="TMK2998" s="125"/>
      <c r="TML2998" s="470"/>
      <c r="TMM2998" s="449"/>
      <c r="TMN2998" s="462"/>
      <c r="TMO2998" s="299"/>
      <c r="TMP2998" s="81"/>
      <c r="TMQ2998" s="160"/>
      <c r="TMR2998" s="562"/>
      <c r="TMS2998" s="125"/>
      <c r="TMT2998" s="470"/>
      <c r="TMU2998" s="449"/>
      <c r="TMV2998" s="462"/>
      <c r="TMW2998" s="299"/>
      <c r="TMX2998" s="81"/>
      <c r="TMY2998" s="160"/>
      <c r="TMZ2998" s="562"/>
      <c r="TNA2998" s="125"/>
      <c r="TNB2998" s="470"/>
      <c r="TNC2998" s="449"/>
      <c r="TND2998" s="462"/>
      <c r="TNE2998" s="299"/>
      <c r="TNF2998" s="81"/>
      <c r="TNG2998" s="160"/>
      <c r="TNH2998" s="562"/>
      <c r="TNI2998" s="125"/>
      <c r="TNJ2998" s="470"/>
      <c r="TNK2998" s="449"/>
      <c r="TNL2998" s="462"/>
      <c r="TNM2998" s="299"/>
      <c r="TNN2998" s="81"/>
      <c r="TNO2998" s="160"/>
      <c r="TNP2998" s="562"/>
      <c r="TNQ2998" s="125"/>
      <c r="TNR2998" s="470"/>
      <c r="TNS2998" s="449"/>
      <c r="TNT2998" s="462"/>
      <c r="TNU2998" s="299"/>
      <c r="TNV2998" s="81"/>
      <c r="TNW2998" s="160"/>
      <c r="TNX2998" s="562"/>
      <c r="TNY2998" s="125"/>
      <c r="TNZ2998" s="470"/>
      <c r="TOA2998" s="449"/>
      <c r="TOB2998" s="462"/>
      <c r="TOC2998" s="299"/>
      <c r="TOD2998" s="81"/>
      <c r="TOE2998" s="160"/>
      <c r="TOF2998" s="562"/>
      <c r="TOG2998" s="125"/>
      <c r="TOH2998" s="470"/>
      <c r="TOI2998" s="449"/>
      <c r="TOJ2998" s="462"/>
      <c r="TOK2998" s="299"/>
      <c r="TOL2998" s="81"/>
      <c r="TOM2998" s="160"/>
      <c r="TON2998" s="562"/>
      <c r="TOO2998" s="125"/>
      <c r="TOP2998" s="470"/>
      <c r="TOQ2998" s="449"/>
      <c r="TOR2998" s="462"/>
      <c r="TOS2998" s="299"/>
      <c r="TOT2998" s="81"/>
      <c r="TOU2998" s="160"/>
      <c r="TOV2998" s="562"/>
      <c r="TOW2998" s="125"/>
      <c r="TOX2998" s="470"/>
      <c r="TOY2998" s="449"/>
      <c r="TOZ2998" s="462"/>
      <c r="TPA2998" s="299"/>
      <c r="TPB2998" s="81"/>
      <c r="TPC2998" s="160"/>
      <c r="TPD2998" s="562"/>
      <c r="TPE2998" s="125"/>
      <c r="TPF2998" s="470"/>
      <c r="TPG2998" s="449"/>
      <c r="TPH2998" s="462"/>
      <c r="TPI2998" s="299"/>
      <c r="TPJ2998" s="81"/>
      <c r="TPK2998" s="160"/>
      <c r="TPL2998" s="562"/>
      <c r="TPM2998" s="125"/>
      <c r="TPN2998" s="470"/>
      <c r="TPO2998" s="449"/>
      <c r="TPP2998" s="462"/>
      <c r="TPQ2998" s="299"/>
      <c r="TPR2998" s="81"/>
      <c r="TPS2998" s="160"/>
      <c r="TPT2998" s="562"/>
      <c r="TPU2998" s="125"/>
      <c r="TPV2998" s="470"/>
      <c r="TPW2998" s="449"/>
      <c r="TPX2998" s="462"/>
      <c r="TPY2998" s="299"/>
      <c r="TPZ2998" s="81"/>
      <c r="TQA2998" s="160"/>
      <c r="TQB2998" s="562"/>
      <c r="TQC2998" s="125"/>
      <c r="TQD2998" s="470"/>
      <c r="TQE2998" s="449"/>
      <c r="TQF2998" s="462"/>
      <c r="TQG2998" s="299"/>
      <c r="TQH2998" s="81"/>
      <c r="TQI2998" s="160"/>
      <c r="TQJ2998" s="562"/>
      <c r="TQK2998" s="125"/>
      <c r="TQL2998" s="470"/>
      <c r="TQM2998" s="449"/>
      <c r="TQN2998" s="462"/>
      <c r="TQO2998" s="299"/>
      <c r="TQP2998" s="81"/>
      <c r="TQQ2998" s="160"/>
      <c r="TQR2998" s="562"/>
      <c r="TQS2998" s="125"/>
      <c r="TQT2998" s="470"/>
      <c r="TQU2998" s="449"/>
      <c r="TQV2998" s="462"/>
      <c r="TQW2998" s="299"/>
      <c r="TQX2998" s="81"/>
      <c r="TQY2998" s="160"/>
      <c r="TQZ2998" s="562"/>
      <c r="TRA2998" s="125"/>
      <c r="TRB2998" s="470"/>
      <c r="TRC2998" s="449"/>
      <c r="TRD2998" s="462"/>
      <c r="TRE2998" s="299"/>
      <c r="TRF2998" s="81"/>
      <c r="TRG2998" s="160"/>
      <c r="TRH2998" s="562"/>
      <c r="TRI2998" s="125"/>
      <c r="TRJ2998" s="470"/>
      <c r="TRK2998" s="449"/>
      <c r="TRL2998" s="462"/>
      <c r="TRM2998" s="299"/>
      <c r="TRN2998" s="81"/>
      <c r="TRO2998" s="160"/>
      <c r="TRP2998" s="562"/>
      <c r="TRQ2998" s="125"/>
      <c r="TRR2998" s="470"/>
      <c r="TRS2998" s="449"/>
      <c r="TRT2998" s="462"/>
      <c r="TRU2998" s="299"/>
      <c r="TRV2998" s="81"/>
      <c r="TRW2998" s="160"/>
      <c r="TRX2998" s="562"/>
      <c r="TRY2998" s="125"/>
      <c r="TRZ2998" s="470"/>
      <c r="TSA2998" s="449"/>
      <c r="TSB2998" s="462"/>
      <c r="TSC2998" s="299"/>
      <c r="TSD2998" s="81"/>
      <c r="TSE2998" s="160"/>
      <c r="TSF2998" s="562"/>
      <c r="TSG2998" s="125"/>
      <c r="TSH2998" s="470"/>
      <c r="TSI2998" s="449"/>
      <c r="TSJ2998" s="462"/>
      <c r="TSK2998" s="299"/>
      <c r="TSL2998" s="81"/>
      <c r="TSM2998" s="160"/>
      <c r="TSN2998" s="562"/>
      <c r="TSO2998" s="125"/>
      <c r="TSP2998" s="470"/>
      <c r="TSQ2998" s="449"/>
      <c r="TSR2998" s="462"/>
      <c r="TSS2998" s="299"/>
      <c r="TST2998" s="81"/>
      <c r="TSU2998" s="160"/>
      <c r="TSV2998" s="562"/>
      <c r="TSW2998" s="125"/>
      <c r="TSX2998" s="470"/>
      <c r="TSY2998" s="449"/>
      <c r="TSZ2998" s="462"/>
      <c r="TTA2998" s="299"/>
      <c r="TTB2998" s="81"/>
      <c r="TTC2998" s="160"/>
      <c r="TTD2998" s="562"/>
      <c r="TTE2998" s="125"/>
      <c r="TTF2998" s="470"/>
      <c r="TTG2998" s="449"/>
      <c r="TTH2998" s="462"/>
      <c r="TTI2998" s="299"/>
      <c r="TTJ2998" s="81"/>
      <c r="TTK2998" s="160"/>
      <c r="TTL2998" s="562"/>
      <c r="TTM2998" s="125"/>
      <c r="TTN2998" s="470"/>
      <c r="TTO2998" s="449"/>
      <c r="TTP2998" s="462"/>
      <c r="TTQ2998" s="299"/>
      <c r="TTR2998" s="81"/>
      <c r="TTS2998" s="160"/>
      <c r="TTT2998" s="562"/>
      <c r="TTU2998" s="125"/>
      <c r="TTV2998" s="470"/>
      <c r="TTW2998" s="449"/>
      <c r="TTX2998" s="462"/>
      <c r="TTY2998" s="299"/>
      <c r="TTZ2998" s="81"/>
      <c r="TUA2998" s="160"/>
      <c r="TUB2998" s="562"/>
      <c r="TUC2998" s="125"/>
      <c r="TUD2998" s="470"/>
      <c r="TUE2998" s="449"/>
      <c r="TUF2998" s="462"/>
      <c r="TUG2998" s="299"/>
      <c r="TUH2998" s="81"/>
      <c r="TUI2998" s="160"/>
      <c r="TUJ2998" s="562"/>
      <c r="TUK2998" s="125"/>
      <c r="TUL2998" s="470"/>
      <c r="TUM2998" s="449"/>
      <c r="TUN2998" s="462"/>
      <c r="TUO2998" s="299"/>
      <c r="TUP2998" s="81"/>
      <c r="TUQ2998" s="160"/>
      <c r="TUR2998" s="562"/>
      <c r="TUS2998" s="125"/>
      <c r="TUT2998" s="470"/>
      <c r="TUU2998" s="449"/>
      <c r="TUV2998" s="462"/>
      <c r="TUW2998" s="299"/>
      <c r="TUX2998" s="81"/>
      <c r="TUY2998" s="160"/>
      <c r="TUZ2998" s="562"/>
      <c r="TVA2998" s="125"/>
      <c r="TVB2998" s="470"/>
      <c r="TVC2998" s="449"/>
      <c r="TVD2998" s="462"/>
      <c r="TVE2998" s="299"/>
      <c r="TVF2998" s="81"/>
      <c r="TVG2998" s="160"/>
      <c r="TVH2998" s="562"/>
      <c r="TVI2998" s="125"/>
      <c r="TVJ2998" s="470"/>
      <c r="TVK2998" s="449"/>
      <c r="TVL2998" s="462"/>
      <c r="TVM2998" s="299"/>
      <c r="TVN2998" s="81"/>
      <c r="TVO2998" s="160"/>
      <c r="TVP2998" s="562"/>
      <c r="TVQ2998" s="125"/>
      <c r="TVR2998" s="470"/>
      <c r="TVS2998" s="449"/>
      <c r="TVT2998" s="462"/>
      <c r="TVU2998" s="299"/>
      <c r="TVV2998" s="81"/>
      <c r="TVW2998" s="160"/>
      <c r="TVX2998" s="562"/>
      <c r="TVY2998" s="125"/>
      <c r="TVZ2998" s="470"/>
      <c r="TWA2998" s="449"/>
      <c r="TWB2998" s="462"/>
      <c r="TWC2998" s="299"/>
      <c r="TWD2998" s="81"/>
      <c r="TWE2998" s="160"/>
      <c r="TWF2998" s="562"/>
      <c r="TWG2998" s="125"/>
      <c r="TWH2998" s="470"/>
      <c r="TWI2998" s="449"/>
      <c r="TWJ2998" s="462"/>
      <c r="TWK2998" s="299"/>
      <c r="TWL2998" s="81"/>
      <c r="TWM2998" s="160"/>
      <c r="TWN2998" s="562"/>
      <c r="TWO2998" s="125"/>
      <c r="TWP2998" s="470"/>
      <c r="TWQ2998" s="449"/>
      <c r="TWR2998" s="462"/>
      <c r="TWS2998" s="299"/>
      <c r="TWT2998" s="81"/>
      <c r="TWU2998" s="160"/>
      <c r="TWV2998" s="562"/>
      <c r="TWW2998" s="125"/>
      <c r="TWX2998" s="470"/>
      <c r="TWY2998" s="449"/>
      <c r="TWZ2998" s="462"/>
      <c r="TXA2998" s="299"/>
      <c r="TXB2998" s="81"/>
      <c r="TXC2998" s="160"/>
      <c r="TXD2998" s="562"/>
      <c r="TXE2998" s="125"/>
      <c r="TXF2998" s="470"/>
      <c r="TXG2998" s="449"/>
      <c r="TXH2998" s="462"/>
      <c r="TXI2998" s="299"/>
      <c r="TXJ2998" s="81"/>
      <c r="TXK2998" s="160"/>
      <c r="TXL2998" s="562"/>
      <c r="TXM2998" s="125"/>
      <c r="TXN2998" s="470"/>
      <c r="TXO2998" s="449"/>
      <c r="TXP2998" s="462"/>
      <c r="TXQ2998" s="299"/>
      <c r="TXR2998" s="81"/>
      <c r="TXS2998" s="160"/>
      <c r="TXT2998" s="562"/>
      <c r="TXU2998" s="125"/>
      <c r="TXV2998" s="470"/>
      <c r="TXW2998" s="449"/>
      <c r="TXX2998" s="462"/>
      <c r="TXY2998" s="299"/>
      <c r="TXZ2998" s="81"/>
      <c r="TYA2998" s="160"/>
      <c r="TYB2998" s="562"/>
      <c r="TYC2998" s="125"/>
      <c r="TYD2998" s="470"/>
      <c r="TYE2998" s="449"/>
      <c r="TYF2998" s="462"/>
      <c r="TYG2998" s="299"/>
      <c r="TYH2998" s="81"/>
      <c r="TYI2998" s="160"/>
      <c r="TYJ2998" s="562"/>
      <c r="TYK2998" s="125"/>
      <c r="TYL2998" s="470"/>
      <c r="TYM2998" s="449"/>
      <c r="TYN2998" s="462"/>
      <c r="TYO2998" s="299"/>
      <c r="TYP2998" s="81"/>
      <c r="TYQ2998" s="160"/>
      <c r="TYR2998" s="562"/>
      <c r="TYS2998" s="125"/>
      <c r="TYT2998" s="470"/>
      <c r="TYU2998" s="449"/>
      <c r="TYV2998" s="462"/>
      <c r="TYW2998" s="299"/>
      <c r="TYX2998" s="81"/>
      <c r="TYY2998" s="160"/>
      <c r="TYZ2998" s="562"/>
      <c r="TZA2998" s="125"/>
      <c r="TZB2998" s="470"/>
      <c r="TZC2998" s="449"/>
      <c r="TZD2998" s="462"/>
      <c r="TZE2998" s="299"/>
      <c r="TZF2998" s="81"/>
      <c r="TZG2998" s="160"/>
      <c r="TZH2998" s="562"/>
      <c r="TZI2998" s="125"/>
      <c r="TZJ2998" s="470"/>
      <c r="TZK2998" s="449"/>
      <c r="TZL2998" s="462"/>
      <c r="TZM2998" s="299"/>
      <c r="TZN2998" s="81"/>
      <c r="TZO2998" s="160"/>
      <c r="TZP2998" s="562"/>
      <c r="TZQ2998" s="125"/>
      <c r="TZR2998" s="470"/>
      <c r="TZS2998" s="449"/>
      <c r="TZT2998" s="462"/>
      <c r="TZU2998" s="299"/>
      <c r="TZV2998" s="81"/>
      <c r="TZW2998" s="160"/>
      <c r="TZX2998" s="562"/>
      <c r="TZY2998" s="125"/>
      <c r="TZZ2998" s="470"/>
      <c r="UAA2998" s="449"/>
      <c r="UAB2998" s="462"/>
      <c r="UAC2998" s="299"/>
      <c r="UAD2998" s="81"/>
      <c r="UAE2998" s="160"/>
      <c r="UAF2998" s="562"/>
      <c r="UAG2998" s="125"/>
      <c r="UAH2998" s="470"/>
      <c r="UAI2998" s="449"/>
      <c r="UAJ2998" s="462"/>
      <c r="UAK2998" s="299"/>
      <c r="UAL2998" s="81"/>
      <c r="UAM2998" s="160"/>
      <c r="UAN2998" s="562"/>
      <c r="UAO2998" s="125"/>
      <c r="UAP2998" s="470"/>
      <c r="UAQ2998" s="449"/>
      <c r="UAR2998" s="462"/>
      <c r="UAS2998" s="299"/>
      <c r="UAT2998" s="81"/>
      <c r="UAU2998" s="160"/>
      <c r="UAV2998" s="562"/>
      <c r="UAW2998" s="125"/>
      <c r="UAX2998" s="470"/>
      <c r="UAY2998" s="449"/>
      <c r="UAZ2998" s="462"/>
      <c r="UBA2998" s="299"/>
      <c r="UBB2998" s="81"/>
      <c r="UBC2998" s="160"/>
      <c r="UBD2998" s="562"/>
      <c r="UBE2998" s="125"/>
      <c r="UBF2998" s="470"/>
      <c r="UBG2998" s="449"/>
      <c r="UBH2998" s="462"/>
      <c r="UBI2998" s="299"/>
      <c r="UBJ2998" s="81"/>
      <c r="UBK2998" s="160"/>
      <c r="UBL2998" s="562"/>
      <c r="UBM2998" s="125"/>
      <c r="UBN2998" s="470"/>
      <c r="UBO2998" s="449"/>
      <c r="UBP2998" s="462"/>
      <c r="UBQ2998" s="299"/>
      <c r="UBR2998" s="81"/>
      <c r="UBS2998" s="160"/>
      <c r="UBT2998" s="562"/>
      <c r="UBU2998" s="125"/>
      <c r="UBV2998" s="470"/>
      <c r="UBW2998" s="449"/>
      <c r="UBX2998" s="462"/>
      <c r="UBY2998" s="299"/>
      <c r="UBZ2998" s="81"/>
      <c r="UCA2998" s="160"/>
      <c r="UCB2998" s="562"/>
      <c r="UCC2998" s="125"/>
      <c r="UCD2998" s="470"/>
      <c r="UCE2998" s="449"/>
      <c r="UCF2998" s="462"/>
      <c r="UCG2998" s="299"/>
      <c r="UCH2998" s="81"/>
      <c r="UCI2998" s="160"/>
      <c r="UCJ2998" s="562"/>
      <c r="UCK2998" s="125"/>
      <c r="UCL2998" s="470"/>
      <c r="UCM2998" s="449"/>
      <c r="UCN2998" s="462"/>
      <c r="UCO2998" s="299"/>
      <c r="UCP2998" s="81"/>
      <c r="UCQ2998" s="160"/>
      <c r="UCR2998" s="562"/>
      <c r="UCS2998" s="125"/>
      <c r="UCT2998" s="470"/>
      <c r="UCU2998" s="449"/>
      <c r="UCV2998" s="462"/>
      <c r="UCW2998" s="299"/>
      <c r="UCX2998" s="81"/>
      <c r="UCY2998" s="160"/>
      <c r="UCZ2998" s="562"/>
      <c r="UDA2998" s="125"/>
      <c r="UDB2998" s="470"/>
      <c r="UDC2998" s="449"/>
      <c r="UDD2998" s="462"/>
      <c r="UDE2998" s="299"/>
      <c r="UDF2998" s="81"/>
      <c r="UDG2998" s="160"/>
      <c r="UDH2998" s="562"/>
      <c r="UDI2998" s="125"/>
      <c r="UDJ2998" s="470"/>
      <c r="UDK2998" s="449"/>
      <c r="UDL2998" s="462"/>
      <c r="UDM2998" s="299"/>
      <c r="UDN2998" s="81"/>
      <c r="UDO2998" s="160"/>
      <c r="UDP2998" s="562"/>
      <c r="UDQ2998" s="125"/>
      <c r="UDR2998" s="470"/>
      <c r="UDS2998" s="449"/>
      <c r="UDT2998" s="462"/>
      <c r="UDU2998" s="299"/>
      <c r="UDV2998" s="81"/>
      <c r="UDW2998" s="160"/>
      <c r="UDX2998" s="562"/>
      <c r="UDY2998" s="125"/>
      <c r="UDZ2998" s="470"/>
      <c r="UEA2998" s="449"/>
      <c r="UEB2998" s="462"/>
      <c r="UEC2998" s="299"/>
      <c r="UED2998" s="81"/>
      <c r="UEE2998" s="160"/>
      <c r="UEF2998" s="562"/>
      <c r="UEG2998" s="125"/>
      <c r="UEH2998" s="470"/>
      <c r="UEI2998" s="449"/>
      <c r="UEJ2998" s="462"/>
      <c r="UEK2998" s="299"/>
      <c r="UEL2998" s="81"/>
      <c r="UEM2998" s="160"/>
      <c r="UEN2998" s="562"/>
      <c r="UEO2998" s="125"/>
      <c r="UEP2998" s="470"/>
      <c r="UEQ2998" s="449"/>
      <c r="UER2998" s="462"/>
      <c r="UES2998" s="299"/>
      <c r="UET2998" s="81"/>
      <c r="UEU2998" s="160"/>
      <c r="UEV2998" s="562"/>
      <c r="UEW2998" s="125"/>
      <c r="UEX2998" s="470"/>
      <c r="UEY2998" s="449"/>
      <c r="UEZ2998" s="462"/>
      <c r="UFA2998" s="299"/>
      <c r="UFB2998" s="81"/>
      <c r="UFC2998" s="160"/>
      <c r="UFD2998" s="562"/>
      <c r="UFE2998" s="125"/>
      <c r="UFF2998" s="470"/>
      <c r="UFG2998" s="449"/>
      <c r="UFH2998" s="462"/>
      <c r="UFI2998" s="299"/>
      <c r="UFJ2998" s="81"/>
      <c r="UFK2998" s="160"/>
      <c r="UFL2998" s="562"/>
      <c r="UFM2998" s="125"/>
      <c r="UFN2998" s="470"/>
      <c r="UFO2998" s="449"/>
      <c r="UFP2998" s="462"/>
      <c r="UFQ2998" s="299"/>
      <c r="UFR2998" s="81"/>
      <c r="UFS2998" s="160"/>
      <c r="UFT2998" s="562"/>
      <c r="UFU2998" s="125"/>
      <c r="UFV2998" s="470"/>
      <c r="UFW2998" s="449"/>
      <c r="UFX2998" s="462"/>
      <c r="UFY2998" s="299"/>
      <c r="UFZ2998" s="81"/>
      <c r="UGA2998" s="160"/>
      <c r="UGB2998" s="562"/>
      <c r="UGC2998" s="125"/>
      <c r="UGD2998" s="470"/>
      <c r="UGE2998" s="449"/>
      <c r="UGF2998" s="462"/>
      <c r="UGG2998" s="299"/>
      <c r="UGH2998" s="81"/>
      <c r="UGI2998" s="160"/>
      <c r="UGJ2998" s="562"/>
      <c r="UGK2998" s="125"/>
      <c r="UGL2998" s="470"/>
      <c r="UGM2998" s="449"/>
      <c r="UGN2998" s="462"/>
      <c r="UGO2998" s="299"/>
      <c r="UGP2998" s="81"/>
      <c r="UGQ2998" s="160"/>
      <c r="UGR2998" s="562"/>
      <c r="UGS2998" s="125"/>
      <c r="UGT2998" s="470"/>
      <c r="UGU2998" s="449"/>
      <c r="UGV2998" s="462"/>
      <c r="UGW2998" s="299"/>
      <c r="UGX2998" s="81"/>
      <c r="UGY2998" s="160"/>
      <c r="UGZ2998" s="562"/>
      <c r="UHA2998" s="125"/>
      <c r="UHB2998" s="470"/>
      <c r="UHC2998" s="449"/>
      <c r="UHD2998" s="462"/>
      <c r="UHE2998" s="299"/>
      <c r="UHF2998" s="81"/>
      <c r="UHG2998" s="160"/>
      <c r="UHH2998" s="562"/>
      <c r="UHI2998" s="125"/>
      <c r="UHJ2998" s="470"/>
      <c r="UHK2998" s="449"/>
      <c r="UHL2998" s="462"/>
      <c r="UHM2998" s="299"/>
      <c r="UHN2998" s="81"/>
      <c r="UHO2998" s="160"/>
      <c r="UHP2998" s="562"/>
      <c r="UHQ2998" s="125"/>
      <c r="UHR2998" s="470"/>
      <c r="UHS2998" s="449"/>
      <c r="UHT2998" s="462"/>
      <c r="UHU2998" s="299"/>
      <c r="UHV2998" s="81"/>
      <c r="UHW2998" s="160"/>
      <c r="UHX2998" s="562"/>
      <c r="UHY2998" s="125"/>
      <c r="UHZ2998" s="470"/>
      <c r="UIA2998" s="449"/>
      <c r="UIB2998" s="462"/>
      <c r="UIC2998" s="299"/>
      <c r="UID2998" s="81"/>
      <c r="UIE2998" s="160"/>
      <c r="UIF2998" s="562"/>
      <c r="UIG2998" s="125"/>
      <c r="UIH2998" s="470"/>
      <c r="UII2998" s="449"/>
      <c r="UIJ2998" s="462"/>
      <c r="UIK2998" s="299"/>
      <c r="UIL2998" s="81"/>
      <c r="UIM2998" s="160"/>
      <c r="UIN2998" s="562"/>
      <c r="UIO2998" s="125"/>
      <c r="UIP2998" s="470"/>
      <c r="UIQ2998" s="449"/>
      <c r="UIR2998" s="462"/>
      <c r="UIS2998" s="299"/>
      <c r="UIT2998" s="81"/>
      <c r="UIU2998" s="160"/>
      <c r="UIV2998" s="562"/>
      <c r="UIW2998" s="125"/>
      <c r="UIX2998" s="470"/>
      <c r="UIY2998" s="449"/>
      <c r="UIZ2998" s="462"/>
      <c r="UJA2998" s="299"/>
      <c r="UJB2998" s="81"/>
      <c r="UJC2998" s="160"/>
      <c r="UJD2998" s="562"/>
      <c r="UJE2998" s="125"/>
      <c r="UJF2998" s="470"/>
      <c r="UJG2998" s="449"/>
      <c r="UJH2998" s="462"/>
      <c r="UJI2998" s="299"/>
      <c r="UJJ2998" s="81"/>
      <c r="UJK2998" s="160"/>
      <c r="UJL2998" s="562"/>
      <c r="UJM2998" s="125"/>
      <c r="UJN2998" s="470"/>
      <c r="UJO2998" s="449"/>
      <c r="UJP2998" s="462"/>
      <c r="UJQ2998" s="299"/>
      <c r="UJR2998" s="81"/>
      <c r="UJS2998" s="160"/>
      <c r="UJT2998" s="562"/>
      <c r="UJU2998" s="125"/>
      <c r="UJV2998" s="470"/>
      <c r="UJW2998" s="449"/>
      <c r="UJX2998" s="462"/>
      <c r="UJY2998" s="299"/>
      <c r="UJZ2998" s="81"/>
      <c r="UKA2998" s="160"/>
      <c r="UKB2998" s="562"/>
      <c r="UKC2998" s="125"/>
      <c r="UKD2998" s="470"/>
      <c r="UKE2998" s="449"/>
      <c r="UKF2998" s="462"/>
      <c r="UKG2998" s="299"/>
      <c r="UKH2998" s="81"/>
      <c r="UKI2998" s="160"/>
      <c r="UKJ2998" s="562"/>
      <c r="UKK2998" s="125"/>
      <c r="UKL2998" s="470"/>
      <c r="UKM2998" s="449"/>
      <c r="UKN2998" s="462"/>
      <c r="UKO2998" s="299"/>
      <c r="UKP2998" s="81"/>
      <c r="UKQ2998" s="160"/>
      <c r="UKR2998" s="562"/>
      <c r="UKS2998" s="125"/>
      <c r="UKT2998" s="470"/>
      <c r="UKU2998" s="449"/>
      <c r="UKV2998" s="462"/>
      <c r="UKW2998" s="299"/>
      <c r="UKX2998" s="81"/>
      <c r="UKY2998" s="160"/>
      <c r="UKZ2998" s="562"/>
      <c r="ULA2998" s="125"/>
      <c r="ULB2998" s="470"/>
      <c r="ULC2998" s="449"/>
      <c r="ULD2998" s="462"/>
      <c r="ULE2998" s="299"/>
      <c r="ULF2998" s="81"/>
      <c r="ULG2998" s="160"/>
      <c r="ULH2998" s="562"/>
      <c r="ULI2998" s="125"/>
      <c r="ULJ2998" s="470"/>
      <c r="ULK2998" s="449"/>
      <c r="ULL2998" s="462"/>
      <c r="ULM2998" s="299"/>
      <c r="ULN2998" s="81"/>
      <c r="ULO2998" s="160"/>
      <c r="ULP2998" s="562"/>
      <c r="ULQ2998" s="125"/>
      <c r="ULR2998" s="470"/>
      <c r="ULS2998" s="449"/>
      <c r="ULT2998" s="462"/>
      <c r="ULU2998" s="299"/>
      <c r="ULV2998" s="81"/>
      <c r="ULW2998" s="160"/>
      <c r="ULX2998" s="562"/>
      <c r="ULY2998" s="125"/>
      <c r="ULZ2998" s="470"/>
      <c r="UMA2998" s="449"/>
      <c r="UMB2998" s="462"/>
      <c r="UMC2998" s="299"/>
      <c r="UMD2998" s="81"/>
      <c r="UME2998" s="160"/>
      <c r="UMF2998" s="562"/>
      <c r="UMG2998" s="125"/>
      <c r="UMH2998" s="470"/>
      <c r="UMI2998" s="449"/>
      <c r="UMJ2998" s="462"/>
      <c r="UMK2998" s="299"/>
      <c r="UML2998" s="81"/>
      <c r="UMM2998" s="160"/>
      <c r="UMN2998" s="562"/>
      <c r="UMO2998" s="125"/>
      <c r="UMP2998" s="470"/>
      <c r="UMQ2998" s="449"/>
      <c r="UMR2998" s="462"/>
      <c r="UMS2998" s="299"/>
      <c r="UMT2998" s="81"/>
      <c r="UMU2998" s="160"/>
      <c r="UMV2998" s="562"/>
      <c r="UMW2998" s="125"/>
      <c r="UMX2998" s="470"/>
      <c r="UMY2998" s="449"/>
      <c r="UMZ2998" s="462"/>
      <c r="UNA2998" s="299"/>
      <c r="UNB2998" s="81"/>
      <c r="UNC2998" s="160"/>
      <c r="UND2998" s="562"/>
      <c r="UNE2998" s="125"/>
      <c r="UNF2998" s="470"/>
      <c r="UNG2998" s="449"/>
      <c r="UNH2998" s="462"/>
      <c r="UNI2998" s="299"/>
      <c r="UNJ2998" s="81"/>
      <c r="UNK2998" s="160"/>
      <c r="UNL2998" s="562"/>
      <c r="UNM2998" s="125"/>
      <c r="UNN2998" s="470"/>
      <c r="UNO2998" s="449"/>
      <c r="UNP2998" s="462"/>
      <c r="UNQ2998" s="299"/>
      <c r="UNR2998" s="81"/>
      <c r="UNS2998" s="160"/>
      <c r="UNT2998" s="562"/>
      <c r="UNU2998" s="125"/>
      <c r="UNV2998" s="470"/>
      <c r="UNW2998" s="449"/>
      <c r="UNX2998" s="462"/>
      <c r="UNY2998" s="299"/>
      <c r="UNZ2998" s="81"/>
      <c r="UOA2998" s="160"/>
      <c r="UOB2998" s="562"/>
      <c r="UOC2998" s="125"/>
      <c r="UOD2998" s="470"/>
      <c r="UOE2998" s="449"/>
      <c r="UOF2998" s="462"/>
      <c r="UOG2998" s="299"/>
      <c r="UOH2998" s="81"/>
      <c r="UOI2998" s="160"/>
      <c r="UOJ2998" s="562"/>
      <c r="UOK2998" s="125"/>
      <c r="UOL2998" s="470"/>
      <c r="UOM2998" s="449"/>
      <c r="UON2998" s="462"/>
      <c r="UOO2998" s="299"/>
      <c r="UOP2998" s="81"/>
      <c r="UOQ2998" s="160"/>
      <c r="UOR2998" s="562"/>
      <c r="UOS2998" s="125"/>
      <c r="UOT2998" s="470"/>
      <c r="UOU2998" s="449"/>
      <c r="UOV2998" s="462"/>
      <c r="UOW2998" s="299"/>
      <c r="UOX2998" s="81"/>
      <c r="UOY2998" s="160"/>
      <c r="UOZ2998" s="562"/>
      <c r="UPA2998" s="125"/>
      <c r="UPB2998" s="470"/>
      <c r="UPC2998" s="449"/>
      <c r="UPD2998" s="462"/>
      <c r="UPE2998" s="299"/>
      <c r="UPF2998" s="81"/>
      <c r="UPG2998" s="160"/>
      <c r="UPH2998" s="562"/>
      <c r="UPI2998" s="125"/>
      <c r="UPJ2998" s="470"/>
      <c r="UPK2998" s="449"/>
      <c r="UPL2998" s="462"/>
      <c r="UPM2998" s="299"/>
      <c r="UPN2998" s="81"/>
      <c r="UPO2998" s="160"/>
      <c r="UPP2998" s="562"/>
      <c r="UPQ2998" s="125"/>
      <c r="UPR2998" s="470"/>
      <c r="UPS2998" s="449"/>
      <c r="UPT2998" s="462"/>
      <c r="UPU2998" s="299"/>
      <c r="UPV2998" s="81"/>
      <c r="UPW2998" s="160"/>
      <c r="UPX2998" s="562"/>
      <c r="UPY2998" s="125"/>
      <c r="UPZ2998" s="470"/>
      <c r="UQA2998" s="449"/>
      <c r="UQB2998" s="462"/>
      <c r="UQC2998" s="299"/>
      <c r="UQD2998" s="81"/>
      <c r="UQE2998" s="160"/>
      <c r="UQF2998" s="562"/>
      <c r="UQG2998" s="125"/>
      <c r="UQH2998" s="470"/>
      <c r="UQI2998" s="449"/>
      <c r="UQJ2998" s="462"/>
      <c r="UQK2998" s="299"/>
      <c r="UQL2998" s="81"/>
      <c r="UQM2998" s="160"/>
      <c r="UQN2998" s="562"/>
      <c r="UQO2998" s="125"/>
      <c r="UQP2998" s="470"/>
      <c r="UQQ2998" s="449"/>
      <c r="UQR2998" s="462"/>
      <c r="UQS2998" s="299"/>
      <c r="UQT2998" s="81"/>
      <c r="UQU2998" s="160"/>
      <c r="UQV2998" s="562"/>
      <c r="UQW2998" s="125"/>
      <c r="UQX2998" s="470"/>
      <c r="UQY2998" s="449"/>
      <c r="UQZ2998" s="462"/>
      <c r="URA2998" s="299"/>
      <c r="URB2998" s="81"/>
      <c r="URC2998" s="160"/>
      <c r="URD2998" s="562"/>
      <c r="URE2998" s="125"/>
      <c r="URF2998" s="470"/>
      <c r="URG2998" s="449"/>
      <c r="URH2998" s="462"/>
      <c r="URI2998" s="299"/>
      <c r="URJ2998" s="81"/>
      <c r="URK2998" s="160"/>
      <c r="URL2998" s="562"/>
      <c r="URM2998" s="125"/>
      <c r="URN2998" s="470"/>
      <c r="URO2998" s="449"/>
      <c r="URP2998" s="462"/>
      <c r="URQ2998" s="299"/>
      <c r="URR2998" s="81"/>
      <c r="URS2998" s="160"/>
      <c r="URT2998" s="562"/>
      <c r="URU2998" s="125"/>
      <c r="URV2998" s="470"/>
      <c r="URW2998" s="449"/>
      <c r="URX2998" s="462"/>
      <c r="URY2998" s="299"/>
      <c r="URZ2998" s="81"/>
      <c r="USA2998" s="160"/>
      <c r="USB2998" s="562"/>
      <c r="USC2998" s="125"/>
      <c r="USD2998" s="470"/>
      <c r="USE2998" s="449"/>
      <c r="USF2998" s="462"/>
      <c r="USG2998" s="299"/>
      <c r="USH2998" s="81"/>
      <c r="USI2998" s="160"/>
      <c r="USJ2998" s="562"/>
      <c r="USK2998" s="125"/>
      <c r="USL2998" s="470"/>
      <c r="USM2998" s="449"/>
      <c r="USN2998" s="462"/>
      <c r="USO2998" s="299"/>
      <c r="USP2998" s="81"/>
      <c r="USQ2998" s="160"/>
      <c r="USR2998" s="562"/>
      <c r="USS2998" s="125"/>
      <c r="UST2998" s="470"/>
      <c r="USU2998" s="449"/>
      <c r="USV2998" s="462"/>
      <c r="USW2998" s="299"/>
      <c r="USX2998" s="81"/>
      <c r="USY2998" s="160"/>
      <c r="USZ2998" s="562"/>
      <c r="UTA2998" s="125"/>
      <c r="UTB2998" s="470"/>
      <c r="UTC2998" s="449"/>
      <c r="UTD2998" s="462"/>
      <c r="UTE2998" s="299"/>
      <c r="UTF2998" s="81"/>
      <c r="UTG2998" s="160"/>
      <c r="UTH2998" s="562"/>
      <c r="UTI2998" s="125"/>
      <c r="UTJ2998" s="470"/>
      <c r="UTK2998" s="449"/>
      <c r="UTL2998" s="462"/>
      <c r="UTM2998" s="299"/>
      <c r="UTN2998" s="81"/>
      <c r="UTO2998" s="160"/>
      <c r="UTP2998" s="562"/>
      <c r="UTQ2998" s="125"/>
      <c r="UTR2998" s="470"/>
      <c r="UTS2998" s="449"/>
      <c r="UTT2998" s="462"/>
      <c r="UTU2998" s="299"/>
      <c r="UTV2998" s="81"/>
      <c r="UTW2998" s="160"/>
      <c r="UTX2998" s="562"/>
      <c r="UTY2998" s="125"/>
      <c r="UTZ2998" s="470"/>
      <c r="UUA2998" s="449"/>
      <c r="UUB2998" s="462"/>
      <c r="UUC2998" s="299"/>
      <c r="UUD2998" s="81"/>
      <c r="UUE2998" s="160"/>
      <c r="UUF2998" s="562"/>
      <c r="UUG2998" s="125"/>
      <c r="UUH2998" s="470"/>
      <c r="UUI2998" s="449"/>
      <c r="UUJ2998" s="462"/>
      <c r="UUK2998" s="299"/>
      <c r="UUL2998" s="81"/>
      <c r="UUM2998" s="160"/>
      <c r="UUN2998" s="562"/>
      <c r="UUO2998" s="125"/>
      <c r="UUP2998" s="470"/>
      <c r="UUQ2998" s="449"/>
      <c r="UUR2998" s="462"/>
      <c r="UUS2998" s="299"/>
      <c r="UUT2998" s="81"/>
      <c r="UUU2998" s="160"/>
      <c r="UUV2998" s="562"/>
      <c r="UUW2998" s="125"/>
      <c r="UUX2998" s="470"/>
      <c r="UUY2998" s="449"/>
      <c r="UUZ2998" s="462"/>
      <c r="UVA2998" s="299"/>
      <c r="UVB2998" s="81"/>
      <c r="UVC2998" s="160"/>
      <c r="UVD2998" s="562"/>
      <c r="UVE2998" s="125"/>
      <c r="UVF2998" s="470"/>
      <c r="UVG2998" s="449"/>
      <c r="UVH2998" s="462"/>
      <c r="UVI2998" s="299"/>
      <c r="UVJ2998" s="81"/>
      <c r="UVK2998" s="160"/>
      <c r="UVL2998" s="562"/>
      <c r="UVM2998" s="125"/>
      <c r="UVN2998" s="470"/>
      <c r="UVO2998" s="449"/>
      <c r="UVP2998" s="462"/>
      <c r="UVQ2998" s="299"/>
      <c r="UVR2998" s="81"/>
      <c r="UVS2998" s="160"/>
      <c r="UVT2998" s="562"/>
      <c r="UVU2998" s="125"/>
      <c r="UVV2998" s="470"/>
      <c r="UVW2998" s="449"/>
      <c r="UVX2998" s="462"/>
      <c r="UVY2998" s="299"/>
      <c r="UVZ2998" s="81"/>
      <c r="UWA2998" s="160"/>
      <c r="UWB2998" s="562"/>
      <c r="UWC2998" s="125"/>
      <c r="UWD2998" s="470"/>
      <c r="UWE2998" s="449"/>
      <c r="UWF2998" s="462"/>
      <c r="UWG2998" s="299"/>
      <c r="UWH2998" s="81"/>
      <c r="UWI2998" s="160"/>
      <c r="UWJ2998" s="562"/>
      <c r="UWK2998" s="125"/>
      <c r="UWL2998" s="470"/>
      <c r="UWM2998" s="449"/>
      <c r="UWN2998" s="462"/>
      <c r="UWO2998" s="299"/>
      <c r="UWP2998" s="81"/>
      <c r="UWQ2998" s="160"/>
      <c r="UWR2998" s="562"/>
      <c r="UWS2998" s="125"/>
      <c r="UWT2998" s="470"/>
      <c r="UWU2998" s="449"/>
      <c r="UWV2998" s="462"/>
      <c r="UWW2998" s="299"/>
      <c r="UWX2998" s="81"/>
      <c r="UWY2998" s="160"/>
      <c r="UWZ2998" s="562"/>
      <c r="UXA2998" s="125"/>
      <c r="UXB2998" s="470"/>
      <c r="UXC2998" s="449"/>
      <c r="UXD2998" s="462"/>
      <c r="UXE2998" s="299"/>
      <c r="UXF2998" s="81"/>
      <c r="UXG2998" s="160"/>
      <c r="UXH2998" s="562"/>
      <c r="UXI2998" s="125"/>
      <c r="UXJ2998" s="470"/>
      <c r="UXK2998" s="449"/>
      <c r="UXL2998" s="462"/>
      <c r="UXM2998" s="299"/>
      <c r="UXN2998" s="81"/>
      <c r="UXO2998" s="160"/>
      <c r="UXP2998" s="562"/>
      <c r="UXQ2998" s="125"/>
      <c r="UXR2998" s="470"/>
      <c r="UXS2998" s="449"/>
      <c r="UXT2998" s="462"/>
      <c r="UXU2998" s="299"/>
      <c r="UXV2998" s="81"/>
      <c r="UXW2998" s="160"/>
      <c r="UXX2998" s="562"/>
      <c r="UXY2998" s="125"/>
      <c r="UXZ2998" s="470"/>
      <c r="UYA2998" s="449"/>
      <c r="UYB2998" s="462"/>
      <c r="UYC2998" s="299"/>
      <c r="UYD2998" s="81"/>
      <c r="UYE2998" s="160"/>
      <c r="UYF2998" s="562"/>
      <c r="UYG2998" s="125"/>
      <c r="UYH2998" s="470"/>
      <c r="UYI2998" s="449"/>
      <c r="UYJ2998" s="462"/>
      <c r="UYK2998" s="299"/>
      <c r="UYL2998" s="81"/>
      <c r="UYM2998" s="160"/>
      <c r="UYN2998" s="562"/>
      <c r="UYO2998" s="125"/>
      <c r="UYP2998" s="470"/>
      <c r="UYQ2998" s="449"/>
      <c r="UYR2998" s="462"/>
      <c r="UYS2998" s="299"/>
      <c r="UYT2998" s="81"/>
      <c r="UYU2998" s="160"/>
      <c r="UYV2998" s="562"/>
      <c r="UYW2998" s="125"/>
      <c r="UYX2998" s="470"/>
      <c r="UYY2998" s="449"/>
      <c r="UYZ2998" s="462"/>
      <c r="UZA2998" s="299"/>
      <c r="UZB2998" s="81"/>
      <c r="UZC2998" s="160"/>
      <c r="UZD2998" s="562"/>
      <c r="UZE2998" s="125"/>
      <c r="UZF2998" s="470"/>
      <c r="UZG2998" s="449"/>
      <c r="UZH2998" s="462"/>
      <c r="UZI2998" s="299"/>
      <c r="UZJ2998" s="81"/>
      <c r="UZK2998" s="160"/>
      <c r="UZL2998" s="562"/>
      <c r="UZM2998" s="125"/>
      <c r="UZN2998" s="470"/>
      <c r="UZO2998" s="449"/>
      <c r="UZP2998" s="462"/>
      <c r="UZQ2998" s="299"/>
      <c r="UZR2998" s="81"/>
      <c r="UZS2998" s="160"/>
      <c r="UZT2998" s="562"/>
      <c r="UZU2998" s="125"/>
      <c r="UZV2998" s="470"/>
      <c r="UZW2998" s="449"/>
      <c r="UZX2998" s="462"/>
      <c r="UZY2998" s="299"/>
      <c r="UZZ2998" s="81"/>
      <c r="VAA2998" s="160"/>
      <c r="VAB2998" s="562"/>
      <c r="VAC2998" s="125"/>
      <c r="VAD2998" s="470"/>
      <c r="VAE2998" s="449"/>
      <c r="VAF2998" s="462"/>
      <c r="VAG2998" s="299"/>
      <c r="VAH2998" s="81"/>
      <c r="VAI2998" s="160"/>
      <c r="VAJ2998" s="562"/>
      <c r="VAK2998" s="125"/>
      <c r="VAL2998" s="470"/>
      <c r="VAM2998" s="449"/>
      <c r="VAN2998" s="462"/>
      <c r="VAO2998" s="299"/>
      <c r="VAP2998" s="81"/>
      <c r="VAQ2998" s="160"/>
      <c r="VAR2998" s="562"/>
      <c r="VAS2998" s="125"/>
      <c r="VAT2998" s="470"/>
      <c r="VAU2998" s="449"/>
      <c r="VAV2998" s="462"/>
      <c r="VAW2998" s="299"/>
      <c r="VAX2998" s="81"/>
      <c r="VAY2998" s="160"/>
      <c r="VAZ2998" s="562"/>
      <c r="VBA2998" s="125"/>
      <c r="VBB2998" s="470"/>
      <c r="VBC2998" s="449"/>
      <c r="VBD2998" s="462"/>
      <c r="VBE2998" s="299"/>
      <c r="VBF2998" s="81"/>
      <c r="VBG2998" s="160"/>
      <c r="VBH2998" s="562"/>
      <c r="VBI2998" s="125"/>
      <c r="VBJ2998" s="470"/>
      <c r="VBK2998" s="449"/>
      <c r="VBL2998" s="462"/>
      <c r="VBM2998" s="299"/>
      <c r="VBN2998" s="81"/>
      <c r="VBO2998" s="160"/>
      <c r="VBP2998" s="562"/>
      <c r="VBQ2998" s="125"/>
      <c r="VBR2998" s="470"/>
      <c r="VBS2998" s="449"/>
      <c r="VBT2998" s="462"/>
      <c r="VBU2998" s="299"/>
      <c r="VBV2998" s="81"/>
      <c r="VBW2998" s="160"/>
      <c r="VBX2998" s="562"/>
      <c r="VBY2998" s="125"/>
      <c r="VBZ2998" s="470"/>
      <c r="VCA2998" s="449"/>
      <c r="VCB2998" s="462"/>
      <c r="VCC2998" s="299"/>
      <c r="VCD2998" s="81"/>
      <c r="VCE2998" s="160"/>
      <c r="VCF2998" s="562"/>
      <c r="VCG2998" s="125"/>
      <c r="VCH2998" s="470"/>
      <c r="VCI2998" s="449"/>
      <c r="VCJ2998" s="462"/>
      <c r="VCK2998" s="299"/>
      <c r="VCL2998" s="81"/>
      <c r="VCM2998" s="160"/>
      <c r="VCN2998" s="562"/>
      <c r="VCO2998" s="125"/>
      <c r="VCP2998" s="470"/>
      <c r="VCQ2998" s="449"/>
      <c r="VCR2998" s="462"/>
      <c r="VCS2998" s="299"/>
      <c r="VCT2998" s="81"/>
      <c r="VCU2998" s="160"/>
      <c r="VCV2998" s="562"/>
      <c r="VCW2998" s="125"/>
      <c r="VCX2998" s="470"/>
      <c r="VCY2998" s="449"/>
      <c r="VCZ2998" s="462"/>
      <c r="VDA2998" s="299"/>
      <c r="VDB2998" s="81"/>
      <c r="VDC2998" s="160"/>
      <c r="VDD2998" s="562"/>
      <c r="VDE2998" s="125"/>
      <c r="VDF2998" s="470"/>
      <c r="VDG2998" s="449"/>
      <c r="VDH2998" s="462"/>
      <c r="VDI2998" s="299"/>
      <c r="VDJ2998" s="81"/>
      <c r="VDK2998" s="160"/>
      <c r="VDL2998" s="562"/>
      <c r="VDM2998" s="125"/>
      <c r="VDN2998" s="470"/>
      <c r="VDO2998" s="449"/>
      <c r="VDP2998" s="462"/>
      <c r="VDQ2998" s="299"/>
      <c r="VDR2998" s="81"/>
      <c r="VDS2998" s="160"/>
      <c r="VDT2998" s="562"/>
      <c r="VDU2998" s="125"/>
      <c r="VDV2998" s="470"/>
      <c r="VDW2998" s="449"/>
      <c r="VDX2998" s="462"/>
      <c r="VDY2998" s="299"/>
      <c r="VDZ2998" s="81"/>
      <c r="VEA2998" s="160"/>
      <c r="VEB2998" s="562"/>
      <c r="VEC2998" s="125"/>
      <c r="VED2998" s="470"/>
      <c r="VEE2998" s="449"/>
      <c r="VEF2998" s="462"/>
      <c r="VEG2998" s="299"/>
      <c r="VEH2998" s="81"/>
      <c r="VEI2998" s="160"/>
      <c r="VEJ2998" s="562"/>
      <c r="VEK2998" s="125"/>
      <c r="VEL2998" s="470"/>
      <c r="VEM2998" s="449"/>
      <c r="VEN2998" s="462"/>
      <c r="VEO2998" s="299"/>
      <c r="VEP2998" s="81"/>
      <c r="VEQ2998" s="160"/>
      <c r="VER2998" s="562"/>
      <c r="VES2998" s="125"/>
      <c r="VET2998" s="470"/>
      <c r="VEU2998" s="449"/>
      <c r="VEV2998" s="462"/>
      <c r="VEW2998" s="299"/>
      <c r="VEX2998" s="81"/>
      <c r="VEY2998" s="160"/>
      <c r="VEZ2998" s="562"/>
      <c r="VFA2998" s="125"/>
      <c r="VFB2998" s="470"/>
      <c r="VFC2998" s="449"/>
      <c r="VFD2998" s="462"/>
      <c r="VFE2998" s="299"/>
      <c r="VFF2998" s="81"/>
      <c r="VFG2998" s="160"/>
      <c r="VFH2998" s="562"/>
      <c r="VFI2998" s="125"/>
      <c r="VFJ2998" s="470"/>
      <c r="VFK2998" s="449"/>
      <c r="VFL2998" s="462"/>
      <c r="VFM2998" s="299"/>
      <c r="VFN2998" s="81"/>
      <c r="VFO2998" s="160"/>
      <c r="VFP2998" s="562"/>
      <c r="VFQ2998" s="125"/>
      <c r="VFR2998" s="470"/>
      <c r="VFS2998" s="449"/>
      <c r="VFT2998" s="462"/>
      <c r="VFU2998" s="299"/>
      <c r="VFV2998" s="81"/>
      <c r="VFW2998" s="160"/>
      <c r="VFX2998" s="562"/>
      <c r="VFY2998" s="125"/>
      <c r="VFZ2998" s="470"/>
      <c r="VGA2998" s="449"/>
      <c r="VGB2998" s="462"/>
      <c r="VGC2998" s="299"/>
      <c r="VGD2998" s="81"/>
      <c r="VGE2998" s="160"/>
      <c r="VGF2998" s="562"/>
      <c r="VGG2998" s="125"/>
      <c r="VGH2998" s="470"/>
      <c r="VGI2998" s="449"/>
      <c r="VGJ2998" s="462"/>
      <c r="VGK2998" s="299"/>
      <c r="VGL2998" s="81"/>
      <c r="VGM2998" s="160"/>
      <c r="VGN2998" s="562"/>
      <c r="VGO2998" s="125"/>
      <c r="VGP2998" s="470"/>
      <c r="VGQ2998" s="449"/>
      <c r="VGR2998" s="462"/>
      <c r="VGS2998" s="299"/>
      <c r="VGT2998" s="81"/>
      <c r="VGU2998" s="160"/>
      <c r="VGV2998" s="562"/>
      <c r="VGW2998" s="125"/>
      <c r="VGX2998" s="470"/>
      <c r="VGY2998" s="449"/>
      <c r="VGZ2998" s="462"/>
      <c r="VHA2998" s="299"/>
      <c r="VHB2998" s="81"/>
      <c r="VHC2998" s="160"/>
      <c r="VHD2998" s="562"/>
      <c r="VHE2998" s="125"/>
      <c r="VHF2998" s="470"/>
      <c r="VHG2998" s="449"/>
      <c r="VHH2998" s="462"/>
      <c r="VHI2998" s="299"/>
      <c r="VHJ2998" s="81"/>
      <c r="VHK2998" s="160"/>
      <c r="VHL2998" s="562"/>
      <c r="VHM2998" s="125"/>
      <c r="VHN2998" s="470"/>
      <c r="VHO2998" s="449"/>
      <c r="VHP2998" s="462"/>
      <c r="VHQ2998" s="299"/>
      <c r="VHR2998" s="81"/>
      <c r="VHS2998" s="160"/>
      <c r="VHT2998" s="562"/>
      <c r="VHU2998" s="125"/>
      <c r="VHV2998" s="470"/>
      <c r="VHW2998" s="449"/>
      <c r="VHX2998" s="462"/>
      <c r="VHY2998" s="299"/>
      <c r="VHZ2998" s="81"/>
      <c r="VIA2998" s="160"/>
      <c r="VIB2998" s="562"/>
      <c r="VIC2998" s="125"/>
      <c r="VID2998" s="470"/>
      <c r="VIE2998" s="449"/>
      <c r="VIF2998" s="462"/>
      <c r="VIG2998" s="299"/>
      <c r="VIH2998" s="81"/>
      <c r="VII2998" s="160"/>
      <c r="VIJ2998" s="562"/>
      <c r="VIK2998" s="125"/>
      <c r="VIL2998" s="470"/>
      <c r="VIM2998" s="449"/>
      <c r="VIN2998" s="462"/>
      <c r="VIO2998" s="299"/>
      <c r="VIP2998" s="81"/>
      <c r="VIQ2998" s="160"/>
      <c r="VIR2998" s="562"/>
      <c r="VIS2998" s="125"/>
      <c r="VIT2998" s="470"/>
      <c r="VIU2998" s="449"/>
      <c r="VIV2998" s="462"/>
      <c r="VIW2998" s="299"/>
      <c r="VIX2998" s="81"/>
      <c r="VIY2998" s="160"/>
      <c r="VIZ2998" s="562"/>
      <c r="VJA2998" s="125"/>
      <c r="VJB2998" s="470"/>
      <c r="VJC2998" s="449"/>
      <c r="VJD2998" s="462"/>
      <c r="VJE2998" s="299"/>
      <c r="VJF2998" s="81"/>
      <c r="VJG2998" s="160"/>
      <c r="VJH2998" s="562"/>
      <c r="VJI2998" s="125"/>
      <c r="VJJ2998" s="470"/>
      <c r="VJK2998" s="449"/>
      <c r="VJL2998" s="462"/>
      <c r="VJM2998" s="299"/>
      <c r="VJN2998" s="81"/>
      <c r="VJO2998" s="160"/>
      <c r="VJP2998" s="562"/>
      <c r="VJQ2998" s="125"/>
      <c r="VJR2998" s="470"/>
      <c r="VJS2998" s="449"/>
      <c r="VJT2998" s="462"/>
      <c r="VJU2998" s="299"/>
      <c r="VJV2998" s="81"/>
      <c r="VJW2998" s="160"/>
      <c r="VJX2998" s="562"/>
      <c r="VJY2998" s="125"/>
      <c r="VJZ2998" s="470"/>
      <c r="VKA2998" s="449"/>
      <c r="VKB2998" s="462"/>
      <c r="VKC2998" s="299"/>
      <c r="VKD2998" s="81"/>
      <c r="VKE2998" s="160"/>
      <c r="VKF2998" s="562"/>
      <c r="VKG2998" s="125"/>
      <c r="VKH2998" s="470"/>
      <c r="VKI2998" s="449"/>
      <c r="VKJ2998" s="462"/>
      <c r="VKK2998" s="299"/>
      <c r="VKL2998" s="81"/>
      <c r="VKM2998" s="160"/>
      <c r="VKN2998" s="562"/>
      <c r="VKO2998" s="125"/>
      <c r="VKP2998" s="470"/>
      <c r="VKQ2998" s="449"/>
      <c r="VKR2998" s="462"/>
      <c r="VKS2998" s="299"/>
      <c r="VKT2998" s="81"/>
      <c r="VKU2998" s="160"/>
      <c r="VKV2998" s="562"/>
      <c r="VKW2998" s="125"/>
      <c r="VKX2998" s="470"/>
      <c r="VKY2998" s="449"/>
      <c r="VKZ2998" s="462"/>
      <c r="VLA2998" s="299"/>
      <c r="VLB2998" s="81"/>
      <c r="VLC2998" s="160"/>
      <c r="VLD2998" s="562"/>
      <c r="VLE2998" s="125"/>
      <c r="VLF2998" s="470"/>
      <c r="VLG2998" s="449"/>
      <c r="VLH2998" s="462"/>
      <c r="VLI2998" s="299"/>
      <c r="VLJ2998" s="81"/>
      <c r="VLK2998" s="160"/>
      <c r="VLL2998" s="562"/>
      <c r="VLM2998" s="125"/>
      <c r="VLN2998" s="470"/>
      <c r="VLO2998" s="449"/>
      <c r="VLP2998" s="462"/>
      <c r="VLQ2998" s="299"/>
      <c r="VLR2998" s="81"/>
      <c r="VLS2998" s="160"/>
      <c r="VLT2998" s="562"/>
      <c r="VLU2998" s="125"/>
      <c r="VLV2998" s="470"/>
      <c r="VLW2998" s="449"/>
      <c r="VLX2998" s="462"/>
      <c r="VLY2998" s="299"/>
      <c r="VLZ2998" s="81"/>
      <c r="VMA2998" s="160"/>
      <c r="VMB2998" s="562"/>
      <c r="VMC2998" s="125"/>
      <c r="VMD2998" s="470"/>
      <c r="VME2998" s="449"/>
      <c r="VMF2998" s="462"/>
      <c r="VMG2998" s="299"/>
      <c r="VMH2998" s="81"/>
      <c r="VMI2998" s="160"/>
      <c r="VMJ2998" s="562"/>
      <c r="VMK2998" s="125"/>
      <c r="VML2998" s="470"/>
      <c r="VMM2998" s="449"/>
      <c r="VMN2998" s="462"/>
      <c r="VMO2998" s="299"/>
      <c r="VMP2998" s="81"/>
      <c r="VMQ2998" s="160"/>
      <c r="VMR2998" s="562"/>
      <c r="VMS2998" s="125"/>
      <c r="VMT2998" s="470"/>
      <c r="VMU2998" s="449"/>
      <c r="VMV2998" s="462"/>
      <c r="VMW2998" s="299"/>
      <c r="VMX2998" s="81"/>
      <c r="VMY2998" s="160"/>
      <c r="VMZ2998" s="562"/>
      <c r="VNA2998" s="125"/>
      <c r="VNB2998" s="470"/>
      <c r="VNC2998" s="449"/>
      <c r="VND2998" s="462"/>
      <c r="VNE2998" s="299"/>
      <c r="VNF2998" s="81"/>
      <c r="VNG2998" s="160"/>
      <c r="VNH2998" s="562"/>
      <c r="VNI2998" s="125"/>
      <c r="VNJ2998" s="470"/>
      <c r="VNK2998" s="449"/>
      <c r="VNL2998" s="462"/>
      <c r="VNM2998" s="299"/>
      <c r="VNN2998" s="81"/>
      <c r="VNO2998" s="160"/>
      <c r="VNP2998" s="562"/>
      <c r="VNQ2998" s="125"/>
      <c r="VNR2998" s="470"/>
      <c r="VNS2998" s="449"/>
      <c r="VNT2998" s="462"/>
      <c r="VNU2998" s="299"/>
      <c r="VNV2998" s="81"/>
      <c r="VNW2998" s="160"/>
      <c r="VNX2998" s="562"/>
      <c r="VNY2998" s="125"/>
      <c r="VNZ2998" s="470"/>
      <c r="VOA2998" s="449"/>
      <c r="VOB2998" s="462"/>
      <c r="VOC2998" s="299"/>
      <c r="VOD2998" s="81"/>
      <c r="VOE2998" s="160"/>
      <c r="VOF2998" s="562"/>
      <c r="VOG2998" s="125"/>
      <c r="VOH2998" s="470"/>
      <c r="VOI2998" s="449"/>
      <c r="VOJ2998" s="462"/>
      <c r="VOK2998" s="299"/>
      <c r="VOL2998" s="81"/>
      <c r="VOM2998" s="160"/>
      <c r="VON2998" s="562"/>
      <c r="VOO2998" s="125"/>
      <c r="VOP2998" s="470"/>
      <c r="VOQ2998" s="449"/>
      <c r="VOR2998" s="462"/>
      <c r="VOS2998" s="299"/>
      <c r="VOT2998" s="81"/>
      <c r="VOU2998" s="160"/>
      <c r="VOV2998" s="562"/>
      <c r="VOW2998" s="125"/>
      <c r="VOX2998" s="470"/>
      <c r="VOY2998" s="449"/>
      <c r="VOZ2998" s="462"/>
      <c r="VPA2998" s="299"/>
      <c r="VPB2998" s="81"/>
      <c r="VPC2998" s="160"/>
      <c r="VPD2998" s="562"/>
      <c r="VPE2998" s="125"/>
      <c r="VPF2998" s="470"/>
      <c r="VPG2998" s="449"/>
      <c r="VPH2998" s="462"/>
      <c r="VPI2998" s="299"/>
      <c r="VPJ2998" s="81"/>
      <c r="VPK2998" s="160"/>
      <c r="VPL2998" s="562"/>
      <c r="VPM2998" s="125"/>
      <c r="VPN2998" s="470"/>
      <c r="VPO2998" s="449"/>
      <c r="VPP2998" s="462"/>
      <c r="VPQ2998" s="299"/>
      <c r="VPR2998" s="81"/>
      <c r="VPS2998" s="160"/>
      <c r="VPT2998" s="562"/>
      <c r="VPU2998" s="125"/>
      <c r="VPV2998" s="470"/>
      <c r="VPW2998" s="449"/>
      <c r="VPX2998" s="462"/>
      <c r="VPY2998" s="299"/>
      <c r="VPZ2998" s="81"/>
      <c r="VQA2998" s="160"/>
      <c r="VQB2998" s="562"/>
      <c r="VQC2998" s="125"/>
      <c r="VQD2998" s="470"/>
      <c r="VQE2998" s="449"/>
      <c r="VQF2998" s="462"/>
      <c r="VQG2998" s="299"/>
      <c r="VQH2998" s="81"/>
      <c r="VQI2998" s="160"/>
      <c r="VQJ2998" s="562"/>
      <c r="VQK2998" s="125"/>
      <c r="VQL2998" s="470"/>
      <c r="VQM2998" s="449"/>
      <c r="VQN2998" s="462"/>
      <c r="VQO2998" s="299"/>
      <c r="VQP2998" s="81"/>
      <c r="VQQ2998" s="160"/>
      <c r="VQR2998" s="562"/>
      <c r="VQS2998" s="125"/>
      <c r="VQT2998" s="470"/>
      <c r="VQU2998" s="449"/>
      <c r="VQV2998" s="462"/>
      <c r="VQW2998" s="299"/>
      <c r="VQX2998" s="81"/>
      <c r="VQY2998" s="160"/>
      <c r="VQZ2998" s="562"/>
      <c r="VRA2998" s="125"/>
      <c r="VRB2998" s="470"/>
      <c r="VRC2998" s="449"/>
      <c r="VRD2998" s="462"/>
      <c r="VRE2998" s="299"/>
      <c r="VRF2998" s="81"/>
      <c r="VRG2998" s="160"/>
      <c r="VRH2998" s="562"/>
      <c r="VRI2998" s="125"/>
      <c r="VRJ2998" s="470"/>
      <c r="VRK2998" s="449"/>
      <c r="VRL2998" s="462"/>
      <c r="VRM2998" s="299"/>
      <c r="VRN2998" s="81"/>
      <c r="VRO2998" s="160"/>
      <c r="VRP2998" s="562"/>
      <c r="VRQ2998" s="125"/>
      <c r="VRR2998" s="470"/>
      <c r="VRS2998" s="449"/>
      <c r="VRT2998" s="462"/>
      <c r="VRU2998" s="299"/>
      <c r="VRV2998" s="81"/>
      <c r="VRW2998" s="160"/>
      <c r="VRX2998" s="562"/>
      <c r="VRY2998" s="125"/>
      <c r="VRZ2998" s="470"/>
      <c r="VSA2998" s="449"/>
      <c r="VSB2998" s="462"/>
      <c r="VSC2998" s="299"/>
      <c r="VSD2998" s="81"/>
      <c r="VSE2998" s="160"/>
      <c r="VSF2998" s="562"/>
      <c r="VSG2998" s="125"/>
      <c r="VSH2998" s="470"/>
      <c r="VSI2998" s="449"/>
      <c r="VSJ2998" s="462"/>
      <c r="VSK2998" s="299"/>
      <c r="VSL2998" s="81"/>
      <c r="VSM2998" s="160"/>
      <c r="VSN2998" s="562"/>
      <c r="VSO2998" s="125"/>
      <c r="VSP2998" s="470"/>
      <c r="VSQ2998" s="449"/>
      <c r="VSR2998" s="462"/>
      <c r="VSS2998" s="299"/>
      <c r="VST2998" s="81"/>
      <c r="VSU2998" s="160"/>
      <c r="VSV2998" s="562"/>
      <c r="VSW2998" s="125"/>
      <c r="VSX2998" s="470"/>
      <c r="VSY2998" s="449"/>
      <c r="VSZ2998" s="462"/>
      <c r="VTA2998" s="299"/>
      <c r="VTB2998" s="81"/>
      <c r="VTC2998" s="160"/>
      <c r="VTD2998" s="562"/>
      <c r="VTE2998" s="125"/>
      <c r="VTF2998" s="470"/>
      <c r="VTG2998" s="449"/>
      <c r="VTH2998" s="462"/>
      <c r="VTI2998" s="299"/>
      <c r="VTJ2998" s="81"/>
      <c r="VTK2998" s="160"/>
      <c r="VTL2998" s="562"/>
      <c r="VTM2998" s="125"/>
      <c r="VTN2998" s="470"/>
      <c r="VTO2998" s="449"/>
      <c r="VTP2998" s="462"/>
      <c r="VTQ2998" s="299"/>
      <c r="VTR2998" s="81"/>
      <c r="VTS2998" s="160"/>
      <c r="VTT2998" s="562"/>
      <c r="VTU2998" s="125"/>
      <c r="VTV2998" s="470"/>
      <c r="VTW2998" s="449"/>
      <c r="VTX2998" s="462"/>
      <c r="VTY2998" s="299"/>
      <c r="VTZ2998" s="81"/>
      <c r="VUA2998" s="160"/>
      <c r="VUB2998" s="562"/>
      <c r="VUC2998" s="125"/>
      <c r="VUD2998" s="470"/>
      <c r="VUE2998" s="449"/>
      <c r="VUF2998" s="462"/>
      <c r="VUG2998" s="299"/>
      <c r="VUH2998" s="81"/>
      <c r="VUI2998" s="160"/>
      <c r="VUJ2998" s="562"/>
      <c r="VUK2998" s="125"/>
      <c r="VUL2998" s="470"/>
      <c r="VUM2998" s="449"/>
      <c r="VUN2998" s="462"/>
      <c r="VUO2998" s="299"/>
      <c r="VUP2998" s="81"/>
      <c r="VUQ2998" s="160"/>
      <c r="VUR2998" s="562"/>
      <c r="VUS2998" s="125"/>
      <c r="VUT2998" s="470"/>
      <c r="VUU2998" s="449"/>
      <c r="VUV2998" s="462"/>
      <c r="VUW2998" s="299"/>
      <c r="VUX2998" s="81"/>
      <c r="VUY2998" s="160"/>
      <c r="VUZ2998" s="562"/>
      <c r="VVA2998" s="125"/>
      <c r="VVB2998" s="470"/>
      <c r="VVC2998" s="449"/>
      <c r="VVD2998" s="462"/>
      <c r="VVE2998" s="299"/>
      <c r="VVF2998" s="81"/>
      <c r="VVG2998" s="160"/>
      <c r="VVH2998" s="562"/>
      <c r="VVI2998" s="125"/>
      <c r="VVJ2998" s="470"/>
      <c r="VVK2998" s="449"/>
      <c r="VVL2998" s="462"/>
      <c r="VVM2998" s="299"/>
      <c r="VVN2998" s="81"/>
      <c r="VVO2998" s="160"/>
      <c r="VVP2998" s="562"/>
      <c r="VVQ2998" s="125"/>
      <c r="VVR2998" s="470"/>
      <c r="VVS2998" s="449"/>
      <c r="VVT2998" s="462"/>
      <c r="VVU2998" s="299"/>
      <c r="VVV2998" s="81"/>
      <c r="VVW2998" s="160"/>
      <c r="VVX2998" s="562"/>
      <c r="VVY2998" s="125"/>
      <c r="VVZ2998" s="470"/>
      <c r="VWA2998" s="449"/>
      <c r="VWB2998" s="462"/>
      <c r="VWC2998" s="299"/>
      <c r="VWD2998" s="81"/>
      <c r="VWE2998" s="160"/>
      <c r="VWF2998" s="562"/>
      <c r="VWG2998" s="125"/>
      <c r="VWH2998" s="470"/>
      <c r="VWI2998" s="449"/>
      <c r="VWJ2998" s="462"/>
      <c r="VWK2998" s="299"/>
      <c r="VWL2998" s="81"/>
      <c r="VWM2998" s="160"/>
      <c r="VWN2998" s="562"/>
      <c r="VWO2998" s="125"/>
      <c r="VWP2998" s="470"/>
      <c r="VWQ2998" s="449"/>
      <c r="VWR2998" s="462"/>
      <c r="VWS2998" s="299"/>
      <c r="VWT2998" s="81"/>
      <c r="VWU2998" s="160"/>
      <c r="VWV2998" s="562"/>
      <c r="VWW2998" s="125"/>
      <c r="VWX2998" s="470"/>
      <c r="VWY2998" s="449"/>
      <c r="VWZ2998" s="462"/>
      <c r="VXA2998" s="299"/>
      <c r="VXB2998" s="81"/>
      <c r="VXC2998" s="160"/>
      <c r="VXD2998" s="562"/>
      <c r="VXE2998" s="125"/>
      <c r="VXF2998" s="470"/>
      <c r="VXG2998" s="449"/>
      <c r="VXH2998" s="462"/>
      <c r="VXI2998" s="299"/>
      <c r="VXJ2998" s="81"/>
      <c r="VXK2998" s="160"/>
      <c r="VXL2998" s="562"/>
      <c r="VXM2998" s="125"/>
      <c r="VXN2998" s="470"/>
      <c r="VXO2998" s="449"/>
      <c r="VXP2998" s="462"/>
      <c r="VXQ2998" s="299"/>
      <c r="VXR2998" s="81"/>
      <c r="VXS2998" s="160"/>
      <c r="VXT2998" s="562"/>
      <c r="VXU2998" s="125"/>
      <c r="VXV2998" s="470"/>
      <c r="VXW2998" s="449"/>
      <c r="VXX2998" s="462"/>
      <c r="VXY2998" s="299"/>
      <c r="VXZ2998" s="81"/>
      <c r="VYA2998" s="160"/>
      <c r="VYB2998" s="562"/>
      <c r="VYC2998" s="125"/>
      <c r="VYD2998" s="470"/>
      <c r="VYE2998" s="449"/>
      <c r="VYF2998" s="462"/>
      <c r="VYG2998" s="299"/>
      <c r="VYH2998" s="81"/>
      <c r="VYI2998" s="160"/>
      <c r="VYJ2998" s="562"/>
      <c r="VYK2998" s="125"/>
      <c r="VYL2998" s="470"/>
      <c r="VYM2998" s="449"/>
      <c r="VYN2998" s="462"/>
      <c r="VYO2998" s="299"/>
      <c r="VYP2998" s="81"/>
      <c r="VYQ2998" s="160"/>
      <c r="VYR2998" s="562"/>
      <c r="VYS2998" s="125"/>
      <c r="VYT2998" s="470"/>
      <c r="VYU2998" s="449"/>
      <c r="VYV2998" s="462"/>
      <c r="VYW2998" s="299"/>
      <c r="VYX2998" s="81"/>
      <c r="VYY2998" s="160"/>
      <c r="VYZ2998" s="562"/>
      <c r="VZA2998" s="125"/>
      <c r="VZB2998" s="470"/>
      <c r="VZC2998" s="449"/>
      <c r="VZD2998" s="462"/>
      <c r="VZE2998" s="299"/>
      <c r="VZF2998" s="81"/>
      <c r="VZG2998" s="160"/>
      <c r="VZH2998" s="562"/>
      <c r="VZI2998" s="125"/>
      <c r="VZJ2998" s="470"/>
      <c r="VZK2998" s="449"/>
      <c r="VZL2998" s="462"/>
      <c r="VZM2998" s="299"/>
      <c r="VZN2998" s="81"/>
      <c r="VZO2998" s="160"/>
      <c r="VZP2998" s="562"/>
      <c r="VZQ2998" s="125"/>
      <c r="VZR2998" s="470"/>
      <c r="VZS2998" s="449"/>
      <c r="VZT2998" s="462"/>
      <c r="VZU2998" s="299"/>
      <c r="VZV2998" s="81"/>
      <c r="VZW2998" s="160"/>
      <c r="VZX2998" s="562"/>
      <c r="VZY2998" s="125"/>
      <c r="VZZ2998" s="470"/>
      <c r="WAA2998" s="449"/>
      <c r="WAB2998" s="462"/>
      <c r="WAC2998" s="299"/>
      <c r="WAD2998" s="81"/>
      <c r="WAE2998" s="160"/>
      <c r="WAF2998" s="562"/>
      <c r="WAG2998" s="125"/>
      <c r="WAH2998" s="470"/>
      <c r="WAI2998" s="449"/>
      <c r="WAJ2998" s="462"/>
      <c r="WAK2998" s="299"/>
      <c r="WAL2998" s="81"/>
      <c r="WAM2998" s="160"/>
      <c r="WAN2998" s="562"/>
      <c r="WAO2998" s="125"/>
      <c r="WAP2998" s="470"/>
      <c r="WAQ2998" s="449"/>
      <c r="WAR2998" s="462"/>
      <c r="WAS2998" s="299"/>
      <c r="WAT2998" s="81"/>
      <c r="WAU2998" s="160"/>
      <c r="WAV2998" s="562"/>
      <c r="WAW2998" s="125"/>
      <c r="WAX2998" s="470"/>
      <c r="WAY2998" s="449"/>
      <c r="WAZ2998" s="462"/>
      <c r="WBA2998" s="299"/>
      <c r="WBB2998" s="81"/>
      <c r="WBC2998" s="160"/>
      <c r="WBD2998" s="562"/>
      <c r="WBE2998" s="125"/>
      <c r="WBF2998" s="470"/>
      <c r="WBG2998" s="449"/>
      <c r="WBH2998" s="462"/>
      <c r="WBI2998" s="299"/>
      <c r="WBJ2998" s="81"/>
      <c r="WBK2998" s="160"/>
      <c r="WBL2998" s="562"/>
      <c r="WBM2998" s="125"/>
      <c r="WBN2998" s="470"/>
      <c r="WBO2998" s="449"/>
      <c r="WBP2998" s="462"/>
      <c r="WBQ2998" s="299"/>
      <c r="WBR2998" s="81"/>
      <c r="WBS2998" s="160"/>
      <c r="WBT2998" s="562"/>
      <c r="WBU2998" s="125"/>
      <c r="WBV2998" s="470"/>
      <c r="WBW2998" s="449"/>
      <c r="WBX2998" s="462"/>
      <c r="WBY2998" s="299"/>
      <c r="WBZ2998" s="81"/>
      <c r="WCA2998" s="160"/>
      <c r="WCB2998" s="562"/>
      <c r="WCC2998" s="125"/>
      <c r="WCD2998" s="470"/>
      <c r="WCE2998" s="449"/>
      <c r="WCF2998" s="462"/>
      <c r="WCG2998" s="299"/>
      <c r="WCH2998" s="81"/>
      <c r="WCI2998" s="160"/>
      <c r="WCJ2998" s="562"/>
      <c r="WCK2998" s="125"/>
      <c r="WCL2998" s="470"/>
      <c r="WCM2998" s="449"/>
      <c r="WCN2998" s="462"/>
      <c r="WCO2998" s="299"/>
      <c r="WCP2998" s="81"/>
      <c r="WCQ2998" s="160"/>
      <c r="WCR2998" s="562"/>
      <c r="WCS2998" s="125"/>
      <c r="WCT2998" s="470"/>
      <c r="WCU2998" s="449"/>
      <c r="WCV2998" s="462"/>
      <c r="WCW2998" s="299"/>
      <c r="WCX2998" s="81"/>
      <c r="WCY2998" s="160"/>
      <c r="WCZ2998" s="562"/>
      <c r="WDA2998" s="125"/>
      <c r="WDB2998" s="470"/>
      <c r="WDC2998" s="449"/>
      <c r="WDD2998" s="462"/>
      <c r="WDE2998" s="299"/>
      <c r="WDF2998" s="81"/>
      <c r="WDG2998" s="160"/>
      <c r="WDH2998" s="562"/>
      <c r="WDI2998" s="125"/>
      <c r="WDJ2998" s="470"/>
      <c r="WDK2998" s="449"/>
      <c r="WDL2998" s="462"/>
      <c r="WDM2998" s="299"/>
      <c r="WDN2998" s="81"/>
      <c r="WDO2998" s="160"/>
      <c r="WDP2998" s="562"/>
      <c r="WDQ2998" s="125"/>
      <c r="WDR2998" s="470"/>
      <c r="WDS2998" s="449"/>
      <c r="WDT2998" s="462"/>
      <c r="WDU2998" s="299"/>
      <c r="WDV2998" s="81"/>
      <c r="WDW2998" s="160"/>
      <c r="WDX2998" s="562"/>
      <c r="WDY2998" s="125"/>
      <c r="WDZ2998" s="470"/>
      <c r="WEA2998" s="449"/>
      <c r="WEB2998" s="462"/>
      <c r="WEC2998" s="299"/>
      <c r="WED2998" s="81"/>
      <c r="WEE2998" s="160"/>
      <c r="WEF2998" s="562"/>
      <c r="WEG2998" s="125"/>
      <c r="WEH2998" s="470"/>
      <c r="WEI2998" s="449"/>
      <c r="WEJ2998" s="462"/>
      <c r="WEK2998" s="299"/>
      <c r="WEL2998" s="81"/>
      <c r="WEM2998" s="160"/>
      <c r="WEN2998" s="562"/>
      <c r="WEO2998" s="125"/>
      <c r="WEP2998" s="470"/>
      <c r="WEQ2998" s="449"/>
      <c r="WER2998" s="462"/>
      <c r="WES2998" s="299"/>
      <c r="WET2998" s="81"/>
      <c r="WEU2998" s="160"/>
      <c r="WEV2998" s="562"/>
      <c r="WEW2998" s="125"/>
      <c r="WEX2998" s="470"/>
      <c r="WEY2998" s="449"/>
      <c r="WEZ2998" s="462"/>
      <c r="WFA2998" s="299"/>
      <c r="WFB2998" s="81"/>
      <c r="WFC2998" s="160"/>
      <c r="WFD2998" s="562"/>
      <c r="WFE2998" s="125"/>
      <c r="WFF2998" s="470"/>
      <c r="WFG2998" s="449"/>
      <c r="WFH2998" s="462"/>
      <c r="WFI2998" s="299"/>
      <c r="WFJ2998" s="81"/>
      <c r="WFK2998" s="160"/>
      <c r="WFL2998" s="562"/>
      <c r="WFM2998" s="125"/>
      <c r="WFN2998" s="470"/>
      <c r="WFO2998" s="449"/>
      <c r="WFP2998" s="462"/>
      <c r="WFQ2998" s="299"/>
      <c r="WFR2998" s="81"/>
      <c r="WFS2998" s="160"/>
      <c r="WFT2998" s="562"/>
      <c r="WFU2998" s="125"/>
      <c r="WFV2998" s="470"/>
      <c r="WFW2998" s="449"/>
      <c r="WFX2998" s="462"/>
      <c r="WFY2998" s="299"/>
      <c r="WFZ2998" s="81"/>
      <c r="WGA2998" s="160"/>
      <c r="WGB2998" s="562"/>
      <c r="WGC2998" s="125"/>
      <c r="WGD2998" s="470"/>
      <c r="WGE2998" s="449"/>
      <c r="WGF2998" s="462"/>
      <c r="WGG2998" s="299"/>
      <c r="WGH2998" s="81"/>
      <c r="WGI2998" s="160"/>
      <c r="WGJ2998" s="562"/>
      <c r="WGK2998" s="125"/>
      <c r="WGL2998" s="470"/>
      <c r="WGM2998" s="449"/>
      <c r="WGN2998" s="462"/>
      <c r="WGO2998" s="299"/>
      <c r="WGP2998" s="81"/>
      <c r="WGQ2998" s="160"/>
      <c r="WGR2998" s="562"/>
      <c r="WGS2998" s="125"/>
      <c r="WGT2998" s="470"/>
      <c r="WGU2998" s="449"/>
      <c r="WGV2998" s="462"/>
      <c r="WGW2998" s="299"/>
      <c r="WGX2998" s="81"/>
      <c r="WGY2998" s="160"/>
      <c r="WGZ2998" s="562"/>
      <c r="WHA2998" s="125"/>
      <c r="WHB2998" s="470"/>
      <c r="WHC2998" s="449"/>
      <c r="WHD2998" s="462"/>
      <c r="WHE2998" s="299"/>
      <c r="WHF2998" s="81"/>
      <c r="WHG2998" s="160"/>
      <c r="WHH2998" s="562"/>
      <c r="WHI2998" s="125"/>
      <c r="WHJ2998" s="470"/>
      <c r="WHK2998" s="449"/>
      <c r="WHL2998" s="462"/>
      <c r="WHM2998" s="299"/>
      <c r="WHN2998" s="81"/>
      <c r="WHO2998" s="160"/>
      <c r="WHP2998" s="562"/>
      <c r="WHQ2998" s="125"/>
      <c r="WHR2998" s="470"/>
      <c r="WHS2998" s="449"/>
      <c r="WHT2998" s="462"/>
      <c r="WHU2998" s="299"/>
      <c r="WHV2998" s="81"/>
      <c r="WHW2998" s="160"/>
      <c r="WHX2998" s="562"/>
      <c r="WHY2998" s="125"/>
      <c r="WHZ2998" s="470"/>
      <c r="WIA2998" s="449"/>
      <c r="WIB2998" s="462"/>
      <c r="WIC2998" s="299"/>
      <c r="WID2998" s="81"/>
      <c r="WIE2998" s="160"/>
      <c r="WIF2998" s="562"/>
      <c r="WIG2998" s="125"/>
      <c r="WIH2998" s="470"/>
      <c r="WII2998" s="449"/>
      <c r="WIJ2998" s="462"/>
      <c r="WIK2998" s="299"/>
      <c r="WIL2998" s="81"/>
      <c r="WIM2998" s="160"/>
      <c r="WIN2998" s="562"/>
      <c r="WIO2998" s="125"/>
      <c r="WIP2998" s="470"/>
      <c r="WIQ2998" s="449"/>
      <c r="WIR2998" s="462"/>
      <c r="WIS2998" s="299"/>
      <c r="WIT2998" s="81"/>
      <c r="WIU2998" s="160"/>
      <c r="WIV2998" s="562"/>
      <c r="WIW2998" s="125"/>
      <c r="WIX2998" s="470"/>
      <c r="WIY2998" s="449"/>
      <c r="WIZ2998" s="462"/>
      <c r="WJA2998" s="299"/>
      <c r="WJB2998" s="81"/>
      <c r="WJC2998" s="160"/>
      <c r="WJD2998" s="562"/>
      <c r="WJE2998" s="125"/>
      <c r="WJF2998" s="470"/>
      <c r="WJG2998" s="449"/>
      <c r="WJH2998" s="462"/>
      <c r="WJI2998" s="299"/>
      <c r="WJJ2998" s="81"/>
      <c r="WJK2998" s="160"/>
      <c r="WJL2998" s="562"/>
      <c r="WJM2998" s="125"/>
      <c r="WJN2998" s="470"/>
      <c r="WJO2998" s="449"/>
      <c r="WJP2998" s="462"/>
      <c r="WJQ2998" s="299"/>
      <c r="WJR2998" s="81"/>
      <c r="WJS2998" s="160"/>
      <c r="WJT2998" s="562"/>
      <c r="WJU2998" s="125"/>
      <c r="WJV2998" s="470"/>
      <c r="WJW2998" s="449"/>
      <c r="WJX2998" s="462"/>
      <c r="WJY2998" s="299"/>
      <c r="WJZ2998" s="81"/>
      <c r="WKA2998" s="160"/>
      <c r="WKB2998" s="562"/>
      <c r="WKC2998" s="125"/>
      <c r="WKD2998" s="470"/>
      <c r="WKE2998" s="449"/>
      <c r="WKF2998" s="462"/>
      <c r="WKG2998" s="299"/>
      <c r="WKH2998" s="81"/>
      <c r="WKI2998" s="160"/>
      <c r="WKJ2998" s="562"/>
      <c r="WKK2998" s="125"/>
      <c r="WKL2998" s="470"/>
      <c r="WKM2998" s="449"/>
      <c r="WKN2998" s="462"/>
      <c r="WKO2998" s="299"/>
      <c r="WKP2998" s="81"/>
      <c r="WKQ2998" s="160"/>
      <c r="WKR2998" s="562"/>
      <c r="WKS2998" s="125"/>
      <c r="WKT2998" s="470"/>
      <c r="WKU2998" s="449"/>
      <c r="WKV2998" s="462"/>
      <c r="WKW2998" s="299"/>
      <c r="WKX2998" s="81"/>
      <c r="WKY2998" s="160"/>
      <c r="WKZ2998" s="562"/>
      <c r="WLA2998" s="125"/>
      <c r="WLB2998" s="470"/>
      <c r="WLC2998" s="449"/>
      <c r="WLD2998" s="462"/>
      <c r="WLE2998" s="299"/>
      <c r="WLF2998" s="81"/>
      <c r="WLG2998" s="160"/>
      <c r="WLH2998" s="562"/>
      <c r="WLI2998" s="125"/>
      <c r="WLJ2998" s="470"/>
      <c r="WLK2998" s="449"/>
      <c r="WLL2998" s="462"/>
      <c r="WLM2998" s="299"/>
      <c r="WLN2998" s="81"/>
      <c r="WLO2998" s="160"/>
      <c r="WLP2998" s="562"/>
      <c r="WLQ2998" s="125"/>
      <c r="WLR2998" s="470"/>
      <c r="WLS2998" s="449"/>
      <c r="WLT2998" s="462"/>
      <c r="WLU2998" s="299"/>
      <c r="WLV2998" s="81"/>
      <c r="WLW2998" s="160"/>
      <c r="WLX2998" s="562"/>
      <c r="WLY2998" s="125"/>
      <c r="WLZ2998" s="470"/>
      <c r="WMA2998" s="449"/>
      <c r="WMB2998" s="462"/>
      <c r="WMC2998" s="299"/>
      <c r="WMD2998" s="81"/>
      <c r="WME2998" s="160"/>
      <c r="WMF2998" s="562"/>
      <c r="WMG2998" s="125"/>
      <c r="WMH2998" s="470"/>
      <c r="WMI2998" s="449"/>
      <c r="WMJ2998" s="462"/>
      <c r="WMK2998" s="299"/>
      <c r="WML2998" s="81"/>
      <c r="WMM2998" s="160"/>
      <c r="WMN2998" s="562"/>
      <c r="WMO2998" s="125"/>
      <c r="WMP2998" s="470"/>
      <c r="WMQ2998" s="449"/>
      <c r="WMR2998" s="462"/>
      <c r="WMS2998" s="299"/>
      <c r="WMT2998" s="81"/>
      <c r="WMU2998" s="160"/>
      <c r="WMV2998" s="562"/>
      <c r="WMW2998" s="125"/>
      <c r="WMX2998" s="470"/>
      <c r="WMY2998" s="449"/>
      <c r="WMZ2998" s="462"/>
      <c r="WNA2998" s="299"/>
      <c r="WNB2998" s="81"/>
      <c r="WNC2998" s="160"/>
      <c r="WND2998" s="562"/>
      <c r="WNE2998" s="125"/>
      <c r="WNF2998" s="470"/>
      <c r="WNG2998" s="449"/>
      <c r="WNH2998" s="462"/>
      <c r="WNI2998" s="299"/>
      <c r="WNJ2998" s="81"/>
      <c r="WNK2998" s="160"/>
      <c r="WNL2998" s="562"/>
      <c r="WNM2998" s="125"/>
      <c r="WNN2998" s="470"/>
      <c r="WNO2998" s="449"/>
      <c r="WNP2998" s="462"/>
      <c r="WNQ2998" s="299"/>
      <c r="WNR2998" s="81"/>
      <c r="WNS2998" s="160"/>
      <c r="WNT2998" s="562"/>
      <c r="WNU2998" s="125"/>
      <c r="WNV2998" s="470"/>
      <c r="WNW2998" s="449"/>
      <c r="WNX2998" s="462"/>
      <c r="WNY2998" s="299"/>
      <c r="WNZ2998" s="81"/>
      <c r="WOA2998" s="160"/>
      <c r="WOB2998" s="562"/>
      <c r="WOC2998" s="125"/>
      <c r="WOD2998" s="470"/>
      <c r="WOE2998" s="449"/>
      <c r="WOF2998" s="462"/>
      <c r="WOG2998" s="299"/>
      <c r="WOH2998" s="81"/>
      <c r="WOI2998" s="160"/>
      <c r="WOJ2998" s="562"/>
      <c r="WOK2998" s="125"/>
      <c r="WOL2998" s="470"/>
      <c r="WOM2998" s="449"/>
      <c r="WON2998" s="462"/>
      <c r="WOO2998" s="299"/>
      <c r="WOP2998" s="81"/>
      <c r="WOQ2998" s="160"/>
      <c r="WOR2998" s="562"/>
      <c r="WOS2998" s="125"/>
      <c r="WOT2998" s="470"/>
      <c r="WOU2998" s="449"/>
      <c r="WOV2998" s="462"/>
      <c r="WOW2998" s="299"/>
      <c r="WOX2998" s="81"/>
      <c r="WOY2998" s="160"/>
      <c r="WOZ2998" s="562"/>
      <c r="WPA2998" s="125"/>
      <c r="WPB2998" s="470"/>
      <c r="WPC2998" s="449"/>
      <c r="WPD2998" s="462"/>
      <c r="WPE2998" s="299"/>
      <c r="WPF2998" s="81"/>
      <c r="WPG2998" s="160"/>
      <c r="WPH2998" s="562"/>
      <c r="WPI2998" s="125"/>
      <c r="WPJ2998" s="470"/>
      <c r="WPK2998" s="449"/>
      <c r="WPL2998" s="462"/>
      <c r="WPM2998" s="299"/>
      <c r="WPN2998" s="81"/>
      <c r="WPO2998" s="160"/>
      <c r="WPP2998" s="562"/>
      <c r="WPQ2998" s="125"/>
      <c r="WPR2998" s="470"/>
      <c r="WPS2998" s="449"/>
      <c r="WPT2998" s="462"/>
      <c r="WPU2998" s="299"/>
      <c r="WPV2998" s="81"/>
      <c r="WPW2998" s="160"/>
      <c r="WPX2998" s="562"/>
      <c r="WPY2998" s="125"/>
      <c r="WPZ2998" s="470"/>
      <c r="WQA2998" s="449"/>
      <c r="WQB2998" s="462"/>
      <c r="WQC2998" s="299"/>
      <c r="WQD2998" s="81"/>
      <c r="WQE2998" s="160"/>
      <c r="WQF2998" s="562"/>
      <c r="WQG2998" s="125"/>
      <c r="WQH2998" s="470"/>
      <c r="WQI2998" s="449"/>
      <c r="WQJ2998" s="462"/>
      <c r="WQK2998" s="299"/>
      <c r="WQL2998" s="81"/>
      <c r="WQM2998" s="160"/>
      <c r="WQN2998" s="562"/>
      <c r="WQO2998" s="125"/>
      <c r="WQP2998" s="470"/>
      <c r="WQQ2998" s="449"/>
      <c r="WQR2998" s="462"/>
      <c r="WQS2998" s="299"/>
      <c r="WQT2998" s="81"/>
      <c r="WQU2998" s="160"/>
      <c r="WQV2998" s="562"/>
      <c r="WQW2998" s="125"/>
      <c r="WQX2998" s="470"/>
      <c r="WQY2998" s="449"/>
      <c r="WQZ2998" s="462"/>
      <c r="WRA2998" s="299"/>
      <c r="WRB2998" s="81"/>
      <c r="WRC2998" s="160"/>
      <c r="WRD2998" s="562"/>
      <c r="WRE2998" s="125"/>
      <c r="WRF2998" s="470"/>
      <c r="WRG2998" s="449"/>
      <c r="WRH2998" s="462"/>
      <c r="WRI2998" s="299"/>
      <c r="WRJ2998" s="81"/>
      <c r="WRK2998" s="160"/>
      <c r="WRL2998" s="562"/>
      <c r="WRM2998" s="125"/>
      <c r="WRN2998" s="470"/>
      <c r="WRO2998" s="449"/>
      <c r="WRP2998" s="462"/>
      <c r="WRQ2998" s="299"/>
      <c r="WRR2998" s="81"/>
      <c r="WRS2998" s="160"/>
      <c r="WRT2998" s="562"/>
      <c r="WRU2998" s="125"/>
      <c r="WRV2998" s="470"/>
      <c r="WRW2998" s="449"/>
      <c r="WRX2998" s="462"/>
      <c r="WRY2998" s="299"/>
      <c r="WRZ2998" s="81"/>
      <c r="WSA2998" s="160"/>
      <c r="WSB2998" s="562"/>
      <c r="WSC2998" s="125"/>
      <c r="WSD2998" s="470"/>
      <c r="WSE2998" s="449"/>
      <c r="WSF2998" s="462"/>
      <c r="WSG2998" s="299"/>
      <c r="WSH2998" s="81"/>
      <c r="WSI2998" s="160"/>
      <c r="WSJ2998" s="562"/>
      <c r="WSK2998" s="125"/>
      <c r="WSL2998" s="470"/>
      <c r="WSM2998" s="449"/>
      <c r="WSN2998" s="462"/>
      <c r="WSO2998" s="299"/>
      <c r="WSP2998" s="81"/>
      <c r="WSQ2998" s="160"/>
      <c r="WSR2998" s="562"/>
      <c r="WSS2998" s="125"/>
      <c r="WST2998" s="470"/>
      <c r="WSU2998" s="449"/>
      <c r="WSV2998" s="462"/>
      <c r="WSW2998" s="299"/>
      <c r="WSX2998" s="81"/>
      <c r="WSY2998" s="160"/>
      <c r="WSZ2998" s="562"/>
      <c r="WTA2998" s="125"/>
      <c r="WTB2998" s="470"/>
      <c r="WTC2998" s="449"/>
      <c r="WTD2998" s="462"/>
      <c r="WTE2998" s="299"/>
      <c r="WTF2998" s="81"/>
      <c r="WTG2998" s="160"/>
      <c r="WTH2998" s="562"/>
      <c r="WTI2998" s="125"/>
      <c r="WTJ2998" s="470"/>
      <c r="WTK2998" s="449"/>
      <c r="WTL2998" s="462"/>
      <c r="WTM2998" s="299"/>
      <c r="WTN2998" s="81"/>
      <c r="WTO2998" s="160"/>
      <c r="WTP2998" s="562"/>
      <c r="WTQ2998" s="125"/>
      <c r="WTR2998" s="470"/>
      <c r="WTS2998" s="449"/>
      <c r="WTT2998" s="462"/>
      <c r="WTU2998" s="299"/>
      <c r="WTV2998" s="81"/>
      <c r="WTW2998" s="160"/>
      <c r="WTX2998" s="562"/>
      <c r="WTY2998" s="125"/>
      <c r="WTZ2998" s="470"/>
      <c r="WUA2998" s="449"/>
      <c r="WUB2998" s="462"/>
      <c r="WUC2998" s="299"/>
      <c r="WUD2998" s="81"/>
      <c r="WUE2998" s="160"/>
      <c r="WUF2998" s="562"/>
      <c r="WUG2998" s="125"/>
      <c r="WUH2998" s="470"/>
      <c r="WUI2998" s="449"/>
      <c r="WUJ2998" s="462"/>
      <c r="WUK2998" s="299"/>
      <c r="WUL2998" s="81"/>
      <c r="WUM2998" s="160"/>
      <c r="WUN2998" s="562"/>
      <c r="WUO2998" s="125"/>
      <c r="WUP2998" s="470"/>
      <c r="WUQ2998" s="449"/>
      <c r="WUR2998" s="462"/>
      <c r="WUS2998" s="299"/>
      <c r="WUT2998" s="81"/>
      <c r="WUU2998" s="160"/>
      <c r="WUV2998" s="562"/>
      <c r="WUW2998" s="125"/>
      <c r="WUX2998" s="470"/>
      <c r="WUY2998" s="449"/>
      <c r="WUZ2998" s="462"/>
      <c r="WVA2998" s="299"/>
      <c r="WVB2998" s="81"/>
      <c r="WVC2998" s="160"/>
      <c r="WVD2998" s="562"/>
      <c r="WVE2998" s="125"/>
      <c r="WVF2998" s="470"/>
      <c r="WVG2998" s="449"/>
      <c r="WVH2998" s="462"/>
      <c r="WVI2998" s="299"/>
      <c r="WVJ2998" s="81"/>
      <c r="WVK2998" s="160"/>
      <c r="WVL2998" s="562"/>
      <c r="WVM2998" s="125"/>
      <c r="WVN2998" s="470"/>
      <c r="WVO2998" s="449"/>
      <c r="WVP2998" s="462"/>
      <c r="WVQ2998" s="299"/>
      <c r="WVR2998" s="81"/>
      <c r="WVS2998" s="160"/>
      <c r="WVT2998" s="562"/>
      <c r="WVU2998" s="125"/>
      <c r="WVV2998" s="470"/>
      <c r="WVW2998" s="449"/>
      <c r="WVX2998" s="462"/>
      <c r="WVY2998" s="299"/>
      <c r="WVZ2998" s="81"/>
      <c r="WWA2998" s="160"/>
      <c r="WWB2998" s="562"/>
      <c r="WWC2998" s="125"/>
      <c r="WWD2998" s="470"/>
      <c r="WWE2998" s="449"/>
      <c r="WWF2998" s="462"/>
      <c r="WWG2998" s="299"/>
      <c r="WWH2998" s="81"/>
      <c r="WWI2998" s="160"/>
      <c r="WWJ2998" s="562"/>
      <c r="WWK2998" s="125"/>
      <c r="WWL2998" s="470"/>
      <c r="WWM2998" s="449"/>
      <c r="WWN2998" s="462"/>
      <c r="WWO2998" s="299"/>
      <c r="WWP2998" s="81"/>
      <c r="WWQ2998" s="160"/>
      <c r="WWR2998" s="562"/>
      <c r="WWS2998" s="125"/>
      <c r="WWT2998" s="470"/>
      <c r="WWU2998" s="449"/>
      <c r="WWV2998" s="462"/>
      <c r="WWW2998" s="299"/>
      <c r="WWX2998" s="81"/>
      <c r="WWY2998" s="160"/>
      <c r="WWZ2998" s="562"/>
      <c r="WXA2998" s="125"/>
      <c r="WXB2998" s="470"/>
      <c r="WXC2998" s="449"/>
      <c r="WXD2998" s="462"/>
      <c r="WXE2998" s="299"/>
      <c r="WXF2998" s="81"/>
      <c r="WXG2998" s="160"/>
      <c r="WXH2998" s="562"/>
      <c r="WXI2998" s="125"/>
      <c r="WXJ2998" s="470"/>
      <c r="WXK2998" s="449"/>
      <c r="WXL2998" s="462"/>
      <c r="WXM2998" s="299"/>
      <c r="WXN2998" s="81"/>
      <c r="WXO2998" s="160"/>
      <c r="WXP2998" s="562"/>
      <c r="WXQ2998" s="125"/>
      <c r="WXR2998" s="470"/>
      <c r="WXS2998" s="449"/>
      <c r="WXT2998" s="462"/>
      <c r="WXU2998" s="299"/>
      <c r="WXV2998" s="81"/>
      <c r="WXW2998" s="160"/>
      <c r="WXX2998" s="562"/>
      <c r="WXY2998" s="125"/>
      <c r="WXZ2998" s="470"/>
      <c r="WYA2998" s="449"/>
      <c r="WYB2998" s="462"/>
      <c r="WYC2998" s="299"/>
      <c r="WYD2998" s="81"/>
      <c r="WYE2998" s="160"/>
      <c r="WYF2998" s="562"/>
      <c r="WYG2998" s="125"/>
      <c r="WYH2998" s="470"/>
      <c r="WYI2998" s="449"/>
      <c r="WYJ2998" s="462"/>
      <c r="WYK2998" s="299"/>
      <c r="WYL2998" s="81"/>
      <c r="WYM2998" s="160"/>
      <c r="WYN2998" s="562"/>
      <c r="WYO2998" s="125"/>
      <c r="WYP2998" s="470"/>
      <c r="WYQ2998" s="449"/>
      <c r="WYR2998" s="462"/>
      <c r="WYS2998" s="299"/>
      <c r="WYT2998" s="81"/>
      <c r="WYU2998" s="160"/>
      <c r="WYV2998" s="562"/>
      <c r="WYW2998" s="125"/>
      <c r="WYX2998" s="470"/>
      <c r="WYY2998" s="449"/>
      <c r="WYZ2998" s="462"/>
      <c r="WZA2998" s="299"/>
      <c r="WZB2998" s="81"/>
      <c r="WZC2998" s="160"/>
      <c r="WZD2998" s="562"/>
      <c r="WZE2998" s="125"/>
      <c r="WZF2998" s="470"/>
      <c r="WZG2998" s="449"/>
      <c r="WZH2998" s="462"/>
      <c r="WZI2998" s="299"/>
      <c r="WZJ2998" s="81"/>
      <c r="WZK2998" s="160"/>
      <c r="WZL2998" s="562"/>
      <c r="WZM2998" s="125"/>
      <c r="WZN2998" s="470"/>
      <c r="WZO2998" s="449"/>
      <c r="WZP2998" s="462"/>
      <c r="WZQ2998" s="299"/>
      <c r="WZR2998" s="81"/>
      <c r="WZS2998" s="160"/>
      <c r="WZT2998" s="562"/>
      <c r="WZU2998" s="125"/>
      <c r="WZV2998" s="470"/>
      <c r="WZW2998" s="449"/>
      <c r="WZX2998" s="462"/>
      <c r="WZY2998" s="299"/>
      <c r="WZZ2998" s="81"/>
      <c r="XAA2998" s="160"/>
      <c r="XAB2998" s="562"/>
      <c r="XAC2998" s="125"/>
      <c r="XAD2998" s="470"/>
      <c r="XAE2998" s="449"/>
      <c r="XAF2998" s="462"/>
      <c r="XAG2998" s="299"/>
      <c r="XAH2998" s="81"/>
      <c r="XAI2998" s="160"/>
      <c r="XAJ2998" s="562"/>
      <c r="XAK2998" s="125"/>
      <c r="XAL2998" s="470"/>
      <c r="XAM2998" s="449"/>
      <c r="XAN2998" s="462"/>
      <c r="XAO2998" s="299"/>
      <c r="XAP2998" s="81"/>
      <c r="XAQ2998" s="160"/>
      <c r="XAR2998" s="562"/>
      <c r="XAS2998" s="125"/>
      <c r="XAT2998" s="470"/>
      <c r="XAU2998" s="449"/>
      <c r="XAV2998" s="462"/>
      <c r="XAW2998" s="299"/>
      <c r="XAX2998" s="81"/>
      <c r="XAY2998" s="160"/>
      <c r="XAZ2998" s="562"/>
      <c r="XBA2998" s="125"/>
      <c r="XBB2998" s="470"/>
      <c r="XBC2998" s="449"/>
      <c r="XBD2998" s="462"/>
      <c r="XBE2998" s="299"/>
      <c r="XBF2998" s="81"/>
      <c r="XBG2998" s="160"/>
      <c r="XBH2998" s="562"/>
      <c r="XBI2998" s="125"/>
      <c r="XBJ2998" s="470"/>
      <c r="XBK2998" s="449"/>
      <c r="XBL2998" s="462"/>
      <c r="XBM2998" s="299"/>
      <c r="XBN2998" s="81"/>
      <c r="XBO2998" s="160"/>
      <c r="XBP2998" s="562"/>
      <c r="XBQ2998" s="125"/>
      <c r="XBR2998" s="470"/>
      <c r="XBS2998" s="449"/>
      <c r="XBT2998" s="462"/>
      <c r="XBU2998" s="299"/>
      <c r="XBV2998" s="81"/>
      <c r="XBW2998" s="160"/>
      <c r="XBX2998" s="562"/>
      <c r="XBY2998" s="125"/>
      <c r="XBZ2998" s="470"/>
      <c r="XCA2998" s="449"/>
      <c r="XCB2998" s="462"/>
      <c r="XCC2998" s="299"/>
      <c r="XCD2998" s="81"/>
      <c r="XCE2998" s="160"/>
      <c r="XCF2998" s="562"/>
      <c r="XCG2998" s="125"/>
      <c r="XCH2998" s="470"/>
      <c r="XCI2998" s="449"/>
      <c r="XCJ2998" s="462"/>
      <c r="XCK2998" s="299"/>
      <c r="XCL2998" s="81"/>
      <c r="XCM2998" s="160"/>
      <c r="XCN2998" s="562"/>
      <c r="XCO2998" s="125"/>
      <c r="XCP2998" s="470"/>
      <c r="XCQ2998" s="449"/>
      <c r="XCR2998" s="462"/>
      <c r="XCS2998" s="299"/>
      <c r="XCT2998" s="81"/>
      <c r="XCU2998" s="160"/>
      <c r="XCV2998" s="562"/>
      <c r="XCW2998" s="125"/>
      <c r="XCX2998" s="470"/>
      <c r="XCY2998" s="449"/>
      <c r="XCZ2998" s="462"/>
      <c r="XDA2998" s="299"/>
      <c r="XDB2998" s="81"/>
      <c r="XDC2998" s="160"/>
      <c r="XDD2998" s="562"/>
      <c r="XDE2998" s="125"/>
      <c r="XDF2998" s="470"/>
      <c r="XDG2998" s="449"/>
      <c r="XDH2998" s="462"/>
      <c r="XDI2998" s="299"/>
      <c r="XDJ2998" s="81"/>
      <c r="XDK2998" s="160"/>
      <c r="XDL2998" s="562"/>
      <c r="XDM2998" s="125"/>
      <c r="XDN2998" s="470"/>
      <c r="XDO2998" s="449"/>
      <c r="XDP2998" s="462"/>
      <c r="XDQ2998" s="299"/>
      <c r="XDR2998" s="81"/>
      <c r="XDS2998" s="160"/>
      <c r="XDT2998" s="562"/>
      <c r="XDU2998" s="125"/>
      <c r="XDV2998" s="470"/>
      <c r="XDW2998" s="449"/>
      <c r="XDX2998" s="462"/>
      <c r="XDY2998" s="299"/>
      <c r="XDZ2998" s="81"/>
      <c r="XEA2998" s="160"/>
      <c r="XEB2998" s="562"/>
      <c r="XEC2998" s="125"/>
      <c r="XED2998" s="470"/>
      <c r="XEE2998" s="449"/>
      <c r="XEF2998" s="462"/>
      <c r="XEG2998" s="299"/>
      <c r="XEH2998" s="81"/>
      <c r="XEI2998" s="160"/>
      <c r="XEJ2998" s="562"/>
      <c r="XEK2998" s="125"/>
      <c r="XEL2998" s="470"/>
      <c r="XEM2998" s="449"/>
      <c r="XEN2998" s="462"/>
      <c r="XEO2998" s="299"/>
      <c r="XEP2998" s="81"/>
      <c r="XEQ2998" s="160"/>
      <c r="XER2998" s="562"/>
      <c r="XES2998" s="125"/>
      <c r="XET2998" s="470"/>
      <c r="XEU2998" s="449"/>
      <c r="XEV2998" s="462"/>
      <c r="XEW2998" s="299"/>
      <c r="XEX2998" s="81"/>
      <c r="XEY2998" s="160"/>
      <c r="XEZ2998" s="562"/>
      <c r="XFA2998" s="125"/>
      <c r="XFB2998" s="470"/>
      <c r="XFC2998" s="449"/>
      <c r="XFD2998" s="462"/>
    </row>
    <row r="2999" spans="1:16384" ht="15" customHeight="1">
      <c r="A2999" s="1253">
        <v>45114</v>
      </c>
      <c r="B2999" s="1209">
        <v>4105</v>
      </c>
      <c r="C2999" s="1210">
        <v>29050</v>
      </c>
      <c r="D2999" s="1230">
        <v>28350</v>
      </c>
      <c r="E2999" s="1212">
        <f t="shared" ref="E2999" si="1139">D2999-C2999</f>
        <v>-700</v>
      </c>
      <c r="F2999" s="1211">
        <f t="shared" ref="F2999" si="1140">C2999-C2998</f>
        <v>0</v>
      </c>
      <c r="G2999" s="1236"/>
      <c r="H2999" s="1280"/>
      <c r="I2999" s="1291">
        <v>234000</v>
      </c>
      <c r="J2999" s="81"/>
      <c r="K2999" s="160"/>
      <c r="L2999" s="565"/>
      <c r="M2999" s="125"/>
      <c r="N2999" s="470"/>
      <c r="R2999" s="81"/>
      <c r="S2999" s="160"/>
      <c r="T2999" s="565"/>
      <c r="U2999" s="125"/>
      <c r="V2999" s="470"/>
      <c r="W2999" s="449"/>
      <c r="X2999" s="462"/>
      <c r="Y2999" s="299"/>
      <c r="Z2999" s="81"/>
      <c r="AA2999" s="160"/>
      <c r="AB2999" s="565"/>
      <c r="AC2999" s="125"/>
      <c r="AD2999" s="470"/>
      <c r="AE2999" s="449"/>
      <c r="AF2999" s="462"/>
      <c r="AG2999" s="299"/>
      <c r="AH2999" s="81"/>
      <c r="AI2999" s="160"/>
      <c r="AJ2999" s="565"/>
      <c r="AK2999" s="125"/>
      <c r="AL2999" s="470"/>
      <c r="AM2999" s="449"/>
      <c r="AN2999" s="462"/>
      <c r="AO2999" s="299"/>
      <c r="AP2999" s="81"/>
      <c r="AQ2999" s="160"/>
      <c r="AR2999" s="565"/>
      <c r="AS2999" s="125"/>
      <c r="AT2999" s="470"/>
      <c r="AU2999" s="449"/>
      <c r="AV2999" s="462"/>
      <c r="AW2999" s="299"/>
      <c r="AX2999" s="81"/>
      <c r="AY2999" s="160"/>
      <c r="AZ2999" s="565"/>
      <c r="BA2999" s="125"/>
      <c r="BB2999" s="470"/>
      <c r="BC2999" s="449"/>
      <c r="BD2999" s="462"/>
      <c r="BE2999" s="299"/>
      <c r="BF2999" s="81"/>
      <c r="BG2999" s="160"/>
      <c r="BH2999" s="565"/>
      <c r="BI2999" s="125"/>
      <c r="BJ2999" s="470"/>
      <c r="BK2999" s="449"/>
      <c r="BL2999" s="462"/>
      <c r="BM2999" s="299"/>
      <c r="BN2999" s="81"/>
      <c r="BO2999" s="160"/>
      <c r="BP2999" s="565"/>
      <c r="BQ2999" s="125"/>
      <c r="BR2999" s="470"/>
      <c r="BS2999" s="449"/>
      <c r="BT2999" s="462"/>
      <c r="BU2999" s="299"/>
      <c r="BV2999" s="81"/>
      <c r="BW2999" s="160"/>
      <c r="BX2999" s="565"/>
      <c r="BY2999" s="125"/>
      <c r="BZ2999" s="470"/>
      <c r="CA2999" s="449"/>
      <c r="CB2999" s="462"/>
      <c r="CC2999" s="299"/>
      <c r="CD2999" s="81"/>
      <c r="CE2999" s="160"/>
      <c r="CF2999" s="565"/>
      <c r="CG2999" s="125"/>
      <c r="CH2999" s="470"/>
      <c r="CI2999" s="449"/>
      <c r="CJ2999" s="462"/>
      <c r="CK2999" s="299"/>
      <c r="CL2999" s="81"/>
      <c r="CM2999" s="160"/>
      <c r="CN2999" s="565"/>
      <c r="CO2999" s="125"/>
      <c r="CP2999" s="470"/>
      <c r="CQ2999" s="449"/>
      <c r="CR2999" s="462"/>
      <c r="CS2999" s="299"/>
      <c r="CT2999" s="81"/>
      <c r="CU2999" s="160"/>
      <c r="CV2999" s="565"/>
      <c r="CW2999" s="125"/>
      <c r="CX2999" s="470"/>
      <c r="CY2999" s="449"/>
      <c r="CZ2999" s="462"/>
      <c r="DA2999" s="299"/>
      <c r="DB2999" s="81"/>
      <c r="DC2999" s="160"/>
      <c r="DD2999" s="565"/>
      <c r="DE2999" s="125"/>
      <c r="DF2999" s="470"/>
      <c r="DG2999" s="449"/>
      <c r="DH2999" s="462"/>
      <c r="DI2999" s="299"/>
      <c r="DJ2999" s="81"/>
      <c r="DK2999" s="160"/>
      <c r="DL2999" s="565"/>
      <c r="DM2999" s="125"/>
      <c r="DN2999" s="470"/>
      <c r="DO2999" s="449"/>
      <c r="DP2999" s="462"/>
      <c r="DQ2999" s="299"/>
      <c r="DR2999" s="81"/>
      <c r="DS2999" s="160"/>
      <c r="DT2999" s="565"/>
      <c r="DU2999" s="125"/>
      <c r="DV2999" s="470"/>
      <c r="DW2999" s="449"/>
      <c r="DX2999" s="462"/>
      <c r="DY2999" s="299"/>
      <c r="DZ2999" s="81"/>
      <c r="EA2999" s="160"/>
      <c r="EB2999" s="565"/>
      <c r="EC2999" s="125"/>
      <c r="ED2999" s="470"/>
      <c r="EE2999" s="449"/>
      <c r="EF2999" s="462"/>
      <c r="EG2999" s="299"/>
      <c r="EH2999" s="81"/>
      <c r="EI2999" s="160"/>
      <c r="EJ2999" s="565"/>
      <c r="EK2999" s="125"/>
      <c r="EL2999" s="470"/>
      <c r="EM2999" s="449"/>
      <c r="EN2999" s="462"/>
      <c r="EO2999" s="299"/>
      <c r="EP2999" s="81"/>
      <c r="EQ2999" s="160"/>
      <c r="ER2999" s="565"/>
      <c r="ES2999" s="125"/>
      <c r="ET2999" s="470"/>
      <c r="EU2999" s="449"/>
      <c r="EV2999" s="462"/>
      <c r="EW2999" s="299"/>
      <c r="EX2999" s="81"/>
      <c r="EY2999" s="160"/>
      <c r="EZ2999" s="565"/>
      <c r="FA2999" s="125"/>
      <c r="FB2999" s="470"/>
      <c r="FC2999" s="449"/>
      <c r="FD2999" s="462"/>
      <c r="FE2999" s="299"/>
      <c r="FF2999" s="81"/>
      <c r="FG2999" s="160"/>
      <c r="FH2999" s="565"/>
      <c r="FI2999" s="125"/>
      <c r="FJ2999" s="470"/>
      <c r="FK2999" s="449"/>
      <c r="FL2999" s="462"/>
      <c r="FM2999" s="299"/>
      <c r="FN2999" s="81"/>
      <c r="FO2999" s="160"/>
      <c r="FP2999" s="565"/>
      <c r="FQ2999" s="125"/>
      <c r="FR2999" s="470"/>
      <c r="FS2999" s="449"/>
      <c r="FT2999" s="462"/>
      <c r="FU2999" s="299"/>
      <c r="FV2999" s="81"/>
      <c r="FW2999" s="160"/>
      <c r="FX2999" s="565"/>
      <c r="FY2999" s="125"/>
      <c r="FZ2999" s="470"/>
      <c r="GA2999" s="449"/>
      <c r="GB2999" s="462"/>
      <c r="GC2999" s="299"/>
      <c r="GD2999" s="81"/>
      <c r="GE2999" s="160"/>
      <c r="GF2999" s="565"/>
      <c r="GG2999" s="125"/>
      <c r="GH2999" s="470"/>
      <c r="GI2999" s="449"/>
      <c r="GJ2999" s="462"/>
      <c r="GK2999" s="299"/>
      <c r="GL2999" s="81"/>
      <c r="GM2999" s="160"/>
      <c r="GN2999" s="565"/>
      <c r="GO2999" s="125"/>
      <c r="GP2999" s="470"/>
      <c r="GQ2999" s="449"/>
      <c r="GR2999" s="462"/>
      <c r="GS2999" s="299"/>
      <c r="GT2999" s="81"/>
      <c r="GU2999" s="160"/>
      <c r="GV2999" s="565"/>
      <c r="GW2999" s="125"/>
      <c r="GX2999" s="470"/>
      <c r="GY2999" s="449"/>
      <c r="GZ2999" s="462"/>
      <c r="HA2999" s="299"/>
      <c r="HB2999" s="81"/>
      <c r="HC2999" s="160"/>
      <c r="HD2999" s="565"/>
      <c r="HE2999" s="125"/>
      <c r="HF2999" s="470"/>
      <c r="HG2999" s="449"/>
      <c r="HH2999" s="462"/>
      <c r="HI2999" s="299"/>
      <c r="HJ2999" s="81"/>
      <c r="HK2999" s="160"/>
      <c r="HL2999" s="565"/>
      <c r="HM2999" s="125"/>
      <c r="HN2999" s="470"/>
      <c r="HO2999" s="449"/>
      <c r="HP2999" s="462"/>
      <c r="HQ2999" s="299"/>
      <c r="HR2999" s="81"/>
      <c r="HS2999" s="160"/>
      <c r="HT2999" s="565"/>
      <c r="HU2999" s="125"/>
      <c r="HV2999" s="470"/>
      <c r="HW2999" s="449"/>
      <c r="HX2999" s="462"/>
      <c r="HY2999" s="299"/>
      <c r="HZ2999" s="81"/>
      <c r="IA2999" s="160"/>
      <c r="IB2999" s="565"/>
      <c r="IC2999" s="125"/>
      <c r="ID2999" s="470"/>
      <c r="IE2999" s="449"/>
      <c r="IF2999" s="462"/>
      <c r="IG2999" s="299"/>
      <c r="IH2999" s="81"/>
      <c r="II2999" s="160"/>
      <c r="IJ2999" s="565"/>
      <c r="IK2999" s="125"/>
      <c r="IL2999" s="470"/>
      <c r="IM2999" s="449"/>
      <c r="IN2999" s="462"/>
      <c r="IO2999" s="299"/>
      <c r="IP2999" s="81"/>
      <c r="IQ2999" s="160"/>
      <c r="IR2999" s="565"/>
      <c r="IS2999" s="125"/>
      <c r="IT2999" s="470"/>
      <c r="IU2999" s="449"/>
      <c r="IV2999" s="462"/>
      <c r="IW2999" s="299"/>
      <c r="IX2999" s="81"/>
      <c r="IY2999" s="160"/>
      <c r="IZ2999" s="565"/>
      <c r="JA2999" s="125"/>
      <c r="JB2999" s="470"/>
      <c r="JC2999" s="449"/>
      <c r="JD2999" s="462"/>
      <c r="JE2999" s="299"/>
      <c r="JF2999" s="81"/>
      <c r="JG2999" s="160"/>
      <c r="JH2999" s="565"/>
      <c r="JI2999" s="125"/>
      <c r="JJ2999" s="470"/>
      <c r="JK2999" s="449"/>
      <c r="JL2999" s="462"/>
      <c r="JM2999" s="299"/>
      <c r="JN2999" s="81"/>
      <c r="JO2999" s="160"/>
      <c r="JP2999" s="565"/>
      <c r="JQ2999" s="125"/>
      <c r="JR2999" s="470"/>
      <c r="JS2999" s="449"/>
      <c r="JT2999" s="462"/>
      <c r="JU2999" s="299"/>
      <c r="JV2999" s="81"/>
      <c r="JW2999" s="160"/>
      <c r="JX2999" s="565"/>
      <c r="JY2999" s="125"/>
      <c r="JZ2999" s="470"/>
      <c r="KA2999" s="449"/>
      <c r="KB2999" s="462"/>
      <c r="KC2999" s="299"/>
      <c r="KD2999" s="81"/>
      <c r="KE2999" s="160"/>
      <c r="KF2999" s="565"/>
      <c r="KG2999" s="125"/>
      <c r="KH2999" s="470"/>
      <c r="KI2999" s="449"/>
      <c r="KJ2999" s="462"/>
      <c r="KK2999" s="299"/>
      <c r="KL2999" s="81"/>
      <c r="KM2999" s="160"/>
      <c r="KN2999" s="565"/>
      <c r="KO2999" s="125"/>
      <c r="KP2999" s="470"/>
      <c r="KQ2999" s="449"/>
      <c r="KR2999" s="462"/>
      <c r="KS2999" s="299"/>
      <c r="KT2999" s="81"/>
      <c r="KU2999" s="160"/>
      <c r="KV2999" s="565"/>
      <c r="KW2999" s="125"/>
      <c r="KX2999" s="470"/>
      <c r="KY2999" s="449"/>
      <c r="KZ2999" s="462"/>
      <c r="LA2999" s="299"/>
      <c r="LB2999" s="81"/>
      <c r="LC2999" s="160"/>
      <c r="LD2999" s="565"/>
      <c r="LE2999" s="125"/>
      <c r="LF2999" s="470"/>
      <c r="LG2999" s="449"/>
      <c r="LH2999" s="462"/>
      <c r="LI2999" s="299"/>
      <c r="LJ2999" s="81"/>
      <c r="LK2999" s="160"/>
      <c r="LL2999" s="565"/>
      <c r="LM2999" s="125"/>
      <c r="LN2999" s="470"/>
      <c r="LO2999" s="449"/>
      <c r="LP2999" s="462"/>
      <c r="LQ2999" s="299"/>
      <c r="LR2999" s="81"/>
      <c r="LS2999" s="160"/>
      <c r="LT2999" s="565"/>
      <c r="LU2999" s="125"/>
      <c r="LV2999" s="470"/>
      <c r="LW2999" s="449"/>
      <c r="LX2999" s="462"/>
      <c r="LY2999" s="299"/>
      <c r="LZ2999" s="81"/>
      <c r="MA2999" s="160"/>
      <c r="MB2999" s="565"/>
      <c r="MC2999" s="125"/>
      <c r="MD2999" s="470"/>
      <c r="ME2999" s="449"/>
      <c r="MF2999" s="462"/>
      <c r="MG2999" s="299"/>
      <c r="MH2999" s="81"/>
      <c r="MI2999" s="160"/>
      <c r="MJ2999" s="565"/>
      <c r="MK2999" s="125"/>
      <c r="ML2999" s="470"/>
      <c r="MM2999" s="449"/>
      <c r="MN2999" s="462"/>
      <c r="MO2999" s="299"/>
      <c r="MP2999" s="81"/>
      <c r="MQ2999" s="160"/>
      <c r="MR2999" s="565"/>
      <c r="MS2999" s="125"/>
      <c r="MT2999" s="470"/>
      <c r="MU2999" s="449"/>
      <c r="MV2999" s="462"/>
      <c r="MW2999" s="299"/>
      <c r="MX2999" s="81"/>
      <c r="MY2999" s="160"/>
      <c r="MZ2999" s="565"/>
      <c r="NA2999" s="125"/>
      <c r="NB2999" s="470"/>
      <c r="NC2999" s="449"/>
      <c r="ND2999" s="462"/>
      <c r="NE2999" s="299"/>
      <c r="NF2999" s="81"/>
      <c r="NG2999" s="160"/>
      <c r="NH2999" s="565"/>
      <c r="NI2999" s="125"/>
      <c r="NJ2999" s="470"/>
      <c r="NK2999" s="449"/>
      <c r="NL2999" s="462"/>
      <c r="NM2999" s="299"/>
      <c r="NN2999" s="81"/>
      <c r="NO2999" s="160"/>
      <c r="NP2999" s="565"/>
      <c r="NQ2999" s="125"/>
      <c r="NR2999" s="470"/>
      <c r="NS2999" s="449"/>
      <c r="NT2999" s="462"/>
      <c r="NU2999" s="299"/>
      <c r="NV2999" s="81"/>
      <c r="NW2999" s="160"/>
      <c r="NX2999" s="565"/>
      <c r="NY2999" s="125"/>
      <c r="NZ2999" s="470"/>
      <c r="OA2999" s="449"/>
      <c r="OB2999" s="462"/>
      <c r="OC2999" s="299"/>
      <c r="OD2999" s="81"/>
      <c r="OE2999" s="160"/>
      <c r="OF2999" s="565"/>
      <c r="OG2999" s="125"/>
      <c r="OH2999" s="470"/>
      <c r="OI2999" s="449"/>
      <c r="OJ2999" s="462"/>
      <c r="OK2999" s="299"/>
      <c r="OL2999" s="81"/>
      <c r="OM2999" s="160"/>
      <c r="ON2999" s="565"/>
      <c r="OO2999" s="125"/>
      <c r="OP2999" s="470"/>
      <c r="OQ2999" s="449"/>
      <c r="OR2999" s="462"/>
      <c r="OS2999" s="299"/>
      <c r="OT2999" s="81"/>
      <c r="OU2999" s="160"/>
      <c r="OV2999" s="565"/>
      <c r="OW2999" s="125"/>
      <c r="OX2999" s="470"/>
      <c r="OY2999" s="449"/>
      <c r="OZ2999" s="462"/>
      <c r="PA2999" s="299"/>
      <c r="PB2999" s="81"/>
      <c r="PC2999" s="160"/>
      <c r="PD2999" s="565"/>
      <c r="PE2999" s="125"/>
      <c r="PF2999" s="470"/>
      <c r="PG2999" s="449"/>
      <c r="PH2999" s="462"/>
      <c r="PI2999" s="299"/>
      <c r="PJ2999" s="81"/>
      <c r="PK2999" s="160"/>
      <c r="PL2999" s="565"/>
      <c r="PM2999" s="125"/>
      <c r="PN2999" s="470"/>
      <c r="PO2999" s="449"/>
      <c r="PP2999" s="462"/>
      <c r="PQ2999" s="299"/>
      <c r="PR2999" s="81"/>
      <c r="PS2999" s="160"/>
      <c r="PT2999" s="565"/>
      <c r="PU2999" s="125"/>
      <c r="PV2999" s="470"/>
      <c r="PW2999" s="449"/>
      <c r="PX2999" s="462"/>
      <c r="PY2999" s="299"/>
      <c r="PZ2999" s="81"/>
      <c r="QA2999" s="160"/>
      <c r="QB2999" s="565"/>
      <c r="QC2999" s="125"/>
      <c r="QD2999" s="470"/>
      <c r="QE2999" s="449"/>
      <c r="QF2999" s="462"/>
      <c r="QG2999" s="299"/>
      <c r="QH2999" s="81"/>
      <c r="QI2999" s="160"/>
      <c r="QJ2999" s="565"/>
      <c r="QK2999" s="125"/>
      <c r="QL2999" s="470"/>
      <c r="QM2999" s="449"/>
      <c r="QN2999" s="462"/>
      <c r="QO2999" s="299"/>
      <c r="QP2999" s="81"/>
      <c r="QQ2999" s="160"/>
      <c r="QR2999" s="565"/>
      <c r="QS2999" s="125"/>
      <c r="QT2999" s="470"/>
      <c r="QU2999" s="449"/>
      <c r="QV2999" s="462"/>
      <c r="QW2999" s="299"/>
      <c r="QX2999" s="81"/>
      <c r="QY2999" s="160"/>
      <c r="QZ2999" s="565"/>
      <c r="RA2999" s="125"/>
      <c r="RB2999" s="470"/>
      <c r="RC2999" s="449"/>
      <c r="RD2999" s="462"/>
      <c r="RE2999" s="299"/>
      <c r="RF2999" s="81"/>
      <c r="RG2999" s="160"/>
      <c r="RH2999" s="565"/>
      <c r="RI2999" s="125"/>
      <c r="RJ2999" s="470"/>
      <c r="RK2999" s="449"/>
      <c r="RL2999" s="462"/>
      <c r="RM2999" s="299"/>
      <c r="RN2999" s="81"/>
      <c r="RO2999" s="160"/>
      <c r="RP2999" s="565"/>
      <c r="RQ2999" s="125"/>
      <c r="RR2999" s="470"/>
      <c r="RS2999" s="449"/>
      <c r="RT2999" s="462"/>
      <c r="RU2999" s="299"/>
      <c r="RV2999" s="81"/>
      <c r="RW2999" s="160"/>
      <c r="RX2999" s="565"/>
      <c r="RY2999" s="125"/>
      <c r="RZ2999" s="470"/>
      <c r="SA2999" s="449"/>
      <c r="SB2999" s="462"/>
      <c r="SC2999" s="299"/>
      <c r="SD2999" s="81"/>
      <c r="SE2999" s="160"/>
      <c r="SF2999" s="565"/>
      <c r="SG2999" s="125"/>
      <c r="SH2999" s="470"/>
      <c r="SI2999" s="449"/>
      <c r="SJ2999" s="462"/>
      <c r="SK2999" s="299"/>
      <c r="SL2999" s="81"/>
      <c r="SM2999" s="160"/>
      <c r="SN2999" s="565"/>
      <c r="SO2999" s="125"/>
      <c r="SP2999" s="470"/>
      <c r="SQ2999" s="449"/>
      <c r="SR2999" s="462"/>
      <c r="SS2999" s="299"/>
      <c r="ST2999" s="81"/>
      <c r="SU2999" s="160"/>
      <c r="SV2999" s="565"/>
      <c r="SW2999" s="125"/>
      <c r="SX2999" s="470"/>
      <c r="SY2999" s="449"/>
      <c r="SZ2999" s="462"/>
      <c r="TA2999" s="299"/>
      <c r="TB2999" s="81"/>
      <c r="TC2999" s="160"/>
      <c r="TD2999" s="565"/>
      <c r="TE2999" s="125"/>
      <c r="TF2999" s="470"/>
      <c r="TG2999" s="449"/>
      <c r="TH2999" s="462"/>
      <c r="TI2999" s="299"/>
      <c r="TJ2999" s="81"/>
      <c r="TK2999" s="160"/>
      <c r="TL2999" s="565"/>
      <c r="TM2999" s="125"/>
      <c r="TN2999" s="470"/>
      <c r="TO2999" s="449"/>
      <c r="TP2999" s="462"/>
      <c r="TQ2999" s="299"/>
      <c r="TR2999" s="81"/>
      <c r="TS2999" s="160"/>
      <c r="TT2999" s="565"/>
      <c r="TU2999" s="125"/>
      <c r="TV2999" s="470"/>
      <c r="TW2999" s="449"/>
      <c r="TX2999" s="462"/>
      <c r="TY2999" s="299"/>
      <c r="TZ2999" s="81"/>
      <c r="UA2999" s="160"/>
      <c r="UB2999" s="565"/>
      <c r="UC2999" s="125"/>
      <c r="UD2999" s="470"/>
      <c r="UE2999" s="449"/>
      <c r="UF2999" s="462"/>
      <c r="UG2999" s="299"/>
      <c r="UH2999" s="81"/>
      <c r="UI2999" s="160"/>
      <c r="UJ2999" s="565"/>
      <c r="UK2999" s="125"/>
      <c r="UL2999" s="470"/>
      <c r="UM2999" s="449"/>
      <c r="UN2999" s="462"/>
      <c r="UO2999" s="299"/>
      <c r="UP2999" s="81"/>
      <c r="UQ2999" s="160"/>
      <c r="UR2999" s="565"/>
      <c r="US2999" s="125"/>
      <c r="UT2999" s="470"/>
      <c r="UU2999" s="449"/>
      <c r="UV2999" s="462"/>
      <c r="UW2999" s="299"/>
      <c r="UX2999" s="81"/>
      <c r="UY2999" s="160"/>
      <c r="UZ2999" s="565"/>
      <c r="VA2999" s="125"/>
      <c r="VB2999" s="470"/>
      <c r="VC2999" s="449"/>
      <c r="VD2999" s="462"/>
      <c r="VE2999" s="299"/>
      <c r="VF2999" s="81"/>
      <c r="VG2999" s="160"/>
      <c r="VH2999" s="565"/>
      <c r="VI2999" s="125"/>
      <c r="VJ2999" s="470"/>
      <c r="VK2999" s="449"/>
      <c r="VL2999" s="462"/>
      <c r="VM2999" s="299"/>
      <c r="VN2999" s="81"/>
      <c r="VO2999" s="160"/>
      <c r="VP2999" s="565"/>
      <c r="VQ2999" s="125"/>
      <c r="VR2999" s="470"/>
      <c r="VS2999" s="449"/>
      <c r="VT2999" s="462"/>
      <c r="VU2999" s="299"/>
      <c r="VV2999" s="81"/>
      <c r="VW2999" s="160"/>
      <c r="VX2999" s="565"/>
      <c r="VY2999" s="125"/>
      <c r="VZ2999" s="470"/>
      <c r="WA2999" s="449"/>
      <c r="WB2999" s="462"/>
      <c r="WC2999" s="299"/>
      <c r="WD2999" s="81"/>
      <c r="WE2999" s="160"/>
      <c r="WF2999" s="565"/>
      <c r="WG2999" s="125"/>
      <c r="WH2999" s="470"/>
      <c r="WI2999" s="449"/>
      <c r="WJ2999" s="462"/>
      <c r="WK2999" s="299"/>
      <c r="WL2999" s="81"/>
      <c r="WM2999" s="160"/>
      <c r="WN2999" s="565"/>
      <c r="WO2999" s="125"/>
      <c r="WP2999" s="470"/>
      <c r="WQ2999" s="449"/>
      <c r="WR2999" s="462"/>
      <c r="WS2999" s="299"/>
      <c r="WT2999" s="81"/>
      <c r="WU2999" s="160"/>
      <c r="WV2999" s="565"/>
      <c r="WW2999" s="125"/>
      <c r="WX2999" s="470"/>
      <c r="WY2999" s="449"/>
      <c r="WZ2999" s="462"/>
      <c r="XA2999" s="299"/>
      <c r="XB2999" s="81"/>
      <c r="XC2999" s="160"/>
      <c r="XD2999" s="565"/>
      <c r="XE2999" s="125"/>
      <c r="XF2999" s="470"/>
      <c r="XG2999" s="449"/>
      <c r="XH2999" s="462"/>
      <c r="XI2999" s="299"/>
      <c r="XJ2999" s="81"/>
      <c r="XK2999" s="160"/>
      <c r="XL2999" s="565"/>
      <c r="XM2999" s="125"/>
      <c r="XN2999" s="470"/>
      <c r="XO2999" s="449"/>
      <c r="XP2999" s="462"/>
      <c r="XQ2999" s="299"/>
      <c r="XR2999" s="81"/>
      <c r="XS2999" s="160"/>
      <c r="XT2999" s="565"/>
      <c r="XU2999" s="125"/>
      <c r="XV2999" s="470"/>
      <c r="XW2999" s="449"/>
      <c r="XX2999" s="462"/>
      <c r="XY2999" s="299"/>
      <c r="XZ2999" s="81"/>
      <c r="YA2999" s="160"/>
      <c r="YB2999" s="565"/>
      <c r="YC2999" s="125"/>
      <c r="YD2999" s="470"/>
      <c r="YE2999" s="449"/>
      <c r="YF2999" s="462"/>
      <c r="YG2999" s="299"/>
      <c r="YH2999" s="81"/>
      <c r="YI2999" s="160"/>
      <c r="YJ2999" s="565"/>
      <c r="YK2999" s="125"/>
      <c r="YL2999" s="470"/>
      <c r="YM2999" s="449"/>
      <c r="YN2999" s="462"/>
      <c r="YO2999" s="299"/>
      <c r="YP2999" s="81"/>
      <c r="YQ2999" s="160"/>
      <c r="YR2999" s="565"/>
      <c r="YS2999" s="125"/>
      <c r="YT2999" s="470"/>
      <c r="YU2999" s="449"/>
      <c r="YV2999" s="462"/>
      <c r="YW2999" s="299"/>
      <c r="YX2999" s="81"/>
      <c r="YY2999" s="160"/>
      <c r="YZ2999" s="565"/>
      <c r="ZA2999" s="125"/>
      <c r="ZB2999" s="470"/>
      <c r="ZC2999" s="449"/>
      <c r="ZD2999" s="462"/>
      <c r="ZE2999" s="299"/>
      <c r="ZF2999" s="81"/>
      <c r="ZG2999" s="160"/>
      <c r="ZH2999" s="565"/>
      <c r="ZI2999" s="125"/>
      <c r="ZJ2999" s="470"/>
      <c r="ZK2999" s="449"/>
      <c r="ZL2999" s="462"/>
      <c r="ZM2999" s="299"/>
      <c r="ZN2999" s="81"/>
      <c r="ZO2999" s="160"/>
      <c r="ZP2999" s="565"/>
      <c r="ZQ2999" s="125"/>
      <c r="ZR2999" s="470"/>
      <c r="ZS2999" s="449"/>
      <c r="ZT2999" s="462"/>
      <c r="ZU2999" s="299"/>
      <c r="ZV2999" s="81"/>
      <c r="ZW2999" s="160"/>
      <c r="ZX2999" s="565"/>
      <c r="ZY2999" s="125"/>
      <c r="ZZ2999" s="470"/>
      <c r="AAA2999" s="449"/>
      <c r="AAB2999" s="462"/>
      <c r="AAC2999" s="299"/>
      <c r="AAD2999" s="81"/>
      <c r="AAE2999" s="160"/>
      <c r="AAF2999" s="565"/>
      <c r="AAG2999" s="125"/>
      <c r="AAH2999" s="470"/>
      <c r="AAI2999" s="449"/>
      <c r="AAJ2999" s="462"/>
      <c r="AAK2999" s="299"/>
      <c r="AAL2999" s="81"/>
      <c r="AAM2999" s="160"/>
      <c r="AAN2999" s="565"/>
      <c r="AAO2999" s="125"/>
      <c r="AAP2999" s="470"/>
      <c r="AAQ2999" s="449"/>
      <c r="AAR2999" s="462"/>
      <c r="AAS2999" s="299"/>
      <c r="AAT2999" s="81"/>
      <c r="AAU2999" s="160"/>
      <c r="AAV2999" s="565"/>
      <c r="AAW2999" s="125"/>
      <c r="AAX2999" s="470"/>
      <c r="AAY2999" s="449"/>
      <c r="AAZ2999" s="462"/>
      <c r="ABA2999" s="299"/>
      <c r="ABB2999" s="81"/>
      <c r="ABC2999" s="160"/>
      <c r="ABD2999" s="565"/>
      <c r="ABE2999" s="125"/>
      <c r="ABF2999" s="470"/>
      <c r="ABG2999" s="449"/>
      <c r="ABH2999" s="462"/>
      <c r="ABI2999" s="299"/>
      <c r="ABJ2999" s="81"/>
      <c r="ABK2999" s="160"/>
      <c r="ABL2999" s="565"/>
      <c r="ABM2999" s="125"/>
      <c r="ABN2999" s="470"/>
      <c r="ABO2999" s="449"/>
      <c r="ABP2999" s="462"/>
      <c r="ABQ2999" s="299"/>
      <c r="ABR2999" s="81"/>
      <c r="ABS2999" s="160"/>
      <c r="ABT2999" s="565"/>
      <c r="ABU2999" s="125"/>
      <c r="ABV2999" s="470"/>
      <c r="ABW2999" s="449"/>
      <c r="ABX2999" s="462"/>
      <c r="ABY2999" s="299"/>
      <c r="ABZ2999" s="81"/>
      <c r="ACA2999" s="160"/>
      <c r="ACB2999" s="565"/>
      <c r="ACC2999" s="125"/>
      <c r="ACD2999" s="470"/>
      <c r="ACE2999" s="449"/>
      <c r="ACF2999" s="462"/>
      <c r="ACG2999" s="299"/>
      <c r="ACH2999" s="81"/>
      <c r="ACI2999" s="160"/>
      <c r="ACJ2999" s="565"/>
      <c r="ACK2999" s="125"/>
      <c r="ACL2999" s="470"/>
      <c r="ACM2999" s="449"/>
      <c r="ACN2999" s="462"/>
      <c r="ACO2999" s="299"/>
      <c r="ACP2999" s="81"/>
      <c r="ACQ2999" s="160"/>
      <c r="ACR2999" s="565"/>
      <c r="ACS2999" s="125"/>
      <c r="ACT2999" s="470"/>
      <c r="ACU2999" s="449"/>
      <c r="ACV2999" s="462"/>
      <c r="ACW2999" s="299"/>
      <c r="ACX2999" s="81"/>
      <c r="ACY2999" s="160"/>
      <c r="ACZ2999" s="565"/>
      <c r="ADA2999" s="125"/>
      <c r="ADB2999" s="470"/>
      <c r="ADC2999" s="449"/>
      <c r="ADD2999" s="462"/>
      <c r="ADE2999" s="299"/>
      <c r="ADF2999" s="81"/>
      <c r="ADG2999" s="160"/>
      <c r="ADH2999" s="565"/>
      <c r="ADI2999" s="125"/>
      <c r="ADJ2999" s="470"/>
      <c r="ADK2999" s="449"/>
      <c r="ADL2999" s="462"/>
      <c r="ADM2999" s="299"/>
      <c r="ADN2999" s="81"/>
      <c r="ADO2999" s="160"/>
      <c r="ADP2999" s="565"/>
      <c r="ADQ2999" s="125"/>
      <c r="ADR2999" s="470"/>
      <c r="ADS2999" s="449"/>
      <c r="ADT2999" s="462"/>
      <c r="ADU2999" s="299"/>
      <c r="ADV2999" s="81"/>
      <c r="ADW2999" s="160"/>
      <c r="ADX2999" s="565"/>
      <c r="ADY2999" s="125"/>
      <c r="ADZ2999" s="470"/>
      <c r="AEA2999" s="449"/>
      <c r="AEB2999" s="462"/>
      <c r="AEC2999" s="299"/>
      <c r="AED2999" s="81"/>
      <c r="AEE2999" s="160"/>
      <c r="AEF2999" s="565"/>
      <c r="AEG2999" s="125"/>
      <c r="AEH2999" s="470"/>
      <c r="AEI2999" s="449"/>
      <c r="AEJ2999" s="462"/>
      <c r="AEK2999" s="299"/>
      <c r="AEL2999" s="81"/>
      <c r="AEM2999" s="160"/>
      <c r="AEN2999" s="565"/>
      <c r="AEO2999" s="125"/>
      <c r="AEP2999" s="470"/>
      <c r="AEQ2999" s="449"/>
      <c r="AER2999" s="462"/>
      <c r="AES2999" s="299"/>
      <c r="AET2999" s="81"/>
      <c r="AEU2999" s="160"/>
      <c r="AEV2999" s="565"/>
      <c r="AEW2999" s="125"/>
      <c r="AEX2999" s="470"/>
      <c r="AEY2999" s="449"/>
      <c r="AEZ2999" s="462"/>
      <c r="AFA2999" s="299"/>
      <c r="AFB2999" s="81"/>
      <c r="AFC2999" s="160"/>
      <c r="AFD2999" s="565"/>
      <c r="AFE2999" s="125"/>
      <c r="AFF2999" s="470"/>
      <c r="AFG2999" s="449"/>
      <c r="AFH2999" s="462"/>
      <c r="AFI2999" s="299"/>
      <c r="AFJ2999" s="81"/>
      <c r="AFK2999" s="160"/>
      <c r="AFL2999" s="565"/>
      <c r="AFM2999" s="125"/>
      <c r="AFN2999" s="470"/>
      <c r="AFO2999" s="449"/>
      <c r="AFP2999" s="462"/>
      <c r="AFQ2999" s="299"/>
      <c r="AFR2999" s="81"/>
      <c r="AFS2999" s="160"/>
      <c r="AFT2999" s="565"/>
      <c r="AFU2999" s="125"/>
      <c r="AFV2999" s="470"/>
      <c r="AFW2999" s="449"/>
      <c r="AFX2999" s="462"/>
      <c r="AFY2999" s="299"/>
      <c r="AFZ2999" s="81"/>
      <c r="AGA2999" s="160"/>
      <c r="AGB2999" s="565"/>
      <c r="AGC2999" s="125"/>
      <c r="AGD2999" s="470"/>
      <c r="AGE2999" s="449"/>
      <c r="AGF2999" s="462"/>
      <c r="AGG2999" s="299"/>
      <c r="AGH2999" s="81"/>
      <c r="AGI2999" s="160"/>
      <c r="AGJ2999" s="565"/>
      <c r="AGK2999" s="125"/>
      <c r="AGL2999" s="470"/>
      <c r="AGM2999" s="449"/>
      <c r="AGN2999" s="462"/>
      <c r="AGO2999" s="299"/>
      <c r="AGP2999" s="81"/>
      <c r="AGQ2999" s="160"/>
      <c r="AGR2999" s="565"/>
      <c r="AGS2999" s="125"/>
      <c r="AGT2999" s="470"/>
      <c r="AGU2999" s="449"/>
      <c r="AGV2999" s="462"/>
      <c r="AGW2999" s="299"/>
      <c r="AGX2999" s="81"/>
      <c r="AGY2999" s="160"/>
      <c r="AGZ2999" s="565"/>
      <c r="AHA2999" s="125"/>
      <c r="AHB2999" s="470"/>
      <c r="AHC2999" s="449"/>
      <c r="AHD2999" s="462"/>
      <c r="AHE2999" s="299"/>
      <c r="AHF2999" s="81"/>
      <c r="AHG2999" s="160"/>
      <c r="AHH2999" s="565"/>
      <c r="AHI2999" s="125"/>
      <c r="AHJ2999" s="470"/>
      <c r="AHK2999" s="449"/>
      <c r="AHL2999" s="462"/>
      <c r="AHM2999" s="299"/>
      <c r="AHN2999" s="81"/>
      <c r="AHO2999" s="160"/>
      <c r="AHP2999" s="565"/>
      <c r="AHQ2999" s="125"/>
      <c r="AHR2999" s="470"/>
      <c r="AHS2999" s="449"/>
      <c r="AHT2999" s="462"/>
      <c r="AHU2999" s="299"/>
      <c r="AHV2999" s="81"/>
      <c r="AHW2999" s="160"/>
      <c r="AHX2999" s="565"/>
      <c r="AHY2999" s="125"/>
      <c r="AHZ2999" s="470"/>
      <c r="AIA2999" s="449"/>
      <c r="AIB2999" s="462"/>
      <c r="AIC2999" s="299"/>
      <c r="AID2999" s="81"/>
      <c r="AIE2999" s="160"/>
      <c r="AIF2999" s="565"/>
      <c r="AIG2999" s="125"/>
      <c r="AIH2999" s="470"/>
      <c r="AII2999" s="449"/>
      <c r="AIJ2999" s="462"/>
      <c r="AIK2999" s="299"/>
      <c r="AIL2999" s="81"/>
      <c r="AIM2999" s="160"/>
      <c r="AIN2999" s="565"/>
      <c r="AIO2999" s="125"/>
      <c r="AIP2999" s="470"/>
      <c r="AIQ2999" s="449"/>
      <c r="AIR2999" s="462"/>
      <c r="AIS2999" s="299"/>
      <c r="AIT2999" s="81"/>
      <c r="AIU2999" s="160"/>
      <c r="AIV2999" s="565"/>
      <c r="AIW2999" s="125"/>
      <c r="AIX2999" s="470"/>
      <c r="AIY2999" s="449"/>
      <c r="AIZ2999" s="462"/>
      <c r="AJA2999" s="299"/>
      <c r="AJB2999" s="81"/>
      <c r="AJC2999" s="160"/>
      <c r="AJD2999" s="565"/>
      <c r="AJE2999" s="125"/>
      <c r="AJF2999" s="470"/>
      <c r="AJG2999" s="449"/>
      <c r="AJH2999" s="462"/>
      <c r="AJI2999" s="299"/>
      <c r="AJJ2999" s="81"/>
      <c r="AJK2999" s="160"/>
      <c r="AJL2999" s="565"/>
      <c r="AJM2999" s="125"/>
      <c r="AJN2999" s="470"/>
      <c r="AJO2999" s="449"/>
      <c r="AJP2999" s="462"/>
      <c r="AJQ2999" s="299"/>
      <c r="AJR2999" s="81"/>
      <c r="AJS2999" s="160"/>
      <c r="AJT2999" s="565"/>
      <c r="AJU2999" s="125"/>
      <c r="AJV2999" s="470"/>
      <c r="AJW2999" s="449"/>
      <c r="AJX2999" s="462"/>
      <c r="AJY2999" s="299"/>
      <c r="AJZ2999" s="81"/>
      <c r="AKA2999" s="160"/>
      <c r="AKB2999" s="565"/>
      <c r="AKC2999" s="125"/>
      <c r="AKD2999" s="470"/>
      <c r="AKE2999" s="449"/>
      <c r="AKF2999" s="462"/>
      <c r="AKG2999" s="299"/>
      <c r="AKH2999" s="81"/>
      <c r="AKI2999" s="160"/>
      <c r="AKJ2999" s="565"/>
      <c r="AKK2999" s="125"/>
      <c r="AKL2999" s="470"/>
      <c r="AKM2999" s="449"/>
      <c r="AKN2999" s="462"/>
      <c r="AKO2999" s="299"/>
      <c r="AKP2999" s="81"/>
      <c r="AKQ2999" s="160"/>
      <c r="AKR2999" s="565"/>
      <c r="AKS2999" s="125"/>
      <c r="AKT2999" s="470"/>
      <c r="AKU2999" s="449"/>
      <c r="AKV2999" s="462"/>
      <c r="AKW2999" s="299"/>
      <c r="AKX2999" s="81"/>
      <c r="AKY2999" s="160"/>
      <c r="AKZ2999" s="565"/>
      <c r="ALA2999" s="125"/>
      <c r="ALB2999" s="470"/>
      <c r="ALC2999" s="449"/>
      <c r="ALD2999" s="462"/>
      <c r="ALE2999" s="299"/>
      <c r="ALF2999" s="81"/>
      <c r="ALG2999" s="160"/>
      <c r="ALH2999" s="565"/>
      <c r="ALI2999" s="125"/>
      <c r="ALJ2999" s="470"/>
      <c r="ALK2999" s="449"/>
      <c r="ALL2999" s="462"/>
      <c r="ALM2999" s="299"/>
      <c r="ALN2999" s="81"/>
      <c r="ALO2999" s="160"/>
      <c r="ALP2999" s="565"/>
      <c r="ALQ2999" s="125"/>
      <c r="ALR2999" s="470"/>
      <c r="ALS2999" s="449"/>
      <c r="ALT2999" s="462"/>
      <c r="ALU2999" s="299"/>
      <c r="ALV2999" s="81"/>
      <c r="ALW2999" s="160"/>
      <c r="ALX2999" s="565"/>
      <c r="ALY2999" s="125"/>
      <c r="ALZ2999" s="470"/>
      <c r="AMA2999" s="449"/>
      <c r="AMB2999" s="462"/>
      <c r="AMC2999" s="299"/>
      <c r="AMD2999" s="81"/>
      <c r="AME2999" s="160"/>
      <c r="AMF2999" s="565"/>
      <c r="AMG2999" s="125"/>
      <c r="AMH2999" s="470"/>
      <c r="AMI2999" s="449"/>
      <c r="AMJ2999" s="462"/>
      <c r="AMK2999" s="299"/>
      <c r="AML2999" s="81"/>
      <c r="AMM2999" s="160"/>
      <c r="AMN2999" s="565"/>
      <c r="AMO2999" s="125"/>
      <c r="AMP2999" s="470"/>
      <c r="AMQ2999" s="449"/>
      <c r="AMR2999" s="462"/>
      <c r="AMS2999" s="299"/>
      <c r="AMT2999" s="81"/>
      <c r="AMU2999" s="160"/>
      <c r="AMV2999" s="565"/>
      <c r="AMW2999" s="125"/>
      <c r="AMX2999" s="470"/>
      <c r="AMY2999" s="449"/>
      <c r="AMZ2999" s="462"/>
      <c r="ANA2999" s="299"/>
      <c r="ANB2999" s="81"/>
      <c r="ANC2999" s="160"/>
      <c r="AND2999" s="565"/>
      <c r="ANE2999" s="125"/>
      <c r="ANF2999" s="470"/>
      <c r="ANG2999" s="449"/>
      <c r="ANH2999" s="462"/>
      <c r="ANI2999" s="299"/>
      <c r="ANJ2999" s="81"/>
      <c r="ANK2999" s="160"/>
      <c r="ANL2999" s="565"/>
      <c r="ANM2999" s="125"/>
      <c r="ANN2999" s="470"/>
      <c r="ANO2999" s="449"/>
      <c r="ANP2999" s="462"/>
      <c r="ANQ2999" s="299"/>
      <c r="ANR2999" s="81"/>
      <c r="ANS2999" s="160"/>
      <c r="ANT2999" s="565"/>
      <c r="ANU2999" s="125"/>
      <c r="ANV2999" s="470"/>
      <c r="ANW2999" s="449"/>
      <c r="ANX2999" s="462"/>
      <c r="ANY2999" s="299"/>
      <c r="ANZ2999" s="81"/>
      <c r="AOA2999" s="160"/>
      <c r="AOB2999" s="565"/>
      <c r="AOC2999" s="125"/>
      <c r="AOD2999" s="470"/>
      <c r="AOE2999" s="449"/>
      <c r="AOF2999" s="462"/>
      <c r="AOG2999" s="299"/>
      <c r="AOH2999" s="81"/>
      <c r="AOI2999" s="160"/>
      <c r="AOJ2999" s="565"/>
      <c r="AOK2999" s="125"/>
      <c r="AOL2999" s="470"/>
      <c r="AOM2999" s="449"/>
      <c r="AON2999" s="462"/>
      <c r="AOO2999" s="299"/>
      <c r="AOP2999" s="81"/>
      <c r="AOQ2999" s="160"/>
      <c r="AOR2999" s="565"/>
      <c r="AOS2999" s="125"/>
      <c r="AOT2999" s="470"/>
      <c r="AOU2999" s="449"/>
      <c r="AOV2999" s="462"/>
      <c r="AOW2999" s="299"/>
      <c r="AOX2999" s="81"/>
      <c r="AOY2999" s="160"/>
      <c r="AOZ2999" s="565"/>
      <c r="APA2999" s="125"/>
      <c r="APB2999" s="470"/>
      <c r="APC2999" s="449"/>
      <c r="APD2999" s="462"/>
      <c r="APE2999" s="299"/>
      <c r="APF2999" s="81"/>
      <c r="APG2999" s="160"/>
      <c r="APH2999" s="565"/>
      <c r="API2999" s="125"/>
      <c r="APJ2999" s="470"/>
      <c r="APK2999" s="449"/>
      <c r="APL2999" s="462"/>
      <c r="APM2999" s="299"/>
      <c r="APN2999" s="81"/>
      <c r="APO2999" s="160"/>
      <c r="APP2999" s="565"/>
      <c r="APQ2999" s="125"/>
      <c r="APR2999" s="470"/>
      <c r="APS2999" s="449"/>
      <c r="APT2999" s="462"/>
      <c r="APU2999" s="299"/>
      <c r="APV2999" s="81"/>
      <c r="APW2999" s="160"/>
      <c r="APX2999" s="565"/>
      <c r="APY2999" s="125"/>
      <c r="APZ2999" s="470"/>
      <c r="AQA2999" s="449"/>
      <c r="AQB2999" s="462"/>
      <c r="AQC2999" s="299"/>
      <c r="AQD2999" s="81"/>
      <c r="AQE2999" s="160"/>
      <c r="AQF2999" s="565"/>
      <c r="AQG2999" s="125"/>
      <c r="AQH2999" s="470"/>
      <c r="AQI2999" s="449"/>
      <c r="AQJ2999" s="462"/>
      <c r="AQK2999" s="299"/>
      <c r="AQL2999" s="81"/>
      <c r="AQM2999" s="160"/>
      <c r="AQN2999" s="565"/>
      <c r="AQO2999" s="125"/>
      <c r="AQP2999" s="470"/>
      <c r="AQQ2999" s="449"/>
      <c r="AQR2999" s="462"/>
      <c r="AQS2999" s="299"/>
      <c r="AQT2999" s="81"/>
      <c r="AQU2999" s="160"/>
      <c r="AQV2999" s="565"/>
      <c r="AQW2999" s="125"/>
      <c r="AQX2999" s="470"/>
      <c r="AQY2999" s="449"/>
      <c r="AQZ2999" s="462"/>
      <c r="ARA2999" s="299"/>
      <c r="ARB2999" s="81"/>
      <c r="ARC2999" s="160"/>
      <c r="ARD2999" s="565"/>
      <c r="ARE2999" s="125"/>
      <c r="ARF2999" s="470"/>
      <c r="ARG2999" s="449"/>
      <c r="ARH2999" s="462"/>
      <c r="ARI2999" s="299"/>
      <c r="ARJ2999" s="81"/>
      <c r="ARK2999" s="160"/>
      <c r="ARL2999" s="565"/>
      <c r="ARM2999" s="125"/>
      <c r="ARN2999" s="470"/>
      <c r="ARO2999" s="449"/>
      <c r="ARP2999" s="462"/>
      <c r="ARQ2999" s="299"/>
      <c r="ARR2999" s="81"/>
      <c r="ARS2999" s="160"/>
      <c r="ART2999" s="565"/>
      <c r="ARU2999" s="125"/>
      <c r="ARV2999" s="470"/>
      <c r="ARW2999" s="449"/>
      <c r="ARX2999" s="462"/>
      <c r="ARY2999" s="299"/>
      <c r="ARZ2999" s="81"/>
      <c r="ASA2999" s="160"/>
      <c r="ASB2999" s="565"/>
      <c r="ASC2999" s="125"/>
      <c r="ASD2999" s="470"/>
      <c r="ASE2999" s="449"/>
      <c r="ASF2999" s="462"/>
      <c r="ASG2999" s="299"/>
      <c r="ASH2999" s="81"/>
      <c r="ASI2999" s="160"/>
      <c r="ASJ2999" s="565"/>
      <c r="ASK2999" s="125"/>
      <c r="ASL2999" s="470"/>
      <c r="ASM2999" s="449"/>
      <c r="ASN2999" s="462"/>
      <c r="ASO2999" s="299"/>
      <c r="ASP2999" s="81"/>
      <c r="ASQ2999" s="160"/>
      <c r="ASR2999" s="565"/>
      <c r="ASS2999" s="125"/>
      <c r="AST2999" s="470"/>
      <c r="ASU2999" s="449"/>
      <c r="ASV2999" s="462"/>
      <c r="ASW2999" s="299"/>
      <c r="ASX2999" s="81"/>
      <c r="ASY2999" s="160"/>
      <c r="ASZ2999" s="565"/>
      <c r="ATA2999" s="125"/>
      <c r="ATB2999" s="470"/>
      <c r="ATC2999" s="449"/>
      <c r="ATD2999" s="462"/>
      <c r="ATE2999" s="299"/>
      <c r="ATF2999" s="81"/>
      <c r="ATG2999" s="160"/>
      <c r="ATH2999" s="565"/>
      <c r="ATI2999" s="125"/>
      <c r="ATJ2999" s="470"/>
      <c r="ATK2999" s="449"/>
      <c r="ATL2999" s="462"/>
      <c r="ATM2999" s="299"/>
      <c r="ATN2999" s="81"/>
      <c r="ATO2999" s="160"/>
      <c r="ATP2999" s="565"/>
      <c r="ATQ2999" s="125"/>
      <c r="ATR2999" s="470"/>
      <c r="ATS2999" s="449"/>
      <c r="ATT2999" s="462"/>
      <c r="ATU2999" s="299"/>
      <c r="ATV2999" s="81"/>
      <c r="ATW2999" s="160"/>
      <c r="ATX2999" s="565"/>
      <c r="ATY2999" s="125"/>
      <c r="ATZ2999" s="470"/>
      <c r="AUA2999" s="449"/>
      <c r="AUB2999" s="462"/>
      <c r="AUC2999" s="299"/>
      <c r="AUD2999" s="81"/>
      <c r="AUE2999" s="160"/>
      <c r="AUF2999" s="565"/>
      <c r="AUG2999" s="125"/>
      <c r="AUH2999" s="470"/>
      <c r="AUI2999" s="449"/>
      <c r="AUJ2999" s="462"/>
      <c r="AUK2999" s="299"/>
      <c r="AUL2999" s="81"/>
      <c r="AUM2999" s="160"/>
      <c r="AUN2999" s="565"/>
      <c r="AUO2999" s="125"/>
      <c r="AUP2999" s="470"/>
      <c r="AUQ2999" s="449"/>
      <c r="AUR2999" s="462"/>
      <c r="AUS2999" s="299"/>
      <c r="AUT2999" s="81"/>
      <c r="AUU2999" s="160"/>
      <c r="AUV2999" s="565"/>
      <c r="AUW2999" s="125"/>
      <c r="AUX2999" s="470"/>
      <c r="AUY2999" s="449"/>
      <c r="AUZ2999" s="462"/>
      <c r="AVA2999" s="299"/>
      <c r="AVB2999" s="81"/>
      <c r="AVC2999" s="160"/>
      <c r="AVD2999" s="565"/>
      <c r="AVE2999" s="125"/>
      <c r="AVF2999" s="470"/>
      <c r="AVG2999" s="449"/>
      <c r="AVH2999" s="462"/>
      <c r="AVI2999" s="299"/>
      <c r="AVJ2999" s="81"/>
      <c r="AVK2999" s="160"/>
      <c r="AVL2999" s="565"/>
      <c r="AVM2999" s="125"/>
      <c r="AVN2999" s="470"/>
      <c r="AVO2999" s="449"/>
      <c r="AVP2999" s="462"/>
      <c r="AVQ2999" s="299"/>
      <c r="AVR2999" s="81"/>
      <c r="AVS2999" s="160"/>
      <c r="AVT2999" s="565"/>
      <c r="AVU2999" s="125"/>
      <c r="AVV2999" s="470"/>
      <c r="AVW2999" s="449"/>
      <c r="AVX2999" s="462"/>
      <c r="AVY2999" s="299"/>
      <c r="AVZ2999" s="81"/>
      <c r="AWA2999" s="160"/>
      <c r="AWB2999" s="565"/>
      <c r="AWC2999" s="125"/>
      <c r="AWD2999" s="470"/>
      <c r="AWE2999" s="449"/>
      <c r="AWF2999" s="462"/>
      <c r="AWG2999" s="299"/>
      <c r="AWH2999" s="81"/>
      <c r="AWI2999" s="160"/>
      <c r="AWJ2999" s="565"/>
      <c r="AWK2999" s="125"/>
      <c r="AWL2999" s="470"/>
      <c r="AWM2999" s="449"/>
      <c r="AWN2999" s="462"/>
      <c r="AWO2999" s="299"/>
      <c r="AWP2999" s="81"/>
      <c r="AWQ2999" s="160"/>
      <c r="AWR2999" s="565"/>
      <c r="AWS2999" s="125"/>
      <c r="AWT2999" s="470"/>
      <c r="AWU2999" s="449"/>
      <c r="AWV2999" s="462"/>
      <c r="AWW2999" s="299"/>
      <c r="AWX2999" s="81"/>
      <c r="AWY2999" s="160"/>
      <c r="AWZ2999" s="565"/>
      <c r="AXA2999" s="125"/>
      <c r="AXB2999" s="470"/>
      <c r="AXC2999" s="449"/>
      <c r="AXD2999" s="462"/>
      <c r="AXE2999" s="299"/>
      <c r="AXF2999" s="81"/>
      <c r="AXG2999" s="160"/>
      <c r="AXH2999" s="565"/>
      <c r="AXI2999" s="125"/>
      <c r="AXJ2999" s="470"/>
      <c r="AXK2999" s="449"/>
      <c r="AXL2999" s="462"/>
      <c r="AXM2999" s="299"/>
      <c r="AXN2999" s="81"/>
      <c r="AXO2999" s="160"/>
      <c r="AXP2999" s="565"/>
      <c r="AXQ2999" s="125"/>
      <c r="AXR2999" s="470"/>
      <c r="AXS2999" s="449"/>
      <c r="AXT2999" s="462"/>
      <c r="AXU2999" s="299"/>
      <c r="AXV2999" s="81"/>
      <c r="AXW2999" s="160"/>
      <c r="AXX2999" s="565"/>
      <c r="AXY2999" s="125"/>
      <c r="AXZ2999" s="470"/>
      <c r="AYA2999" s="449"/>
      <c r="AYB2999" s="462"/>
      <c r="AYC2999" s="299"/>
      <c r="AYD2999" s="81"/>
      <c r="AYE2999" s="160"/>
      <c r="AYF2999" s="565"/>
      <c r="AYG2999" s="125"/>
      <c r="AYH2999" s="470"/>
      <c r="AYI2999" s="449"/>
      <c r="AYJ2999" s="462"/>
      <c r="AYK2999" s="299"/>
      <c r="AYL2999" s="81"/>
      <c r="AYM2999" s="160"/>
      <c r="AYN2999" s="565"/>
      <c r="AYO2999" s="125"/>
      <c r="AYP2999" s="470"/>
      <c r="AYQ2999" s="449"/>
      <c r="AYR2999" s="462"/>
      <c r="AYS2999" s="299"/>
      <c r="AYT2999" s="81"/>
      <c r="AYU2999" s="160"/>
      <c r="AYV2999" s="565"/>
      <c r="AYW2999" s="125"/>
      <c r="AYX2999" s="470"/>
      <c r="AYY2999" s="449"/>
      <c r="AYZ2999" s="462"/>
      <c r="AZA2999" s="299"/>
      <c r="AZB2999" s="81"/>
      <c r="AZC2999" s="160"/>
      <c r="AZD2999" s="565"/>
      <c r="AZE2999" s="125"/>
      <c r="AZF2999" s="470"/>
      <c r="AZG2999" s="449"/>
      <c r="AZH2999" s="462"/>
      <c r="AZI2999" s="299"/>
      <c r="AZJ2999" s="81"/>
      <c r="AZK2999" s="160"/>
      <c r="AZL2999" s="565"/>
      <c r="AZM2999" s="125"/>
      <c r="AZN2999" s="470"/>
      <c r="AZO2999" s="449"/>
      <c r="AZP2999" s="462"/>
      <c r="AZQ2999" s="299"/>
      <c r="AZR2999" s="81"/>
      <c r="AZS2999" s="160"/>
      <c r="AZT2999" s="565"/>
      <c r="AZU2999" s="125"/>
      <c r="AZV2999" s="470"/>
      <c r="AZW2999" s="449"/>
      <c r="AZX2999" s="462"/>
      <c r="AZY2999" s="299"/>
      <c r="AZZ2999" s="81"/>
      <c r="BAA2999" s="160"/>
      <c r="BAB2999" s="565"/>
      <c r="BAC2999" s="125"/>
      <c r="BAD2999" s="470"/>
      <c r="BAE2999" s="449"/>
      <c r="BAF2999" s="462"/>
      <c r="BAG2999" s="299"/>
      <c r="BAH2999" s="81"/>
      <c r="BAI2999" s="160"/>
      <c r="BAJ2999" s="565"/>
      <c r="BAK2999" s="125"/>
      <c r="BAL2999" s="470"/>
      <c r="BAM2999" s="449"/>
      <c r="BAN2999" s="462"/>
      <c r="BAO2999" s="299"/>
      <c r="BAP2999" s="81"/>
      <c r="BAQ2999" s="160"/>
      <c r="BAR2999" s="565"/>
      <c r="BAS2999" s="125"/>
      <c r="BAT2999" s="470"/>
      <c r="BAU2999" s="449"/>
      <c r="BAV2999" s="462"/>
      <c r="BAW2999" s="299"/>
      <c r="BAX2999" s="81"/>
      <c r="BAY2999" s="160"/>
      <c r="BAZ2999" s="565"/>
      <c r="BBA2999" s="125"/>
      <c r="BBB2999" s="470"/>
      <c r="BBC2999" s="449"/>
      <c r="BBD2999" s="462"/>
      <c r="BBE2999" s="299"/>
      <c r="BBF2999" s="81"/>
      <c r="BBG2999" s="160"/>
      <c r="BBH2999" s="565"/>
      <c r="BBI2999" s="125"/>
      <c r="BBJ2999" s="470"/>
      <c r="BBK2999" s="449"/>
      <c r="BBL2999" s="462"/>
      <c r="BBM2999" s="299"/>
      <c r="BBN2999" s="81"/>
      <c r="BBO2999" s="160"/>
      <c r="BBP2999" s="565"/>
      <c r="BBQ2999" s="125"/>
      <c r="BBR2999" s="470"/>
      <c r="BBS2999" s="449"/>
      <c r="BBT2999" s="462"/>
      <c r="BBU2999" s="299"/>
      <c r="BBV2999" s="81"/>
      <c r="BBW2999" s="160"/>
      <c r="BBX2999" s="565"/>
      <c r="BBY2999" s="125"/>
      <c r="BBZ2999" s="470"/>
      <c r="BCA2999" s="449"/>
      <c r="BCB2999" s="462"/>
      <c r="BCC2999" s="299"/>
      <c r="BCD2999" s="81"/>
      <c r="BCE2999" s="160"/>
      <c r="BCF2999" s="565"/>
      <c r="BCG2999" s="125"/>
      <c r="BCH2999" s="470"/>
      <c r="BCI2999" s="449"/>
      <c r="BCJ2999" s="462"/>
      <c r="BCK2999" s="299"/>
      <c r="BCL2999" s="81"/>
      <c r="BCM2999" s="160"/>
      <c r="BCN2999" s="565"/>
      <c r="BCO2999" s="125"/>
      <c r="BCP2999" s="470"/>
      <c r="BCQ2999" s="449"/>
      <c r="BCR2999" s="462"/>
      <c r="BCS2999" s="299"/>
      <c r="BCT2999" s="81"/>
      <c r="BCU2999" s="160"/>
      <c r="BCV2999" s="565"/>
      <c r="BCW2999" s="125"/>
      <c r="BCX2999" s="470"/>
      <c r="BCY2999" s="449"/>
      <c r="BCZ2999" s="462"/>
      <c r="BDA2999" s="299"/>
      <c r="BDB2999" s="81"/>
      <c r="BDC2999" s="160"/>
      <c r="BDD2999" s="565"/>
      <c r="BDE2999" s="125"/>
      <c r="BDF2999" s="470"/>
      <c r="BDG2999" s="449"/>
      <c r="BDH2999" s="462"/>
      <c r="BDI2999" s="299"/>
      <c r="BDJ2999" s="81"/>
      <c r="BDK2999" s="160"/>
      <c r="BDL2999" s="565"/>
      <c r="BDM2999" s="125"/>
      <c r="BDN2999" s="470"/>
      <c r="BDO2999" s="449"/>
      <c r="BDP2999" s="462"/>
      <c r="BDQ2999" s="299"/>
      <c r="BDR2999" s="81"/>
      <c r="BDS2999" s="160"/>
      <c r="BDT2999" s="565"/>
      <c r="BDU2999" s="125"/>
      <c r="BDV2999" s="470"/>
      <c r="BDW2999" s="449"/>
      <c r="BDX2999" s="462"/>
      <c r="BDY2999" s="299"/>
      <c r="BDZ2999" s="81"/>
      <c r="BEA2999" s="160"/>
      <c r="BEB2999" s="565"/>
      <c r="BEC2999" s="125"/>
      <c r="BED2999" s="470"/>
      <c r="BEE2999" s="449"/>
      <c r="BEF2999" s="462"/>
      <c r="BEG2999" s="299"/>
      <c r="BEH2999" s="81"/>
      <c r="BEI2999" s="160"/>
      <c r="BEJ2999" s="565"/>
      <c r="BEK2999" s="125"/>
      <c r="BEL2999" s="470"/>
      <c r="BEM2999" s="449"/>
      <c r="BEN2999" s="462"/>
      <c r="BEO2999" s="299"/>
      <c r="BEP2999" s="81"/>
      <c r="BEQ2999" s="160"/>
      <c r="BER2999" s="565"/>
      <c r="BES2999" s="125"/>
      <c r="BET2999" s="470"/>
      <c r="BEU2999" s="449"/>
      <c r="BEV2999" s="462"/>
      <c r="BEW2999" s="299"/>
      <c r="BEX2999" s="81"/>
      <c r="BEY2999" s="160"/>
      <c r="BEZ2999" s="565"/>
      <c r="BFA2999" s="125"/>
      <c r="BFB2999" s="470"/>
      <c r="BFC2999" s="449"/>
      <c r="BFD2999" s="462"/>
      <c r="BFE2999" s="299"/>
      <c r="BFF2999" s="81"/>
      <c r="BFG2999" s="160"/>
      <c r="BFH2999" s="565"/>
      <c r="BFI2999" s="125"/>
      <c r="BFJ2999" s="470"/>
      <c r="BFK2999" s="449"/>
      <c r="BFL2999" s="462"/>
      <c r="BFM2999" s="299"/>
      <c r="BFN2999" s="81"/>
      <c r="BFO2999" s="160"/>
      <c r="BFP2999" s="565"/>
      <c r="BFQ2999" s="125"/>
      <c r="BFR2999" s="470"/>
      <c r="BFS2999" s="449"/>
      <c r="BFT2999" s="462"/>
      <c r="BFU2999" s="299"/>
      <c r="BFV2999" s="81"/>
      <c r="BFW2999" s="160"/>
      <c r="BFX2999" s="565"/>
      <c r="BFY2999" s="125"/>
      <c r="BFZ2999" s="470"/>
      <c r="BGA2999" s="449"/>
      <c r="BGB2999" s="462"/>
      <c r="BGC2999" s="299"/>
      <c r="BGD2999" s="81"/>
      <c r="BGE2999" s="160"/>
      <c r="BGF2999" s="565"/>
      <c r="BGG2999" s="125"/>
      <c r="BGH2999" s="470"/>
      <c r="BGI2999" s="449"/>
      <c r="BGJ2999" s="462"/>
      <c r="BGK2999" s="299"/>
      <c r="BGL2999" s="81"/>
      <c r="BGM2999" s="160"/>
      <c r="BGN2999" s="565"/>
      <c r="BGO2999" s="125"/>
      <c r="BGP2999" s="470"/>
      <c r="BGQ2999" s="449"/>
      <c r="BGR2999" s="462"/>
      <c r="BGS2999" s="299"/>
      <c r="BGT2999" s="81"/>
      <c r="BGU2999" s="160"/>
      <c r="BGV2999" s="565"/>
      <c r="BGW2999" s="125"/>
      <c r="BGX2999" s="470"/>
      <c r="BGY2999" s="449"/>
      <c r="BGZ2999" s="462"/>
      <c r="BHA2999" s="299"/>
      <c r="BHB2999" s="81"/>
      <c r="BHC2999" s="160"/>
      <c r="BHD2999" s="565"/>
      <c r="BHE2999" s="125"/>
      <c r="BHF2999" s="470"/>
      <c r="BHG2999" s="449"/>
      <c r="BHH2999" s="462"/>
      <c r="BHI2999" s="299"/>
      <c r="BHJ2999" s="81"/>
      <c r="BHK2999" s="160"/>
      <c r="BHL2999" s="565"/>
      <c r="BHM2999" s="125"/>
      <c r="BHN2999" s="470"/>
      <c r="BHO2999" s="449"/>
      <c r="BHP2999" s="462"/>
      <c r="BHQ2999" s="299"/>
      <c r="BHR2999" s="81"/>
      <c r="BHS2999" s="160"/>
      <c r="BHT2999" s="565"/>
      <c r="BHU2999" s="125"/>
      <c r="BHV2999" s="470"/>
      <c r="BHW2999" s="449"/>
      <c r="BHX2999" s="462"/>
      <c r="BHY2999" s="299"/>
      <c r="BHZ2999" s="81"/>
      <c r="BIA2999" s="160"/>
      <c r="BIB2999" s="565"/>
      <c r="BIC2999" s="125"/>
      <c r="BID2999" s="470"/>
      <c r="BIE2999" s="449"/>
      <c r="BIF2999" s="462"/>
      <c r="BIG2999" s="299"/>
      <c r="BIH2999" s="81"/>
      <c r="BII2999" s="160"/>
      <c r="BIJ2999" s="565"/>
      <c r="BIK2999" s="125"/>
      <c r="BIL2999" s="470"/>
      <c r="BIM2999" s="449"/>
      <c r="BIN2999" s="462"/>
      <c r="BIO2999" s="299"/>
      <c r="BIP2999" s="81"/>
      <c r="BIQ2999" s="160"/>
      <c r="BIR2999" s="565"/>
      <c r="BIS2999" s="125"/>
      <c r="BIT2999" s="470"/>
      <c r="BIU2999" s="449"/>
      <c r="BIV2999" s="462"/>
      <c r="BIW2999" s="299"/>
      <c r="BIX2999" s="81"/>
      <c r="BIY2999" s="160"/>
      <c r="BIZ2999" s="565"/>
      <c r="BJA2999" s="125"/>
      <c r="BJB2999" s="470"/>
      <c r="BJC2999" s="449"/>
      <c r="BJD2999" s="462"/>
      <c r="BJE2999" s="299"/>
      <c r="BJF2999" s="81"/>
      <c r="BJG2999" s="160"/>
      <c r="BJH2999" s="565"/>
      <c r="BJI2999" s="125"/>
      <c r="BJJ2999" s="470"/>
      <c r="BJK2999" s="449"/>
      <c r="BJL2999" s="462"/>
      <c r="BJM2999" s="299"/>
      <c r="BJN2999" s="81"/>
      <c r="BJO2999" s="160"/>
      <c r="BJP2999" s="565"/>
      <c r="BJQ2999" s="125"/>
      <c r="BJR2999" s="470"/>
      <c r="BJS2999" s="449"/>
      <c r="BJT2999" s="462"/>
      <c r="BJU2999" s="299"/>
      <c r="BJV2999" s="81"/>
      <c r="BJW2999" s="160"/>
      <c r="BJX2999" s="565"/>
      <c r="BJY2999" s="125"/>
      <c r="BJZ2999" s="470"/>
      <c r="BKA2999" s="449"/>
      <c r="BKB2999" s="462"/>
      <c r="BKC2999" s="299"/>
      <c r="BKD2999" s="81"/>
      <c r="BKE2999" s="160"/>
      <c r="BKF2999" s="565"/>
      <c r="BKG2999" s="125"/>
      <c r="BKH2999" s="470"/>
      <c r="BKI2999" s="449"/>
      <c r="BKJ2999" s="462"/>
      <c r="BKK2999" s="299"/>
      <c r="BKL2999" s="81"/>
      <c r="BKM2999" s="160"/>
      <c r="BKN2999" s="565"/>
      <c r="BKO2999" s="125"/>
      <c r="BKP2999" s="470"/>
      <c r="BKQ2999" s="449"/>
      <c r="BKR2999" s="462"/>
      <c r="BKS2999" s="299"/>
      <c r="BKT2999" s="81"/>
      <c r="BKU2999" s="160"/>
      <c r="BKV2999" s="565"/>
      <c r="BKW2999" s="125"/>
      <c r="BKX2999" s="470"/>
      <c r="BKY2999" s="449"/>
      <c r="BKZ2999" s="462"/>
      <c r="BLA2999" s="299"/>
      <c r="BLB2999" s="81"/>
      <c r="BLC2999" s="160"/>
      <c r="BLD2999" s="565"/>
      <c r="BLE2999" s="125"/>
      <c r="BLF2999" s="470"/>
      <c r="BLG2999" s="449"/>
      <c r="BLH2999" s="462"/>
      <c r="BLI2999" s="299"/>
      <c r="BLJ2999" s="81"/>
      <c r="BLK2999" s="160"/>
      <c r="BLL2999" s="565"/>
      <c r="BLM2999" s="125"/>
      <c r="BLN2999" s="470"/>
      <c r="BLO2999" s="449"/>
      <c r="BLP2999" s="462"/>
      <c r="BLQ2999" s="299"/>
      <c r="BLR2999" s="81"/>
      <c r="BLS2999" s="160"/>
      <c r="BLT2999" s="565"/>
      <c r="BLU2999" s="125"/>
      <c r="BLV2999" s="470"/>
      <c r="BLW2999" s="449"/>
      <c r="BLX2999" s="462"/>
      <c r="BLY2999" s="299"/>
      <c r="BLZ2999" s="81"/>
      <c r="BMA2999" s="160"/>
      <c r="BMB2999" s="565"/>
      <c r="BMC2999" s="125"/>
      <c r="BMD2999" s="470"/>
      <c r="BME2999" s="449"/>
      <c r="BMF2999" s="462"/>
      <c r="BMG2999" s="299"/>
      <c r="BMH2999" s="81"/>
      <c r="BMI2999" s="160"/>
      <c r="BMJ2999" s="565"/>
      <c r="BMK2999" s="125"/>
      <c r="BML2999" s="470"/>
      <c r="BMM2999" s="449"/>
      <c r="BMN2999" s="462"/>
      <c r="BMO2999" s="299"/>
      <c r="BMP2999" s="81"/>
      <c r="BMQ2999" s="160"/>
      <c r="BMR2999" s="565"/>
      <c r="BMS2999" s="125"/>
      <c r="BMT2999" s="470"/>
      <c r="BMU2999" s="449"/>
      <c r="BMV2999" s="462"/>
      <c r="BMW2999" s="299"/>
      <c r="BMX2999" s="81"/>
      <c r="BMY2999" s="160"/>
      <c r="BMZ2999" s="565"/>
      <c r="BNA2999" s="125"/>
      <c r="BNB2999" s="470"/>
      <c r="BNC2999" s="449"/>
      <c r="BND2999" s="462"/>
      <c r="BNE2999" s="299"/>
      <c r="BNF2999" s="81"/>
      <c r="BNG2999" s="160"/>
      <c r="BNH2999" s="565"/>
      <c r="BNI2999" s="125"/>
      <c r="BNJ2999" s="470"/>
      <c r="BNK2999" s="449"/>
      <c r="BNL2999" s="462"/>
      <c r="BNM2999" s="299"/>
      <c r="BNN2999" s="81"/>
      <c r="BNO2999" s="160"/>
      <c r="BNP2999" s="565"/>
      <c r="BNQ2999" s="125"/>
      <c r="BNR2999" s="470"/>
      <c r="BNS2999" s="449"/>
      <c r="BNT2999" s="462"/>
      <c r="BNU2999" s="299"/>
      <c r="BNV2999" s="81"/>
      <c r="BNW2999" s="160"/>
      <c r="BNX2999" s="565"/>
      <c r="BNY2999" s="125"/>
      <c r="BNZ2999" s="470"/>
      <c r="BOA2999" s="449"/>
      <c r="BOB2999" s="462"/>
      <c r="BOC2999" s="299"/>
      <c r="BOD2999" s="81"/>
      <c r="BOE2999" s="160"/>
      <c r="BOF2999" s="565"/>
      <c r="BOG2999" s="125"/>
      <c r="BOH2999" s="470"/>
      <c r="BOI2999" s="449"/>
      <c r="BOJ2999" s="462"/>
      <c r="BOK2999" s="299"/>
      <c r="BOL2999" s="81"/>
      <c r="BOM2999" s="160"/>
      <c r="BON2999" s="565"/>
      <c r="BOO2999" s="125"/>
      <c r="BOP2999" s="470"/>
      <c r="BOQ2999" s="449"/>
      <c r="BOR2999" s="462"/>
      <c r="BOS2999" s="299"/>
      <c r="BOT2999" s="81"/>
      <c r="BOU2999" s="160"/>
      <c r="BOV2999" s="565"/>
      <c r="BOW2999" s="125"/>
      <c r="BOX2999" s="470"/>
      <c r="BOY2999" s="449"/>
      <c r="BOZ2999" s="462"/>
      <c r="BPA2999" s="299"/>
      <c r="BPB2999" s="81"/>
      <c r="BPC2999" s="160"/>
      <c r="BPD2999" s="565"/>
      <c r="BPE2999" s="125"/>
      <c r="BPF2999" s="470"/>
      <c r="BPG2999" s="449"/>
      <c r="BPH2999" s="462"/>
      <c r="BPI2999" s="299"/>
      <c r="BPJ2999" s="81"/>
      <c r="BPK2999" s="160"/>
      <c r="BPL2999" s="565"/>
      <c r="BPM2999" s="125"/>
      <c r="BPN2999" s="470"/>
      <c r="BPO2999" s="449"/>
      <c r="BPP2999" s="462"/>
      <c r="BPQ2999" s="299"/>
      <c r="BPR2999" s="81"/>
      <c r="BPS2999" s="160"/>
      <c r="BPT2999" s="565"/>
      <c r="BPU2999" s="125"/>
      <c r="BPV2999" s="470"/>
      <c r="BPW2999" s="449"/>
      <c r="BPX2999" s="462"/>
      <c r="BPY2999" s="299"/>
      <c r="BPZ2999" s="81"/>
      <c r="BQA2999" s="160"/>
      <c r="BQB2999" s="565"/>
      <c r="BQC2999" s="125"/>
      <c r="BQD2999" s="470"/>
      <c r="BQE2999" s="449"/>
      <c r="BQF2999" s="462"/>
      <c r="BQG2999" s="299"/>
      <c r="BQH2999" s="81"/>
      <c r="BQI2999" s="160"/>
      <c r="BQJ2999" s="565"/>
      <c r="BQK2999" s="125"/>
      <c r="BQL2999" s="470"/>
      <c r="BQM2999" s="449"/>
      <c r="BQN2999" s="462"/>
      <c r="BQO2999" s="299"/>
      <c r="BQP2999" s="81"/>
      <c r="BQQ2999" s="160"/>
      <c r="BQR2999" s="565"/>
      <c r="BQS2999" s="125"/>
      <c r="BQT2999" s="470"/>
      <c r="BQU2999" s="449"/>
      <c r="BQV2999" s="462"/>
      <c r="BQW2999" s="299"/>
      <c r="BQX2999" s="81"/>
      <c r="BQY2999" s="160"/>
      <c r="BQZ2999" s="565"/>
      <c r="BRA2999" s="125"/>
      <c r="BRB2999" s="470"/>
      <c r="BRC2999" s="449"/>
      <c r="BRD2999" s="462"/>
      <c r="BRE2999" s="299"/>
      <c r="BRF2999" s="81"/>
      <c r="BRG2999" s="160"/>
      <c r="BRH2999" s="565"/>
      <c r="BRI2999" s="125"/>
      <c r="BRJ2999" s="470"/>
      <c r="BRK2999" s="449"/>
      <c r="BRL2999" s="462"/>
      <c r="BRM2999" s="299"/>
      <c r="BRN2999" s="81"/>
      <c r="BRO2999" s="160"/>
      <c r="BRP2999" s="565"/>
      <c r="BRQ2999" s="125"/>
      <c r="BRR2999" s="470"/>
      <c r="BRS2999" s="449"/>
      <c r="BRT2999" s="462"/>
      <c r="BRU2999" s="299"/>
      <c r="BRV2999" s="81"/>
      <c r="BRW2999" s="160"/>
      <c r="BRX2999" s="565"/>
      <c r="BRY2999" s="125"/>
      <c r="BRZ2999" s="470"/>
      <c r="BSA2999" s="449"/>
      <c r="BSB2999" s="462"/>
      <c r="BSC2999" s="299"/>
      <c r="BSD2999" s="81"/>
      <c r="BSE2999" s="160"/>
      <c r="BSF2999" s="565"/>
      <c r="BSG2999" s="125"/>
      <c r="BSH2999" s="470"/>
      <c r="BSI2999" s="449"/>
      <c r="BSJ2999" s="462"/>
      <c r="BSK2999" s="299"/>
      <c r="BSL2999" s="81"/>
      <c r="BSM2999" s="160"/>
      <c r="BSN2999" s="565"/>
      <c r="BSO2999" s="125"/>
      <c r="BSP2999" s="470"/>
      <c r="BSQ2999" s="449"/>
      <c r="BSR2999" s="462"/>
      <c r="BSS2999" s="299"/>
      <c r="BST2999" s="81"/>
      <c r="BSU2999" s="160"/>
      <c r="BSV2999" s="565"/>
      <c r="BSW2999" s="125"/>
      <c r="BSX2999" s="470"/>
      <c r="BSY2999" s="449"/>
      <c r="BSZ2999" s="462"/>
      <c r="BTA2999" s="299"/>
      <c r="BTB2999" s="81"/>
      <c r="BTC2999" s="160"/>
      <c r="BTD2999" s="565"/>
      <c r="BTE2999" s="125"/>
      <c r="BTF2999" s="470"/>
      <c r="BTG2999" s="449"/>
      <c r="BTH2999" s="462"/>
      <c r="BTI2999" s="299"/>
      <c r="BTJ2999" s="81"/>
      <c r="BTK2999" s="160"/>
      <c r="BTL2999" s="565"/>
      <c r="BTM2999" s="125"/>
      <c r="BTN2999" s="470"/>
      <c r="BTO2999" s="449"/>
      <c r="BTP2999" s="462"/>
      <c r="BTQ2999" s="299"/>
      <c r="BTR2999" s="81"/>
      <c r="BTS2999" s="160"/>
      <c r="BTT2999" s="565"/>
      <c r="BTU2999" s="125"/>
      <c r="BTV2999" s="470"/>
      <c r="BTW2999" s="449"/>
      <c r="BTX2999" s="462"/>
      <c r="BTY2999" s="299"/>
      <c r="BTZ2999" s="81"/>
      <c r="BUA2999" s="160"/>
      <c r="BUB2999" s="565"/>
      <c r="BUC2999" s="125"/>
      <c r="BUD2999" s="470"/>
      <c r="BUE2999" s="449"/>
      <c r="BUF2999" s="462"/>
      <c r="BUG2999" s="299"/>
      <c r="BUH2999" s="81"/>
      <c r="BUI2999" s="160"/>
      <c r="BUJ2999" s="565"/>
      <c r="BUK2999" s="125"/>
      <c r="BUL2999" s="470"/>
      <c r="BUM2999" s="449"/>
      <c r="BUN2999" s="462"/>
      <c r="BUO2999" s="299"/>
      <c r="BUP2999" s="81"/>
      <c r="BUQ2999" s="160"/>
      <c r="BUR2999" s="565"/>
      <c r="BUS2999" s="125"/>
      <c r="BUT2999" s="470"/>
      <c r="BUU2999" s="449"/>
      <c r="BUV2999" s="462"/>
      <c r="BUW2999" s="299"/>
      <c r="BUX2999" s="81"/>
      <c r="BUY2999" s="160"/>
      <c r="BUZ2999" s="565"/>
      <c r="BVA2999" s="125"/>
      <c r="BVB2999" s="470"/>
      <c r="BVC2999" s="449"/>
      <c r="BVD2999" s="462"/>
      <c r="BVE2999" s="299"/>
      <c r="BVF2999" s="81"/>
      <c r="BVG2999" s="160"/>
      <c r="BVH2999" s="565"/>
      <c r="BVI2999" s="125"/>
      <c r="BVJ2999" s="470"/>
      <c r="BVK2999" s="449"/>
      <c r="BVL2999" s="462"/>
      <c r="BVM2999" s="299"/>
      <c r="BVN2999" s="81"/>
      <c r="BVO2999" s="160"/>
      <c r="BVP2999" s="565"/>
      <c r="BVQ2999" s="125"/>
      <c r="BVR2999" s="470"/>
      <c r="BVS2999" s="449"/>
      <c r="BVT2999" s="462"/>
      <c r="BVU2999" s="299"/>
      <c r="BVV2999" s="81"/>
      <c r="BVW2999" s="160"/>
      <c r="BVX2999" s="565"/>
      <c r="BVY2999" s="125"/>
      <c r="BVZ2999" s="470"/>
      <c r="BWA2999" s="449"/>
      <c r="BWB2999" s="462"/>
      <c r="BWC2999" s="299"/>
      <c r="BWD2999" s="81"/>
      <c r="BWE2999" s="160"/>
      <c r="BWF2999" s="565"/>
      <c r="BWG2999" s="125"/>
      <c r="BWH2999" s="470"/>
      <c r="BWI2999" s="449"/>
      <c r="BWJ2999" s="462"/>
      <c r="BWK2999" s="299"/>
      <c r="BWL2999" s="81"/>
      <c r="BWM2999" s="160"/>
      <c r="BWN2999" s="565"/>
      <c r="BWO2999" s="125"/>
      <c r="BWP2999" s="470"/>
      <c r="BWQ2999" s="449"/>
      <c r="BWR2999" s="462"/>
      <c r="BWS2999" s="299"/>
      <c r="BWT2999" s="81"/>
      <c r="BWU2999" s="160"/>
      <c r="BWV2999" s="565"/>
      <c r="BWW2999" s="125"/>
      <c r="BWX2999" s="470"/>
      <c r="BWY2999" s="449"/>
      <c r="BWZ2999" s="462"/>
      <c r="BXA2999" s="299"/>
      <c r="BXB2999" s="81"/>
      <c r="BXC2999" s="160"/>
      <c r="BXD2999" s="565"/>
      <c r="BXE2999" s="125"/>
      <c r="BXF2999" s="470"/>
      <c r="BXG2999" s="449"/>
      <c r="BXH2999" s="462"/>
      <c r="BXI2999" s="299"/>
      <c r="BXJ2999" s="81"/>
      <c r="BXK2999" s="160"/>
      <c r="BXL2999" s="565"/>
      <c r="BXM2999" s="125"/>
      <c r="BXN2999" s="470"/>
      <c r="BXO2999" s="449"/>
      <c r="BXP2999" s="462"/>
      <c r="BXQ2999" s="299"/>
      <c r="BXR2999" s="81"/>
      <c r="BXS2999" s="160"/>
      <c r="BXT2999" s="565"/>
      <c r="BXU2999" s="125"/>
      <c r="BXV2999" s="470"/>
      <c r="BXW2999" s="449"/>
      <c r="BXX2999" s="462"/>
      <c r="BXY2999" s="299"/>
      <c r="BXZ2999" s="81"/>
      <c r="BYA2999" s="160"/>
      <c r="BYB2999" s="565"/>
      <c r="BYC2999" s="125"/>
      <c r="BYD2999" s="470"/>
      <c r="BYE2999" s="449"/>
      <c r="BYF2999" s="462"/>
      <c r="BYG2999" s="299"/>
      <c r="BYH2999" s="81"/>
      <c r="BYI2999" s="160"/>
      <c r="BYJ2999" s="565"/>
      <c r="BYK2999" s="125"/>
      <c r="BYL2999" s="470"/>
      <c r="BYM2999" s="449"/>
      <c r="BYN2999" s="462"/>
      <c r="BYO2999" s="299"/>
      <c r="BYP2999" s="81"/>
      <c r="BYQ2999" s="160"/>
      <c r="BYR2999" s="565"/>
      <c r="BYS2999" s="125"/>
      <c r="BYT2999" s="470"/>
      <c r="BYU2999" s="449"/>
      <c r="BYV2999" s="462"/>
      <c r="BYW2999" s="299"/>
      <c r="BYX2999" s="81"/>
      <c r="BYY2999" s="160"/>
      <c r="BYZ2999" s="565"/>
      <c r="BZA2999" s="125"/>
      <c r="BZB2999" s="470"/>
      <c r="BZC2999" s="449"/>
      <c r="BZD2999" s="462"/>
      <c r="BZE2999" s="299"/>
      <c r="BZF2999" s="81"/>
      <c r="BZG2999" s="160"/>
      <c r="BZH2999" s="565"/>
      <c r="BZI2999" s="125"/>
      <c r="BZJ2999" s="470"/>
      <c r="BZK2999" s="449"/>
      <c r="BZL2999" s="462"/>
      <c r="BZM2999" s="299"/>
      <c r="BZN2999" s="81"/>
      <c r="BZO2999" s="160"/>
      <c r="BZP2999" s="565"/>
      <c r="BZQ2999" s="125"/>
      <c r="BZR2999" s="470"/>
      <c r="BZS2999" s="449"/>
      <c r="BZT2999" s="462"/>
      <c r="BZU2999" s="299"/>
      <c r="BZV2999" s="81"/>
      <c r="BZW2999" s="160"/>
      <c r="BZX2999" s="565"/>
      <c r="BZY2999" s="125"/>
      <c r="BZZ2999" s="470"/>
      <c r="CAA2999" s="449"/>
      <c r="CAB2999" s="462"/>
      <c r="CAC2999" s="299"/>
      <c r="CAD2999" s="81"/>
      <c r="CAE2999" s="160"/>
      <c r="CAF2999" s="565"/>
      <c r="CAG2999" s="125"/>
      <c r="CAH2999" s="470"/>
      <c r="CAI2999" s="449"/>
      <c r="CAJ2999" s="462"/>
      <c r="CAK2999" s="299"/>
      <c r="CAL2999" s="81"/>
      <c r="CAM2999" s="160"/>
      <c r="CAN2999" s="565"/>
      <c r="CAO2999" s="125"/>
      <c r="CAP2999" s="470"/>
      <c r="CAQ2999" s="449"/>
      <c r="CAR2999" s="462"/>
      <c r="CAS2999" s="299"/>
      <c r="CAT2999" s="81"/>
      <c r="CAU2999" s="160"/>
      <c r="CAV2999" s="565"/>
      <c r="CAW2999" s="125"/>
      <c r="CAX2999" s="470"/>
      <c r="CAY2999" s="449"/>
      <c r="CAZ2999" s="462"/>
      <c r="CBA2999" s="299"/>
      <c r="CBB2999" s="81"/>
      <c r="CBC2999" s="160"/>
      <c r="CBD2999" s="565"/>
      <c r="CBE2999" s="125"/>
      <c r="CBF2999" s="470"/>
      <c r="CBG2999" s="449"/>
      <c r="CBH2999" s="462"/>
      <c r="CBI2999" s="299"/>
      <c r="CBJ2999" s="81"/>
      <c r="CBK2999" s="160"/>
      <c r="CBL2999" s="565"/>
      <c r="CBM2999" s="125"/>
      <c r="CBN2999" s="470"/>
      <c r="CBO2999" s="449"/>
      <c r="CBP2999" s="462"/>
      <c r="CBQ2999" s="299"/>
      <c r="CBR2999" s="81"/>
      <c r="CBS2999" s="160"/>
      <c r="CBT2999" s="565"/>
      <c r="CBU2999" s="125"/>
      <c r="CBV2999" s="470"/>
      <c r="CBW2999" s="449"/>
      <c r="CBX2999" s="462"/>
      <c r="CBY2999" s="299"/>
      <c r="CBZ2999" s="81"/>
      <c r="CCA2999" s="160"/>
      <c r="CCB2999" s="565"/>
      <c r="CCC2999" s="125"/>
      <c r="CCD2999" s="470"/>
      <c r="CCE2999" s="449"/>
      <c r="CCF2999" s="462"/>
      <c r="CCG2999" s="299"/>
      <c r="CCH2999" s="81"/>
      <c r="CCI2999" s="160"/>
      <c r="CCJ2999" s="565"/>
      <c r="CCK2999" s="125"/>
      <c r="CCL2999" s="470"/>
      <c r="CCM2999" s="449"/>
      <c r="CCN2999" s="462"/>
      <c r="CCO2999" s="299"/>
      <c r="CCP2999" s="81"/>
      <c r="CCQ2999" s="160"/>
      <c r="CCR2999" s="565"/>
      <c r="CCS2999" s="125"/>
      <c r="CCT2999" s="470"/>
      <c r="CCU2999" s="449"/>
      <c r="CCV2999" s="462"/>
      <c r="CCW2999" s="299"/>
      <c r="CCX2999" s="81"/>
      <c r="CCY2999" s="160"/>
      <c r="CCZ2999" s="565"/>
      <c r="CDA2999" s="125"/>
      <c r="CDB2999" s="470"/>
      <c r="CDC2999" s="449"/>
      <c r="CDD2999" s="462"/>
      <c r="CDE2999" s="299"/>
      <c r="CDF2999" s="81"/>
      <c r="CDG2999" s="160"/>
      <c r="CDH2999" s="565"/>
      <c r="CDI2999" s="125"/>
      <c r="CDJ2999" s="470"/>
      <c r="CDK2999" s="449"/>
      <c r="CDL2999" s="462"/>
      <c r="CDM2999" s="299"/>
      <c r="CDN2999" s="81"/>
      <c r="CDO2999" s="160"/>
      <c r="CDP2999" s="565"/>
      <c r="CDQ2999" s="125"/>
      <c r="CDR2999" s="470"/>
      <c r="CDS2999" s="449"/>
      <c r="CDT2999" s="462"/>
      <c r="CDU2999" s="299"/>
      <c r="CDV2999" s="81"/>
      <c r="CDW2999" s="160"/>
      <c r="CDX2999" s="565"/>
      <c r="CDY2999" s="125"/>
      <c r="CDZ2999" s="470"/>
      <c r="CEA2999" s="449"/>
      <c r="CEB2999" s="462"/>
      <c r="CEC2999" s="299"/>
      <c r="CED2999" s="81"/>
      <c r="CEE2999" s="160"/>
      <c r="CEF2999" s="565"/>
      <c r="CEG2999" s="125"/>
      <c r="CEH2999" s="470"/>
      <c r="CEI2999" s="449"/>
      <c r="CEJ2999" s="462"/>
      <c r="CEK2999" s="299"/>
      <c r="CEL2999" s="81"/>
      <c r="CEM2999" s="160"/>
      <c r="CEN2999" s="565"/>
      <c r="CEO2999" s="125"/>
      <c r="CEP2999" s="470"/>
      <c r="CEQ2999" s="449"/>
      <c r="CER2999" s="462"/>
      <c r="CES2999" s="299"/>
      <c r="CET2999" s="81"/>
      <c r="CEU2999" s="160"/>
      <c r="CEV2999" s="565"/>
      <c r="CEW2999" s="125"/>
      <c r="CEX2999" s="470"/>
      <c r="CEY2999" s="449"/>
      <c r="CEZ2999" s="462"/>
      <c r="CFA2999" s="299"/>
      <c r="CFB2999" s="81"/>
      <c r="CFC2999" s="160"/>
      <c r="CFD2999" s="565"/>
      <c r="CFE2999" s="125"/>
      <c r="CFF2999" s="470"/>
      <c r="CFG2999" s="449"/>
      <c r="CFH2999" s="462"/>
      <c r="CFI2999" s="299"/>
      <c r="CFJ2999" s="81"/>
      <c r="CFK2999" s="160"/>
      <c r="CFL2999" s="565"/>
      <c r="CFM2999" s="125"/>
      <c r="CFN2999" s="470"/>
      <c r="CFO2999" s="449"/>
      <c r="CFP2999" s="462"/>
      <c r="CFQ2999" s="299"/>
      <c r="CFR2999" s="81"/>
      <c r="CFS2999" s="160"/>
      <c r="CFT2999" s="565"/>
      <c r="CFU2999" s="125"/>
      <c r="CFV2999" s="470"/>
      <c r="CFW2999" s="449"/>
      <c r="CFX2999" s="462"/>
      <c r="CFY2999" s="299"/>
      <c r="CFZ2999" s="81"/>
      <c r="CGA2999" s="160"/>
      <c r="CGB2999" s="565"/>
      <c r="CGC2999" s="125"/>
      <c r="CGD2999" s="470"/>
      <c r="CGE2999" s="449"/>
      <c r="CGF2999" s="462"/>
      <c r="CGG2999" s="299"/>
      <c r="CGH2999" s="81"/>
      <c r="CGI2999" s="160"/>
      <c r="CGJ2999" s="565"/>
      <c r="CGK2999" s="125"/>
      <c r="CGL2999" s="470"/>
      <c r="CGM2999" s="449"/>
      <c r="CGN2999" s="462"/>
      <c r="CGO2999" s="299"/>
      <c r="CGP2999" s="81"/>
      <c r="CGQ2999" s="160"/>
      <c r="CGR2999" s="565"/>
      <c r="CGS2999" s="125"/>
      <c r="CGT2999" s="470"/>
      <c r="CGU2999" s="449"/>
      <c r="CGV2999" s="462"/>
      <c r="CGW2999" s="299"/>
      <c r="CGX2999" s="81"/>
      <c r="CGY2999" s="160"/>
      <c r="CGZ2999" s="565"/>
      <c r="CHA2999" s="125"/>
      <c r="CHB2999" s="470"/>
      <c r="CHC2999" s="449"/>
      <c r="CHD2999" s="462"/>
      <c r="CHE2999" s="299"/>
      <c r="CHF2999" s="81"/>
      <c r="CHG2999" s="160"/>
      <c r="CHH2999" s="565"/>
      <c r="CHI2999" s="125"/>
      <c r="CHJ2999" s="470"/>
      <c r="CHK2999" s="449"/>
      <c r="CHL2999" s="462"/>
      <c r="CHM2999" s="299"/>
      <c r="CHN2999" s="81"/>
      <c r="CHO2999" s="160"/>
      <c r="CHP2999" s="565"/>
      <c r="CHQ2999" s="125"/>
      <c r="CHR2999" s="470"/>
      <c r="CHS2999" s="449"/>
      <c r="CHT2999" s="462"/>
      <c r="CHU2999" s="299"/>
      <c r="CHV2999" s="81"/>
      <c r="CHW2999" s="160"/>
      <c r="CHX2999" s="565"/>
      <c r="CHY2999" s="125"/>
      <c r="CHZ2999" s="470"/>
      <c r="CIA2999" s="449"/>
      <c r="CIB2999" s="462"/>
      <c r="CIC2999" s="299"/>
      <c r="CID2999" s="81"/>
      <c r="CIE2999" s="160"/>
      <c r="CIF2999" s="565"/>
      <c r="CIG2999" s="125"/>
      <c r="CIH2999" s="470"/>
      <c r="CII2999" s="449"/>
      <c r="CIJ2999" s="462"/>
      <c r="CIK2999" s="299"/>
      <c r="CIL2999" s="81"/>
      <c r="CIM2999" s="160"/>
      <c r="CIN2999" s="565"/>
      <c r="CIO2999" s="125"/>
      <c r="CIP2999" s="470"/>
      <c r="CIQ2999" s="449"/>
      <c r="CIR2999" s="462"/>
      <c r="CIS2999" s="299"/>
      <c r="CIT2999" s="81"/>
      <c r="CIU2999" s="160"/>
      <c r="CIV2999" s="565"/>
      <c r="CIW2999" s="125"/>
      <c r="CIX2999" s="470"/>
      <c r="CIY2999" s="449"/>
      <c r="CIZ2999" s="462"/>
      <c r="CJA2999" s="299"/>
      <c r="CJB2999" s="81"/>
      <c r="CJC2999" s="160"/>
      <c r="CJD2999" s="565"/>
      <c r="CJE2999" s="125"/>
      <c r="CJF2999" s="470"/>
      <c r="CJG2999" s="449"/>
      <c r="CJH2999" s="462"/>
      <c r="CJI2999" s="299"/>
      <c r="CJJ2999" s="81"/>
      <c r="CJK2999" s="160"/>
      <c r="CJL2999" s="565"/>
      <c r="CJM2999" s="125"/>
      <c r="CJN2999" s="470"/>
      <c r="CJO2999" s="449"/>
      <c r="CJP2999" s="462"/>
      <c r="CJQ2999" s="299"/>
      <c r="CJR2999" s="81"/>
      <c r="CJS2999" s="160"/>
      <c r="CJT2999" s="565"/>
      <c r="CJU2999" s="125"/>
      <c r="CJV2999" s="470"/>
      <c r="CJW2999" s="449"/>
      <c r="CJX2999" s="462"/>
      <c r="CJY2999" s="299"/>
      <c r="CJZ2999" s="81"/>
      <c r="CKA2999" s="160"/>
      <c r="CKB2999" s="565"/>
      <c r="CKC2999" s="125"/>
      <c r="CKD2999" s="470"/>
      <c r="CKE2999" s="449"/>
      <c r="CKF2999" s="462"/>
      <c r="CKG2999" s="299"/>
      <c r="CKH2999" s="81"/>
      <c r="CKI2999" s="160"/>
      <c r="CKJ2999" s="565"/>
      <c r="CKK2999" s="125"/>
      <c r="CKL2999" s="470"/>
      <c r="CKM2999" s="449"/>
      <c r="CKN2999" s="462"/>
      <c r="CKO2999" s="299"/>
      <c r="CKP2999" s="81"/>
      <c r="CKQ2999" s="160"/>
      <c r="CKR2999" s="565"/>
      <c r="CKS2999" s="125"/>
      <c r="CKT2999" s="470"/>
      <c r="CKU2999" s="449"/>
      <c r="CKV2999" s="462"/>
      <c r="CKW2999" s="299"/>
      <c r="CKX2999" s="81"/>
      <c r="CKY2999" s="160"/>
      <c r="CKZ2999" s="565"/>
      <c r="CLA2999" s="125"/>
      <c r="CLB2999" s="470"/>
      <c r="CLC2999" s="449"/>
      <c r="CLD2999" s="462"/>
      <c r="CLE2999" s="299"/>
      <c r="CLF2999" s="81"/>
      <c r="CLG2999" s="160"/>
      <c r="CLH2999" s="565"/>
      <c r="CLI2999" s="125"/>
      <c r="CLJ2999" s="470"/>
      <c r="CLK2999" s="449"/>
      <c r="CLL2999" s="462"/>
      <c r="CLM2999" s="299"/>
      <c r="CLN2999" s="81"/>
      <c r="CLO2999" s="160"/>
      <c r="CLP2999" s="565"/>
      <c r="CLQ2999" s="125"/>
      <c r="CLR2999" s="470"/>
      <c r="CLS2999" s="449"/>
      <c r="CLT2999" s="462"/>
      <c r="CLU2999" s="299"/>
      <c r="CLV2999" s="81"/>
      <c r="CLW2999" s="160"/>
      <c r="CLX2999" s="565"/>
      <c r="CLY2999" s="125"/>
      <c r="CLZ2999" s="470"/>
      <c r="CMA2999" s="449"/>
      <c r="CMB2999" s="462"/>
      <c r="CMC2999" s="299"/>
      <c r="CMD2999" s="81"/>
      <c r="CME2999" s="160"/>
      <c r="CMF2999" s="565"/>
      <c r="CMG2999" s="125"/>
      <c r="CMH2999" s="470"/>
      <c r="CMI2999" s="449"/>
      <c r="CMJ2999" s="462"/>
      <c r="CMK2999" s="299"/>
      <c r="CML2999" s="81"/>
      <c r="CMM2999" s="160"/>
      <c r="CMN2999" s="565"/>
      <c r="CMO2999" s="125"/>
      <c r="CMP2999" s="470"/>
      <c r="CMQ2999" s="449"/>
      <c r="CMR2999" s="462"/>
      <c r="CMS2999" s="299"/>
      <c r="CMT2999" s="81"/>
      <c r="CMU2999" s="160"/>
      <c r="CMV2999" s="565"/>
      <c r="CMW2999" s="125"/>
      <c r="CMX2999" s="470"/>
      <c r="CMY2999" s="449"/>
      <c r="CMZ2999" s="462"/>
      <c r="CNA2999" s="299"/>
      <c r="CNB2999" s="81"/>
      <c r="CNC2999" s="160"/>
      <c r="CND2999" s="565"/>
      <c r="CNE2999" s="125"/>
      <c r="CNF2999" s="470"/>
      <c r="CNG2999" s="449"/>
      <c r="CNH2999" s="462"/>
      <c r="CNI2999" s="299"/>
      <c r="CNJ2999" s="81"/>
      <c r="CNK2999" s="160"/>
      <c r="CNL2999" s="565"/>
      <c r="CNM2999" s="125"/>
      <c r="CNN2999" s="470"/>
      <c r="CNO2999" s="449"/>
      <c r="CNP2999" s="462"/>
      <c r="CNQ2999" s="299"/>
      <c r="CNR2999" s="81"/>
      <c r="CNS2999" s="160"/>
      <c r="CNT2999" s="565"/>
      <c r="CNU2999" s="125"/>
      <c r="CNV2999" s="470"/>
      <c r="CNW2999" s="449"/>
      <c r="CNX2999" s="462"/>
      <c r="CNY2999" s="299"/>
      <c r="CNZ2999" s="81"/>
      <c r="COA2999" s="160"/>
      <c r="COB2999" s="565"/>
      <c r="COC2999" s="125"/>
      <c r="COD2999" s="470"/>
      <c r="COE2999" s="449"/>
      <c r="COF2999" s="462"/>
      <c r="COG2999" s="299"/>
      <c r="COH2999" s="81"/>
      <c r="COI2999" s="160"/>
      <c r="COJ2999" s="565"/>
      <c r="COK2999" s="125"/>
      <c r="COL2999" s="470"/>
      <c r="COM2999" s="449"/>
      <c r="CON2999" s="462"/>
      <c r="COO2999" s="299"/>
      <c r="COP2999" s="81"/>
      <c r="COQ2999" s="160"/>
      <c r="COR2999" s="565"/>
      <c r="COS2999" s="125"/>
      <c r="COT2999" s="470"/>
      <c r="COU2999" s="449"/>
      <c r="COV2999" s="462"/>
      <c r="COW2999" s="299"/>
      <c r="COX2999" s="81"/>
      <c r="COY2999" s="160"/>
      <c r="COZ2999" s="565"/>
      <c r="CPA2999" s="125"/>
      <c r="CPB2999" s="470"/>
      <c r="CPC2999" s="449"/>
      <c r="CPD2999" s="462"/>
      <c r="CPE2999" s="299"/>
      <c r="CPF2999" s="81"/>
      <c r="CPG2999" s="160"/>
      <c r="CPH2999" s="565"/>
      <c r="CPI2999" s="125"/>
      <c r="CPJ2999" s="470"/>
      <c r="CPK2999" s="449"/>
      <c r="CPL2999" s="462"/>
      <c r="CPM2999" s="299"/>
      <c r="CPN2999" s="81"/>
      <c r="CPO2999" s="160"/>
      <c r="CPP2999" s="565"/>
      <c r="CPQ2999" s="125"/>
      <c r="CPR2999" s="470"/>
      <c r="CPS2999" s="449"/>
      <c r="CPT2999" s="462"/>
      <c r="CPU2999" s="299"/>
      <c r="CPV2999" s="81"/>
      <c r="CPW2999" s="160"/>
      <c r="CPX2999" s="565"/>
      <c r="CPY2999" s="125"/>
      <c r="CPZ2999" s="470"/>
      <c r="CQA2999" s="449"/>
      <c r="CQB2999" s="462"/>
      <c r="CQC2999" s="299"/>
      <c r="CQD2999" s="81"/>
      <c r="CQE2999" s="160"/>
      <c r="CQF2999" s="565"/>
      <c r="CQG2999" s="125"/>
      <c r="CQH2999" s="470"/>
      <c r="CQI2999" s="449"/>
      <c r="CQJ2999" s="462"/>
      <c r="CQK2999" s="299"/>
      <c r="CQL2999" s="81"/>
      <c r="CQM2999" s="160"/>
      <c r="CQN2999" s="565"/>
      <c r="CQO2999" s="125"/>
      <c r="CQP2999" s="470"/>
      <c r="CQQ2999" s="449"/>
      <c r="CQR2999" s="462"/>
      <c r="CQS2999" s="299"/>
      <c r="CQT2999" s="81"/>
      <c r="CQU2999" s="160"/>
      <c r="CQV2999" s="565"/>
      <c r="CQW2999" s="125"/>
      <c r="CQX2999" s="470"/>
      <c r="CQY2999" s="449"/>
      <c r="CQZ2999" s="462"/>
      <c r="CRA2999" s="299"/>
      <c r="CRB2999" s="81"/>
      <c r="CRC2999" s="160"/>
      <c r="CRD2999" s="565"/>
      <c r="CRE2999" s="125"/>
      <c r="CRF2999" s="470"/>
      <c r="CRG2999" s="449"/>
      <c r="CRH2999" s="462"/>
      <c r="CRI2999" s="299"/>
      <c r="CRJ2999" s="81"/>
      <c r="CRK2999" s="160"/>
      <c r="CRL2999" s="565"/>
      <c r="CRM2999" s="125"/>
      <c r="CRN2999" s="470"/>
      <c r="CRO2999" s="449"/>
      <c r="CRP2999" s="462"/>
      <c r="CRQ2999" s="299"/>
      <c r="CRR2999" s="81"/>
      <c r="CRS2999" s="160"/>
      <c r="CRT2999" s="565"/>
      <c r="CRU2999" s="125"/>
      <c r="CRV2999" s="470"/>
      <c r="CRW2999" s="449"/>
      <c r="CRX2999" s="462"/>
      <c r="CRY2999" s="299"/>
      <c r="CRZ2999" s="81"/>
      <c r="CSA2999" s="160"/>
      <c r="CSB2999" s="565"/>
      <c r="CSC2999" s="125"/>
      <c r="CSD2999" s="470"/>
      <c r="CSE2999" s="449"/>
      <c r="CSF2999" s="462"/>
      <c r="CSG2999" s="299"/>
      <c r="CSH2999" s="81"/>
      <c r="CSI2999" s="160"/>
      <c r="CSJ2999" s="565"/>
      <c r="CSK2999" s="125"/>
      <c r="CSL2999" s="470"/>
      <c r="CSM2999" s="449"/>
      <c r="CSN2999" s="462"/>
      <c r="CSO2999" s="299"/>
      <c r="CSP2999" s="81"/>
      <c r="CSQ2999" s="160"/>
      <c r="CSR2999" s="565"/>
      <c r="CSS2999" s="125"/>
      <c r="CST2999" s="470"/>
      <c r="CSU2999" s="449"/>
      <c r="CSV2999" s="462"/>
      <c r="CSW2999" s="299"/>
      <c r="CSX2999" s="81"/>
      <c r="CSY2999" s="160"/>
      <c r="CSZ2999" s="565"/>
      <c r="CTA2999" s="125"/>
      <c r="CTB2999" s="470"/>
      <c r="CTC2999" s="449"/>
      <c r="CTD2999" s="462"/>
      <c r="CTE2999" s="299"/>
      <c r="CTF2999" s="81"/>
      <c r="CTG2999" s="160"/>
      <c r="CTH2999" s="565"/>
      <c r="CTI2999" s="125"/>
      <c r="CTJ2999" s="470"/>
      <c r="CTK2999" s="449"/>
      <c r="CTL2999" s="462"/>
      <c r="CTM2999" s="299"/>
      <c r="CTN2999" s="81"/>
      <c r="CTO2999" s="160"/>
      <c r="CTP2999" s="565"/>
      <c r="CTQ2999" s="125"/>
      <c r="CTR2999" s="470"/>
      <c r="CTS2999" s="449"/>
      <c r="CTT2999" s="462"/>
      <c r="CTU2999" s="299"/>
      <c r="CTV2999" s="81"/>
      <c r="CTW2999" s="160"/>
      <c r="CTX2999" s="565"/>
      <c r="CTY2999" s="125"/>
      <c r="CTZ2999" s="470"/>
      <c r="CUA2999" s="449"/>
      <c r="CUB2999" s="462"/>
      <c r="CUC2999" s="299"/>
      <c r="CUD2999" s="81"/>
      <c r="CUE2999" s="160"/>
      <c r="CUF2999" s="565"/>
      <c r="CUG2999" s="125"/>
      <c r="CUH2999" s="470"/>
      <c r="CUI2999" s="449"/>
      <c r="CUJ2999" s="462"/>
      <c r="CUK2999" s="299"/>
      <c r="CUL2999" s="81"/>
      <c r="CUM2999" s="160"/>
      <c r="CUN2999" s="565"/>
      <c r="CUO2999" s="125"/>
      <c r="CUP2999" s="470"/>
      <c r="CUQ2999" s="449"/>
      <c r="CUR2999" s="462"/>
      <c r="CUS2999" s="299"/>
      <c r="CUT2999" s="81"/>
      <c r="CUU2999" s="160"/>
      <c r="CUV2999" s="565"/>
      <c r="CUW2999" s="125"/>
      <c r="CUX2999" s="470"/>
      <c r="CUY2999" s="449"/>
      <c r="CUZ2999" s="462"/>
      <c r="CVA2999" s="299"/>
      <c r="CVB2999" s="81"/>
      <c r="CVC2999" s="160"/>
      <c r="CVD2999" s="565"/>
      <c r="CVE2999" s="125"/>
      <c r="CVF2999" s="470"/>
      <c r="CVG2999" s="449"/>
      <c r="CVH2999" s="462"/>
      <c r="CVI2999" s="299"/>
      <c r="CVJ2999" s="81"/>
      <c r="CVK2999" s="160"/>
      <c r="CVL2999" s="565"/>
      <c r="CVM2999" s="125"/>
      <c r="CVN2999" s="470"/>
      <c r="CVO2999" s="449"/>
      <c r="CVP2999" s="462"/>
      <c r="CVQ2999" s="299"/>
      <c r="CVR2999" s="81"/>
      <c r="CVS2999" s="160"/>
      <c r="CVT2999" s="565"/>
      <c r="CVU2999" s="125"/>
      <c r="CVV2999" s="470"/>
      <c r="CVW2999" s="449"/>
      <c r="CVX2999" s="462"/>
      <c r="CVY2999" s="299"/>
      <c r="CVZ2999" s="81"/>
      <c r="CWA2999" s="160"/>
      <c r="CWB2999" s="565"/>
      <c r="CWC2999" s="125"/>
      <c r="CWD2999" s="470"/>
      <c r="CWE2999" s="449"/>
      <c r="CWF2999" s="462"/>
      <c r="CWG2999" s="299"/>
      <c r="CWH2999" s="81"/>
      <c r="CWI2999" s="160"/>
      <c r="CWJ2999" s="565"/>
      <c r="CWK2999" s="125"/>
      <c r="CWL2999" s="470"/>
      <c r="CWM2999" s="449"/>
      <c r="CWN2999" s="462"/>
      <c r="CWO2999" s="299"/>
      <c r="CWP2999" s="81"/>
      <c r="CWQ2999" s="160"/>
      <c r="CWR2999" s="565"/>
      <c r="CWS2999" s="125"/>
      <c r="CWT2999" s="470"/>
      <c r="CWU2999" s="449"/>
      <c r="CWV2999" s="462"/>
      <c r="CWW2999" s="299"/>
      <c r="CWX2999" s="81"/>
      <c r="CWY2999" s="160"/>
      <c r="CWZ2999" s="565"/>
      <c r="CXA2999" s="125"/>
      <c r="CXB2999" s="470"/>
      <c r="CXC2999" s="449"/>
      <c r="CXD2999" s="462"/>
      <c r="CXE2999" s="299"/>
      <c r="CXF2999" s="81"/>
      <c r="CXG2999" s="160"/>
      <c r="CXH2999" s="565"/>
      <c r="CXI2999" s="125"/>
      <c r="CXJ2999" s="470"/>
      <c r="CXK2999" s="449"/>
      <c r="CXL2999" s="462"/>
      <c r="CXM2999" s="299"/>
      <c r="CXN2999" s="81"/>
      <c r="CXO2999" s="160"/>
      <c r="CXP2999" s="565"/>
      <c r="CXQ2999" s="125"/>
      <c r="CXR2999" s="470"/>
      <c r="CXS2999" s="449"/>
      <c r="CXT2999" s="462"/>
      <c r="CXU2999" s="299"/>
      <c r="CXV2999" s="81"/>
      <c r="CXW2999" s="160"/>
      <c r="CXX2999" s="565"/>
      <c r="CXY2999" s="125"/>
      <c r="CXZ2999" s="470"/>
      <c r="CYA2999" s="449"/>
      <c r="CYB2999" s="462"/>
      <c r="CYC2999" s="299"/>
      <c r="CYD2999" s="81"/>
      <c r="CYE2999" s="160"/>
      <c r="CYF2999" s="565"/>
      <c r="CYG2999" s="125"/>
      <c r="CYH2999" s="470"/>
      <c r="CYI2999" s="449"/>
      <c r="CYJ2999" s="462"/>
      <c r="CYK2999" s="299"/>
      <c r="CYL2999" s="81"/>
      <c r="CYM2999" s="160"/>
      <c r="CYN2999" s="565"/>
      <c r="CYO2999" s="125"/>
      <c r="CYP2999" s="470"/>
      <c r="CYQ2999" s="449"/>
      <c r="CYR2999" s="462"/>
      <c r="CYS2999" s="299"/>
      <c r="CYT2999" s="81"/>
      <c r="CYU2999" s="160"/>
      <c r="CYV2999" s="565"/>
      <c r="CYW2999" s="125"/>
      <c r="CYX2999" s="470"/>
      <c r="CYY2999" s="449"/>
      <c r="CYZ2999" s="462"/>
      <c r="CZA2999" s="299"/>
      <c r="CZB2999" s="81"/>
      <c r="CZC2999" s="160"/>
      <c r="CZD2999" s="565"/>
      <c r="CZE2999" s="125"/>
      <c r="CZF2999" s="470"/>
      <c r="CZG2999" s="449"/>
      <c r="CZH2999" s="462"/>
      <c r="CZI2999" s="299"/>
      <c r="CZJ2999" s="81"/>
      <c r="CZK2999" s="160"/>
      <c r="CZL2999" s="565"/>
      <c r="CZM2999" s="125"/>
      <c r="CZN2999" s="470"/>
      <c r="CZO2999" s="449"/>
      <c r="CZP2999" s="462"/>
      <c r="CZQ2999" s="299"/>
      <c r="CZR2999" s="81"/>
      <c r="CZS2999" s="160"/>
      <c r="CZT2999" s="565"/>
      <c r="CZU2999" s="125"/>
      <c r="CZV2999" s="470"/>
      <c r="CZW2999" s="449"/>
      <c r="CZX2999" s="462"/>
      <c r="CZY2999" s="299"/>
      <c r="CZZ2999" s="81"/>
      <c r="DAA2999" s="160"/>
      <c r="DAB2999" s="565"/>
      <c r="DAC2999" s="125"/>
      <c r="DAD2999" s="470"/>
      <c r="DAE2999" s="449"/>
      <c r="DAF2999" s="462"/>
      <c r="DAG2999" s="299"/>
      <c r="DAH2999" s="81"/>
      <c r="DAI2999" s="160"/>
      <c r="DAJ2999" s="565"/>
      <c r="DAK2999" s="125"/>
      <c r="DAL2999" s="470"/>
      <c r="DAM2999" s="449"/>
      <c r="DAN2999" s="462"/>
      <c r="DAO2999" s="299"/>
      <c r="DAP2999" s="81"/>
      <c r="DAQ2999" s="160"/>
      <c r="DAR2999" s="565"/>
      <c r="DAS2999" s="125"/>
      <c r="DAT2999" s="470"/>
      <c r="DAU2999" s="449"/>
      <c r="DAV2999" s="462"/>
      <c r="DAW2999" s="299"/>
      <c r="DAX2999" s="81"/>
      <c r="DAY2999" s="160"/>
      <c r="DAZ2999" s="565"/>
      <c r="DBA2999" s="125"/>
      <c r="DBB2999" s="470"/>
      <c r="DBC2999" s="449"/>
      <c r="DBD2999" s="462"/>
      <c r="DBE2999" s="299"/>
      <c r="DBF2999" s="81"/>
      <c r="DBG2999" s="160"/>
      <c r="DBH2999" s="565"/>
      <c r="DBI2999" s="125"/>
      <c r="DBJ2999" s="470"/>
      <c r="DBK2999" s="449"/>
      <c r="DBL2999" s="462"/>
      <c r="DBM2999" s="299"/>
      <c r="DBN2999" s="81"/>
      <c r="DBO2999" s="160"/>
      <c r="DBP2999" s="565"/>
      <c r="DBQ2999" s="125"/>
      <c r="DBR2999" s="470"/>
      <c r="DBS2999" s="449"/>
      <c r="DBT2999" s="462"/>
      <c r="DBU2999" s="299"/>
      <c r="DBV2999" s="81"/>
      <c r="DBW2999" s="160"/>
      <c r="DBX2999" s="565"/>
      <c r="DBY2999" s="125"/>
      <c r="DBZ2999" s="470"/>
      <c r="DCA2999" s="449"/>
      <c r="DCB2999" s="462"/>
      <c r="DCC2999" s="299"/>
      <c r="DCD2999" s="81"/>
      <c r="DCE2999" s="160"/>
      <c r="DCF2999" s="565"/>
      <c r="DCG2999" s="125"/>
      <c r="DCH2999" s="470"/>
      <c r="DCI2999" s="449"/>
      <c r="DCJ2999" s="462"/>
      <c r="DCK2999" s="299"/>
      <c r="DCL2999" s="81"/>
      <c r="DCM2999" s="160"/>
      <c r="DCN2999" s="565"/>
      <c r="DCO2999" s="125"/>
      <c r="DCP2999" s="470"/>
      <c r="DCQ2999" s="449"/>
      <c r="DCR2999" s="462"/>
      <c r="DCS2999" s="299"/>
      <c r="DCT2999" s="81"/>
      <c r="DCU2999" s="160"/>
      <c r="DCV2999" s="565"/>
      <c r="DCW2999" s="125"/>
      <c r="DCX2999" s="470"/>
      <c r="DCY2999" s="449"/>
      <c r="DCZ2999" s="462"/>
      <c r="DDA2999" s="299"/>
      <c r="DDB2999" s="81"/>
      <c r="DDC2999" s="160"/>
      <c r="DDD2999" s="565"/>
      <c r="DDE2999" s="125"/>
      <c r="DDF2999" s="470"/>
      <c r="DDG2999" s="449"/>
      <c r="DDH2999" s="462"/>
      <c r="DDI2999" s="299"/>
      <c r="DDJ2999" s="81"/>
      <c r="DDK2999" s="160"/>
      <c r="DDL2999" s="565"/>
      <c r="DDM2999" s="125"/>
      <c r="DDN2999" s="470"/>
      <c r="DDO2999" s="449"/>
      <c r="DDP2999" s="462"/>
      <c r="DDQ2999" s="299"/>
      <c r="DDR2999" s="81"/>
      <c r="DDS2999" s="160"/>
      <c r="DDT2999" s="565"/>
      <c r="DDU2999" s="125"/>
      <c r="DDV2999" s="470"/>
      <c r="DDW2999" s="449"/>
      <c r="DDX2999" s="462"/>
      <c r="DDY2999" s="299"/>
      <c r="DDZ2999" s="81"/>
      <c r="DEA2999" s="160"/>
      <c r="DEB2999" s="565"/>
      <c r="DEC2999" s="125"/>
      <c r="DED2999" s="470"/>
      <c r="DEE2999" s="449"/>
      <c r="DEF2999" s="462"/>
      <c r="DEG2999" s="299"/>
      <c r="DEH2999" s="81"/>
      <c r="DEI2999" s="160"/>
      <c r="DEJ2999" s="565"/>
      <c r="DEK2999" s="125"/>
      <c r="DEL2999" s="470"/>
      <c r="DEM2999" s="449"/>
      <c r="DEN2999" s="462"/>
      <c r="DEO2999" s="299"/>
      <c r="DEP2999" s="81"/>
      <c r="DEQ2999" s="160"/>
      <c r="DER2999" s="565"/>
      <c r="DES2999" s="125"/>
      <c r="DET2999" s="470"/>
      <c r="DEU2999" s="449"/>
      <c r="DEV2999" s="462"/>
      <c r="DEW2999" s="299"/>
      <c r="DEX2999" s="81"/>
      <c r="DEY2999" s="160"/>
      <c r="DEZ2999" s="565"/>
      <c r="DFA2999" s="125"/>
      <c r="DFB2999" s="470"/>
      <c r="DFC2999" s="449"/>
      <c r="DFD2999" s="462"/>
      <c r="DFE2999" s="299"/>
      <c r="DFF2999" s="81"/>
      <c r="DFG2999" s="160"/>
      <c r="DFH2999" s="565"/>
      <c r="DFI2999" s="125"/>
      <c r="DFJ2999" s="470"/>
      <c r="DFK2999" s="449"/>
      <c r="DFL2999" s="462"/>
      <c r="DFM2999" s="299"/>
      <c r="DFN2999" s="81"/>
      <c r="DFO2999" s="160"/>
      <c r="DFP2999" s="565"/>
      <c r="DFQ2999" s="125"/>
      <c r="DFR2999" s="470"/>
      <c r="DFS2999" s="449"/>
      <c r="DFT2999" s="462"/>
      <c r="DFU2999" s="299"/>
      <c r="DFV2999" s="81"/>
      <c r="DFW2999" s="160"/>
      <c r="DFX2999" s="565"/>
      <c r="DFY2999" s="125"/>
      <c r="DFZ2999" s="470"/>
      <c r="DGA2999" s="449"/>
      <c r="DGB2999" s="462"/>
      <c r="DGC2999" s="299"/>
      <c r="DGD2999" s="81"/>
      <c r="DGE2999" s="160"/>
      <c r="DGF2999" s="565"/>
      <c r="DGG2999" s="125"/>
      <c r="DGH2999" s="470"/>
      <c r="DGI2999" s="449"/>
      <c r="DGJ2999" s="462"/>
      <c r="DGK2999" s="299"/>
      <c r="DGL2999" s="81"/>
      <c r="DGM2999" s="160"/>
      <c r="DGN2999" s="565"/>
      <c r="DGO2999" s="125"/>
      <c r="DGP2999" s="470"/>
      <c r="DGQ2999" s="449"/>
      <c r="DGR2999" s="462"/>
      <c r="DGS2999" s="299"/>
      <c r="DGT2999" s="81"/>
      <c r="DGU2999" s="160"/>
      <c r="DGV2999" s="565"/>
      <c r="DGW2999" s="125"/>
      <c r="DGX2999" s="470"/>
      <c r="DGY2999" s="449"/>
      <c r="DGZ2999" s="462"/>
      <c r="DHA2999" s="299"/>
      <c r="DHB2999" s="81"/>
      <c r="DHC2999" s="160"/>
      <c r="DHD2999" s="565"/>
      <c r="DHE2999" s="125"/>
      <c r="DHF2999" s="470"/>
      <c r="DHG2999" s="449"/>
      <c r="DHH2999" s="462"/>
      <c r="DHI2999" s="299"/>
      <c r="DHJ2999" s="81"/>
      <c r="DHK2999" s="160"/>
      <c r="DHL2999" s="565"/>
      <c r="DHM2999" s="125"/>
      <c r="DHN2999" s="470"/>
      <c r="DHO2999" s="449"/>
      <c r="DHP2999" s="462"/>
      <c r="DHQ2999" s="299"/>
      <c r="DHR2999" s="81"/>
      <c r="DHS2999" s="160"/>
      <c r="DHT2999" s="565"/>
      <c r="DHU2999" s="125"/>
      <c r="DHV2999" s="470"/>
      <c r="DHW2999" s="449"/>
      <c r="DHX2999" s="462"/>
      <c r="DHY2999" s="299"/>
      <c r="DHZ2999" s="81"/>
      <c r="DIA2999" s="160"/>
      <c r="DIB2999" s="565"/>
      <c r="DIC2999" s="125"/>
      <c r="DID2999" s="470"/>
      <c r="DIE2999" s="449"/>
      <c r="DIF2999" s="462"/>
      <c r="DIG2999" s="299"/>
      <c r="DIH2999" s="81"/>
      <c r="DII2999" s="160"/>
      <c r="DIJ2999" s="565"/>
      <c r="DIK2999" s="125"/>
      <c r="DIL2999" s="470"/>
      <c r="DIM2999" s="449"/>
      <c r="DIN2999" s="462"/>
      <c r="DIO2999" s="299"/>
      <c r="DIP2999" s="81"/>
      <c r="DIQ2999" s="160"/>
      <c r="DIR2999" s="565"/>
      <c r="DIS2999" s="125"/>
      <c r="DIT2999" s="470"/>
      <c r="DIU2999" s="449"/>
      <c r="DIV2999" s="462"/>
      <c r="DIW2999" s="299"/>
      <c r="DIX2999" s="81"/>
      <c r="DIY2999" s="160"/>
      <c r="DIZ2999" s="565"/>
      <c r="DJA2999" s="125"/>
      <c r="DJB2999" s="470"/>
      <c r="DJC2999" s="449"/>
      <c r="DJD2999" s="462"/>
      <c r="DJE2999" s="299"/>
      <c r="DJF2999" s="81"/>
      <c r="DJG2999" s="160"/>
      <c r="DJH2999" s="565"/>
      <c r="DJI2999" s="125"/>
      <c r="DJJ2999" s="470"/>
      <c r="DJK2999" s="449"/>
      <c r="DJL2999" s="462"/>
      <c r="DJM2999" s="299"/>
      <c r="DJN2999" s="81"/>
      <c r="DJO2999" s="160"/>
      <c r="DJP2999" s="565"/>
      <c r="DJQ2999" s="125"/>
      <c r="DJR2999" s="470"/>
      <c r="DJS2999" s="449"/>
      <c r="DJT2999" s="462"/>
      <c r="DJU2999" s="299"/>
      <c r="DJV2999" s="81"/>
      <c r="DJW2999" s="160"/>
      <c r="DJX2999" s="565"/>
      <c r="DJY2999" s="125"/>
      <c r="DJZ2999" s="470"/>
      <c r="DKA2999" s="449"/>
      <c r="DKB2999" s="462"/>
      <c r="DKC2999" s="299"/>
      <c r="DKD2999" s="81"/>
      <c r="DKE2999" s="160"/>
      <c r="DKF2999" s="565"/>
      <c r="DKG2999" s="125"/>
      <c r="DKH2999" s="470"/>
      <c r="DKI2999" s="449"/>
      <c r="DKJ2999" s="462"/>
      <c r="DKK2999" s="299"/>
      <c r="DKL2999" s="81"/>
      <c r="DKM2999" s="160"/>
      <c r="DKN2999" s="565"/>
      <c r="DKO2999" s="125"/>
      <c r="DKP2999" s="470"/>
      <c r="DKQ2999" s="449"/>
      <c r="DKR2999" s="462"/>
      <c r="DKS2999" s="299"/>
      <c r="DKT2999" s="81"/>
      <c r="DKU2999" s="160"/>
      <c r="DKV2999" s="565"/>
      <c r="DKW2999" s="125"/>
      <c r="DKX2999" s="470"/>
      <c r="DKY2999" s="449"/>
      <c r="DKZ2999" s="462"/>
      <c r="DLA2999" s="299"/>
      <c r="DLB2999" s="81"/>
      <c r="DLC2999" s="160"/>
      <c r="DLD2999" s="565"/>
      <c r="DLE2999" s="125"/>
      <c r="DLF2999" s="470"/>
      <c r="DLG2999" s="449"/>
      <c r="DLH2999" s="462"/>
      <c r="DLI2999" s="299"/>
      <c r="DLJ2999" s="81"/>
      <c r="DLK2999" s="160"/>
      <c r="DLL2999" s="565"/>
      <c r="DLM2999" s="125"/>
      <c r="DLN2999" s="470"/>
      <c r="DLO2999" s="449"/>
      <c r="DLP2999" s="462"/>
      <c r="DLQ2999" s="299"/>
      <c r="DLR2999" s="81"/>
      <c r="DLS2999" s="160"/>
      <c r="DLT2999" s="565"/>
      <c r="DLU2999" s="125"/>
      <c r="DLV2999" s="470"/>
      <c r="DLW2999" s="449"/>
      <c r="DLX2999" s="462"/>
      <c r="DLY2999" s="299"/>
      <c r="DLZ2999" s="81"/>
      <c r="DMA2999" s="160"/>
      <c r="DMB2999" s="565"/>
      <c r="DMC2999" s="125"/>
      <c r="DMD2999" s="470"/>
      <c r="DME2999" s="449"/>
      <c r="DMF2999" s="462"/>
      <c r="DMG2999" s="299"/>
      <c r="DMH2999" s="81"/>
      <c r="DMI2999" s="160"/>
      <c r="DMJ2999" s="565"/>
      <c r="DMK2999" s="125"/>
      <c r="DML2999" s="470"/>
      <c r="DMM2999" s="449"/>
      <c r="DMN2999" s="462"/>
      <c r="DMO2999" s="299"/>
      <c r="DMP2999" s="81"/>
      <c r="DMQ2999" s="160"/>
      <c r="DMR2999" s="565"/>
      <c r="DMS2999" s="125"/>
      <c r="DMT2999" s="470"/>
      <c r="DMU2999" s="449"/>
      <c r="DMV2999" s="462"/>
      <c r="DMW2999" s="299"/>
      <c r="DMX2999" s="81"/>
      <c r="DMY2999" s="160"/>
      <c r="DMZ2999" s="565"/>
      <c r="DNA2999" s="125"/>
      <c r="DNB2999" s="470"/>
      <c r="DNC2999" s="449"/>
      <c r="DND2999" s="462"/>
      <c r="DNE2999" s="299"/>
      <c r="DNF2999" s="81"/>
      <c r="DNG2999" s="160"/>
      <c r="DNH2999" s="565"/>
      <c r="DNI2999" s="125"/>
      <c r="DNJ2999" s="470"/>
      <c r="DNK2999" s="449"/>
      <c r="DNL2999" s="462"/>
      <c r="DNM2999" s="299"/>
      <c r="DNN2999" s="81"/>
      <c r="DNO2999" s="160"/>
      <c r="DNP2999" s="565"/>
      <c r="DNQ2999" s="125"/>
      <c r="DNR2999" s="470"/>
      <c r="DNS2999" s="449"/>
      <c r="DNT2999" s="462"/>
      <c r="DNU2999" s="299"/>
      <c r="DNV2999" s="81"/>
      <c r="DNW2999" s="160"/>
      <c r="DNX2999" s="565"/>
      <c r="DNY2999" s="125"/>
      <c r="DNZ2999" s="470"/>
      <c r="DOA2999" s="449"/>
      <c r="DOB2999" s="462"/>
      <c r="DOC2999" s="299"/>
      <c r="DOD2999" s="81"/>
      <c r="DOE2999" s="160"/>
      <c r="DOF2999" s="565"/>
      <c r="DOG2999" s="125"/>
      <c r="DOH2999" s="470"/>
      <c r="DOI2999" s="449"/>
      <c r="DOJ2999" s="462"/>
      <c r="DOK2999" s="299"/>
      <c r="DOL2999" s="81"/>
      <c r="DOM2999" s="160"/>
      <c r="DON2999" s="565"/>
      <c r="DOO2999" s="125"/>
      <c r="DOP2999" s="470"/>
      <c r="DOQ2999" s="449"/>
      <c r="DOR2999" s="462"/>
      <c r="DOS2999" s="299"/>
      <c r="DOT2999" s="81"/>
      <c r="DOU2999" s="160"/>
      <c r="DOV2999" s="565"/>
      <c r="DOW2999" s="125"/>
      <c r="DOX2999" s="470"/>
      <c r="DOY2999" s="449"/>
      <c r="DOZ2999" s="462"/>
      <c r="DPA2999" s="299"/>
      <c r="DPB2999" s="81"/>
      <c r="DPC2999" s="160"/>
      <c r="DPD2999" s="565"/>
      <c r="DPE2999" s="125"/>
      <c r="DPF2999" s="470"/>
      <c r="DPG2999" s="449"/>
      <c r="DPH2999" s="462"/>
      <c r="DPI2999" s="299"/>
      <c r="DPJ2999" s="81"/>
      <c r="DPK2999" s="160"/>
      <c r="DPL2999" s="565"/>
      <c r="DPM2999" s="125"/>
      <c r="DPN2999" s="470"/>
      <c r="DPO2999" s="449"/>
      <c r="DPP2999" s="462"/>
      <c r="DPQ2999" s="299"/>
      <c r="DPR2999" s="81"/>
      <c r="DPS2999" s="160"/>
      <c r="DPT2999" s="565"/>
      <c r="DPU2999" s="125"/>
      <c r="DPV2999" s="470"/>
      <c r="DPW2999" s="449"/>
      <c r="DPX2999" s="462"/>
      <c r="DPY2999" s="299"/>
      <c r="DPZ2999" s="81"/>
      <c r="DQA2999" s="160"/>
      <c r="DQB2999" s="565"/>
      <c r="DQC2999" s="125"/>
      <c r="DQD2999" s="470"/>
      <c r="DQE2999" s="449"/>
      <c r="DQF2999" s="462"/>
      <c r="DQG2999" s="299"/>
      <c r="DQH2999" s="81"/>
      <c r="DQI2999" s="160"/>
      <c r="DQJ2999" s="565"/>
      <c r="DQK2999" s="125"/>
      <c r="DQL2999" s="470"/>
      <c r="DQM2999" s="449"/>
      <c r="DQN2999" s="462"/>
      <c r="DQO2999" s="299"/>
      <c r="DQP2999" s="81"/>
      <c r="DQQ2999" s="160"/>
      <c r="DQR2999" s="565"/>
      <c r="DQS2999" s="125"/>
      <c r="DQT2999" s="470"/>
      <c r="DQU2999" s="449"/>
      <c r="DQV2999" s="462"/>
      <c r="DQW2999" s="299"/>
      <c r="DQX2999" s="81"/>
      <c r="DQY2999" s="160"/>
      <c r="DQZ2999" s="565"/>
      <c r="DRA2999" s="125"/>
      <c r="DRB2999" s="470"/>
      <c r="DRC2999" s="449"/>
      <c r="DRD2999" s="462"/>
      <c r="DRE2999" s="299"/>
      <c r="DRF2999" s="81"/>
      <c r="DRG2999" s="160"/>
      <c r="DRH2999" s="565"/>
      <c r="DRI2999" s="125"/>
      <c r="DRJ2999" s="470"/>
      <c r="DRK2999" s="449"/>
      <c r="DRL2999" s="462"/>
      <c r="DRM2999" s="299"/>
      <c r="DRN2999" s="81"/>
      <c r="DRO2999" s="160"/>
      <c r="DRP2999" s="565"/>
      <c r="DRQ2999" s="125"/>
      <c r="DRR2999" s="470"/>
      <c r="DRS2999" s="449"/>
      <c r="DRT2999" s="462"/>
      <c r="DRU2999" s="299"/>
      <c r="DRV2999" s="81"/>
      <c r="DRW2999" s="160"/>
      <c r="DRX2999" s="565"/>
      <c r="DRY2999" s="125"/>
      <c r="DRZ2999" s="470"/>
      <c r="DSA2999" s="449"/>
      <c r="DSB2999" s="462"/>
      <c r="DSC2999" s="299"/>
      <c r="DSD2999" s="81"/>
      <c r="DSE2999" s="160"/>
      <c r="DSF2999" s="565"/>
      <c r="DSG2999" s="125"/>
      <c r="DSH2999" s="470"/>
      <c r="DSI2999" s="449"/>
      <c r="DSJ2999" s="462"/>
      <c r="DSK2999" s="299"/>
      <c r="DSL2999" s="81"/>
      <c r="DSM2999" s="160"/>
      <c r="DSN2999" s="565"/>
      <c r="DSO2999" s="125"/>
      <c r="DSP2999" s="470"/>
      <c r="DSQ2999" s="449"/>
      <c r="DSR2999" s="462"/>
      <c r="DSS2999" s="299"/>
      <c r="DST2999" s="81"/>
      <c r="DSU2999" s="160"/>
      <c r="DSV2999" s="565"/>
      <c r="DSW2999" s="125"/>
      <c r="DSX2999" s="470"/>
      <c r="DSY2999" s="449"/>
      <c r="DSZ2999" s="462"/>
      <c r="DTA2999" s="299"/>
      <c r="DTB2999" s="81"/>
      <c r="DTC2999" s="160"/>
      <c r="DTD2999" s="565"/>
      <c r="DTE2999" s="125"/>
      <c r="DTF2999" s="470"/>
      <c r="DTG2999" s="449"/>
      <c r="DTH2999" s="462"/>
      <c r="DTI2999" s="299"/>
      <c r="DTJ2999" s="81"/>
      <c r="DTK2999" s="160"/>
      <c r="DTL2999" s="565"/>
      <c r="DTM2999" s="125"/>
      <c r="DTN2999" s="470"/>
      <c r="DTO2999" s="449"/>
      <c r="DTP2999" s="462"/>
      <c r="DTQ2999" s="299"/>
      <c r="DTR2999" s="81"/>
      <c r="DTS2999" s="160"/>
      <c r="DTT2999" s="565"/>
      <c r="DTU2999" s="125"/>
      <c r="DTV2999" s="470"/>
      <c r="DTW2999" s="449"/>
      <c r="DTX2999" s="462"/>
      <c r="DTY2999" s="299"/>
      <c r="DTZ2999" s="81"/>
      <c r="DUA2999" s="160"/>
      <c r="DUB2999" s="565"/>
      <c r="DUC2999" s="125"/>
      <c r="DUD2999" s="470"/>
      <c r="DUE2999" s="449"/>
      <c r="DUF2999" s="462"/>
      <c r="DUG2999" s="299"/>
      <c r="DUH2999" s="81"/>
      <c r="DUI2999" s="160"/>
      <c r="DUJ2999" s="565"/>
      <c r="DUK2999" s="125"/>
      <c r="DUL2999" s="470"/>
      <c r="DUM2999" s="449"/>
      <c r="DUN2999" s="462"/>
      <c r="DUO2999" s="299"/>
      <c r="DUP2999" s="81"/>
      <c r="DUQ2999" s="160"/>
      <c r="DUR2999" s="565"/>
      <c r="DUS2999" s="125"/>
      <c r="DUT2999" s="470"/>
      <c r="DUU2999" s="449"/>
      <c r="DUV2999" s="462"/>
      <c r="DUW2999" s="299"/>
      <c r="DUX2999" s="81"/>
      <c r="DUY2999" s="160"/>
      <c r="DUZ2999" s="565"/>
      <c r="DVA2999" s="125"/>
      <c r="DVB2999" s="470"/>
      <c r="DVC2999" s="449"/>
      <c r="DVD2999" s="462"/>
      <c r="DVE2999" s="299"/>
      <c r="DVF2999" s="81"/>
      <c r="DVG2999" s="160"/>
      <c r="DVH2999" s="565"/>
      <c r="DVI2999" s="125"/>
      <c r="DVJ2999" s="470"/>
      <c r="DVK2999" s="449"/>
      <c r="DVL2999" s="462"/>
      <c r="DVM2999" s="299"/>
      <c r="DVN2999" s="81"/>
      <c r="DVO2999" s="160"/>
      <c r="DVP2999" s="565"/>
      <c r="DVQ2999" s="125"/>
      <c r="DVR2999" s="470"/>
      <c r="DVS2999" s="449"/>
      <c r="DVT2999" s="462"/>
      <c r="DVU2999" s="299"/>
      <c r="DVV2999" s="81"/>
      <c r="DVW2999" s="160"/>
      <c r="DVX2999" s="565"/>
      <c r="DVY2999" s="125"/>
      <c r="DVZ2999" s="470"/>
      <c r="DWA2999" s="449"/>
      <c r="DWB2999" s="462"/>
      <c r="DWC2999" s="299"/>
      <c r="DWD2999" s="81"/>
      <c r="DWE2999" s="160"/>
      <c r="DWF2999" s="565"/>
      <c r="DWG2999" s="125"/>
      <c r="DWH2999" s="470"/>
      <c r="DWI2999" s="449"/>
      <c r="DWJ2999" s="462"/>
      <c r="DWK2999" s="299"/>
      <c r="DWL2999" s="81"/>
      <c r="DWM2999" s="160"/>
      <c r="DWN2999" s="565"/>
      <c r="DWO2999" s="125"/>
      <c r="DWP2999" s="470"/>
      <c r="DWQ2999" s="449"/>
      <c r="DWR2999" s="462"/>
      <c r="DWS2999" s="299"/>
      <c r="DWT2999" s="81"/>
      <c r="DWU2999" s="160"/>
      <c r="DWV2999" s="565"/>
      <c r="DWW2999" s="125"/>
      <c r="DWX2999" s="470"/>
      <c r="DWY2999" s="449"/>
      <c r="DWZ2999" s="462"/>
      <c r="DXA2999" s="299"/>
      <c r="DXB2999" s="81"/>
      <c r="DXC2999" s="160"/>
      <c r="DXD2999" s="565"/>
      <c r="DXE2999" s="125"/>
      <c r="DXF2999" s="470"/>
      <c r="DXG2999" s="449"/>
      <c r="DXH2999" s="462"/>
      <c r="DXI2999" s="299"/>
      <c r="DXJ2999" s="81"/>
      <c r="DXK2999" s="160"/>
      <c r="DXL2999" s="565"/>
      <c r="DXM2999" s="125"/>
      <c r="DXN2999" s="470"/>
      <c r="DXO2999" s="449"/>
      <c r="DXP2999" s="462"/>
      <c r="DXQ2999" s="299"/>
      <c r="DXR2999" s="81"/>
      <c r="DXS2999" s="160"/>
      <c r="DXT2999" s="565"/>
      <c r="DXU2999" s="125"/>
      <c r="DXV2999" s="470"/>
      <c r="DXW2999" s="449"/>
      <c r="DXX2999" s="462"/>
      <c r="DXY2999" s="299"/>
      <c r="DXZ2999" s="81"/>
      <c r="DYA2999" s="160"/>
      <c r="DYB2999" s="565"/>
      <c r="DYC2999" s="125"/>
      <c r="DYD2999" s="470"/>
      <c r="DYE2999" s="449"/>
      <c r="DYF2999" s="462"/>
      <c r="DYG2999" s="299"/>
      <c r="DYH2999" s="81"/>
      <c r="DYI2999" s="160"/>
      <c r="DYJ2999" s="565"/>
      <c r="DYK2999" s="125"/>
      <c r="DYL2999" s="470"/>
      <c r="DYM2999" s="449"/>
      <c r="DYN2999" s="462"/>
      <c r="DYO2999" s="299"/>
      <c r="DYP2999" s="81"/>
      <c r="DYQ2999" s="160"/>
      <c r="DYR2999" s="565"/>
      <c r="DYS2999" s="125"/>
      <c r="DYT2999" s="470"/>
      <c r="DYU2999" s="449"/>
      <c r="DYV2999" s="462"/>
      <c r="DYW2999" s="299"/>
      <c r="DYX2999" s="81"/>
      <c r="DYY2999" s="160"/>
      <c r="DYZ2999" s="565"/>
      <c r="DZA2999" s="125"/>
      <c r="DZB2999" s="470"/>
      <c r="DZC2999" s="449"/>
      <c r="DZD2999" s="462"/>
      <c r="DZE2999" s="299"/>
      <c r="DZF2999" s="81"/>
      <c r="DZG2999" s="160"/>
      <c r="DZH2999" s="565"/>
      <c r="DZI2999" s="125"/>
      <c r="DZJ2999" s="470"/>
      <c r="DZK2999" s="449"/>
      <c r="DZL2999" s="462"/>
      <c r="DZM2999" s="299"/>
      <c r="DZN2999" s="81"/>
      <c r="DZO2999" s="160"/>
      <c r="DZP2999" s="565"/>
      <c r="DZQ2999" s="125"/>
      <c r="DZR2999" s="470"/>
      <c r="DZS2999" s="449"/>
      <c r="DZT2999" s="462"/>
      <c r="DZU2999" s="299"/>
      <c r="DZV2999" s="81"/>
      <c r="DZW2999" s="160"/>
      <c r="DZX2999" s="565"/>
      <c r="DZY2999" s="125"/>
      <c r="DZZ2999" s="470"/>
      <c r="EAA2999" s="449"/>
      <c r="EAB2999" s="462"/>
      <c r="EAC2999" s="299"/>
      <c r="EAD2999" s="81"/>
      <c r="EAE2999" s="160"/>
      <c r="EAF2999" s="565"/>
      <c r="EAG2999" s="125"/>
      <c r="EAH2999" s="470"/>
      <c r="EAI2999" s="449"/>
      <c r="EAJ2999" s="462"/>
      <c r="EAK2999" s="299"/>
      <c r="EAL2999" s="81"/>
      <c r="EAM2999" s="160"/>
      <c r="EAN2999" s="565"/>
      <c r="EAO2999" s="125"/>
      <c r="EAP2999" s="470"/>
      <c r="EAQ2999" s="449"/>
      <c r="EAR2999" s="462"/>
      <c r="EAS2999" s="299"/>
      <c r="EAT2999" s="81"/>
      <c r="EAU2999" s="160"/>
      <c r="EAV2999" s="565"/>
      <c r="EAW2999" s="125"/>
      <c r="EAX2999" s="470"/>
      <c r="EAY2999" s="449"/>
      <c r="EAZ2999" s="462"/>
      <c r="EBA2999" s="299"/>
      <c r="EBB2999" s="81"/>
      <c r="EBC2999" s="160"/>
      <c r="EBD2999" s="565"/>
      <c r="EBE2999" s="125"/>
      <c r="EBF2999" s="470"/>
      <c r="EBG2999" s="449"/>
      <c r="EBH2999" s="462"/>
      <c r="EBI2999" s="299"/>
      <c r="EBJ2999" s="81"/>
      <c r="EBK2999" s="160"/>
      <c r="EBL2999" s="565"/>
      <c r="EBM2999" s="125"/>
      <c r="EBN2999" s="470"/>
      <c r="EBO2999" s="449"/>
      <c r="EBP2999" s="462"/>
      <c r="EBQ2999" s="299"/>
      <c r="EBR2999" s="81"/>
      <c r="EBS2999" s="160"/>
      <c r="EBT2999" s="565"/>
      <c r="EBU2999" s="125"/>
      <c r="EBV2999" s="470"/>
      <c r="EBW2999" s="449"/>
      <c r="EBX2999" s="462"/>
      <c r="EBY2999" s="299"/>
      <c r="EBZ2999" s="81"/>
      <c r="ECA2999" s="160"/>
      <c r="ECB2999" s="565"/>
      <c r="ECC2999" s="125"/>
      <c r="ECD2999" s="470"/>
      <c r="ECE2999" s="449"/>
      <c r="ECF2999" s="462"/>
      <c r="ECG2999" s="299"/>
      <c r="ECH2999" s="81"/>
      <c r="ECI2999" s="160"/>
      <c r="ECJ2999" s="565"/>
      <c r="ECK2999" s="125"/>
      <c r="ECL2999" s="470"/>
      <c r="ECM2999" s="449"/>
      <c r="ECN2999" s="462"/>
      <c r="ECO2999" s="299"/>
      <c r="ECP2999" s="81"/>
      <c r="ECQ2999" s="160"/>
      <c r="ECR2999" s="565"/>
      <c r="ECS2999" s="125"/>
      <c r="ECT2999" s="470"/>
      <c r="ECU2999" s="449"/>
      <c r="ECV2999" s="462"/>
      <c r="ECW2999" s="299"/>
      <c r="ECX2999" s="81"/>
      <c r="ECY2999" s="160"/>
      <c r="ECZ2999" s="565"/>
      <c r="EDA2999" s="125"/>
      <c r="EDB2999" s="470"/>
      <c r="EDC2999" s="449"/>
      <c r="EDD2999" s="462"/>
      <c r="EDE2999" s="299"/>
      <c r="EDF2999" s="81"/>
      <c r="EDG2999" s="160"/>
      <c r="EDH2999" s="565"/>
      <c r="EDI2999" s="125"/>
      <c r="EDJ2999" s="470"/>
      <c r="EDK2999" s="449"/>
      <c r="EDL2999" s="462"/>
      <c r="EDM2999" s="299"/>
      <c r="EDN2999" s="81"/>
      <c r="EDO2999" s="160"/>
      <c r="EDP2999" s="565"/>
      <c r="EDQ2999" s="125"/>
      <c r="EDR2999" s="470"/>
      <c r="EDS2999" s="449"/>
      <c r="EDT2999" s="462"/>
      <c r="EDU2999" s="299"/>
      <c r="EDV2999" s="81"/>
      <c r="EDW2999" s="160"/>
      <c r="EDX2999" s="565"/>
      <c r="EDY2999" s="125"/>
      <c r="EDZ2999" s="470"/>
      <c r="EEA2999" s="449"/>
      <c r="EEB2999" s="462"/>
      <c r="EEC2999" s="299"/>
      <c r="EED2999" s="81"/>
      <c r="EEE2999" s="160"/>
      <c r="EEF2999" s="565"/>
      <c r="EEG2999" s="125"/>
      <c r="EEH2999" s="470"/>
      <c r="EEI2999" s="449"/>
      <c r="EEJ2999" s="462"/>
      <c r="EEK2999" s="299"/>
      <c r="EEL2999" s="81"/>
      <c r="EEM2999" s="160"/>
      <c r="EEN2999" s="565"/>
      <c r="EEO2999" s="125"/>
      <c r="EEP2999" s="470"/>
      <c r="EEQ2999" s="449"/>
      <c r="EER2999" s="462"/>
      <c r="EES2999" s="299"/>
      <c r="EET2999" s="81"/>
      <c r="EEU2999" s="160"/>
      <c r="EEV2999" s="565"/>
      <c r="EEW2999" s="125"/>
      <c r="EEX2999" s="470"/>
      <c r="EEY2999" s="449"/>
      <c r="EEZ2999" s="462"/>
      <c r="EFA2999" s="299"/>
      <c r="EFB2999" s="81"/>
      <c r="EFC2999" s="160"/>
      <c r="EFD2999" s="565"/>
      <c r="EFE2999" s="125"/>
      <c r="EFF2999" s="470"/>
      <c r="EFG2999" s="449"/>
      <c r="EFH2999" s="462"/>
      <c r="EFI2999" s="299"/>
      <c r="EFJ2999" s="81"/>
      <c r="EFK2999" s="160"/>
      <c r="EFL2999" s="565"/>
      <c r="EFM2999" s="125"/>
      <c r="EFN2999" s="470"/>
      <c r="EFO2999" s="449"/>
      <c r="EFP2999" s="462"/>
      <c r="EFQ2999" s="299"/>
      <c r="EFR2999" s="81"/>
      <c r="EFS2999" s="160"/>
      <c r="EFT2999" s="565"/>
      <c r="EFU2999" s="125"/>
      <c r="EFV2999" s="470"/>
      <c r="EFW2999" s="449"/>
      <c r="EFX2999" s="462"/>
      <c r="EFY2999" s="299"/>
      <c r="EFZ2999" s="81"/>
      <c r="EGA2999" s="160"/>
      <c r="EGB2999" s="565"/>
      <c r="EGC2999" s="125"/>
      <c r="EGD2999" s="470"/>
      <c r="EGE2999" s="449"/>
      <c r="EGF2999" s="462"/>
      <c r="EGG2999" s="299"/>
      <c r="EGH2999" s="81"/>
      <c r="EGI2999" s="160"/>
      <c r="EGJ2999" s="565"/>
      <c r="EGK2999" s="125"/>
      <c r="EGL2999" s="470"/>
      <c r="EGM2999" s="449"/>
      <c r="EGN2999" s="462"/>
      <c r="EGO2999" s="299"/>
      <c r="EGP2999" s="81"/>
      <c r="EGQ2999" s="160"/>
      <c r="EGR2999" s="565"/>
      <c r="EGS2999" s="125"/>
      <c r="EGT2999" s="470"/>
      <c r="EGU2999" s="449"/>
      <c r="EGV2999" s="462"/>
      <c r="EGW2999" s="299"/>
      <c r="EGX2999" s="81"/>
      <c r="EGY2999" s="160"/>
      <c r="EGZ2999" s="565"/>
      <c r="EHA2999" s="125"/>
      <c r="EHB2999" s="470"/>
      <c r="EHC2999" s="449"/>
      <c r="EHD2999" s="462"/>
      <c r="EHE2999" s="299"/>
      <c r="EHF2999" s="81"/>
      <c r="EHG2999" s="160"/>
      <c r="EHH2999" s="565"/>
      <c r="EHI2999" s="125"/>
      <c r="EHJ2999" s="470"/>
      <c r="EHK2999" s="449"/>
      <c r="EHL2999" s="462"/>
      <c r="EHM2999" s="299"/>
      <c r="EHN2999" s="81"/>
      <c r="EHO2999" s="160"/>
      <c r="EHP2999" s="565"/>
      <c r="EHQ2999" s="125"/>
      <c r="EHR2999" s="470"/>
      <c r="EHS2999" s="449"/>
      <c r="EHT2999" s="462"/>
      <c r="EHU2999" s="299"/>
      <c r="EHV2999" s="81"/>
      <c r="EHW2999" s="160"/>
      <c r="EHX2999" s="565"/>
      <c r="EHY2999" s="125"/>
      <c r="EHZ2999" s="470"/>
      <c r="EIA2999" s="449"/>
      <c r="EIB2999" s="462"/>
      <c r="EIC2999" s="299"/>
      <c r="EID2999" s="81"/>
      <c r="EIE2999" s="160"/>
      <c r="EIF2999" s="565"/>
      <c r="EIG2999" s="125"/>
      <c r="EIH2999" s="470"/>
      <c r="EII2999" s="449"/>
      <c r="EIJ2999" s="462"/>
      <c r="EIK2999" s="299"/>
      <c r="EIL2999" s="81"/>
      <c r="EIM2999" s="160"/>
      <c r="EIN2999" s="565"/>
      <c r="EIO2999" s="125"/>
      <c r="EIP2999" s="470"/>
      <c r="EIQ2999" s="449"/>
      <c r="EIR2999" s="462"/>
      <c r="EIS2999" s="299"/>
      <c r="EIT2999" s="81"/>
      <c r="EIU2999" s="160"/>
      <c r="EIV2999" s="565"/>
      <c r="EIW2999" s="125"/>
      <c r="EIX2999" s="470"/>
      <c r="EIY2999" s="449"/>
      <c r="EIZ2999" s="462"/>
      <c r="EJA2999" s="299"/>
      <c r="EJB2999" s="81"/>
      <c r="EJC2999" s="160"/>
      <c r="EJD2999" s="565"/>
      <c r="EJE2999" s="125"/>
      <c r="EJF2999" s="470"/>
      <c r="EJG2999" s="449"/>
      <c r="EJH2999" s="462"/>
      <c r="EJI2999" s="299"/>
      <c r="EJJ2999" s="81"/>
      <c r="EJK2999" s="160"/>
      <c r="EJL2999" s="565"/>
      <c r="EJM2999" s="125"/>
      <c r="EJN2999" s="470"/>
      <c r="EJO2999" s="449"/>
      <c r="EJP2999" s="462"/>
      <c r="EJQ2999" s="299"/>
      <c r="EJR2999" s="81"/>
      <c r="EJS2999" s="160"/>
      <c r="EJT2999" s="565"/>
      <c r="EJU2999" s="125"/>
      <c r="EJV2999" s="470"/>
      <c r="EJW2999" s="449"/>
      <c r="EJX2999" s="462"/>
      <c r="EJY2999" s="299"/>
      <c r="EJZ2999" s="81"/>
      <c r="EKA2999" s="160"/>
      <c r="EKB2999" s="565"/>
      <c r="EKC2999" s="125"/>
      <c r="EKD2999" s="470"/>
      <c r="EKE2999" s="449"/>
      <c r="EKF2999" s="462"/>
      <c r="EKG2999" s="299"/>
      <c r="EKH2999" s="81"/>
      <c r="EKI2999" s="160"/>
      <c r="EKJ2999" s="565"/>
      <c r="EKK2999" s="125"/>
      <c r="EKL2999" s="470"/>
      <c r="EKM2999" s="449"/>
      <c r="EKN2999" s="462"/>
      <c r="EKO2999" s="299"/>
      <c r="EKP2999" s="81"/>
      <c r="EKQ2999" s="160"/>
      <c r="EKR2999" s="565"/>
      <c r="EKS2999" s="125"/>
      <c r="EKT2999" s="470"/>
      <c r="EKU2999" s="449"/>
      <c r="EKV2999" s="462"/>
      <c r="EKW2999" s="299"/>
      <c r="EKX2999" s="81"/>
      <c r="EKY2999" s="160"/>
      <c r="EKZ2999" s="565"/>
      <c r="ELA2999" s="125"/>
      <c r="ELB2999" s="470"/>
      <c r="ELC2999" s="449"/>
      <c r="ELD2999" s="462"/>
      <c r="ELE2999" s="299"/>
      <c r="ELF2999" s="81"/>
      <c r="ELG2999" s="160"/>
      <c r="ELH2999" s="565"/>
      <c r="ELI2999" s="125"/>
      <c r="ELJ2999" s="470"/>
      <c r="ELK2999" s="449"/>
      <c r="ELL2999" s="462"/>
      <c r="ELM2999" s="299"/>
      <c r="ELN2999" s="81"/>
      <c r="ELO2999" s="160"/>
      <c r="ELP2999" s="565"/>
      <c r="ELQ2999" s="125"/>
      <c r="ELR2999" s="470"/>
      <c r="ELS2999" s="449"/>
      <c r="ELT2999" s="462"/>
      <c r="ELU2999" s="299"/>
      <c r="ELV2999" s="81"/>
      <c r="ELW2999" s="160"/>
      <c r="ELX2999" s="565"/>
      <c r="ELY2999" s="125"/>
      <c r="ELZ2999" s="470"/>
      <c r="EMA2999" s="449"/>
      <c r="EMB2999" s="462"/>
      <c r="EMC2999" s="299"/>
      <c r="EMD2999" s="81"/>
      <c r="EME2999" s="160"/>
      <c r="EMF2999" s="565"/>
      <c r="EMG2999" s="125"/>
      <c r="EMH2999" s="470"/>
      <c r="EMI2999" s="449"/>
      <c r="EMJ2999" s="462"/>
      <c r="EMK2999" s="299"/>
      <c r="EML2999" s="81"/>
      <c r="EMM2999" s="160"/>
      <c r="EMN2999" s="565"/>
      <c r="EMO2999" s="125"/>
      <c r="EMP2999" s="470"/>
      <c r="EMQ2999" s="449"/>
      <c r="EMR2999" s="462"/>
      <c r="EMS2999" s="299"/>
      <c r="EMT2999" s="81"/>
      <c r="EMU2999" s="160"/>
      <c r="EMV2999" s="565"/>
      <c r="EMW2999" s="125"/>
      <c r="EMX2999" s="470"/>
      <c r="EMY2999" s="449"/>
      <c r="EMZ2999" s="462"/>
      <c r="ENA2999" s="299"/>
      <c r="ENB2999" s="81"/>
      <c r="ENC2999" s="160"/>
      <c r="END2999" s="565"/>
      <c r="ENE2999" s="125"/>
      <c r="ENF2999" s="470"/>
      <c r="ENG2999" s="449"/>
      <c r="ENH2999" s="462"/>
      <c r="ENI2999" s="299"/>
      <c r="ENJ2999" s="81"/>
      <c r="ENK2999" s="160"/>
      <c r="ENL2999" s="565"/>
      <c r="ENM2999" s="125"/>
      <c r="ENN2999" s="470"/>
      <c r="ENO2999" s="449"/>
      <c r="ENP2999" s="462"/>
      <c r="ENQ2999" s="299"/>
      <c r="ENR2999" s="81"/>
      <c r="ENS2999" s="160"/>
      <c r="ENT2999" s="565"/>
      <c r="ENU2999" s="125"/>
      <c r="ENV2999" s="470"/>
      <c r="ENW2999" s="449"/>
      <c r="ENX2999" s="462"/>
      <c r="ENY2999" s="299"/>
      <c r="ENZ2999" s="81"/>
      <c r="EOA2999" s="160"/>
      <c r="EOB2999" s="565"/>
      <c r="EOC2999" s="125"/>
      <c r="EOD2999" s="470"/>
      <c r="EOE2999" s="449"/>
      <c r="EOF2999" s="462"/>
      <c r="EOG2999" s="299"/>
      <c r="EOH2999" s="81"/>
      <c r="EOI2999" s="160"/>
      <c r="EOJ2999" s="565"/>
      <c r="EOK2999" s="125"/>
      <c r="EOL2999" s="470"/>
      <c r="EOM2999" s="449"/>
      <c r="EON2999" s="462"/>
      <c r="EOO2999" s="299"/>
      <c r="EOP2999" s="81"/>
      <c r="EOQ2999" s="160"/>
      <c r="EOR2999" s="565"/>
      <c r="EOS2999" s="125"/>
      <c r="EOT2999" s="470"/>
      <c r="EOU2999" s="449"/>
      <c r="EOV2999" s="462"/>
      <c r="EOW2999" s="299"/>
      <c r="EOX2999" s="81"/>
      <c r="EOY2999" s="160"/>
      <c r="EOZ2999" s="565"/>
      <c r="EPA2999" s="125"/>
      <c r="EPB2999" s="470"/>
      <c r="EPC2999" s="449"/>
      <c r="EPD2999" s="462"/>
      <c r="EPE2999" s="299"/>
      <c r="EPF2999" s="81"/>
      <c r="EPG2999" s="160"/>
      <c r="EPH2999" s="565"/>
      <c r="EPI2999" s="125"/>
      <c r="EPJ2999" s="470"/>
      <c r="EPK2999" s="449"/>
      <c r="EPL2999" s="462"/>
      <c r="EPM2999" s="299"/>
      <c r="EPN2999" s="81"/>
      <c r="EPO2999" s="160"/>
      <c r="EPP2999" s="565"/>
      <c r="EPQ2999" s="125"/>
      <c r="EPR2999" s="470"/>
      <c r="EPS2999" s="449"/>
      <c r="EPT2999" s="462"/>
      <c r="EPU2999" s="299"/>
      <c r="EPV2999" s="81"/>
      <c r="EPW2999" s="160"/>
      <c r="EPX2999" s="565"/>
      <c r="EPY2999" s="125"/>
      <c r="EPZ2999" s="470"/>
      <c r="EQA2999" s="449"/>
      <c r="EQB2999" s="462"/>
      <c r="EQC2999" s="299"/>
      <c r="EQD2999" s="81"/>
      <c r="EQE2999" s="160"/>
      <c r="EQF2999" s="565"/>
      <c r="EQG2999" s="125"/>
      <c r="EQH2999" s="470"/>
      <c r="EQI2999" s="449"/>
      <c r="EQJ2999" s="462"/>
      <c r="EQK2999" s="299"/>
      <c r="EQL2999" s="81"/>
      <c r="EQM2999" s="160"/>
      <c r="EQN2999" s="565"/>
      <c r="EQO2999" s="125"/>
      <c r="EQP2999" s="470"/>
      <c r="EQQ2999" s="449"/>
      <c r="EQR2999" s="462"/>
      <c r="EQS2999" s="299"/>
      <c r="EQT2999" s="81"/>
      <c r="EQU2999" s="160"/>
      <c r="EQV2999" s="565"/>
      <c r="EQW2999" s="125"/>
      <c r="EQX2999" s="470"/>
      <c r="EQY2999" s="449"/>
      <c r="EQZ2999" s="462"/>
      <c r="ERA2999" s="299"/>
      <c r="ERB2999" s="81"/>
      <c r="ERC2999" s="160"/>
      <c r="ERD2999" s="565"/>
      <c r="ERE2999" s="125"/>
      <c r="ERF2999" s="470"/>
      <c r="ERG2999" s="449"/>
      <c r="ERH2999" s="462"/>
      <c r="ERI2999" s="299"/>
      <c r="ERJ2999" s="81"/>
      <c r="ERK2999" s="160"/>
      <c r="ERL2999" s="565"/>
      <c r="ERM2999" s="125"/>
      <c r="ERN2999" s="470"/>
      <c r="ERO2999" s="449"/>
      <c r="ERP2999" s="462"/>
      <c r="ERQ2999" s="299"/>
      <c r="ERR2999" s="81"/>
      <c r="ERS2999" s="160"/>
      <c r="ERT2999" s="565"/>
      <c r="ERU2999" s="125"/>
      <c r="ERV2999" s="470"/>
      <c r="ERW2999" s="449"/>
      <c r="ERX2999" s="462"/>
      <c r="ERY2999" s="299"/>
      <c r="ERZ2999" s="81"/>
      <c r="ESA2999" s="160"/>
      <c r="ESB2999" s="565"/>
      <c r="ESC2999" s="125"/>
      <c r="ESD2999" s="470"/>
      <c r="ESE2999" s="449"/>
      <c r="ESF2999" s="462"/>
      <c r="ESG2999" s="299"/>
      <c r="ESH2999" s="81"/>
      <c r="ESI2999" s="160"/>
      <c r="ESJ2999" s="565"/>
      <c r="ESK2999" s="125"/>
      <c r="ESL2999" s="470"/>
      <c r="ESM2999" s="449"/>
      <c r="ESN2999" s="462"/>
      <c r="ESO2999" s="299"/>
      <c r="ESP2999" s="81"/>
      <c r="ESQ2999" s="160"/>
      <c r="ESR2999" s="565"/>
      <c r="ESS2999" s="125"/>
      <c r="EST2999" s="470"/>
      <c r="ESU2999" s="449"/>
      <c r="ESV2999" s="462"/>
      <c r="ESW2999" s="299"/>
      <c r="ESX2999" s="81"/>
      <c r="ESY2999" s="160"/>
      <c r="ESZ2999" s="565"/>
      <c r="ETA2999" s="125"/>
      <c r="ETB2999" s="470"/>
      <c r="ETC2999" s="449"/>
      <c r="ETD2999" s="462"/>
      <c r="ETE2999" s="299"/>
      <c r="ETF2999" s="81"/>
      <c r="ETG2999" s="160"/>
      <c r="ETH2999" s="565"/>
      <c r="ETI2999" s="125"/>
      <c r="ETJ2999" s="470"/>
      <c r="ETK2999" s="449"/>
      <c r="ETL2999" s="462"/>
      <c r="ETM2999" s="299"/>
      <c r="ETN2999" s="81"/>
      <c r="ETO2999" s="160"/>
      <c r="ETP2999" s="565"/>
      <c r="ETQ2999" s="125"/>
      <c r="ETR2999" s="470"/>
      <c r="ETS2999" s="449"/>
      <c r="ETT2999" s="462"/>
      <c r="ETU2999" s="299"/>
      <c r="ETV2999" s="81"/>
      <c r="ETW2999" s="160"/>
      <c r="ETX2999" s="565"/>
      <c r="ETY2999" s="125"/>
      <c r="ETZ2999" s="470"/>
      <c r="EUA2999" s="449"/>
      <c r="EUB2999" s="462"/>
      <c r="EUC2999" s="299"/>
      <c r="EUD2999" s="81"/>
      <c r="EUE2999" s="160"/>
      <c r="EUF2999" s="565"/>
      <c r="EUG2999" s="125"/>
      <c r="EUH2999" s="470"/>
      <c r="EUI2999" s="449"/>
      <c r="EUJ2999" s="462"/>
      <c r="EUK2999" s="299"/>
      <c r="EUL2999" s="81"/>
      <c r="EUM2999" s="160"/>
      <c r="EUN2999" s="565"/>
      <c r="EUO2999" s="125"/>
      <c r="EUP2999" s="470"/>
      <c r="EUQ2999" s="449"/>
      <c r="EUR2999" s="462"/>
      <c r="EUS2999" s="299"/>
      <c r="EUT2999" s="81"/>
      <c r="EUU2999" s="160"/>
      <c r="EUV2999" s="565"/>
      <c r="EUW2999" s="125"/>
      <c r="EUX2999" s="470"/>
      <c r="EUY2999" s="449"/>
      <c r="EUZ2999" s="462"/>
      <c r="EVA2999" s="299"/>
      <c r="EVB2999" s="81"/>
      <c r="EVC2999" s="160"/>
      <c r="EVD2999" s="565"/>
      <c r="EVE2999" s="125"/>
      <c r="EVF2999" s="470"/>
      <c r="EVG2999" s="449"/>
      <c r="EVH2999" s="462"/>
      <c r="EVI2999" s="299"/>
      <c r="EVJ2999" s="81"/>
      <c r="EVK2999" s="160"/>
      <c r="EVL2999" s="565"/>
      <c r="EVM2999" s="125"/>
      <c r="EVN2999" s="470"/>
      <c r="EVO2999" s="449"/>
      <c r="EVP2999" s="462"/>
      <c r="EVQ2999" s="299"/>
      <c r="EVR2999" s="81"/>
      <c r="EVS2999" s="160"/>
      <c r="EVT2999" s="565"/>
      <c r="EVU2999" s="125"/>
      <c r="EVV2999" s="470"/>
      <c r="EVW2999" s="449"/>
      <c r="EVX2999" s="462"/>
      <c r="EVY2999" s="299"/>
      <c r="EVZ2999" s="81"/>
      <c r="EWA2999" s="160"/>
      <c r="EWB2999" s="565"/>
      <c r="EWC2999" s="125"/>
      <c r="EWD2999" s="470"/>
      <c r="EWE2999" s="449"/>
      <c r="EWF2999" s="462"/>
      <c r="EWG2999" s="299"/>
      <c r="EWH2999" s="81"/>
      <c r="EWI2999" s="160"/>
      <c r="EWJ2999" s="565"/>
      <c r="EWK2999" s="125"/>
      <c r="EWL2999" s="470"/>
      <c r="EWM2999" s="449"/>
      <c r="EWN2999" s="462"/>
      <c r="EWO2999" s="299"/>
      <c r="EWP2999" s="81"/>
      <c r="EWQ2999" s="160"/>
      <c r="EWR2999" s="565"/>
      <c r="EWS2999" s="125"/>
      <c r="EWT2999" s="470"/>
      <c r="EWU2999" s="449"/>
      <c r="EWV2999" s="462"/>
      <c r="EWW2999" s="299"/>
      <c r="EWX2999" s="81"/>
      <c r="EWY2999" s="160"/>
      <c r="EWZ2999" s="565"/>
      <c r="EXA2999" s="125"/>
      <c r="EXB2999" s="470"/>
      <c r="EXC2999" s="449"/>
      <c r="EXD2999" s="462"/>
      <c r="EXE2999" s="299"/>
      <c r="EXF2999" s="81"/>
      <c r="EXG2999" s="160"/>
      <c r="EXH2999" s="565"/>
      <c r="EXI2999" s="125"/>
      <c r="EXJ2999" s="470"/>
      <c r="EXK2999" s="449"/>
      <c r="EXL2999" s="462"/>
      <c r="EXM2999" s="299"/>
      <c r="EXN2999" s="81"/>
      <c r="EXO2999" s="160"/>
      <c r="EXP2999" s="565"/>
      <c r="EXQ2999" s="125"/>
      <c r="EXR2999" s="470"/>
      <c r="EXS2999" s="449"/>
      <c r="EXT2999" s="462"/>
      <c r="EXU2999" s="299"/>
      <c r="EXV2999" s="81"/>
      <c r="EXW2999" s="160"/>
      <c r="EXX2999" s="565"/>
      <c r="EXY2999" s="125"/>
      <c r="EXZ2999" s="470"/>
      <c r="EYA2999" s="449"/>
      <c r="EYB2999" s="462"/>
      <c r="EYC2999" s="299"/>
      <c r="EYD2999" s="81"/>
      <c r="EYE2999" s="160"/>
      <c r="EYF2999" s="565"/>
      <c r="EYG2999" s="125"/>
      <c r="EYH2999" s="470"/>
      <c r="EYI2999" s="449"/>
      <c r="EYJ2999" s="462"/>
      <c r="EYK2999" s="299"/>
      <c r="EYL2999" s="81"/>
      <c r="EYM2999" s="160"/>
      <c r="EYN2999" s="565"/>
      <c r="EYO2999" s="125"/>
      <c r="EYP2999" s="470"/>
      <c r="EYQ2999" s="449"/>
      <c r="EYR2999" s="462"/>
      <c r="EYS2999" s="299"/>
      <c r="EYT2999" s="81"/>
      <c r="EYU2999" s="160"/>
      <c r="EYV2999" s="565"/>
      <c r="EYW2999" s="125"/>
      <c r="EYX2999" s="470"/>
      <c r="EYY2999" s="449"/>
      <c r="EYZ2999" s="462"/>
      <c r="EZA2999" s="299"/>
      <c r="EZB2999" s="81"/>
      <c r="EZC2999" s="160"/>
      <c r="EZD2999" s="565"/>
      <c r="EZE2999" s="125"/>
      <c r="EZF2999" s="470"/>
      <c r="EZG2999" s="449"/>
      <c r="EZH2999" s="462"/>
      <c r="EZI2999" s="299"/>
      <c r="EZJ2999" s="81"/>
      <c r="EZK2999" s="160"/>
      <c r="EZL2999" s="565"/>
      <c r="EZM2999" s="125"/>
      <c r="EZN2999" s="470"/>
      <c r="EZO2999" s="449"/>
      <c r="EZP2999" s="462"/>
      <c r="EZQ2999" s="299"/>
      <c r="EZR2999" s="81"/>
      <c r="EZS2999" s="160"/>
      <c r="EZT2999" s="565"/>
      <c r="EZU2999" s="125"/>
      <c r="EZV2999" s="470"/>
      <c r="EZW2999" s="449"/>
      <c r="EZX2999" s="462"/>
      <c r="EZY2999" s="299"/>
      <c r="EZZ2999" s="81"/>
      <c r="FAA2999" s="160"/>
      <c r="FAB2999" s="565"/>
      <c r="FAC2999" s="125"/>
      <c r="FAD2999" s="470"/>
      <c r="FAE2999" s="449"/>
      <c r="FAF2999" s="462"/>
      <c r="FAG2999" s="299"/>
      <c r="FAH2999" s="81"/>
      <c r="FAI2999" s="160"/>
      <c r="FAJ2999" s="565"/>
      <c r="FAK2999" s="125"/>
      <c r="FAL2999" s="470"/>
      <c r="FAM2999" s="449"/>
      <c r="FAN2999" s="462"/>
      <c r="FAO2999" s="299"/>
      <c r="FAP2999" s="81"/>
      <c r="FAQ2999" s="160"/>
      <c r="FAR2999" s="565"/>
      <c r="FAS2999" s="125"/>
      <c r="FAT2999" s="470"/>
      <c r="FAU2999" s="449"/>
      <c r="FAV2999" s="462"/>
      <c r="FAW2999" s="299"/>
      <c r="FAX2999" s="81"/>
      <c r="FAY2999" s="160"/>
      <c r="FAZ2999" s="565"/>
      <c r="FBA2999" s="125"/>
      <c r="FBB2999" s="470"/>
      <c r="FBC2999" s="449"/>
      <c r="FBD2999" s="462"/>
      <c r="FBE2999" s="299"/>
      <c r="FBF2999" s="81"/>
      <c r="FBG2999" s="160"/>
      <c r="FBH2999" s="565"/>
      <c r="FBI2999" s="125"/>
      <c r="FBJ2999" s="470"/>
      <c r="FBK2999" s="449"/>
      <c r="FBL2999" s="462"/>
      <c r="FBM2999" s="299"/>
      <c r="FBN2999" s="81"/>
      <c r="FBO2999" s="160"/>
      <c r="FBP2999" s="565"/>
      <c r="FBQ2999" s="125"/>
      <c r="FBR2999" s="470"/>
      <c r="FBS2999" s="449"/>
      <c r="FBT2999" s="462"/>
      <c r="FBU2999" s="299"/>
      <c r="FBV2999" s="81"/>
      <c r="FBW2999" s="160"/>
      <c r="FBX2999" s="565"/>
      <c r="FBY2999" s="125"/>
      <c r="FBZ2999" s="470"/>
      <c r="FCA2999" s="449"/>
      <c r="FCB2999" s="462"/>
      <c r="FCC2999" s="299"/>
      <c r="FCD2999" s="81"/>
      <c r="FCE2999" s="160"/>
      <c r="FCF2999" s="565"/>
      <c r="FCG2999" s="125"/>
      <c r="FCH2999" s="470"/>
      <c r="FCI2999" s="449"/>
      <c r="FCJ2999" s="462"/>
      <c r="FCK2999" s="299"/>
      <c r="FCL2999" s="81"/>
      <c r="FCM2999" s="160"/>
      <c r="FCN2999" s="565"/>
      <c r="FCO2999" s="125"/>
      <c r="FCP2999" s="470"/>
      <c r="FCQ2999" s="449"/>
      <c r="FCR2999" s="462"/>
      <c r="FCS2999" s="299"/>
      <c r="FCT2999" s="81"/>
      <c r="FCU2999" s="160"/>
      <c r="FCV2999" s="565"/>
      <c r="FCW2999" s="125"/>
      <c r="FCX2999" s="470"/>
      <c r="FCY2999" s="449"/>
      <c r="FCZ2999" s="462"/>
      <c r="FDA2999" s="299"/>
      <c r="FDB2999" s="81"/>
      <c r="FDC2999" s="160"/>
      <c r="FDD2999" s="565"/>
      <c r="FDE2999" s="125"/>
      <c r="FDF2999" s="470"/>
      <c r="FDG2999" s="449"/>
      <c r="FDH2999" s="462"/>
      <c r="FDI2999" s="299"/>
      <c r="FDJ2999" s="81"/>
      <c r="FDK2999" s="160"/>
      <c r="FDL2999" s="565"/>
      <c r="FDM2999" s="125"/>
      <c r="FDN2999" s="470"/>
      <c r="FDO2999" s="449"/>
      <c r="FDP2999" s="462"/>
      <c r="FDQ2999" s="299"/>
      <c r="FDR2999" s="81"/>
      <c r="FDS2999" s="160"/>
      <c r="FDT2999" s="565"/>
      <c r="FDU2999" s="125"/>
      <c r="FDV2999" s="470"/>
      <c r="FDW2999" s="449"/>
      <c r="FDX2999" s="462"/>
      <c r="FDY2999" s="299"/>
      <c r="FDZ2999" s="81"/>
      <c r="FEA2999" s="160"/>
      <c r="FEB2999" s="565"/>
      <c r="FEC2999" s="125"/>
      <c r="FED2999" s="470"/>
      <c r="FEE2999" s="449"/>
      <c r="FEF2999" s="462"/>
      <c r="FEG2999" s="299"/>
      <c r="FEH2999" s="81"/>
      <c r="FEI2999" s="160"/>
      <c r="FEJ2999" s="565"/>
      <c r="FEK2999" s="125"/>
      <c r="FEL2999" s="470"/>
      <c r="FEM2999" s="449"/>
      <c r="FEN2999" s="462"/>
      <c r="FEO2999" s="299"/>
      <c r="FEP2999" s="81"/>
      <c r="FEQ2999" s="160"/>
      <c r="FER2999" s="565"/>
      <c r="FES2999" s="125"/>
      <c r="FET2999" s="470"/>
      <c r="FEU2999" s="449"/>
      <c r="FEV2999" s="462"/>
      <c r="FEW2999" s="299"/>
      <c r="FEX2999" s="81"/>
      <c r="FEY2999" s="160"/>
      <c r="FEZ2999" s="565"/>
      <c r="FFA2999" s="125"/>
      <c r="FFB2999" s="470"/>
      <c r="FFC2999" s="449"/>
      <c r="FFD2999" s="462"/>
      <c r="FFE2999" s="299"/>
      <c r="FFF2999" s="81"/>
      <c r="FFG2999" s="160"/>
      <c r="FFH2999" s="565"/>
      <c r="FFI2999" s="125"/>
      <c r="FFJ2999" s="470"/>
      <c r="FFK2999" s="449"/>
      <c r="FFL2999" s="462"/>
      <c r="FFM2999" s="299"/>
      <c r="FFN2999" s="81"/>
      <c r="FFO2999" s="160"/>
      <c r="FFP2999" s="565"/>
      <c r="FFQ2999" s="125"/>
      <c r="FFR2999" s="470"/>
      <c r="FFS2999" s="449"/>
      <c r="FFT2999" s="462"/>
      <c r="FFU2999" s="299"/>
      <c r="FFV2999" s="81"/>
      <c r="FFW2999" s="160"/>
      <c r="FFX2999" s="565"/>
      <c r="FFY2999" s="125"/>
      <c r="FFZ2999" s="470"/>
      <c r="FGA2999" s="449"/>
      <c r="FGB2999" s="462"/>
      <c r="FGC2999" s="299"/>
      <c r="FGD2999" s="81"/>
      <c r="FGE2999" s="160"/>
      <c r="FGF2999" s="565"/>
      <c r="FGG2999" s="125"/>
      <c r="FGH2999" s="470"/>
      <c r="FGI2999" s="449"/>
      <c r="FGJ2999" s="462"/>
      <c r="FGK2999" s="299"/>
      <c r="FGL2999" s="81"/>
      <c r="FGM2999" s="160"/>
      <c r="FGN2999" s="565"/>
      <c r="FGO2999" s="125"/>
      <c r="FGP2999" s="470"/>
      <c r="FGQ2999" s="449"/>
      <c r="FGR2999" s="462"/>
      <c r="FGS2999" s="299"/>
      <c r="FGT2999" s="81"/>
      <c r="FGU2999" s="160"/>
      <c r="FGV2999" s="565"/>
      <c r="FGW2999" s="125"/>
      <c r="FGX2999" s="470"/>
      <c r="FGY2999" s="449"/>
      <c r="FGZ2999" s="462"/>
      <c r="FHA2999" s="299"/>
      <c r="FHB2999" s="81"/>
      <c r="FHC2999" s="160"/>
      <c r="FHD2999" s="565"/>
      <c r="FHE2999" s="125"/>
      <c r="FHF2999" s="470"/>
      <c r="FHG2999" s="449"/>
      <c r="FHH2999" s="462"/>
      <c r="FHI2999" s="299"/>
      <c r="FHJ2999" s="81"/>
      <c r="FHK2999" s="160"/>
      <c r="FHL2999" s="565"/>
      <c r="FHM2999" s="125"/>
      <c r="FHN2999" s="470"/>
      <c r="FHO2999" s="449"/>
      <c r="FHP2999" s="462"/>
      <c r="FHQ2999" s="299"/>
      <c r="FHR2999" s="81"/>
      <c r="FHS2999" s="160"/>
      <c r="FHT2999" s="565"/>
      <c r="FHU2999" s="125"/>
      <c r="FHV2999" s="470"/>
      <c r="FHW2999" s="449"/>
      <c r="FHX2999" s="462"/>
      <c r="FHY2999" s="299"/>
      <c r="FHZ2999" s="81"/>
      <c r="FIA2999" s="160"/>
      <c r="FIB2999" s="565"/>
      <c r="FIC2999" s="125"/>
      <c r="FID2999" s="470"/>
      <c r="FIE2999" s="449"/>
      <c r="FIF2999" s="462"/>
      <c r="FIG2999" s="299"/>
      <c r="FIH2999" s="81"/>
      <c r="FII2999" s="160"/>
      <c r="FIJ2999" s="565"/>
      <c r="FIK2999" s="125"/>
      <c r="FIL2999" s="470"/>
      <c r="FIM2999" s="449"/>
      <c r="FIN2999" s="462"/>
      <c r="FIO2999" s="299"/>
      <c r="FIP2999" s="81"/>
      <c r="FIQ2999" s="160"/>
      <c r="FIR2999" s="565"/>
      <c r="FIS2999" s="125"/>
      <c r="FIT2999" s="470"/>
      <c r="FIU2999" s="449"/>
      <c r="FIV2999" s="462"/>
      <c r="FIW2999" s="299"/>
      <c r="FIX2999" s="81"/>
      <c r="FIY2999" s="160"/>
      <c r="FIZ2999" s="565"/>
      <c r="FJA2999" s="125"/>
      <c r="FJB2999" s="470"/>
      <c r="FJC2999" s="449"/>
      <c r="FJD2999" s="462"/>
      <c r="FJE2999" s="299"/>
      <c r="FJF2999" s="81"/>
      <c r="FJG2999" s="160"/>
      <c r="FJH2999" s="565"/>
      <c r="FJI2999" s="125"/>
      <c r="FJJ2999" s="470"/>
      <c r="FJK2999" s="449"/>
      <c r="FJL2999" s="462"/>
      <c r="FJM2999" s="299"/>
      <c r="FJN2999" s="81"/>
      <c r="FJO2999" s="160"/>
      <c r="FJP2999" s="565"/>
      <c r="FJQ2999" s="125"/>
      <c r="FJR2999" s="470"/>
      <c r="FJS2999" s="449"/>
      <c r="FJT2999" s="462"/>
      <c r="FJU2999" s="299"/>
      <c r="FJV2999" s="81"/>
      <c r="FJW2999" s="160"/>
      <c r="FJX2999" s="565"/>
      <c r="FJY2999" s="125"/>
      <c r="FJZ2999" s="470"/>
      <c r="FKA2999" s="449"/>
      <c r="FKB2999" s="462"/>
      <c r="FKC2999" s="299"/>
      <c r="FKD2999" s="81"/>
      <c r="FKE2999" s="160"/>
      <c r="FKF2999" s="565"/>
      <c r="FKG2999" s="125"/>
      <c r="FKH2999" s="470"/>
      <c r="FKI2999" s="449"/>
      <c r="FKJ2999" s="462"/>
      <c r="FKK2999" s="299"/>
      <c r="FKL2999" s="81"/>
      <c r="FKM2999" s="160"/>
      <c r="FKN2999" s="565"/>
      <c r="FKO2999" s="125"/>
      <c r="FKP2999" s="470"/>
      <c r="FKQ2999" s="449"/>
      <c r="FKR2999" s="462"/>
      <c r="FKS2999" s="299"/>
      <c r="FKT2999" s="81"/>
      <c r="FKU2999" s="160"/>
      <c r="FKV2999" s="565"/>
      <c r="FKW2999" s="125"/>
      <c r="FKX2999" s="470"/>
      <c r="FKY2999" s="449"/>
      <c r="FKZ2999" s="462"/>
      <c r="FLA2999" s="299"/>
      <c r="FLB2999" s="81"/>
      <c r="FLC2999" s="160"/>
      <c r="FLD2999" s="565"/>
      <c r="FLE2999" s="125"/>
      <c r="FLF2999" s="470"/>
      <c r="FLG2999" s="449"/>
      <c r="FLH2999" s="462"/>
      <c r="FLI2999" s="299"/>
      <c r="FLJ2999" s="81"/>
      <c r="FLK2999" s="160"/>
      <c r="FLL2999" s="565"/>
      <c r="FLM2999" s="125"/>
      <c r="FLN2999" s="470"/>
      <c r="FLO2999" s="449"/>
      <c r="FLP2999" s="462"/>
      <c r="FLQ2999" s="299"/>
      <c r="FLR2999" s="81"/>
      <c r="FLS2999" s="160"/>
      <c r="FLT2999" s="565"/>
      <c r="FLU2999" s="125"/>
      <c r="FLV2999" s="470"/>
      <c r="FLW2999" s="449"/>
      <c r="FLX2999" s="462"/>
      <c r="FLY2999" s="299"/>
      <c r="FLZ2999" s="81"/>
      <c r="FMA2999" s="160"/>
      <c r="FMB2999" s="565"/>
      <c r="FMC2999" s="125"/>
      <c r="FMD2999" s="470"/>
      <c r="FME2999" s="449"/>
      <c r="FMF2999" s="462"/>
      <c r="FMG2999" s="299"/>
      <c r="FMH2999" s="81"/>
      <c r="FMI2999" s="160"/>
      <c r="FMJ2999" s="565"/>
      <c r="FMK2999" s="125"/>
      <c r="FML2999" s="470"/>
      <c r="FMM2999" s="449"/>
      <c r="FMN2999" s="462"/>
      <c r="FMO2999" s="299"/>
      <c r="FMP2999" s="81"/>
      <c r="FMQ2999" s="160"/>
      <c r="FMR2999" s="565"/>
      <c r="FMS2999" s="125"/>
      <c r="FMT2999" s="470"/>
      <c r="FMU2999" s="449"/>
      <c r="FMV2999" s="462"/>
      <c r="FMW2999" s="299"/>
      <c r="FMX2999" s="81"/>
      <c r="FMY2999" s="160"/>
      <c r="FMZ2999" s="565"/>
      <c r="FNA2999" s="125"/>
      <c r="FNB2999" s="470"/>
      <c r="FNC2999" s="449"/>
      <c r="FND2999" s="462"/>
      <c r="FNE2999" s="299"/>
      <c r="FNF2999" s="81"/>
      <c r="FNG2999" s="160"/>
      <c r="FNH2999" s="565"/>
      <c r="FNI2999" s="125"/>
      <c r="FNJ2999" s="470"/>
      <c r="FNK2999" s="449"/>
      <c r="FNL2999" s="462"/>
      <c r="FNM2999" s="299"/>
      <c r="FNN2999" s="81"/>
      <c r="FNO2999" s="160"/>
      <c r="FNP2999" s="565"/>
      <c r="FNQ2999" s="125"/>
      <c r="FNR2999" s="470"/>
      <c r="FNS2999" s="449"/>
      <c r="FNT2999" s="462"/>
      <c r="FNU2999" s="299"/>
      <c r="FNV2999" s="81"/>
      <c r="FNW2999" s="160"/>
      <c r="FNX2999" s="565"/>
      <c r="FNY2999" s="125"/>
      <c r="FNZ2999" s="470"/>
      <c r="FOA2999" s="449"/>
      <c r="FOB2999" s="462"/>
      <c r="FOC2999" s="299"/>
      <c r="FOD2999" s="81"/>
      <c r="FOE2999" s="160"/>
      <c r="FOF2999" s="565"/>
      <c r="FOG2999" s="125"/>
      <c r="FOH2999" s="470"/>
      <c r="FOI2999" s="449"/>
      <c r="FOJ2999" s="462"/>
      <c r="FOK2999" s="299"/>
      <c r="FOL2999" s="81"/>
      <c r="FOM2999" s="160"/>
      <c r="FON2999" s="565"/>
      <c r="FOO2999" s="125"/>
      <c r="FOP2999" s="470"/>
      <c r="FOQ2999" s="449"/>
      <c r="FOR2999" s="462"/>
      <c r="FOS2999" s="299"/>
      <c r="FOT2999" s="81"/>
      <c r="FOU2999" s="160"/>
      <c r="FOV2999" s="565"/>
      <c r="FOW2999" s="125"/>
      <c r="FOX2999" s="470"/>
      <c r="FOY2999" s="449"/>
      <c r="FOZ2999" s="462"/>
      <c r="FPA2999" s="299"/>
      <c r="FPB2999" s="81"/>
      <c r="FPC2999" s="160"/>
      <c r="FPD2999" s="565"/>
      <c r="FPE2999" s="125"/>
      <c r="FPF2999" s="470"/>
      <c r="FPG2999" s="449"/>
      <c r="FPH2999" s="462"/>
      <c r="FPI2999" s="299"/>
      <c r="FPJ2999" s="81"/>
      <c r="FPK2999" s="160"/>
      <c r="FPL2999" s="565"/>
      <c r="FPM2999" s="125"/>
      <c r="FPN2999" s="470"/>
      <c r="FPO2999" s="449"/>
      <c r="FPP2999" s="462"/>
      <c r="FPQ2999" s="299"/>
      <c r="FPR2999" s="81"/>
      <c r="FPS2999" s="160"/>
      <c r="FPT2999" s="565"/>
      <c r="FPU2999" s="125"/>
      <c r="FPV2999" s="470"/>
      <c r="FPW2999" s="449"/>
      <c r="FPX2999" s="462"/>
      <c r="FPY2999" s="299"/>
      <c r="FPZ2999" s="81"/>
      <c r="FQA2999" s="160"/>
      <c r="FQB2999" s="565"/>
      <c r="FQC2999" s="125"/>
      <c r="FQD2999" s="470"/>
      <c r="FQE2999" s="449"/>
      <c r="FQF2999" s="462"/>
      <c r="FQG2999" s="299"/>
      <c r="FQH2999" s="81"/>
      <c r="FQI2999" s="160"/>
      <c r="FQJ2999" s="565"/>
      <c r="FQK2999" s="125"/>
      <c r="FQL2999" s="470"/>
      <c r="FQM2999" s="449"/>
      <c r="FQN2999" s="462"/>
      <c r="FQO2999" s="299"/>
      <c r="FQP2999" s="81"/>
      <c r="FQQ2999" s="160"/>
      <c r="FQR2999" s="565"/>
      <c r="FQS2999" s="125"/>
      <c r="FQT2999" s="470"/>
      <c r="FQU2999" s="449"/>
      <c r="FQV2999" s="462"/>
      <c r="FQW2999" s="299"/>
      <c r="FQX2999" s="81"/>
      <c r="FQY2999" s="160"/>
      <c r="FQZ2999" s="565"/>
      <c r="FRA2999" s="125"/>
      <c r="FRB2999" s="470"/>
      <c r="FRC2999" s="449"/>
      <c r="FRD2999" s="462"/>
      <c r="FRE2999" s="299"/>
      <c r="FRF2999" s="81"/>
      <c r="FRG2999" s="160"/>
      <c r="FRH2999" s="565"/>
      <c r="FRI2999" s="125"/>
      <c r="FRJ2999" s="470"/>
      <c r="FRK2999" s="449"/>
      <c r="FRL2999" s="462"/>
      <c r="FRM2999" s="299"/>
      <c r="FRN2999" s="81"/>
      <c r="FRO2999" s="160"/>
      <c r="FRP2999" s="565"/>
      <c r="FRQ2999" s="125"/>
      <c r="FRR2999" s="470"/>
      <c r="FRS2999" s="449"/>
      <c r="FRT2999" s="462"/>
      <c r="FRU2999" s="299"/>
      <c r="FRV2999" s="81"/>
      <c r="FRW2999" s="160"/>
      <c r="FRX2999" s="565"/>
      <c r="FRY2999" s="125"/>
      <c r="FRZ2999" s="470"/>
      <c r="FSA2999" s="449"/>
      <c r="FSB2999" s="462"/>
      <c r="FSC2999" s="299"/>
      <c r="FSD2999" s="81"/>
      <c r="FSE2999" s="160"/>
      <c r="FSF2999" s="565"/>
      <c r="FSG2999" s="125"/>
      <c r="FSH2999" s="470"/>
      <c r="FSI2999" s="449"/>
      <c r="FSJ2999" s="462"/>
      <c r="FSK2999" s="299"/>
      <c r="FSL2999" s="81"/>
      <c r="FSM2999" s="160"/>
      <c r="FSN2999" s="565"/>
      <c r="FSO2999" s="125"/>
      <c r="FSP2999" s="470"/>
      <c r="FSQ2999" s="449"/>
      <c r="FSR2999" s="462"/>
      <c r="FSS2999" s="299"/>
      <c r="FST2999" s="81"/>
      <c r="FSU2999" s="160"/>
      <c r="FSV2999" s="565"/>
      <c r="FSW2999" s="125"/>
      <c r="FSX2999" s="470"/>
      <c r="FSY2999" s="449"/>
      <c r="FSZ2999" s="462"/>
      <c r="FTA2999" s="299"/>
      <c r="FTB2999" s="81"/>
      <c r="FTC2999" s="160"/>
      <c r="FTD2999" s="565"/>
      <c r="FTE2999" s="125"/>
      <c r="FTF2999" s="470"/>
      <c r="FTG2999" s="449"/>
      <c r="FTH2999" s="462"/>
      <c r="FTI2999" s="299"/>
      <c r="FTJ2999" s="81"/>
      <c r="FTK2999" s="160"/>
      <c r="FTL2999" s="565"/>
      <c r="FTM2999" s="125"/>
      <c r="FTN2999" s="470"/>
      <c r="FTO2999" s="449"/>
      <c r="FTP2999" s="462"/>
      <c r="FTQ2999" s="299"/>
      <c r="FTR2999" s="81"/>
      <c r="FTS2999" s="160"/>
      <c r="FTT2999" s="565"/>
      <c r="FTU2999" s="125"/>
      <c r="FTV2999" s="470"/>
      <c r="FTW2999" s="449"/>
      <c r="FTX2999" s="462"/>
      <c r="FTY2999" s="299"/>
      <c r="FTZ2999" s="81"/>
      <c r="FUA2999" s="160"/>
      <c r="FUB2999" s="565"/>
      <c r="FUC2999" s="125"/>
      <c r="FUD2999" s="470"/>
      <c r="FUE2999" s="449"/>
      <c r="FUF2999" s="462"/>
      <c r="FUG2999" s="299"/>
      <c r="FUH2999" s="81"/>
      <c r="FUI2999" s="160"/>
      <c r="FUJ2999" s="565"/>
      <c r="FUK2999" s="125"/>
      <c r="FUL2999" s="470"/>
      <c r="FUM2999" s="449"/>
      <c r="FUN2999" s="462"/>
      <c r="FUO2999" s="299"/>
      <c r="FUP2999" s="81"/>
      <c r="FUQ2999" s="160"/>
      <c r="FUR2999" s="565"/>
      <c r="FUS2999" s="125"/>
      <c r="FUT2999" s="470"/>
      <c r="FUU2999" s="449"/>
      <c r="FUV2999" s="462"/>
      <c r="FUW2999" s="299"/>
      <c r="FUX2999" s="81"/>
      <c r="FUY2999" s="160"/>
      <c r="FUZ2999" s="565"/>
      <c r="FVA2999" s="125"/>
      <c r="FVB2999" s="470"/>
      <c r="FVC2999" s="449"/>
      <c r="FVD2999" s="462"/>
      <c r="FVE2999" s="299"/>
      <c r="FVF2999" s="81"/>
      <c r="FVG2999" s="160"/>
      <c r="FVH2999" s="565"/>
      <c r="FVI2999" s="125"/>
      <c r="FVJ2999" s="470"/>
      <c r="FVK2999" s="449"/>
      <c r="FVL2999" s="462"/>
      <c r="FVM2999" s="299"/>
      <c r="FVN2999" s="81"/>
      <c r="FVO2999" s="160"/>
      <c r="FVP2999" s="565"/>
      <c r="FVQ2999" s="125"/>
      <c r="FVR2999" s="470"/>
      <c r="FVS2999" s="449"/>
      <c r="FVT2999" s="462"/>
      <c r="FVU2999" s="299"/>
      <c r="FVV2999" s="81"/>
      <c r="FVW2999" s="160"/>
      <c r="FVX2999" s="565"/>
      <c r="FVY2999" s="125"/>
      <c r="FVZ2999" s="470"/>
      <c r="FWA2999" s="449"/>
      <c r="FWB2999" s="462"/>
      <c r="FWC2999" s="299"/>
      <c r="FWD2999" s="81"/>
      <c r="FWE2999" s="160"/>
      <c r="FWF2999" s="565"/>
      <c r="FWG2999" s="125"/>
      <c r="FWH2999" s="470"/>
      <c r="FWI2999" s="449"/>
      <c r="FWJ2999" s="462"/>
      <c r="FWK2999" s="299"/>
      <c r="FWL2999" s="81"/>
      <c r="FWM2999" s="160"/>
      <c r="FWN2999" s="565"/>
      <c r="FWO2999" s="125"/>
      <c r="FWP2999" s="470"/>
      <c r="FWQ2999" s="449"/>
      <c r="FWR2999" s="462"/>
      <c r="FWS2999" s="299"/>
      <c r="FWT2999" s="81"/>
      <c r="FWU2999" s="160"/>
      <c r="FWV2999" s="565"/>
      <c r="FWW2999" s="125"/>
      <c r="FWX2999" s="470"/>
      <c r="FWY2999" s="449"/>
      <c r="FWZ2999" s="462"/>
      <c r="FXA2999" s="299"/>
      <c r="FXB2999" s="81"/>
      <c r="FXC2999" s="160"/>
      <c r="FXD2999" s="565"/>
      <c r="FXE2999" s="125"/>
      <c r="FXF2999" s="470"/>
      <c r="FXG2999" s="449"/>
      <c r="FXH2999" s="462"/>
      <c r="FXI2999" s="299"/>
      <c r="FXJ2999" s="81"/>
      <c r="FXK2999" s="160"/>
      <c r="FXL2999" s="565"/>
      <c r="FXM2999" s="125"/>
      <c r="FXN2999" s="470"/>
      <c r="FXO2999" s="449"/>
      <c r="FXP2999" s="462"/>
      <c r="FXQ2999" s="299"/>
      <c r="FXR2999" s="81"/>
      <c r="FXS2999" s="160"/>
      <c r="FXT2999" s="565"/>
      <c r="FXU2999" s="125"/>
      <c r="FXV2999" s="470"/>
      <c r="FXW2999" s="449"/>
      <c r="FXX2999" s="462"/>
      <c r="FXY2999" s="299"/>
      <c r="FXZ2999" s="81"/>
      <c r="FYA2999" s="160"/>
      <c r="FYB2999" s="565"/>
      <c r="FYC2999" s="125"/>
      <c r="FYD2999" s="470"/>
      <c r="FYE2999" s="449"/>
      <c r="FYF2999" s="462"/>
      <c r="FYG2999" s="299"/>
      <c r="FYH2999" s="81"/>
      <c r="FYI2999" s="160"/>
      <c r="FYJ2999" s="565"/>
      <c r="FYK2999" s="125"/>
      <c r="FYL2999" s="470"/>
      <c r="FYM2999" s="449"/>
      <c r="FYN2999" s="462"/>
      <c r="FYO2999" s="299"/>
      <c r="FYP2999" s="81"/>
      <c r="FYQ2999" s="160"/>
      <c r="FYR2999" s="565"/>
      <c r="FYS2999" s="125"/>
      <c r="FYT2999" s="470"/>
      <c r="FYU2999" s="449"/>
      <c r="FYV2999" s="462"/>
      <c r="FYW2999" s="299"/>
      <c r="FYX2999" s="81"/>
      <c r="FYY2999" s="160"/>
      <c r="FYZ2999" s="565"/>
      <c r="FZA2999" s="125"/>
      <c r="FZB2999" s="470"/>
      <c r="FZC2999" s="449"/>
      <c r="FZD2999" s="462"/>
      <c r="FZE2999" s="299"/>
      <c r="FZF2999" s="81"/>
      <c r="FZG2999" s="160"/>
      <c r="FZH2999" s="565"/>
      <c r="FZI2999" s="125"/>
      <c r="FZJ2999" s="470"/>
      <c r="FZK2999" s="449"/>
      <c r="FZL2999" s="462"/>
      <c r="FZM2999" s="299"/>
      <c r="FZN2999" s="81"/>
      <c r="FZO2999" s="160"/>
      <c r="FZP2999" s="565"/>
      <c r="FZQ2999" s="125"/>
      <c r="FZR2999" s="470"/>
      <c r="FZS2999" s="449"/>
      <c r="FZT2999" s="462"/>
      <c r="FZU2999" s="299"/>
      <c r="FZV2999" s="81"/>
      <c r="FZW2999" s="160"/>
      <c r="FZX2999" s="565"/>
      <c r="FZY2999" s="125"/>
      <c r="FZZ2999" s="470"/>
      <c r="GAA2999" s="449"/>
      <c r="GAB2999" s="462"/>
      <c r="GAC2999" s="299"/>
      <c r="GAD2999" s="81"/>
      <c r="GAE2999" s="160"/>
      <c r="GAF2999" s="565"/>
      <c r="GAG2999" s="125"/>
      <c r="GAH2999" s="470"/>
      <c r="GAI2999" s="449"/>
      <c r="GAJ2999" s="462"/>
      <c r="GAK2999" s="299"/>
      <c r="GAL2999" s="81"/>
      <c r="GAM2999" s="160"/>
      <c r="GAN2999" s="565"/>
      <c r="GAO2999" s="125"/>
      <c r="GAP2999" s="470"/>
      <c r="GAQ2999" s="449"/>
      <c r="GAR2999" s="462"/>
      <c r="GAS2999" s="299"/>
      <c r="GAT2999" s="81"/>
      <c r="GAU2999" s="160"/>
      <c r="GAV2999" s="565"/>
      <c r="GAW2999" s="125"/>
      <c r="GAX2999" s="470"/>
      <c r="GAY2999" s="449"/>
      <c r="GAZ2999" s="462"/>
      <c r="GBA2999" s="299"/>
      <c r="GBB2999" s="81"/>
      <c r="GBC2999" s="160"/>
      <c r="GBD2999" s="565"/>
      <c r="GBE2999" s="125"/>
      <c r="GBF2999" s="470"/>
      <c r="GBG2999" s="449"/>
      <c r="GBH2999" s="462"/>
      <c r="GBI2999" s="299"/>
      <c r="GBJ2999" s="81"/>
      <c r="GBK2999" s="160"/>
      <c r="GBL2999" s="565"/>
      <c r="GBM2999" s="125"/>
      <c r="GBN2999" s="470"/>
      <c r="GBO2999" s="449"/>
      <c r="GBP2999" s="462"/>
      <c r="GBQ2999" s="299"/>
      <c r="GBR2999" s="81"/>
      <c r="GBS2999" s="160"/>
      <c r="GBT2999" s="565"/>
      <c r="GBU2999" s="125"/>
      <c r="GBV2999" s="470"/>
      <c r="GBW2999" s="449"/>
      <c r="GBX2999" s="462"/>
      <c r="GBY2999" s="299"/>
      <c r="GBZ2999" s="81"/>
      <c r="GCA2999" s="160"/>
      <c r="GCB2999" s="565"/>
      <c r="GCC2999" s="125"/>
      <c r="GCD2999" s="470"/>
      <c r="GCE2999" s="449"/>
      <c r="GCF2999" s="462"/>
      <c r="GCG2999" s="299"/>
      <c r="GCH2999" s="81"/>
      <c r="GCI2999" s="160"/>
      <c r="GCJ2999" s="565"/>
      <c r="GCK2999" s="125"/>
      <c r="GCL2999" s="470"/>
      <c r="GCM2999" s="449"/>
      <c r="GCN2999" s="462"/>
      <c r="GCO2999" s="299"/>
      <c r="GCP2999" s="81"/>
      <c r="GCQ2999" s="160"/>
      <c r="GCR2999" s="565"/>
      <c r="GCS2999" s="125"/>
      <c r="GCT2999" s="470"/>
      <c r="GCU2999" s="449"/>
      <c r="GCV2999" s="462"/>
      <c r="GCW2999" s="299"/>
      <c r="GCX2999" s="81"/>
      <c r="GCY2999" s="160"/>
      <c r="GCZ2999" s="565"/>
      <c r="GDA2999" s="125"/>
      <c r="GDB2999" s="470"/>
      <c r="GDC2999" s="449"/>
      <c r="GDD2999" s="462"/>
      <c r="GDE2999" s="299"/>
      <c r="GDF2999" s="81"/>
      <c r="GDG2999" s="160"/>
      <c r="GDH2999" s="565"/>
      <c r="GDI2999" s="125"/>
      <c r="GDJ2999" s="470"/>
      <c r="GDK2999" s="449"/>
      <c r="GDL2999" s="462"/>
      <c r="GDM2999" s="299"/>
      <c r="GDN2999" s="81"/>
      <c r="GDO2999" s="160"/>
      <c r="GDP2999" s="565"/>
      <c r="GDQ2999" s="125"/>
      <c r="GDR2999" s="470"/>
      <c r="GDS2999" s="449"/>
      <c r="GDT2999" s="462"/>
      <c r="GDU2999" s="299"/>
      <c r="GDV2999" s="81"/>
      <c r="GDW2999" s="160"/>
      <c r="GDX2999" s="565"/>
      <c r="GDY2999" s="125"/>
      <c r="GDZ2999" s="470"/>
      <c r="GEA2999" s="449"/>
      <c r="GEB2999" s="462"/>
      <c r="GEC2999" s="299"/>
      <c r="GED2999" s="81"/>
      <c r="GEE2999" s="160"/>
      <c r="GEF2999" s="565"/>
      <c r="GEG2999" s="125"/>
      <c r="GEH2999" s="470"/>
      <c r="GEI2999" s="449"/>
      <c r="GEJ2999" s="462"/>
      <c r="GEK2999" s="299"/>
      <c r="GEL2999" s="81"/>
      <c r="GEM2999" s="160"/>
      <c r="GEN2999" s="565"/>
      <c r="GEO2999" s="125"/>
      <c r="GEP2999" s="470"/>
      <c r="GEQ2999" s="449"/>
      <c r="GER2999" s="462"/>
      <c r="GES2999" s="299"/>
      <c r="GET2999" s="81"/>
      <c r="GEU2999" s="160"/>
      <c r="GEV2999" s="565"/>
      <c r="GEW2999" s="125"/>
      <c r="GEX2999" s="470"/>
      <c r="GEY2999" s="449"/>
      <c r="GEZ2999" s="462"/>
      <c r="GFA2999" s="299"/>
      <c r="GFB2999" s="81"/>
      <c r="GFC2999" s="160"/>
      <c r="GFD2999" s="565"/>
      <c r="GFE2999" s="125"/>
      <c r="GFF2999" s="470"/>
      <c r="GFG2999" s="449"/>
      <c r="GFH2999" s="462"/>
      <c r="GFI2999" s="299"/>
      <c r="GFJ2999" s="81"/>
      <c r="GFK2999" s="160"/>
      <c r="GFL2999" s="565"/>
      <c r="GFM2999" s="125"/>
      <c r="GFN2999" s="470"/>
      <c r="GFO2999" s="449"/>
      <c r="GFP2999" s="462"/>
      <c r="GFQ2999" s="299"/>
      <c r="GFR2999" s="81"/>
      <c r="GFS2999" s="160"/>
      <c r="GFT2999" s="565"/>
      <c r="GFU2999" s="125"/>
      <c r="GFV2999" s="470"/>
      <c r="GFW2999" s="449"/>
      <c r="GFX2999" s="462"/>
      <c r="GFY2999" s="299"/>
      <c r="GFZ2999" s="81"/>
      <c r="GGA2999" s="160"/>
      <c r="GGB2999" s="565"/>
      <c r="GGC2999" s="125"/>
      <c r="GGD2999" s="470"/>
      <c r="GGE2999" s="449"/>
      <c r="GGF2999" s="462"/>
      <c r="GGG2999" s="299"/>
      <c r="GGH2999" s="81"/>
      <c r="GGI2999" s="160"/>
      <c r="GGJ2999" s="565"/>
      <c r="GGK2999" s="125"/>
      <c r="GGL2999" s="470"/>
      <c r="GGM2999" s="449"/>
      <c r="GGN2999" s="462"/>
      <c r="GGO2999" s="299"/>
      <c r="GGP2999" s="81"/>
      <c r="GGQ2999" s="160"/>
      <c r="GGR2999" s="565"/>
      <c r="GGS2999" s="125"/>
      <c r="GGT2999" s="470"/>
      <c r="GGU2999" s="449"/>
      <c r="GGV2999" s="462"/>
      <c r="GGW2999" s="299"/>
      <c r="GGX2999" s="81"/>
      <c r="GGY2999" s="160"/>
      <c r="GGZ2999" s="565"/>
      <c r="GHA2999" s="125"/>
      <c r="GHB2999" s="470"/>
      <c r="GHC2999" s="449"/>
      <c r="GHD2999" s="462"/>
      <c r="GHE2999" s="299"/>
      <c r="GHF2999" s="81"/>
      <c r="GHG2999" s="160"/>
      <c r="GHH2999" s="565"/>
      <c r="GHI2999" s="125"/>
      <c r="GHJ2999" s="470"/>
      <c r="GHK2999" s="449"/>
      <c r="GHL2999" s="462"/>
      <c r="GHM2999" s="299"/>
      <c r="GHN2999" s="81"/>
      <c r="GHO2999" s="160"/>
      <c r="GHP2999" s="565"/>
      <c r="GHQ2999" s="125"/>
      <c r="GHR2999" s="470"/>
      <c r="GHS2999" s="449"/>
      <c r="GHT2999" s="462"/>
      <c r="GHU2999" s="299"/>
      <c r="GHV2999" s="81"/>
      <c r="GHW2999" s="160"/>
      <c r="GHX2999" s="565"/>
      <c r="GHY2999" s="125"/>
      <c r="GHZ2999" s="470"/>
      <c r="GIA2999" s="449"/>
      <c r="GIB2999" s="462"/>
      <c r="GIC2999" s="299"/>
      <c r="GID2999" s="81"/>
      <c r="GIE2999" s="160"/>
      <c r="GIF2999" s="565"/>
      <c r="GIG2999" s="125"/>
      <c r="GIH2999" s="470"/>
      <c r="GII2999" s="449"/>
      <c r="GIJ2999" s="462"/>
      <c r="GIK2999" s="299"/>
      <c r="GIL2999" s="81"/>
      <c r="GIM2999" s="160"/>
      <c r="GIN2999" s="565"/>
      <c r="GIO2999" s="125"/>
      <c r="GIP2999" s="470"/>
      <c r="GIQ2999" s="449"/>
      <c r="GIR2999" s="462"/>
      <c r="GIS2999" s="299"/>
      <c r="GIT2999" s="81"/>
      <c r="GIU2999" s="160"/>
      <c r="GIV2999" s="565"/>
      <c r="GIW2999" s="125"/>
      <c r="GIX2999" s="470"/>
      <c r="GIY2999" s="449"/>
      <c r="GIZ2999" s="462"/>
      <c r="GJA2999" s="299"/>
      <c r="GJB2999" s="81"/>
      <c r="GJC2999" s="160"/>
      <c r="GJD2999" s="565"/>
      <c r="GJE2999" s="125"/>
      <c r="GJF2999" s="470"/>
      <c r="GJG2999" s="449"/>
      <c r="GJH2999" s="462"/>
      <c r="GJI2999" s="299"/>
      <c r="GJJ2999" s="81"/>
      <c r="GJK2999" s="160"/>
      <c r="GJL2999" s="565"/>
      <c r="GJM2999" s="125"/>
      <c r="GJN2999" s="470"/>
      <c r="GJO2999" s="449"/>
      <c r="GJP2999" s="462"/>
      <c r="GJQ2999" s="299"/>
      <c r="GJR2999" s="81"/>
      <c r="GJS2999" s="160"/>
      <c r="GJT2999" s="565"/>
      <c r="GJU2999" s="125"/>
      <c r="GJV2999" s="470"/>
      <c r="GJW2999" s="449"/>
      <c r="GJX2999" s="462"/>
      <c r="GJY2999" s="299"/>
      <c r="GJZ2999" s="81"/>
      <c r="GKA2999" s="160"/>
      <c r="GKB2999" s="565"/>
      <c r="GKC2999" s="125"/>
      <c r="GKD2999" s="470"/>
      <c r="GKE2999" s="449"/>
      <c r="GKF2999" s="462"/>
      <c r="GKG2999" s="299"/>
      <c r="GKH2999" s="81"/>
      <c r="GKI2999" s="160"/>
      <c r="GKJ2999" s="565"/>
      <c r="GKK2999" s="125"/>
      <c r="GKL2999" s="470"/>
      <c r="GKM2999" s="449"/>
      <c r="GKN2999" s="462"/>
      <c r="GKO2999" s="299"/>
      <c r="GKP2999" s="81"/>
      <c r="GKQ2999" s="160"/>
      <c r="GKR2999" s="565"/>
      <c r="GKS2999" s="125"/>
      <c r="GKT2999" s="470"/>
      <c r="GKU2999" s="449"/>
      <c r="GKV2999" s="462"/>
      <c r="GKW2999" s="299"/>
      <c r="GKX2999" s="81"/>
      <c r="GKY2999" s="160"/>
      <c r="GKZ2999" s="565"/>
      <c r="GLA2999" s="125"/>
      <c r="GLB2999" s="470"/>
      <c r="GLC2999" s="449"/>
      <c r="GLD2999" s="462"/>
      <c r="GLE2999" s="299"/>
      <c r="GLF2999" s="81"/>
      <c r="GLG2999" s="160"/>
      <c r="GLH2999" s="565"/>
      <c r="GLI2999" s="125"/>
      <c r="GLJ2999" s="470"/>
      <c r="GLK2999" s="449"/>
      <c r="GLL2999" s="462"/>
      <c r="GLM2999" s="299"/>
      <c r="GLN2999" s="81"/>
      <c r="GLO2999" s="160"/>
      <c r="GLP2999" s="565"/>
      <c r="GLQ2999" s="125"/>
      <c r="GLR2999" s="470"/>
      <c r="GLS2999" s="449"/>
      <c r="GLT2999" s="462"/>
      <c r="GLU2999" s="299"/>
      <c r="GLV2999" s="81"/>
      <c r="GLW2999" s="160"/>
      <c r="GLX2999" s="565"/>
      <c r="GLY2999" s="125"/>
      <c r="GLZ2999" s="470"/>
      <c r="GMA2999" s="449"/>
      <c r="GMB2999" s="462"/>
      <c r="GMC2999" s="299"/>
      <c r="GMD2999" s="81"/>
      <c r="GME2999" s="160"/>
      <c r="GMF2999" s="565"/>
      <c r="GMG2999" s="125"/>
      <c r="GMH2999" s="470"/>
      <c r="GMI2999" s="449"/>
      <c r="GMJ2999" s="462"/>
      <c r="GMK2999" s="299"/>
      <c r="GML2999" s="81"/>
      <c r="GMM2999" s="160"/>
      <c r="GMN2999" s="565"/>
      <c r="GMO2999" s="125"/>
      <c r="GMP2999" s="470"/>
      <c r="GMQ2999" s="449"/>
      <c r="GMR2999" s="462"/>
      <c r="GMS2999" s="299"/>
      <c r="GMT2999" s="81"/>
      <c r="GMU2999" s="160"/>
      <c r="GMV2999" s="565"/>
      <c r="GMW2999" s="125"/>
      <c r="GMX2999" s="470"/>
      <c r="GMY2999" s="449"/>
      <c r="GMZ2999" s="462"/>
      <c r="GNA2999" s="299"/>
      <c r="GNB2999" s="81"/>
      <c r="GNC2999" s="160"/>
      <c r="GND2999" s="565"/>
      <c r="GNE2999" s="125"/>
      <c r="GNF2999" s="470"/>
      <c r="GNG2999" s="449"/>
      <c r="GNH2999" s="462"/>
      <c r="GNI2999" s="299"/>
      <c r="GNJ2999" s="81"/>
      <c r="GNK2999" s="160"/>
      <c r="GNL2999" s="565"/>
      <c r="GNM2999" s="125"/>
      <c r="GNN2999" s="470"/>
      <c r="GNO2999" s="449"/>
      <c r="GNP2999" s="462"/>
      <c r="GNQ2999" s="299"/>
      <c r="GNR2999" s="81"/>
      <c r="GNS2999" s="160"/>
      <c r="GNT2999" s="565"/>
      <c r="GNU2999" s="125"/>
      <c r="GNV2999" s="470"/>
      <c r="GNW2999" s="449"/>
      <c r="GNX2999" s="462"/>
      <c r="GNY2999" s="299"/>
      <c r="GNZ2999" s="81"/>
      <c r="GOA2999" s="160"/>
      <c r="GOB2999" s="565"/>
      <c r="GOC2999" s="125"/>
      <c r="GOD2999" s="470"/>
      <c r="GOE2999" s="449"/>
      <c r="GOF2999" s="462"/>
      <c r="GOG2999" s="299"/>
      <c r="GOH2999" s="81"/>
      <c r="GOI2999" s="160"/>
      <c r="GOJ2999" s="565"/>
      <c r="GOK2999" s="125"/>
      <c r="GOL2999" s="470"/>
      <c r="GOM2999" s="449"/>
      <c r="GON2999" s="462"/>
      <c r="GOO2999" s="299"/>
      <c r="GOP2999" s="81"/>
      <c r="GOQ2999" s="160"/>
      <c r="GOR2999" s="565"/>
      <c r="GOS2999" s="125"/>
      <c r="GOT2999" s="470"/>
      <c r="GOU2999" s="449"/>
      <c r="GOV2999" s="462"/>
      <c r="GOW2999" s="299"/>
      <c r="GOX2999" s="81"/>
      <c r="GOY2999" s="160"/>
      <c r="GOZ2999" s="565"/>
      <c r="GPA2999" s="125"/>
      <c r="GPB2999" s="470"/>
      <c r="GPC2999" s="449"/>
      <c r="GPD2999" s="462"/>
      <c r="GPE2999" s="299"/>
      <c r="GPF2999" s="81"/>
      <c r="GPG2999" s="160"/>
      <c r="GPH2999" s="565"/>
      <c r="GPI2999" s="125"/>
      <c r="GPJ2999" s="470"/>
      <c r="GPK2999" s="449"/>
      <c r="GPL2999" s="462"/>
      <c r="GPM2999" s="299"/>
      <c r="GPN2999" s="81"/>
      <c r="GPO2999" s="160"/>
      <c r="GPP2999" s="565"/>
      <c r="GPQ2999" s="125"/>
      <c r="GPR2999" s="470"/>
      <c r="GPS2999" s="449"/>
      <c r="GPT2999" s="462"/>
      <c r="GPU2999" s="299"/>
      <c r="GPV2999" s="81"/>
      <c r="GPW2999" s="160"/>
      <c r="GPX2999" s="565"/>
      <c r="GPY2999" s="125"/>
      <c r="GPZ2999" s="470"/>
      <c r="GQA2999" s="449"/>
      <c r="GQB2999" s="462"/>
      <c r="GQC2999" s="299"/>
      <c r="GQD2999" s="81"/>
      <c r="GQE2999" s="160"/>
      <c r="GQF2999" s="565"/>
      <c r="GQG2999" s="125"/>
      <c r="GQH2999" s="470"/>
      <c r="GQI2999" s="449"/>
      <c r="GQJ2999" s="462"/>
      <c r="GQK2999" s="299"/>
      <c r="GQL2999" s="81"/>
      <c r="GQM2999" s="160"/>
      <c r="GQN2999" s="565"/>
      <c r="GQO2999" s="125"/>
      <c r="GQP2999" s="470"/>
      <c r="GQQ2999" s="449"/>
      <c r="GQR2999" s="462"/>
      <c r="GQS2999" s="299"/>
      <c r="GQT2999" s="81"/>
      <c r="GQU2999" s="160"/>
      <c r="GQV2999" s="565"/>
      <c r="GQW2999" s="125"/>
      <c r="GQX2999" s="470"/>
      <c r="GQY2999" s="449"/>
      <c r="GQZ2999" s="462"/>
      <c r="GRA2999" s="299"/>
      <c r="GRB2999" s="81"/>
      <c r="GRC2999" s="160"/>
      <c r="GRD2999" s="565"/>
      <c r="GRE2999" s="125"/>
      <c r="GRF2999" s="470"/>
      <c r="GRG2999" s="449"/>
      <c r="GRH2999" s="462"/>
      <c r="GRI2999" s="299"/>
      <c r="GRJ2999" s="81"/>
      <c r="GRK2999" s="160"/>
      <c r="GRL2999" s="565"/>
      <c r="GRM2999" s="125"/>
      <c r="GRN2999" s="470"/>
      <c r="GRO2999" s="449"/>
      <c r="GRP2999" s="462"/>
      <c r="GRQ2999" s="299"/>
      <c r="GRR2999" s="81"/>
      <c r="GRS2999" s="160"/>
      <c r="GRT2999" s="565"/>
      <c r="GRU2999" s="125"/>
      <c r="GRV2999" s="470"/>
      <c r="GRW2999" s="449"/>
      <c r="GRX2999" s="462"/>
      <c r="GRY2999" s="299"/>
      <c r="GRZ2999" s="81"/>
      <c r="GSA2999" s="160"/>
      <c r="GSB2999" s="565"/>
      <c r="GSC2999" s="125"/>
      <c r="GSD2999" s="470"/>
      <c r="GSE2999" s="449"/>
      <c r="GSF2999" s="462"/>
      <c r="GSG2999" s="299"/>
      <c r="GSH2999" s="81"/>
      <c r="GSI2999" s="160"/>
      <c r="GSJ2999" s="565"/>
      <c r="GSK2999" s="125"/>
      <c r="GSL2999" s="470"/>
      <c r="GSM2999" s="449"/>
      <c r="GSN2999" s="462"/>
      <c r="GSO2999" s="299"/>
      <c r="GSP2999" s="81"/>
      <c r="GSQ2999" s="160"/>
      <c r="GSR2999" s="565"/>
      <c r="GSS2999" s="125"/>
      <c r="GST2999" s="470"/>
      <c r="GSU2999" s="449"/>
      <c r="GSV2999" s="462"/>
      <c r="GSW2999" s="299"/>
      <c r="GSX2999" s="81"/>
      <c r="GSY2999" s="160"/>
      <c r="GSZ2999" s="565"/>
      <c r="GTA2999" s="125"/>
      <c r="GTB2999" s="470"/>
      <c r="GTC2999" s="449"/>
      <c r="GTD2999" s="462"/>
      <c r="GTE2999" s="299"/>
      <c r="GTF2999" s="81"/>
      <c r="GTG2999" s="160"/>
      <c r="GTH2999" s="565"/>
      <c r="GTI2999" s="125"/>
      <c r="GTJ2999" s="470"/>
      <c r="GTK2999" s="449"/>
      <c r="GTL2999" s="462"/>
      <c r="GTM2999" s="299"/>
      <c r="GTN2999" s="81"/>
      <c r="GTO2999" s="160"/>
      <c r="GTP2999" s="565"/>
      <c r="GTQ2999" s="125"/>
      <c r="GTR2999" s="470"/>
      <c r="GTS2999" s="449"/>
      <c r="GTT2999" s="462"/>
      <c r="GTU2999" s="299"/>
      <c r="GTV2999" s="81"/>
      <c r="GTW2999" s="160"/>
      <c r="GTX2999" s="565"/>
      <c r="GTY2999" s="125"/>
      <c r="GTZ2999" s="470"/>
      <c r="GUA2999" s="449"/>
      <c r="GUB2999" s="462"/>
      <c r="GUC2999" s="299"/>
      <c r="GUD2999" s="81"/>
      <c r="GUE2999" s="160"/>
      <c r="GUF2999" s="565"/>
      <c r="GUG2999" s="125"/>
      <c r="GUH2999" s="470"/>
      <c r="GUI2999" s="449"/>
      <c r="GUJ2999" s="462"/>
      <c r="GUK2999" s="299"/>
      <c r="GUL2999" s="81"/>
      <c r="GUM2999" s="160"/>
      <c r="GUN2999" s="565"/>
      <c r="GUO2999" s="125"/>
      <c r="GUP2999" s="470"/>
      <c r="GUQ2999" s="449"/>
      <c r="GUR2999" s="462"/>
      <c r="GUS2999" s="299"/>
      <c r="GUT2999" s="81"/>
      <c r="GUU2999" s="160"/>
      <c r="GUV2999" s="565"/>
      <c r="GUW2999" s="125"/>
      <c r="GUX2999" s="470"/>
      <c r="GUY2999" s="449"/>
      <c r="GUZ2999" s="462"/>
      <c r="GVA2999" s="299"/>
      <c r="GVB2999" s="81"/>
      <c r="GVC2999" s="160"/>
      <c r="GVD2999" s="565"/>
      <c r="GVE2999" s="125"/>
      <c r="GVF2999" s="470"/>
      <c r="GVG2999" s="449"/>
      <c r="GVH2999" s="462"/>
      <c r="GVI2999" s="299"/>
      <c r="GVJ2999" s="81"/>
      <c r="GVK2999" s="160"/>
      <c r="GVL2999" s="565"/>
      <c r="GVM2999" s="125"/>
      <c r="GVN2999" s="470"/>
      <c r="GVO2999" s="449"/>
      <c r="GVP2999" s="462"/>
      <c r="GVQ2999" s="299"/>
      <c r="GVR2999" s="81"/>
      <c r="GVS2999" s="160"/>
      <c r="GVT2999" s="565"/>
      <c r="GVU2999" s="125"/>
      <c r="GVV2999" s="470"/>
      <c r="GVW2999" s="449"/>
      <c r="GVX2999" s="462"/>
      <c r="GVY2999" s="299"/>
      <c r="GVZ2999" s="81"/>
      <c r="GWA2999" s="160"/>
      <c r="GWB2999" s="565"/>
      <c r="GWC2999" s="125"/>
      <c r="GWD2999" s="470"/>
      <c r="GWE2999" s="449"/>
      <c r="GWF2999" s="462"/>
      <c r="GWG2999" s="299"/>
      <c r="GWH2999" s="81"/>
      <c r="GWI2999" s="160"/>
      <c r="GWJ2999" s="565"/>
      <c r="GWK2999" s="125"/>
      <c r="GWL2999" s="470"/>
      <c r="GWM2999" s="449"/>
      <c r="GWN2999" s="462"/>
      <c r="GWO2999" s="299"/>
      <c r="GWP2999" s="81"/>
      <c r="GWQ2999" s="160"/>
      <c r="GWR2999" s="565"/>
      <c r="GWS2999" s="125"/>
      <c r="GWT2999" s="470"/>
      <c r="GWU2999" s="449"/>
      <c r="GWV2999" s="462"/>
      <c r="GWW2999" s="299"/>
      <c r="GWX2999" s="81"/>
      <c r="GWY2999" s="160"/>
      <c r="GWZ2999" s="565"/>
      <c r="GXA2999" s="125"/>
      <c r="GXB2999" s="470"/>
      <c r="GXC2999" s="449"/>
      <c r="GXD2999" s="462"/>
      <c r="GXE2999" s="299"/>
      <c r="GXF2999" s="81"/>
      <c r="GXG2999" s="160"/>
      <c r="GXH2999" s="565"/>
      <c r="GXI2999" s="125"/>
      <c r="GXJ2999" s="470"/>
      <c r="GXK2999" s="449"/>
      <c r="GXL2999" s="462"/>
      <c r="GXM2999" s="299"/>
      <c r="GXN2999" s="81"/>
      <c r="GXO2999" s="160"/>
      <c r="GXP2999" s="565"/>
      <c r="GXQ2999" s="125"/>
      <c r="GXR2999" s="470"/>
      <c r="GXS2999" s="449"/>
      <c r="GXT2999" s="462"/>
      <c r="GXU2999" s="299"/>
      <c r="GXV2999" s="81"/>
      <c r="GXW2999" s="160"/>
      <c r="GXX2999" s="565"/>
      <c r="GXY2999" s="125"/>
      <c r="GXZ2999" s="470"/>
      <c r="GYA2999" s="449"/>
      <c r="GYB2999" s="462"/>
      <c r="GYC2999" s="299"/>
      <c r="GYD2999" s="81"/>
      <c r="GYE2999" s="160"/>
      <c r="GYF2999" s="565"/>
      <c r="GYG2999" s="125"/>
      <c r="GYH2999" s="470"/>
      <c r="GYI2999" s="449"/>
      <c r="GYJ2999" s="462"/>
      <c r="GYK2999" s="299"/>
      <c r="GYL2999" s="81"/>
      <c r="GYM2999" s="160"/>
      <c r="GYN2999" s="565"/>
      <c r="GYO2999" s="125"/>
      <c r="GYP2999" s="470"/>
      <c r="GYQ2999" s="449"/>
      <c r="GYR2999" s="462"/>
      <c r="GYS2999" s="299"/>
      <c r="GYT2999" s="81"/>
      <c r="GYU2999" s="160"/>
      <c r="GYV2999" s="565"/>
      <c r="GYW2999" s="125"/>
      <c r="GYX2999" s="470"/>
      <c r="GYY2999" s="449"/>
      <c r="GYZ2999" s="462"/>
      <c r="GZA2999" s="299"/>
      <c r="GZB2999" s="81"/>
      <c r="GZC2999" s="160"/>
      <c r="GZD2999" s="565"/>
      <c r="GZE2999" s="125"/>
      <c r="GZF2999" s="470"/>
      <c r="GZG2999" s="449"/>
      <c r="GZH2999" s="462"/>
      <c r="GZI2999" s="299"/>
      <c r="GZJ2999" s="81"/>
      <c r="GZK2999" s="160"/>
      <c r="GZL2999" s="565"/>
      <c r="GZM2999" s="125"/>
      <c r="GZN2999" s="470"/>
      <c r="GZO2999" s="449"/>
      <c r="GZP2999" s="462"/>
      <c r="GZQ2999" s="299"/>
      <c r="GZR2999" s="81"/>
      <c r="GZS2999" s="160"/>
      <c r="GZT2999" s="565"/>
      <c r="GZU2999" s="125"/>
      <c r="GZV2999" s="470"/>
      <c r="GZW2999" s="449"/>
      <c r="GZX2999" s="462"/>
      <c r="GZY2999" s="299"/>
      <c r="GZZ2999" s="81"/>
      <c r="HAA2999" s="160"/>
      <c r="HAB2999" s="565"/>
      <c r="HAC2999" s="125"/>
      <c r="HAD2999" s="470"/>
      <c r="HAE2999" s="449"/>
      <c r="HAF2999" s="462"/>
      <c r="HAG2999" s="299"/>
      <c r="HAH2999" s="81"/>
      <c r="HAI2999" s="160"/>
      <c r="HAJ2999" s="565"/>
      <c r="HAK2999" s="125"/>
      <c r="HAL2999" s="470"/>
      <c r="HAM2999" s="449"/>
      <c r="HAN2999" s="462"/>
      <c r="HAO2999" s="299"/>
      <c r="HAP2999" s="81"/>
      <c r="HAQ2999" s="160"/>
      <c r="HAR2999" s="565"/>
      <c r="HAS2999" s="125"/>
      <c r="HAT2999" s="470"/>
      <c r="HAU2999" s="449"/>
      <c r="HAV2999" s="462"/>
      <c r="HAW2999" s="299"/>
      <c r="HAX2999" s="81"/>
      <c r="HAY2999" s="160"/>
      <c r="HAZ2999" s="565"/>
      <c r="HBA2999" s="125"/>
      <c r="HBB2999" s="470"/>
      <c r="HBC2999" s="449"/>
      <c r="HBD2999" s="462"/>
      <c r="HBE2999" s="299"/>
      <c r="HBF2999" s="81"/>
      <c r="HBG2999" s="160"/>
      <c r="HBH2999" s="565"/>
      <c r="HBI2999" s="125"/>
      <c r="HBJ2999" s="470"/>
      <c r="HBK2999" s="449"/>
      <c r="HBL2999" s="462"/>
      <c r="HBM2999" s="299"/>
      <c r="HBN2999" s="81"/>
      <c r="HBO2999" s="160"/>
      <c r="HBP2999" s="565"/>
      <c r="HBQ2999" s="125"/>
      <c r="HBR2999" s="470"/>
      <c r="HBS2999" s="449"/>
      <c r="HBT2999" s="462"/>
      <c r="HBU2999" s="299"/>
      <c r="HBV2999" s="81"/>
      <c r="HBW2999" s="160"/>
      <c r="HBX2999" s="565"/>
      <c r="HBY2999" s="125"/>
      <c r="HBZ2999" s="470"/>
      <c r="HCA2999" s="449"/>
      <c r="HCB2999" s="462"/>
      <c r="HCC2999" s="299"/>
      <c r="HCD2999" s="81"/>
      <c r="HCE2999" s="160"/>
      <c r="HCF2999" s="565"/>
      <c r="HCG2999" s="125"/>
      <c r="HCH2999" s="470"/>
      <c r="HCI2999" s="449"/>
      <c r="HCJ2999" s="462"/>
      <c r="HCK2999" s="299"/>
      <c r="HCL2999" s="81"/>
      <c r="HCM2999" s="160"/>
      <c r="HCN2999" s="565"/>
      <c r="HCO2999" s="125"/>
      <c r="HCP2999" s="470"/>
      <c r="HCQ2999" s="449"/>
      <c r="HCR2999" s="462"/>
      <c r="HCS2999" s="299"/>
      <c r="HCT2999" s="81"/>
      <c r="HCU2999" s="160"/>
      <c r="HCV2999" s="565"/>
      <c r="HCW2999" s="125"/>
      <c r="HCX2999" s="470"/>
      <c r="HCY2999" s="449"/>
      <c r="HCZ2999" s="462"/>
      <c r="HDA2999" s="299"/>
      <c r="HDB2999" s="81"/>
      <c r="HDC2999" s="160"/>
      <c r="HDD2999" s="565"/>
      <c r="HDE2999" s="125"/>
      <c r="HDF2999" s="470"/>
      <c r="HDG2999" s="449"/>
      <c r="HDH2999" s="462"/>
      <c r="HDI2999" s="299"/>
      <c r="HDJ2999" s="81"/>
      <c r="HDK2999" s="160"/>
      <c r="HDL2999" s="565"/>
      <c r="HDM2999" s="125"/>
      <c r="HDN2999" s="470"/>
      <c r="HDO2999" s="449"/>
      <c r="HDP2999" s="462"/>
      <c r="HDQ2999" s="299"/>
      <c r="HDR2999" s="81"/>
      <c r="HDS2999" s="160"/>
      <c r="HDT2999" s="565"/>
      <c r="HDU2999" s="125"/>
      <c r="HDV2999" s="470"/>
      <c r="HDW2999" s="449"/>
      <c r="HDX2999" s="462"/>
      <c r="HDY2999" s="299"/>
      <c r="HDZ2999" s="81"/>
      <c r="HEA2999" s="160"/>
      <c r="HEB2999" s="565"/>
      <c r="HEC2999" s="125"/>
      <c r="HED2999" s="470"/>
      <c r="HEE2999" s="449"/>
      <c r="HEF2999" s="462"/>
      <c r="HEG2999" s="299"/>
      <c r="HEH2999" s="81"/>
      <c r="HEI2999" s="160"/>
      <c r="HEJ2999" s="565"/>
      <c r="HEK2999" s="125"/>
      <c r="HEL2999" s="470"/>
      <c r="HEM2999" s="449"/>
      <c r="HEN2999" s="462"/>
      <c r="HEO2999" s="299"/>
      <c r="HEP2999" s="81"/>
      <c r="HEQ2999" s="160"/>
      <c r="HER2999" s="565"/>
      <c r="HES2999" s="125"/>
      <c r="HET2999" s="470"/>
      <c r="HEU2999" s="449"/>
      <c r="HEV2999" s="462"/>
      <c r="HEW2999" s="299"/>
      <c r="HEX2999" s="81"/>
      <c r="HEY2999" s="160"/>
      <c r="HEZ2999" s="565"/>
      <c r="HFA2999" s="125"/>
      <c r="HFB2999" s="470"/>
      <c r="HFC2999" s="449"/>
      <c r="HFD2999" s="462"/>
      <c r="HFE2999" s="299"/>
      <c r="HFF2999" s="81"/>
      <c r="HFG2999" s="160"/>
      <c r="HFH2999" s="565"/>
      <c r="HFI2999" s="125"/>
      <c r="HFJ2999" s="470"/>
      <c r="HFK2999" s="449"/>
      <c r="HFL2999" s="462"/>
      <c r="HFM2999" s="299"/>
      <c r="HFN2999" s="81"/>
      <c r="HFO2999" s="160"/>
      <c r="HFP2999" s="565"/>
      <c r="HFQ2999" s="125"/>
      <c r="HFR2999" s="470"/>
      <c r="HFS2999" s="449"/>
      <c r="HFT2999" s="462"/>
      <c r="HFU2999" s="299"/>
      <c r="HFV2999" s="81"/>
      <c r="HFW2999" s="160"/>
      <c r="HFX2999" s="565"/>
      <c r="HFY2999" s="125"/>
      <c r="HFZ2999" s="470"/>
      <c r="HGA2999" s="449"/>
      <c r="HGB2999" s="462"/>
      <c r="HGC2999" s="299"/>
      <c r="HGD2999" s="81"/>
      <c r="HGE2999" s="160"/>
      <c r="HGF2999" s="565"/>
      <c r="HGG2999" s="125"/>
      <c r="HGH2999" s="470"/>
      <c r="HGI2999" s="449"/>
      <c r="HGJ2999" s="462"/>
      <c r="HGK2999" s="299"/>
      <c r="HGL2999" s="81"/>
      <c r="HGM2999" s="160"/>
      <c r="HGN2999" s="565"/>
      <c r="HGO2999" s="125"/>
      <c r="HGP2999" s="470"/>
      <c r="HGQ2999" s="449"/>
      <c r="HGR2999" s="462"/>
      <c r="HGS2999" s="299"/>
      <c r="HGT2999" s="81"/>
      <c r="HGU2999" s="160"/>
      <c r="HGV2999" s="565"/>
      <c r="HGW2999" s="125"/>
      <c r="HGX2999" s="470"/>
      <c r="HGY2999" s="449"/>
      <c r="HGZ2999" s="462"/>
      <c r="HHA2999" s="299"/>
      <c r="HHB2999" s="81"/>
      <c r="HHC2999" s="160"/>
      <c r="HHD2999" s="565"/>
      <c r="HHE2999" s="125"/>
      <c r="HHF2999" s="470"/>
      <c r="HHG2999" s="449"/>
      <c r="HHH2999" s="462"/>
      <c r="HHI2999" s="299"/>
      <c r="HHJ2999" s="81"/>
      <c r="HHK2999" s="160"/>
      <c r="HHL2999" s="565"/>
      <c r="HHM2999" s="125"/>
      <c r="HHN2999" s="470"/>
      <c r="HHO2999" s="449"/>
      <c r="HHP2999" s="462"/>
      <c r="HHQ2999" s="299"/>
      <c r="HHR2999" s="81"/>
      <c r="HHS2999" s="160"/>
      <c r="HHT2999" s="565"/>
      <c r="HHU2999" s="125"/>
      <c r="HHV2999" s="470"/>
      <c r="HHW2999" s="449"/>
      <c r="HHX2999" s="462"/>
      <c r="HHY2999" s="299"/>
      <c r="HHZ2999" s="81"/>
      <c r="HIA2999" s="160"/>
      <c r="HIB2999" s="565"/>
      <c r="HIC2999" s="125"/>
      <c r="HID2999" s="470"/>
      <c r="HIE2999" s="449"/>
      <c r="HIF2999" s="462"/>
      <c r="HIG2999" s="299"/>
      <c r="HIH2999" s="81"/>
      <c r="HII2999" s="160"/>
      <c r="HIJ2999" s="565"/>
      <c r="HIK2999" s="125"/>
      <c r="HIL2999" s="470"/>
      <c r="HIM2999" s="449"/>
      <c r="HIN2999" s="462"/>
      <c r="HIO2999" s="299"/>
      <c r="HIP2999" s="81"/>
      <c r="HIQ2999" s="160"/>
      <c r="HIR2999" s="565"/>
      <c r="HIS2999" s="125"/>
      <c r="HIT2999" s="470"/>
      <c r="HIU2999" s="449"/>
      <c r="HIV2999" s="462"/>
      <c r="HIW2999" s="299"/>
      <c r="HIX2999" s="81"/>
      <c r="HIY2999" s="160"/>
      <c r="HIZ2999" s="565"/>
      <c r="HJA2999" s="125"/>
      <c r="HJB2999" s="470"/>
      <c r="HJC2999" s="449"/>
      <c r="HJD2999" s="462"/>
      <c r="HJE2999" s="299"/>
      <c r="HJF2999" s="81"/>
      <c r="HJG2999" s="160"/>
      <c r="HJH2999" s="565"/>
      <c r="HJI2999" s="125"/>
      <c r="HJJ2999" s="470"/>
      <c r="HJK2999" s="449"/>
      <c r="HJL2999" s="462"/>
      <c r="HJM2999" s="299"/>
      <c r="HJN2999" s="81"/>
      <c r="HJO2999" s="160"/>
      <c r="HJP2999" s="565"/>
      <c r="HJQ2999" s="125"/>
      <c r="HJR2999" s="470"/>
      <c r="HJS2999" s="449"/>
      <c r="HJT2999" s="462"/>
      <c r="HJU2999" s="299"/>
      <c r="HJV2999" s="81"/>
      <c r="HJW2999" s="160"/>
      <c r="HJX2999" s="565"/>
      <c r="HJY2999" s="125"/>
      <c r="HJZ2999" s="470"/>
      <c r="HKA2999" s="449"/>
      <c r="HKB2999" s="462"/>
      <c r="HKC2999" s="299"/>
      <c r="HKD2999" s="81"/>
      <c r="HKE2999" s="160"/>
      <c r="HKF2999" s="565"/>
      <c r="HKG2999" s="125"/>
      <c r="HKH2999" s="470"/>
      <c r="HKI2999" s="449"/>
      <c r="HKJ2999" s="462"/>
      <c r="HKK2999" s="299"/>
      <c r="HKL2999" s="81"/>
      <c r="HKM2999" s="160"/>
      <c r="HKN2999" s="565"/>
      <c r="HKO2999" s="125"/>
      <c r="HKP2999" s="470"/>
      <c r="HKQ2999" s="449"/>
      <c r="HKR2999" s="462"/>
      <c r="HKS2999" s="299"/>
      <c r="HKT2999" s="81"/>
      <c r="HKU2999" s="160"/>
      <c r="HKV2999" s="565"/>
      <c r="HKW2999" s="125"/>
      <c r="HKX2999" s="470"/>
      <c r="HKY2999" s="449"/>
      <c r="HKZ2999" s="462"/>
      <c r="HLA2999" s="299"/>
      <c r="HLB2999" s="81"/>
      <c r="HLC2999" s="160"/>
      <c r="HLD2999" s="565"/>
      <c r="HLE2999" s="125"/>
      <c r="HLF2999" s="470"/>
      <c r="HLG2999" s="449"/>
      <c r="HLH2999" s="462"/>
      <c r="HLI2999" s="299"/>
      <c r="HLJ2999" s="81"/>
      <c r="HLK2999" s="160"/>
      <c r="HLL2999" s="565"/>
      <c r="HLM2999" s="125"/>
      <c r="HLN2999" s="470"/>
      <c r="HLO2999" s="449"/>
      <c r="HLP2999" s="462"/>
      <c r="HLQ2999" s="299"/>
      <c r="HLR2999" s="81"/>
      <c r="HLS2999" s="160"/>
      <c r="HLT2999" s="565"/>
      <c r="HLU2999" s="125"/>
      <c r="HLV2999" s="470"/>
      <c r="HLW2999" s="449"/>
      <c r="HLX2999" s="462"/>
      <c r="HLY2999" s="299"/>
      <c r="HLZ2999" s="81"/>
      <c r="HMA2999" s="160"/>
      <c r="HMB2999" s="565"/>
      <c r="HMC2999" s="125"/>
      <c r="HMD2999" s="470"/>
      <c r="HME2999" s="449"/>
      <c r="HMF2999" s="462"/>
      <c r="HMG2999" s="299"/>
      <c r="HMH2999" s="81"/>
      <c r="HMI2999" s="160"/>
      <c r="HMJ2999" s="565"/>
      <c r="HMK2999" s="125"/>
      <c r="HML2999" s="470"/>
      <c r="HMM2999" s="449"/>
      <c r="HMN2999" s="462"/>
      <c r="HMO2999" s="299"/>
      <c r="HMP2999" s="81"/>
      <c r="HMQ2999" s="160"/>
      <c r="HMR2999" s="565"/>
      <c r="HMS2999" s="125"/>
      <c r="HMT2999" s="470"/>
      <c r="HMU2999" s="449"/>
      <c r="HMV2999" s="462"/>
      <c r="HMW2999" s="299"/>
      <c r="HMX2999" s="81"/>
      <c r="HMY2999" s="160"/>
      <c r="HMZ2999" s="565"/>
      <c r="HNA2999" s="125"/>
      <c r="HNB2999" s="470"/>
      <c r="HNC2999" s="449"/>
      <c r="HND2999" s="462"/>
      <c r="HNE2999" s="299"/>
      <c r="HNF2999" s="81"/>
      <c r="HNG2999" s="160"/>
      <c r="HNH2999" s="565"/>
      <c r="HNI2999" s="125"/>
      <c r="HNJ2999" s="470"/>
      <c r="HNK2999" s="449"/>
      <c r="HNL2999" s="462"/>
      <c r="HNM2999" s="299"/>
      <c r="HNN2999" s="81"/>
      <c r="HNO2999" s="160"/>
      <c r="HNP2999" s="565"/>
      <c r="HNQ2999" s="125"/>
      <c r="HNR2999" s="470"/>
      <c r="HNS2999" s="449"/>
      <c r="HNT2999" s="462"/>
      <c r="HNU2999" s="299"/>
      <c r="HNV2999" s="81"/>
      <c r="HNW2999" s="160"/>
      <c r="HNX2999" s="565"/>
      <c r="HNY2999" s="125"/>
      <c r="HNZ2999" s="470"/>
      <c r="HOA2999" s="449"/>
      <c r="HOB2999" s="462"/>
      <c r="HOC2999" s="299"/>
      <c r="HOD2999" s="81"/>
      <c r="HOE2999" s="160"/>
      <c r="HOF2999" s="565"/>
      <c r="HOG2999" s="125"/>
      <c r="HOH2999" s="470"/>
      <c r="HOI2999" s="449"/>
      <c r="HOJ2999" s="462"/>
      <c r="HOK2999" s="299"/>
      <c r="HOL2999" s="81"/>
      <c r="HOM2999" s="160"/>
      <c r="HON2999" s="565"/>
      <c r="HOO2999" s="125"/>
      <c r="HOP2999" s="470"/>
      <c r="HOQ2999" s="449"/>
      <c r="HOR2999" s="462"/>
      <c r="HOS2999" s="299"/>
      <c r="HOT2999" s="81"/>
      <c r="HOU2999" s="160"/>
      <c r="HOV2999" s="565"/>
      <c r="HOW2999" s="125"/>
      <c r="HOX2999" s="470"/>
      <c r="HOY2999" s="449"/>
      <c r="HOZ2999" s="462"/>
      <c r="HPA2999" s="299"/>
      <c r="HPB2999" s="81"/>
      <c r="HPC2999" s="160"/>
      <c r="HPD2999" s="565"/>
      <c r="HPE2999" s="125"/>
      <c r="HPF2999" s="470"/>
      <c r="HPG2999" s="449"/>
      <c r="HPH2999" s="462"/>
      <c r="HPI2999" s="299"/>
      <c r="HPJ2999" s="81"/>
      <c r="HPK2999" s="160"/>
      <c r="HPL2999" s="565"/>
      <c r="HPM2999" s="125"/>
      <c r="HPN2999" s="470"/>
      <c r="HPO2999" s="449"/>
      <c r="HPP2999" s="462"/>
      <c r="HPQ2999" s="299"/>
      <c r="HPR2999" s="81"/>
      <c r="HPS2999" s="160"/>
      <c r="HPT2999" s="565"/>
      <c r="HPU2999" s="125"/>
      <c r="HPV2999" s="470"/>
      <c r="HPW2999" s="449"/>
      <c r="HPX2999" s="462"/>
      <c r="HPY2999" s="299"/>
      <c r="HPZ2999" s="81"/>
      <c r="HQA2999" s="160"/>
      <c r="HQB2999" s="565"/>
      <c r="HQC2999" s="125"/>
      <c r="HQD2999" s="470"/>
      <c r="HQE2999" s="449"/>
      <c r="HQF2999" s="462"/>
      <c r="HQG2999" s="299"/>
      <c r="HQH2999" s="81"/>
      <c r="HQI2999" s="160"/>
      <c r="HQJ2999" s="565"/>
      <c r="HQK2999" s="125"/>
      <c r="HQL2999" s="470"/>
      <c r="HQM2999" s="449"/>
      <c r="HQN2999" s="462"/>
      <c r="HQO2999" s="299"/>
      <c r="HQP2999" s="81"/>
      <c r="HQQ2999" s="160"/>
      <c r="HQR2999" s="565"/>
      <c r="HQS2999" s="125"/>
      <c r="HQT2999" s="470"/>
      <c r="HQU2999" s="449"/>
      <c r="HQV2999" s="462"/>
      <c r="HQW2999" s="299"/>
      <c r="HQX2999" s="81"/>
      <c r="HQY2999" s="160"/>
      <c r="HQZ2999" s="565"/>
      <c r="HRA2999" s="125"/>
      <c r="HRB2999" s="470"/>
      <c r="HRC2999" s="449"/>
      <c r="HRD2999" s="462"/>
      <c r="HRE2999" s="299"/>
      <c r="HRF2999" s="81"/>
      <c r="HRG2999" s="160"/>
      <c r="HRH2999" s="565"/>
      <c r="HRI2999" s="125"/>
      <c r="HRJ2999" s="470"/>
      <c r="HRK2999" s="449"/>
      <c r="HRL2999" s="462"/>
      <c r="HRM2999" s="299"/>
      <c r="HRN2999" s="81"/>
      <c r="HRO2999" s="160"/>
      <c r="HRP2999" s="565"/>
      <c r="HRQ2999" s="125"/>
      <c r="HRR2999" s="470"/>
      <c r="HRS2999" s="449"/>
      <c r="HRT2999" s="462"/>
      <c r="HRU2999" s="299"/>
      <c r="HRV2999" s="81"/>
      <c r="HRW2999" s="160"/>
      <c r="HRX2999" s="565"/>
      <c r="HRY2999" s="125"/>
      <c r="HRZ2999" s="470"/>
      <c r="HSA2999" s="449"/>
      <c r="HSB2999" s="462"/>
      <c r="HSC2999" s="299"/>
      <c r="HSD2999" s="81"/>
      <c r="HSE2999" s="160"/>
      <c r="HSF2999" s="565"/>
      <c r="HSG2999" s="125"/>
      <c r="HSH2999" s="470"/>
      <c r="HSI2999" s="449"/>
      <c r="HSJ2999" s="462"/>
      <c r="HSK2999" s="299"/>
      <c r="HSL2999" s="81"/>
      <c r="HSM2999" s="160"/>
      <c r="HSN2999" s="565"/>
      <c r="HSO2999" s="125"/>
      <c r="HSP2999" s="470"/>
      <c r="HSQ2999" s="449"/>
      <c r="HSR2999" s="462"/>
      <c r="HSS2999" s="299"/>
      <c r="HST2999" s="81"/>
      <c r="HSU2999" s="160"/>
      <c r="HSV2999" s="565"/>
      <c r="HSW2999" s="125"/>
      <c r="HSX2999" s="470"/>
      <c r="HSY2999" s="449"/>
      <c r="HSZ2999" s="462"/>
      <c r="HTA2999" s="299"/>
      <c r="HTB2999" s="81"/>
      <c r="HTC2999" s="160"/>
      <c r="HTD2999" s="565"/>
      <c r="HTE2999" s="125"/>
      <c r="HTF2999" s="470"/>
      <c r="HTG2999" s="449"/>
      <c r="HTH2999" s="462"/>
      <c r="HTI2999" s="299"/>
      <c r="HTJ2999" s="81"/>
      <c r="HTK2999" s="160"/>
      <c r="HTL2999" s="565"/>
      <c r="HTM2999" s="125"/>
      <c r="HTN2999" s="470"/>
      <c r="HTO2999" s="449"/>
      <c r="HTP2999" s="462"/>
      <c r="HTQ2999" s="299"/>
      <c r="HTR2999" s="81"/>
      <c r="HTS2999" s="160"/>
      <c r="HTT2999" s="565"/>
      <c r="HTU2999" s="125"/>
      <c r="HTV2999" s="470"/>
      <c r="HTW2999" s="449"/>
      <c r="HTX2999" s="462"/>
      <c r="HTY2999" s="299"/>
      <c r="HTZ2999" s="81"/>
      <c r="HUA2999" s="160"/>
      <c r="HUB2999" s="565"/>
      <c r="HUC2999" s="125"/>
      <c r="HUD2999" s="470"/>
      <c r="HUE2999" s="449"/>
      <c r="HUF2999" s="462"/>
      <c r="HUG2999" s="299"/>
      <c r="HUH2999" s="81"/>
      <c r="HUI2999" s="160"/>
      <c r="HUJ2999" s="565"/>
      <c r="HUK2999" s="125"/>
      <c r="HUL2999" s="470"/>
      <c r="HUM2999" s="449"/>
      <c r="HUN2999" s="462"/>
      <c r="HUO2999" s="299"/>
      <c r="HUP2999" s="81"/>
      <c r="HUQ2999" s="160"/>
      <c r="HUR2999" s="565"/>
      <c r="HUS2999" s="125"/>
      <c r="HUT2999" s="470"/>
      <c r="HUU2999" s="449"/>
      <c r="HUV2999" s="462"/>
      <c r="HUW2999" s="299"/>
      <c r="HUX2999" s="81"/>
      <c r="HUY2999" s="160"/>
      <c r="HUZ2999" s="565"/>
      <c r="HVA2999" s="125"/>
      <c r="HVB2999" s="470"/>
      <c r="HVC2999" s="449"/>
      <c r="HVD2999" s="462"/>
      <c r="HVE2999" s="299"/>
      <c r="HVF2999" s="81"/>
      <c r="HVG2999" s="160"/>
      <c r="HVH2999" s="565"/>
      <c r="HVI2999" s="125"/>
      <c r="HVJ2999" s="470"/>
      <c r="HVK2999" s="449"/>
      <c r="HVL2999" s="462"/>
      <c r="HVM2999" s="299"/>
      <c r="HVN2999" s="81"/>
      <c r="HVO2999" s="160"/>
      <c r="HVP2999" s="565"/>
      <c r="HVQ2999" s="125"/>
      <c r="HVR2999" s="470"/>
      <c r="HVS2999" s="449"/>
      <c r="HVT2999" s="462"/>
      <c r="HVU2999" s="299"/>
      <c r="HVV2999" s="81"/>
      <c r="HVW2999" s="160"/>
      <c r="HVX2999" s="565"/>
      <c r="HVY2999" s="125"/>
      <c r="HVZ2999" s="470"/>
      <c r="HWA2999" s="449"/>
      <c r="HWB2999" s="462"/>
      <c r="HWC2999" s="299"/>
      <c r="HWD2999" s="81"/>
      <c r="HWE2999" s="160"/>
      <c r="HWF2999" s="565"/>
      <c r="HWG2999" s="125"/>
      <c r="HWH2999" s="470"/>
      <c r="HWI2999" s="449"/>
      <c r="HWJ2999" s="462"/>
      <c r="HWK2999" s="299"/>
      <c r="HWL2999" s="81"/>
      <c r="HWM2999" s="160"/>
      <c r="HWN2999" s="565"/>
      <c r="HWO2999" s="125"/>
      <c r="HWP2999" s="470"/>
      <c r="HWQ2999" s="449"/>
      <c r="HWR2999" s="462"/>
      <c r="HWS2999" s="299"/>
      <c r="HWT2999" s="81"/>
      <c r="HWU2999" s="160"/>
      <c r="HWV2999" s="565"/>
      <c r="HWW2999" s="125"/>
      <c r="HWX2999" s="470"/>
      <c r="HWY2999" s="449"/>
      <c r="HWZ2999" s="462"/>
      <c r="HXA2999" s="299"/>
      <c r="HXB2999" s="81"/>
      <c r="HXC2999" s="160"/>
      <c r="HXD2999" s="565"/>
      <c r="HXE2999" s="125"/>
      <c r="HXF2999" s="470"/>
      <c r="HXG2999" s="449"/>
      <c r="HXH2999" s="462"/>
      <c r="HXI2999" s="299"/>
      <c r="HXJ2999" s="81"/>
      <c r="HXK2999" s="160"/>
      <c r="HXL2999" s="565"/>
      <c r="HXM2999" s="125"/>
      <c r="HXN2999" s="470"/>
      <c r="HXO2999" s="449"/>
      <c r="HXP2999" s="462"/>
      <c r="HXQ2999" s="299"/>
      <c r="HXR2999" s="81"/>
      <c r="HXS2999" s="160"/>
      <c r="HXT2999" s="565"/>
      <c r="HXU2999" s="125"/>
      <c r="HXV2999" s="470"/>
      <c r="HXW2999" s="449"/>
      <c r="HXX2999" s="462"/>
      <c r="HXY2999" s="299"/>
      <c r="HXZ2999" s="81"/>
      <c r="HYA2999" s="160"/>
      <c r="HYB2999" s="565"/>
      <c r="HYC2999" s="125"/>
      <c r="HYD2999" s="470"/>
      <c r="HYE2999" s="449"/>
      <c r="HYF2999" s="462"/>
      <c r="HYG2999" s="299"/>
      <c r="HYH2999" s="81"/>
      <c r="HYI2999" s="160"/>
      <c r="HYJ2999" s="565"/>
      <c r="HYK2999" s="125"/>
      <c r="HYL2999" s="470"/>
      <c r="HYM2999" s="449"/>
      <c r="HYN2999" s="462"/>
      <c r="HYO2999" s="299"/>
      <c r="HYP2999" s="81"/>
      <c r="HYQ2999" s="160"/>
      <c r="HYR2999" s="565"/>
      <c r="HYS2999" s="125"/>
      <c r="HYT2999" s="470"/>
      <c r="HYU2999" s="449"/>
      <c r="HYV2999" s="462"/>
      <c r="HYW2999" s="299"/>
      <c r="HYX2999" s="81"/>
      <c r="HYY2999" s="160"/>
      <c r="HYZ2999" s="565"/>
      <c r="HZA2999" s="125"/>
      <c r="HZB2999" s="470"/>
      <c r="HZC2999" s="449"/>
      <c r="HZD2999" s="462"/>
      <c r="HZE2999" s="299"/>
      <c r="HZF2999" s="81"/>
      <c r="HZG2999" s="160"/>
      <c r="HZH2999" s="565"/>
      <c r="HZI2999" s="125"/>
      <c r="HZJ2999" s="470"/>
      <c r="HZK2999" s="449"/>
      <c r="HZL2999" s="462"/>
      <c r="HZM2999" s="299"/>
      <c r="HZN2999" s="81"/>
      <c r="HZO2999" s="160"/>
      <c r="HZP2999" s="565"/>
      <c r="HZQ2999" s="125"/>
      <c r="HZR2999" s="470"/>
      <c r="HZS2999" s="449"/>
      <c r="HZT2999" s="462"/>
      <c r="HZU2999" s="299"/>
      <c r="HZV2999" s="81"/>
      <c r="HZW2999" s="160"/>
      <c r="HZX2999" s="565"/>
      <c r="HZY2999" s="125"/>
      <c r="HZZ2999" s="470"/>
      <c r="IAA2999" s="449"/>
      <c r="IAB2999" s="462"/>
      <c r="IAC2999" s="299"/>
      <c r="IAD2999" s="81"/>
      <c r="IAE2999" s="160"/>
      <c r="IAF2999" s="565"/>
      <c r="IAG2999" s="125"/>
      <c r="IAH2999" s="470"/>
      <c r="IAI2999" s="449"/>
      <c r="IAJ2999" s="462"/>
      <c r="IAK2999" s="299"/>
      <c r="IAL2999" s="81"/>
      <c r="IAM2999" s="160"/>
      <c r="IAN2999" s="565"/>
      <c r="IAO2999" s="125"/>
      <c r="IAP2999" s="470"/>
      <c r="IAQ2999" s="449"/>
      <c r="IAR2999" s="462"/>
      <c r="IAS2999" s="299"/>
      <c r="IAT2999" s="81"/>
      <c r="IAU2999" s="160"/>
      <c r="IAV2999" s="565"/>
      <c r="IAW2999" s="125"/>
      <c r="IAX2999" s="470"/>
      <c r="IAY2999" s="449"/>
      <c r="IAZ2999" s="462"/>
      <c r="IBA2999" s="299"/>
      <c r="IBB2999" s="81"/>
      <c r="IBC2999" s="160"/>
      <c r="IBD2999" s="565"/>
      <c r="IBE2999" s="125"/>
      <c r="IBF2999" s="470"/>
      <c r="IBG2999" s="449"/>
      <c r="IBH2999" s="462"/>
      <c r="IBI2999" s="299"/>
      <c r="IBJ2999" s="81"/>
      <c r="IBK2999" s="160"/>
      <c r="IBL2999" s="565"/>
      <c r="IBM2999" s="125"/>
      <c r="IBN2999" s="470"/>
      <c r="IBO2999" s="449"/>
      <c r="IBP2999" s="462"/>
      <c r="IBQ2999" s="299"/>
      <c r="IBR2999" s="81"/>
      <c r="IBS2999" s="160"/>
      <c r="IBT2999" s="565"/>
      <c r="IBU2999" s="125"/>
      <c r="IBV2999" s="470"/>
      <c r="IBW2999" s="449"/>
      <c r="IBX2999" s="462"/>
      <c r="IBY2999" s="299"/>
      <c r="IBZ2999" s="81"/>
      <c r="ICA2999" s="160"/>
      <c r="ICB2999" s="565"/>
      <c r="ICC2999" s="125"/>
      <c r="ICD2999" s="470"/>
      <c r="ICE2999" s="449"/>
      <c r="ICF2999" s="462"/>
      <c r="ICG2999" s="299"/>
      <c r="ICH2999" s="81"/>
      <c r="ICI2999" s="160"/>
      <c r="ICJ2999" s="565"/>
      <c r="ICK2999" s="125"/>
      <c r="ICL2999" s="470"/>
      <c r="ICM2999" s="449"/>
      <c r="ICN2999" s="462"/>
      <c r="ICO2999" s="299"/>
      <c r="ICP2999" s="81"/>
      <c r="ICQ2999" s="160"/>
      <c r="ICR2999" s="565"/>
      <c r="ICS2999" s="125"/>
      <c r="ICT2999" s="470"/>
      <c r="ICU2999" s="449"/>
      <c r="ICV2999" s="462"/>
      <c r="ICW2999" s="299"/>
      <c r="ICX2999" s="81"/>
      <c r="ICY2999" s="160"/>
      <c r="ICZ2999" s="565"/>
      <c r="IDA2999" s="125"/>
      <c r="IDB2999" s="470"/>
      <c r="IDC2999" s="449"/>
      <c r="IDD2999" s="462"/>
      <c r="IDE2999" s="299"/>
      <c r="IDF2999" s="81"/>
      <c r="IDG2999" s="160"/>
      <c r="IDH2999" s="565"/>
      <c r="IDI2999" s="125"/>
      <c r="IDJ2999" s="470"/>
      <c r="IDK2999" s="449"/>
      <c r="IDL2999" s="462"/>
      <c r="IDM2999" s="299"/>
      <c r="IDN2999" s="81"/>
      <c r="IDO2999" s="160"/>
      <c r="IDP2999" s="565"/>
      <c r="IDQ2999" s="125"/>
      <c r="IDR2999" s="470"/>
      <c r="IDS2999" s="449"/>
      <c r="IDT2999" s="462"/>
      <c r="IDU2999" s="299"/>
      <c r="IDV2999" s="81"/>
      <c r="IDW2999" s="160"/>
      <c r="IDX2999" s="565"/>
      <c r="IDY2999" s="125"/>
      <c r="IDZ2999" s="470"/>
      <c r="IEA2999" s="449"/>
      <c r="IEB2999" s="462"/>
      <c r="IEC2999" s="299"/>
      <c r="IED2999" s="81"/>
      <c r="IEE2999" s="160"/>
      <c r="IEF2999" s="565"/>
      <c r="IEG2999" s="125"/>
      <c r="IEH2999" s="470"/>
      <c r="IEI2999" s="449"/>
      <c r="IEJ2999" s="462"/>
      <c r="IEK2999" s="299"/>
      <c r="IEL2999" s="81"/>
      <c r="IEM2999" s="160"/>
      <c r="IEN2999" s="565"/>
      <c r="IEO2999" s="125"/>
      <c r="IEP2999" s="470"/>
      <c r="IEQ2999" s="449"/>
      <c r="IER2999" s="462"/>
      <c r="IES2999" s="299"/>
      <c r="IET2999" s="81"/>
      <c r="IEU2999" s="160"/>
      <c r="IEV2999" s="565"/>
      <c r="IEW2999" s="125"/>
      <c r="IEX2999" s="470"/>
      <c r="IEY2999" s="449"/>
      <c r="IEZ2999" s="462"/>
      <c r="IFA2999" s="299"/>
      <c r="IFB2999" s="81"/>
      <c r="IFC2999" s="160"/>
      <c r="IFD2999" s="565"/>
      <c r="IFE2999" s="125"/>
      <c r="IFF2999" s="470"/>
      <c r="IFG2999" s="449"/>
      <c r="IFH2999" s="462"/>
      <c r="IFI2999" s="299"/>
      <c r="IFJ2999" s="81"/>
      <c r="IFK2999" s="160"/>
      <c r="IFL2999" s="565"/>
      <c r="IFM2999" s="125"/>
      <c r="IFN2999" s="470"/>
      <c r="IFO2999" s="449"/>
      <c r="IFP2999" s="462"/>
      <c r="IFQ2999" s="299"/>
      <c r="IFR2999" s="81"/>
      <c r="IFS2999" s="160"/>
      <c r="IFT2999" s="565"/>
      <c r="IFU2999" s="125"/>
      <c r="IFV2999" s="470"/>
      <c r="IFW2999" s="449"/>
      <c r="IFX2999" s="462"/>
      <c r="IFY2999" s="299"/>
      <c r="IFZ2999" s="81"/>
      <c r="IGA2999" s="160"/>
      <c r="IGB2999" s="565"/>
      <c r="IGC2999" s="125"/>
      <c r="IGD2999" s="470"/>
      <c r="IGE2999" s="449"/>
      <c r="IGF2999" s="462"/>
      <c r="IGG2999" s="299"/>
      <c r="IGH2999" s="81"/>
      <c r="IGI2999" s="160"/>
      <c r="IGJ2999" s="565"/>
      <c r="IGK2999" s="125"/>
      <c r="IGL2999" s="470"/>
      <c r="IGM2999" s="449"/>
      <c r="IGN2999" s="462"/>
      <c r="IGO2999" s="299"/>
      <c r="IGP2999" s="81"/>
      <c r="IGQ2999" s="160"/>
      <c r="IGR2999" s="565"/>
      <c r="IGS2999" s="125"/>
      <c r="IGT2999" s="470"/>
      <c r="IGU2999" s="449"/>
      <c r="IGV2999" s="462"/>
      <c r="IGW2999" s="299"/>
      <c r="IGX2999" s="81"/>
      <c r="IGY2999" s="160"/>
      <c r="IGZ2999" s="565"/>
      <c r="IHA2999" s="125"/>
      <c r="IHB2999" s="470"/>
      <c r="IHC2999" s="449"/>
      <c r="IHD2999" s="462"/>
      <c r="IHE2999" s="299"/>
      <c r="IHF2999" s="81"/>
      <c r="IHG2999" s="160"/>
      <c r="IHH2999" s="565"/>
      <c r="IHI2999" s="125"/>
      <c r="IHJ2999" s="470"/>
      <c r="IHK2999" s="449"/>
      <c r="IHL2999" s="462"/>
      <c r="IHM2999" s="299"/>
      <c r="IHN2999" s="81"/>
      <c r="IHO2999" s="160"/>
      <c r="IHP2999" s="565"/>
      <c r="IHQ2999" s="125"/>
      <c r="IHR2999" s="470"/>
      <c r="IHS2999" s="449"/>
      <c r="IHT2999" s="462"/>
      <c r="IHU2999" s="299"/>
      <c r="IHV2999" s="81"/>
      <c r="IHW2999" s="160"/>
      <c r="IHX2999" s="565"/>
      <c r="IHY2999" s="125"/>
      <c r="IHZ2999" s="470"/>
      <c r="IIA2999" s="449"/>
      <c r="IIB2999" s="462"/>
      <c r="IIC2999" s="299"/>
      <c r="IID2999" s="81"/>
      <c r="IIE2999" s="160"/>
      <c r="IIF2999" s="565"/>
      <c r="IIG2999" s="125"/>
      <c r="IIH2999" s="470"/>
      <c r="III2999" s="449"/>
      <c r="IIJ2999" s="462"/>
      <c r="IIK2999" s="299"/>
      <c r="IIL2999" s="81"/>
      <c r="IIM2999" s="160"/>
      <c r="IIN2999" s="565"/>
      <c r="IIO2999" s="125"/>
      <c r="IIP2999" s="470"/>
      <c r="IIQ2999" s="449"/>
      <c r="IIR2999" s="462"/>
      <c r="IIS2999" s="299"/>
      <c r="IIT2999" s="81"/>
      <c r="IIU2999" s="160"/>
      <c r="IIV2999" s="565"/>
      <c r="IIW2999" s="125"/>
      <c r="IIX2999" s="470"/>
      <c r="IIY2999" s="449"/>
      <c r="IIZ2999" s="462"/>
      <c r="IJA2999" s="299"/>
      <c r="IJB2999" s="81"/>
      <c r="IJC2999" s="160"/>
      <c r="IJD2999" s="565"/>
      <c r="IJE2999" s="125"/>
      <c r="IJF2999" s="470"/>
      <c r="IJG2999" s="449"/>
      <c r="IJH2999" s="462"/>
      <c r="IJI2999" s="299"/>
      <c r="IJJ2999" s="81"/>
      <c r="IJK2999" s="160"/>
      <c r="IJL2999" s="565"/>
      <c r="IJM2999" s="125"/>
      <c r="IJN2999" s="470"/>
      <c r="IJO2999" s="449"/>
      <c r="IJP2999" s="462"/>
      <c r="IJQ2999" s="299"/>
      <c r="IJR2999" s="81"/>
      <c r="IJS2999" s="160"/>
      <c r="IJT2999" s="565"/>
      <c r="IJU2999" s="125"/>
      <c r="IJV2999" s="470"/>
      <c r="IJW2999" s="449"/>
      <c r="IJX2999" s="462"/>
      <c r="IJY2999" s="299"/>
      <c r="IJZ2999" s="81"/>
      <c r="IKA2999" s="160"/>
      <c r="IKB2999" s="565"/>
      <c r="IKC2999" s="125"/>
      <c r="IKD2999" s="470"/>
      <c r="IKE2999" s="449"/>
      <c r="IKF2999" s="462"/>
      <c r="IKG2999" s="299"/>
      <c r="IKH2999" s="81"/>
      <c r="IKI2999" s="160"/>
      <c r="IKJ2999" s="565"/>
      <c r="IKK2999" s="125"/>
      <c r="IKL2999" s="470"/>
      <c r="IKM2999" s="449"/>
      <c r="IKN2999" s="462"/>
      <c r="IKO2999" s="299"/>
      <c r="IKP2999" s="81"/>
      <c r="IKQ2999" s="160"/>
      <c r="IKR2999" s="565"/>
      <c r="IKS2999" s="125"/>
      <c r="IKT2999" s="470"/>
      <c r="IKU2999" s="449"/>
      <c r="IKV2999" s="462"/>
      <c r="IKW2999" s="299"/>
      <c r="IKX2999" s="81"/>
      <c r="IKY2999" s="160"/>
      <c r="IKZ2999" s="565"/>
      <c r="ILA2999" s="125"/>
      <c r="ILB2999" s="470"/>
      <c r="ILC2999" s="449"/>
      <c r="ILD2999" s="462"/>
      <c r="ILE2999" s="299"/>
      <c r="ILF2999" s="81"/>
      <c r="ILG2999" s="160"/>
      <c r="ILH2999" s="565"/>
      <c r="ILI2999" s="125"/>
      <c r="ILJ2999" s="470"/>
      <c r="ILK2999" s="449"/>
      <c r="ILL2999" s="462"/>
      <c r="ILM2999" s="299"/>
      <c r="ILN2999" s="81"/>
      <c r="ILO2999" s="160"/>
      <c r="ILP2999" s="565"/>
      <c r="ILQ2999" s="125"/>
      <c r="ILR2999" s="470"/>
      <c r="ILS2999" s="449"/>
      <c r="ILT2999" s="462"/>
      <c r="ILU2999" s="299"/>
      <c r="ILV2999" s="81"/>
      <c r="ILW2999" s="160"/>
      <c r="ILX2999" s="565"/>
      <c r="ILY2999" s="125"/>
      <c r="ILZ2999" s="470"/>
      <c r="IMA2999" s="449"/>
      <c r="IMB2999" s="462"/>
      <c r="IMC2999" s="299"/>
      <c r="IMD2999" s="81"/>
      <c r="IME2999" s="160"/>
      <c r="IMF2999" s="565"/>
      <c r="IMG2999" s="125"/>
      <c r="IMH2999" s="470"/>
      <c r="IMI2999" s="449"/>
      <c r="IMJ2999" s="462"/>
      <c r="IMK2999" s="299"/>
      <c r="IML2999" s="81"/>
      <c r="IMM2999" s="160"/>
      <c r="IMN2999" s="565"/>
      <c r="IMO2999" s="125"/>
      <c r="IMP2999" s="470"/>
      <c r="IMQ2999" s="449"/>
      <c r="IMR2999" s="462"/>
      <c r="IMS2999" s="299"/>
      <c r="IMT2999" s="81"/>
      <c r="IMU2999" s="160"/>
      <c r="IMV2999" s="565"/>
      <c r="IMW2999" s="125"/>
      <c r="IMX2999" s="470"/>
      <c r="IMY2999" s="449"/>
      <c r="IMZ2999" s="462"/>
      <c r="INA2999" s="299"/>
      <c r="INB2999" s="81"/>
      <c r="INC2999" s="160"/>
      <c r="IND2999" s="565"/>
      <c r="INE2999" s="125"/>
      <c r="INF2999" s="470"/>
      <c r="ING2999" s="449"/>
      <c r="INH2999" s="462"/>
      <c r="INI2999" s="299"/>
      <c r="INJ2999" s="81"/>
      <c r="INK2999" s="160"/>
      <c r="INL2999" s="565"/>
      <c r="INM2999" s="125"/>
      <c r="INN2999" s="470"/>
      <c r="INO2999" s="449"/>
      <c r="INP2999" s="462"/>
      <c r="INQ2999" s="299"/>
      <c r="INR2999" s="81"/>
      <c r="INS2999" s="160"/>
      <c r="INT2999" s="565"/>
      <c r="INU2999" s="125"/>
      <c r="INV2999" s="470"/>
      <c r="INW2999" s="449"/>
      <c r="INX2999" s="462"/>
      <c r="INY2999" s="299"/>
      <c r="INZ2999" s="81"/>
      <c r="IOA2999" s="160"/>
      <c r="IOB2999" s="565"/>
      <c r="IOC2999" s="125"/>
      <c r="IOD2999" s="470"/>
      <c r="IOE2999" s="449"/>
      <c r="IOF2999" s="462"/>
      <c r="IOG2999" s="299"/>
      <c r="IOH2999" s="81"/>
      <c r="IOI2999" s="160"/>
      <c r="IOJ2999" s="565"/>
      <c r="IOK2999" s="125"/>
      <c r="IOL2999" s="470"/>
      <c r="IOM2999" s="449"/>
      <c r="ION2999" s="462"/>
      <c r="IOO2999" s="299"/>
      <c r="IOP2999" s="81"/>
      <c r="IOQ2999" s="160"/>
      <c r="IOR2999" s="565"/>
      <c r="IOS2999" s="125"/>
      <c r="IOT2999" s="470"/>
      <c r="IOU2999" s="449"/>
      <c r="IOV2999" s="462"/>
      <c r="IOW2999" s="299"/>
      <c r="IOX2999" s="81"/>
      <c r="IOY2999" s="160"/>
      <c r="IOZ2999" s="565"/>
      <c r="IPA2999" s="125"/>
      <c r="IPB2999" s="470"/>
      <c r="IPC2999" s="449"/>
      <c r="IPD2999" s="462"/>
      <c r="IPE2999" s="299"/>
      <c r="IPF2999" s="81"/>
      <c r="IPG2999" s="160"/>
      <c r="IPH2999" s="565"/>
      <c r="IPI2999" s="125"/>
      <c r="IPJ2999" s="470"/>
      <c r="IPK2999" s="449"/>
      <c r="IPL2999" s="462"/>
      <c r="IPM2999" s="299"/>
      <c r="IPN2999" s="81"/>
      <c r="IPO2999" s="160"/>
      <c r="IPP2999" s="565"/>
      <c r="IPQ2999" s="125"/>
      <c r="IPR2999" s="470"/>
      <c r="IPS2999" s="449"/>
      <c r="IPT2999" s="462"/>
      <c r="IPU2999" s="299"/>
      <c r="IPV2999" s="81"/>
      <c r="IPW2999" s="160"/>
      <c r="IPX2999" s="565"/>
      <c r="IPY2999" s="125"/>
      <c r="IPZ2999" s="470"/>
      <c r="IQA2999" s="449"/>
      <c r="IQB2999" s="462"/>
      <c r="IQC2999" s="299"/>
      <c r="IQD2999" s="81"/>
      <c r="IQE2999" s="160"/>
      <c r="IQF2999" s="565"/>
      <c r="IQG2999" s="125"/>
      <c r="IQH2999" s="470"/>
      <c r="IQI2999" s="449"/>
      <c r="IQJ2999" s="462"/>
      <c r="IQK2999" s="299"/>
      <c r="IQL2999" s="81"/>
      <c r="IQM2999" s="160"/>
      <c r="IQN2999" s="565"/>
      <c r="IQO2999" s="125"/>
      <c r="IQP2999" s="470"/>
      <c r="IQQ2999" s="449"/>
      <c r="IQR2999" s="462"/>
      <c r="IQS2999" s="299"/>
      <c r="IQT2999" s="81"/>
      <c r="IQU2999" s="160"/>
      <c r="IQV2999" s="565"/>
      <c r="IQW2999" s="125"/>
      <c r="IQX2999" s="470"/>
      <c r="IQY2999" s="449"/>
      <c r="IQZ2999" s="462"/>
      <c r="IRA2999" s="299"/>
      <c r="IRB2999" s="81"/>
      <c r="IRC2999" s="160"/>
      <c r="IRD2999" s="565"/>
      <c r="IRE2999" s="125"/>
      <c r="IRF2999" s="470"/>
      <c r="IRG2999" s="449"/>
      <c r="IRH2999" s="462"/>
      <c r="IRI2999" s="299"/>
      <c r="IRJ2999" s="81"/>
      <c r="IRK2999" s="160"/>
      <c r="IRL2999" s="565"/>
      <c r="IRM2999" s="125"/>
      <c r="IRN2999" s="470"/>
      <c r="IRO2999" s="449"/>
      <c r="IRP2999" s="462"/>
      <c r="IRQ2999" s="299"/>
      <c r="IRR2999" s="81"/>
      <c r="IRS2999" s="160"/>
      <c r="IRT2999" s="565"/>
      <c r="IRU2999" s="125"/>
      <c r="IRV2999" s="470"/>
      <c r="IRW2999" s="449"/>
      <c r="IRX2999" s="462"/>
      <c r="IRY2999" s="299"/>
      <c r="IRZ2999" s="81"/>
      <c r="ISA2999" s="160"/>
      <c r="ISB2999" s="565"/>
      <c r="ISC2999" s="125"/>
      <c r="ISD2999" s="470"/>
      <c r="ISE2999" s="449"/>
      <c r="ISF2999" s="462"/>
      <c r="ISG2999" s="299"/>
      <c r="ISH2999" s="81"/>
      <c r="ISI2999" s="160"/>
      <c r="ISJ2999" s="565"/>
      <c r="ISK2999" s="125"/>
      <c r="ISL2999" s="470"/>
      <c r="ISM2999" s="449"/>
      <c r="ISN2999" s="462"/>
      <c r="ISO2999" s="299"/>
      <c r="ISP2999" s="81"/>
      <c r="ISQ2999" s="160"/>
      <c r="ISR2999" s="565"/>
      <c r="ISS2999" s="125"/>
      <c r="IST2999" s="470"/>
      <c r="ISU2999" s="449"/>
      <c r="ISV2999" s="462"/>
      <c r="ISW2999" s="299"/>
      <c r="ISX2999" s="81"/>
      <c r="ISY2999" s="160"/>
      <c r="ISZ2999" s="565"/>
      <c r="ITA2999" s="125"/>
      <c r="ITB2999" s="470"/>
      <c r="ITC2999" s="449"/>
      <c r="ITD2999" s="462"/>
      <c r="ITE2999" s="299"/>
      <c r="ITF2999" s="81"/>
      <c r="ITG2999" s="160"/>
      <c r="ITH2999" s="565"/>
      <c r="ITI2999" s="125"/>
      <c r="ITJ2999" s="470"/>
      <c r="ITK2999" s="449"/>
      <c r="ITL2999" s="462"/>
      <c r="ITM2999" s="299"/>
      <c r="ITN2999" s="81"/>
      <c r="ITO2999" s="160"/>
      <c r="ITP2999" s="565"/>
      <c r="ITQ2999" s="125"/>
      <c r="ITR2999" s="470"/>
      <c r="ITS2999" s="449"/>
      <c r="ITT2999" s="462"/>
      <c r="ITU2999" s="299"/>
      <c r="ITV2999" s="81"/>
      <c r="ITW2999" s="160"/>
      <c r="ITX2999" s="565"/>
      <c r="ITY2999" s="125"/>
      <c r="ITZ2999" s="470"/>
      <c r="IUA2999" s="449"/>
      <c r="IUB2999" s="462"/>
      <c r="IUC2999" s="299"/>
      <c r="IUD2999" s="81"/>
      <c r="IUE2999" s="160"/>
      <c r="IUF2999" s="565"/>
      <c r="IUG2999" s="125"/>
      <c r="IUH2999" s="470"/>
      <c r="IUI2999" s="449"/>
      <c r="IUJ2999" s="462"/>
      <c r="IUK2999" s="299"/>
      <c r="IUL2999" s="81"/>
      <c r="IUM2999" s="160"/>
      <c r="IUN2999" s="565"/>
      <c r="IUO2999" s="125"/>
      <c r="IUP2999" s="470"/>
      <c r="IUQ2999" s="449"/>
      <c r="IUR2999" s="462"/>
      <c r="IUS2999" s="299"/>
      <c r="IUT2999" s="81"/>
      <c r="IUU2999" s="160"/>
      <c r="IUV2999" s="565"/>
      <c r="IUW2999" s="125"/>
      <c r="IUX2999" s="470"/>
      <c r="IUY2999" s="449"/>
      <c r="IUZ2999" s="462"/>
      <c r="IVA2999" s="299"/>
      <c r="IVB2999" s="81"/>
      <c r="IVC2999" s="160"/>
      <c r="IVD2999" s="565"/>
      <c r="IVE2999" s="125"/>
      <c r="IVF2999" s="470"/>
      <c r="IVG2999" s="449"/>
      <c r="IVH2999" s="462"/>
      <c r="IVI2999" s="299"/>
      <c r="IVJ2999" s="81"/>
      <c r="IVK2999" s="160"/>
      <c r="IVL2999" s="565"/>
      <c r="IVM2999" s="125"/>
      <c r="IVN2999" s="470"/>
      <c r="IVO2999" s="449"/>
      <c r="IVP2999" s="462"/>
      <c r="IVQ2999" s="299"/>
      <c r="IVR2999" s="81"/>
      <c r="IVS2999" s="160"/>
      <c r="IVT2999" s="565"/>
      <c r="IVU2999" s="125"/>
      <c r="IVV2999" s="470"/>
      <c r="IVW2999" s="449"/>
      <c r="IVX2999" s="462"/>
      <c r="IVY2999" s="299"/>
      <c r="IVZ2999" s="81"/>
      <c r="IWA2999" s="160"/>
      <c r="IWB2999" s="565"/>
      <c r="IWC2999" s="125"/>
      <c r="IWD2999" s="470"/>
      <c r="IWE2999" s="449"/>
      <c r="IWF2999" s="462"/>
      <c r="IWG2999" s="299"/>
      <c r="IWH2999" s="81"/>
      <c r="IWI2999" s="160"/>
      <c r="IWJ2999" s="565"/>
      <c r="IWK2999" s="125"/>
      <c r="IWL2999" s="470"/>
      <c r="IWM2999" s="449"/>
      <c r="IWN2999" s="462"/>
      <c r="IWO2999" s="299"/>
      <c r="IWP2999" s="81"/>
      <c r="IWQ2999" s="160"/>
      <c r="IWR2999" s="565"/>
      <c r="IWS2999" s="125"/>
      <c r="IWT2999" s="470"/>
      <c r="IWU2999" s="449"/>
      <c r="IWV2999" s="462"/>
      <c r="IWW2999" s="299"/>
      <c r="IWX2999" s="81"/>
      <c r="IWY2999" s="160"/>
      <c r="IWZ2999" s="565"/>
      <c r="IXA2999" s="125"/>
      <c r="IXB2999" s="470"/>
      <c r="IXC2999" s="449"/>
      <c r="IXD2999" s="462"/>
      <c r="IXE2999" s="299"/>
      <c r="IXF2999" s="81"/>
      <c r="IXG2999" s="160"/>
      <c r="IXH2999" s="565"/>
      <c r="IXI2999" s="125"/>
      <c r="IXJ2999" s="470"/>
      <c r="IXK2999" s="449"/>
      <c r="IXL2999" s="462"/>
      <c r="IXM2999" s="299"/>
      <c r="IXN2999" s="81"/>
      <c r="IXO2999" s="160"/>
      <c r="IXP2999" s="565"/>
      <c r="IXQ2999" s="125"/>
      <c r="IXR2999" s="470"/>
      <c r="IXS2999" s="449"/>
      <c r="IXT2999" s="462"/>
      <c r="IXU2999" s="299"/>
      <c r="IXV2999" s="81"/>
      <c r="IXW2999" s="160"/>
      <c r="IXX2999" s="565"/>
      <c r="IXY2999" s="125"/>
      <c r="IXZ2999" s="470"/>
      <c r="IYA2999" s="449"/>
      <c r="IYB2999" s="462"/>
      <c r="IYC2999" s="299"/>
      <c r="IYD2999" s="81"/>
      <c r="IYE2999" s="160"/>
      <c r="IYF2999" s="565"/>
      <c r="IYG2999" s="125"/>
      <c r="IYH2999" s="470"/>
      <c r="IYI2999" s="449"/>
      <c r="IYJ2999" s="462"/>
      <c r="IYK2999" s="299"/>
      <c r="IYL2999" s="81"/>
      <c r="IYM2999" s="160"/>
      <c r="IYN2999" s="565"/>
      <c r="IYO2999" s="125"/>
      <c r="IYP2999" s="470"/>
      <c r="IYQ2999" s="449"/>
      <c r="IYR2999" s="462"/>
      <c r="IYS2999" s="299"/>
      <c r="IYT2999" s="81"/>
      <c r="IYU2999" s="160"/>
      <c r="IYV2999" s="565"/>
      <c r="IYW2999" s="125"/>
      <c r="IYX2999" s="470"/>
      <c r="IYY2999" s="449"/>
      <c r="IYZ2999" s="462"/>
      <c r="IZA2999" s="299"/>
      <c r="IZB2999" s="81"/>
      <c r="IZC2999" s="160"/>
      <c r="IZD2999" s="565"/>
      <c r="IZE2999" s="125"/>
      <c r="IZF2999" s="470"/>
      <c r="IZG2999" s="449"/>
      <c r="IZH2999" s="462"/>
      <c r="IZI2999" s="299"/>
      <c r="IZJ2999" s="81"/>
      <c r="IZK2999" s="160"/>
      <c r="IZL2999" s="565"/>
      <c r="IZM2999" s="125"/>
      <c r="IZN2999" s="470"/>
      <c r="IZO2999" s="449"/>
      <c r="IZP2999" s="462"/>
      <c r="IZQ2999" s="299"/>
      <c r="IZR2999" s="81"/>
      <c r="IZS2999" s="160"/>
      <c r="IZT2999" s="565"/>
      <c r="IZU2999" s="125"/>
      <c r="IZV2999" s="470"/>
      <c r="IZW2999" s="449"/>
      <c r="IZX2999" s="462"/>
      <c r="IZY2999" s="299"/>
      <c r="IZZ2999" s="81"/>
      <c r="JAA2999" s="160"/>
      <c r="JAB2999" s="565"/>
      <c r="JAC2999" s="125"/>
      <c r="JAD2999" s="470"/>
      <c r="JAE2999" s="449"/>
      <c r="JAF2999" s="462"/>
      <c r="JAG2999" s="299"/>
      <c r="JAH2999" s="81"/>
      <c r="JAI2999" s="160"/>
      <c r="JAJ2999" s="565"/>
      <c r="JAK2999" s="125"/>
      <c r="JAL2999" s="470"/>
      <c r="JAM2999" s="449"/>
      <c r="JAN2999" s="462"/>
      <c r="JAO2999" s="299"/>
      <c r="JAP2999" s="81"/>
      <c r="JAQ2999" s="160"/>
      <c r="JAR2999" s="565"/>
      <c r="JAS2999" s="125"/>
      <c r="JAT2999" s="470"/>
      <c r="JAU2999" s="449"/>
      <c r="JAV2999" s="462"/>
      <c r="JAW2999" s="299"/>
      <c r="JAX2999" s="81"/>
      <c r="JAY2999" s="160"/>
      <c r="JAZ2999" s="565"/>
      <c r="JBA2999" s="125"/>
      <c r="JBB2999" s="470"/>
      <c r="JBC2999" s="449"/>
      <c r="JBD2999" s="462"/>
      <c r="JBE2999" s="299"/>
      <c r="JBF2999" s="81"/>
      <c r="JBG2999" s="160"/>
      <c r="JBH2999" s="565"/>
      <c r="JBI2999" s="125"/>
      <c r="JBJ2999" s="470"/>
      <c r="JBK2999" s="449"/>
      <c r="JBL2999" s="462"/>
      <c r="JBM2999" s="299"/>
      <c r="JBN2999" s="81"/>
      <c r="JBO2999" s="160"/>
      <c r="JBP2999" s="565"/>
      <c r="JBQ2999" s="125"/>
      <c r="JBR2999" s="470"/>
      <c r="JBS2999" s="449"/>
      <c r="JBT2999" s="462"/>
      <c r="JBU2999" s="299"/>
      <c r="JBV2999" s="81"/>
      <c r="JBW2999" s="160"/>
      <c r="JBX2999" s="565"/>
      <c r="JBY2999" s="125"/>
      <c r="JBZ2999" s="470"/>
      <c r="JCA2999" s="449"/>
      <c r="JCB2999" s="462"/>
      <c r="JCC2999" s="299"/>
      <c r="JCD2999" s="81"/>
      <c r="JCE2999" s="160"/>
      <c r="JCF2999" s="565"/>
      <c r="JCG2999" s="125"/>
      <c r="JCH2999" s="470"/>
      <c r="JCI2999" s="449"/>
      <c r="JCJ2999" s="462"/>
      <c r="JCK2999" s="299"/>
      <c r="JCL2999" s="81"/>
      <c r="JCM2999" s="160"/>
      <c r="JCN2999" s="565"/>
      <c r="JCO2999" s="125"/>
      <c r="JCP2999" s="470"/>
      <c r="JCQ2999" s="449"/>
      <c r="JCR2999" s="462"/>
      <c r="JCS2999" s="299"/>
      <c r="JCT2999" s="81"/>
      <c r="JCU2999" s="160"/>
      <c r="JCV2999" s="565"/>
      <c r="JCW2999" s="125"/>
      <c r="JCX2999" s="470"/>
      <c r="JCY2999" s="449"/>
      <c r="JCZ2999" s="462"/>
      <c r="JDA2999" s="299"/>
      <c r="JDB2999" s="81"/>
      <c r="JDC2999" s="160"/>
      <c r="JDD2999" s="565"/>
      <c r="JDE2999" s="125"/>
      <c r="JDF2999" s="470"/>
      <c r="JDG2999" s="449"/>
      <c r="JDH2999" s="462"/>
      <c r="JDI2999" s="299"/>
      <c r="JDJ2999" s="81"/>
      <c r="JDK2999" s="160"/>
      <c r="JDL2999" s="565"/>
      <c r="JDM2999" s="125"/>
      <c r="JDN2999" s="470"/>
      <c r="JDO2999" s="449"/>
      <c r="JDP2999" s="462"/>
      <c r="JDQ2999" s="299"/>
      <c r="JDR2999" s="81"/>
      <c r="JDS2999" s="160"/>
      <c r="JDT2999" s="565"/>
      <c r="JDU2999" s="125"/>
      <c r="JDV2999" s="470"/>
      <c r="JDW2999" s="449"/>
      <c r="JDX2999" s="462"/>
      <c r="JDY2999" s="299"/>
      <c r="JDZ2999" s="81"/>
      <c r="JEA2999" s="160"/>
      <c r="JEB2999" s="565"/>
      <c r="JEC2999" s="125"/>
      <c r="JED2999" s="470"/>
      <c r="JEE2999" s="449"/>
      <c r="JEF2999" s="462"/>
      <c r="JEG2999" s="299"/>
      <c r="JEH2999" s="81"/>
      <c r="JEI2999" s="160"/>
      <c r="JEJ2999" s="565"/>
      <c r="JEK2999" s="125"/>
      <c r="JEL2999" s="470"/>
      <c r="JEM2999" s="449"/>
      <c r="JEN2999" s="462"/>
      <c r="JEO2999" s="299"/>
      <c r="JEP2999" s="81"/>
      <c r="JEQ2999" s="160"/>
      <c r="JER2999" s="565"/>
      <c r="JES2999" s="125"/>
      <c r="JET2999" s="470"/>
      <c r="JEU2999" s="449"/>
      <c r="JEV2999" s="462"/>
      <c r="JEW2999" s="299"/>
      <c r="JEX2999" s="81"/>
      <c r="JEY2999" s="160"/>
      <c r="JEZ2999" s="565"/>
      <c r="JFA2999" s="125"/>
      <c r="JFB2999" s="470"/>
      <c r="JFC2999" s="449"/>
      <c r="JFD2999" s="462"/>
      <c r="JFE2999" s="299"/>
      <c r="JFF2999" s="81"/>
      <c r="JFG2999" s="160"/>
      <c r="JFH2999" s="565"/>
      <c r="JFI2999" s="125"/>
      <c r="JFJ2999" s="470"/>
      <c r="JFK2999" s="449"/>
      <c r="JFL2999" s="462"/>
      <c r="JFM2999" s="299"/>
      <c r="JFN2999" s="81"/>
      <c r="JFO2999" s="160"/>
      <c r="JFP2999" s="565"/>
      <c r="JFQ2999" s="125"/>
      <c r="JFR2999" s="470"/>
      <c r="JFS2999" s="449"/>
      <c r="JFT2999" s="462"/>
      <c r="JFU2999" s="299"/>
      <c r="JFV2999" s="81"/>
      <c r="JFW2999" s="160"/>
      <c r="JFX2999" s="565"/>
      <c r="JFY2999" s="125"/>
      <c r="JFZ2999" s="470"/>
      <c r="JGA2999" s="449"/>
      <c r="JGB2999" s="462"/>
      <c r="JGC2999" s="299"/>
      <c r="JGD2999" s="81"/>
      <c r="JGE2999" s="160"/>
      <c r="JGF2999" s="565"/>
      <c r="JGG2999" s="125"/>
      <c r="JGH2999" s="470"/>
      <c r="JGI2999" s="449"/>
      <c r="JGJ2999" s="462"/>
      <c r="JGK2999" s="299"/>
      <c r="JGL2999" s="81"/>
      <c r="JGM2999" s="160"/>
      <c r="JGN2999" s="565"/>
      <c r="JGO2999" s="125"/>
      <c r="JGP2999" s="470"/>
      <c r="JGQ2999" s="449"/>
      <c r="JGR2999" s="462"/>
      <c r="JGS2999" s="299"/>
      <c r="JGT2999" s="81"/>
      <c r="JGU2999" s="160"/>
      <c r="JGV2999" s="565"/>
      <c r="JGW2999" s="125"/>
      <c r="JGX2999" s="470"/>
      <c r="JGY2999" s="449"/>
      <c r="JGZ2999" s="462"/>
      <c r="JHA2999" s="299"/>
      <c r="JHB2999" s="81"/>
      <c r="JHC2999" s="160"/>
      <c r="JHD2999" s="565"/>
      <c r="JHE2999" s="125"/>
      <c r="JHF2999" s="470"/>
      <c r="JHG2999" s="449"/>
      <c r="JHH2999" s="462"/>
      <c r="JHI2999" s="299"/>
      <c r="JHJ2999" s="81"/>
      <c r="JHK2999" s="160"/>
      <c r="JHL2999" s="565"/>
      <c r="JHM2999" s="125"/>
      <c r="JHN2999" s="470"/>
      <c r="JHO2999" s="449"/>
      <c r="JHP2999" s="462"/>
      <c r="JHQ2999" s="299"/>
      <c r="JHR2999" s="81"/>
      <c r="JHS2999" s="160"/>
      <c r="JHT2999" s="565"/>
      <c r="JHU2999" s="125"/>
      <c r="JHV2999" s="470"/>
      <c r="JHW2999" s="449"/>
      <c r="JHX2999" s="462"/>
      <c r="JHY2999" s="299"/>
      <c r="JHZ2999" s="81"/>
      <c r="JIA2999" s="160"/>
      <c r="JIB2999" s="565"/>
      <c r="JIC2999" s="125"/>
      <c r="JID2999" s="470"/>
      <c r="JIE2999" s="449"/>
      <c r="JIF2999" s="462"/>
      <c r="JIG2999" s="299"/>
      <c r="JIH2999" s="81"/>
      <c r="JII2999" s="160"/>
      <c r="JIJ2999" s="565"/>
      <c r="JIK2999" s="125"/>
      <c r="JIL2999" s="470"/>
      <c r="JIM2999" s="449"/>
      <c r="JIN2999" s="462"/>
      <c r="JIO2999" s="299"/>
      <c r="JIP2999" s="81"/>
      <c r="JIQ2999" s="160"/>
      <c r="JIR2999" s="565"/>
      <c r="JIS2999" s="125"/>
      <c r="JIT2999" s="470"/>
      <c r="JIU2999" s="449"/>
      <c r="JIV2999" s="462"/>
      <c r="JIW2999" s="299"/>
      <c r="JIX2999" s="81"/>
      <c r="JIY2999" s="160"/>
      <c r="JIZ2999" s="565"/>
      <c r="JJA2999" s="125"/>
      <c r="JJB2999" s="470"/>
      <c r="JJC2999" s="449"/>
      <c r="JJD2999" s="462"/>
      <c r="JJE2999" s="299"/>
      <c r="JJF2999" s="81"/>
      <c r="JJG2999" s="160"/>
      <c r="JJH2999" s="565"/>
      <c r="JJI2999" s="125"/>
      <c r="JJJ2999" s="470"/>
      <c r="JJK2999" s="449"/>
      <c r="JJL2999" s="462"/>
      <c r="JJM2999" s="299"/>
      <c r="JJN2999" s="81"/>
      <c r="JJO2999" s="160"/>
      <c r="JJP2999" s="565"/>
      <c r="JJQ2999" s="125"/>
      <c r="JJR2999" s="470"/>
      <c r="JJS2999" s="449"/>
      <c r="JJT2999" s="462"/>
      <c r="JJU2999" s="299"/>
      <c r="JJV2999" s="81"/>
      <c r="JJW2999" s="160"/>
      <c r="JJX2999" s="565"/>
      <c r="JJY2999" s="125"/>
      <c r="JJZ2999" s="470"/>
      <c r="JKA2999" s="449"/>
      <c r="JKB2999" s="462"/>
      <c r="JKC2999" s="299"/>
      <c r="JKD2999" s="81"/>
      <c r="JKE2999" s="160"/>
      <c r="JKF2999" s="565"/>
      <c r="JKG2999" s="125"/>
      <c r="JKH2999" s="470"/>
      <c r="JKI2999" s="449"/>
      <c r="JKJ2999" s="462"/>
      <c r="JKK2999" s="299"/>
      <c r="JKL2999" s="81"/>
      <c r="JKM2999" s="160"/>
      <c r="JKN2999" s="565"/>
      <c r="JKO2999" s="125"/>
      <c r="JKP2999" s="470"/>
      <c r="JKQ2999" s="449"/>
      <c r="JKR2999" s="462"/>
      <c r="JKS2999" s="299"/>
      <c r="JKT2999" s="81"/>
      <c r="JKU2999" s="160"/>
      <c r="JKV2999" s="565"/>
      <c r="JKW2999" s="125"/>
      <c r="JKX2999" s="470"/>
      <c r="JKY2999" s="449"/>
      <c r="JKZ2999" s="462"/>
      <c r="JLA2999" s="299"/>
      <c r="JLB2999" s="81"/>
      <c r="JLC2999" s="160"/>
      <c r="JLD2999" s="565"/>
      <c r="JLE2999" s="125"/>
      <c r="JLF2999" s="470"/>
      <c r="JLG2999" s="449"/>
      <c r="JLH2999" s="462"/>
      <c r="JLI2999" s="299"/>
      <c r="JLJ2999" s="81"/>
      <c r="JLK2999" s="160"/>
      <c r="JLL2999" s="565"/>
      <c r="JLM2999" s="125"/>
      <c r="JLN2999" s="470"/>
      <c r="JLO2999" s="449"/>
      <c r="JLP2999" s="462"/>
      <c r="JLQ2999" s="299"/>
      <c r="JLR2999" s="81"/>
      <c r="JLS2999" s="160"/>
      <c r="JLT2999" s="565"/>
      <c r="JLU2999" s="125"/>
      <c r="JLV2999" s="470"/>
      <c r="JLW2999" s="449"/>
      <c r="JLX2999" s="462"/>
      <c r="JLY2999" s="299"/>
      <c r="JLZ2999" s="81"/>
      <c r="JMA2999" s="160"/>
      <c r="JMB2999" s="565"/>
      <c r="JMC2999" s="125"/>
      <c r="JMD2999" s="470"/>
      <c r="JME2999" s="449"/>
      <c r="JMF2999" s="462"/>
      <c r="JMG2999" s="299"/>
      <c r="JMH2999" s="81"/>
      <c r="JMI2999" s="160"/>
      <c r="JMJ2999" s="565"/>
      <c r="JMK2999" s="125"/>
      <c r="JML2999" s="470"/>
      <c r="JMM2999" s="449"/>
      <c r="JMN2999" s="462"/>
      <c r="JMO2999" s="299"/>
      <c r="JMP2999" s="81"/>
      <c r="JMQ2999" s="160"/>
      <c r="JMR2999" s="565"/>
      <c r="JMS2999" s="125"/>
      <c r="JMT2999" s="470"/>
      <c r="JMU2999" s="449"/>
      <c r="JMV2999" s="462"/>
      <c r="JMW2999" s="299"/>
      <c r="JMX2999" s="81"/>
      <c r="JMY2999" s="160"/>
      <c r="JMZ2999" s="565"/>
      <c r="JNA2999" s="125"/>
      <c r="JNB2999" s="470"/>
      <c r="JNC2999" s="449"/>
      <c r="JND2999" s="462"/>
      <c r="JNE2999" s="299"/>
      <c r="JNF2999" s="81"/>
      <c r="JNG2999" s="160"/>
      <c r="JNH2999" s="565"/>
      <c r="JNI2999" s="125"/>
      <c r="JNJ2999" s="470"/>
      <c r="JNK2999" s="449"/>
      <c r="JNL2999" s="462"/>
      <c r="JNM2999" s="299"/>
      <c r="JNN2999" s="81"/>
      <c r="JNO2999" s="160"/>
      <c r="JNP2999" s="565"/>
      <c r="JNQ2999" s="125"/>
      <c r="JNR2999" s="470"/>
      <c r="JNS2999" s="449"/>
      <c r="JNT2999" s="462"/>
      <c r="JNU2999" s="299"/>
      <c r="JNV2999" s="81"/>
      <c r="JNW2999" s="160"/>
      <c r="JNX2999" s="565"/>
      <c r="JNY2999" s="125"/>
      <c r="JNZ2999" s="470"/>
      <c r="JOA2999" s="449"/>
      <c r="JOB2999" s="462"/>
      <c r="JOC2999" s="299"/>
      <c r="JOD2999" s="81"/>
      <c r="JOE2999" s="160"/>
      <c r="JOF2999" s="565"/>
      <c r="JOG2999" s="125"/>
      <c r="JOH2999" s="470"/>
      <c r="JOI2999" s="449"/>
      <c r="JOJ2999" s="462"/>
      <c r="JOK2999" s="299"/>
      <c r="JOL2999" s="81"/>
      <c r="JOM2999" s="160"/>
      <c r="JON2999" s="565"/>
      <c r="JOO2999" s="125"/>
      <c r="JOP2999" s="470"/>
      <c r="JOQ2999" s="449"/>
      <c r="JOR2999" s="462"/>
      <c r="JOS2999" s="299"/>
      <c r="JOT2999" s="81"/>
      <c r="JOU2999" s="160"/>
      <c r="JOV2999" s="565"/>
      <c r="JOW2999" s="125"/>
      <c r="JOX2999" s="470"/>
      <c r="JOY2999" s="449"/>
      <c r="JOZ2999" s="462"/>
      <c r="JPA2999" s="299"/>
      <c r="JPB2999" s="81"/>
      <c r="JPC2999" s="160"/>
      <c r="JPD2999" s="565"/>
      <c r="JPE2999" s="125"/>
      <c r="JPF2999" s="470"/>
      <c r="JPG2999" s="449"/>
      <c r="JPH2999" s="462"/>
      <c r="JPI2999" s="299"/>
      <c r="JPJ2999" s="81"/>
      <c r="JPK2999" s="160"/>
      <c r="JPL2999" s="565"/>
      <c r="JPM2999" s="125"/>
      <c r="JPN2999" s="470"/>
      <c r="JPO2999" s="449"/>
      <c r="JPP2999" s="462"/>
      <c r="JPQ2999" s="299"/>
      <c r="JPR2999" s="81"/>
      <c r="JPS2999" s="160"/>
      <c r="JPT2999" s="565"/>
      <c r="JPU2999" s="125"/>
      <c r="JPV2999" s="470"/>
      <c r="JPW2999" s="449"/>
      <c r="JPX2999" s="462"/>
      <c r="JPY2999" s="299"/>
      <c r="JPZ2999" s="81"/>
      <c r="JQA2999" s="160"/>
      <c r="JQB2999" s="565"/>
      <c r="JQC2999" s="125"/>
      <c r="JQD2999" s="470"/>
      <c r="JQE2999" s="449"/>
      <c r="JQF2999" s="462"/>
      <c r="JQG2999" s="299"/>
      <c r="JQH2999" s="81"/>
      <c r="JQI2999" s="160"/>
      <c r="JQJ2999" s="565"/>
      <c r="JQK2999" s="125"/>
      <c r="JQL2999" s="470"/>
      <c r="JQM2999" s="449"/>
      <c r="JQN2999" s="462"/>
      <c r="JQO2999" s="299"/>
      <c r="JQP2999" s="81"/>
      <c r="JQQ2999" s="160"/>
      <c r="JQR2999" s="565"/>
      <c r="JQS2999" s="125"/>
      <c r="JQT2999" s="470"/>
      <c r="JQU2999" s="449"/>
      <c r="JQV2999" s="462"/>
      <c r="JQW2999" s="299"/>
      <c r="JQX2999" s="81"/>
      <c r="JQY2999" s="160"/>
      <c r="JQZ2999" s="565"/>
      <c r="JRA2999" s="125"/>
      <c r="JRB2999" s="470"/>
      <c r="JRC2999" s="449"/>
      <c r="JRD2999" s="462"/>
      <c r="JRE2999" s="299"/>
      <c r="JRF2999" s="81"/>
      <c r="JRG2999" s="160"/>
      <c r="JRH2999" s="565"/>
      <c r="JRI2999" s="125"/>
      <c r="JRJ2999" s="470"/>
      <c r="JRK2999" s="449"/>
      <c r="JRL2999" s="462"/>
      <c r="JRM2999" s="299"/>
      <c r="JRN2999" s="81"/>
      <c r="JRO2999" s="160"/>
      <c r="JRP2999" s="565"/>
      <c r="JRQ2999" s="125"/>
      <c r="JRR2999" s="470"/>
      <c r="JRS2999" s="449"/>
      <c r="JRT2999" s="462"/>
      <c r="JRU2999" s="299"/>
      <c r="JRV2999" s="81"/>
      <c r="JRW2999" s="160"/>
      <c r="JRX2999" s="565"/>
      <c r="JRY2999" s="125"/>
      <c r="JRZ2999" s="470"/>
      <c r="JSA2999" s="449"/>
      <c r="JSB2999" s="462"/>
      <c r="JSC2999" s="299"/>
      <c r="JSD2999" s="81"/>
      <c r="JSE2999" s="160"/>
      <c r="JSF2999" s="565"/>
      <c r="JSG2999" s="125"/>
      <c r="JSH2999" s="470"/>
      <c r="JSI2999" s="449"/>
      <c r="JSJ2999" s="462"/>
      <c r="JSK2999" s="299"/>
      <c r="JSL2999" s="81"/>
      <c r="JSM2999" s="160"/>
      <c r="JSN2999" s="565"/>
      <c r="JSO2999" s="125"/>
      <c r="JSP2999" s="470"/>
      <c r="JSQ2999" s="449"/>
      <c r="JSR2999" s="462"/>
      <c r="JSS2999" s="299"/>
      <c r="JST2999" s="81"/>
      <c r="JSU2999" s="160"/>
      <c r="JSV2999" s="565"/>
      <c r="JSW2999" s="125"/>
      <c r="JSX2999" s="470"/>
      <c r="JSY2999" s="449"/>
      <c r="JSZ2999" s="462"/>
      <c r="JTA2999" s="299"/>
      <c r="JTB2999" s="81"/>
      <c r="JTC2999" s="160"/>
      <c r="JTD2999" s="565"/>
      <c r="JTE2999" s="125"/>
      <c r="JTF2999" s="470"/>
      <c r="JTG2999" s="449"/>
      <c r="JTH2999" s="462"/>
      <c r="JTI2999" s="299"/>
      <c r="JTJ2999" s="81"/>
      <c r="JTK2999" s="160"/>
      <c r="JTL2999" s="565"/>
      <c r="JTM2999" s="125"/>
      <c r="JTN2999" s="470"/>
      <c r="JTO2999" s="449"/>
      <c r="JTP2999" s="462"/>
      <c r="JTQ2999" s="299"/>
      <c r="JTR2999" s="81"/>
      <c r="JTS2999" s="160"/>
      <c r="JTT2999" s="565"/>
      <c r="JTU2999" s="125"/>
      <c r="JTV2999" s="470"/>
      <c r="JTW2999" s="449"/>
      <c r="JTX2999" s="462"/>
      <c r="JTY2999" s="299"/>
      <c r="JTZ2999" s="81"/>
      <c r="JUA2999" s="160"/>
      <c r="JUB2999" s="565"/>
      <c r="JUC2999" s="125"/>
      <c r="JUD2999" s="470"/>
      <c r="JUE2999" s="449"/>
      <c r="JUF2999" s="462"/>
      <c r="JUG2999" s="299"/>
      <c r="JUH2999" s="81"/>
      <c r="JUI2999" s="160"/>
      <c r="JUJ2999" s="565"/>
      <c r="JUK2999" s="125"/>
      <c r="JUL2999" s="470"/>
      <c r="JUM2999" s="449"/>
      <c r="JUN2999" s="462"/>
      <c r="JUO2999" s="299"/>
      <c r="JUP2999" s="81"/>
      <c r="JUQ2999" s="160"/>
      <c r="JUR2999" s="565"/>
      <c r="JUS2999" s="125"/>
      <c r="JUT2999" s="470"/>
      <c r="JUU2999" s="449"/>
      <c r="JUV2999" s="462"/>
      <c r="JUW2999" s="299"/>
      <c r="JUX2999" s="81"/>
      <c r="JUY2999" s="160"/>
      <c r="JUZ2999" s="565"/>
      <c r="JVA2999" s="125"/>
      <c r="JVB2999" s="470"/>
      <c r="JVC2999" s="449"/>
      <c r="JVD2999" s="462"/>
      <c r="JVE2999" s="299"/>
      <c r="JVF2999" s="81"/>
      <c r="JVG2999" s="160"/>
      <c r="JVH2999" s="565"/>
      <c r="JVI2999" s="125"/>
      <c r="JVJ2999" s="470"/>
      <c r="JVK2999" s="449"/>
      <c r="JVL2999" s="462"/>
      <c r="JVM2999" s="299"/>
      <c r="JVN2999" s="81"/>
      <c r="JVO2999" s="160"/>
      <c r="JVP2999" s="565"/>
      <c r="JVQ2999" s="125"/>
      <c r="JVR2999" s="470"/>
      <c r="JVS2999" s="449"/>
      <c r="JVT2999" s="462"/>
      <c r="JVU2999" s="299"/>
      <c r="JVV2999" s="81"/>
      <c r="JVW2999" s="160"/>
      <c r="JVX2999" s="565"/>
      <c r="JVY2999" s="125"/>
      <c r="JVZ2999" s="470"/>
      <c r="JWA2999" s="449"/>
      <c r="JWB2999" s="462"/>
      <c r="JWC2999" s="299"/>
      <c r="JWD2999" s="81"/>
      <c r="JWE2999" s="160"/>
      <c r="JWF2999" s="565"/>
      <c r="JWG2999" s="125"/>
      <c r="JWH2999" s="470"/>
      <c r="JWI2999" s="449"/>
      <c r="JWJ2999" s="462"/>
      <c r="JWK2999" s="299"/>
      <c r="JWL2999" s="81"/>
      <c r="JWM2999" s="160"/>
      <c r="JWN2999" s="565"/>
      <c r="JWO2999" s="125"/>
      <c r="JWP2999" s="470"/>
      <c r="JWQ2999" s="449"/>
      <c r="JWR2999" s="462"/>
      <c r="JWS2999" s="299"/>
      <c r="JWT2999" s="81"/>
      <c r="JWU2999" s="160"/>
      <c r="JWV2999" s="565"/>
      <c r="JWW2999" s="125"/>
      <c r="JWX2999" s="470"/>
      <c r="JWY2999" s="449"/>
      <c r="JWZ2999" s="462"/>
      <c r="JXA2999" s="299"/>
      <c r="JXB2999" s="81"/>
      <c r="JXC2999" s="160"/>
      <c r="JXD2999" s="565"/>
      <c r="JXE2999" s="125"/>
      <c r="JXF2999" s="470"/>
      <c r="JXG2999" s="449"/>
      <c r="JXH2999" s="462"/>
      <c r="JXI2999" s="299"/>
      <c r="JXJ2999" s="81"/>
      <c r="JXK2999" s="160"/>
      <c r="JXL2999" s="565"/>
      <c r="JXM2999" s="125"/>
      <c r="JXN2999" s="470"/>
      <c r="JXO2999" s="449"/>
      <c r="JXP2999" s="462"/>
      <c r="JXQ2999" s="299"/>
      <c r="JXR2999" s="81"/>
      <c r="JXS2999" s="160"/>
      <c r="JXT2999" s="565"/>
      <c r="JXU2999" s="125"/>
      <c r="JXV2999" s="470"/>
      <c r="JXW2999" s="449"/>
      <c r="JXX2999" s="462"/>
      <c r="JXY2999" s="299"/>
      <c r="JXZ2999" s="81"/>
      <c r="JYA2999" s="160"/>
      <c r="JYB2999" s="565"/>
      <c r="JYC2999" s="125"/>
      <c r="JYD2999" s="470"/>
      <c r="JYE2999" s="449"/>
      <c r="JYF2999" s="462"/>
      <c r="JYG2999" s="299"/>
      <c r="JYH2999" s="81"/>
      <c r="JYI2999" s="160"/>
      <c r="JYJ2999" s="565"/>
      <c r="JYK2999" s="125"/>
      <c r="JYL2999" s="470"/>
      <c r="JYM2999" s="449"/>
      <c r="JYN2999" s="462"/>
      <c r="JYO2999" s="299"/>
      <c r="JYP2999" s="81"/>
      <c r="JYQ2999" s="160"/>
      <c r="JYR2999" s="565"/>
      <c r="JYS2999" s="125"/>
      <c r="JYT2999" s="470"/>
      <c r="JYU2999" s="449"/>
      <c r="JYV2999" s="462"/>
      <c r="JYW2999" s="299"/>
      <c r="JYX2999" s="81"/>
      <c r="JYY2999" s="160"/>
      <c r="JYZ2999" s="565"/>
      <c r="JZA2999" s="125"/>
      <c r="JZB2999" s="470"/>
      <c r="JZC2999" s="449"/>
      <c r="JZD2999" s="462"/>
      <c r="JZE2999" s="299"/>
      <c r="JZF2999" s="81"/>
      <c r="JZG2999" s="160"/>
      <c r="JZH2999" s="565"/>
      <c r="JZI2999" s="125"/>
      <c r="JZJ2999" s="470"/>
      <c r="JZK2999" s="449"/>
      <c r="JZL2999" s="462"/>
      <c r="JZM2999" s="299"/>
      <c r="JZN2999" s="81"/>
      <c r="JZO2999" s="160"/>
      <c r="JZP2999" s="565"/>
      <c r="JZQ2999" s="125"/>
      <c r="JZR2999" s="470"/>
      <c r="JZS2999" s="449"/>
      <c r="JZT2999" s="462"/>
      <c r="JZU2999" s="299"/>
      <c r="JZV2999" s="81"/>
      <c r="JZW2999" s="160"/>
      <c r="JZX2999" s="565"/>
      <c r="JZY2999" s="125"/>
      <c r="JZZ2999" s="470"/>
      <c r="KAA2999" s="449"/>
      <c r="KAB2999" s="462"/>
      <c r="KAC2999" s="299"/>
      <c r="KAD2999" s="81"/>
      <c r="KAE2999" s="160"/>
      <c r="KAF2999" s="565"/>
      <c r="KAG2999" s="125"/>
      <c r="KAH2999" s="470"/>
      <c r="KAI2999" s="449"/>
      <c r="KAJ2999" s="462"/>
      <c r="KAK2999" s="299"/>
      <c r="KAL2999" s="81"/>
      <c r="KAM2999" s="160"/>
      <c r="KAN2999" s="565"/>
      <c r="KAO2999" s="125"/>
      <c r="KAP2999" s="470"/>
      <c r="KAQ2999" s="449"/>
      <c r="KAR2999" s="462"/>
      <c r="KAS2999" s="299"/>
      <c r="KAT2999" s="81"/>
      <c r="KAU2999" s="160"/>
      <c r="KAV2999" s="565"/>
      <c r="KAW2999" s="125"/>
      <c r="KAX2999" s="470"/>
      <c r="KAY2999" s="449"/>
      <c r="KAZ2999" s="462"/>
      <c r="KBA2999" s="299"/>
      <c r="KBB2999" s="81"/>
      <c r="KBC2999" s="160"/>
      <c r="KBD2999" s="565"/>
      <c r="KBE2999" s="125"/>
      <c r="KBF2999" s="470"/>
      <c r="KBG2999" s="449"/>
      <c r="KBH2999" s="462"/>
      <c r="KBI2999" s="299"/>
      <c r="KBJ2999" s="81"/>
      <c r="KBK2999" s="160"/>
      <c r="KBL2999" s="565"/>
      <c r="KBM2999" s="125"/>
      <c r="KBN2999" s="470"/>
      <c r="KBO2999" s="449"/>
      <c r="KBP2999" s="462"/>
      <c r="KBQ2999" s="299"/>
      <c r="KBR2999" s="81"/>
      <c r="KBS2999" s="160"/>
      <c r="KBT2999" s="565"/>
      <c r="KBU2999" s="125"/>
      <c r="KBV2999" s="470"/>
      <c r="KBW2999" s="449"/>
      <c r="KBX2999" s="462"/>
      <c r="KBY2999" s="299"/>
      <c r="KBZ2999" s="81"/>
      <c r="KCA2999" s="160"/>
      <c r="KCB2999" s="565"/>
      <c r="KCC2999" s="125"/>
      <c r="KCD2999" s="470"/>
      <c r="KCE2999" s="449"/>
      <c r="KCF2999" s="462"/>
      <c r="KCG2999" s="299"/>
      <c r="KCH2999" s="81"/>
      <c r="KCI2999" s="160"/>
      <c r="KCJ2999" s="565"/>
      <c r="KCK2999" s="125"/>
      <c r="KCL2999" s="470"/>
      <c r="KCM2999" s="449"/>
      <c r="KCN2999" s="462"/>
      <c r="KCO2999" s="299"/>
      <c r="KCP2999" s="81"/>
      <c r="KCQ2999" s="160"/>
      <c r="KCR2999" s="565"/>
      <c r="KCS2999" s="125"/>
      <c r="KCT2999" s="470"/>
      <c r="KCU2999" s="449"/>
      <c r="KCV2999" s="462"/>
      <c r="KCW2999" s="299"/>
      <c r="KCX2999" s="81"/>
      <c r="KCY2999" s="160"/>
      <c r="KCZ2999" s="565"/>
      <c r="KDA2999" s="125"/>
      <c r="KDB2999" s="470"/>
      <c r="KDC2999" s="449"/>
      <c r="KDD2999" s="462"/>
      <c r="KDE2999" s="299"/>
      <c r="KDF2999" s="81"/>
      <c r="KDG2999" s="160"/>
      <c r="KDH2999" s="565"/>
      <c r="KDI2999" s="125"/>
      <c r="KDJ2999" s="470"/>
      <c r="KDK2999" s="449"/>
      <c r="KDL2999" s="462"/>
      <c r="KDM2999" s="299"/>
      <c r="KDN2999" s="81"/>
      <c r="KDO2999" s="160"/>
      <c r="KDP2999" s="565"/>
      <c r="KDQ2999" s="125"/>
      <c r="KDR2999" s="470"/>
      <c r="KDS2999" s="449"/>
      <c r="KDT2999" s="462"/>
      <c r="KDU2999" s="299"/>
      <c r="KDV2999" s="81"/>
      <c r="KDW2999" s="160"/>
      <c r="KDX2999" s="565"/>
      <c r="KDY2999" s="125"/>
      <c r="KDZ2999" s="470"/>
      <c r="KEA2999" s="449"/>
      <c r="KEB2999" s="462"/>
      <c r="KEC2999" s="299"/>
      <c r="KED2999" s="81"/>
      <c r="KEE2999" s="160"/>
      <c r="KEF2999" s="565"/>
      <c r="KEG2999" s="125"/>
      <c r="KEH2999" s="470"/>
      <c r="KEI2999" s="449"/>
      <c r="KEJ2999" s="462"/>
      <c r="KEK2999" s="299"/>
      <c r="KEL2999" s="81"/>
      <c r="KEM2999" s="160"/>
      <c r="KEN2999" s="565"/>
      <c r="KEO2999" s="125"/>
      <c r="KEP2999" s="470"/>
      <c r="KEQ2999" s="449"/>
      <c r="KER2999" s="462"/>
      <c r="KES2999" s="299"/>
      <c r="KET2999" s="81"/>
      <c r="KEU2999" s="160"/>
      <c r="KEV2999" s="565"/>
      <c r="KEW2999" s="125"/>
      <c r="KEX2999" s="470"/>
      <c r="KEY2999" s="449"/>
      <c r="KEZ2999" s="462"/>
      <c r="KFA2999" s="299"/>
      <c r="KFB2999" s="81"/>
      <c r="KFC2999" s="160"/>
      <c r="KFD2999" s="565"/>
      <c r="KFE2999" s="125"/>
      <c r="KFF2999" s="470"/>
      <c r="KFG2999" s="449"/>
      <c r="KFH2999" s="462"/>
      <c r="KFI2999" s="299"/>
      <c r="KFJ2999" s="81"/>
      <c r="KFK2999" s="160"/>
      <c r="KFL2999" s="565"/>
      <c r="KFM2999" s="125"/>
      <c r="KFN2999" s="470"/>
      <c r="KFO2999" s="449"/>
      <c r="KFP2999" s="462"/>
      <c r="KFQ2999" s="299"/>
      <c r="KFR2999" s="81"/>
      <c r="KFS2999" s="160"/>
      <c r="KFT2999" s="565"/>
      <c r="KFU2999" s="125"/>
      <c r="KFV2999" s="470"/>
      <c r="KFW2999" s="449"/>
      <c r="KFX2999" s="462"/>
      <c r="KFY2999" s="299"/>
      <c r="KFZ2999" s="81"/>
      <c r="KGA2999" s="160"/>
      <c r="KGB2999" s="565"/>
      <c r="KGC2999" s="125"/>
      <c r="KGD2999" s="470"/>
      <c r="KGE2999" s="449"/>
      <c r="KGF2999" s="462"/>
      <c r="KGG2999" s="299"/>
      <c r="KGH2999" s="81"/>
      <c r="KGI2999" s="160"/>
      <c r="KGJ2999" s="565"/>
      <c r="KGK2999" s="125"/>
      <c r="KGL2999" s="470"/>
      <c r="KGM2999" s="449"/>
      <c r="KGN2999" s="462"/>
      <c r="KGO2999" s="299"/>
      <c r="KGP2999" s="81"/>
      <c r="KGQ2999" s="160"/>
      <c r="KGR2999" s="565"/>
      <c r="KGS2999" s="125"/>
      <c r="KGT2999" s="470"/>
      <c r="KGU2999" s="449"/>
      <c r="KGV2999" s="462"/>
      <c r="KGW2999" s="299"/>
      <c r="KGX2999" s="81"/>
      <c r="KGY2999" s="160"/>
      <c r="KGZ2999" s="565"/>
      <c r="KHA2999" s="125"/>
      <c r="KHB2999" s="470"/>
      <c r="KHC2999" s="449"/>
      <c r="KHD2999" s="462"/>
      <c r="KHE2999" s="299"/>
      <c r="KHF2999" s="81"/>
      <c r="KHG2999" s="160"/>
      <c r="KHH2999" s="565"/>
      <c r="KHI2999" s="125"/>
      <c r="KHJ2999" s="470"/>
      <c r="KHK2999" s="449"/>
      <c r="KHL2999" s="462"/>
      <c r="KHM2999" s="299"/>
      <c r="KHN2999" s="81"/>
      <c r="KHO2999" s="160"/>
      <c r="KHP2999" s="565"/>
      <c r="KHQ2999" s="125"/>
      <c r="KHR2999" s="470"/>
      <c r="KHS2999" s="449"/>
      <c r="KHT2999" s="462"/>
      <c r="KHU2999" s="299"/>
      <c r="KHV2999" s="81"/>
      <c r="KHW2999" s="160"/>
      <c r="KHX2999" s="565"/>
      <c r="KHY2999" s="125"/>
      <c r="KHZ2999" s="470"/>
      <c r="KIA2999" s="449"/>
      <c r="KIB2999" s="462"/>
      <c r="KIC2999" s="299"/>
      <c r="KID2999" s="81"/>
      <c r="KIE2999" s="160"/>
      <c r="KIF2999" s="565"/>
      <c r="KIG2999" s="125"/>
      <c r="KIH2999" s="470"/>
      <c r="KII2999" s="449"/>
      <c r="KIJ2999" s="462"/>
      <c r="KIK2999" s="299"/>
      <c r="KIL2999" s="81"/>
      <c r="KIM2999" s="160"/>
      <c r="KIN2999" s="565"/>
      <c r="KIO2999" s="125"/>
      <c r="KIP2999" s="470"/>
      <c r="KIQ2999" s="449"/>
      <c r="KIR2999" s="462"/>
      <c r="KIS2999" s="299"/>
      <c r="KIT2999" s="81"/>
      <c r="KIU2999" s="160"/>
      <c r="KIV2999" s="565"/>
      <c r="KIW2999" s="125"/>
      <c r="KIX2999" s="470"/>
      <c r="KIY2999" s="449"/>
      <c r="KIZ2999" s="462"/>
      <c r="KJA2999" s="299"/>
      <c r="KJB2999" s="81"/>
      <c r="KJC2999" s="160"/>
      <c r="KJD2999" s="565"/>
      <c r="KJE2999" s="125"/>
      <c r="KJF2999" s="470"/>
      <c r="KJG2999" s="449"/>
      <c r="KJH2999" s="462"/>
      <c r="KJI2999" s="299"/>
      <c r="KJJ2999" s="81"/>
      <c r="KJK2999" s="160"/>
      <c r="KJL2999" s="565"/>
      <c r="KJM2999" s="125"/>
      <c r="KJN2999" s="470"/>
      <c r="KJO2999" s="449"/>
      <c r="KJP2999" s="462"/>
      <c r="KJQ2999" s="299"/>
      <c r="KJR2999" s="81"/>
      <c r="KJS2999" s="160"/>
      <c r="KJT2999" s="565"/>
      <c r="KJU2999" s="125"/>
      <c r="KJV2999" s="470"/>
      <c r="KJW2999" s="449"/>
      <c r="KJX2999" s="462"/>
      <c r="KJY2999" s="299"/>
      <c r="KJZ2999" s="81"/>
      <c r="KKA2999" s="160"/>
      <c r="KKB2999" s="565"/>
      <c r="KKC2999" s="125"/>
      <c r="KKD2999" s="470"/>
      <c r="KKE2999" s="449"/>
      <c r="KKF2999" s="462"/>
      <c r="KKG2999" s="299"/>
      <c r="KKH2999" s="81"/>
      <c r="KKI2999" s="160"/>
      <c r="KKJ2999" s="565"/>
      <c r="KKK2999" s="125"/>
      <c r="KKL2999" s="470"/>
      <c r="KKM2999" s="449"/>
      <c r="KKN2999" s="462"/>
      <c r="KKO2999" s="299"/>
      <c r="KKP2999" s="81"/>
      <c r="KKQ2999" s="160"/>
      <c r="KKR2999" s="565"/>
      <c r="KKS2999" s="125"/>
      <c r="KKT2999" s="470"/>
      <c r="KKU2999" s="449"/>
      <c r="KKV2999" s="462"/>
      <c r="KKW2999" s="299"/>
      <c r="KKX2999" s="81"/>
      <c r="KKY2999" s="160"/>
      <c r="KKZ2999" s="565"/>
      <c r="KLA2999" s="125"/>
      <c r="KLB2999" s="470"/>
      <c r="KLC2999" s="449"/>
      <c r="KLD2999" s="462"/>
      <c r="KLE2999" s="299"/>
      <c r="KLF2999" s="81"/>
      <c r="KLG2999" s="160"/>
      <c r="KLH2999" s="565"/>
      <c r="KLI2999" s="125"/>
      <c r="KLJ2999" s="470"/>
      <c r="KLK2999" s="449"/>
      <c r="KLL2999" s="462"/>
      <c r="KLM2999" s="299"/>
      <c r="KLN2999" s="81"/>
      <c r="KLO2999" s="160"/>
      <c r="KLP2999" s="565"/>
      <c r="KLQ2999" s="125"/>
      <c r="KLR2999" s="470"/>
      <c r="KLS2999" s="449"/>
      <c r="KLT2999" s="462"/>
      <c r="KLU2999" s="299"/>
      <c r="KLV2999" s="81"/>
      <c r="KLW2999" s="160"/>
      <c r="KLX2999" s="565"/>
      <c r="KLY2999" s="125"/>
      <c r="KLZ2999" s="470"/>
      <c r="KMA2999" s="449"/>
      <c r="KMB2999" s="462"/>
      <c r="KMC2999" s="299"/>
      <c r="KMD2999" s="81"/>
      <c r="KME2999" s="160"/>
      <c r="KMF2999" s="565"/>
      <c r="KMG2999" s="125"/>
      <c r="KMH2999" s="470"/>
      <c r="KMI2999" s="449"/>
      <c r="KMJ2999" s="462"/>
      <c r="KMK2999" s="299"/>
      <c r="KML2999" s="81"/>
      <c r="KMM2999" s="160"/>
      <c r="KMN2999" s="565"/>
      <c r="KMO2999" s="125"/>
      <c r="KMP2999" s="470"/>
      <c r="KMQ2999" s="449"/>
      <c r="KMR2999" s="462"/>
      <c r="KMS2999" s="299"/>
      <c r="KMT2999" s="81"/>
      <c r="KMU2999" s="160"/>
      <c r="KMV2999" s="565"/>
      <c r="KMW2999" s="125"/>
      <c r="KMX2999" s="470"/>
      <c r="KMY2999" s="449"/>
      <c r="KMZ2999" s="462"/>
      <c r="KNA2999" s="299"/>
      <c r="KNB2999" s="81"/>
      <c r="KNC2999" s="160"/>
      <c r="KND2999" s="565"/>
      <c r="KNE2999" s="125"/>
      <c r="KNF2999" s="470"/>
      <c r="KNG2999" s="449"/>
      <c r="KNH2999" s="462"/>
      <c r="KNI2999" s="299"/>
      <c r="KNJ2999" s="81"/>
      <c r="KNK2999" s="160"/>
      <c r="KNL2999" s="565"/>
      <c r="KNM2999" s="125"/>
      <c r="KNN2999" s="470"/>
      <c r="KNO2999" s="449"/>
      <c r="KNP2999" s="462"/>
      <c r="KNQ2999" s="299"/>
      <c r="KNR2999" s="81"/>
      <c r="KNS2999" s="160"/>
      <c r="KNT2999" s="565"/>
      <c r="KNU2999" s="125"/>
      <c r="KNV2999" s="470"/>
      <c r="KNW2999" s="449"/>
      <c r="KNX2999" s="462"/>
      <c r="KNY2999" s="299"/>
      <c r="KNZ2999" s="81"/>
      <c r="KOA2999" s="160"/>
      <c r="KOB2999" s="565"/>
      <c r="KOC2999" s="125"/>
      <c r="KOD2999" s="470"/>
      <c r="KOE2999" s="449"/>
      <c r="KOF2999" s="462"/>
      <c r="KOG2999" s="299"/>
      <c r="KOH2999" s="81"/>
      <c r="KOI2999" s="160"/>
      <c r="KOJ2999" s="565"/>
      <c r="KOK2999" s="125"/>
      <c r="KOL2999" s="470"/>
      <c r="KOM2999" s="449"/>
      <c r="KON2999" s="462"/>
      <c r="KOO2999" s="299"/>
      <c r="KOP2999" s="81"/>
      <c r="KOQ2999" s="160"/>
      <c r="KOR2999" s="565"/>
      <c r="KOS2999" s="125"/>
      <c r="KOT2999" s="470"/>
      <c r="KOU2999" s="449"/>
      <c r="KOV2999" s="462"/>
      <c r="KOW2999" s="299"/>
      <c r="KOX2999" s="81"/>
      <c r="KOY2999" s="160"/>
      <c r="KOZ2999" s="565"/>
      <c r="KPA2999" s="125"/>
      <c r="KPB2999" s="470"/>
      <c r="KPC2999" s="449"/>
      <c r="KPD2999" s="462"/>
      <c r="KPE2999" s="299"/>
      <c r="KPF2999" s="81"/>
      <c r="KPG2999" s="160"/>
      <c r="KPH2999" s="565"/>
      <c r="KPI2999" s="125"/>
      <c r="KPJ2999" s="470"/>
      <c r="KPK2999" s="449"/>
      <c r="KPL2999" s="462"/>
      <c r="KPM2999" s="299"/>
      <c r="KPN2999" s="81"/>
      <c r="KPO2999" s="160"/>
      <c r="KPP2999" s="565"/>
      <c r="KPQ2999" s="125"/>
      <c r="KPR2999" s="470"/>
      <c r="KPS2999" s="449"/>
      <c r="KPT2999" s="462"/>
      <c r="KPU2999" s="299"/>
      <c r="KPV2999" s="81"/>
      <c r="KPW2999" s="160"/>
      <c r="KPX2999" s="565"/>
      <c r="KPY2999" s="125"/>
      <c r="KPZ2999" s="470"/>
      <c r="KQA2999" s="449"/>
      <c r="KQB2999" s="462"/>
      <c r="KQC2999" s="299"/>
      <c r="KQD2999" s="81"/>
      <c r="KQE2999" s="160"/>
      <c r="KQF2999" s="565"/>
      <c r="KQG2999" s="125"/>
      <c r="KQH2999" s="470"/>
      <c r="KQI2999" s="449"/>
      <c r="KQJ2999" s="462"/>
      <c r="KQK2999" s="299"/>
      <c r="KQL2999" s="81"/>
      <c r="KQM2999" s="160"/>
      <c r="KQN2999" s="565"/>
      <c r="KQO2999" s="125"/>
      <c r="KQP2999" s="470"/>
      <c r="KQQ2999" s="449"/>
      <c r="KQR2999" s="462"/>
      <c r="KQS2999" s="299"/>
      <c r="KQT2999" s="81"/>
      <c r="KQU2999" s="160"/>
      <c r="KQV2999" s="565"/>
      <c r="KQW2999" s="125"/>
      <c r="KQX2999" s="470"/>
      <c r="KQY2999" s="449"/>
      <c r="KQZ2999" s="462"/>
      <c r="KRA2999" s="299"/>
      <c r="KRB2999" s="81"/>
      <c r="KRC2999" s="160"/>
      <c r="KRD2999" s="565"/>
      <c r="KRE2999" s="125"/>
      <c r="KRF2999" s="470"/>
      <c r="KRG2999" s="449"/>
      <c r="KRH2999" s="462"/>
      <c r="KRI2999" s="299"/>
      <c r="KRJ2999" s="81"/>
      <c r="KRK2999" s="160"/>
      <c r="KRL2999" s="565"/>
      <c r="KRM2999" s="125"/>
      <c r="KRN2999" s="470"/>
      <c r="KRO2999" s="449"/>
      <c r="KRP2999" s="462"/>
      <c r="KRQ2999" s="299"/>
      <c r="KRR2999" s="81"/>
      <c r="KRS2999" s="160"/>
      <c r="KRT2999" s="565"/>
      <c r="KRU2999" s="125"/>
      <c r="KRV2999" s="470"/>
      <c r="KRW2999" s="449"/>
      <c r="KRX2999" s="462"/>
      <c r="KRY2999" s="299"/>
      <c r="KRZ2999" s="81"/>
      <c r="KSA2999" s="160"/>
      <c r="KSB2999" s="565"/>
      <c r="KSC2999" s="125"/>
      <c r="KSD2999" s="470"/>
      <c r="KSE2999" s="449"/>
      <c r="KSF2999" s="462"/>
      <c r="KSG2999" s="299"/>
      <c r="KSH2999" s="81"/>
      <c r="KSI2999" s="160"/>
      <c r="KSJ2999" s="565"/>
      <c r="KSK2999" s="125"/>
      <c r="KSL2999" s="470"/>
      <c r="KSM2999" s="449"/>
      <c r="KSN2999" s="462"/>
      <c r="KSO2999" s="299"/>
      <c r="KSP2999" s="81"/>
      <c r="KSQ2999" s="160"/>
      <c r="KSR2999" s="565"/>
      <c r="KSS2999" s="125"/>
      <c r="KST2999" s="470"/>
      <c r="KSU2999" s="449"/>
      <c r="KSV2999" s="462"/>
      <c r="KSW2999" s="299"/>
      <c r="KSX2999" s="81"/>
      <c r="KSY2999" s="160"/>
      <c r="KSZ2999" s="565"/>
      <c r="KTA2999" s="125"/>
      <c r="KTB2999" s="470"/>
      <c r="KTC2999" s="449"/>
      <c r="KTD2999" s="462"/>
      <c r="KTE2999" s="299"/>
      <c r="KTF2999" s="81"/>
      <c r="KTG2999" s="160"/>
      <c r="KTH2999" s="565"/>
      <c r="KTI2999" s="125"/>
      <c r="KTJ2999" s="470"/>
      <c r="KTK2999" s="449"/>
      <c r="KTL2999" s="462"/>
      <c r="KTM2999" s="299"/>
      <c r="KTN2999" s="81"/>
      <c r="KTO2999" s="160"/>
      <c r="KTP2999" s="565"/>
      <c r="KTQ2999" s="125"/>
      <c r="KTR2999" s="470"/>
      <c r="KTS2999" s="449"/>
      <c r="KTT2999" s="462"/>
      <c r="KTU2999" s="299"/>
      <c r="KTV2999" s="81"/>
      <c r="KTW2999" s="160"/>
      <c r="KTX2999" s="565"/>
      <c r="KTY2999" s="125"/>
      <c r="KTZ2999" s="470"/>
      <c r="KUA2999" s="449"/>
      <c r="KUB2999" s="462"/>
      <c r="KUC2999" s="299"/>
      <c r="KUD2999" s="81"/>
      <c r="KUE2999" s="160"/>
      <c r="KUF2999" s="565"/>
      <c r="KUG2999" s="125"/>
      <c r="KUH2999" s="470"/>
      <c r="KUI2999" s="449"/>
      <c r="KUJ2999" s="462"/>
      <c r="KUK2999" s="299"/>
      <c r="KUL2999" s="81"/>
      <c r="KUM2999" s="160"/>
      <c r="KUN2999" s="565"/>
      <c r="KUO2999" s="125"/>
      <c r="KUP2999" s="470"/>
      <c r="KUQ2999" s="449"/>
      <c r="KUR2999" s="462"/>
      <c r="KUS2999" s="299"/>
      <c r="KUT2999" s="81"/>
      <c r="KUU2999" s="160"/>
      <c r="KUV2999" s="565"/>
      <c r="KUW2999" s="125"/>
      <c r="KUX2999" s="470"/>
      <c r="KUY2999" s="449"/>
      <c r="KUZ2999" s="462"/>
      <c r="KVA2999" s="299"/>
      <c r="KVB2999" s="81"/>
      <c r="KVC2999" s="160"/>
      <c r="KVD2999" s="565"/>
      <c r="KVE2999" s="125"/>
      <c r="KVF2999" s="470"/>
      <c r="KVG2999" s="449"/>
      <c r="KVH2999" s="462"/>
      <c r="KVI2999" s="299"/>
      <c r="KVJ2999" s="81"/>
      <c r="KVK2999" s="160"/>
      <c r="KVL2999" s="565"/>
      <c r="KVM2999" s="125"/>
      <c r="KVN2999" s="470"/>
      <c r="KVO2999" s="449"/>
      <c r="KVP2999" s="462"/>
      <c r="KVQ2999" s="299"/>
      <c r="KVR2999" s="81"/>
      <c r="KVS2999" s="160"/>
      <c r="KVT2999" s="565"/>
      <c r="KVU2999" s="125"/>
      <c r="KVV2999" s="470"/>
      <c r="KVW2999" s="449"/>
      <c r="KVX2999" s="462"/>
      <c r="KVY2999" s="299"/>
      <c r="KVZ2999" s="81"/>
      <c r="KWA2999" s="160"/>
      <c r="KWB2999" s="565"/>
      <c r="KWC2999" s="125"/>
      <c r="KWD2999" s="470"/>
      <c r="KWE2999" s="449"/>
      <c r="KWF2999" s="462"/>
      <c r="KWG2999" s="299"/>
      <c r="KWH2999" s="81"/>
      <c r="KWI2999" s="160"/>
      <c r="KWJ2999" s="565"/>
      <c r="KWK2999" s="125"/>
      <c r="KWL2999" s="470"/>
      <c r="KWM2999" s="449"/>
      <c r="KWN2999" s="462"/>
      <c r="KWO2999" s="299"/>
      <c r="KWP2999" s="81"/>
      <c r="KWQ2999" s="160"/>
      <c r="KWR2999" s="565"/>
      <c r="KWS2999" s="125"/>
      <c r="KWT2999" s="470"/>
      <c r="KWU2999" s="449"/>
      <c r="KWV2999" s="462"/>
      <c r="KWW2999" s="299"/>
      <c r="KWX2999" s="81"/>
      <c r="KWY2999" s="160"/>
      <c r="KWZ2999" s="565"/>
      <c r="KXA2999" s="125"/>
      <c r="KXB2999" s="470"/>
      <c r="KXC2999" s="449"/>
      <c r="KXD2999" s="462"/>
      <c r="KXE2999" s="299"/>
      <c r="KXF2999" s="81"/>
      <c r="KXG2999" s="160"/>
      <c r="KXH2999" s="565"/>
      <c r="KXI2999" s="125"/>
      <c r="KXJ2999" s="470"/>
      <c r="KXK2999" s="449"/>
      <c r="KXL2999" s="462"/>
      <c r="KXM2999" s="299"/>
      <c r="KXN2999" s="81"/>
      <c r="KXO2999" s="160"/>
      <c r="KXP2999" s="565"/>
      <c r="KXQ2999" s="125"/>
      <c r="KXR2999" s="470"/>
      <c r="KXS2999" s="449"/>
      <c r="KXT2999" s="462"/>
      <c r="KXU2999" s="299"/>
      <c r="KXV2999" s="81"/>
      <c r="KXW2999" s="160"/>
      <c r="KXX2999" s="565"/>
      <c r="KXY2999" s="125"/>
      <c r="KXZ2999" s="470"/>
      <c r="KYA2999" s="449"/>
      <c r="KYB2999" s="462"/>
      <c r="KYC2999" s="299"/>
      <c r="KYD2999" s="81"/>
      <c r="KYE2999" s="160"/>
      <c r="KYF2999" s="565"/>
      <c r="KYG2999" s="125"/>
      <c r="KYH2999" s="470"/>
      <c r="KYI2999" s="449"/>
      <c r="KYJ2999" s="462"/>
      <c r="KYK2999" s="299"/>
      <c r="KYL2999" s="81"/>
      <c r="KYM2999" s="160"/>
      <c r="KYN2999" s="565"/>
      <c r="KYO2999" s="125"/>
      <c r="KYP2999" s="470"/>
      <c r="KYQ2999" s="449"/>
      <c r="KYR2999" s="462"/>
      <c r="KYS2999" s="299"/>
      <c r="KYT2999" s="81"/>
      <c r="KYU2999" s="160"/>
      <c r="KYV2999" s="565"/>
      <c r="KYW2999" s="125"/>
      <c r="KYX2999" s="470"/>
      <c r="KYY2999" s="449"/>
      <c r="KYZ2999" s="462"/>
      <c r="KZA2999" s="299"/>
      <c r="KZB2999" s="81"/>
      <c r="KZC2999" s="160"/>
      <c r="KZD2999" s="565"/>
      <c r="KZE2999" s="125"/>
      <c r="KZF2999" s="470"/>
      <c r="KZG2999" s="449"/>
      <c r="KZH2999" s="462"/>
      <c r="KZI2999" s="299"/>
      <c r="KZJ2999" s="81"/>
      <c r="KZK2999" s="160"/>
      <c r="KZL2999" s="565"/>
      <c r="KZM2999" s="125"/>
      <c r="KZN2999" s="470"/>
      <c r="KZO2999" s="449"/>
      <c r="KZP2999" s="462"/>
      <c r="KZQ2999" s="299"/>
      <c r="KZR2999" s="81"/>
      <c r="KZS2999" s="160"/>
      <c r="KZT2999" s="565"/>
      <c r="KZU2999" s="125"/>
      <c r="KZV2999" s="470"/>
      <c r="KZW2999" s="449"/>
      <c r="KZX2999" s="462"/>
      <c r="KZY2999" s="299"/>
      <c r="KZZ2999" s="81"/>
      <c r="LAA2999" s="160"/>
      <c r="LAB2999" s="565"/>
      <c r="LAC2999" s="125"/>
      <c r="LAD2999" s="470"/>
      <c r="LAE2999" s="449"/>
      <c r="LAF2999" s="462"/>
      <c r="LAG2999" s="299"/>
      <c r="LAH2999" s="81"/>
      <c r="LAI2999" s="160"/>
      <c r="LAJ2999" s="565"/>
      <c r="LAK2999" s="125"/>
      <c r="LAL2999" s="470"/>
      <c r="LAM2999" s="449"/>
      <c r="LAN2999" s="462"/>
      <c r="LAO2999" s="299"/>
      <c r="LAP2999" s="81"/>
      <c r="LAQ2999" s="160"/>
      <c r="LAR2999" s="565"/>
      <c r="LAS2999" s="125"/>
      <c r="LAT2999" s="470"/>
      <c r="LAU2999" s="449"/>
      <c r="LAV2999" s="462"/>
      <c r="LAW2999" s="299"/>
      <c r="LAX2999" s="81"/>
      <c r="LAY2999" s="160"/>
      <c r="LAZ2999" s="565"/>
      <c r="LBA2999" s="125"/>
      <c r="LBB2999" s="470"/>
      <c r="LBC2999" s="449"/>
      <c r="LBD2999" s="462"/>
      <c r="LBE2999" s="299"/>
      <c r="LBF2999" s="81"/>
      <c r="LBG2999" s="160"/>
      <c r="LBH2999" s="565"/>
      <c r="LBI2999" s="125"/>
      <c r="LBJ2999" s="470"/>
      <c r="LBK2999" s="449"/>
      <c r="LBL2999" s="462"/>
      <c r="LBM2999" s="299"/>
      <c r="LBN2999" s="81"/>
      <c r="LBO2999" s="160"/>
      <c r="LBP2999" s="565"/>
      <c r="LBQ2999" s="125"/>
      <c r="LBR2999" s="470"/>
      <c r="LBS2999" s="449"/>
      <c r="LBT2999" s="462"/>
      <c r="LBU2999" s="299"/>
      <c r="LBV2999" s="81"/>
      <c r="LBW2999" s="160"/>
      <c r="LBX2999" s="565"/>
      <c r="LBY2999" s="125"/>
      <c r="LBZ2999" s="470"/>
      <c r="LCA2999" s="449"/>
      <c r="LCB2999" s="462"/>
      <c r="LCC2999" s="299"/>
      <c r="LCD2999" s="81"/>
      <c r="LCE2999" s="160"/>
      <c r="LCF2999" s="565"/>
      <c r="LCG2999" s="125"/>
      <c r="LCH2999" s="470"/>
      <c r="LCI2999" s="449"/>
      <c r="LCJ2999" s="462"/>
      <c r="LCK2999" s="299"/>
      <c r="LCL2999" s="81"/>
      <c r="LCM2999" s="160"/>
      <c r="LCN2999" s="565"/>
      <c r="LCO2999" s="125"/>
      <c r="LCP2999" s="470"/>
      <c r="LCQ2999" s="449"/>
      <c r="LCR2999" s="462"/>
      <c r="LCS2999" s="299"/>
      <c r="LCT2999" s="81"/>
      <c r="LCU2999" s="160"/>
      <c r="LCV2999" s="565"/>
      <c r="LCW2999" s="125"/>
      <c r="LCX2999" s="470"/>
      <c r="LCY2999" s="449"/>
      <c r="LCZ2999" s="462"/>
      <c r="LDA2999" s="299"/>
      <c r="LDB2999" s="81"/>
      <c r="LDC2999" s="160"/>
      <c r="LDD2999" s="565"/>
      <c r="LDE2999" s="125"/>
      <c r="LDF2999" s="470"/>
      <c r="LDG2999" s="449"/>
      <c r="LDH2999" s="462"/>
      <c r="LDI2999" s="299"/>
      <c r="LDJ2999" s="81"/>
      <c r="LDK2999" s="160"/>
      <c r="LDL2999" s="565"/>
      <c r="LDM2999" s="125"/>
      <c r="LDN2999" s="470"/>
      <c r="LDO2999" s="449"/>
      <c r="LDP2999" s="462"/>
      <c r="LDQ2999" s="299"/>
      <c r="LDR2999" s="81"/>
      <c r="LDS2999" s="160"/>
      <c r="LDT2999" s="565"/>
      <c r="LDU2999" s="125"/>
      <c r="LDV2999" s="470"/>
      <c r="LDW2999" s="449"/>
      <c r="LDX2999" s="462"/>
      <c r="LDY2999" s="299"/>
      <c r="LDZ2999" s="81"/>
      <c r="LEA2999" s="160"/>
      <c r="LEB2999" s="565"/>
      <c r="LEC2999" s="125"/>
      <c r="LED2999" s="470"/>
      <c r="LEE2999" s="449"/>
      <c r="LEF2999" s="462"/>
      <c r="LEG2999" s="299"/>
      <c r="LEH2999" s="81"/>
      <c r="LEI2999" s="160"/>
      <c r="LEJ2999" s="565"/>
      <c r="LEK2999" s="125"/>
      <c r="LEL2999" s="470"/>
      <c r="LEM2999" s="449"/>
      <c r="LEN2999" s="462"/>
      <c r="LEO2999" s="299"/>
      <c r="LEP2999" s="81"/>
      <c r="LEQ2999" s="160"/>
      <c r="LER2999" s="565"/>
      <c r="LES2999" s="125"/>
      <c r="LET2999" s="470"/>
      <c r="LEU2999" s="449"/>
      <c r="LEV2999" s="462"/>
      <c r="LEW2999" s="299"/>
      <c r="LEX2999" s="81"/>
      <c r="LEY2999" s="160"/>
      <c r="LEZ2999" s="565"/>
      <c r="LFA2999" s="125"/>
      <c r="LFB2999" s="470"/>
      <c r="LFC2999" s="449"/>
      <c r="LFD2999" s="462"/>
      <c r="LFE2999" s="299"/>
      <c r="LFF2999" s="81"/>
      <c r="LFG2999" s="160"/>
      <c r="LFH2999" s="565"/>
      <c r="LFI2999" s="125"/>
      <c r="LFJ2999" s="470"/>
      <c r="LFK2999" s="449"/>
      <c r="LFL2999" s="462"/>
      <c r="LFM2999" s="299"/>
      <c r="LFN2999" s="81"/>
      <c r="LFO2999" s="160"/>
      <c r="LFP2999" s="565"/>
      <c r="LFQ2999" s="125"/>
      <c r="LFR2999" s="470"/>
      <c r="LFS2999" s="449"/>
      <c r="LFT2999" s="462"/>
      <c r="LFU2999" s="299"/>
      <c r="LFV2999" s="81"/>
      <c r="LFW2999" s="160"/>
      <c r="LFX2999" s="565"/>
      <c r="LFY2999" s="125"/>
      <c r="LFZ2999" s="470"/>
      <c r="LGA2999" s="449"/>
      <c r="LGB2999" s="462"/>
      <c r="LGC2999" s="299"/>
      <c r="LGD2999" s="81"/>
      <c r="LGE2999" s="160"/>
      <c r="LGF2999" s="565"/>
      <c r="LGG2999" s="125"/>
      <c r="LGH2999" s="470"/>
      <c r="LGI2999" s="449"/>
      <c r="LGJ2999" s="462"/>
      <c r="LGK2999" s="299"/>
      <c r="LGL2999" s="81"/>
      <c r="LGM2999" s="160"/>
      <c r="LGN2999" s="565"/>
      <c r="LGO2999" s="125"/>
      <c r="LGP2999" s="470"/>
      <c r="LGQ2999" s="449"/>
      <c r="LGR2999" s="462"/>
      <c r="LGS2999" s="299"/>
      <c r="LGT2999" s="81"/>
      <c r="LGU2999" s="160"/>
      <c r="LGV2999" s="565"/>
      <c r="LGW2999" s="125"/>
      <c r="LGX2999" s="470"/>
      <c r="LGY2999" s="449"/>
      <c r="LGZ2999" s="462"/>
      <c r="LHA2999" s="299"/>
      <c r="LHB2999" s="81"/>
      <c r="LHC2999" s="160"/>
      <c r="LHD2999" s="565"/>
      <c r="LHE2999" s="125"/>
      <c r="LHF2999" s="470"/>
      <c r="LHG2999" s="449"/>
      <c r="LHH2999" s="462"/>
      <c r="LHI2999" s="299"/>
      <c r="LHJ2999" s="81"/>
      <c r="LHK2999" s="160"/>
      <c r="LHL2999" s="565"/>
      <c r="LHM2999" s="125"/>
      <c r="LHN2999" s="470"/>
      <c r="LHO2999" s="449"/>
      <c r="LHP2999" s="462"/>
      <c r="LHQ2999" s="299"/>
      <c r="LHR2999" s="81"/>
      <c r="LHS2999" s="160"/>
      <c r="LHT2999" s="565"/>
      <c r="LHU2999" s="125"/>
      <c r="LHV2999" s="470"/>
      <c r="LHW2999" s="449"/>
      <c r="LHX2999" s="462"/>
      <c r="LHY2999" s="299"/>
      <c r="LHZ2999" s="81"/>
      <c r="LIA2999" s="160"/>
      <c r="LIB2999" s="565"/>
      <c r="LIC2999" s="125"/>
      <c r="LID2999" s="470"/>
      <c r="LIE2999" s="449"/>
      <c r="LIF2999" s="462"/>
      <c r="LIG2999" s="299"/>
      <c r="LIH2999" s="81"/>
      <c r="LII2999" s="160"/>
      <c r="LIJ2999" s="565"/>
      <c r="LIK2999" s="125"/>
      <c r="LIL2999" s="470"/>
      <c r="LIM2999" s="449"/>
      <c r="LIN2999" s="462"/>
      <c r="LIO2999" s="299"/>
      <c r="LIP2999" s="81"/>
      <c r="LIQ2999" s="160"/>
      <c r="LIR2999" s="565"/>
      <c r="LIS2999" s="125"/>
      <c r="LIT2999" s="470"/>
      <c r="LIU2999" s="449"/>
      <c r="LIV2999" s="462"/>
      <c r="LIW2999" s="299"/>
      <c r="LIX2999" s="81"/>
      <c r="LIY2999" s="160"/>
      <c r="LIZ2999" s="565"/>
      <c r="LJA2999" s="125"/>
      <c r="LJB2999" s="470"/>
      <c r="LJC2999" s="449"/>
      <c r="LJD2999" s="462"/>
      <c r="LJE2999" s="299"/>
      <c r="LJF2999" s="81"/>
      <c r="LJG2999" s="160"/>
      <c r="LJH2999" s="565"/>
      <c r="LJI2999" s="125"/>
      <c r="LJJ2999" s="470"/>
      <c r="LJK2999" s="449"/>
      <c r="LJL2999" s="462"/>
      <c r="LJM2999" s="299"/>
      <c r="LJN2999" s="81"/>
      <c r="LJO2999" s="160"/>
      <c r="LJP2999" s="565"/>
      <c r="LJQ2999" s="125"/>
      <c r="LJR2999" s="470"/>
      <c r="LJS2999" s="449"/>
      <c r="LJT2999" s="462"/>
      <c r="LJU2999" s="299"/>
      <c r="LJV2999" s="81"/>
      <c r="LJW2999" s="160"/>
      <c r="LJX2999" s="565"/>
      <c r="LJY2999" s="125"/>
      <c r="LJZ2999" s="470"/>
      <c r="LKA2999" s="449"/>
      <c r="LKB2999" s="462"/>
      <c r="LKC2999" s="299"/>
      <c r="LKD2999" s="81"/>
      <c r="LKE2999" s="160"/>
      <c r="LKF2999" s="565"/>
      <c r="LKG2999" s="125"/>
      <c r="LKH2999" s="470"/>
      <c r="LKI2999" s="449"/>
      <c r="LKJ2999" s="462"/>
      <c r="LKK2999" s="299"/>
      <c r="LKL2999" s="81"/>
      <c r="LKM2999" s="160"/>
      <c r="LKN2999" s="565"/>
      <c r="LKO2999" s="125"/>
      <c r="LKP2999" s="470"/>
      <c r="LKQ2999" s="449"/>
      <c r="LKR2999" s="462"/>
      <c r="LKS2999" s="299"/>
      <c r="LKT2999" s="81"/>
      <c r="LKU2999" s="160"/>
      <c r="LKV2999" s="565"/>
      <c r="LKW2999" s="125"/>
      <c r="LKX2999" s="470"/>
      <c r="LKY2999" s="449"/>
      <c r="LKZ2999" s="462"/>
      <c r="LLA2999" s="299"/>
      <c r="LLB2999" s="81"/>
      <c r="LLC2999" s="160"/>
      <c r="LLD2999" s="565"/>
      <c r="LLE2999" s="125"/>
      <c r="LLF2999" s="470"/>
      <c r="LLG2999" s="449"/>
      <c r="LLH2999" s="462"/>
      <c r="LLI2999" s="299"/>
      <c r="LLJ2999" s="81"/>
      <c r="LLK2999" s="160"/>
      <c r="LLL2999" s="565"/>
      <c r="LLM2999" s="125"/>
      <c r="LLN2999" s="470"/>
      <c r="LLO2999" s="449"/>
      <c r="LLP2999" s="462"/>
      <c r="LLQ2999" s="299"/>
      <c r="LLR2999" s="81"/>
      <c r="LLS2999" s="160"/>
      <c r="LLT2999" s="565"/>
      <c r="LLU2999" s="125"/>
      <c r="LLV2999" s="470"/>
      <c r="LLW2999" s="449"/>
      <c r="LLX2999" s="462"/>
      <c r="LLY2999" s="299"/>
      <c r="LLZ2999" s="81"/>
      <c r="LMA2999" s="160"/>
      <c r="LMB2999" s="565"/>
      <c r="LMC2999" s="125"/>
      <c r="LMD2999" s="470"/>
      <c r="LME2999" s="449"/>
      <c r="LMF2999" s="462"/>
      <c r="LMG2999" s="299"/>
      <c r="LMH2999" s="81"/>
      <c r="LMI2999" s="160"/>
      <c r="LMJ2999" s="565"/>
      <c r="LMK2999" s="125"/>
      <c r="LML2999" s="470"/>
      <c r="LMM2999" s="449"/>
      <c r="LMN2999" s="462"/>
      <c r="LMO2999" s="299"/>
      <c r="LMP2999" s="81"/>
      <c r="LMQ2999" s="160"/>
      <c r="LMR2999" s="565"/>
      <c r="LMS2999" s="125"/>
      <c r="LMT2999" s="470"/>
      <c r="LMU2999" s="449"/>
      <c r="LMV2999" s="462"/>
      <c r="LMW2999" s="299"/>
      <c r="LMX2999" s="81"/>
      <c r="LMY2999" s="160"/>
      <c r="LMZ2999" s="565"/>
      <c r="LNA2999" s="125"/>
      <c r="LNB2999" s="470"/>
      <c r="LNC2999" s="449"/>
      <c r="LND2999" s="462"/>
      <c r="LNE2999" s="299"/>
      <c r="LNF2999" s="81"/>
      <c r="LNG2999" s="160"/>
      <c r="LNH2999" s="565"/>
      <c r="LNI2999" s="125"/>
      <c r="LNJ2999" s="470"/>
      <c r="LNK2999" s="449"/>
      <c r="LNL2999" s="462"/>
      <c r="LNM2999" s="299"/>
      <c r="LNN2999" s="81"/>
      <c r="LNO2999" s="160"/>
      <c r="LNP2999" s="565"/>
      <c r="LNQ2999" s="125"/>
      <c r="LNR2999" s="470"/>
      <c r="LNS2999" s="449"/>
      <c r="LNT2999" s="462"/>
      <c r="LNU2999" s="299"/>
      <c r="LNV2999" s="81"/>
      <c r="LNW2999" s="160"/>
      <c r="LNX2999" s="565"/>
      <c r="LNY2999" s="125"/>
      <c r="LNZ2999" s="470"/>
      <c r="LOA2999" s="449"/>
      <c r="LOB2999" s="462"/>
      <c r="LOC2999" s="299"/>
      <c r="LOD2999" s="81"/>
      <c r="LOE2999" s="160"/>
      <c r="LOF2999" s="565"/>
      <c r="LOG2999" s="125"/>
      <c r="LOH2999" s="470"/>
      <c r="LOI2999" s="449"/>
      <c r="LOJ2999" s="462"/>
      <c r="LOK2999" s="299"/>
      <c r="LOL2999" s="81"/>
      <c r="LOM2999" s="160"/>
      <c r="LON2999" s="565"/>
      <c r="LOO2999" s="125"/>
      <c r="LOP2999" s="470"/>
      <c r="LOQ2999" s="449"/>
      <c r="LOR2999" s="462"/>
      <c r="LOS2999" s="299"/>
      <c r="LOT2999" s="81"/>
      <c r="LOU2999" s="160"/>
      <c r="LOV2999" s="565"/>
      <c r="LOW2999" s="125"/>
      <c r="LOX2999" s="470"/>
      <c r="LOY2999" s="449"/>
      <c r="LOZ2999" s="462"/>
      <c r="LPA2999" s="299"/>
      <c r="LPB2999" s="81"/>
      <c r="LPC2999" s="160"/>
      <c r="LPD2999" s="565"/>
      <c r="LPE2999" s="125"/>
      <c r="LPF2999" s="470"/>
      <c r="LPG2999" s="449"/>
      <c r="LPH2999" s="462"/>
      <c r="LPI2999" s="299"/>
      <c r="LPJ2999" s="81"/>
      <c r="LPK2999" s="160"/>
      <c r="LPL2999" s="565"/>
      <c r="LPM2999" s="125"/>
      <c r="LPN2999" s="470"/>
      <c r="LPO2999" s="449"/>
      <c r="LPP2999" s="462"/>
      <c r="LPQ2999" s="299"/>
      <c r="LPR2999" s="81"/>
      <c r="LPS2999" s="160"/>
      <c r="LPT2999" s="565"/>
      <c r="LPU2999" s="125"/>
      <c r="LPV2999" s="470"/>
      <c r="LPW2999" s="449"/>
      <c r="LPX2999" s="462"/>
      <c r="LPY2999" s="299"/>
      <c r="LPZ2999" s="81"/>
      <c r="LQA2999" s="160"/>
      <c r="LQB2999" s="565"/>
      <c r="LQC2999" s="125"/>
      <c r="LQD2999" s="470"/>
      <c r="LQE2999" s="449"/>
      <c r="LQF2999" s="462"/>
      <c r="LQG2999" s="299"/>
      <c r="LQH2999" s="81"/>
      <c r="LQI2999" s="160"/>
      <c r="LQJ2999" s="565"/>
      <c r="LQK2999" s="125"/>
      <c r="LQL2999" s="470"/>
      <c r="LQM2999" s="449"/>
      <c r="LQN2999" s="462"/>
      <c r="LQO2999" s="299"/>
      <c r="LQP2999" s="81"/>
      <c r="LQQ2999" s="160"/>
      <c r="LQR2999" s="565"/>
      <c r="LQS2999" s="125"/>
      <c r="LQT2999" s="470"/>
      <c r="LQU2999" s="449"/>
      <c r="LQV2999" s="462"/>
      <c r="LQW2999" s="299"/>
      <c r="LQX2999" s="81"/>
      <c r="LQY2999" s="160"/>
      <c r="LQZ2999" s="565"/>
      <c r="LRA2999" s="125"/>
      <c r="LRB2999" s="470"/>
      <c r="LRC2999" s="449"/>
      <c r="LRD2999" s="462"/>
      <c r="LRE2999" s="299"/>
      <c r="LRF2999" s="81"/>
      <c r="LRG2999" s="160"/>
      <c r="LRH2999" s="565"/>
      <c r="LRI2999" s="125"/>
      <c r="LRJ2999" s="470"/>
      <c r="LRK2999" s="449"/>
      <c r="LRL2999" s="462"/>
      <c r="LRM2999" s="299"/>
      <c r="LRN2999" s="81"/>
      <c r="LRO2999" s="160"/>
      <c r="LRP2999" s="565"/>
      <c r="LRQ2999" s="125"/>
      <c r="LRR2999" s="470"/>
      <c r="LRS2999" s="449"/>
      <c r="LRT2999" s="462"/>
      <c r="LRU2999" s="299"/>
      <c r="LRV2999" s="81"/>
      <c r="LRW2999" s="160"/>
      <c r="LRX2999" s="565"/>
      <c r="LRY2999" s="125"/>
      <c r="LRZ2999" s="470"/>
      <c r="LSA2999" s="449"/>
      <c r="LSB2999" s="462"/>
      <c r="LSC2999" s="299"/>
      <c r="LSD2999" s="81"/>
      <c r="LSE2999" s="160"/>
      <c r="LSF2999" s="565"/>
      <c r="LSG2999" s="125"/>
      <c r="LSH2999" s="470"/>
      <c r="LSI2999" s="449"/>
      <c r="LSJ2999" s="462"/>
      <c r="LSK2999" s="299"/>
      <c r="LSL2999" s="81"/>
      <c r="LSM2999" s="160"/>
      <c r="LSN2999" s="565"/>
      <c r="LSO2999" s="125"/>
      <c r="LSP2999" s="470"/>
      <c r="LSQ2999" s="449"/>
      <c r="LSR2999" s="462"/>
      <c r="LSS2999" s="299"/>
      <c r="LST2999" s="81"/>
      <c r="LSU2999" s="160"/>
      <c r="LSV2999" s="565"/>
      <c r="LSW2999" s="125"/>
      <c r="LSX2999" s="470"/>
      <c r="LSY2999" s="449"/>
      <c r="LSZ2999" s="462"/>
      <c r="LTA2999" s="299"/>
      <c r="LTB2999" s="81"/>
      <c r="LTC2999" s="160"/>
      <c r="LTD2999" s="565"/>
      <c r="LTE2999" s="125"/>
      <c r="LTF2999" s="470"/>
      <c r="LTG2999" s="449"/>
      <c r="LTH2999" s="462"/>
      <c r="LTI2999" s="299"/>
      <c r="LTJ2999" s="81"/>
      <c r="LTK2999" s="160"/>
      <c r="LTL2999" s="565"/>
      <c r="LTM2999" s="125"/>
      <c r="LTN2999" s="470"/>
      <c r="LTO2999" s="449"/>
      <c r="LTP2999" s="462"/>
      <c r="LTQ2999" s="299"/>
      <c r="LTR2999" s="81"/>
      <c r="LTS2999" s="160"/>
      <c r="LTT2999" s="565"/>
      <c r="LTU2999" s="125"/>
      <c r="LTV2999" s="470"/>
      <c r="LTW2999" s="449"/>
      <c r="LTX2999" s="462"/>
      <c r="LTY2999" s="299"/>
      <c r="LTZ2999" s="81"/>
      <c r="LUA2999" s="160"/>
      <c r="LUB2999" s="565"/>
      <c r="LUC2999" s="125"/>
      <c r="LUD2999" s="470"/>
      <c r="LUE2999" s="449"/>
      <c r="LUF2999" s="462"/>
      <c r="LUG2999" s="299"/>
      <c r="LUH2999" s="81"/>
      <c r="LUI2999" s="160"/>
      <c r="LUJ2999" s="565"/>
      <c r="LUK2999" s="125"/>
      <c r="LUL2999" s="470"/>
      <c r="LUM2999" s="449"/>
      <c r="LUN2999" s="462"/>
      <c r="LUO2999" s="299"/>
      <c r="LUP2999" s="81"/>
      <c r="LUQ2999" s="160"/>
      <c r="LUR2999" s="565"/>
      <c r="LUS2999" s="125"/>
      <c r="LUT2999" s="470"/>
      <c r="LUU2999" s="449"/>
      <c r="LUV2999" s="462"/>
      <c r="LUW2999" s="299"/>
      <c r="LUX2999" s="81"/>
      <c r="LUY2999" s="160"/>
      <c r="LUZ2999" s="565"/>
      <c r="LVA2999" s="125"/>
      <c r="LVB2999" s="470"/>
      <c r="LVC2999" s="449"/>
      <c r="LVD2999" s="462"/>
      <c r="LVE2999" s="299"/>
      <c r="LVF2999" s="81"/>
      <c r="LVG2999" s="160"/>
      <c r="LVH2999" s="565"/>
      <c r="LVI2999" s="125"/>
      <c r="LVJ2999" s="470"/>
      <c r="LVK2999" s="449"/>
      <c r="LVL2999" s="462"/>
      <c r="LVM2999" s="299"/>
      <c r="LVN2999" s="81"/>
      <c r="LVO2999" s="160"/>
      <c r="LVP2999" s="565"/>
      <c r="LVQ2999" s="125"/>
      <c r="LVR2999" s="470"/>
      <c r="LVS2999" s="449"/>
      <c r="LVT2999" s="462"/>
      <c r="LVU2999" s="299"/>
      <c r="LVV2999" s="81"/>
      <c r="LVW2999" s="160"/>
      <c r="LVX2999" s="565"/>
      <c r="LVY2999" s="125"/>
      <c r="LVZ2999" s="470"/>
      <c r="LWA2999" s="449"/>
      <c r="LWB2999" s="462"/>
      <c r="LWC2999" s="299"/>
      <c r="LWD2999" s="81"/>
      <c r="LWE2999" s="160"/>
      <c r="LWF2999" s="565"/>
      <c r="LWG2999" s="125"/>
      <c r="LWH2999" s="470"/>
      <c r="LWI2999" s="449"/>
      <c r="LWJ2999" s="462"/>
      <c r="LWK2999" s="299"/>
      <c r="LWL2999" s="81"/>
      <c r="LWM2999" s="160"/>
      <c r="LWN2999" s="565"/>
      <c r="LWO2999" s="125"/>
      <c r="LWP2999" s="470"/>
      <c r="LWQ2999" s="449"/>
      <c r="LWR2999" s="462"/>
      <c r="LWS2999" s="299"/>
      <c r="LWT2999" s="81"/>
      <c r="LWU2999" s="160"/>
      <c r="LWV2999" s="565"/>
      <c r="LWW2999" s="125"/>
      <c r="LWX2999" s="470"/>
      <c r="LWY2999" s="449"/>
      <c r="LWZ2999" s="462"/>
      <c r="LXA2999" s="299"/>
      <c r="LXB2999" s="81"/>
      <c r="LXC2999" s="160"/>
      <c r="LXD2999" s="565"/>
      <c r="LXE2999" s="125"/>
      <c r="LXF2999" s="470"/>
      <c r="LXG2999" s="449"/>
      <c r="LXH2999" s="462"/>
      <c r="LXI2999" s="299"/>
      <c r="LXJ2999" s="81"/>
      <c r="LXK2999" s="160"/>
      <c r="LXL2999" s="565"/>
      <c r="LXM2999" s="125"/>
      <c r="LXN2999" s="470"/>
      <c r="LXO2999" s="449"/>
      <c r="LXP2999" s="462"/>
      <c r="LXQ2999" s="299"/>
      <c r="LXR2999" s="81"/>
      <c r="LXS2999" s="160"/>
      <c r="LXT2999" s="565"/>
      <c r="LXU2999" s="125"/>
      <c r="LXV2999" s="470"/>
      <c r="LXW2999" s="449"/>
      <c r="LXX2999" s="462"/>
      <c r="LXY2999" s="299"/>
      <c r="LXZ2999" s="81"/>
      <c r="LYA2999" s="160"/>
      <c r="LYB2999" s="565"/>
      <c r="LYC2999" s="125"/>
      <c r="LYD2999" s="470"/>
      <c r="LYE2999" s="449"/>
      <c r="LYF2999" s="462"/>
      <c r="LYG2999" s="299"/>
      <c r="LYH2999" s="81"/>
      <c r="LYI2999" s="160"/>
      <c r="LYJ2999" s="565"/>
      <c r="LYK2999" s="125"/>
      <c r="LYL2999" s="470"/>
      <c r="LYM2999" s="449"/>
      <c r="LYN2999" s="462"/>
      <c r="LYO2999" s="299"/>
      <c r="LYP2999" s="81"/>
      <c r="LYQ2999" s="160"/>
      <c r="LYR2999" s="565"/>
      <c r="LYS2999" s="125"/>
      <c r="LYT2999" s="470"/>
      <c r="LYU2999" s="449"/>
      <c r="LYV2999" s="462"/>
      <c r="LYW2999" s="299"/>
      <c r="LYX2999" s="81"/>
      <c r="LYY2999" s="160"/>
      <c r="LYZ2999" s="565"/>
      <c r="LZA2999" s="125"/>
      <c r="LZB2999" s="470"/>
      <c r="LZC2999" s="449"/>
      <c r="LZD2999" s="462"/>
      <c r="LZE2999" s="299"/>
      <c r="LZF2999" s="81"/>
      <c r="LZG2999" s="160"/>
      <c r="LZH2999" s="565"/>
      <c r="LZI2999" s="125"/>
      <c r="LZJ2999" s="470"/>
      <c r="LZK2999" s="449"/>
      <c r="LZL2999" s="462"/>
      <c r="LZM2999" s="299"/>
      <c r="LZN2999" s="81"/>
      <c r="LZO2999" s="160"/>
      <c r="LZP2999" s="565"/>
      <c r="LZQ2999" s="125"/>
      <c r="LZR2999" s="470"/>
      <c r="LZS2999" s="449"/>
      <c r="LZT2999" s="462"/>
      <c r="LZU2999" s="299"/>
      <c r="LZV2999" s="81"/>
      <c r="LZW2999" s="160"/>
      <c r="LZX2999" s="565"/>
      <c r="LZY2999" s="125"/>
      <c r="LZZ2999" s="470"/>
      <c r="MAA2999" s="449"/>
      <c r="MAB2999" s="462"/>
      <c r="MAC2999" s="299"/>
      <c r="MAD2999" s="81"/>
      <c r="MAE2999" s="160"/>
      <c r="MAF2999" s="565"/>
      <c r="MAG2999" s="125"/>
      <c r="MAH2999" s="470"/>
      <c r="MAI2999" s="449"/>
      <c r="MAJ2999" s="462"/>
      <c r="MAK2999" s="299"/>
      <c r="MAL2999" s="81"/>
      <c r="MAM2999" s="160"/>
      <c r="MAN2999" s="565"/>
      <c r="MAO2999" s="125"/>
      <c r="MAP2999" s="470"/>
      <c r="MAQ2999" s="449"/>
      <c r="MAR2999" s="462"/>
      <c r="MAS2999" s="299"/>
      <c r="MAT2999" s="81"/>
      <c r="MAU2999" s="160"/>
      <c r="MAV2999" s="565"/>
      <c r="MAW2999" s="125"/>
      <c r="MAX2999" s="470"/>
      <c r="MAY2999" s="449"/>
      <c r="MAZ2999" s="462"/>
      <c r="MBA2999" s="299"/>
      <c r="MBB2999" s="81"/>
      <c r="MBC2999" s="160"/>
      <c r="MBD2999" s="565"/>
      <c r="MBE2999" s="125"/>
      <c r="MBF2999" s="470"/>
      <c r="MBG2999" s="449"/>
      <c r="MBH2999" s="462"/>
      <c r="MBI2999" s="299"/>
      <c r="MBJ2999" s="81"/>
      <c r="MBK2999" s="160"/>
      <c r="MBL2999" s="565"/>
      <c r="MBM2999" s="125"/>
      <c r="MBN2999" s="470"/>
      <c r="MBO2999" s="449"/>
      <c r="MBP2999" s="462"/>
      <c r="MBQ2999" s="299"/>
      <c r="MBR2999" s="81"/>
      <c r="MBS2999" s="160"/>
      <c r="MBT2999" s="565"/>
      <c r="MBU2999" s="125"/>
      <c r="MBV2999" s="470"/>
      <c r="MBW2999" s="449"/>
      <c r="MBX2999" s="462"/>
      <c r="MBY2999" s="299"/>
      <c r="MBZ2999" s="81"/>
      <c r="MCA2999" s="160"/>
      <c r="MCB2999" s="565"/>
      <c r="MCC2999" s="125"/>
      <c r="MCD2999" s="470"/>
      <c r="MCE2999" s="449"/>
      <c r="MCF2999" s="462"/>
      <c r="MCG2999" s="299"/>
      <c r="MCH2999" s="81"/>
      <c r="MCI2999" s="160"/>
      <c r="MCJ2999" s="565"/>
      <c r="MCK2999" s="125"/>
      <c r="MCL2999" s="470"/>
      <c r="MCM2999" s="449"/>
      <c r="MCN2999" s="462"/>
      <c r="MCO2999" s="299"/>
      <c r="MCP2999" s="81"/>
      <c r="MCQ2999" s="160"/>
      <c r="MCR2999" s="565"/>
      <c r="MCS2999" s="125"/>
      <c r="MCT2999" s="470"/>
      <c r="MCU2999" s="449"/>
      <c r="MCV2999" s="462"/>
      <c r="MCW2999" s="299"/>
      <c r="MCX2999" s="81"/>
      <c r="MCY2999" s="160"/>
      <c r="MCZ2999" s="565"/>
      <c r="MDA2999" s="125"/>
      <c r="MDB2999" s="470"/>
      <c r="MDC2999" s="449"/>
      <c r="MDD2999" s="462"/>
      <c r="MDE2999" s="299"/>
      <c r="MDF2999" s="81"/>
      <c r="MDG2999" s="160"/>
      <c r="MDH2999" s="565"/>
      <c r="MDI2999" s="125"/>
      <c r="MDJ2999" s="470"/>
      <c r="MDK2999" s="449"/>
      <c r="MDL2999" s="462"/>
      <c r="MDM2999" s="299"/>
      <c r="MDN2999" s="81"/>
      <c r="MDO2999" s="160"/>
      <c r="MDP2999" s="565"/>
      <c r="MDQ2999" s="125"/>
      <c r="MDR2999" s="470"/>
      <c r="MDS2999" s="449"/>
      <c r="MDT2999" s="462"/>
      <c r="MDU2999" s="299"/>
      <c r="MDV2999" s="81"/>
      <c r="MDW2999" s="160"/>
      <c r="MDX2999" s="565"/>
      <c r="MDY2999" s="125"/>
      <c r="MDZ2999" s="470"/>
      <c r="MEA2999" s="449"/>
      <c r="MEB2999" s="462"/>
      <c r="MEC2999" s="299"/>
      <c r="MED2999" s="81"/>
      <c r="MEE2999" s="160"/>
      <c r="MEF2999" s="565"/>
      <c r="MEG2999" s="125"/>
      <c r="MEH2999" s="470"/>
      <c r="MEI2999" s="449"/>
      <c r="MEJ2999" s="462"/>
      <c r="MEK2999" s="299"/>
      <c r="MEL2999" s="81"/>
      <c r="MEM2999" s="160"/>
      <c r="MEN2999" s="565"/>
      <c r="MEO2999" s="125"/>
      <c r="MEP2999" s="470"/>
      <c r="MEQ2999" s="449"/>
      <c r="MER2999" s="462"/>
      <c r="MES2999" s="299"/>
      <c r="MET2999" s="81"/>
      <c r="MEU2999" s="160"/>
      <c r="MEV2999" s="565"/>
      <c r="MEW2999" s="125"/>
      <c r="MEX2999" s="470"/>
      <c r="MEY2999" s="449"/>
      <c r="MEZ2999" s="462"/>
      <c r="MFA2999" s="299"/>
      <c r="MFB2999" s="81"/>
      <c r="MFC2999" s="160"/>
      <c r="MFD2999" s="565"/>
      <c r="MFE2999" s="125"/>
      <c r="MFF2999" s="470"/>
      <c r="MFG2999" s="449"/>
      <c r="MFH2999" s="462"/>
      <c r="MFI2999" s="299"/>
      <c r="MFJ2999" s="81"/>
      <c r="MFK2999" s="160"/>
      <c r="MFL2999" s="565"/>
      <c r="MFM2999" s="125"/>
      <c r="MFN2999" s="470"/>
      <c r="MFO2999" s="449"/>
      <c r="MFP2999" s="462"/>
      <c r="MFQ2999" s="299"/>
      <c r="MFR2999" s="81"/>
      <c r="MFS2999" s="160"/>
      <c r="MFT2999" s="565"/>
      <c r="MFU2999" s="125"/>
      <c r="MFV2999" s="470"/>
      <c r="MFW2999" s="449"/>
      <c r="MFX2999" s="462"/>
      <c r="MFY2999" s="299"/>
      <c r="MFZ2999" s="81"/>
      <c r="MGA2999" s="160"/>
      <c r="MGB2999" s="565"/>
      <c r="MGC2999" s="125"/>
      <c r="MGD2999" s="470"/>
      <c r="MGE2999" s="449"/>
      <c r="MGF2999" s="462"/>
      <c r="MGG2999" s="299"/>
      <c r="MGH2999" s="81"/>
      <c r="MGI2999" s="160"/>
      <c r="MGJ2999" s="565"/>
      <c r="MGK2999" s="125"/>
      <c r="MGL2999" s="470"/>
      <c r="MGM2999" s="449"/>
      <c r="MGN2999" s="462"/>
      <c r="MGO2999" s="299"/>
      <c r="MGP2999" s="81"/>
      <c r="MGQ2999" s="160"/>
      <c r="MGR2999" s="565"/>
      <c r="MGS2999" s="125"/>
      <c r="MGT2999" s="470"/>
      <c r="MGU2999" s="449"/>
      <c r="MGV2999" s="462"/>
      <c r="MGW2999" s="299"/>
      <c r="MGX2999" s="81"/>
      <c r="MGY2999" s="160"/>
      <c r="MGZ2999" s="565"/>
      <c r="MHA2999" s="125"/>
      <c r="MHB2999" s="470"/>
      <c r="MHC2999" s="449"/>
      <c r="MHD2999" s="462"/>
      <c r="MHE2999" s="299"/>
      <c r="MHF2999" s="81"/>
      <c r="MHG2999" s="160"/>
      <c r="MHH2999" s="565"/>
      <c r="MHI2999" s="125"/>
      <c r="MHJ2999" s="470"/>
      <c r="MHK2999" s="449"/>
      <c r="MHL2999" s="462"/>
      <c r="MHM2999" s="299"/>
      <c r="MHN2999" s="81"/>
      <c r="MHO2999" s="160"/>
      <c r="MHP2999" s="565"/>
      <c r="MHQ2999" s="125"/>
      <c r="MHR2999" s="470"/>
      <c r="MHS2999" s="449"/>
      <c r="MHT2999" s="462"/>
      <c r="MHU2999" s="299"/>
      <c r="MHV2999" s="81"/>
      <c r="MHW2999" s="160"/>
      <c r="MHX2999" s="565"/>
      <c r="MHY2999" s="125"/>
      <c r="MHZ2999" s="470"/>
      <c r="MIA2999" s="449"/>
      <c r="MIB2999" s="462"/>
      <c r="MIC2999" s="299"/>
      <c r="MID2999" s="81"/>
      <c r="MIE2999" s="160"/>
      <c r="MIF2999" s="565"/>
      <c r="MIG2999" s="125"/>
      <c r="MIH2999" s="470"/>
      <c r="MII2999" s="449"/>
      <c r="MIJ2999" s="462"/>
      <c r="MIK2999" s="299"/>
      <c r="MIL2999" s="81"/>
      <c r="MIM2999" s="160"/>
      <c r="MIN2999" s="565"/>
      <c r="MIO2999" s="125"/>
      <c r="MIP2999" s="470"/>
      <c r="MIQ2999" s="449"/>
      <c r="MIR2999" s="462"/>
      <c r="MIS2999" s="299"/>
      <c r="MIT2999" s="81"/>
      <c r="MIU2999" s="160"/>
      <c r="MIV2999" s="565"/>
      <c r="MIW2999" s="125"/>
      <c r="MIX2999" s="470"/>
      <c r="MIY2999" s="449"/>
      <c r="MIZ2999" s="462"/>
      <c r="MJA2999" s="299"/>
      <c r="MJB2999" s="81"/>
      <c r="MJC2999" s="160"/>
      <c r="MJD2999" s="565"/>
      <c r="MJE2999" s="125"/>
      <c r="MJF2999" s="470"/>
      <c r="MJG2999" s="449"/>
      <c r="MJH2999" s="462"/>
      <c r="MJI2999" s="299"/>
      <c r="MJJ2999" s="81"/>
      <c r="MJK2999" s="160"/>
      <c r="MJL2999" s="565"/>
      <c r="MJM2999" s="125"/>
      <c r="MJN2999" s="470"/>
      <c r="MJO2999" s="449"/>
      <c r="MJP2999" s="462"/>
      <c r="MJQ2999" s="299"/>
      <c r="MJR2999" s="81"/>
      <c r="MJS2999" s="160"/>
      <c r="MJT2999" s="565"/>
      <c r="MJU2999" s="125"/>
      <c r="MJV2999" s="470"/>
      <c r="MJW2999" s="449"/>
      <c r="MJX2999" s="462"/>
      <c r="MJY2999" s="299"/>
      <c r="MJZ2999" s="81"/>
      <c r="MKA2999" s="160"/>
      <c r="MKB2999" s="565"/>
      <c r="MKC2999" s="125"/>
      <c r="MKD2999" s="470"/>
      <c r="MKE2999" s="449"/>
      <c r="MKF2999" s="462"/>
      <c r="MKG2999" s="299"/>
      <c r="MKH2999" s="81"/>
      <c r="MKI2999" s="160"/>
      <c r="MKJ2999" s="565"/>
      <c r="MKK2999" s="125"/>
      <c r="MKL2999" s="470"/>
      <c r="MKM2999" s="449"/>
      <c r="MKN2999" s="462"/>
      <c r="MKO2999" s="299"/>
      <c r="MKP2999" s="81"/>
      <c r="MKQ2999" s="160"/>
      <c r="MKR2999" s="565"/>
      <c r="MKS2999" s="125"/>
      <c r="MKT2999" s="470"/>
      <c r="MKU2999" s="449"/>
      <c r="MKV2999" s="462"/>
      <c r="MKW2999" s="299"/>
      <c r="MKX2999" s="81"/>
      <c r="MKY2999" s="160"/>
      <c r="MKZ2999" s="565"/>
      <c r="MLA2999" s="125"/>
      <c r="MLB2999" s="470"/>
      <c r="MLC2999" s="449"/>
      <c r="MLD2999" s="462"/>
      <c r="MLE2999" s="299"/>
      <c r="MLF2999" s="81"/>
      <c r="MLG2999" s="160"/>
      <c r="MLH2999" s="565"/>
      <c r="MLI2999" s="125"/>
      <c r="MLJ2999" s="470"/>
      <c r="MLK2999" s="449"/>
      <c r="MLL2999" s="462"/>
      <c r="MLM2999" s="299"/>
      <c r="MLN2999" s="81"/>
      <c r="MLO2999" s="160"/>
      <c r="MLP2999" s="565"/>
      <c r="MLQ2999" s="125"/>
      <c r="MLR2999" s="470"/>
      <c r="MLS2999" s="449"/>
      <c r="MLT2999" s="462"/>
      <c r="MLU2999" s="299"/>
      <c r="MLV2999" s="81"/>
      <c r="MLW2999" s="160"/>
      <c r="MLX2999" s="565"/>
      <c r="MLY2999" s="125"/>
      <c r="MLZ2999" s="470"/>
      <c r="MMA2999" s="449"/>
      <c r="MMB2999" s="462"/>
      <c r="MMC2999" s="299"/>
      <c r="MMD2999" s="81"/>
      <c r="MME2999" s="160"/>
      <c r="MMF2999" s="565"/>
      <c r="MMG2999" s="125"/>
      <c r="MMH2999" s="470"/>
      <c r="MMI2999" s="449"/>
      <c r="MMJ2999" s="462"/>
      <c r="MMK2999" s="299"/>
      <c r="MML2999" s="81"/>
      <c r="MMM2999" s="160"/>
      <c r="MMN2999" s="565"/>
      <c r="MMO2999" s="125"/>
      <c r="MMP2999" s="470"/>
      <c r="MMQ2999" s="449"/>
      <c r="MMR2999" s="462"/>
      <c r="MMS2999" s="299"/>
      <c r="MMT2999" s="81"/>
      <c r="MMU2999" s="160"/>
      <c r="MMV2999" s="565"/>
      <c r="MMW2999" s="125"/>
      <c r="MMX2999" s="470"/>
      <c r="MMY2999" s="449"/>
      <c r="MMZ2999" s="462"/>
      <c r="MNA2999" s="299"/>
      <c r="MNB2999" s="81"/>
      <c r="MNC2999" s="160"/>
      <c r="MND2999" s="565"/>
      <c r="MNE2999" s="125"/>
      <c r="MNF2999" s="470"/>
      <c r="MNG2999" s="449"/>
      <c r="MNH2999" s="462"/>
      <c r="MNI2999" s="299"/>
      <c r="MNJ2999" s="81"/>
      <c r="MNK2999" s="160"/>
      <c r="MNL2999" s="565"/>
      <c r="MNM2999" s="125"/>
      <c r="MNN2999" s="470"/>
      <c r="MNO2999" s="449"/>
      <c r="MNP2999" s="462"/>
      <c r="MNQ2999" s="299"/>
      <c r="MNR2999" s="81"/>
      <c r="MNS2999" s="160"/>
      <c r="MNT2999" s="565"/>
      <c r="MNU2999" s="125"/>
      <c r="MNV2999" s="470"/>
      <c r="MNW2999" s="449"/>
      <c r="MNX2999" s="462"/>
      <c r="MNY2999" s="299"/>
      <c r="MNZ2999" s="81"/>
      <c r="MOA2999" s="160"/>
      <c r="MOB2999" s="565"/>
      <c r="MOC2999" s="125"/>
      <c r="MOD2999" s="470"/>
      <c r="MOE2999" s="449"/>
      <c r="MOF2999" s="462"/>
      <c r="MOG2999" s="299"/>
      <c r="MOH2999" s="81"/>
      <c r="MOI2999" s="160"/>
      <c r="MOJ2999" s="565"/>
      <c r="MOK2999" s="125"/>
      <c r="MOL2999" s="470"/>
      <c r="MOM2999" s="449"/>
      <c r="MON2999" s="462"/>
      <c r="MOO2999" s="299"/>
      <c r="MOP2999" s="81"/>
      <c r="MOQ2999" s="160"/>
      <c r="MOR2999" s="565"/>
      <c r="MOS2999" s="125"/>
      <c r="MOT2999" s="470"/>
      <c r="MOU2999" s="449"/>
      <c r="MOV2999" s="462"/>
      <c r="MOW2999" s="299"/>
      <c r="MOX2999" s="81"/>
      <c r="MOY2999" s="160"/>
      <c r="MOZ2999" s="565"/>
      <c r="MPA2999" s="125"/>
      <c r="MPB2999" s="470"/>
      <c r="MPC2999" s="449"/>
      <c r="MPD2999" s="462"/>
      <c r="MPE2999" s="299"/>
      <c r="MPF2999" s="81"/>
      <c r="MPG2999" s="160"/>
      <c r="MPH2999" s="565"/>
      <c r="MPI2999" s="125"/>
      <c r="MPJ2999" s="470"/>
      <c r="MPK2999" s="449"/>
      <c r="MPL2999" s="462"/>
      <c r="MPM2999" s="299"/>
      <c r="MPN2999" s="81"/>
      <c r="MPO2999" s="160"/>
      <c r="MPP2999" s="565"/>
      <c r="MPQ2999" s="125"/>
      <c r="MPR2999" s="470"/>
      <c r="MPS2999" s="449"/>
      <c r="MPT2999" s="462"/>
      <c r="MPU2999" s="299"/>
      <c r="MPV2999" s="81"/>
      <c r="MPW2999" s="160"/>
      <c r="MPX2999" s="565"/>
      <c r="MPY2999" s="125"/>
      <c r="MPZ2999" s="470"/>
      <c r="MQA2999" s="449"/>
      <c r="MQB2999" s="462"/>
      <c r="MQC2999" s="299"/>
      <c r="MQD2999" s="81"/>
      <c r="MQE2999" s="160"/>
      <c r="MQF2999" s="565"/>
      <c r="MQG2999" s="125"/>
      <c r="MQH2999" s="470"/>
      <c r="MQI2999" s="449"/>
      <c r="MQJ2999" s="462"/>
      <c r="MQK2999" s="299"/>
      <c r="MQL2999" s="81"/>
      <c r="MQM2999" s="160"/>
      <c r="MQN2999" s="565"/>
      <c r="MQO2999" s="125"/>
      <c r="MQP2999" s="470"/>
      <c r="MQQ2999" s="449"/>
      <c r="MQR2999" s="462"/>
      <c r="MQS2999" s="299"/>
      <c r="MQT2999" s="81"/>
      <c r="MQU2999" s="160"/>
      <c r="MQV2999" s="565"/>
      <c r="MQW2999" s="125"/>
      <c r="MQX2999" s="470"/>
      <c r="MQY2999" s="449"/>
      <c r="MQZ2999" s="462"/>
      <c r="MRA2999" s="299"/>
      <c r="MRB2999" s="81"/>
      <c r="MRC2999" s="160"/>
      <c r="MRD2999" s="565"/>
      <c r="MRE2999" s="125"/>
      <c r="MRF2999" s="470"/>
      <c r="MRG2999" s="449"/>
      <c r="MRH2999" s="462"/>
      <c r="MRI2999" s="299"/>
      <c r="MRJ2999" s="81"/>
      <c r="MRK2999" s="160"/>
      <c r="MRL2999" s="565"/>
      <c r="MRM2999" s="125"/>
      <c r="MRN2999" s="470"/>
      <c r="MRO2999" s="449"/>
      <c r="MRP2999" s="462"/>
      <c r="MRQ2999" s="299"/>
      <c r="MRR2999" s="81"/>
      <c r="MRS2999" s="160"/>
      <c r="MRT2999" s="565"/>
      <c r="MRU2999" s="125"/>
      <c r="MRV2999" s="470"/>
      <c r="MRW2999" s="449"/>
      <c r="MRX2999" s="462"/>
      <c r="MRY2999" s="299"/>
      <c r="MRZ2999" s="81"/>
      <c r="MSA2999" s="160"/>
      <c r="MSB2999" s="565"/>
      <c r="MSC2999" s="125"/>
      <c r="MSD2999" s="470"/>
      <c r="MSE2999" s="449"/>
      <c r="MSF2999" s="462"/>
      <c r="MSG2999" s="299"/>
      <c r="MSH2999" s="81"/>
      <c r="MSI2999" s="160"/>
      <c r="MSJ2999" s="565"/>
      <c r="MSK2999" s="125"/>
      <c r="MSL2999" s="470"/>
      <c r="MSM2999" s="449"/>
      <c r="MSN2999" s="462"/>
      <c r="MSO2999" s="299"/>
      <c r="MSP2999" s="81"/>
      <c r="MSQ2999" s="160"/>
      <c r="MSR2999" s="565"/>
      <c r="MSS2999" s="125"/>
      <c r="MST2999" s="470"/>
      <c r="MSU2999" s="449"/>
      <c r="MSV2999" s="462"/>
      <c r="MSW2999" s="299"/>
      <c r="MSX2999" s="81"/>
      <c r="MSY2999" s="160"/>
      <c r="MSZ2999" s="565"/>
      <c r="MTA2999" s="125"/>
      <c r="MTB2999" s="470"/>
      <c r="MTC2999" s="449"/>
      <c r="MTD2999" s="462"/>
      <c r="MTE2999" s="299"/>
      <c r="MTF2999" s="81"/>
      <c r="MTG2999" s="160"/>
      <c r="MTH2999" s="565"/>
      <c r="MTI2999" s="125"/>
      <c r="MTJ2999" s="470"/>
      <c r="MTK2999" s="449"/>
      <c r="MTL2999" s="462"/>
      <c r="MTM2999" s="299"/>
      <c r="MTN2999" s="81"/>
      <c r="MTO2999" s="160"/>
      <c r="MTP2999" s="565"/>
      <c r="MTQ2999" s="125"/>
      <c r="MTR2999" s="470"/>
      <c r="MTS2999" s="449"/>
      <c r="MTT2999" s="462"/>
      <c r="MTU2999" s="299"/>
      <c r="MTV2999" s="81"/>
      <c r="MTW2999" s="160"/>
      <c r="MTX2999" s="565"/>
      <c r="MTY2999" s="125"/>
      <c r="MTZ2999" s="470"/>
      <c r="MUA2999" s="449"/>
      <c r="MUB2999" s="462"/>
      <c r="MUC2999" s="299"/>
      <c r="MUD2999" s="81"/>
      <c r="MUE2999" s="160"/>
      <c r="MUF2999" s="565"/>
      <c r="MUG2999" s="125"/>
      <c r="MUH2999" s="470"/>
      <c r="MUI2999" s="449"/>
      <c r="MUJ2999" s="462"/>
      <c r="MUK2999" s="299"/>
      <c r="MUL2999" s="81"/>
      <c r="MUM2999" s="160"/>
      <c r="MUN2999" s="565"/>
      <c r="MUO2999" s="125"/>
      <c r="MUP2999" s="470"/>
      <c r="MUQ2999" s="449"/>
      <c r="MUR2999" s="462"/>
      <c r="MUS2999" s="299"/>
      <c r="MUT2999" s="81"/>
      <c r="MUU2999" s="160"/>
      <c r="MUV2999" s="565"/>
      <c r="MUW2999" s="125"/>
      <c r="MUX2999" s="470"/>
      <c r="MUY2999" s="449"/>
      <c r="MUZ2999" s="462"/>
      <c r="MVA2999" s="299"/>
      <c r="MVB2999" s="81"/>
      <c r="MVC2999" s="160"/>
      <c r="MVD2999" s="565"/>
      <c r="MVE2999" s="125"/>
      <c r="MVF2999" s="470"/>
      <c r="MVG2999" s="449"/>
      <c r="MVH2999" s="462"/>
      <c r="MVI2999" s="299"/>
      <c r="MVJ2999" s="81"/>
      <c r="MVK2999" s="160"/>
      <c r="MVL2999" s="565"/>
      <c r="MVM2999" s="125"/>
      <c r="MVN2999" s="470"/>
      <c r="MVO2999" s="449"/>
      <c r="MVP2999" s="462"/>
      <c r="MVQ2999" s="299"/>
      <c r="MVR2999" s="81"/>
      <c r="MVS2999" s="160"/>
      <c r="MVT2999" s="565"/>
      <c r="MVU2999" s="125"/>
      <c r="MVV2999" s="470"/>
      <c r="MVW2999" s="449"/>
      <c r="MVX2999" s="462"/>
      <c r="MVY2999" s="299"/>
      <c r="MVZ2999" s="81"/>
      <c r="MWA2999" s="160"/>
      <c r="MWB2999" s="565"/>
      <c r="MWC2999" s="125"/>
      <c r="MWD2999" s="470"/>
      <c r="MWE2999" s="449"/>
      <c r="MWF2999" s="462"/>
      <c r="MWG2999" s="299"/>
      <c r="MWH2999" s="81"/>
      <c r="MWI2999" s="160"/>
      <c r="MWJ2999" s="565"/>
      <c r="MWK2999" s="125"/>
      <c r="MWL2999" s="470"/>
      <c r="MWM2999" s="449"/>
      <c r="MWN2999" s="462"/>
      <c r="MWO2999" s="299"/>
      <c r="MWP2999" s="81"/>
      <c r="MWQ2999" s="160"/>
      <c r="MWR2999" s="565"/>
      <c r="MWS2999" s="125"/>
      <c r="MWT2999" s="470"/>
      <c r="MWU2999" s="449"/>
      <c r="MWV2999" s="462"/>
      <c r="MWW2999" s="299"/>
      <c r="MWX2999" s="81"/>
      <c r="MWY2999" s="160"/>
      <c r="MWZ2999" s="565"/>
      <c r="MXA2999" s="125"/>
      <c r="MXB2999" s="470"/>
      <c r="MXC2999" s="449"/>
      <c r="MXD2999" s="462"/>
      <c r="MXE2999" s="299"/>
      <c r="MXF2999" s="81"/>
      <c r="MXG2999" s="160"/>
      <c r="MXH2999" s="565"/>
      <c r="MXI2999" s="125"/>
      <c r="MXJ2999" s="470"/>
      <c r="MXK2999" s="449"/>
      <c r="MXL2999" s="462"/>
      <c r="MXM2999" s="299"/>
      <c r="MXN2999" s="81"/>
      <c r="MXO2999" s="160"/>
      <c r="MXP2999" s="565"/>
      <c r="MXQ2999" s="125"/>
      <c r="MXR2999" s="470"/>
      <c r="MXS2999" s="449"/>
      <c r="MXT2999" s="462"/>
      <c r="MXU2999" s="299"/>
      <c r="MXV2999" s="81"/>
      <c r="MXW2999" s="160"/>
      <c r="MXX2999" s="565"/>
      <c r="MXY2999" s="125"/>
      <c r="MXZ2999" s="470"/>
      <c r="MYA2999" s="449"/>
      <c r="MYB2999" s="462"/>
      <c r="MYC2999" s="299"/>
      <c r="MYD2999" s="81"/>
      <c r="MYE2999" s="160"/>
      <c r="MYF2999" s="565"/>
      <c r="MYG2999" s="125"/>
      <c r="MYH2999" s="470"/>
      <c r="MYI2999" s="449"/>
      <c r="MYJ2999" s="462"/>
      <c r="MYK2999" s="299"/>
      <c r="MYL2999" s="81"/>
      <c r="MYM2999" s="160"/>
      <c r="MYN2999" s="565"/>
      <c r="MYO2999" s="125"/>
      <c r="MYP2999" s="470"/>
      <c r="MYQ2999" s="449"/>
      <c r="MYR2999" s="462"/>
      <c r="MYS2999" s="299"/>
      <c r="MYT2999" s="81"/>
      <c r="MYU2999" s="160"/>
      <c r="MYV2999" s="565"/>
      <c r="MYW2999" s="125"/>
      <c r="MYX2999" s="470"/>
      <c r="MYY2999" s="449"/>
      <c r="MYZ2999" s="462"/>
      <c r="MZA2999" s="299"/>
      <c r="MZB2999" s="81"/>
      <c r="MZC2999" s="160"/>
      <c r="MZD2999" s="565"/>
      <c r="MZE2999" s="125"/>
      <c r="MZF2999" s="470"/>
      <c r="MZG2999" s="449"/>
      <c r="MZH2999" s="462"/>
      <c r="MZI2999" s="299"/>
      <c r="MZJ2999" s="81"/>
      <c r="MZK2999" s="160"/>
      <c r="MZL2999" s="565"/>
      <c r="MZM2999" s="125"/>
      <c r="MZN2999" s="470"/>
      <c r="MZO2999" s="449"/>
      <c r="MZP2999" s="462"/>
      <c r="MZQ2999" s="299"/>
      <c r="MZR2999" s="81"/>
      <c r="MZS2999" s="160"/>
      <c r="MZT2999" s="565"/>
      <c r="MZU2999" s="125"/>
      <c r="MZV2999" s="470"/>
      <c r="MZW2999" s="449"/>
      <c r="MZX2999" s="462"/>
      <c r="MZY2999" s="299"/>
      <c r="MZZ2999" s="81"/>
      <c r="NAA2999" s="160"/>
      <c r="NAB2999" s="565"/>
      <c r="NAC2999" s="125"/>
      <c r="NAD2999" s="470"/>
      <c r="NAE2999" s="449"/>
      <c r="NAF2999" s="462"/>
      <c r="NAG2999" s="299"/>
      <c r="NAH2999" s="81"/>
      <c r="NAI2999" s="160"/>
      <c r="NAJ2999" s="565"/>
      <c r="NAK2999" s="125"/>
      <c r="NAL2999" s="470"/>
      <c r="NAM2999" s="449"/>
      <c r="NAN2999" s="462"/>
      <c r="NAO2999" s="299"/>
      <c r="NAP2999" s="81"/>
      <c r="NAQ2999" s="160"/>
      <c r="NAR2999" s="565"/>
      <c r="NAS2999" s="125"/>
      <c r="NAT2999" s="470"/>
      <c r="NAU2999" s="449"/>
      <c r="NAV2999" s="462"/>
      <c r="NAW2999" s="299"/>
      <c r="NAX2999" s="81"/>
      <c r="NAY2999" s="160"/>
      <c r="NAZ2999" s="565"/>
      <c r="NBA2999" s="125"/>
      <c r="NBB2999" s="470"/>
      <c r="NBC2999" s="449"/>
      <c r="NBD2999" s="462"/>
      <c r="NBE2999" s="299"/>
      <c r="NBF2999" s="81"/>
      <c r="NBG2999" s="160"/>
      <c r="NBH2999" s="565"/>
      <c r="NBI2999" s="125"/>
      <c r="NBJ2999" s="470"/>
      <c r="NBK2999" s="449"/>
      <c r="NBL2999" s="462"/>
      <c r="NBM2999" s="299"/>
      <c r="NBN2999" s="81"/>
      <c r="NBO2999" s="160"/>
      <c r="NBP2999" s="565"/>
      <c r="NBQ2999" s="125"/>
      <c r="NBR2999" s="470"/>
      <c r="NBS2999" s="449"/>
      <c r="NBT2999" s="462"/>
      <c r="NBU2999" s="299"/>
      <c r="NBV2999" s="81"/>
      <c r="NBW2999" s="160"/>
      <c r="NBX2999" s="565"/>
      <c r="NBY2999" s="125"/>
      <c r="NBZ2999" s="470"/>
      <c r="NCA2999" s="449"/>
      <c r="NCB2999" s="462"/>
      <c r="NCC2999" s="299"/>
      <c r="NCD2999" s="81"/>
      <c r="NCE2999" s="160"/>
      <c r="NCF2999" s="565"/>
      <c r="NCG2999" s="125"/>
      <c r="NCH2999" s="470"/>
      <c r="NCI2999" s="449"/>
      <c r="NCJ2999" s="462"/>
      <c r="NCK2999" s="299"/>
      <c r="NCL2999" s="81"/>
      <c r="NCM2999" s="160"/>
      <c r="NCN2999" s="565"/>
      <c r="NCO2999" s="125"/>
      <c r="NCP2999" s="470"/>
      <c r="NCQ2999" s="449"/>
      <c r="NCR2999" s="462"/>
      <c r="NCS2999" s="299"/>
      <c r="NCT2999" s="81"/>
      <c r="NCU2999" s="160"/>
      <c r="NCV2999" s="565"/>
      <c r="NCW2999" s="125"/>
      <c r="NCX2999" s="470"/>
      <c r="NCY2999" s="449"/>
      <c r="NCZ2999" s="462"/>
      <c r="NDA2999" s="299"/>
      <c r="NDB2999" s="81"/>
      <c r="NDC2999" s="160"/>
      <c r="NDD2999" s="565"/>
      <c r="NDE2999" s="125"/>
      <c r="NDF2999" s="470"/>
      <c r="NDG2999" s="449"/>
      <c r="NDH2999" s="462"/>
      <c r="NDI2999" s="299"/>
      <c r="NDJ2999" s="81"/>
      <c r="NDK2999" s="160"/>
      <c r="NDL2999" s="565"/>
      <c r="NDM2999" s="125"/>
      <c r="NDN2999" s="470"/>
      <c r="NDO2999" s="449"/>
      <c r="NDP2999" s="462"/>
      <c r="NDQ2999" s="299"/>
      <c r="NDR2999" s="81"/>
      <c r="NDS2999" s="160"/>
      <c r="NDT2999" s="565"/>
      <c r="NDU2999" s="125"/>
      <c r="NDV2999" s="470"/>
      <c r="NDW2999" s="449"/>
      <c r="NDX2999" s="462"/>
      <c r="NDY2999" s="299"/>
      <c r="NDZ2999" s="81"/>
      <c r="NEA2999" s="160"/>
      <c r="NEB2999" s="565"/>
      <c r="NEC2999" s="125"/>
      <c r="NED2999" s="470"/>
      <c r="NEE2999" s="449"/>
      <c r="NEF2999" s="462"/>
      <c r="NEG2999" s="299"/>
      <c r="NEH2999" s="81"/>
      <c r="NEI2999" s="160"/>
      <c r="NEJ2999" s="565"/>
      <c r="NEK2999" s="125"/>
      <c r="NEL2999" s="470"/>
      <c r="NEM2999" s="449"/>
      <c r="NEN2999" s="462"/>
      <c r="NEO2999" s="299"/>
      <c r="NEP2999" s="81"/>
      <c r="NEQ2999" s="160"/>
      <c r="NER2999" s="565"/>
      <c r="NES2999" s="125"/>
      <c r="NET2999" s="470"/>
      <c r="NEU2999" s="449"/>
      <c r="NEV2999" s="462"/>
      <c r="NEW2999" s="299"/>
      <c r="NEX2999" s="81"/>
      <c r="NEY2999" s="160"/>
      <c r="NEZ2999" s="565"/>
      <c r="NFA2999" s="125"/>
      <c r="NFB2999" s="470"/>
      <c r="NFC2999" s="449"/>
      <c r="NFD2999" s="462"/>
      <c r="NFE2999" s="299"/>
      <c r="NFF2999" s="81"/>
      <c r="NFG2999" s="160"/>
      <c r="NFH2999" s="565"/>
      <c r="NFI2999" s="125"/>
      <c r="NFJ2999" s="470"/>
      <c r="NFK2999" s="449"/>
      <c r="NFL2999" s="462"/>
      <c r="NFM2999" s="299"/>
      <c r="NFN2999" s="81"/>
      <c r="NFO2999" s="160"/>
      <c r="NFP2999" s="565"/>
      <c r="NFQ2999" s="125"/>
      <c r="NFR2999" s="470"/>
      <c r="NFS2999" s="449"/>
      <c r="NFT2999" s="462"/>
      <c r="NFU2999" s="299"/>
      <c r="NFV2999" s="81"/>
      <c r="NFW2999" s="160"/>
      <c r="NFX2999" s="565"/>
      <c r="NFY2999" s="125"/>
      <c r="NFZ2999" s="470"/>
      <c r="NGA2999" s="449"/>
      <c r="NGB2999" s="462"/>
      <c r="NGC2999" s="299"/>
      <c r="NGD2999" s="81"/>
      <c r="NGE2999" s="160"/>
      <c r="NGF2999" s="565"/>
      <c r="NGG2999" s="125"/>
      <c r="NGH2999" s="470"/>
      <c r="NGI2999" s="449"/>
      <c r="NGJ2999" s="462"/>
      <c r="NGK2999" s="299"/>
      <c r="NGL2999" s="81"/>
      <c r="NGM2999" s="160"/>
      <c r="NGN2999" s="565"/>
      <c r="NGO2999" s="125"/>
      <c r="NGP2999" s="470"/>
      <c r="NGQ2999" s="449"/>
      <c r="NGR2999" s="462"/>
      <c r="NGS2999" s="299"/>
      <c r="NGT2999" s="81"/>
      <c r="NGU2999" s="160"/>
      <c r="NGV2999" s="565"/>
      <c r="NGW2999" s="125"/>
      <c r="NGX2999" s="470"/>
      <c r="NGY2999" s="449"/>
      <c r="NGZ2999" s="462"/>
      <c r="NHA2999" s="299"/>
      <c r="NHB2999" s="81"/>
      <c r="NHC2999" s="160"/>
      <c r="NHD2999" s="565"/>
      <c r="NHE2999" s="125"/>
      <c r="NHF2999" s="470"/>
      <c r="NHG2999" s="449"/>
      <c r="NHH2999" s="462"/>
      <c r="NHI2999" s="299"/>
      <c r="NHJ2999" s="81"/>
      <c r="NHK2999" s="160"/>
      <c r="NHL2999" s="565"/>
      <c r="NHM2999" s="125"/>
      <c r="NHN2999" s="470"/>
      <c r="NHO2999" s="449"/>
      <c r="NHP2999" s="462"/>
      <c r="NHQ2999" s="299"/>
      <c r="NHR2999" s="81"/>
      <c r="NHS2999" s="160"/>
      <c r="NHT2999" s="565"/>
      <c r="NHU2999" s="125"/>
      <c r="NHV2999" s="470"/>
      <c r="NHW2999" s="449"/>
      <c r="NHX2999" s="462"/>
      <c r="NHY2999" s="299"/>
      <c r="NHZ2999" s="81"/>
      <c r="NIA2999" s="160"/>
      <c r="NIB2999" s="565"/>
      <c r="NIC2999" s="125"/>
      <c r="NID2999" s="470"/>
      <c r="NIE2999" s="449"/>
      <c r="NIF2999" s="462"/>
      <c r="NIG2999" s="299"/>
      <c r="NIH2999" s="81"/>
      <c r="NII2999" s="160"/>
      <c r="NIJ2999" s="565"/>
      <c r="NIK2999" s="125"/>
      <c r="NIL2999" s="470"/>
      <c r="NIM2999" s="449"/>
      <c r="NIN2999" s="462"/>
      <c r="NIO2999" s="299"/>
      <c r="NIP2999" s="81"/>
      <c r="NIQ2999" s="160"/>
      <c r="NIR2999" s="565"/>
      <c r="NIS2999" s="125"/>
      <c r="NIT2999" s="470"/>
      <c r="NIU2999" s="449"/>
      <c r="NIV2999" s="462"/>
      <c r="NIW2999" s="299"/>
      <c r="NIX2999" s="81"/>
      <c r="NIY2999" s="160"/>
      <c r="NIZ2999" s="565"/>
      <c r="NJA2999" s="125"/>
      <c r="NJB2999" s="470"/>
      <c r="NJC2999" s="449"/>
      <c r="NJD2999" s="462"/>
      <c r="NJE2999" s="299"/>
      <c r="NJF2999" s="81"/>
      <c r="NJG2999" s="160"/>
      <c r="NJH2999" s="565"/>
      <c r="NJI2999" s="125"/>
      <c r="NJJ2999" s="470"/>
      <c r="NJK2999" s="449"/>
      <c r="NJL2999" s="462"/>
      <c r="NJM2999" s="299"/>
      <c r="NJN2999" s="81"/>
      <c r="NJO2999" s="160"/>
      <c r="NJP2999" s="565"/>
      <c r="NJQ2999" s="125"/>
      <c r="NJR2999" s="470"/>
      <c r="NJS2999" s="449"/>
      <c r="NJT2999" s="462"/>
      <c r="NJU2999" s="299"/>
      <c r="NJV2999" s="81"/>
      <c r="NJW2999" s="160"/>
      <c r="NJX2999" s="565"/>
      <c r="NJY2999" s="125"/>
      <c r="NJZ2999" s="470"/>
      <c r="NKA2999" s="449"/>
      <c r="NKB2999" s="462"/>
      <c r="NKC2999" s="299"/>
      <c r="NKD2999" s="81"/>
      <c r="NKE2999" s="160"/>
      <c r="NKF2999" s="565"/>
      <c r="NKG2999" s="125"/>
      <c r="NKH2999" s="470"/>
      <c r="NKI2999" s="449"/>
      <c r="NKJ2999" s="462"/>
      <c r="NKK2999" s="299"/>
      <c r="NKL2999" s="81"/>
      <c r="NKM2999" s="160"/>
      <c r="NKN2999" s="565"/>
      <c r="NKO2999" s="125"/>
      <c r="NKP2999" s="470"/>
      <c r="NKQ2999" s="449"/>
      <c r="NKR2999" s="462"/>
      <c r="NKS2999" s="299"/>
      <c r="NKT2999" s="81"/>
      <c r="NKU2999" s="160"/>
      <c r="NKV2999" s="565"/>
      <c r="NKW2999" s="125"/>
      <c r="NKX2999" s="470"/>
      <c r="NKY2999" s="449"/>
      <c r="NKZ2999" s="462"/>
      <c r="NLA2999" s="299"/>
      <c r="NLB2999" s="81"/>
      <c r="NLC2999" s="160"/>
      <c r="NLD2999" s="565"/>
      <c r="NLE2999" s="125"/>
      <c r="NLF2999" s="470"/>
      <c r="NLG2999" s="449"/>
      <c r="NLH2999" s="462"/>
      <c r="NLI2999" s="299"/>
      <c r="NLJ2999" s="81"/>
      <c r="NLK2999" s="160"/>
      <c r="NLL2999" s="565"/>
      <c r="NLM2999" s="125"/>
      <c r="NLN2999" s="470"/>
      <c r="NLO2999" s="449"/>
      <c r="NLP2999" s="462"/>
      <c r="NLQ2999" s="299"/>
      <c r="NLR2999" s="81"/>
      <c r="NLS2999" s="160"/>
      <c r="NLT2999" s="565"/>
      <c r="NLU2999" s="125"/>
      <c r="NLV2999" s="470"/>
      <c r="NLW2999" s="449"/>
      <c r="NLX2999" s="462"/>
      <c r="NLY2999" s="299"/>
      <c r="NLZ2999" s="81"/>
      <c r="NMA2999" s="160"/>
      <c r="NMB2999" s="565"/>
      <c r="NMC2999" s="125"/>
      <c r="NMD2999" s="470"/>
      <c r="NME2999" s="449"/>
      <c r="NMF2999" s="462"/>
      <c r="NMG2999" s="299"/>
      <c r="NMH2999" s="81"/>
      <c r="NMI2999" s="160"/>
      <c r="NMJ2999" s="565"/>
      <c r="NMK2999" s="125"/>
      <c r="NML2999" s="470"/>
      <c r="NMM2999" s="449"/>
      <c r="NMN2999" s="462"/>
      <c r="NMO2999" s="299"/>
      <c r="NMP2999" s="81"/>
      <c r="NMQ2999" s="160"/>
      <c r="NMR2999" s="565"/>
      <c r="NMS2999" s="125"/>
      <c r="NMT2999" s="470"/>
      <c r="NMU2999" s="449"/>
      <c r="NMV2999" s="462"/>
      <c r="NMW2999" s="299"/>
      <c r="NMX2999" s="81"/>
      <c r="NMY2999" s="160"/>
      <c r="NMZ2999" s="565"/>
      <c r="NNA2999" s="125"/>
      <c r="NNB2999" s="470"/>
      <c r="NNC2999" s="449"/>
      <c r="NND2999" s="462"/>
      <c r="NNE2999" s="299"/>
      <c r="NNF2999" s="81"/>
      <c r="NNG2999" s="160"/>
      <c r="NNH2999" s="565"/>
      <c r="NNI2999" s="125"/>
      <c r="NNJ2999" s="470"/>
      <c r="NNK2999" s="449"/>
      <c r="NNL2999" s="462"/>
      <c r="NNM2999" s="299"/>
      <c r="NNN2999" s="81"/>
      <c r="NNO2999" s="160"/>
      <c r="NNP2999" s="565"/>
      <c r="NNQ2999" s="125"/>
      <c r="NNR2999" s="470"/>
      <c r="NNS2999" s="449"/>
      <c r="NNT2999" s="462"/>
      <c r="NNU2999" s="299"/>
      <c r="NNV2999" s="81"/>
      <c r="NNW2999" s="160"/>
      <c r="NNX2999" s="565"/>
      <c r="NNY2999" s="125"/>
      <c r="NNZ2999" s="470"/>
      <c r="NOA2999" s="449"/>
      <c r="NOB2999" s="462"/>
      <c r="NOC2999" s="299"/>
      <c r="NOD2999" s="81"/>
      <c r="NOE2999" s="160"/>
      <c r="NOF2999" s="565"/>
      <c r="NOG2999" s="125"/>
      <c r="NOH2999" s="470"/>
      <c r="NOI2999" s="449"/>
      <c r="NOJ2999" s="462"/>
      <c r="NOK2999" s="299"/>
      <c r="NOL2999" s="81"/>
      <c r="NOM2999" s="160"/>
      <c r="NON2999" s="565"/>
      <c r="NOO2999" s="125"/>
      <c r="NOP2999" s="470"/>
      <c r="NOQ2999" s="449"/>
      <c r="NOR2999" s="462"/>
      <c r="NOS2999" s="299"/>
      <c r="NOT2999" s="81"/>
      <c r="NOU2999" s="160"/>
      <c r="NOV2999" s="565"/>
      <c r="NOW2999" s="125"/>
      <c r="NOX2999" s="470"/>
      <c r="NOY2999" s="449"/>
      <c r="NOZ2999" s="462"/>
      <c r="NPA2999" s="299"/>
      <c r="NPB2999" s="81"/>
      <c r="NPC2999" s="160"/>
      <c r="NPD2999" s="565"/>
      <c r="NPE2999" s="125"/>
      <c r="NPF2999" s="470"/>
      <c r="NPG2999" s="449"/>
      <c r="NPH2999" s="462"/>
      <c r="NPI2999" s="299"/>
      <c r="NPJ2999" s="81"/>
      <c r="NPK2999" s="160"/>
      <c r="NPL2999" s="565"/>
      <c r="NPM2999" s="125"/>
      <c r="NPN2999" s="470"/>
      <c r="NPO2999" s="449"/>
      <c r="NPP2999" s="462"/>
      <c r="NPQ2999" s="299"/>
      <c r="NPR2999" s="81"/>
      <c r="NPS2999" s="160"/>
      <c r="NPT2999" s="565"/>
      <c r="NPU2999" s="125"/>
      <c r="NPV2999" s="470"/>
      <c r="NPW2999" s="449"/>
      <c r="NPX2999" s="462"/>
      <c r="NPY2999" s="299"/>
      <c r="NPZ2999" s="81"/>
      <c r="NQA2999" s="160"/>
      <c r="NQB2999" s="565"/>
      <c r="NQC2999" s="125"/>
      <c r="NQD2999" s="470"/>
      <c r="NQE2999" s="449"/>
      <c r="NQF2999" s="462"/>
      <c r="NQG2999" s="299"/>
      <c r="NQH2999" s="81"/>
      <c r="NQI2999" s="160"/>
      <c r="NQJ2999" s="565"/>
      <c r="NQK2999" s="125"/>
      <c r="NQL2999" s="470"/>
      <c r="NQM2999" s="449"/>
      <c r="NQN2999" s="462"/>
      <c r="NQO2999" s="299"/>
      <c r="NQP2999" s="81"/>
      <c r="NQQ2999" s="160"/>
      <c r="NQR2999" s="565"/>
      <c r="NQS2999" s="125"/>
      <c r="NQT2999" s="470"/>
      <c r="NQU2999" s="449"/>
      <c r="NQV2999" s="462"/>
      <c r="NQW2999" s="299"/>
      <c r="NQX2999" s="81"/>
      <c r="NQY2999" s="160"/>
      <c r="NQZ2999" s="565"/>
      <c r="NRA2999" s="125"/>
      <c r="NRB2999" s="470"/>
      <c r="NRC2999" s="449"/>
      <c r="NRD2999" s="462"/>
      <c r="NRE2999" s="299"/>
      <c r="NRF2999" s="81"/>
      <c r="NRG2999" s="160"/>
      <c r="NRH2999" s="565"/>
      <c r="NRI2999" s="125"/>
      <c r="NRJ2999" s="470"/>
      <c r="NRK2999" s="449"/>
      <c r="NRL2999" s="462"/>
      <c r="NRM2999" s="299"/>
      <c r="NRN2999" s="81"/>
      <c r="NRO2999" s="160"/>
      <c r="NRP2999" s="565"/>
      <c r="NRQ2999" s="125"/>
      <c r="NRR2999" s="470"/>
      <c r="NRS2999" s="449"/>
      <c r="NRT2999" s="462"/>
      <c r="NRU2999" s="299"/>
      <c r="NRV2999" s="81"/>
      <c r="NRW2999" s="160"/>
      <c r="NRX2999" s="565"/>
      <c r="NRY2999" s="125"/>
      <c r="NRZ2999" s="470"/>
      <c r="NSA2999" s="449"/>
      <c r="NSB2999" s="462"/>
      <c r="NSC2999" s="299"/>
      <c r="NSD2999" s="81"/>
      <c r="NSE2999" s="160"/>
      <c r="NSF2999" s="565"/>
      <c r="NSG2999" s="125"/>
      <c r="NSH2999" s="470"/>
      <c r="NSI2999" s="449"/>
      <c r="NSJ2999" s="462"/>
      <c r="NSK2999" s="299"/>
      <c r="NSL2999" s="81"/>
      <c r="NSM2999" s="160"/>
      <c r="NSN2999" s="565"/>
      <c r="NSO2999" s="125"/>
      <c r="NSP2999" s="470"/>
      <c r="NSQ2999" s="449"/>
      <c r="NSR2999" s="462"/>
      <c r="NSS2999" s="299"/>
      <c r="NST2999" s="81"/>
      <c r="NSU2999" s="160"/>
      <c r="NSV2999" s="565"/>
      <c r="NSW2999" s="125"/>
      <c r="NSX2999" s="470"/>
      <c r="NSY2999" s="449"/>
      <c r="NSZ2999" s="462"/>
      <c r="NTA2999" s="299"/>
      <c r="NTB2999" s="81"/>
      <c r="NTC2999" s="160"/>
      <c r="NTD2999" s="565"/>
      <c r="NTE2999" s="125"/>
      <c r="NTF2999" s="470"/>
      <c r="NTG2999" s="449"/>
      <c r="NTH2999" s="462"/>
      <c r="NTI2999" s="299"/>
      <c r="NTJ2999" s="81"/>
      <c r="NTK2999" s="160"/>
      <c r="NTL2999" s="565"/>
      <c r="NTM2999" s="125"/>
      <c r="NTN2999" s="470"/>
      <c r="NTO2999" s="449"/>
      <c r="NTP2999" s="462"/>
      <c r="NTQ2999" s="299"/>
      <c r="NTR2999" s="81"/>
      <c r="NTS2999" s="160"/>
      <c r="NTT2999" s="565"/>
      <c r="NTU2999" s="125"/>
      <c r="NTV2999" s="470"/>
      <c r="NTW2999" s="449"/>
      <c r="NTX2999" s="462"/>
      <c r="NTY2999" s="299"/>
      <c r="NTZ2999" s="81"/>
      <c r="NUA2999" s="160"/>
      <c r="NUB2999" s="565"/>
      <c r="NUC2999" s="125"/>
      <c r="NUD2999" s="470"/>
      <c r="NUE2999" s="449"/>
      <c r="NUF2999" s="462"/>
      <c r="NUG2999" s="299"/>
      <c r="NUH2999" s="81"/>
      <c r="NUI2999" s="160"/>
      <c r="NUJ2999" s="565"/>
      <c r="NUK2999" s="125"/>
      <c r="NUL2999" s="470"/>
      <c r="NUM2999" s="449"/>
      <c r="NUN2999" s="462"/>
      <c r="NUO2999" s="299"/>
      <c r="NUP2999" s="81"/>
      <c r="NUQ2999" s="160"/>
      <c r="NUR2999" s="565"/>
      <c r="NUS2999" s="125"/>
      <c r="NUT2999" s="470"/>
      <c r="NUU2999" s="449"/>
      <c r="NUV2999" s="462"/>
      <c r="NUW2999" s="299"/>
      <c r="NUX2999" s="81"/>
      <c r="NUY2999" s="160"/>
      <c r="NUZ2999" s="565"/>
      <c r="NVA2999" s="125"/>
      <c r="NVB2999" s="470"/>
      <c r="NVC2999" s="449"/>
      <c r="NVD2999" s="462"/>
      <c r="NVE2999" s="299"/>
      <c r="NVF2999" s="81"/>
      <c r="NVG2999" s="160"/>
      <c r="NVH2999" s="565"/>
      <c r="NVI2999" s="125"/>
      <c r="NVJ2999" s="470"/>
      <c r="NVK2999" s="449"/>
      <c r="NVL2999" s="462"/>
      <c r="NVM2999" s="299"/>
      <c r="NVN2999" s="81"/>
      <c r="NVO2999" s="160"/>
      <c r="NVP2999" s="565"/>
      <c r="NVQ2999" s="125"/>
      <c r="NVR2999" s="470"/>
      <c r="NVS2999" s="449"/>
      <c r="NVT2999" s="462"/>
      <c r="NVU2999" s="299"/>
      <c r="NVV2999" s="81"/>
      <c r="NVW2999" s="160"/>
      <c r="NVX2999" s="565"/>
      <c r="NVY2999" s="125"/>
      <c r="NVZ2999" s="470"/>
      <c r="NWA2999" s="449"/>
      <c r="NWB2999" s="462"/>
      <c r="NWC2999" s="299"/>
      <c r="NWD2999" s="81"/>
      <c r="NWE2999" s="160"/>
      <c r="NWF2999" s="565"/>
      <c r="NWG2999" s="125"/>
      <c r="NWH2999" s="470"/>
      <c r="NWI2999" s="449"/>
      <c r="NWJ2999" s="462"/>
      <c r="NWK2999" s="299"/>
      <c r="NWL2999" s="81"/>
      <c r="NWM2999" s="160"/>
      <c r="NWN2999" s="565"/>
      <c r="NWO2999" s="125"/>
      <c r="NWP2999" s="470"/>
      <c r="NWQ2999" s="449"/>
      <c r="NWR2999" s="462"/>
      <c r="NWS2999" s="299"/>
      <c r="NWT2999" s="81"/>
      <c r="NWU2999" s="160"/>
      <c r="NWV2999" s="565"/>
      <c r="NWW2999" s="125"/>
      <c r="NWX2999" s="470"/>
      <c r="NWY2999" s="449"/>
      <c r="NWZ2999" s="462"/>
      <c r="NXA2999" s="299"/>
      <c r="NXB2999" s="81"/>
      <c r="NXC2999" s="160"/>
      <c r="NXD2999" s="565"/>
      <c r="NXE2999" s="125"/>
      <c r="NXF2999" s="470"/>
      <c r="NXG2999" s="449"/>
      <c r="NXH2999" s="462"/>
      <c r="NXI2999" s="299"/>
      <c r="NXJ2999" s="81"/>
      <c r="NXK2999" s="160"/>
      <c r="NXL2999" s="565"/>
      <c r="NXM2999" s="125"/>
      <c r="NXN2999" s="470"/>
      <c r="NXO2999" s="449"/>
      <c r="NXP2999" s="462"/>
      <c r="NXQ2999" s="299"/>
      <c r="NXR2999" s="81"/>
      <c r="NXS2999" s="160"/>
      <c r="NXT2999" s="565"/>
      <c r="NXU2999" s="125"/>
      <c r="NXV2999" s="470"/>
      <c r="NXW2999" s="449"/>
      <c r="NXX2999" s="462"/>
      <c r="NXY2999" s="299"/>
      <c r="NXZ2999" s="81"/>
      <c r="NYA2999" s="160"/>
      <c r="NYB2999" s="565"/>
      <c r="NYC2999" s="125"/>
      <c r="NYD2999" s="470"/>
      <c r="NYE2999" s="449"/>
      <c r="NYF2999" s="462"/>
      <c r="NYG2999" s="299"/>
      <c r="NYH2999" s="81"/>
      <c r="NYI2999" s="160"/>
      <c r="NYJ2999" s="565"/>
      <c r="NYK2999" s="125"/>
      <c r="NYL2999" s="470"/>
      <c r="NYM2999" s="449"/>
      <c r="NYN2999" s="462"/>
      <c r="NYO2999" s="299"/>
      <c r="NYP2999" s="81"/>
      <c r="NYQ2999" s="160"/>
      <c r="NYR2999" s="565"/>
      <c r="NYS2999" s="125"/>
      <c r="NYT2999" s="470"/>
      <c r="NYU2999" s="449"/>
      <c r="NYV2999" s="462"/>
      <c r="NYW2999" s="299"/>
      <c r="NYX2999" s="81"/>
      <c r="NYY2999" s="160"/>
      <c r="NYZ2999" s="565"/>
      <c r="NZA2999" s="125"/>
      <c r="NZB2999" s="470"/>
      <c r="NZC2999" s="449"/>
      <c r="NZD2999" s="462"/>
      <c r="NZE2999" s="299"/>
      <c r="NZF2999" s="81"/>
      <c r="NZG2999" s="160"/>
      <c r="NZH2999" s="565"/>
      <c r="NZI2999" s="125"/>
      <c r="NZJ2999" s="470"/>
      <c r="NZK2999" s="449"/>
      <c r="NZL2999" s="462"/>
      <c r="NZM2999" s="299"/>
      <c r="NZN2999" s="81"/>
      <c r="NZO2999" s="160"/>
      <c r="NZP2999" s="565"/>
      <c r="NZQ2999" s="125"/>
      <c r="NZR2999" s="470"/>
      <c r="NZS2999" s="449"/>
      <c r="NZT2999" s="462"/>
      <c r="NZU2999" s="299"/>
      <c r="NZV2999" s="81"/>
      <c r="NZW2999" s="160"/>
      <c r="NZX2999" s="565"/>
      <c r="NZY2999" s="125"/>
      <c r="NZZ2999" s="470"/>
      <c r="OAA2999" s="449"/>
      <c r="OAB2999" s="462"/>
      <c r="OAC2999" s="299"/>
      <c r="OAD2999" s="81"/>
      <c r="OAE2999" s="160"/>
      <c r="OAF2999" s="565"/>
      <c r="OAG2999" s="125"/>
      <c r="OAH2999" s="470"/>
      <c r="OAI2999" s="449"/>
      <c r="OAJ2999" s="462"/>
      <c r="OAK2999" s="299"/>
      <c r="OAL2999" s="81"/>
      <c r="OAM2999" s="160"/>
      <c r="OAN2999" s="565"/>
      <c r="OAO2999" s="125"/>
      <c r="OAP2999" s="470"/>
      <c r="OAQ2999" s="449"/>
      <c r="OAR2999" s="462"/>
      <c r="OAS2999" s="299"/>
      <c r="OAT2999" s="81"/>
      <c r="OAU2999" s="160"/>
      <c r="OAV2999" s="565"/>
      <c r="OAW2999" s="125"/>
      <c r="OAX2999" s="470"/>
      <c r="OAY2999" s="449"/>
      <c r="OAZ2999" s="462"/>
      <c r="OBA2999" s="299"/>
      <c r="OBB2999" s="81"/>
      <c r="OBC2999" s="160"/>
      <c r="OBD2999" s="565"/>
      <c r="OBE2999" s="125"/>
      <c r="OBF2999" s="470"/>
      <c r="OBG2999" s="449"/>
      <c r="OBH2999" s="462"/>
      <c r="OBI2999" s="299"/>
      <c r="OBJ2999" s="81"/>
      <c r="OBK2999" s="160"/>
      <c r="OBL2999" s="565"/>
      <c r="OBM2999" s="125"/>
      <c r="OBN2999" s="470"/>
      <c r="OBO2999" s="449"/>
      <c r="OBP2999" s="462"/>
      <c r="OBQ2999" s="299"/>
      <c r="OBR2999" s="81"/>
      <c r="OBS2999" s="160"/>
      <c r="OBT2999" s="565"/>
      <c r="OBU2999" s="125"/>
      <c r="OBV2999" s="470"/>
      <c r="OBW2999" s="449"/>
      <c r="OBX2999" s="462"/>
      <c r="OBY2999" s="299"/>
      <c r="OBZ2999" s="81"/>
      <c r="OCA2999" s="160"/>
      <c r="OCB2999" s="565"/>
      <c r="OCC2999" s="125"/>
      <c r="OCD2999" s="470"/>
      <c r="OCE2999" s="449"/>
      <c r="OCF2999" s="462"/>
      <c r="OCG2999" s="299"/>
      <c r="OCH2999" s="81"/>
      <c r="OCI2999" s="160"/>
      <c r="OCJ2999" s="565"/>
      <c r="OCK2999" s="125"/>
      <c r="OCL2999" s="470"/>
      <c r="OCM2999" s="449"/>
      <c r="OCN2999" s="462"/>
      <c r="OCO2999" s="299"/>
      <c r="OCP2999" s="81"/>
      <c r="OCQ2999" s="160"/>
      <c r="OCR2999" s="565"/>
      <c r="OCS2999" s="125"/>
      <c r="OCT2999" s="470"/>
      <c r="OCU2999" s="449"/>
      <c r="OCV2999" s="462"/>
      <c r="OCW2999" s="299"/>
      <c r="OCX2999" s="81"/>
      <c r="OCY2999" s="160"/>
      <c r="OCZ2999" s="565"/>
      <c r="ODA2999" s="125"/>
      <c r="ODB2999" s="470"/>
      <c r="ODC2999" s="449"/>
      <c r="ODD2999" s="462"/>
      <c r="ODE2999" s="299"/>
      <c r="ODF2999" s="81"/>
      <c r="ODG2999" s="160"/>
      <c r="ODH2999" s="565"/>
      <c r="ODI2999" s="125"/>
      <c r="ODJ2999" s="470"/>
      <c r="ODK2999" s="449"/>
      <c r="ODL2999" s="462"/>
      <c r="ODM2999" s="299"/>
      <c r="ODN2999" s="81"/>
      <c r="ODO2999" s="160"/>
      <c r="ODP2999" s="565"/>
      <c r="ODQ2999" s="125"/>
      <c r="ODR2999" s="470"/>
      <c r="ODS2999" s="449"/>
      <c r="ODT2999" s="462"/>
      <c r="ODU2999" s="299"/>
      <c r="ODV2999" s="81"/>
      <c r="ODW2999" s="160"/>
      <c r="ODX2999" s="565"/>
      <c r="ODY2999" s="125"/>
      <c r="ODZ2999" s="470"/>
      <c r="OEA2999" s="449"/>
      <c r="OEB2999" s="462"/>
      <c r="OEC2999" s="299"/>
      <c r="OED2999" s="81"/>
      <c r="OEE2999" s="160"/>
      <c r="OEF2999" s="565"/>
      <c r="OEG2999" s="125"/>
      <c r="OEH2999" s="470"/>
      <c r="OEI2999" s="449"/>
      <c r="OEJ2999" s="462"/>
      <c r="OEK2999" s="299"/>
      <c r="OEL2999" s="81"/>
      <c r="OEM2999" s="160"/>
      <c r="OEN2999" s="565"/>
      <c r="OEO2999" s="125"/>
      <c r="OEP2999" s="470"/>
      <c r="OEQ2999" s="449"/>
      <c r="OER2999" s="462"/>
      <c r="OES2999" s="299"/>
      <c r="OET2999" s="81"/>
      <c r="OEU2999" s="160"/>
      <c r="OEV2999" s="565"/>
      <c r="OEW2999" s="125"/>
      <c r="OEX2999" s="470"/>
      <c r="OEY2999" s="449"/>
      <c r="OEZ2999" s="462"/>
      <c r="OFA2999" s="299"/>
      <c r="OFB2999" s="81"/>
      <c r="OFC2999" s="160"/>
      <c r="OFD2999" s="565"/>
      <c r="OFE2999" s="125"/>
      <c r="OFF2999" s="470"/>
      <c r="OFG2999" s="449"/>
      <c r="OFH2999" s="462"/>
      <c r="OFI2999" s="299"/>
      <c r="OFJ2999" s="81"/>
      <c r="OFK2999" s="160"/>
      <c r="OFL2999" s="565"/>
      <c r="OFM2999" s="125"/>
      <c r="OFN2999" s="470"/>
      <c r="OFO2999" s="449"/>
      <c r="OFP2999" s="462"/>
      <c r="OFQ2999" s="299"/>
      <c r="OFR2999" s="81"/>
      <c r="OFS2999" s="160"/>
      <c r="OFT2999" s="565"/>
      <c r="OFU2999" s="125"/>
      <c r="OFV2999" s="470"/>
      <c r="OFW2999" s="449"/>
      <c r="OFX2999" s="462"/>
      <c r="OFY2999" s="299"/>
      <c r="OFZ2999" s="81"/>
      <c r="OGA2999" s="160"/>
      <c r="OGB2999" s="565"/>
      <c r="OGC2999" s="125"/>
      <c r="OGD2999" s="470"/>
      <c r="OGE2999" s="449"/>
      <c r="OGF2999" s="462"/>
      <c r="OGG2999" s="299"/>
      <c r="OGH2999" s="81"/>
      <c r="OGI2999" s="160"/>
      <c r="OGJ2999" s="565"/>
      <c r="OGK2999" s="125"/>
      <c r="OGL2999" s="470"/>
      <c r="OGM2999" s="449"/>
      <c r="OGN2999" s="462"/>
      <c r="OGO2999" s="299"/>
      <c r="OGP2999" s="81"/>
      <c r="OGQ2999" s="160"/>
      <c r="OGR2999" s="565"/>
      <c r="OGS2999" s="125"/>
      <c r="OGT2999" s="470"/>
      <c r="OGU2999" s="449"/>
      <c r="OGV2999" s="462"/>
      <c r="OGW2999" s="299"/>
      <c r="OGX2999" s="81"/>
      <c r="OGY2999" s="160"/>
      <c r="OGZ2999" s="565"/>
      <c r="OHA2999" s="125"/>
      <c r="OHB2999" s="470"/>
      <c r="OHC2999" s="449"/>
      <c r="OHD2999" s="462"/>
      <c r="OHE2999" s="299"/>
      <c r="OHF2999" s="81"/>
      <c r="OHG2999" s="160"/>
      <c r="OHH2999" s="565"/>
      <c r="OHI2999" s="125"/>
      <c r="OHJ2999" s="470"/>
      <c r="OHK2999" s="449"/>
      <c r="OHL2999" s="462"/>
      <c r="OHM2999" s="299"/>
      <c r="OHN2999" s="81"/>
      <c r="OHO2999" s="160"/>
      <c r="OHP2999" s="565"/>
      <c r="OHQ2999" s="125"/>
      <c r="OHR2999" s="470"/>
      <c r="OHS2999" s="449"/>
      <c r="OHT2999" s="462"/>
      <c r="OHU2999" s="299"/>
      <c r="OHV2999" s="81"/>
      <c r="OHW2999" s="160"/>
      <c r="OHX2999" s="565"/>
      <c r="OHY2999" s="125"/>
      <c r="OHZ2999" s="470"/>
      <c r="OIA2999" s="449"/>
      <c r="OIB2999" s="462"/>
      <c r="OIC2999" s="299"/>
      <c r="OID2999" s="81"/>
      <c r="OIE2999" s="160"/>
      <c r="OIF2999" s="565"/>
      <c r="OIG2999" s="125"/>
      <c r="OIH2999" s="470"/>
      <c r="OII2999" s="449"/>
      <c r="OIJ2999" s="462"/>
      <c r="OIK2999" s="299"/>
      <c r="OIL2999" s="81"/>
      <c r="OIM2999" s="160"/>
      <c r="OIN2999" s="565"/>
      <c r="OIO2999" s="125"/>
      <c r="OIP2999" s="470"/>
      <c r="OIQ2999" s="449"/>
      <c r="OIR2999" s="462"/>
      <c r="OIS2999" s="299"/>
      <c r="OIT2999" s="81"/>
      <c r="OIU2999" s="160"/>
      <c r="OIV2999" s="565"/>
      <c r="OIW2999" s="125"/>
      <c r="OIX2999" s="470"/>
      <c r="OIY2999" s="449"/>
      <c r="OIZ2999" s="462"/>
      <c r="OJA2999" s="299"/>
      <c r="OJB2999" s="81"/>
      <c r="OJC2999" s="160"/>
      <c r="OJD2999" s="565"/>
      <c r="OJE2999" s="125"/>
      <c r="OJF2999" s="470"/>
      <c r="OJG2999" s="449"/>
      <c r="OJH2999" s="462"/>
      <c r="OJI2999" s="299"/>
      <c r="OJJ2999" s="81"/>
      <c r="OJK2999" s="160"/>
      <c r="OJL2999" s="565"/>
      <c r="OJM2999" s="125"/>
      <c r="OJN2999" s="470"/>
      <c r="OJO2999" s="449"/>
      <c r="OJP2999" s="462"/>
      <c r="OJQ2999" s="299"/>
      <c r="OJR2999" s="81"/>
      <c r="OJS2999" s="160"/>
      <c r="OJT2999" s="565"/>
      <c r="OJU2999" s="125"/>
      <c r="OJV2999" s="470"/>
      <c r="OJW2999" s="449"/>
      <c r="OJX2999" s="462"/>
      <c r="OJY2999" s="299"/>
      <c r="OJZ2999" s="81"/>
      <c r="OKA2999" s="160"/>
      <c r="OKB2999" s="565"/>
      <c r="OKC2999" s="125"/>
      <c r="OKD2999" s="470"/>
      <c r="OKE2999" s="449"/>
      <c r="OKF2999" s="462"/>
      <c r="OKG2999" s="299"/>
      <c r="OKH2999" s="81"/>
      <c r="OKI2999" s="160"/>
      <c r="OKJ2999" s="565"/>
      <c r="OKK2999" s="125"/>
      <c r="OKL2999" s="470"/>
      <c r="OKM2999" s="449"/>
      <c r="OKN2999" s="462"/>
      <c r="OKO2999" s="299"/>
      <c r="OKP2999" s="81"/>
      <c r="OKQ2999" s="160"/>
      <c r="OKR2999" s="565"/>
      <c r="OKS2999" s="125"/>
      <c r="OKT2999" s="470"/>
      <c r="OKU2999" s="449"/>
      <c r="OKV2999" s="462"/>
      <c r="OKW2999" s="299"/>
      <c r="OKX2999" s="81"/>
      <c r="OKY2999" s="160"/>
      <c r="OKZ2999" s="565"/>
      <c r="OLA2999" s="125"/>
      <c r="OLB2999" s="470"/>
      <c r="OLC2999" s="449"/>
      <c r="OLD2999" s="462"/>
      <c r="OLE2999" s="299"/>
      <c r="OLF2999" s="81"/>
      <c r="OLG2999" s="160"/>
      <c r="OLH2999" s="565"/>
      <c r="OLI2999" s="125"/>
      <c r="OLJ2999" s="470"/>
      <c r="OLK2999" s="449"/>
      <c r="OLL2999" s="462"/>
      <c r="OLM2999" s="299"/>
      <c r="OLN2999" s="81"/>
      <c r="OLO2999" s="160"/>
      <c r="OLP2999" s="565"/>
      <c r="OLQ2999" s="125"/>
      <c r="OLR2999" s="470"/>
      <c r="OLS2999" s="449"/>
      <c r="OLT2999" s="462"/>
      <c r="OLU2999" s="299"/>
      <c r="OLV2999" s="81"/>
      <c r="OLW2999" s="160"/>
      <c r="OLX2999" s="565"/>
      <c r="OLY2999" s="125"/>
      <c r="OLZ2999" s="470"/>
      <c r="OMA2999" s="449"/>
      <c r="OMB2999" s="462"/>
      <c r="OMC2999" s="299"/>
      <c r="OMD2999" s="81"/>
      <c r="OME2999" s="160"/>
      <c r="OMF2999" s="565"/>
      <c r="OMG2999" s="125"/>
      <c r="OMH2999" s="470"/>
      <c r="OMI2999" s="449"/>
      <c r="OMJ2999" s="462"/>
      <c r="OMK2999" s="299"/>
      <c r="OML2999" s="81"/>
      <c r="OMM2999" s="160"/>
      <c r="OMN2999" s="565"/>
      <c r="OMO2999" s="125"/>
      <c r="OMP2999" s="470"/>
      <c r="OMQ2999" s="449"/>
      <c r="OMR2999" s="462"/>
      <c r="OMS2999" s="299"/>
      <c r="OMT2999" s="81"/>
      <c r="OMU2999" s="160"/>
      <c r="OMV2999" s="565"/>
      <c r="OMW2999" s="125"/>
      <c r="OMX2999" s="470"/>
      <c r="OMY2999" s="449"/>
      <c r="OMZ2999" s="462"/>
      <c r="ONA2999" s="299"/>
      <c r="ONB2999" s="81"/>
      <c r="ONC2999" s="160"/>
      <c r="OND2999" s="565"/>
      <c r="ONE2999" s="125"/>
      <c r="ONF2999" s="470"/>
      <c r="ONG2999" s="449"/>
      <c r="ONH2999" s="462"/>
      <c r="ONI2999" s="299"/>
      <c r="ONJ2999" s="81"/>
      <c r="ONK2999" s="160"/>
      <c r="ONL2999" s="565"/>
      <c r="ONM2999" s="125"/>
      <c r="ONN2999" s="470"/>
      <c r="ONO2999" s="449"/>
      <c r="ONP2999" s="462"/>
      <c r="ONQ2999" s="299"/>
      <c r="ONR2999" s="81"/>
      <c r="ONS2999" s="160"/>
      <c r="ONT2999" s="565"/>
      <c r="ONU2999" s="125"/>
      <c r="ONV2999" s="470"/>
      <c r="ONW2999" s="449"/>
      <c r="ONX2999" s="462"/>
      <c r="ONY2999" s="299"/>
      <c r="ONZ2999" s="81"/>
      <c r="OOA2999" s="160"/>
      <c r="OOB2999" s="565"/>
      <c r="OOC2999" s="125"/>
      <c r="OOD2999" s="470"/>
      <c r="OOE2999" s="449"/>
      <c r="OOF2999" s="462"/>
      <c r="OOG2999" s="299"/>
      <c r="OOH2999" s="81"/>
      <c r="OOI2999" s="160"/>
      <c r="OOJ2999" s="565"/>
      <c r="OOK2999" s="125"/>
      <c r="OOL2999" s="470"/>
      <c r="OOM2999" s="449"/>
      <c r="OON2999" s="462"/>
      <c r="OOO2999" s="299"/>
      <c r="OOP2999" s="81"/>
      <c r="OOQ2999" s="160"/>
      <c r="OOR2999" s="565"/>
      <c r="OOS2999" s="125"/>
      <c r="OOT2999" s="470"/>
      <c r="OOU2999" s="449"/>
      <c r="OOV2999" s="462"/>
      <c r="OOW2999" s="299"/>
      <c r="OOX2999" s="81"/>
      <c r="OOY2999" s="160"/>
      <c r="OOZ2999" s="565"/>
      <c r="OPA2999" s="125"/>
      <c r="OPB2999" s="470"/>
      <c r="OPC2999" s="449"/>
      <c r="OPD2999" s="462"/>
      <c r="OPE2999" s="299"/>
      <c r="OPF2999" s="81"/>
      <c r="OPG2999" s="160"/>
      <c r="OPH2999" s="565"/>
      <c r="OPI2999" s="125"/>
      <c r="OPJ2999" s="470"/>
      <c r="OPK2999" s="449"/>
      <c r="OPL2999" s="462"/>
      <c r="OPM2999" s="299"/>
      <c r="OPN2999" s="81"/>
      <c r="OPO2999" s="160"/>
      <c r="OPP2999" s="565"/>
      <c r="OPQ2999" s="125"/>
      <c r="OPR2999" s="470"/>
      <c r="OPS2999" s="449"/>
      <c r="OPT2999" s="462"/>
      <c r="OPU2999" s="299"/>
      <c r="OPV2999" s="81"/>
      <c r="OPW2999" s="160"/>
      <c r="OPX2999" s="565"/>
      <c r="OPY2999" s="125"/>
      <c r="OPZ2999" s="470"/>
      <c r="OQA2999" s="449"/>
      <c r="OQB2999" s="462"/>
      <c r="OQC2999" s="299"/>
      <c r="OQD2999" s="81"/>
      <c r="OQE2999" s="160"/>
      <c r="OQF2999" s="565"/>
      <c r="OQG2999" s="125"/>
      <c r="OQH2999" s="470"/>
      <c r="OQI2999" s="449"/>
      <c r="OQJ2999" s="462"/>
      <c r="OQK2999" s="299"/>
      <c r="OQL2999" s="81"/>
      <c r="OQM2999" s="160"/>
      <c r="OQN2999" s="565"/>
      <c r="OQO2999" s="125"/>
      <c r="OQP2999" s="470"/>
      <c r="OQQ2999" s="449"/>
      <c r="OQR2999" s="462"/>
      <c r="OQS2999" s="299"/>
      <c r="OQT2999" s="81"/>
      <c r="OQU2999" s="160"/>
      <c r="OQV2999" s="565"/>
      <c r="OQW2999" s="125"/>
      <c r="OQX2999" s="470"/>
      <c r="OQY2999" s="449"/>
      <c r="OQZ2999" s="462"/>
      <c r="ORA2999" s="299"/>
      <c r="ORB2999" s="81"/>
      <c r="ORC2999" s="160"/>
      <c r="ORD2999" s="565"/>
      <c r="ORE2999" s="125"/>
      <c r="ORF2999" s="470"/>
      <c r="ORG2999" s="449"/>
      <c r="ORH2999" s="462"/>
      <c r="ORI2999" s="299"/>
      <c r="ORJ2999" s="81"/>
      <c r="ORK2999" s="160"/>
      <c r="ORL2999" s="565"/>
      <c r="ORM2999" s="125"/>
      <c r="ORN2999" s="470"/>
      <c r="ORO2999" s="449"/>
      <c r="ORP2999" s="462"/>
      <c r="ORQ2999" s="299"/>
      <c r="ORR2999" s="81"/>
      <c r="ORS2999" s="160"/>
      <c r="ORT2999" s="565"/>
      <c r="ORU2999" s="125"/>
      <c r="ORV2999" s="470"/>
      <c r="ORW2999" s="449"/>
      <c r="ORX2999" s="462"/>
      <c r="ORY2999" s="299"/>
      <c r="ORZ2999" s="81"/>
      <c r="OSA2999" s="160"/>
      <c r="OSB2999" s="565"/>
      <c r="OSC2999" s="125"/>
      <c r="OSD2999" s="470"/>
      <c r="OSE2999" s="449"/>
      <c r="OSF2999" s="462"/>
      <c r="OSG2999" s="299"/>
      <c r="OSH2999" s="81"/>
      <c r="OSI2999" s="160"/>
      <c r="OSJ2999" s="565"/>
      <c r="OSK2999" s="125"/>
      <c r="OSL2999" s="470"/>
      <c r="OSM2999" s="449"/>
      <c r="OSN2999" s="462"/>
      <c r="OSO2999" s="299"/>
      <c r="OSP2999" s="81"/>
      <c r="OSQ2999" s="160"/>
      <c r="OSR2999" s="565"/>
      <c r="OSS2999" s="125"/>
      <c r="OST2999" s="470"/>
      <c r="OSU2999" s="449"/>
      <c r="OSV2999" s="462"/>
      <c r="OSW2999" s="299"/>
      <c r="OSX2999" s="81"/>
      <c r="OSY2999" s="160"/>
      <c r="OSZ2999" s="565"/>
      <c r="OTA2999" s="125"/>
      <c r="OTB2999" s="470"/>
      <c r="OTC2999" s="449"/>
      <c r="OTD2999" s="462"/>
      <c r="OTE2999" s="299"/>
      <c r="OTF2999" s="81"/>
      <c r="OTG2999" s="160"/>
      <c r="OTH2999" s="565"/>
      <c r="OTI2999" s="125"/>
      <c r="OTJ2999" s="470"/>
      <c r="OTK2999" s="449"/>
      <c r="OTL2999" s="462"/>
      <c r="OTM2999" s="299"/>
      <c r="OTN2999" s="81"/>
      <c r="OTO2999" s="160"/>
      <c r="OTP2999" s="565"/>
      <c r="OTQ2999" s="125"/>
      <c r="OTR2999" s="470"/>
      <c r="OTS2999" s="449"/>
      <c r="OTT2999" s="462"/>
      <c r="OTU2999" s="299"/>
      <c r="OTV2999" s="81"/>
      <c r="OTW2999" s="160"/>
      <c r="OTX2999" s="565"/>
      <c r="OTY2999" s="125"/>
      <c r="OTZ2999" s="470"/>
      <c r="OUA2999" s="449"/>
      <c r="OUB2999" s="462"/>
      <c r="OUC2999" s="299"/>
      <c r="OUD2999" s="81"/>
      <c r="OUE2999" s="160"/>
      <c r="OUF2999" s="565"/>
      <c r="OUG2999" s="125"/>
      <c r="OUH2999" s="470"/>
      <c r="OUI2999" s="449"/>
      <c r="OUJ2999" s="462"/>
      <c r="OUK2999" s="299"/>
      <c r="OUL2999" s="81"/>
      <c r="OUM2999" s="160"/>
      <c r="OUN2999" s="565"/>
      <c r="OUO2999" s="125"/>
      <c r="OUP2999" s="470"/>
      <c r="OUQ2999" s="449"/>
      <c r="OUR2999" s="462"/>
      <c r="OUS2999" s="299"/>
      <c r="OUT2999" s="81"/>
      <c r="OUU2999" s="160"/>
      <c r="OUV2999" s="565"/>
      <c r="OUW2999" s="125"/>
      <c r="OUX2999" s="470"/>
      <c r="OUY2999" s="449"/>
      <c r="OUZ2999" s="462"/>
      <c r="OVA2999" s="299"/>
      <c r="OVB2999" s="81"/>
      <c r="OVC2999" s="160"/>
      <c r="OVD2999" s="565"/>
      <c r="OVE2999" s="125"/>
      <c r="OVF2999" s="470"/>
      <c r="OVG2999" s="449"/>
      <c r="OVH2999" s="462"/>
      <c r="OVI2999" s="299"/>
      <c r="OVJ2999" s="81"/>
      <c r="OVK2999" s="160"/>
      <c r="OVL2999" s="565"/>
      <c r="OVM2999" s="125"/>
      <c r="OVN2999" s="470"/>
      <c r="OVO2999" s="449"/>
      <c r="OVP2999" s="462"/>
      <c r="OVQ2999" s="299"/>
      <c r="OVR2999" s="81"/>
      <c r="OVS2999" s="160"/>
      <c r="OVT2999" s="565"/>
      <c r="OVU2999" s="125"/>
      <c r="OVV2999" s="470"/>
      <c r="OVW2999" s="449"/>
      <c r="OVX2999" s="462"/>
      <c r="OVY2999" s="299"/>
      <c r="OVZ2999" s="81"/>
      <c r="OWA2999" s="160"/>
      <c r="OWB2999" s="565"/>
      <c r="OWC2999" s="125"/>
      <c r="OWD2999" s="470"/>
      <c r="OWE2999" s="449"/>
      <c r="OWF2999" s="462"/>
      <c r="OWG2999" s="299"/>
      <c r="OWH2999" s="81"/>
      <c r="OWI2999" s="160"/>
      <c r="OWJ2999" s="565"/>
      <c r="OWK2999" s="125"/>
      <c r="OWL2999" s="470"/>
      <c r="OWM2999" s="449"/>
      <c r="OWN2999" s="462"/>
      <c r="OWO2999" s="299"/>
      <c r="OWP2999" s="81"/>
      <c r="OWQ2999" s="160"/>
      <c r="OWR2999" s="565"/>
      <c r="OWS2999" s="125"/>
      <c r="OWT2999" s="470"/>
      <c r="OWU2999" s="449"/>
      <c r="OWV2999" s="462"/>
      <c r="OWW2999" s="299"/>
      <c r="OWX2999" s="81"/>
      <c r="OWY2999" s="160"/>
      <c r="OWZ2999" s="565"/>
      <c r="OXA2999" s="125"/>
      <c r="OXB2999" s="470"/>
      <c r="OXC2999" s="449"/>
      <c r="OXD2999" s="462"/>
      <c r="OXE2999" s="299"/>
      <c r="OXF2999" s="81"/>
      <c r="OXG2999" s="160"/>
      <c r="OXH2999" s="565"/>
      <c r="OXI2999" s="125"/>
      <c r="OXJ2999" s="470"/>
      <c r="OXK2999" s="449"/>
      <c r="OXL2999" s="462"/>
      <c r="OXM2999" s="299"/>
      <c r="OXN2999" s="81"/>
      <c r="OXO2999" s="160"/>
      <c r="OXP2999" s="565"/>
      <c r="OXQ2999" s="125"/>
      <c r="OXR2999" s="470"/>
      <c r="OXS2999" s="449"/>
      <c r="OXT2999" s="462"/>
      <c r="OXU2999" s="299"/>
      <c r="OXV2999" s="81"/>
      <c r="OXW2999" s="160"/>
      <c r="OXX2999" s="565"/>
      <c r="OXY2999" s="125"/>
      <c r="OXZ2999" s="470"/>
      <c r="OYA2999" s="449"/>
      <c r="OYB2999" s="462"/>
      <c r="OYC2999" s="299"/>
      <c r="OYD2999" s="81"/>
      <c r="OYE2999" s="160"/>
      <c r="OYF2999" s="565"/>
      <c r="OYG2999" s="125"/>
      <c r="OYH2999" s="470"/>
      <c r="OYI2999" s="449"/>
      <c r="OYJ2999" s="462"/>
      <c r="OYK2999" s="299"/>
      <c r="OYL2999" s="81"/>
      <c r="OYM2999" s="160"/>
      <c r="OYN2999" s="565"/>
      <c r="OYO2999" s="125"/>
      <c r="OYP2999" s="470"/>
      <c r="OYQ2999" s="449"/>
      <c r="OYR2999" s="462"/>
      <c r="OYS2999" s="299"/>
      <c r="OYT2999" s="81"/>
      <c r="OYU2999" s="160"/>
      <c r="OYV2999" s="565"/>
      <c r="OYW2999" s="125"/>
      <c r="OYX2999" s="470"/>
      <c r="OYY2999" s="449"/>
      <c r="OYZ2999" s="462"/>
      <c r="OZA2999" s="299"/>
      <c r="OZB2999" s="81"/>
      <c r="OZC2999" s="160"/>
      <c r="OZD2999" s="565"/>
      <c r="OZE2999" s="125"/>
      <c r="OZF2999" s="470"/>
      <c r="OZG2999" s="449"/>
      <c r="OZH2999" s="462"/>
      <c r="OZI2999" s="299"/>
      <c r="OZJ2999" s="81"/>
      <c r="OZK2999" s="160"/>
      <c r="OZL2999" s="565"/>
      <c r="OZM2999" s="125"/>
      <c r="OZN2999" s="470"/>
      <c r="OZO2999" s="449"/>
      <c r="OZP2999" s="462"/>
      <c r="OZQ2999" s="299"/>
      <c r="OZR2999" s="81"/>
      <c r="OZS2999" s="160"/>
      <c r="OZT2999" s="565"/>
      <c r="OZU2999" s="125"/>
      <c r="OZV2999" s="470"/>
      <c r="OZW2999" s="449"/>
      <c r="OZX2999" s="462"/>
      <c r="OZY2999" s="299"/>
      <c r="OZZ2999" s="81"/>
      <c r="PAA2999" s="160"/>
      <c r="PAB2999" s="565"/>
      <c r="PAC2999" s="125"/>
      <c r="PAD2999" s="470"/>
      <c r="PAE2999" s="449"/>
      <c r="PAF2999" s="462"/>
      <c r="PAG2999" s="299"/>
      <c r="PAH2999" s="81"/>
      <c r="PAI2999" s="160"/>
      <c r="PAJ2999" s="565"/>
      <c r="PAK2999" s="125"/>
      <c r="PAL2999" s="470"/>
      <c r="PAM2999" s="449"/>
      <c r="PAN2999" s="462"/>
      <c r="PAO2999" s="299"/>
      <c r="PAP2999" s="81"/>
      <c r="PAQ2999" s="160"/>
      <c r="PAR2999" s="565"/>
      <c r="PAS2999" s="125"/>
      <c r="PAT2999" s="470"/>
      <c r="PAU2999" s="449"/>
      <c r="PAV2999" s="462"/>
      <c r="PAW2999" s="299"/>
      <c r="PAX2999" s="81"/>
      <c r="PAY2999" s="160"/>
      <c r="PAZ2999" s="565"/>
      <c r="PBA2999" s="125"/>
      <c r="PBB2999" s="470"/>
      <c r="PBC2999" s="449"/>
      <c r="PBD2999" s="462"/>
      <c r="PBE2999" s="299"/>
      <c r="PBF2999" s="81"/>
      <c r="PBG2999" s="160"/>
      <c r="PBH2999" s="565"/>
      <c r="PBI2999" s="125"/>
      <c r="PBJ2999" s="470"/>
      <c r="PBK2999" s="449"/>
      <c r="PBL2999" s="462"/>
      <c r="PBM2999" s="299"/>
      <c r="PBN2999" s="81"/>
      <c r="PBO2999" s="160"/>
      <c r="PBP2999" s="565"/>
      <c r="PBQ2999" s="125"/>
      <c r="PBR2999" s="470"/>
      <c r="PBS2999" s="449"/>
      <c r="PBT2999" s="462"/>
      <c r="PBU2999" s="299"/>
      <c r="PBV2999" s="81"/>
      <c r="PBW2999" s="160"/>
      <c r="PBX2999" s="565"/>
      <c r="PBY2999" s="125"/>
      <c r="PBZ2999" s="470"/>
      <c r="PCA2999" s="449"/>
      <c r="PCB2999" s="462"/>
      <c r="PCC2999" s="299"/>
      <c r="PCD2999" s="81"/>
      <c r="PCE2999" s="160"/>
      <c r="PCF2999" s="565"/>
      <c r="PCG2999" s="125"/>
      <c r="PCH2999" s="470"/>
      <c r="PCI2999" s="449"/>
      <c r="PCJ2999" s="462"/>
      <c r="PCK2999" s="299"/>
      <c r="PCL2999" s="81"/>
      <c r="PCM2999" s="160"/>
      <c r="PCN2999" s="565"/>
      <c r="PCO2999" s="125"/>
      <c r="PCP2999" s="470"/>
      <c r="PCQ2999" s="449"/>
      <c r="PCR2999" s="462"/>
      <c r="PCS2999" s="299"/>
      <c r="PCT2999" s="81"/>
      <c r="PCU2999" s="160"/>
      <c r="PCV2999" s="565"/>
      <c r="PCW2999" s="125"/>
      <c r="PCX2999" s="470"/>
      <c r="PCY2999" s="449"/>
      <c r="PCZ2999" s="462"/>
      <c r="PDA2999" s="299"/>
      <c r="PDB2999" s="81"/>
      <c r="PDC2999" s="160"/>
      <c r="PDD2999" s="565"/>
      <c r="PDE2999" s="125"/>
      <c r="PDF2999" s="470"/>
      <c r="PDG2999" s="449"/>
      <c r="PDH2999" s="462"/>
      <c r="PDI2999" s="299"/>
      <c r="PDJ2999" s="81"/>
      <c r="PDK2999" s="160"/>
      <c r="PDL2999" s="565"/>
      <c r="PDM2999" s="125"/>
      <c r="PDN2999" s="470"/>
      <c r="PDO2999" s="449"/>
      <c r="PDP2999" s="462"/>
      <c r="PDQ2999" s="299"/>
      <c r="PDR2999" s="81"/>
      <c r="PDS2999" s="160"/>
      <c r="PDT2999" s="565"/>
      <c r="PDU2999" s="125"/>
      <c r="PDV2999" s="470"/>
      <c r="PDW2999" s="449"/>
      <c r="PDX2999" s="462"/>
      <c r="PDY2999" s="299"/>
      <c r="PDZ2999" s="81"/>
      <c r="PEA2999" s="160"/>
      <c r="PEB2999" s="565"/>
      <c r="PEC2999" s="125"/>
      <c r="PED2999" s="470"/>
      <c r="PEE2999" s="449"/>
      <c r="PEF2999" s="462"/>
      <c r="PEG2999" s="299"/>
      <c r="PEH2999" s="81"/>
      <c r="PEI2999" s="160"/>
      <c r="PEJ2999" s="565"/>
      <c r="PEK2999" s="125"/>
      <c r="PEL2999" s="470"/>
      <c r="PEM2999" s="449"/>
      <c r="PEN2999" s="462"/>
      <c r="PEO2999" s="299"/>
      <c r="PEP2999" s="81"/>
      <c r="PEQ2999" s="160"/>
      <c r="PER2999" s="565"/>
      <c r="PES2999" s="125"/>
      <c r="PET2999" s="470"/>
      <c r="PEU2999" s="449"/>
      <c r="PEV2999" s="462"/>
      <c r="PEW2999" s="299"/>
      <c r="PEX2999" s="81"/>
      <c r="PEY2999" s="160"/>
      <c r="PEZ2999" s="565"/>
      <c r="PFA2999" s="125"/>
      <c r="PFB2999" s="470"/>
      <c r="PFC2999" s="449"/>
      <c r="PFD2999" s="462"/>
      <c r="PFE2999" s="299"/>
      <c r="PFF2999" s="81"/>
      <c r="PFG2999" s="160"/>
      <c r="PFH2999" s="565"/>
      <c r="PFI2999" s="125"/>
      <c r="PFJ2999" s="470"/>
      <c r="PFK2999" s="449"/>
      <c r="PFL2999" s="462"/>
      <c r="PFM2999" s="299"/>
      <c r="PFN2999" s="81"/>
      <c r="PFO2999" s="160"/>
      <c r="PFP2999" s="565"/>
      <c r="PFQ2999" s="125"/>
      <c r="PFR2999" s="470"/>
      <c r="PFS2999" s="449"/>
      <c r="PFT2999" s="462"/>
      <c r="PFU2999" s="299"/>
      <c r="PFV2999" s="81"/>
      <c r="PFW2999" s="160"/>
      <c r="PFX2999" s="565"/>
      <c r="PFY2999" s="125"/>
      <c r="PFZ2999" s="470"/>
      <c r="PGA2999" s="449"/>
      <c r="PGB2999" s="462"/>
      <c r="PGC2999" s="299"/>
      <c r="PGD2999" s="81"/>
      <c r="PGE2999" s="160"/>
      <c r="PGF2999" s="565"/>
      <c r="PGG2999" s="125"/>
      <c r="PGH2999" s="470"/>
      <c r="PGI2999" s="449"/>
      <c r="PGJ2999" s="462"/>
      <c r="PGK2999" s="299"/>
      <c r="PGL2999" s="81"/>
      <c r="PGM2999" s="160"/>
      <c r="PGN2999" s="565"/>
      <c r="PGO2999" s="125"/>
      <c r="PGP2999" s="470"/>
      <c r="PGQ2999" s="449"/>
      <c r="PGR2999" s="462"/>
      <c r="PGS2999" s="299"/>
      <c r="PGT2999" s="81"/>
      <c r="PGU2999" s="160"/>
      <c r="PGV2999" s="565"/>
      <c r="PGW2999" s="125"/>
      <c r="PGX2999" s="470"/>
      <c r="PGY2999" s="449"/>
      <c r="PGZ2999" s="462"/>
      <c r="PHA2999" s="299"/>
      <c r="PHB2999" s="81"/>
      <c r="PHC2999" s="160"/>
      <c r="PHD2999" s="565"/>
      <c r="PHE2999" s="125"/>
      <c r="PHF2999" s="470"/>
      <c r="PHG2999" s="449"/>
      <c r="PHH2999" s="462"/>
      <c r="PHI2999" s="299"/>
      <c r="PHJ2999" s="81"/>
      <c r="PHK2999" s="160"/>
      <c r="PHL2999" s="565"/>
      <c r="PHM2999" s="125"/>
      <c r="PHN2999" s="470"/>
      <c r="PHO2999" s="449"/>
      <c r="PHP2999" s="462"/>
      <c r="PHQ2999" s="299"/>
      <c r="PHR2999" s="81"/>
      <c r="PHS2999" s="160"/>
      <c r="PHT2999" s="565"/>
      <c r="PHU2999" s="125"/>
      <c r="PHV2999" s="470"/>
      <c r="PHW2999" s="449"/>
      <c r="PHX2999" s="462"/>
      <c r="PHY2999" s="299"/>
      <c r="PHZ2999" s="81"/>
      <c r="PIA2999" s="160"/>
      <c r="PIB2999" s="565"/>
      <c r="PIC2999" s="125"/>
      <c r="PID2999" s="470"/>
      <c r="PIE2999" s="449"/>
      <c r="PIF2999" s="462"/>
      <c r="PIG2999" s="299"/>
      <c r="PIH2999" s="81"/>
      <c r="PII2999" s="160"/>
      <c r="PIJ2999" s="565"/>
      <c r="PIK2999" s="125"/>
      <c r="PIL2999" s="470"/>
      <c r="PIM2999" s="449"/>
      <c r="PIN2999" s="462"/>
      <c r="PIO2999" s="299"/>
      <c r="PIP2999" s="81"/>
      <c r="PIQ2999" s="160"/>
      <c r="PIR2999" s="565"/>
      <c r="PIS2999" s="125"/>
      <c r="PIT2999" s="470"/>
      <c r="PIU2999" s="449"/>
      <c r="PIV2999" s="462"/>
      <c r="PIW2999" s="299"/>
      <c r="PIX2999" s="81"/>
      <c r="PIY2999" s="160"/>
      <c r="PIZ2999" s="565"/>
      <c r="PJA2999" s="125"/>
      <c r="PJB2999" s="470"/>
      <c r="PJC2999" s="449"/>
      <c r="PJD2999" s="462"/>
      <c r="PJE2999" s="299"/>
      <c r="PJF2999" s="81"/>
      <c r="PJG2999" s="160"/>
      <c r="PJH2999" s="565"/>
      <c r="PJI2999" s="125"/>
      <c r="PJJ2999" s="470"/>
      <c r="PJK2999" s="449"/>
      <c r="PJL2999" s="462"/>
      <c r="PJM2999" s="299"/>
      <c r="PJN2999" s="81"/>
      <c r="PJO2999" s="160"/>
      <c r="PJP2999" s="565"/>
      <c r="PJQ2999" s="125"/>
      <c r="PJR2999" s="470"/>
      <c r="PJS2999" s="449"/>
      <c r="PJT2999" s="462"/>
      <c r="PJU2999" s="299"/>
      <c r="PJV2999" s="81"/>
      <c r="PJW2999" s="160"/>
      <c r="PJX2999" s="565"/>
      <c r="PJY2999" s="125"/>
      <c r="PJZ2999" s="470"/>
      <c r="PKA2999" s="449"/>
      <c r="PKB2999" s="462"/>
      <c r="PKC2999" s="299"/>
      <c r="PKD2999" s="81"/>
      <c r="PKE2999" s="160"/>
      <c r="PKF2999" s="565"/>
      <c r="PKG2999" s="125"/>
      <c r="PKH2999" s="470"/>
      <c r="PKI2999" s="449"/>
      <c r="PKJ2999" s="462"/>
      <c r="PKK2999" s="299"/>
      <c r="PKL2999" s="81"/>
      <c r="PKM2999" s="160"/>
      <c r="PKN2999" s="565"/>
      <c r="PKO2999" s="125"/>
      <c r="PKP2999" s="470"/>
      <c r="PKQ2999" s="449"/>
      <c r="PKR2999" s="462"/>
      <c r="PKS2999" s="299"/>
      <c r="PKT2999" s="81"/>
      <c r="PKU2999" s="160"/>
      <c r="PKV2999" s="565"/>
      <c r="PKW2999" s="125"/>
      <c r="PKX2999" s="470"/>
      <c r="PKY2999" s="449"/>
      <c r="PKZ2999" s="462"/>
      <c r="PLA2999" s="299"/>
      <c r="PLB2999" s="81"/>
      <c r="PLC2999" s="160"/>
      <c r="PLD2999" s="565"/>
      <c r="PLE2999" s="125"/>
      <c r="PLF2999" s="470"/>
      <c r="PLG2999" s="449"/>
      <c r="PLH2999" s="462"/>
      <c r="PLI2999" s="299"/>
      <c r="PLJ2999" s="81"/>
      <c r="PLK2999" s="160"/>
      <c r="PLL2999" s="565"/>
      <c r="PLM2999" s="125"/>
      <c r="PLN2999" s="470"/>
      <c r="PLO2999" s="449"/>
      <c r="PLP2999" s="462"/>
      <c r="PLQ2999" s="299"/>
      <c r="PLR2999" s="81"/>
      <c r="PLS2999" s="160"/>
      <c r="PLT2999" s="565"/>
      <c r="PLU2999" s="125"/>
      <c r="PLV2999" s="470"/>
      <c r="PLW2999" s="449"/>
      <c r="PLX2999" s="462"/>
      <c r="PLY2999" s="299"/>
      <c r="PLZ2999" s="81"/>
      <c r="PMA2999" s="160"/>
      <c r="PMB2999" s="565"/>
      <c r="PMC2999" s="125"/>
      <c r="PMD2999" s="470"/>
      <c r="PME2999" s="449"/>
      <c r="PMF2999" s="462"/>
      <c r="PMG2999" s="299"/>
      <c r="PMH2999" s="81"/>
      <c r="PMI2999" s="160"/>
      <c r="PMJ2999" s="565"/>
      <c r="PMK2999" s="125"/>
      <c r="PML2999" s="470"/>
      <c r="PMM2999" s="449"/>
      <c r="PMN2999" s="462"/>
      <c r="PMO2999" s="299"/>
      <c r="PMP2999" s="81"/>
      <c r="PMQ2999" s="160"/>
      <c r="PMR2999" s="565"/>
      <c r="PMS2999" s="125"/>
      <c r="PMT2999" s="470"/>
      <c r="PMU2999" s="449"/>
      <c r="PMV2999" s="462"/>
      <c r="PMW2999" s="299"/>
      <c r="PMX2999" s="81"/>
      <c r="PMY2999" s="160"/>
      <c r="PMZ2999" s="565"/>
      <c r="PNA2999" s="125"/>
      <c r="PNB2999" s="470"/>
      <c r="PNC2999" s="449"/>
      <c r="PND2999" s="462"/>
      <c r="PNE2999" s="299"/>
      <c r="PNF2999" s="81"/>
      <c r="PNG2999" s="160"/>
      <c r="PNH2999" s="565"/>
      <c r="PNI2999" s="125"/>
      <c r="PNJ2999" s="470"/>
      <c r="PNK2999" s="449"/>
      <c r="PNL2999" s="462"/>
      <c r="PNM2999" s="299"/>
      <c r="PNN2999" s="81"/>
      <c r="PNO2999" s="160"/>
      <c r="PNP2999" s="565"/>
      <c r="PNQ2999" s="125"/>
      <c r="PNR2999" s="470"/>
      <c r="PNS2999" s="449"/>
      <c r="PNT2999" s="462"/>
      <c r="PNU2999" s="299"/>
      <c r="PNV2999" s="81"/>
      <c r="PNW2999" s="160"/>
      <c r="PNX2999" s="565"/>
      <c r="PNY2999" s="125"/>
      <c r="PNZ2999" s="470"/>
      <c r="POA2999" s="449"/>
      <c r="POB2999" s="462"/>
      <c r="POC2999" s="299"/>
      <c r="POD2999" s="81"/>
      <c r="POE2999" s="160"/>
      <c r="POF2999" s="565"/>
      <c r="POG2999" s="125"/>
      <c r="POH2999" s="470"/>
      <c r="POI2999" s="449"/>
      <c r="POJ2999" s="462"/>
      <c r="POK2999" s="299"/>
      <c r="POL2999" s="81"/>
      <c r="POM2999" s="160"/>
      <c r="PON2999" s="565"/>
      <c r="POO2999" s="125"/>
      <c r="POP2999" s="470"/>
      <c r="POQ2999" s="449"/>
      <c r="POR2999" s="462"/>
      <c r="POS2999" s="299"/>
      <c r="POT2999" s="81"/>
      <c r="POU2999" s="160"/>
      <c r="POV2999" s="565"/>
      <c r="POW2999" s="125"/>
      <c r="POX2999" s="470"/>
      <c r="POY2999" s="449"/>
      <c r="POZ2999" s="462"/>
      <c r="PPA2999" s="299"/>
      <c r="PPB2999" s="81"/>
      <c r="PPC2999" s="160"/>
      <c r="PPD2999" s="565"/>
      <c r="PPE2999" s="125"/>
      <c r="PPF2999" s="470"/>
      <c r="PPG2999" s="449"/>
      <c r="PPH2999" s="462"/>
      <c r="PPI2999" s="299"/>
      <c r="PPJ2999" s="81"/>
      <c r="PPK2999" s="160"/>
      <c r="PPL2999" s="565"/>
      <c r="PPM2999" s="125"/>
      <c r="PPN2999" s="470"/>
      <c r="PPO2999" s="449"/>
      <c r="PPP2999" s="462"/>
      <c r="PPQ2999" s="299"/>
      <c r="PPR2999" s="81"/>
      <c r="PPS2999" s="160"/>
      <c r="PPT2999" s="565"/>
      <c r="PPU2999" s="125"/>
      <c r="PPV2999" s="470"/>
      <c r="PPW2999" s="449"/>
      <c r="PPX2999" s="462"/>
      <c r="PPY2999" s="299"/>
      <c r="PPZ2999" s="81"/>
      <c r="PQA2999" s="160"/>
      <c r="PQB2999" s="565"/>
      <c r="PQC2999" s="125"/>
      <c r="PQD2999" s="470"/>
      <c r="PQE2999" s="449"/>
      <c r="PQF2999" s="462"/>
      <c r="PQG2999" s="299"/>
      <c r="PQH2999" s="81"/>
      <c r="PQI2999" s="160"/>
      <c r="PQJ2999" s="565"/>
      <c r="PQK2999" s="125"/>
      <c r="PQL2999" s="470"/>
      <c r="PQM2999" s="449"/>
      <c r="PQN2999" s="462"/>
      <c r="PQO2999" s="299"/>
      <c r="PQP2999" s="81"/>
      <c r="PQQ2999" s="160"/>
      <c r="PQR2999" s="565"/>
      <c r="PQS2999" s="125"/>
      <c r="PQT2999" s="470"/>
      <c r="PQU2999" s="449"/>
      <c r="PQV2999" s="462"/>
      <c r="PQW2999" s="299"/>
      <c r="PQX2999" s="81"/>
      <c r="PQY2999" s="160"/>
      <c r="PQZ2999" s="565"/>
      <c r="PRA2999" s="125"/>
      <c r="PRB2999" s="470"/>
      <c r="PRC2999" s="449"/>
      <c r="PRD2999" s="462"/>
      <c r="PRE2999" s="299"/>
      <c r="PRF2999" s="81"/>
      <c r="PRG2999" s="160"/>
      <c r="PRH2999" s="565"/>
      <c r="PRI2999" s="125"/>
      <c r="PRJ2999" s="470"/>
      <c r="PRK2999" s="449"/>
      <c r="PRL2999" s="462"/>
      <c r="PRM2999" s="299"/>
      <c r="PRN2999" s="81"/>
      <c r="PRO2999" s="160"/>
      <c r="PRP2999" s="565"/>
      <c r="PRQ2999" s="125"/>
      <c r="PRR2999" s="470"/>
      <c r="PRS2999" s="449"/>
      <c r="PRT2999" s="462"/>
      <c r="PRU2999" s="299"/>
      <c r="PRV2999" s="81"/>
      <c r="PRW2999" s="160"/>
      <c r="PRX2999" s="565"/>
      <c r="PRY2999" s="125"/>
      <c r="PRZ2999" s="470"/>
      <c r="PSA2999" s="449"/>
      <c r="PSB2999" s="462"/>
      <c r="PSC2999" s="299"/>
      <c r="PSD2999" s="81"/>
      <c r="PSE2999" s="160"/>
      <c r="PSF2999" s="565"/>
      <c r="PSG2999" s="125"/>
      <c r="PSH2999" s="470"/>
      <c r="PSI2999" s="449"/>
      <c r="PSJ2999" s="462"/>
      <c r="PSK2999" s="299"/>
      <c r="PSL2999" s="81"/>
      <c r="PSM2999" s="160"/>
      <c r="PSN2999" s="565"/>
      <c r="PSO2999" s="125"/>
      <c r="PSP2999" s="470"/>
      <c r="PSQ2999" s="449"/>
      <c r="PSR2999" s="462"/>
      <c r="PSS2999" s="299"/>
      <c r="PST2999" s="81"/>
      <c r="PSU2999" s="160"/>
      <c r="PSV2999" s="565"/>
      <c r="PSW2999" s="125"/>
      <c r="PSX2999" s="470"/>
      <c r="PSY2999" s="449"/>
      <c r="PSZ2999" s="462"/>
      <c r="PTA2999" s="299"/>
      <c r="PTB2999" s="81"/>
      <c r="PTC2999" s="160"/>
      <c r="PTD2999" s="565"/>
      <c r="PTE2999" s="125"/>
      <c r="PTF2999" s="470"/>
      <c r="PTG2999" s="449"/>
      <c r="PTH2999" s="462"/>
      <c r="PTI2999" s="299"/>
      <c r="PTJ2999" s="81"/>
      <c r="PTK2999" s="160"/>
      <c r="PTL2999" s="565"/>
      <c r="PTM2999" s="125"/>
      <c r="PTN2999" s="470"/>
      <c r="PTO2999" s="449"/>
      <c r="PTP2999" s="462"/>
      <c r="PTQ2999" s="299"/>
      <c r="PTR2999" s="81"/>
      <c r="PTS2999" s="160"/>
      <c r="PTT2999" s="565"/>
      <c r="PTU2999" s="125"/>
      <c r="PTV2999" s="470"/>
      <c r="PTW2999" s="449"/>
      <c r="PTX2999" s="462"/>
      <c r="PTY2999" s="299"/>
      <c r="PTZ2999" s="81"/>
      <c r="PUA2999" s="160"/>
      <c r="PUB2999" s="565"/>
      <c r="PUC2999" s="125"/>
      <c r="PUD2999" s="470"/>
      <c r="PUE2999" s="449"/>
      <c r="PUF2999" s="462"/>
      <c r="PUG2999" s="299"/>
      <c r="PUH2999" s="81"/>
      <c r="PUI2999" s="160"/>
      <c r="PUJ2999" s="565"/>
      <c r="PUK2999" s="125"/>
      <c r="PUL2999" s="470"/>
      <c r="PUM2999" s="449"/>
      <c r="PUN2999" s="462"/>
      <c r="PUO2999" s="299"/>
      <c r="PUP2999" s="81"/>
      <c r="PUQ2999" s="160"/>
      <c r="PUR2999" s="565"/>
      <c r="PUS2999" s="125"/>
      <c r="PUT2999" s="470"/>
      <c r="PUU2999" s="449"/>
      <c r="PUV2999" s="462"/>
      <c r="PUW2999" s="299"/>
      <c r="PUX2999" s="81"/>
      <c r="PUY2999" s="160"/>
      <c r="PUZ2999" s="565"/>
      <c r="PVA2999" s="125"/>
      <c r="PVB2999" s="470"/>
      <c r="PVC2999" s="449"/>
      <c r="PVD2999" s="462"/>
      <c r="PVE2999" s="299"/>
      <c r="PVF2999" s="81"/>
      <c r="PVG2999" s="160"/>
      <c r="PVH2999" s="565"/>
      <c r="PVI2999" s="125"/>
      <c r="PVJ2999" s="470"/>
      <c r="PVK2999" s="449"/>
      <c r="PVL2999" s="462"/>
      <c r="PVM2999" s="299"/>
      <c r="PVN2999" s="81"/>
      <c r="PVO2999" s="160"/>
      <c r="PVP2999" s="565"/>
      <c r="PVQ2999" s="125"/>
      <c r="PVR2999" s="470"/>
      <c r="PVS2999" s="449"/>
      <c r="PVT2999" s="462"/>
      <c r="PVU2999" s="299"/>
      <c r="PVV2999" s="81"/>
      <c r="PVW2999" s="160"/>
      <c r="PVX2999" s="565"/>
      <c r="PVY2999" s="125"/>
      <c r="PVZ2999" s="470"/>
      <c r="PWA2999" s="449"/>
      <c r="PWB2999" s="462"/>
      <c r="PWC2999" s="299"/>
      <c r="PWD2999" s="81"/>
      <c r="PWE2999" s="160"/>
      <c r="PWF2999" s="565"/>
      <c r="PWG2999" s="125"/>
      <c r="PWH2999" s="470"/>
      <c r="PWI2999" s="449"/>
      <c r="PWJ2999" s="462"/>
      <c r="PWK2999" s="299"/>
      <c r="PWL2999" s="81"/>
      <c r="PWM2999" s="160"/>
      <c r="PWN2999" s="565"/>
      <c r="PWO2999" s="125"/>
      <c r="PWP2999" s="470"/>
      <c r="PWQ2999" s="449"/>
      <c r="PWR2999" s="462"/>
      <c r="PWS2999" s="299"/>
      <c r="PWT2999" s="81"/>
      <c r="PWU2999" s="160"/>
      <c r="PWV2999" s="565"/>
      <c r="PWW2999" s="125"/>
      <c r="PWX2999" s="470"/>
      <c r="PWY2999" s="449"/>
      <c r="PWZ2999" s="462"/>
      <c r="PXA2999" s="299"/>
      <c r="PXB2999" s="81"/>
      <c r="PXC2999" s="160"/>
      <c r="PXD2999" s="565"/>
      <c r="PXE2999" s="125"/>
      <c r="PXF2999" s="470"/>
      <c r="PXG2999" s="449"/>
      <c r="PXH2999" s="462"/>
      <c r="PXI2999" s="299"/>
      <c r="PXJ2999" s="81"/>
      <c r="PXK2999" s="160"/>
      <c r="PXL2999" s="565"/>
      <c r="PXM2999" s="125"/>
      <c r="PXN2999" s="470"/>
      <c r="PXO2999" s="449"/>
      <c r="PXP2999" s="462"/>
      <c r="PXQ2999" s="299"/>
      <c r="PXR2999" s="81"/>
      <c r="PXS2999" s="160"/>
      <c r="PXT2999" s="565"/>
      <c r="PXU2999" s="125"/>
      <c r="PXV2999" s="470"/>
      <c r="PXW2999" s="449"/>
      <c r="PXX2999" s="462"/>
      <c r="PXY2999" s="299"/>
      <c r="PXZ2999" s="81"/>
      <c r="PYA2999" s="160"/>
      <c r="PYB2999" s="565"/>
      <c r="PYC2999" s="125"/>
      <c r="PYD2999" s="470"/>
      <c r="PYE2999" s="449"/>
      <c r="PYF2999" s="462"/>
      <c r="PYG2999" s="299"/>
      <c r="PYH2999" s="81"/>
      <c r="PYI2999" s="160"/>
      <c r="PYJ2999" s="565"/>
      <c r="PYK2999" s="125"/>
      <c r="PYL2999" s="470"/>
      <c r="PYM2999" s="449"/>
      <c r="PYN2999" s="462"/>
      <c r="PYO2999" s="299"/>
      <c r="PYP2999" s="81"/>
      <c r="PYQ2999" s="160"/>
      <c r="PYR2999" s="565"/>
      <c r="PYS2999" s="125"/>
      <c r="PYT2999" s="470"/>
      <c r="PYU2999" s="449"/>
      <c r="PYV2999" s="462"/>
      <c r="PYW2999" s="299"/>
      <c r="PYX2999" s="81"/>
      <c r="PYY2999" s="160"/>
      <c r="PYZ2999" s="565"/>
      <c r="PZA2999" s="125"/>
      <c r="PZB2999" s="470"/>
      <c r="PZC2999" s="449"/>
      <c r="PZD2999" s="462"/>
      <c r="PZE2999" s="299"/>
      <c r="PZF2999" s="81"/>
      <c r="PZG2999" s="160"/>
      <c r="PZH2999" s="565"/>
      <c r="PZI2999" s="125"/>
      <c r="PZJ2999" s="470"/>
      <c r="PZK2999" s="449"/>
      <c r="PZL2999" s="462"/>
      <c r="PZM2999" s="299"/>
      <c r="PZN2999" s="81"/>
      <c r="PZO2999" s="160"/>
      <c r="PZP2999" s="565"/>
      <c r="PZQ2999" s="125"/>
      <c r="PZR2999" s="470"/>
      <c r="PZS2999" s="449"/>
      <c r="PZT2999" s="462"/>
      <c r="PZU2999" s="299"/>
      <c r="PZV2999" s="81"/>
      <c r="PZW2999" s="160"/>
      <c r="PZX2999" s="565"/>
      <c r="PZY2999" s="125"/>
      <c r="PZZ2999" s="470"/>
      <c r="QAA2999" s="449"/>
      <c r="QAB2999" s="462"/>
      <c r="QAC2999" s="299"/>
      <c r="QAD2999" s="81"/>
      <c r="QAE2999" s="160"/>
      <c r="QAF2999" s="565"/>
      <c r="QAG2999" s="125"/>
      <c r="QAH2999" s="470"/>
      <c r="QAI2999" s="449"/>
      <c r="QAJ2999" s="462"/>
      <c r="QAK2999" s="299"/>
      <c r="QAL2999" s="81"/>
      <c r="QAM2999" s="160"/>
      <c r="QAN2999" s="565"/>
      <c r="QAO2999" s="125"/>
      <c r="QAP2999" s="470"/>
      <c r="QAQ2999" s="449"/>
      <c r="QAR2999" s="462"/>
      <c r="QAS2999" s="299"/>
      <c r="QAT2999" s="81"/>
      <c r="QAU2999" s="160"/>
      <c r="QAV2999" s="565"/>
      <c r="QAW2999" s="125"/>
      <c r="QAX2999" s="470"/>
      <c r="QAY2999" s="449"/>
      <c r="QAZ2999" s="462"/>
      <c r="QBA2999" s="299"/>
      <c r="QBB2999" s="81"/>
      <c r="QBC2999" s="160"/>
      <c r="QBD2999" s="565"/>
      <c r="QBE2999" s="125"/>
      <c r="QBF2999" s="470"/>
      <c r="QBG2999" s="449"/>
      <c r="QBH2999" s="462"/>
      <c r="QBI2999" s="299"/>
      <c r="QBJ2999" s="81"/>
      <c r="QBK2999" s="160"/>
      <c r="QBL2999" s="565"/>
      <c r="QBM2999" s="125"/>
      <c r="QBN2999" s="470"/>
      <c r="QBO2999" s="449"/>
      <c r="QBP2999" s="462"/>
      <c r="QBQ2999" s="299"/>
      <c r="QBR2999" s="81"/>
      <c r="QBS2999" s="160"/>
      <c r="QBT2999" s="565"/>
      <c r="QBU2999" s="125"/>
      <c r="QBV2999" s="470"/>
      <c r="QBW2999" s="449"/>
      <c r="QBX2999" s="462"/>
      <c r="QBY2999" s="299"/>
      <c r="QBZ2999" s="81"/>
      <c r="QCA2999" s="160"/>
      <c r="QCB2999" s="565"/>
      <c r="QCC2999" s="125"/>
      <c r="QCD2999" s="470"/>
      <c r="QCE2999" s="449"/>
      <c r="QCF2999" s="462"/>
      <c r="QCG2999" s="299"/>
      <c r="QCH2999" s="81"/>
      <c r="QCI2999" s="160"/>
      <c r="QCJ2999" s="565"/>
      <c r="QCK2999" s="125"/>
      <c r="QCL2999" s="470"/>
      <c r="QCM2999" s="449"/>
      <c r="QCN2999" s="462"/>
      <c r="QCO2999" s="299"/>
      <c r="QCP2999" s="81"/>
      <c r="QCQ2999" s="160"/>
      <c r="QCR2999" s="565"/>
      <c r="QCS2999" s="125"/>
      <c r="QCT2999" s="470"/>
      <c r="QCU2999" s="449"/>
      <c r="QCV2999" s="462"/>
      <c r="QCW2999" s="299"/>
      <c r="QCX2999" s="81"/>
      <c r="QCY2999" s="160"/>
      <c r="QCZ2999" s="565"/>
      <c r="QDA2999" s="125"/>
      <c r="QDB2999" s="470"/>
      <c r="QDC2999" s="449"/>
      <c r="QDD2999" s="462"/>
      <c r="QDE2999" s="299"/>
      <c r="QDF2999" s="81"/>
      <c r="QDG2999" s="160"/>
      <c r="QDH2999" s="565"/>
      <c r="QDI2999" s="125"/>
      <c r="QDJ2999" s="470"/>
      <c r="QDK2999" s="449"/>
      <c r="QDL2999" s="462"/>
      <c r="QDM2999" s="299"/>
      <c r="QDN2999" s="81"/>
      <c r="QDO2999" s="160"/>
      <c r="QDP2999" s="565"/>
      <c r="QDQ2999" s="125"/>
      <c r="QDR2999" s="470"/>
      <c r="QDS2999" s="449"/>
      <c r="QDT2999" s="462"/>
      <c r="QDU2999" s="299"/>
      <c r="QDV2999" s="81"/>
      <c r="QDW2999" s="160"/>
      <c r="QDX2999" s="565"/>
      <c r="QDY2999" s="125"/>
      <c r="QDZ2999" s="470"/>
      <c r="QEA2999" s="449"/>
      <c r="QEB2999" s="462"/>
      <c r="QEC2999" s="299"/>
      <c r="QED2999" s="81"/>
      <c r="QEE2999" s="160"/>
      <c r="QEF2999" s="565"/>
      <c r="QEG2999" s="125"/>
      <c r="QEH2999" s="470"/>
      <c r="QEI2999" s="449"/>
      <c r="QEJ2999" s="462"/>
      <c r="QEK2999" s="299"/>
      <c r="QEL2999" s="81"/>
      <c r="QEM2999" s="160"/>
      <c r="QEN2999" s="565"/>
      <c r="QEO2999" s="125"/>
      <c r="QEP2999" s="470"/>
      <c r="QEQ2999" s="449"/>
      <c r="QER2999" s="462"/>
      <c r="QES2999" s="299"/>
      <c r="QET2999" s="81"/>
      <c r="QEU2999" s="160"/>
      <c r="QEV2999" s="565"/>
      <c r="QEW2999" s="125"/>
      <c r="QEX2999" s="470"/>
      <c r="QEY2999" s="449"/>
      <c r="QEZ2999" s="462"/>
      <c r="QFA2999" s="299"/>
      <c r="QFB2999" s="81"/>
      <c r="QFC2999" s="160"/>
      <c r="QFD2999" s="565"/>
      <c r="QFE2999" s="125"/>
      <c r="QFF2999" s="470"/>
      <c r="QFG2999" s="449"/>
      <c r="QFH2999" s="462"/>
      <c r="QFI2999" s="299"/>
      <c r="QFJ2999" s="81"/>
      <c r="QFK2999" s="160"/>
      <c r="QFL2999" s="565"/>
      <c r="QFM2999" s="125"/>
      <c r="QFN2999" s="470"/>
      <c r="QFO2999" s="449"/>
      <c r="QFP2999" s="462"/>
      <c r="QFQ2999" s="299"/>
      <c r="QFR2999" s="81"/>
      <c r="QFS2999" s="160"/>
      <c r="QFT2999" s="565"/>
      <c r="QFU2999" s="125"/>
      <c r="QFV2999" s="470"/>
      <c r="QFW2999" s="449"/>
      <c r="QFX2999" s="462"/>
      <c r="QFY2999" s="299"/>
      <c r="QFZ2999" s="81"/>
      <c r="QGA2999" s="160"/>
      <c r="QGB2999" s="565"/>
      <c r="QGC2999" s="125"/>
      <c r="QGD2999" s="470"/>
      <c r="QGE2999" s="449"/>
      <c r="QGF2999" s="462"/>
      <c r="QGG2999" s="299"/>
      <c r="QGH2999" s="81"/>
      <c r="QGI2999" s="160"/>
      <c r="QGJ2999" s="565"/>
      <c r="QGK2999" s="125"/>
      <c r="QGL2999" s="470"/>
      <c r="QGM2999" s="449"/>
      <c r="QGN2999" s="462"/>
      <c r="QGO2999" s="299"/>
      <c r="QGP2999" s="81"/>
      <c r="QGQ2999" s="160"/>
      <c r="QGR2999" s="565"/>
      <c r="QGS2999" s="125"/>
      <c r="QGT2999" s="470"/>
      <c r="QGU2999" s="449"/>
      <c r="QGV2999" s="462"/>
      <c r="QGW2999" s="299"/>
      <c r="QGX2999" s="81"/>
      <c r="QGY2999" s="160"/>
      <c r="QGZ2999" s="565"/>
      <c r="QHA2999" s="125"/>
      <c r="QHB2999" s="470"/>
      <c r="QHC2999" s="449"/>
      <c r="QHD2999" s="462"/>
      <c r="QHE2999" s="299"/>
      <c r="QHF2999" s="81"/>
      <c r="QHG2999" s="160"/>
      <c r="QHH2999" s="565"/>
      <c r="QHI2999" s="125"/>
      <c r="QHJ2999" s="470"/>
      <c r="QHK2999" s="449"/>
      <c r="QHL2999" s="462"/>
      <c r="QHM2999" s="299"/>
      <c r="QHN2999" s="81"/>
      <c r="QHO2999" s="160"/>
      <c r="QHP2999" s="565"/>
      <c r="QHQ2999" s="125"/>
      <c r="QHR2999" s="470"/>
      <c r="QHS2999" s="449"/>
      <c r="QHT2999" s="462"/>
      <c r="QHU2999" s="299"/>
      <c r="QHV2999" s="81"/>
      <c r="QHW2999" s="160"/>
      <c r="QHX2999" s="565"/>
      <c r="QHY2999" s="125"/>
      <c r="QHZ2999" s="470"/>
      <c r="QIA2999" s="449"/>
      <c r="QIB2999" s="462"/>
      <c r="QIC2999" s="299"/>
      <c r="QID2999" s="81"/>
      <c r="QIE2999" s="160"/>
      <c r="QIF2999" s="565"/>
      <c r="QIG2999" s="125"/>
      <c r="QIH2999" s="470"/>
      <c r="QII2999" s="449"/>
      <c r="QIJ2999" s="462"/>
      <c r="QIK2999" s="299"/>
      <c r="QIL2999" s="81"/>
      <c r="QIM2999" s="160"/>
      <c r="QIN2999" s="565"/>
      <c r="QIO2999" s="125"/>
      <c r="QIP2999" s="470"/>
      <c r="QIQ2999" s="449"/>
      <c r="QIR2999" s="462"/>
      <c r="QIS2999" s="299"/>
      <c r="QIT2999" s="81"/>
      <c r="QIU2999" s="160"/>
      <c r="QIV2999" s="565"/>
      <c r="QIW2999" s="125"/>
      <c r="QIX2999" s="470"/>
      <c r="QIY2999" s="449"/>
      <c r="QIZ2999" s="462"/>
      <c r="QJA2999" s="299"/>
      <c r="QJB2999" s="81"/>
      <c r="QJC2999" s="160"/>
      <c r="QJD2999" s="565"/>
      <c r="QJE2999" s="125"/>
      <c r="QJF2999" s="470"/>
      <c r="QJG2999" s="449"/>
      <c r="QJH2999" s="462"/>
      <c r="QJI2999" s="299"/>
      <c r="QJJ2999" s="81"/>
      <c r="QJK2999" s="160"/>
      <c r="QJL2999" s="565"/>
      <c r="QJM2999" s="125"/>
      <c r="QJN2999" s="470"/>
      <c r="QJO2999" s="449"/>
      <c r="QJP2999" s="462"/>
      <c r="QJQ2999" s="299"/>
      <c r="QJR2999" s="81"/>
      <c r="QJS2999" s="160"/>
      <c r="QJT2999" s="565"/>
      <c r="QJU2999" s="125"/>
      <c r="QJV2999" s="470"/>
      <c r="QJW2999" s="449"/>
      <c r="QJX2999" s="462"/>
      <c r="QJY2999" s="299"/>
      <c r="QJZ2999" s="81"/>
      <c r="QKA2999" s="160"/>
      <c r="QKB2999" s="565"/>
      <c r="QKC2999" s="125"/>
      <c r="QKD2999" s="470"/>
      <c r="QKE2999" s="449"/>
      <c r="QKF2999" s="462"/>
      <c r="QKG2999" s="299"/>
      <c r="QKH2999" s="81"/>
      <c r="QKI2999" s="160"/>
      <c r="QKJ2999" s="565"/>
      <c r="QKK2999" s="125"/>
      <c r="QKL2999" s="470"/>
      <c r="QKM2999" s="449"/>
      <c r="QKN2999" s="462"/>
      <c r="QKO2999" s="299"/>
      <c r="QKP2999" s="81"/>
      <c r="QKQ2999" s="160"/>
      <c r="QKR2999" s="565"/>
      <c r="QKS2999" s="125"/>
      <c r="QKT2999" s="470"/>
      <c r="QKU2999" s="449"/>
      <c r="QKV2999" s="462"/>
      <c r="QKW2999" s="299"/>
      <c r="QKX2999" s="81"/>
      <c r="QKY2999" s="160"/>
      <c r="QKZ2999" s="565"/>
      <c r="QLA2999" s="125"/>
      <c r="QLB2999" s="470"/>
      <c r="QLC2999" s="449"/>
      <c r="QLD2999" s="462"/>
      <c r="QLE2999" s="299"/>
      <c r="QLF2999" s="81"/>
      <c r="QLG2999" s="160"/>
      <c r="QLH2999" s="565"/>
      <c r="QLI2999" s="125"/>
      <c r="QLJ2999" s="470"/>
      <c r="QLK2999" s="449"/>
      <c r="QLL2999" s="462"/>
      <c r="QLM2999" s="299"/>
      <c r="QLN2999" s="81"/>
      <c r="QLO2999" s="160"/>
      <c r="QLP2999" s="565"/>
      <c r="QLQ2999" s="125"/>
      <c r="QLR2999" s="470"/>
      <c r="QLS2999" s="449"/>
      <c r="QLT2999" s="462"/>
      <c r="QLU2999" s="299"/>
      <c r="QLV2999" s="81"/>
      <c r="QLW2999" s="160"/>
      <c r="QLX2999" s="565"/>
      <c r="QLY2999" s="125"/>
      <c r="QLZ2999" s="470"/>
      <c r="QMA2999" s="449"/>
      <c r="QMB2999" s="462"/>
      <c r="QMC2999" s="299"/>
      <c r="QMD2999" s="81"/>
      <c r="QME2999" s="160"/>
      <c r="QMF2999" s="565"/>
      <c r="QMG2999" s="125"/>
      <c r="QMH2999" s="470"/>
      <c r="QMI2999" s="449"/>
      <c r="QMJ2999" s="462"/>
      <c r="QMK2999" s="299"/>
      <c r="QML2999" s="81"/>
      <c r="QMM2999" s="160"/>
      <c r="QMN2999" s="565"/>
      <c r="QMO2999" s="125"/>
      <c r="QMP2999" s="470"/>
      <c r="QMQ2999" s="449"/>
      <c r="QMR2999" s="462"/>
      <c r="QMS2999" s="299"/>
      <c r="QMT2999" s="81"/>
      <c r="QMU2999" s="160"/>
      <c r="QMV2999" s="565"/>
      <c r="QMW2999" s="125"/>
      <c r="QMX2999" s="470"/>
      <c r="QMY2999" s="449"/>
      <c r="QMZ2999" s="462"/>
      <c r="QNA2999" s="299"/>
      <c r="QNB2999" s="81"/>
      <c r="QNC2999" s="160"/>
      <c r="QND2999" s="565"/>
      <c r="QNE2999" s="125"/>
      <c r="QNF2999" s="470"/>
      <c r="QNG2999" s="449"/>
      <c r="QNH2999" s="462"/>
      <c r="QNI2999" s="299"/>
      <c r="QNJ2999" s="81"/>
      <c r="QNK2999" s="160"/>
      <c r="QNL2999" s="565"/>
      <c r="QNM2999" s="125"/>
      <c r="QNN2999" s="470"/>
      <c r="QNO2999" s="449"/>
      <c r="QNP2999" s="462"/>
      <c r="QNQ2999" s="299"/>
      <c r="QNR2999" s="81"/>
      <c r="QNS2999" s="160"/>
      <c r="QNT2999" s="565"/>
      <c r="QNU2999" s="125"/>
      <c r="QNV2999" s="470"/>
      <c r="QNW2999" s="449"/>
      <c r="QNX2999" s="462"/>
      <c r="QNY2999" s="299"/>
      <c r="QNZ2999" s="81"/>
      <c r="QOA2999" s="160"/>
      <c r="QOB2999" s="565"/>
      <c r="QOC2999" s="125"/>
      <c r="QOD2999" s="470"/>
      <c r="QOE2999" s="449"/>
      <c r="QOF2999" s="462"/>
      <c r="QOG2999" s="299"/>
      <c r="QOH2999" s="81"/>
      <c r="QOI2999" s="160"/>
      <c r="QOJ2999" s="565"/>
      <c r="QOK2999" s="125"/>
      <c r="QOL2999" s="470"/>
      <c r="QOM2999" s="449"/>
      <c r="QON2999" s="462"/>
      <c r="QOO2999" s="299"/>
      <c r="QOP2999" s="81"/>
      <c r="QOQ2999" s="160"/>
      <c r="QOR2999" s="565"/>
      <c r="QOS2999" s="125"/>
      <c r="QOT2999" s="470"/>
      <c r="QOU2999" s="449"/>
      <c r="QOV2999" s="462"/>
      <c r="QOW2999" s="299"/>
      <c r="QOX2999" s="81"/>
      <c r="QOY2999" s="160"/>
      <c r="QOZ2999" s="565"/>
      <c r="QPA2999" s="125"/>
      <c r="QPB2999" s="470"/>
      <c r="QPC2999" s="449"/>
      <c r="QPD2999" s="462"/>
      <c r="QPE2999" s="299"/>
      <c r="QPF2999" s="81"/>
      <c r="QPG2999" s="160"/>
      <c r="QPH2999" s="565"/>
      <c r="QPI2999" s="125"/>
      <c r="QPJ2999" s="470"/>
      <c r="QPK2999" s="449"/>
      <c r="QPL2999" s="462"/>
      <c r="QPM2999" s="299"/>
      <c r="QPN2999" s="81"/>
      <c r="QPO2999" s="160"/>
      <c r="QPP2999" s="565"/>
      <c r="QPQ2999" s="125"/>
      <c r="QPR2999" s="470"/>
      <c r="QPS2999" s="449"/>
      <c r="QPT2999" s="462"/>
      <c r="QPU2999" s="299"/>
      <c r="QPV2999" s="81"/>
      <c r="QPW2999" s="160"/>
      <c r="QPX2999" s="565"/>
      <c r="QPY2999" s="125"/>
      <c r="QPZ2999" s="470"/>
      <c r="QQA2999" s="449"/>
      <c r="QQB2999" s="462"/>
      <c r="QQC2999" s="299"/>
      <c r="QQD2999" s="81"/>
      <c r="QQE2999" s="160"/>
      <c r="QQF2999" s="565"/>
      <c r="QQG2999" s="125"/>
      <c r="QQH2999" s="470"/>
      <c r="QQI2999" s="449"/>
      <c r="QQJ2999" s="462"/>
      <c r="QQK2999" s="299"/>
      <c r="QQL2999" s="81"/>
      <c r="QQM2999" s="160"/>
      <c r="QQN2999" s="565"/>
      <c r="QQO2999" s="125"/>
      <c r="QQP2999" s="470"/>
      <c r="QQQ2999" s="449"/>
      <c r="QQR2999" s="462"/>
      <c r="QQS2999" s="299"/>
      <c r="QQT2999" s="81"/>
      <c r="QQU2999" s="160"/>
      <c r="QQV2999" s="565"/>
      <c r="QQW2999" s="125"/>
      <c r="QQX2999" s="470"/>
      <c r="QQY2999" s="449"/>
      <c r="QQZ2999" s="462"/>
      <c r="QRA2999" s="299"/>
      <c r="QRB2999" s="81"/>
      <c r="QRC2999" s="160"/>
      <c r="QRD2999" s="565"/>
      <c r="QRE2999" s="125"/>
      <c r="QRF2999" s="470"/>
      <c r="QRG2999" s="449"/>
      <c r="QRH2999" s="462"/>
      <c r="QRI2999" s="299"/>
      <c r="QRJ2999" s="81"/>
      <c r="QRK2999" s="160"/>
      <c r="QRL2999" s="565"/>
      <c r="QRM2999" s="125"/>
      <c r="QRN2999" s="470"/>
      <c r="QRO2999" s="449"/>
      <c r="QRP2999" s="462"/>
      <c r="QRQ2999" s="299"/>
      <c r="QRR2999" s="81"/>
      <c r="QRS2999" s="160"/>
      <c r="QRT2999" s="565"/>
      <c r="QRU2999" s="125"/>
      <c r="QRV2999" s="470"/>
      <c r="QRW2999" s="449"/>
      <c r="QRX2999" s="462"/>
      <c r="QRY2999" s="299"/>
      <c r="QRZ2999" s="81"/>
      <c r="QSA2999" s="160"/>
      <c r="QSB2999" s="565"/>
      <c r="QSC2999" s="125"/>
      <c r="QSD2999" s="470"/>
      <c r="QSE2999" s="449"/>
      <c r="QSF2999" s="462"/>
      <c r="QSG2999" s="299"/>
      <c r="QSH2999" s="81"/>
      <c r="QSI2999" s="160"/>
      <c r="QSJ2999" s="565"/>
      <c r="QSK2999" s="125"/>
      <c r="QSL2999" s="470"/>
      <c r="QSM2999" s="449"/>
      <c r="QSN2999" s="462"/>
      <c r="QSO2999" s="299"/>
      <c r="QSP2999" s="81"/>
      <c r="QSQ2999" s="160"/>
      <c r="QSR2999" s="565"/>
      <c r="QSS2999" s="125"/>
      <c r="QST2999" s="470"/>
      <c r="QSU2999" s="449"/>
      <c r="QSV2999" s="462"/>
      <c r="QSW2999" s="299"/>
      <c r="QSX2999" s="81"/>
      <c r="QSY2999" s="160"/>
      <c r="QSZ2999" s="565"/>
      <c r="QTA2999" s="125"/>
      <c r="QTB2999" s="470"/>
      <c r="QTC2999" s="449"/>
      <c r="QTD2999" s="462"/>
      <c r="QTE2999" s="299"/>
      <c r="QTF2999" s="81"/>
      <c r="QTG2999" s="160"/>
      <c r="QTH2999" s="565"/>
      <c r="QTI2999" s="125"/>
      <c r="QTJ2999" s="470"/>
      <c r="QTK2999" s="449"/>
      <c r="QTL2999" s="462"/>
      <c r="QTM2999" s="299"/>
      <c r="QTN2999" s="81"/>
      <c r="QTO2999" s="160"/>
      <c r="QTP2999" s="565"/>
      <c r="QTQ2999" s="125"/>
      <c r="QTR2999" s="470"/>
      <c r="QTS2999" s="449"/>
      <c r="QTT2999" s="462"/>
      <c r="QTU2999" s="299"/>
      <c r="QTV2999" s="81"/>
      <c r="QTW2999" s="160"/>
      <c r="QTX2999" s="565"/>
      <c r="QTY2999" s="125"/>
      <c r="QTZ2999" s="470"/>
      <c r="QUA2999" s="449"/>
      <c r="QUB2999" s="462"/>
      <c r="QUC2999" s="299"/>
      <c r="QUD2999" s="81"/>
      <c r="QUE2999" s="160"/>
      <c r="QUF2999" s="565"/>
      <c r="QUG2999" s="125"/>
      <c r="QUH2999" s="470"/>
      <c r="QUI2999" s="449"/>
      <c r="QUJ2999" s="462"/>
      <c r="QUK2999" s="299"/>
      <c r="QUL2999" s="81"/>
      <c r="QUM2999" s="160"/>
      <c r="QUN2999" s="565"/>
      <c r="QUO2999" s="125"/>
      <c r="QUP2999" s="470"/>
      <c r="QUQ2999" s="449"/>
      <c r="QUR2999" s="462"/>
      <c r="QUS2999" s="299"/>
      <c r="QUT2999" s="81"/>
      <c r="QUU2999" s="160"/>
      <c r="QUV2999" s="565"/>
      <c r="QUW2999" s="125"/>
      <c r="QUX2999" s="470"/>
      <c r="QUY2999" s="449"/>
      <c r="QUZ2999" s="462"/>
      <c r="QVA2999" s="299"/>
      <c r="QVB2999" s="81"/>
      <c r="QVC2999" s="160"/>
      <c r="QVD2999" s="565"/>
      <c r="QVE2999" s="125"/>
      <c r="QVF2999" s="470"/>
      <c r="QVG2999" s="449"/>
      <c r="QVH2999" s="462"/>
      <c r="QVI2999" s="299"/>
      <c r="QVJ2999" s="81"/>
      <c r="QVK2999" s="160"/>
      <c r="QVL2999" s="565"/>
      <c r="QVM2999" s="125"/>
      <c r="QVN2999" s="470"/>
      <c r="QVO2999" s="449"/>
      <c r="QVP2999" s="462"/>
      <c r="QVQ2999" s="299"/>
      <c r="QVR2999" s="81"/>
      <c r="QVS2999" s="160"/>
      <c r="QVT2999" s="565"/>
      <c r="QVU2999" s="125"/>
      <c r="QVV2999" s="470"/>
      <c r="QVW2999" s="449"/>
      <c r="QVX2999" s="462"/>
      <c r="QVY2999" s="299"/>
      <c r="QVZ2999" s="81"/>
      <c r="QWA2999" s="160"/>
      <c r="QWB2999" s="565"/>
      <c r="QWC2999" s="125"/>
      <c r="QWD2999" s="470"/>
      <c r="QWE2999" s="449"/>
      <c r="QWF2999" s="462"/>
      <c r="QWG2999" s="299"/>
      <c r="QWH2999" s="81"/>
      <c r="QWI2999" s="160"/>
      <c r="QWJ2999" s="565"/>
      <c r="QWK2999" s="125"/>
      <c r="QWL2999" s="470"/>
      <c r="QWM2999" s="449"/>
      <c r="QWN2999" s="462"/>
      <c r="QWO2999" s="299"/>
      <c r="QWP2999" s="81"/>
      <c r="QWQ2999" s="160"/>
      <c r="QWR2999" s="565"/>
      <c r="QWS2999" s="125"/>
      <c r="QWT2999" s="470"/>
      <c r="QWU2999" s="449"/>
      <c r="QWV2999" s="462"/>
      <c r="QWW2999" s="299"/>
      <c r="QWX2999" s="81"/>
      <c r="QWY2999" s="160"/>
      <c r="QWZ2999" s="565"/>
      <c r="QXA2999" s="125"/>
      <c r="QXB2999" s="470"/>
      <c r="QXC2999" s="449"/>
      <c r="QXD2999" s="462"/>
      <c r="QXE2999" s="299"/>
      <c r="QXF2999" s="81"/>
      <c r="QXG2999" s="160"/>
      <c r="QXH2999" s="565"/>
      <c r="QXI2999" s="125"/>
      <c r="QXJ2999" s="470"/>
      <c r="QXK2999" s="449"/>
      <c r="QXL2999" s="462"/>
      <c r="QXM2999" s="299"/>
      <c r="QXN2999" s="81"/>
      <c r="QXO2999" s="160"/>
      <c r="QXP2999" s="565"/>
      <c r="QXQ2999" s="125"/>
      <c r="QXR2999" s="470"/>
      <c r="QXS2999" s="449"/>
      <c r="QXT2999" s="462"/>
      <c r="QXU2999" s="299"/>
      <c r="QXV2999" s="81"/>
      <c r="QXW2999" s="160"/>
      <c r="QXX2999" s="565"/>
      <c r="QXY2999" s="125"/>
      <c r="QXZ2999" s="470"/>
      <c r="QYA2999" s="449"/>
      <c r="QYB2999" s="462"/>
      <c r="QYC2999" s="299"/>
      <c r="QYD2999" s="81"/>
      <c r="QYE2999" s="160"/>
      <c r="QYF2999" s="565"/>
      <c r="QYG2999" s="125"/>
      <c r="QYH2999" s="470"/>
      <c r="QYI2999" s="449"/>
      <c r="QYJ2999" s="462"/>
      <c r="QYK2999" s="299"/>
      <c r="QYL2999" s="81"/>
      <c r="QYM2999" s="160"/>
      <c r="QYN2999" s="565"/>
      <c r="QYO2999" s="125"/>
      <c r="QYP2999" s="470"/>
      <c r="QYQ2999" s="449"/>
      <c r="QYR2999" s="462"/>
      <c r="QYS2999" s="299"/>
      <c r="QYT2999" s="81"/>
      <c r="QYU2999" s="160"/>
      <c r="QYV2999" s="565"/>
      <c r="QYW2999" s="125"/>
      <c r="QYX2999" s="470"/>
      <c r="QYY2999" s="449"/>
      <c r="QYZ2999" s="462"/>
      <c r="QZA2999" s="299"/>
      <c r="QZB2999" s="81"/>
      <c r="QZC2999" s="160"/>
      <c r="QZD2999" s="565"/>
      <c r="QZE2999" s="125"/>
      <c r="QZF2999" s="470"/>
      <c r="QZG2999" s="449"/>
      <c r="QZH2999" s="462"/>
      <c r="QZI2999" s="299"/>
      <c r="QZJ2999" s="81"/>
      <c r="QZK2999" s="160"/>
      <c r="QZL2999" s="565"/>
      <c r="QZM2999" s="125"/>
      <c r="QZN2999" s="470"/>
      <c r="QZO2999" s="449"/>
      <c r="QZP2999" s="462"/>
      <c r="QZQ2999" s="299"/>
      <c r="QZR2999" s="81"/>
      <c r="QZS2999" s="160"/>
      <c r="QZT2999" s="565"/>
      <c r="QZU2999" s="125"/>
      <c r="QZV2999" s="470"/>
      <c r="QZW2999" s="449"/>
      <c r="QZX2999" s="462"/>
      <c r="QZY2999" s="299"/>
      <c r="QZZ2999" s="81"/>
      <c r="RAA2999" s="160"/>
      <c r="RAB2999" s="565"/>
      <c r="RAC2999" s="125"/>
      <c r="RAD2999" s="470"/>
      <c r="RAE2999" s="449"/>
      <c r="RAF2999" s="462"/>
      <c r="RAG2999" s="299"/>
      <c r="RAH2999" s="81"/>
      <c r="RAI2999" s="160"/>
      <c r="RAJ2999" s="565"/>
      <c r="RAK2999" s="125"/>
      <c r="RAL2999" s="470"/>
      <c r="RAM2999" s="449"/>
      <c r="RAN2999" s="462"/>
      <c r="RAO2999" s="299"/>
      <c r="RAP2999" s="81"/>
      <c r="RAQ2999" s="160"/>
      <c r="RAR2999" s="565"/>
      <c r="RAS2999" s="125"/>
      <c r="RAT2999" s="470"/>
      <c r="RAU2999" s="449"/>
      <c r="RAV2999" s="462"/>
      <c r="RAW2999" s="299"/>
      <c r="RAX2999" s="81"/>
      <c r="RAY2999" s="160"/>
      <c r="RAZ2999" s="565"/>
      <c r="RBA2999" s="125"/>
      <c r="RBB2999" s="470"/>
      <c r="RBC2999" s="449"/>
      <c r="RBD2999" s="462"/>
      <c r="RBE2999" s="299"/>
      <c r="RBF2999" s="81"/>
      <c r="RBG2999" s="160"/>
      <c r="RBH2999" s="565"/>
      <c r="RBI2999" s="125"/>
      <c r="RBJ2999" s="470"/>
      <c r="RBK2999" s="449"/>
      <c r="RBL2999" s="462"/>
      <c r="RBM2999" s="299"/>
      <c r="RBN2999" s="81"/>
      <c r="RBO2999" s="160"/>
      <c r="RBP2999" s="565"/>
      <c r="RBQ2999" s="125"/>
      <c r="RBR2999" s="470"/>
      <c r="RBS2999" s="449"/>
      <c r="RBT2999" s="462"/>
      <c r="RBU2999" s="299"/>
      <c r="RBV2999" s="81"/>
      <c r="RBW2999" s="160"/>
      <c r="RBX2999" s="565"/>
      <c r="RBY2999" s="125"/>
      <c r="RBZ2999" s="470"/>
      <c r="RCA2999" s="449"/>
      <c r="RCB2999" s="462"/>
      <c r="RCC2999" s="299"/>
      <c r="RCD2999" s="81"/>
      <c r="RCE2999" s="160"/>
      <c r="RCF2999" s="565"/>
      <c r="RCG2999" s="125"/>
      <c r="RCH2999" s="470"/>
      <c r="RCI2999" s="449"/>
      <c r="RCJ2999" s="462"/>
      <c r="RCK2999" s="299"/>
      <c r="RCL2999" s="81"/>
      <c r="RCM2999" s="160"/>
      <c r="RCN2999" s="565"/>
      <c r="RCO2999" s="125"/>
      <c r="RCP2999" s="470"/>
      <c r="RCQ2999" s="449"/>
      <c r="RCR2999" s="462"/>
      <c r="RCS2999" s="299"/>
      <c r="RCT2999" s="81"/>
      <c r="RCU2999" s="160"/>
      <c r="RCV2999" s="565"/>
      <c r="RCW2999" s="125"/>
      <c r="RCX2999" s="470"/>
      <c r="RCY2999" s="449"/>
      <c r="RCZ2999" s="462"/>
      <c r="RDA2999" s="299"/>
      <c r="RDB2999" s="81"/>
      <c r="RDC2999" s="160"/>
      <c r="RDD2999" s="565"/>
      <c r="RDE2999" s="125"/>
      <c r="RDF2999" s="470"/>
      <c r="RDG2999" s="449"/>
      <c r="RDH2999" s="462"/>
      <c r="RDI2999" s="299"/>
      <c r="RDJ2999" s="81"/>
      <c r="RDK2999" s="160"/>
      <c r="RDL2999" s="565"/>
      <c r="RDM2999" s="125"/>
      <c r="RDN2999" s="470"/>
      <c r="RDO2999" s="449"/>
      <c r="RDP2999" s="462"/>
      <c r="RDQ2999" s="299"/>
      <c r="RDR2999" s="81"/>
      <c r="RDS2999" s="160"/>
      <c r="RDT2999" s="565"/>
      <c r="RDU2999" s="125"/>
      <c r="RDV2999" s="470"/>
      <c r="RDW2999" s="449"/>
      <c r="RDX2999" s="462"/>
      <c r="RDY2999" s="299"/>
      <c r="RDZ2999" s="81"/>
      <c r="REA2999" s="160"/>
      <c r="REB2999" s="565"/>
      <c r="REC2999" s="125"/>
      <c r="RED2999" s="470"/>
      <c r="REE2999" s="449"/>
      <c r="REF2999" s="462"/>
      <c r="REG2999" s="299"/>
      <c r="REH2999" s="81"/>
      <c r="REI2999" s="160"/>
      <c r="REJ2999" s="565"/>
      <c r="REK2999" s="125"/>
      <c r="REL2999" s="470"/>
      <c r="REM2999" s="449"/>
      <c r="REN2999" s="462"/>
      <c r="REO2999" s="299"/>
      <c r="REP2999" s="81"/>
      <c r="REQ2999" s="160"/>
      <c r="RER2999" s="565"/>
      <c r="RES2999" s="125"/>
      <c r="RET2999" s="470"/>
      <c r="REU2999" s="449"/>
      <c r="REV2999" s="462"/>
      <c r="REW2999" s="299"/>
      <c r="REX2999" s="81"/>
      <c r="REY2999" s="160"/>
      <c r="REZ2999" s="565"/>
      <c r="RFA2999" s="125"/>
      <c r="RFB2999" s="470"/>
      <c r="RFC2999" s="449"/>
      <c r="RFD2999" s="462"/>
      <c r="RFE2999" s="299"/>
      <c r="RFF2999" s="81"/>
      <c r="RFG2999" s="160"/>
      <c r="RFH2999" s="565"/>
      <c r="RFI2999" s="125"/>
      <c r="RFJ2999" s="470"/>
      <c r="RFK2999" s="449"/>
      <c r="RFL2999" s="462"/>
      <c r="RFM2999" s="299"/>
      <c r="RFN2999" s="81"/>
      <c r="RFO2999" s="160"/>
      <c r="RFP2999" s="565"/>
      <c r="RFQ2999" s="125"/>
      <c r="RFR2999" s="470"/>
      <c r="RFS2999" s="449"/>
      <c r="RFT2999" s="462"/>
      <c r="RFU2999" s="299"/>
      <c r="RFV2999" s="81"/>
      <c r="RFW2999" s="160"/>
      <c r="RFX2999" s="565"/>
      <c r="RFY2999" s="125"/>
      <c r="RFZ2999" s="470"/>
      <c r="RGA2999" s="449"/>
      <c r="RGB2999" s="462"/>
      <c r="RGC2999" s="299"/>
      <c r="RGD2999" s="81"/>
      <c r="RGE2999" s="160"/>
      <c r="RGF2999" s="565"/>
      <c r="RGG2999" s="125"/>
      <c r="RGH2999" s="470"/>
      <c r="RGI2999" s="449"/>
      <c r="RGJ2999" s="462"/>
      <c r="RGK2999" s="299"/>
      <c r="RGL2999" s="81"/>
      <c r="RGM2999" s="160"/>
      <c r="RGN2999" s="565"/>
      <c r="RGO2999" s="125"/>
      <c r="RGP2999" s="470"/>
      <c r="RGQ2999" s="449"/>
      <c r="RGR2999" s="462"/>
      <c r="RGS2999" s="299"/>
      <c r="RGT2999" s="81"/>
      <c r="RGU2999" s="160"/>
      <c r="RGV2999" s="565"/>
      <c r="RGW2999" s="125"/>
      <c r="RGX2999" s="470"/>
      <c r="RGY2999" s="449"/>
      <c r="RGZ2999" s="462"/>
      <c r="RHA2999" s="299"/>
      <c r="RHB2999" s="81"/>
      <c r="RHC2999" s="160"/>
      <c r="RHD2999" s="565"/>
      <c r="RHE2999" s="125"/>
      <c r="RHF2999" s="470"/>
      <c r="RHG2999" s="449"/>
      <c r="RHH2999" s="462"/>
      <c r="RHI2999" s="299"/>
      <c r="RHJ2999" s="81"/>
      <c r="RHK2999" s="160"/>
      <c r="RHL2999" s="565"/>
      <c r="RHM2999" s="125"/>
      <c r="RHN2999" s="470"/>
      <c r="RHO2999" s="449"/>
      <c r="RHP2999" s="462"/>
      <c r="RHQ2999" s="299"/>
      <c r="RHR2999" s="81"/>
      <c r="RHS2999" s="160"/>
      <c r="RHT2999" s="565"/>
      <c r="RHU2999" s="125"/>
      <c r="RHV2999" s="470"/>
      <c r="RHW2999" s="449"/>
      <c r="RHX2999" s="462"/>
      <c r="RHY2999" s="299"/>
      <c r="RHZ2999" s="81"/>
      <c r="RIA2999" s="160"/>
      <c r="RIB2999" s="565"/>
      <c r="RIC2999" s="125"/>
      <c r="RID2999" s="470"/>
      <c r="RIE2999" s="449"/>
      <c r="RIF2999" s="462"/>
      <c r="RIG2999" s="299"/>
      <c r="RIH2999" s="81"/>
      <c r="RII2999" s="160"/>
      <c r="RIJ2999" s="565"/>
      <c r="RIK2999" s="125"/>
      <c r="RIL2999" s="470"/>
      <c r="RIM2999" s="449"/>
      <c r="RIN2999" s="462"/>
      <c r="RIO2999" s="299"/>
      <c r="RIP2999" s="81"/>
      <c r="RIQ2999" s="160"/>
      <c r="RIR2999" s="565"/>
      <c r="RIS2999" s="125"/>
      <c r="RIT2999" s="470"/>
      <c r="RIU2999" s="449"/>
      <c r="RIV2999" s="462"/>
      <c r="RIW2999" s="299"/>
      <c r="RIX2999" s="81"/>
      <c r="RIY2999" s="160"/>
      <c r="RIZ2999" s="565"/>
      <c r="RJA2999" s="125"/>
      <c r="RJB2999" s="470"/>
      <c r="RJC2999" s="449"/>
      <c r="RJD2999" s="462"/>
      <c r="RJE2999" s="299"/>
      <c r="RJF2999" s="81"/>
      <c r="RJG2999" s="160"/>
      <c r="RJH2999" s="565"/>
      <c r="RJI2999" s="125"/>
      <c r="RJJ2999" s="470"/>
      <c r="RJK2999" s="449"/>
      <c r="RJL2999" s="462"/>
      <c r="RJM2999" s="299"/>
      <c r="RJN2999" s="81"/>
      <c r="RJO2999" s="160"/>
      <c r="RJP2999" s="565"/>
      <c r="RJQ2999" s="125"/>
      <c r="RJR2999" s="470"/>
      <c r="RJS2999" s="449"/>
      <c r="RJT2999" s="462"/>
      <c r="RJU2999" s="299"/>
      <c r="RJV2999" s="81"/>
      <c r="RJW2999" s="160"/>
      <c r="RJX2999" s="565"/>
      <c r="RJY2999" s="125"/>
      <c r="RJZ2999" s="470"/>
      <c r="RKA2999" s="449"/>
      <c r="RKB2999" s="462"/>
      <c r="RKC2999" s="299"/>
      <c r="RKD2999" s="81"/>
      <c r="RKE2999" s="160"/>
      <c r="RKF2999" s="565"/>
      <c r="RKG2999" s="125"/>
      <c r="RKH2999" s="470"/>
      <c r="RKI2999" s="449"/>
      <c r="RKJ2999" s="462"/>
      <c r="RKK2999" s="299"/>
      <c r="RKL2999" s="81"/>
      <c r="RKM2999" s="160"/>
      <c r="RKN2999" s="565"/>
      <c r="RKO2999" s="125"/>
      <c r="RKP2999" s="470"/>
      <c r="RKQ2999" s="449"/>
      <c r="RKR2999" s="462"/>
      <c r="RKS2999" s="299"/>
      <c r="RKT2999" s="81"/>
      <c r="RKU2999" s="160"/>
      <c r="RKV2999" s="565"/>
      <c r="RKW2999" s="125"/>
      <c r="RKX2999" s="470"/>
      <c r="RKY2999" s="449"/>
      <c r="RKZ2999" s="462"/>
      <c r="RLA2999" s="299"/>
      <c r="RLB2999" s="81"/>
      <c r="RLC2999" s="160"/>
      <c r="RLD2999" s="565"/>
      <c r="RLE2999" s="125"/>
      <c r="RLF2999" s="470"/>
      <c r="RLG2999" s="449"/>
      <c r="RLH2999" s="462"/>
      <c r="RLI2999" s="299"/>
      <c r="RLJ2999" s="81"/>
      <c r="RLK2999" s="160"/>
      <c r="RLL2999" s="565"/>
      <c r="RLM2999" s="125"/>
      <c r="RLN2999" s="470"/>
      <c r="RLO2999" s="449"/>
      <c r="RLP2999" s="462"/>
      <c r="RLQ2999" s="299"/>
      <c r="RLR2999" s="81"/>
      <c r="RLS2999" s="160"/>
      <c r="RLT2999" s="565"/>
      <c r="RLU2999" s="125"/>
      <c r="RLV2999" s="470"/>
      <c r="RLW2999" s="449"/>
      <c r="RLX2999" s="462"/>
      <c r="RLY2999" s="299"/>
      <c r="RLZ2999" s="81"/>
      <c r="RMA2999" s="160"/>
      <c r="RMB2999" s="565"/>
      <c r="RMC2999" s="125"/>
      <c r="RMD2999" s="470"/>
      <c r="RME2999" s="449"/>
      <c r="RMF2999" s="462"/>
      <c r="RMG2999" s="299"/>
      <c r="RMH2999" s="81"/>
      <c r="RMI2999" s="160"/>
      <c r="RMJ2999" s="565"/>
      <c r="RMK2999" s="125"/>
      <c r="RML2999" s="470"/>
      <c r="RMM2999" s="449"/>
      <c r="RMN2999" s="462"/>
      <c r="RMO2999" s="299"/>
      <c r="RMP2999" s="81"/>
      <c r="RMQ2999" s="160"/>
      <c r="RMR2999" s="565"/>
      <c r="RMS2999" s="125"/>
      <c r="RMT2999" s="470"/>
      <c r="RMU2999" s="449"/>
      <c r="RMV2999" s="462"/>
      <c r="RMW2999" s="299"/>
      <c r="RMX2999" s="81"/>
      <c r="RMY2999" s="160"/>
      <c r="RMZ2999" s="565"/>
      <c r="RNA2999" s="125"/>
      <c r="RNB2999" s="470"/>
      <c r="RNC2999" s="449"/>
      <c r="RND2999" s="462"/>
      <c r="RNE2999" s="299"/>
      <c r="RNF2999" s="81"/>
      <c r="RNG2999" s="160"/>
      <c r="RNH2999" s="565"/>
      <c r="RNI2999" s="125"/>
      <c r="RNJ2999" s="470"/>
      <c r="RNK2999" s="449"/>
      <c r="RNL2999" s="462"/>
      <c r="RNM2999" s="299"/>
      <c r="RNN2999" s="81"/>
      <c r="RNO2999" s="160"/>
      <c r="RNP2999" s="565"/>
      <c r="RNQ2999" s="125"/>
      <c r="RNR2999" s="470"/>
      <c r="RNS2999" s="449"/>
      <c r="RNT2999" s="462"/>
      <c r="RNU2999" s="299"/>
      <c r="RNV2999" s="81"/>
      <c r="RNW2999" s="160"/>
      <c r="RNX2999" s="565"/>
      <c r="RNY2999" s="125"/>
      <c r="RNZ2999" s="470"/>
      <c r="ROA2999" s="449"/>
      <c r="ROB2999" s="462"/>
      <c r="ROC2999" s="299"/>
      <c r="ROD2999" s="81"/>
      <c r="ROE2999" s="160"/>
      <c r="ROF2999" s="565"/>
      <c r="ROG2999" s="125"/>
      <c r="ROH2999" s="470"/>
      <c r="ROI2999" s="449"/>
      <c r="ROJ2999" s="462"/>
      <c r="ROK2999" s="299"/>
      <c r="ROL2999" s="81"/>
      <c r="ROM2999" s="160"/>
      <c r="RON2999" s="565"/>
      <c r="ROO2999" s="125"/>
      <c r="ROP2999" s="470"/>
      <c r="ROQ2999" s="449"/>
      <c r="ROR2999" s="462"/>
      <c r="ROS2999" s="299"/>
      <c r="ROT2999" s="81"/>
      <c r="ROU2999" s="160"/>
      <c r="ROV2999" s="565"/>
      <c r="ROW2999" s="125"/>
      <c r="ROX2999" s="470"/>
      <c r="ROY2999" s="449"/>
      <c r="ROZ2999" s="462"/>
      <c r="RPA2999" s="299"/>
      <c r="RPB2999" s="81"/>
      <c r="RPC2999" s="160"/>
      <c r="RPD2999" s="565"/>
      <c r="RPE2999" s="125"/>
      <c r="RPF2999" s="470"/>
      <c r="RPG2999" s="449"/>
      <c r="RPH2999" s="462"/>
      <c r="RPI2999" s="299"/>
      <c r="RPJ2999" s="81"/>
      <c r="RPK2999" s="160"/>
      <c r="RPL2999" s="565"/>
      <c r="RPM2999" s="125"/>
      <c r="RPN2999" s="470"/>
      <c r="RPO2999" s="449"/>
      <c r="RPP2999" s="462"/>
      <c r="RPQ2999" s="299"/>
      <c r="RPR2999" s="81"/>
      <c r="RPS2999" s="160"/>
      <c r="RPT2999" s="565"/>
      <c r="RPU2999" s="125"/>
      <c r="RPV2999" s="470"/>
      <c r="RPW2999" s="449"/>
      <c r="RPX2999" s="462"/>
      <c r="RPY2999" s="299"/>
      <c r="RPZ2999" s="81"/>
      <c r="RQA2999" s="160"/>
      <c r="RQB2999" s="565"/>
      <c r="RQC2999" s="125"/>
      <c r="RQD2999" s="470"/>
      <c r="RQE2999" s="449"/>
      <c r="RQF2999" s="462"/>
      <c r="RQG2999" s="299"/>
      <c r="RQH2999" s="81"/>
      <c r="RQI2999" s="160"/>
      <c r="RQJ2999" s="565"/>
      <c r="RQK2999" s="125"/>
      <c r="RQL2999" s="470"/>
      <c r="RQM2999" s="449"/>
      <c r="RQN2999" s="462"/>
      <c r="RQO2999" s="299"/>
      <c r="RQP2999" s="81"/>
      <c r="RQQ2999" s="160"/>
      <c r="RQR2999" s="565"/>
      <c r="RQS2999" s="125"/>
      <c r="RQT2999" s="470"/>
      <c r="RQU2999" s="449"/>
      <c r="RQV2999" s="462"/>
      <c r="RQW2999" s="299"/>
      <c r="RQX2999" s="81"/>
      <c r="RQY2999" s="160"/>
      <c r="RQZ2999" s="565"/>
      <c r="RRA2999" s="125"/>
      <c r="RRB2999" s="470"/>
      <c r="RRC2999" s="449"/>
      <c r="RRD2999" s="462"/>
      <c r="RRE2999" s="299"/>
      <c r="RRF2999" s="81"/>
      <c r="RRG2999" s="160"/>
      <c r="RRH2999" s="565"/>
      <c r="RRI2999" s="125"/>
      <c r="RRJ2999" s="470"/>
      <c r="RRK2999" s="449"/>
      <c r="RRL2999" s="462"/>
      <c r="RRM2999" s="299"/>
      <c r="RRN2999" s="81"/>
      <c r="RRO2999" s="160"/>
      <c r="RRP2999" s="565"/>
      <c r="RRQ2999" s="125"/>
      <c r="RRR2999" s="470"/>
      <c r="RRS2999" s="449"/>
      <c r="RRT2999" s="462"/>
      <c r="RRU2999" s="299"/>
      <c r="RRV2999" s="81"/>
      <c r="RRW2999" s="160"/>
      <c r="RRX2999" s="565"/>
      <c r="RRY2999" s="125"/>
      <c r="RRZ2999" s="470"/>
      <c r="RSA2999" s="449"/>
      <c r="RSB2999" s="462"/>
      <c r="RSC2999" s="299"/>
      <c r="RSD2999" s="81"/>
      <c r="RSE2999" s="160"/>
      <c r="RSF2999" s="565"/>
      <c r="RSG2999" s="125"/>
      <c r="RSH2999" s="470"/>
      <c r="RSI2999" s="449"/>
      <c r="RSJ2999" s="462"/>
      <c r="RSK2999" s="299"/>
      <c r="RSL2999" s="81"/>
      <c r="RSM2999" s="160"/>
      <c r="RSN2999" s="565"/>
      <c r="RSO2999" s="125"/>
      <c r="RSP2999" s="470"/>
      <c r="RSQ2999" s="449"/>
      <c r="RSR2999" s="462"/>
      <c r="RSS2999" s="299"/>
      <c r="RST2999" s="81"/>
      <c r="RSU2999" s="160"/>
      <c r="RSV2999" s="565"/>
      <c r="RSW2999" s="125"/>
      <c r="RSX2999" s="470"/>
      <c r="RSY2999" s="449"/>
      <c r="RSZ2999" s="462"/>
      <c r="RTA2999" s="299"/>
      <c r="RTB2999" s="81"/>
      <c r="RTC2999" s="160"/>
      <c r="RTD2999" s="565"/>
      <c r="RTE2999" s="125"/>
      <c r="RTF2999" s="470"/>
      <c r="RTG2999" s="449"/>
      <c r="RTH2999" s="462"/>
      <c r="RTI2999" s="299"/>
      <c r="RTJ2999" s="81"/>
      <c r="RTK2999" s="160"/>
      <c r="RTL2999" s="565"/>
      <c r="RTM2999" s="125"/>
      <c r="RTN2999" s="470"/>
      <c r="RTO2999" s="449"/>
      <c r="RTP2999" s="462"/>
      <c r="RTQ2999" s="299"/>
      <c r="RTR2999" s="81"/>
      <c r="RTS2999" s="160"/>
      <c r="RTT2999" s="565"/>
      <c r="RTU2999" s="125"/>
      <c r="RTV2999" s="470"/>
      <c r="RTW2999" s="449"/>
      <c r="RTX2999" s="462"/>
      <c r="RTY2999" s="299"/>
      <c r="RTZ2999" s="81"/>
      <c r="RUA2999" s="160"/>
      <c r="RUB2999" s="565"/>
      <c r="RUC2999" s="125"/>
      <c r="RUD2999" s="470"/>
      <c r="RUE2999" s="449"/>
      <c r="RUF2999" s="462"/>
      <c r="RUG2999" s="299"/>
      <c r="RUH2999" s="81"/>
      <c r="RUI2999" s="160"/>
      <c r="RUJ2999" s="565"/>
      <c r="RUK2999" s="125"/>
      <c r="RUL2999" s="470"/>
      <c r="RUM2999" s="449"/>
      <c r="RUN2999" s="462"/>
      <c r="RUO2999" s="299"/>
      <c r="RUP2999" s="81"/>
      <c r="RUQ2999" s="160"/>
      <c r="RUR2999" s="565"/>
      <c r="RUS2999" s="125"/>
      <c r="RUT2999" s="470"/>
      <c r="RUU2999" s="449"/>
      <c r="RUV2999" s="462"/>
      <c r="RUW2999" s="299"/>
      <c r="RUX2999" s="81"/>
      <c r="RUY2999" s="160"/>
      <c r="RUZ2999" s="565"/>
      <c r="RVA2999" s="125"/>
      <c r="RVB2999" s="470"/>
      <c r="RVC2999" s="449"/>
      <c r="RVD2999" s="462"/>
      <c r="RVE2999" s="299"/>
      <c r="RVF2999" s="81"/>
      <c r="RVG2999" s="160"/>
      <c r="RVH2999" s="565"/>
      <c r="RVI2999" s="125"/>
      <c r="RVJ2999" s="470"/>
      <c r="RVK2999" s="449"/>
      <c r="RVL2999" s="462"/>
      <c r="RVM2999" s="299"/>
      <c r="RVN2999" s="81"/>
      <c r="RVO2999" s="160"/>
      <c r="RVP2999" s="565"/>
      <c r="RVQ2999" s="125"/>
      <c r="RVR2999" s="470"/>
      <c r="RVS2999" s="449"/>
      <c r="RVT2999" s="462"/>
      <c r="RVU2999" s="299"/>
      <c r="RVV2999" s="81"/>
      <c r="RVW2999" s="160"/>
      <c r="RVX2999" s="565"/>
      <c r="RVY2999" s="125"/>
      <c r="RVZ2999" s="470"/>
      <c r="RWA2999" s="449"/>
      <c r="RWB2999" s="462"/>
      <c r="RWC2999" s="299"/>
      <c r="RWD2999" s="81"/>
      <c r="RWE2999" s="160"/>
      <c r="RWF2999" s="565"/>
      <c r="RWG2999" s="125"/>
      <c r="RWH2999" s="470"/>
      <c r="RWI2999" s="449"/>
      <c r="RWJ2999" s="462"/>
      <c r="RWK2999" s="299"/>
      <c r="RWL2999" s="81"/>
      <c r="RWM2999" s="160"/>
      <c r="RWN2999" s="565"/>
      <c r="RWO2999" s="125"/>
      <c r="RWP2999" s="470"/>
      <c r="RWQ2999" s="449"/>
      <c r="RWR2999" s="462"/>
      <c r="RWS2999" s="299"/>
      <c r="RWT2999" s="81"/>
      <c r="RWU2999" s="160"/>
      <c r="RWV2999" s="565"/>
      <c r="RWW2999" s="125"/>
      <c r="RWX2999" s="470"/>
      <c r="RWY2999" s="449"/>
      <c r="RWZ2999" s="462"/>
      <c r="RXA2999" s="299"/>
      <c r="RXB2999" s="81"/>
      <c r="RXC2999" s="160"/>
      <c r="RXD2999" s="565"/>
      <c r="RXE2999" s="125"/>
      <c r="RXF2999" s="470"/>
      <c r="RXG2999" s="449"/>
      <c r="RXH2999" s="462"/>
      <c r="RXI2999" s="299"/>
      <c r="RXJ2999" s="81"/>
      <c r="RXK2999" s="160"/>
      <c r="RXL2999" s="565"/>
      <c r="RXM2999" s="125"/>
      <c r="RXN2999" s="470"/>
      <c r="RXO2999" s="449"/>
      <c r="RXP2999" s="462"/>
      <c r="RXQ2999" s="299"/>
      <c r="RXR2999" s="81"/>
      <c r="RXS2999" s="160"/>
      <c r="RXT2999" s="565"/>
      <c r="RXU2999" s="125"/>
      <c r="RXV2999" s="470"/>
      <c r="RXW2999" s="449"/>
      <c r="RXX2999" s="462"/>
      <c r="RXY2999" s="299"/>
      <c r="RXZ2999" s="81"/>
      <c r="RYA2999" s="160"/>
      <c r="RYB2999" s="565"/>
      <c r="RYC2999" s="125"/>
      <c r="RYD2999" s="470"/>
      <c r="RYE2999" s="449"/>
      <c r="RYF2999" s="462"/>
      <c r="RYG2999" s="299"/>
      <c r="RYH2999" s="81"/>
      <c r="RYI2999" s="160"/>
      <c r="RYJ2999" s="565"/>
      <c r="RYK2999" s="125"/>
      <c r="RYL2999" s="470"/>
      <c r="RYM2999" s="449"/>
      <c r="RYN2999" s="462"/>
      <c r="RYO2999" s="299"/>
      <c r="RYP2999" s="81"/>
      <c r="RYQ2999" s="160"/>
      <c r="RYR2999" s="565"/>
      <c r="RYS2999" s="125"/>
      <c r="RYT2999" s="470"/>
      <c r="RYU2999" s="449"/>
      <c r="RYV2999" s="462"/>
      <c r="RYW2999" s="299"/>
      <c r="RYX2999" s="81"/>
      <c r="RYY2999" s="160"/>
      <c r="RYZ2999" s="565"/>
      <c r="RZA2999" s="125"/>
      <c r="RZB2999" s="470"/>
      <c r="RZC2999" s="449"/>
      <c r="RZD2999" s="462"/>
      <c r="RZE2999" s="299"/>
      <c r="RZF2999" s="81"/>
      <c r="RZG2999" s="160"/>
      <c r="RZH2999" s="565"/>
      <c r="RZI2999" s="125"/>
      <c r="RZJ2999" s="470"/>
      <c r="RZK2999" s="449"/>
      <c r="RZL2999" s="462"/>
      <c r="RZM2999" s="299"/>
      <c r="RZN2999" s="81"/>
      <c r="RZO2999" s="160"/>
      <c r="RZP2999" s="565"/>
      <c r="RZQ2999" s="125"/>
      <c r="RZR2999" s="470"/>
      <c r="RZS2999" s="449"/>
      <c r="RZT2999" s="462"/>
      <c r="RZU2999" s="299"/>
      <c r="RZV2999" s="81"/>
      <c r="RZW2999" s="160"/>
      <c r="RZX2999" s="565"/>
      <c r="RZY2999" s="125"/>
      <c r="RZZ2999" s="470"/>
      <c r="SAA2999" s="449"/>
      <c r="SAB2999" s="462"/>
      <c r="SAC2999" s="299"/>
      <c r="SAD2999" s="81"/>
      <c r="SAE2999" s="160"/>
      <c r="SAF2999" s="565"/>
      <c r="SAG2999" s="125"/>
      <c r="SAH2999" s="470"/>
      <c r="SAI2999" s="449"/>
      <c r="SAJ2999" s="462"/>
      <c r="SAK2999" s="299"/>
      <c r="SAL2999" s="81"/>
      <c r="SAM2999" s="160"/>
      <c r="SAN2999" s="565"/>
      <c r="SAO2999" s="125"/>
      <c r="SAP2999" s="470"/>
      <c r="SAQ2999" s="449"/>
      <c r="SAR2999" s="462"/>
      <c r="SAS2999" s="299"/>
      <c r="SAT2999" s="81"/>
      <c r="SAU2999" s="160"/>
      <c r="SAV2999" s="565"/>
      <c r="SAW2999" s="125"/>
      <c r="SAX2999" s="470"/>
      <c r="SAY2999" s="449"/>
      <c r="SAZ2999" s="462"/>
      <c r="SBA2999" s="299"/>
      <c r="SBB2999" s="81"/>
      <c r="SBC2999" s="160"/>
      <c r="SBD2999" s="565"/>
      <c r="SBE2999" s="125"/>
      <c r="SBF2999" s="470"/>
      <c r="SBG2999" s="449"/>
      <c r="SBH2999" s="462"/>
      <c r="SBI2999" s="299"/>
      <c r="SBJ2999" s="81"/>
      <c r="SBK2999" s="160"/>
      <c r="SBL2999" s="565"/>
      <c r="SBM2999" s="125"/>
      <c r="SBN2999" s="470"/>
      <c r="SBO2999" s="449"/>
      <c r="SBP2999" s="462"/>
      <c r="SBQ2999" s="299"/>
      <c r="SBR2999" s="81"/>
      <c r="SBS2999" s="160"/>
      <c r="SBT2999" s="565"/>
      <c r="SBU2999" s="125"/>
      <c r="SBV2999" s="470"/>
      <c r="SBW2999" s="449"/>
      <c r="SBX2999" s="462"/>
      <c r="SBY2999" s="299"/>
      <c r="SBZ2999" s="81"/>
      <c r="SCA2999" s="160"/>
      <c r="SCB2999" s="565"/>
      <c r="SCC2999" s="125"/>
      <c r="SCD2999" s="470"/>
      <c r="SCE2999" s="449"/>
      <c r="SCF2999" s="462"/>
      <c r="SCG2999" s="299"/>
      <c r="SCH2999" s="81"/>
      <c r="SCI2999" s="160"/>
      <c r="SCJ2999" s="565"/>
      <c r="SCK2999" s="125"/>
      <c r="SCL2999" s="470"/>
      <c r="SCM2999" s="449"/>
      <c r="SCN2999" s="462"/>
      <c r="SCO2999" s="299"/>
      <c r="SCP2999" s="81"/>
      <c r="SCQ2999" s="160"/>
      <c r="SCR2999" s="565"/>
      <c r="SCS2999" s="125"/>
      <c r="SCT2999" s="470"/>
      <c r="SCU2999" s="449"/>
      <c r="SCV2999" s="462"/>
      <c r="SCW2999" s="299"/>
      <c r="SCX2999" s="81"/>
      <c r="SCY2999" s="160"/>
      <c r="SCZ2999" s="565"/>
      <c r="SDA2999" s="125"/>
      <c r="SDB2999" s="470"/>
      <c r="SDC2999" s="449"/>
      <c r="SDD2999" s="462"/>
      <c r="SDE2999" s="299"/>
      <c r="SDF2999" s="81"/>
      <c r="SDG2999" s="160"/>
      <c r="SDH2999" s="565"/>
      <c r="SDI2999" s="125"/>
      <c r="SDJ2999" s="470"/>
      <c r="SDK2999" s="449"/>
      <c r="SDL2999" s="462"/>
      <c r="SDM2999" s="299"/>
      <c r="SDN2999" s="81"/>
      <c r="SDO2999" s="160"/>
      <c r="SDP2999" s="565"/>
      <c r="SDQ2999" s="125"/>
      <c r="SDR2999" s="470"/>
      <c r="SDS2999" s="449"/>
      <c r="SDT2999" s="462"/>
      <c r="SDU2999" s="299"/>
      <c r="SDV2999" s="81"/>
      <c r="SDW2999" s="160"/>
      <c r="SDX2999" s="565"/>
      <c r="SDY2999" s="125"/>
      <c r="SDZ2999" s="470"/>
      <c r="SEA2999" s="449"/>
      <c r="SEB2999" s="462"/>
      <c r="SEC2999" s="299"/>
      <c r="SED2999" s="81"/>
      <c r="SEE2999" s="160"/>
      <c r="SEF2999" s="565"/>
      <c r="SEG2999" s="125"/>
      <c r="SEH2999" s="470"/>
      <c r="SEI2999" s="449"/>
      <c r="SEJ2999" s="462"/>
      <c r="SEK2999" s="299"/>
      <c r="SEL2999" s="81"/>
      <c r="SEM2999" s="160"/>
      <c r="SEN2999" s="565"/>
      <c r="SEO2999" s="125"/>
      <c r="SEP2999" s="470"/>
      <c r="SEQ2999" s="449"/>
      <c r="SER2999" s="462"/>
      <c r="SES2999" s="299"/>
      <c r="SET2999" s="81"/>
      <c r="SEU2999" s="160"/>
      <c r="SEV2999" s="565"/>
      <c r="SEW2999" s="125"/>
      <c r="SEX2999" s="470"/>
      <c r="SEY2999" s="449"/>
      <c r="SEZ2999" s="462"/>
      <c r="SFA2999" s="299"/>
      <c r="SFB2999" s="81"/>
      <c r="SFC2999" s="160"/>
      <c r="SFD2999" s="565"/>
      <c r="SFE2999" s="125"/>
      <c r="SFF2999" s="470"/>
      <c r="SFG2999" s="449"/>
      <c r="SFH2999" s="462"/>
      <c r="SFI2999" s="299"/>
      <c r="SFJ2999" s="81"/>
      <c r="SFK2999" s="160"/>
      <c r="SFL2999" s="565"/>
      <c r="SFM2999" s="125"/>
      <c r="SFN2999" s="470"/>
      <c r="SFO2999" s="449"/>
      <c r="SFP2999" s="462"/>
      <c r="SFQ2999" s="299"/>
      <c r="SFR2999" s="81"/>
      <c r="SFS2999" s="160"/>
      <c r="SFT2999" s="565"/>
      <c r="SFU2999" s="125"/>
      <c r="SFV2999" s="470"/>
      <c r="SFW2999" s="449"/>
      <c r="SFX2999" s="462"/>
      <c r="SFY2999" s="299"/>
      <c r="SFZ2999" s="81"/>
      <c r="SGA2999" s="160"/>
      <c r="SGB2999" s="565"/>
      <c r="SGC2999" s="125"/>
      <c r="SGD2999" s="470"/>
      <c r="SGE2999" s="449"/>
      <c r="SGF2999" s="462"/>
      <c r="SGG2999" s="299"/>
      <c r="SGH2999" s="81"/>
      <c r="SGI2999" s="160"/>
      <c r="SGJ2999" s="565"/>
      <c r="SGK2999" s="125"/>
      <c r="SGL2999" s="470"/>
      <c r="SGM2999" s="449"/>
      <c r="SGN2999" s="462"/>
      <c r="SGO2999" s="299"/>
      <c r="SGP2999" s="81"/>
      <c r="SGQ2999" s="160"/>
      <c r="SGR2999" s="565"/>
      <c r="SGS2999" s="125"/>
      <c r="SGT2999" s="470"/>
      <c r="SGU2999" s="449"/>
      <c r="SGV2999" s="462"/>
      <c r="SGW2999" s="299"/>
      <c r="SGX2999" s="81"/>
      <c r="SGY2999" s="160"/>
      <c r="SGZ2999" s="565"/>
      <c r="SHA2999" s="125"/>
      <c r="SHB2999" s="470"/>
      <c r="SHC2999" s="449"/>
      <c r="SHD2999" s="462"/>
      <c r="SHE2999" s="299"/>
      <c r="SHF2999" s="81"/>
      <c r="SHG2999" s="160"/>
      <c r="SHH2999" s="565"/>
      <c r="SHI2999" s="125"/>
      <c r="SHJ2999" s="470"/>
      <c r="SHK2999" s="449"/>
      <c r="SHL2999" s="462"/>
      <c r="SHM2999" s="299"/>
      <c r="SHN2999" s="81"/>
      <c r="SHO2999" s="160"/>
      <c r="SHP2999" s="565"/>
      <c r="SHQ2999" s="125"/>
      <c r="SHR2999" s="470"/>
      <c r="SHS2999" s="449"/>
      <c r="SHT2999" s="462"/>
      <c r="SHU2999" s="299"/>
      <c r="SHV2999" s="81"/>
      <c r="SHW2999" s="160"/>
      <c r="SHX2999" s="565"/>
      <c r="SHY2999" s="125"/>
      <c r="SHZ2999" s="470"/>
      <c r="SIA2999" s="449"/>
      <c r="SIB2999" s="462"/>
      <c r="SIC2999" s="299"/>
      <c r="SID2999" s="81"/>
      <c r="SIE2999" s="160"/>
      <c r="SIF2999" s="565"/>
      <c r="SIG2999" s="125"/>
      <c r="SIH2999" s="470"/>
      <c r="SII2999" s="449"/>
      <c r="SIJ2999" s="462"/>
      <c r="SIK2999" s="299"/>
      <c r="SIL2999" s="81"/>
      <c r="SIM2999" s="160"/>
      <c r="SIN2999" s="565"/>
      <c r="SIO2999" s="125"/>
      <c r="SIP2999" s="470"/>
      <c r="SIQ2999" s="449"/>
      <c r="SIR2999" s="462"/>
      <c r="SIS2999" s="299"/>
      <c r="SIT2999" s="81"/>
      <c r="SIU2999" s="160"/>
      <c r="SIV2999" s="565"/>
      <c r="SIW2999" s="125"/>
      <c r="SIX2999" s="470"/>
      <c r="SIY2999" s="449"/>
      <c r="SIZ2999" s="462"/>
      <c r="SJA2999" s="299"/>
      <c r="SJB2999" s="81"/>
      <c r="SJC2999" s="160"/>
      <c r="SJD2999" s="565"/>
      <c r="SJE2999" s="125"/>
      <c r="SJF2999" s="470"/>
      <c r="SJG2999" s="449"/>
      <c r="SJH2999" s="462"/>
      <c r="SJI2999" s="299"/>
      <c r="SJJ2999" s="81"/>
      <c r="SJK2999" s="160"/>
      <c r="SJL2999" s="565"/>
      <c r="SJM2999" s="125"/>
      <c r="SJN2999" s="470"/>
      <c r="SJO2999" s="449"/>
      <c r="SJP2999" s="462"/>
      <c r="SJQ2999" s="299"/>
      <c r="SJR2999" s="81"/>
      <c r="SJS2999" s="160"/>
      <c r="SJT2999" s="565"/>
      <c r="SJU2999" s="125"/>
      <c r="SJV2999" s="470"/>
      <c r="SJW2999" s="449"/>
      <c r="SJX2999" s="462"/>
      <c r="SJY2999" s="299"/>
      <c r="SJZ2999" s="81"/>
      <c r="SKA2999" s="160"/>
      <c r="SKB2999" s="565"/>
      <c r="SKC2999" s="125"/>
      <c r="SKD2999" s="470"/>
      <c r="SKE2999" s="449"/>
      <c r="SKF2999" s="462"/>
      <c r="SKG2999" s="299"/>
      <c r="SKH2999" s="81"/>
      <c r="SKI2999" s="160"/>
      <c r="SKJ2999" s="565"/>
      <c r="SKK2999" s="125"/>
      <c r="SKL2999" s="470"/>
      <c r="SKM2999" s="449"/>
      <c r="SKN2999" s="462"/>
      <c r="SKO2999" s="299"/>
      <c r="SKP2999" s="81"/>
      <c r="SKQ2999" s="160"/>
      <c r="SKR2999" s="565"/>
      <c r="SKS2999" s="125"/>
      <c r="SKT2999" s="470"/>
      <c r="SKU2999" s="449"/>
      <c r="SKV2999" s="462"/>
      <c r="SKW2999" s="299"/>
      <c r="SKX2999" s="81"/>
      <c r="SKY2999" s="160"/>
      <c r="SKZ2999" s="565"/>
      <c r="SLA2999" s="125"/>
      <c r="SLB2999" s="470"/>
      <c r="SLC2999" s="449"/>
      <c r="SLD2999" s="462"/>
      <c r="SLE2999" s="299"/>
      <c r="SLF2999" s="81"/>
      <c r="SLG2999" s="160"/>
      <c r="SLH2999" s="565"/>
      <c r="SLI2999" s="125"/>
      <c r="SLJ2999" s="470"/>
      <c r="SLK2999" s="449"/>
      <c r="SLL2999" s="462"/>
      <c r="SLM2999" s="299"/>
      <c r="SLN2999" s="81"/>
      <c r="SLO2999" s="160"/>
      <c r="SLP2999" s="565"/>
      <c r="SLQ2999" s="125"/>
      <c r="SLR2999" s="470"/>
      <c r="SLS2999" s="449"/>
      <c r="SLT2999" s="462"/>
      <c r="SLU2999" s="299"/>
      <c r="SLV2999" s="81"/>
      <c r="SLW2999" s="160"/>
      <c r="SLX2999" s="565"/>
      <c r="SLY2999" s="125"/>
      <c r="SLZ2999" s="470"/>
      <c r="SMA2999" s="449"/>
      <c r="SMB2999" s="462"/>
      <c r="SMC2999" s="299"/>
      <c r="SMD2999" s="81"/>
      <c r="SME2999" s="160"/>
      <c r="SMF2999" s="565"/>
      <c r="SMG2999" s="125"/>
      <c r="SMH2999" s="470"/>
      <c r="SMI2999" s="449"/>
      <c r="SMJ2999" s="462"/>
      <c r="SMK2999" s="299"/>
      <c r="SML2999" s="81"/>
      <c r="SMM2999" s="160"/>
      <c r="SMN2999" s="565"/>
      <c r="SMO2999" s="125"/>
      <c r="SMP2999" s="470"/>
      <c r="SMQ2999" s="449"/>
      <c r="SMR2999" s="462"/>
      <c r="SMS2999" s="299"/>
      <c r="SMT2999" s="81"/>
      <c r="SMU2999" s="160"/>
      <c r="SMV2999" s="565"/>
      <c r="SMW2999" s="125"/>
      <c r="SMX2999" s="470"/>
      <c r="SMY2999" s="449"/>
      <c r="SMZ2999" s="462"/>
      <c r="SNA2999" s="299"/>
      <c r="SNB2999" s="81"/>
      <c r="SNC2999" s="160"/>
      <c r="SND2999" s="565"/>
      <c r="SNE2999" s="125"/>
      <c r="SNF2999" s="470"/>
      <c r="SNG2999" s="449"/>
      <c r="SNH2999" s="462"/>
      <c r="SNI2999" s="299"/>
      <c r="SNJ2999" s="81"/>
      <c r="SNK2999" s="160"/>
      <c r="SNL2999" s="565"/>
      <c r="SNM2999" s="125"/>
      <c r="SNN2999" s="470"/>
      <c r="SNO2999" s="449"/>
      <c r="SNP2999" s="462"/>
      <c r="SNQ2999" s="299"/>
      <c r="SNR2999" s="81"/>
      <c r="SNS2999" s="160"/>
      <c r="SNT2999" s="565"/>
      <c r="SNU2999" s="125"/>
      <c r="SNV2999" s="470"/>
      <c r="SNW2999" s="449"/>
      <c r="SNX2999" s="462"/>
      <c r="SNY2999" s="299"/>
      <c r="SNZ2999" s="81"/>
      <c r="SOA2999" s="160"/>
      <c r="SOB2999" s="565"/>
      <c r="SOC2999" s="125"/>
      <c r="SOD2999" s="470"/>
      <c r="SOE2999" s="449"/>
      <c r="SOF2999" s="462"/>
      <c r="SOG2999" s="299"/>
      <c r="SOH2999" s="81"/>
      <c r="SOI2999" s="160"/>
      <c r="SOJ2999" s="565"/>
      <c r="SOK2999" s="125"/>
      <c r="SOL2999" s="470"/>
      <c r="SOM2999" s="449"/>
      <c r="SON2999" s="462"/>
      <c r="SOO2999" s="299"/>
      <c r="SOP2999" s="81"/>
      <c r="SOQ2999" s="160"/>
      <c r="SOR2999" s="565"/>
      <c r="SOS2999" s="125"/>
      <c r="SOT2999" s="470"/>
      <c r="SOU2999" s="449"/>
      <c r="SOV2999" s="462"/>
      <c r="SOW2999" s="299"/>
      <c r="SOX2999" s="81"/>
      <c r="SOY2999" s="160"/>
      <c r="SOZ2999" s="565"/>
      <c r="SPA2999" s="125"/>
      <c r="SPB2999" s="470"/>
      <c r="SPC2999" s="449"/>
      <c r="SPD2999" s="462"/>
      <c r="SPE2999" s="299"/>
      <c r="SPF2999" s="81"/>
      <c r="SPG2999" s="160"/>
      <c r="SPH2999" s="565"/>
      <c r="SPI2999" s="125"/>
      <c r="SPJ2999" s="470"/>
      <c r="SPK2999" s="449"/>
      <c r="SPL2999" s="462"/>
      <c r="SPM2999" s="299"/>
      <c r="SPN2999" s="81"/>
      <c r="SPO2999" s="160"/>
      <c r="SPP2999" s="565"/>
      <c r="SPQ2999" s="125"/>
      <c r="SPR2999" s="470"/>
      <c r="SPS2999" s="449"/>
      <c r="SPT2999" s="462"/>
      <c r="SPU2999" s="299"/>
      <c r="SPV2999" s="81"/>
      <c r="SPW2999" s="160"/>
      <c r="SPX2999" s="565"/>
      <c r="SPY2999" s="125"/>
      <c r="SPZ2999" s="470"/>
      <c r="SQA2999" s="449"/>
      <c r="SQB2999" s="462"/>
      <c r="SQC2999" s="299"/>
      <c r="SQD2999" s="81"/>
      <c r="SQE2999" s="160"/>
      <c r="SQF2999" s="565"/>
      <c r="SQG2999" s="125"/>
      <c r="SQH2999" s="470"/>
      <c r="SQI2999" s="449"/>
      <c r="SQJ2999" s="462"/>
      <c r="SQK2999" s="299"/>
      <c r="SQL2999" s="81"/>
      <c r="SQM2999" s="160"/>
      <c r="SQN2999" s="565"/>
      <c r="SQO2999" s="125"/>
      <c r="SQP2999" s="470"/>
      <c r="SQQ2999" s="449"/>
      <c r="SQR2999" s="462"/>
      <c r="SQS2999" s="299"/>
      <c r="SQT2999" s="81"/>
      <c r="SQU2999" s="160"/>
      <c r="SQV2999" s="565"/>
      <c r="SQW2999" s="125"/>
      <c r="SQX2999" s="470"/>
      <c r="SQY2999" s="449"/>
      <c r="SQZ2999" s="462"/>
      <c r="SRA2999" s="299"/>
      <c r="SRB2999" s="81"/>
      <c r="SRC2999" s="160"/>
      <c r="SRD2999" s="565"/>
      <c r="SRE2999" s="125"/>
      <c r="SRF2999" s="470"/>
      <c r="SRG2999" s="449"/>
      <c r="SRH2999" s="462"/>
      <c r="SRI2999" s="299"/>
      <c r="SRJ2999" s="81"/>
      <c r="SRK2999" s="160"/>
      <c r="SRL2999" s="565"/>
      <c r="SRM2999" s="125"/>
      <c r="SRN2999" s="470"/>
      <c r="SRO2999" s="449"/>
      <c r="SRP2999" s="462"/>
      <c r="SRQ2999" s="299"/>
      <c r="SRR2999" s="81"/>
      <c r="SRS2999" s="160"/>
      <c r="SRT2999" s="565"/>
      <c r="SRU2999" s="125"/>
      <c r="SRV2999" s="470"/>
      <c r="SRW2999" s="449"/>
      <c r="SRX2999" s="462"/>
      <c r="SRY2999" s="299"/>
      <c r="SRZ2999" s="81"/>
      <c r="SSA2999" s="160"/>
      <c r="SSB2999" s="565"/>
      <c r="SSC2999" s="125"/>
      <c r="SSD2999" s="470"/>
      <c r="SSE2999" s="449"/>
      <c r="SSF2999" s="462"/>
      <c r="SSG2999" s="299"/>
      <c r="SSH2999" s="81"/>
      <c r="SSI2999" s="160"/>
      <c r="SSJ2999" s="565"/>
      <c r="SSK2999" s="125"/>
      <c r="SSL2999" s="470"/>
      <c r="SSM2999" s="449"/>
      <c r="SSN2999" s="462"/>
      <c r="SSO2999" s="299"/>
      <c r="SSP2999" s="81"/>
      <c r="SSQ2999" s="160"/>
      <c r="SSR2999" s="565"/>
      <c r="SSS2999" s="125"/>
      <c r="SST2999" s="470"/>
      <c r="SSU2999" s="449"/>
      <c r="SSV2999" s="462"/>
      <c r="SSW2999" s="299"/>
      <c r="SSX2999" s="81"/>
      <c r="SSY2999" s="160"/>
      <c r="SSZ2999" s="565"/>
      <c r="STA2999" s="125"/>
      <c r="STB2999" s="470"/>
      <c r="STC2999" s="449"/>
      <c r="STD2999" s="462"/>
      <c r="STE2999" s="299"/>
      <c r="STF2999" s="81"/>
      <c r="STG2999" s="160"/>
      <c r="STH2999" s="565"/>
      <c r="STI2999" s="125"/>
      <c r="STJ2999" s="470"/>
      <c r="STK2999" s="449"/>
      <c r="STL2999" s="462"/>
      <c r="STM2999" s="299"/>
      <c r="STN2999" s="81"/>
      <c r="STO2999" s="160"/>
      <c r="STP2999" s="565"/>
      <c r="STQ2999" s="125"/>
      <c r="STR2999" s="470"/>
      <c r="STS2999" s="449"/>
      <c r="STT2999" s="462"/>
      <c r="STU2999" s="299"/>
      <c r="STV2999" s="81"/>
      <c r="STW2999" s="160"/>
      <c r="STX2999" s="565"/>
      <c r="STY2999" s="125"/>
      <c r="STZ2999" s="470"/>
      <c r="SUA2999" s="449"/>
      <c r="SUB2999" s="462"/>
      <c r="SUC2999" s="299"/>
      <c r="SUD2999" s="81"/>
      <c r="SUE2999" s="160"/>
      <c r="SUF2999" s="565"/>
      <c r="SUG2999" s="125"/>
      <c r="SUH2999" s="470"/>
      <c r="SUI2999" s="449"/>
      <c r="SUJ2999" s="462"/>
      <c r="SUK2999" s="299"/>
      <c r="SUL2999" s="81"/>
      <c r="SUM2999" s="160"/>
      <c r="SUN2999" s="565"/>
      <c r="SUO2999" s="125"/>
      <c r="SUP2999" s="470"/>
      <c r="SUQ2999" s="449"/>
      <c r="SUR2999" s="462"/>
      <c r="SUS2999" s="299"/>
      <c r="SUT2999" s="81"/>
      <c r="SUU2999" s="160"/>
      <c r="SUV2999" s="565"/>
      <c r="SUW2999" s="125"/>
      <c r="SUX2999" s="470"/>
      <c r="SUY2999" s="449"/>
      <c r="SUZ2999" s="462"/>
      <c r="SVA2999" s="299"/>
      <c r="SVB2999" s="81"/>
      <c r="SVC2999" s="160"/>
      <c r="SVD2999" s="565"/>
      <c r="SVE2999" s="125"/>
      <c r="SVF2999" s="470"/>
      <c r="SVG2999" s="449"/>
      <c r="SVH2999" s="462"/>
      <c r="SVI2999" s="299"/>
      <c r="SVJ2999" s="81"/>
      <c r="SVK2999" s="160"/>
      <c r="SVL2999" s="565"/>
      <c r="SVM2999" s="125"/>
      <c r="SVN2999" s="470"/>
      <c r="SVO2999" s="449"/>
      <c r="SVP2999" s="462"/>
      <c r="SVQ2999" s="299"/>
      <c r="SVR2999" s="81"/>
      <c r="SVS2999" s="160"/>
      <c r="SVT2999" s="565"/>
      <c r="SVU2999" s="125"/>
      <c r="SVV2999" s="470"/>
      <c r="SVW2999" s="449"/>
      <c r="SVX2999" s="462"/>
      <c r="SVY2999" s="299"/>
      <c r="SVZ2999" s="81"/>
      <c r="SWA2999" s="160"/>
      <c r="SWB2999" s="565"/>
      <c r="SWC2999" s="125"/>
      <c r="SWD2999" s="470"/>
      <c r="SWE2999" s="449"/>
      <c r="SWF2999" s="462"/>
      <c r="SWG2999" s="299"/>
      <c r="SWH2999" s="81"/>
      <c r="SWI2999" s="160"/>
      <c r="SWJ2999" s="565"/>
      <c r="SWK2999" s="125"/>
      <c r="SWL2999" s="470"/>
      <c r="SWM2999" s="449"/>
      <c r="SWN2999" s="462"/>
      <c r="SWO2999" s="299"/>
      <c r="SWP2999" s="81"/>
      <c r="SWQ2999" s="160"/>
      <c r="SWR2999" s="565"/>
      <c r="SWS2999" s="125"/>
      <c r="SWT2999" s="470"/>
      <c r="SWU2999" s="449"/>
      <c r="SWV2999" s="462"/>
      <c r="SWW2999" s="299"/>
      <c r="SWX2999" s="81"/>
      <c r="SWY2999" s="160"/>
      <c r="SWZ2999" s="565"/>
      <c r="SXA2999" s="125"/>
      <c r="SXB2999" s="470"/>
      <c r="SXC2999" s="449"/>
      <c r="SXD2999" s="462"/>
      <c r="SXE2999" s="299"/>
      <c r="SXF2999" s="81"/>
      <c r="SXG2999" s="160"/>
      <c r="SXH2999" s="565"/>
      <c r="SXI2999" s="125"/>
      <c r="SXJ2999" s="470"/>
      <c r="SXK2999" s="449"/>
      <c r="SXL2999" s="462"/>
      <c r="SXM2999" s="299"/>
      <c r="SXN2999" s="81"/>
      <c r="SXO2999" s="160"/>
      <c r="SXP2999" s="565"/>
      <c r="SXQ2999" s="125"/>
      <c r="SXR2999" s="470"/>
      <c r="SXS2999" s="449"/>
      <c r="SXT2999" s="462"/>
      <c r="SXU2999" s="299"/>
      <c r="SXV2999" s="81"/>
      <c r="SXW2999" s="160"/>
      <c r="SXX2999" s="565"/>
      <c r="SXY2999" s="125"/>
      <c r="SXZ2999" s="470"/>
      <c r="SYA2999" s="449"/>
      <c r="SYB2999" s="462"/>
      <c r="SYC2999" s="299"/>
      <c r="SYD2999" s="81"/>
      <c r="SYE2999" s="160"/>
      <c r="SYF2999" s="565"/>
      <c r="SYG2999" s="125"/>
      <c r="SYH2999" s="470"/>
      <c r="SYI2999" s="449"/>
      <c r="SYJ2999" s="462"/>
      <c r="SYK2999" s="299"/>
      <c r="SYL2999" s="81"/>
      <c r="SYM2999" s="160"/>
      <c r="SYN2999" s="565"/>
      <c r="SYO2999" s="125"/>
      <c r="SYP2999" s="470"/>
      <c r="SYQ2999" s="449"/>
      <c r="SYR2999" s="462"/>
      <c r="SYS2999" s="299"/>
      <c r="SYT2999" s="81"/>
      <c r="SYU2999" s="160"/>
      <c r="SYV2999" s="565"/>
      <c r="SYW2999" s="125"/>
      <c r="SYX2999" s="470"/>
      <c r="SYY2999" s="449"/>
      <c r="SYZ2999" s="462"/>
      <c r="SZA2999" s="299"/>
      <c r="SZB2999" s="81"/>
      <c r="SZC2999" s="160"/>
      <c r="SZD2999" s="565"/>
      <c r="SZE2999" s="125"/>
      <c r="SZF2999" s="470"/>
      <c r="SZG2999" s="449"/>
      <c r="SZH2999" s="462"/>
      <c r="SZI2999" s="299"/>
      <c r="SZJ2999" s="81"/>
      <c r="SZK2999" s="160"/>
      <c r="SZL2999" s="565"/>
      <c r="SZM2999" s="125"/>
      <c r="SZN2999" s="470"/>
      <c r="SZO2999" s="449"/>
      <c r="SZP2999" s="462"/>
      <c r="SZQ2999" s="299"/>
      <c r="SZR2999" s="81"/>
      <c r="SZS2999" s="160"/>
      <c r="SZT2999" s="565"/>
      <c r="SZU2999" s="125"/>
      <c r="SZV2999" s="470"/>
      <c r="SZW2999" s="449"/>
      <c r="SZX2999" s="462"/>
      <c r="SZY2999" s="299"/>
      <c r="SZZ2999" s="81"/>
      <c r="TAA2999" s="160"/>
      <c r="TAB2999" s="565"/>
      <c r="TAC2999" s="125"/>
      <c r="TAD2999" s="470"/>
      <c r="TAE2999" s="449"/>
      <c r="TAF2999" s="462"/>
      <c r="TAG2999" s="299"/>
      <c r="TAH2999" s="81"/>
      <c r="TAI2999" s="160"/>
      <c r="TAJ2999" s="565"/>
      <c r="TAK2999" s="125"/>
      <c r="TAL2999" s="470"/>
      <c r="TAM2999" s="449"/>
      <c r="TAN2999" s="462"/>
      <c r="TAO2999" s="299"/>
      <c r="TAP2999" s="81"/>
      <c r="TAQ2999" s="160"/>
      <c r="TAR2999" s="565"/>
      <c r="TAS2999" s="125"/>
      <c r="TAT2999" s="470"/>
      <c r="TAU2999" s="449"/>
      <c r="TAV2999" s="462"/>
      <c r="TAW2999" s="299"/>
      <c r="TAX2999" s="81"/>
      <c r="TAY2999" s="160"/>
      <c r="TAZ2999" s="565"/>
      <c r="TBA2999" s="125"/>
      <c r="TBB2999" s="470"/>
      <c r="TBC2999" s="449"/>
      <c r="TBD2999" s="462"/>
      <c r="TBE2999" s="299"/>
      <c r="TBF2999" s="81"/>
      <c r="TBG2999" s="160"/>
      <c r="TBH2999" s="565"/>
      <c r="TBI2999" s="125"/>
      <c r="TBJ2999" s="470"/>
      <c r="TBK2999" s="449"/>
      <c r="TBL2999" s="462"/>
      <c r="TBM2999" s="299"/>
      <c r="TBN2999" s="81"/>
      <c r="TBO2999" s="160"/>
      <c r="TBP2999" s="565"/>
      <c r="TBQ2999" s="125"/>
      <c r="TBR2999" s="470"/>
      <c r="TBS2999" s="449"/>
      <c r="TBT2999" s="462"/>
      <c r="TBU2999" s="299"/>
      <c r="TBV2999" s="81"/>
      <c r="TBW2999" s="160"/>
      <c r="TBX2999" s="565"/>
      <c r="TBY2999" s="125"/>
      <c r="TBZ2999" s="470"/>
      <c r="TCA2999" s="449"/>
      <c r="TCB2999" s="462"/>
      <c r="TCC2999" s="299"/>
      <c r="TCD2999" s="81"/>
      <c r="TCE2999" s="160"/>
      <c r="TCF2999" s="565"/>
      <c r="TCG2999" s="125"/>
      <c r="TCH2999" s="470"/>
      <c r="TCI2999" s="449"/>
      <c r="TCJ2999" s="462"/>
      <c r="TCK2999" s="299"/>
      <c r="TCL2999" s="81"/>
      <c r="TCM2999" s="160"/>
      <c r="TCN2999" s="565"/>
      <c r="TCO2999" s="125"/>
      <c r="TCP2999" s="470"/>
      <c r="TCQ2999" s="449"/>
      <c r="TCR2999" s="462"/>
      <c r="TCS2999" s="299"/>
      <c r="TCT2999" s="81"/>
      <c r="TCU2999" s="160"/>
      <c r="TCV2999" s="565"/>
      <c r="TCW2999" s="125"/>
      <c r="TCX2999" s="470"/>
      <c r="TCY2999" s="449"/>
      <c r="TCZ2999" s="462"/>
      <c r="TDA2999" s="299"/>
      <c r="TDB2999" s="81"/>
      <c r="TDC2999" s="160"/>
      <c r="TDD2999" s="565"/>
      <c r="TDE2999" s="125"/>
      <c r="TDF2999" s="470"/>
      <c r="TDG2999" s="449"/>
      <c r="TDH2999" s="462"/>
      <c r="TDI2999" s="299"/>
      <c r="TDJ2999" s="81"/>
      <c r="TDK2999" s="160"/>
      <c r="TDL2999" s="565"/>
      <c r="TDM2999" s="125"/>
      <c r="TDN2999" s="470"/>
      <c r="TDO2999" s="449"/>
      <c r="TDP2999" s="462"/>
      <c r="TDQ2999" s="299"/>
      <c r="TDR2999" s="81"/>
      <c r="TDS2999" s="160"/>
      <c r="TDT2999" s="565"/>
      <c r="TDU2999" s="125"/>
      <c r="TDV2999" s="470"/>
      <c r="TDW2999" s="449"/>
      <c r="TDX2999" s="462"/>
      <c r="TDY2999" s="299"/>
      <c r="TDZ2999" s="81"/>
      <c r="TEA2999" s="160"/>
      <c r="TEB2999" s="565"/>
      <c r="TEC2999" s="125"/>
      <c r="TED2999" s="470"/>
      <c r="TEE2999" s="449"/>
      <c r="TEF2999" s="462"/>
      <c r="TEG2999" s="299"/>
      <c r="TEH2999" s="81"/>
      <c r="TEI2999" s="160"/>
      <c r="TEJ2999" s="565"/>
      <c r="TEK2999" s="125"/>
      <c r="TEL2999" s="470"/>
      <c r="TEM2999" s="449"/>
      <c r="TEN2999" s="462"/>
      <c r="TEO2999" s="299"/>
      <c r="TEP2999" s="81"/>
      <c r="TEQ2999" s="160"/>
      <c r="TER2999" s="565"/>
      <c r="TES2999" s="125"/>
      <c r="TET2999" s="470"/>
      <c r="TEU2999" s="449"/>
      <c r="TEV2999" s="462"/>
      <c r="TEW2999" s="299"/>
      <c r="TEX2999" s="81"/>
      <c r="TEY2999" s="160"/>
      <c r="TEZ2999" s="565"/>
      <c r="TFA2999" s="125"/>
      <c r="TFB2999" s="470"/>
      <c r="TFC2999" s="449"/>
      <c r="TFD2999" s="462"/>
      <c r="TFE2999" s="299"/>
      <c r="TFF2999" s="81"/>
      <c r="TFG2999" s="160"/>
      <c r="TFH2999" s="565"/>
      <c r="TFI2999" s="125"/>
      <c r="TFJ2999" s="470"/>
      <c r="TFK2999" s="449"/>
      <c r="TFL2999" s="462"/>
      <c r="TFM2999" s="299"/>
      <c r="TFN2999" s="81"/>
      <c r="TFO2999" s="160"/>
      <c r="TFP2999" s="565"/>
      <c r="TFQ2999" s="125"/>
      <c r="TFR2999" s="470"/>
      <c r="TFS2999" s="449"/>
      <c r="TFT2999" s="462"/>
      <c r="TFU2999" s="299"/>
      <c r="TFV2999" s="81"/>
      <c r="TFW2999" s="160"/>
      <c r="TFX2999" s="565"/>
      <c r="TFY2999" s="125"/>
      <c r="TFZ2999" s="470"/>
      <c r="TGA2999" s="449"/>
      <c r="TGB2999" s="462"/>
      <c r="TGC2999" s="299"/>
      <c r="TGD2999" s="81"/>
      <c r="TGE2999" s="160"/>
      <c r="TGF2999" s="565"/>
      <c r="TGG2999" s="125"/>
      <c r="TGH2999" s="470"/>
      <c r="TGI2999" s="449"/>
      <c r="TGJ2999" s="462"/>
      <c r="TGK2999" s="299"/>
      <c r="TGL2999" s="81"/>
      <c r="TGM2999" s="160"/>
      <c r="TGN2999" s="565"/>
      <c r="TGO2999" s="125"/>
      <c r="TGP2999" s="470"/>
      <c r="TGQ2999" s="449"/>
      <c r="TGR2999" s="462"/>
      <c r="TGS2999" s="299"/>
      <c r="TGT2999" s="81"/>
      <c r="TGU2999" s="160"/>
      <c r="TGV2999" s="565"/>
      <c r="TGW2999" s="125"/>
      <c r="TGX2999" s="470"/>
      <c r="TGY2999" s="449"/>
      <c r="TGZ2999" s="462"/>
      <c r="THA2999" s="299"/>
      <c r="THB2999" s="81"/>
      <c r="THC2999" s="160"/>
      <c r="THD2999" s="565"/>
      <c r="THE2999" s="125"/>
      <c r="THF2999" s="470"/>
      <c r="THG2999" s="449"/>
      <c r="THH2999" s="462"/>
      <c r="THI2999" s="299"/>
      <c r="THJ2999" s="81"/>
      <c r="THK2999" s="160"/>
      <c r="THL2999" s="565"/>
      <c r="THM2999" s="125"/>
      <c r="THN2999" s="470"/>
      <c r="THO2999" s="449"/>
      <c r="THP2999" s="462"/>
      <c r="THQ2999" s="299"/>
      <c r="THR2999" s="81"/>
      <c r="THS2999" s="160"/>
      <c r="THT2999" s="565"/>
      <c r="THU2999" s="125"/>
      <c r="THV2999" s="470"/>
      <c r="THW2999" s="449"/>
      <c r="THX2999" s="462"/>
      <c r="THY2999" s="299"/>
      <c r="THZ2999" s="81"/>
      <c r="TIA2999" s="160"/>
      <c r="TIB2999" s="565"/>
      <c r="TIC2999" s="125"/>
      <c r="TID2999" s="470"/>
      <c r="TIE2999" s="449"/>
      <c r="TIF2999" s="462"/>
      <c r="TIG2999" s="299"/>
      <c r="TIH2999" s="81"/>
      <c r="TII2999" s="160"/>
      <c r="TIJ2999" s="565"/>
      <c r="TIK2999" s="125"/>
      <c r="TIL2999" s="470"/>
      <c r="TIM2999" s="449"/>
      <c r="TIN2999" s="462"/>
      <c r="TIO2999" s="299"/>
      <c r="TIP2999" s="81"/>
      <c r="TIQ2999" s="160"/>
      <c r="TIR2999" s="565"/>
      <c r="TIS2999" s="125"/>
      <c r="TIT2999" s="470"/>
      <c r="TIU2999" s="449"/>
      <c r="TIV2999" s="462"/>
      <c r="TIW2999" s="299"/>
      <c r="TIX2999" s="81"/>
      <c r="TIY2999" s="160"/>
      <c r="TIZ2999" s="565"/>
      <c r="TJA2999" s="125"/>
      <c r="TJB2999" s="470"/>
      <c r="TJC2999" s="449"/>
      <c r="TJD2999" s="462"/>
      <c r="TJE2999" s="299"/>
      <c r="TJF2999" s="81"/>
      <c r="TJG2999" s="160"/>
      <c r="TJH2999" s="565"/>
      <c r="TJI2999" s="125"/>
      <c r="TJJ2999" s="470"/>
      <c r="TJK2999" s="449"/>
      <c r="TJL2999" s="462"/>
      <c r="TJM2999" s="299"/>
      <c r="TJN2999" s="81"/>
      <c r="TJO2999" s="160"/>
      <c r="TJP2999" s="565"/>
      <c r="TJQ2999" s="125"/>
      <c r="TJR2999" s="470"/>
      <c r="TJS2999" s="449"/>
      <c r="TJT2999" s="462"/>
      <c r="TJU2999" s="299"/>
      <c r="TJV2999" s="81"/>
      <c r="TJW2999" s="160"/>
      <c r="TJX2999" s="565"/>
      <c r="TJY2999" s="125"/>
      <c r="TJZ2999" s="470"/>
      <c r="TKA2999" s="449"/>
      <c r="TKB2999" s="462"/>
      <c r="TKC2999" s="299"/>
      <c r="TKD2999" s="81"/>
      <c r="TKE2999" s="160"/>
      <c r="TKF2999" s="565"/>
      <c r="TKG2999" s="125"/>
      <c r="TKH2999" s="470"/>
      <c r="TKI2999" s="449"/>
      <c r="TKJ2999" s="462"/>
      <c r="TKK2999" s="299"/>
      <c r="TKL2999" s="81"/>
      <c r="TKM2999" s="160"/>
      <c r="TKN2999" s="565"/>
      <c r="TKO2999" s="125"/>
      <c r="TKP2999" s="470"/>
      <c r="TKQ2999" s="449"/>
      <c r="TKR2999" s="462"/>
      <c r="TKS2999" s="299"/>
      <c r="TKT2999" s="81"/>
      <c r="TKU2999" s="160"/>
      <c r="TKV2999" s="565"/>
      <c r="TKW2999" s="125"/>
      <c r="TKX2999" s="470"/>
      <c r="TKY2999" s="449"/>
      <c r="TKZ2999" s="462"/>
      <c r="TLA2999" s="299"/>
      <c r="TLB2999" s="81"/>
      <c r="TLC2999" s="160"/>
      <c r="TLD2999" s="565"/>
      <c r="TLE2999" s="125"/>
      <c r="TLF2999" s="470"/>
      <c r="TLG2999" s="449"/>
      <c r="TLH2999" s="462"/>
      <c r="TLI2999" s="299"/>
      <c r="TLJ2999" s="81"/>
      <c r="TLK2999" s="160"/>
      <c r="TLL2999" s="565"/>
      <c r="TLM2999" s="125"/>
      <c r="TLN2999" s="470"/>
      <c r="TLO2999" s="449"/>
      <c r="TLP2999" s="462"/>
      <c r="TLQ2999" s="299"/>
      <c r="TLR2999" s="81"/>
      <c r="TLS2999" s="160"/>
      <c r="TLT2999" s="565"/>
      <c r="TLU2999" s="125"/>
      <c r="TLV2999" s="470"/>
      <c r="TLW2999" s="449"/>
      <c r="TLX2999" s="462"/>
      <c r="TLY2999" s="299"/>
      <c r="TLZ2999" s="81"/>
      <c r="TMA2999" s="160"/>
      <c r="TMB2999" s="565"/>
      <c r="TMC2999" s="125"/>
      <c r="TMD2999" s="470"/>
      <c r="TME2999" s="449"/>
      <c r="TMF2999" s="462"/>
      <c r="TMG2999" s="299"/>
      <c r="TMH2999" s="81"/>
      <c r="TMI2999" s="160"/>
      <c r="TMJ2999" s="565"/>
      <c r="TMK2999" s="125"/>
      <c r="TML2999" s="470"/>
      <c r="TMM2999" s="449"/>
      <c r="TMN2999" s="462"/>
      <c r="TMO2999" s="299"/>
      <c r="TMP2999" s="81"/>
      <c r="TMQ2999" s="160"/>
      <c r="TMR2999" s="565"/>
      <c r="TMS2999" s="125"/>
      <c r="TMT2999" s="470"/>
      <c r="TMU2999" s="449"/>
      <c r="TMV2999" s="462"/>
      <c r="TMW2999" s="299"/>
      <c r="TMX2999" s="81"/>
      <c r="TMY2999" s="160"/>
      <c r="TMZ2999" s="565"/>
      <c r="TNA2999" s="125"/>
      <c r="TNB2999" s="470"/>
      <c r="TNC2999" s="449"/>
      <c r="TND2999" s="462"/>
      <c r="TNE2999" s="299"/>
      <c r="TNF2999" s="81"/>
      <c r="TNG2999" s="160"/>
      <c r="TNH2999" s="565"/>
      <c r="TNI2999" s="125"/>
      <c r="TNJ2999" s="470"/>
      <c r="TNK2999" s="449"/>
      <c r="TNL2999" s="462"/>
      <c r="TNM2999" s="299"/>
      <c r="TNN2999" s="81"/>
      <c r="TNO2999" s="160"/>
      <c r="TNP2999" s="565"/>
      <c r="TNQ2999" s="125"/>
      <c r="TNR2999" s="470"/>
      <c r="TNS2999" s="449"/>
      <c r="TNT2999" s="462"/>
      <c r="TNU2999" s="299"/>
      <c r="TNV2999" s="81"/>
      <c r="TNW2999" s="160"/>
      <c r="TNX2999" s="565"/>
      <c r="TNY2999" s="125"/>
      <c r="TNZ2999" s="470"/>
      <c r="TOA2999" s="449"/>
      <c r="TOB2999" s="462"/>
      <c r="TOC2999" s="299"/>
      <c r="TOD2999" s="81"/>
      <c r="TOE2999" s="160"/>
      <c r="TOF2999" s="565"/>
      <c r="TOG2999" s="125"/>
      <c r="TOH2999" s="470"/>
      <c r="TOI2999" s="449"/>
      <c r="TOJ2999" s="462"/>
      <c r="TOK2999" s="299"/>
      <c r="TOL2999" s="81"/>
      <c r="TOM2999" s="160"/>
      <c r="TON2999" s="565"/>
      <c r="TOO2999" s="125"/>
      <c r="TOP2999" s="470"/>
      <c r="TOQ2999" s="449"/>
      <c r="TOR2999" s="462"/>
      <c r="TOS2999" s="299"/>
      <c r="TOT2999" s="81"/>
      <c r="TOU2999" s="160"/>
      <c r="TOV2999" s="565"/>
      <c r="TOW2999" s="125"/>
      <c r="TOX2999" s="470"/>
      <c r="TOY2999" s="449"/>
      <c r="TOZ2999" s="462"/>
      <c r="TPA2999" s="299"/>
      <c r="TPB2999" s="81"/>
      <c r="TPC2999" s="160"/>
      <c r="TPD2999" s="565"/>
      <c r="TPE2999" s="125"/>
      <c r="TPF2999" s="470"/>
      <c r="TPG2999" s="449"/>
      <c r="TPH2999" s="462"/>
      <c r="TPI2999" s="299"/>
      <c r="TPJ2999" s="81"/>
      <c r="TPK2999" s="160"/>
      <c r="TPL2999" s="565"/>
      <c r="TPM2999" s="125"/>
      <c r="TPN2999" s="470"/>
      <c r="TPO2999" s="449"/>
      <c r="TPP2999" s="462"/>
      <c r="TPQ2999" s="299"/>
      <c r="TPR2999" s="81"/>
      <c r="TPS2999" s="160"/>
      <c r="TPT2999" s="565"/>
      <c r="TPU2999" s="125"/>
      <c r="TPV2999" s="470"/>
      <c r="TPW2999" s="449"/>
      <c r="TPX2999" s="462"/>
      <c r="TPY2999" s="299"/>
      <c r="TPZ2999" s="81"/>
      <c r="TQA2999" s="160"/>
      <c r="TQB2999" s="565"/>
      <c r="TQC2999" s="125"/>
      <c r="TQD2999" s="470"/>
      <c r="TQE2999" s="449"/>
      <c r="TQF2999" s="462"/>
      <c r="TQG2999" s="299"/>
      <c r="TQH2999" s="81"/>
      <c r="TQI2999" s="160"/>
      <c r="TQJ2999" s="565"/>
      <c r="TQK2999" s="125"/>
      <c r="TQL2999" s="470"/>
      <c r="TQM2999" s="449"/>
      <c r="TQN2999" s="462"/>
      <c r="TQO2999" s="299"/>
      <c r="TQP2999" s="81"/>
      <c r="TQQ2999" s="160"/>
      <c r="TQR2999" s="565"/>
      <c r="TQS2999" s="125"/>
      <c r="TQT2999" s="470"/>
      <c r="TQU2999" s="449"/>
      <c r="TQV2999" s="462"/>
      <c r="TQW2999" s="299"/>
      <c r="TQX2999" s="81"/>
      <c r="TQY2999" s="160"/>
      <c r="TQZ2999" s="565"/>
      <c r="TRA2999" s="125"/>
      <c r="TRB2999" s="470"/>
      <c r="TRC2999" s="449"/>
      <c r="TRD2999" s="462"/>
      <c r="TRE2999" s="299"/>
      <c r="TRF2999" s="81"/>
      <c r="TRG2999" s="160"/>
      <c r="TRH2999" s="565"/>
      <c r="TRI2999" s="125"/>
      <c r="TRJ2999" s="470"/>
      <c r="TRK2999" s="449"/>
      <c r="TRL2999" s="462"/>
      <c r="TRM2999" s="299"/>
      <c r="TRN2999" s="81"/>
      <c r="TRO2999" s="160"/>
      <c r="TRP2999" s="565"/>
      <c r="TRQ2999" s="125"/>
      <c r="TRR2999" s="470"/>
      <c r="TRS2999" s="449"/>
      <c r="TRT2999" s="462"/>
      <c r="TRU2999" s="299"/>
      <c r="TRV2999" s="81"/>
      <c r="TRW2999" s="160"/>
      <c r="TRX2999" s="565"/>
      <c r="TRY2999" s="125"/>
      <c r="TRZ2999" s="470"/>
      <c r="TSA2999" s="449"/>
      <c r="TSB2999" s="462"/>
      <c r="TSC2999" s="299"/>
      <c r="TSD2999" s="81"/>
      <c r="TSE2999" s="160"/>
      <c r="TSF2999" s="565"/>
      <c r="TSG2999" s="125"/>
      <c r="TSH2999" s="470"/>
      <c r="TSI2999" s="449"/>
      <c r="TSJ2999" s="462"/>
      <c r="TSK2999" s="299"/>
      <c r="TSL2999" s="81"/>
      <c r="TSM2999" s="160"/>
      <c r="TSN2999" s="565"/>
      <c r="TSO2999" s="125"/>
      <c r="TSP2999" s="470"/>
      <c r="TSQ2999" s="449"/>
      <c r="TSR2999" s="462"/>
      <c r="TSS2999" s="299"/>
      <c r="TST2999" s="81"/>
      <c r="TSU2999" s="160"/>
      <c r="TSV2999" s="565"/>
      <c r="TSW2999" s="125"/>
      <c r="TSX2999" s="470"/>
      <c r="TSY2999" s="449"/>
      <c r="TSZ2999" s="462"/>
      <c r="TTA2999" s="299"/>
      <c r="TTB2999" s="81"/>
      <c r="TTC2999" s="160"/>
      <c r="TTD2999" s="565"/>
      <c r="TTE2999" s="125"/>
      <c r="TTF2999" s="470"/>
      <c r="TTG2999" s="449"/>
      <c r="TTH2999" s="462"/>
      <c r="TTI2999" s="299"/>
      <c r="TTJ2999" s="81"/>
      <c r="TTK2999" s="160"/>
      <c r="TTL2999" s="565"/>
      <c r="TTM2999" s="125"/>
      <c r="TTN2999" s="470"/>
      <c r="TTO2999" s="449"/>
      <c r="TTP2999" s="462"/>
      <c r="TTQ2999" s="299"/>
      <c r="TTR2999" s="81"/>
      <c r="TTS2999" s="160"/>
      <c r="TTT2999" s="565"/>
      <c r="TTU2999" s="125"/>
      <c r="TTV2999" s="470"/>
      <c r="TTW2999" s="449"/>
      <c r="TTX2999" s="462"/>
      <c r="TTY2999" s="299"/>
      <c r="TTZ2999" s="81"/>
      <c r="TUA2999" s="160"/>
      <c r="TUB2999" s="565"/>
      <c r="TUC2999" s="125"/>
      <c r="TUD2999" s="470"/>
      <c r="TUE2999" s="449"/>
      <c r="TUF2999" s="462"/>
      <c r="TUG2999" s="299"/>
      <c r="TUH2999" s="81"/>
      <c r="TUI2999" s="160"/>
      <c r="TUJ2999" s="565"/>
      <c r="TUK2999" s="125"/>
      <c r="TUL2999" s="470"/>
      <c r="TUM2999" s="449"/>
      <c r="TUN2999" s="462"/>
      <c r="TUO2999" s="299"/>
      <c r="TUP2999" s="81"/>
      <c r="TUQ2999" s="160"/>
      <c r="TUR2999" s="565"/>
      <c r="TUS2999" s="125"/>
      <c r="TUT2999" s="470"/>
      <c r="TUU2999" s="449"/>
      <c r="TUV2999" s="462"/>
      <c r="TUW2999" s="299"/>
      <c r="TUX2999" s="81"/>
      <c r="TUY2999" s="160"/>
      <c r="TUZ2999" s="565"/>
      <c r="TVA2999" s="125"/>
      <c r="TVB2999" s="470"/>
      <c r="TVC2999" s="449"/>
      <c r="TVD2999" s="462"/>
      <c r="TVE2999" s="299"/>
      <c r="TVF2999" s="81"/>
      <c r="TVG2999" s="160"/>
      <c r="TVH2999" s="565"/>
      <c r="TVI2999" s="125"/>
      <c r="TVJ2999" s="470"/>
      <c r="TVK2999" s="449"/>
      <c r="TVL2999" s="462"/>
      <c r="TVM2999" s="299"/>
      <c r="TVN2999" s="81"/>
      <c r="TVO2999" s="160"/>
      <c r="TVP2999" s="565"/>
      <c r="TVQ2999" s="125"/>
      <c r="TVR2999" s="470"/>
      <c r="TVS2999" s="449"/>
      <c r="TVT2999" s="462"/>
      <c r="TVU2999" s="299"/>
      <c r="TVV2999" s="81"/>
      <c r="TVW2999" s="160"/>
      <c r="TVX2999" s="565"/>
      <c r="TVY2999" s="125"/>
      <c r="TVZ2999" s="470"/>
      <c r="TWA2999" s="449"/>
      <c r="TWB2999" s="462"/>
      <c r="TWC2999" s="299"/>
      <c r="TWD2999" s="81"/>
      <c r="TWE2999" s="160"/>
      <c r="TWF2999" s="565"/>
      <c r="TWG2999" s="125"/>
      <c r="TWH2999" s="470"/>
      <c r="TWI2999" s="449"/>
      <c r="TWJ2999" s="462"/>
      <c r="TWK2999" s="299"/>
      <c r="TWL2999" s="81"/>
      <c r="TWM2999" s="160"/>
      <c r="TWN2999" s="565"/>
      <c r="TWO2999" s="125"/>
      <c r="TWP2999" s="470"/>
      <c r="TWQ2999" s="449"/>
      <c r="TWR2999" s="462"/>
      <c r="TWS2999" s="299"/>
      <c r="TWT2999" s="81"/>
      <c r="TWU2999" s="160"/>
      <c r="TWV2999" s="565"/>
      <c r="TWW2999" s="125"/>
      <c r="TWX2999" s="470"/>
      <c r="TWY2999" s="449"/>
      <c r="TWZ2999" s="462"/>
      <c r="TXA2999" s="299"/>
      <c r="TXB2999" s="81"/>
      <c r="TXC2999" s="160"/>
      <c r="TXD2999" s="565"/>
      <c r="TXE2999" s="125"/>
      <c r="TXF2999" s="470"/>
      <c r="TXG2999" s="449"/>
      <c r="TXH2999" s="462"/>
      <c r="TXI2999" s="299"/>
      <c r="TXJ2999" s="81"/>
      <c r="TXK2999" s="160"/>
      <c r="TXL2999" s="565"/>
      <c r="TXM2999" s="125"/>
      <c r="TXN2999" s="470"/>
      <c r="TXO2999" s="449"/>
      <c r="TXP2999" s="462"/>
      <c r="TXQ2999" s="299"/>
      <c r="TXR2999" s="81"/>
      <c r="TXS2999" s="160"/>
      <c r="TXT2999" s="565"/>
      <c r="TXU2999" s="125"/>
      <c r="TXV2999" s="470"/>
      <c r="TXW2999" s="449"/>
      <c r="TXX2999" s="462"/>
      <c r="TXY2999" s="299"/>
      <c r="TXZ2999" s="81"/>
      <c r="TYA2999" s="160"/>
      <c r="TYB2999" s="565"/>
      <c r="TYC2999" s="125"/>
      <c r="TYD2999" s="470"/>
      <c r="TYE2999" s="449"/>
      <c r="TYF2999" s="462"/>
      <c r="TYG2999" s="299"/>
      <c r="TYH2999" s="81"/>
      <c r="TYI2999" s="160"/>
      <c r="TYJ2999" s="565"/>
      <c r="TYK2999" s="125"/>
      <c r="TYL2999" s="470"/>
      <c r="TYM2999" s="449"/>
      <c r="TYN2999" s="462"/>
      <c r="TYO2999" s="299"/>
      <c r="TYP2999" s="81"/>
      <c r="TYQ2999" s="160"/>
      <c r="TYR2999" s="565"/>
      <c r="TYS2999" s="125"/>
      <c r="TYT2999" s="470"/>
      <c r="TYU2999" s="449"/>
      <c r="TYV2999" s="462"/>
      <c r="TYW2999" s="299"/>
      <c r="TYX2999" s="81"/>
      <c r="TYY2999" s="160"/>
      <c r="TYZ2999" s="565"/>
      <c r="TZA2999" s="125"/>
      <c r="TZB2999" s="470"/>
      <c r="TZC2999" s="449"/>
      <c r="TZD2999" s="462"/>
      <c r="TZE2999" s="299"/>
      <c r="TZF2999" s="81"/>
      <c r="TZG2999" s="160"/>
      <c r="TZH2999" s="565"/>
      <c r="TZI2999" s="125"/>
      <c r="TZJ2999" s="470"/>
      <c r="TZK2999" s="449"/>
      <c r="TZL2999" s="462"/>
      <c r="TZM2999" s="299"/>
      <c r="TZN2999" s="81"/>
      <c r="TZO2999" s="160"/>
      <c r="TZP2999" s="565"/>
      <c r="TZQ2999" s="125"/>
      <c r="TZR2999" s="470"/>
      <c r="TZS2999" s="449"/>
      <c r="TZT2999" s="462"/>
      <c r="TZU2999" s="299"/>
      <c r="TZV2999" s="81"/>
      <c r="TZW2999" s="160"/>
      <c r="TZX2999" s="565"/>
      <c r="TZY2999" s="125"/>
      <c r="TZZ2999" s="470"/>
      <c r="UAA2999" s="449"/>
      <c r="UAB2999" s="462"/>
      <c r="UAC2999" s="299"/>
      <c r="UAD2999" s="81"/>
      <c r="UAE2999" s="160"/>
      <c r="UAF2999" s="565"/>
      <c r="UAG2999" s="125"/>
      <c r="UAH2999" s="470"/>
      <c r="UAI2999" s="449"/>
      <c r="UAJ2999" s="462"/>
      <c r="UAK2999" s="299"/>
      <c r="UAL2999" s="81"/>
      <c r="UAM2999" s="160"/>
      <c r="UAN2999" s="565"/>
      <c r="UAO2999" s="125"/>
      <c r="UAP2999" s="470"/>
      <c r="UAQ2999" s="449"/>
      <c r="UAR2999" s="462"/>
      <c r="UAS2999" s="299"/>
      <c r="UAT2999" s="81"/>
      <c r="UAU2999" s="160"/>
      <c r="UAV2999" s="565"/>
      <c r="UAW2999" s="125"/>
      <c r="UAX2999" s="470"/>
      <c r="UAY2999" s="449"/>
      <c r="UAZ2999" s="462"/>
      <c r="UBA2999" s="299"/>
      <c r="UBB2999" s="81"/>
      <c r="UBC2999" s="160"/>
      <c r="UBD2999" s="565"/>
      <c r="UBE2999" s="125"/>
      <c r="UBF2999" s="470"/>
      <c r="UBG2999" s="449"/>
      <c r="UBH2999" s="462"/>
      <c r="UBI2999" s="299"/>
      <c r="UBJ2999" s="81"/>
      <c r="UBK2999" s="160"/>
      <c r="UBL2999" s="565"/>
      <c r="UBM2999" s="125"/>
      <c r="UBN2999" s="470"/>
      <c r="UBO2999" s="449"/>
      <c r="UBP2999" s="462"/>
      <c r="UBQ2999" s="299"/>
      <c r="UBR2999" s="81"/>
      <c r="UBS2999" s="160"/>
      <c r="UBT2999" s="565"/>
      <c r="UBU2999" s="125"/>
      <c r="UBV2999" s="470"/>
      <c r="UBW2999" s="449"/>
      <c r="UBX2999" s="462"/>
      <c r="UBY2999" s="299"/>
      <c r="UBZ2999" s="81"/>
      <c r="UCA2999" s="160"/>
      <c r="UCB2999" s="565"/>
      <c r="UCC2999" s="125"/>
      <c r="UCD2999" s="470"/>
      <c r="UCE2999" s="449"/>
      <c r="UCF2999" s="462"/>
      <c r="UCG2999" s="299"/>
      <c r="UCH2999" s="81"/>
      <c r="UCI2999" s="160"/>
      <c r="UCJ2999" s="565"/>
      <c r="UCK2999" s="125"/>
      <c r="UCL2999" s="470"/>
      <c r="UCM2999" s="449"/>
      <c r="UCN2999" s="462"/>
      <c r="UCO2999" s="299"/>
      <c r="UCP2999" s="81"/>
      <c r="UCQ2999" s="160"/>
      <c r="UCR2999" s="565"/>
      <c r="UCS2999" s="125"/>
      <c r="UCT2999" s="470"/>
      <c r="UCU2999" s="449"/>
      <c r="UCV2999" s="462"/>
      <c r="UCW2999" s="299"/>
      <c r="UCX2999" s="81"/>
      <c r="UCY2999" s="160"/>
      <c r="UCZ2999" s="565"/>
      <c r="UDA2999" s="125"/>
      <c r="UDB2999" s="470"/>
      <c r="UDC2999" s="449"/>
      <c r="UDD2999" s="462"/>
      <c r="UDE2999" s="299"/>
      <c r="UDF2999" s="81"/>
      <c r="UDG2999" s="160"/>
      <c r="UDH2999" s="565"/>
      <c r="UDI2999" s="125"/>
      <c r="UDJ2999" s="470"/>
      <c r="UDK2999" s="449"/>
      <c r="UDL2999" s="462"/>
      <c r="UDM2999" s="299"/>
      <c r="UDN2999" s="81"/>
      <c r="UDO2999" s="160"/>
      <c r="UDP2999" s="565"/>
      <c r="UDQ2999" s="125"/>
      <c r="UDR2999" s="470"/>
      <c r="UDS2999" s="449"/>
      <c r="UDT2999" s="462"/>
      <c r="UDU2999" s="299"/>
      <c r="UDV2999" s="81"/>
      <c r="UDW2999" s="160"/>
      <c r="UDX2999" s="565"/>
      <c r="UDY2999" s="125"/>
      <c r="UDZ2999" s="470"/>
      <c r="UEA2999" s="449"/>
      <c r="UEB2999" s="462"/>
      <c r="UEC2999" s="299"/>
      <c r="UED2999" s="81"/>
      <c r="UEE2999" s="160"/>
      <c r="UEF2999" s="565"/>
      <c r="UEG2999" s="125"/>
      <c r="UEH2999" s="470"/>
      <c r="UEI2999" s="449"/>
      <c r="UEJ2999" s="462"/>
      <c r="UEK2999" s="299"/>
      <c r="UEL2999" s="81"/>
      <c r="UEM2999" s="160"/>
      <c r="UEN2999" s="565"/>
      <c r="UEO2999" s="125"/>
      <c r="UEP2999" s="470"/>
      <c r="UEQ2999" s="449"/>
      <c r="UER2999" s="462"/>
      <c r="UES2999" s="299"/>
      <c r="UET2999" s="81"/>
      <c r="UEU2999" s="160"/>
      <c r="UEV2999" s="565"/>
      <c r="UEW2999" s="125"/>
      <c r="UEX2999" s="470"/>
      <c r="UEY2999" s="449"/>
      <c r="UEZ2999" s="462"/>
      <c r="UFA2999" s="299"/>
      <c r="UFB2999" s="81"/>
      <c r="UFC2999" s="160"/>
      <c r="UFD2999" s="565"/>
      <c r="UFE2999" s="125"/>
      <c r="UFF2999" s="470"/>
      <c r="UFG2999" s="449"/>
      <c r="UFH2999" s="462"/>
      <c r="UFI2999" s="299"/>
      <c r="UFJ2999" s="81"/>
      <c r="UFK2999" s="160"/>
      <c r="UFL2999" s="565"/>
      <c r="UFM2999" s="125"/>
      <c r="UFN2999" s="470"/>
      <c r="UFO2999" s="449"/>
      <c r="UFP2999" s="462"/>
      <c r="UFQ2999" s="299"/>
      <c r="UFR2999" s="81"/>
      <c r="UFS2999" s="160"/>
      <c r="UFT2999" s="565"/>
      <c r="UFU2999" s="125"/>
      <c r="UFV2999" s="470"/>
      <c r="UFW2999" s="449"/>
      <c r="UFX2999" s="462"/>
      <c r="UFY2999" s="299"/>
      <c r="UFZ2999" s="81"/>
      <c r="UGA2999" s="160"/>
      <c r="UGB2999" s="565"/>
      <c r="UGC2999" s="125"/>
      <c r="UGD2999" s="470"/>
      <c r="UGE2999" s="449"/>
      <c r="UGF2999" s="462"/>
      <c r="UGG2999" s="299"/>
      <c r="UGH2999" s="81"/>
      <c r="UGI2999" s="160"/>
      <c r="UGJ2999" s="565"/>
      <c r="UGK2999" s="125"/>
      <c r="UGL2999" s="470"/>
      <c r="UGM2999" s="449"/>
      <c r="UGN2999" s="462"/>
      <c r="UGO2999" s="299"/>
      <c r="UGP2999" s="81"/>
      <c r="UGQ2999" s="160"/>
      <c r="UGR2999" s="565"/>
      <c r="UGS2999" s="125"/>
      <c r="UGT2999" s="470"/>
      <c r="UGU2999" s="449"/>
      <c r="UGV2999" s="462"/>
      <c r="UGW2999" s="299"/>
      <c r="UGX2999" s="81"/>
      <c r="UGY2999" s="160"/>
      <c r="UGZ2999" s="565"/>
      <c r="UHA2999" s="125"/>
      <c r="UHB2999" s="470"/>
      <c r="UHC2999" s="449"/>
      <c r="UHD2999" s="462"/>
      <c r="UHE2999" s="299"/>
      <c r="UHF2999" s="81"/>
      <c r="UHG2999" s="160"/>
      <c r="UHH2999" s="565"/>
      <c r="UHI2999" s="125"/>
      <c r="UHJ2999" s="470"/>
      <c r="UHK2999" s="449"/>
      <c r="UHL2999" s="462"/>
      <c r="UHM2999" s="299"/>
      <c r="UHN2999" s="81"/>
      <c r="UHO2999" s="160"/>
      <c r="UHP2999" s="565"/>
      <c r="UHQ2999" s="125"/>
      <c r="UHR2999" s="470"/>
      <c r="UHS2999" s="449"/>
      <c r="UHT2999" s="462"/>
      <c r="UHU2999" s="299"/>
      <c r="UHV2999" s="81"/>
      <c r="UHW2999" s="160"/>
      <c r="UHX2999" s="565"/>
      <c r="UHY2999" s="125"/>
      <c r="UHZ2999" s="470"/>
      <c r="UIA2999" s="449"/>
      <c r="UIB2999" s="462"/>
      <c r="UIC2999" s="299"/>
      <c r="UID2999" s="81"/>
      <c r="UIE2999" s="160"/>
      <c r="UIF2999" s="565"/>
      <c r="UIG2999" s="125"/>
      <c r="UIH2999" s="470"/>
      <c r="UII2999" s="449"/>
      <c r="UIJ2999" s="462"/>
      <c r="UIK2999" s="299"/>
      <c r="UIL2999" s="81"/>
      <c r="UIM2999" s="160"/>
      <c r="UIN2999" s="565"/>
      <c r="UIO2999" s="125"/>
      <c r="UIP2999" s="470"/>
      <c r="UIQ2999" s="449"/>
      <c r="UIR2999" s="462"/>
      <c r="UIS2999" s="299"/>
      <c r="UIT2999" s="81"/>
      <c r="UIU2999" s="160"/>
      <c r="UIV2999" s="565"/>
      <c r="UIW2999" s="125"/>
      <c r="UIX2999" s="470"/>
      <c r="UIY2999" s="449"/>
      <c r="UIZ2999" s="462"/>
      <c r="UJA2999" s="299"/>
      <c r="UJB2999" s="81"/>
      <c r="UJC2999" s="160"/>
      <c r="UJD2999" s="565"/>
      <c r="UJE2999" s="125"/>
      <c r="UJF2999" s="470"/>
      <c r="UJG2999" s="449"/>
      <c r="UJH2999" s="462"/>
      <c r="UJI2999" s="299"/>
      <c r="UJJ2999" s="81"/>
      <c r="UJK2999" s="160"/>
      <c r="UJL2999" s="565"/>
      <c r="UJM2999" s="125"/>
      <c r="UJN2999" s="470"/>
      <c r="UJO2999" s="449"/>
      <c r="UJP2999" s="462"/>
      <c r="UJQ2999" s="299"/>
      <c r="UJR2999" s="81"/>
      <c r="UJS2999" s="160"/>
      <c r="UJT2999" s="565"/>
      <c r="UJU2999" s="125"/>
      <c r="UJV2999" s="470"/>
      <c r="UJW2999" s="449"/>
      <c r="UJX2999" s="462"/>
      <c r="UJY2999" s="299"/>
      <c r="UJZ2999" s="81"/>
      <c r="UKA2999" s="160"/>
      <c r="UKB2999" s="565"/>
      <c r="UKC2999" s="125"/>
      <c r="UKD2999" s="470"/>
      <c r="UKE2999" s="449"/>
      <c r="UKF2999" s="462"/>
      <c r="UKG2999" s="299"/>
      <c r="UKH2999" s="81"/>
      <c r="UKI2999" s="160"/>
      <c r="UKJ2999" s="565"/>
      <c r="UKK2999" s="125"/>
      <c r="UKL2999" s="470"/>
      <c r="UKM2999" s="449"/>
      <c r="UKN2999" s="462"/>
      <c r="UKO2999" s="299"/>
      <c r="UKP2999" s="81"/>
      <c r="UKQ2999" s="160"/>
      <c r="UKR2999" s="565"/>
      <c r="UKS2999" s="125"/>
      <c r="UKT2999" s="470"/>
      <c r="UKU2999" s="449"/>
      <c r="UKV2999" s="462"/>
      <c r="UKW2999" s="299"/>
      <c r="UKX2999" s="81"/>
      <c r="UKY2999" s="160"/>
      <c r="UKZ2999" s="565"/>
      <c r="ULA2999" s="125"/>
      <c r="ULB2999" s="470"/>
      <c r="ULC2999" s="449"/>
      <c r="ULD2999" s="462"/>
      <c r="ULE2999" s="299"/>
      <c r="ULF2999" s="81"/>
      <c r="ULG2999" s="160"/>
      <c r="ULH2999" s="565"/>
      <c r="ULI2999" s="125"/>
      <c r="ULJ2999" s="470"/>
      <c r="ULK2999" s="449"/>
      <c r="ULL2999" s="462"/>
      <c r="ULM2999" s="299"/>
      <c r="ULN2999" s="81"/>
      <c r="ULO2999" s="160"/>
      <c r="ULP2999" s="565"/>
      <c r="ULQ2999" s="125"/>
      <c r="ULR2999" s="470"/>
      <c r="ULS2999" s="449"/>
      <c r="ULT2999" s="462"/>
      <c r="ULU2999" s="299"/>
      <c r="ULV2999" s="81"/>
      <c r="ULW2999" s="160"/>
      <c r="ULX2999" s="565"/>
      <c r="ULY2999" s="125"/>
      <c r="ULZ2999" s="470"/>
      <c r="UMA2999" s="449"/>
      <c r="UMB2999" s="462"/>
      <c r="UMC2999" s="299"/>
      <c r="UMD2999" s="81"/>
      <c r="UME2999" s="160"/>
      <c r="UMF2999" s="565"/>
      <c r="UMG2999" s="125"/>
      <c r="UMH2999" s="470"/>
      <c r="UMI2999" s="449"/>
      <c r="UMJ2999" s="462"/>
      <c r="UMK2999" s="299"/>
      <c r="UML2999" s="81"/>
      <c r="UMM2999" s="160"/>
      <c r="UMN2999" s="565"/>
      <c r="UMO2999" s="125"/>
      <c r="UMP2999" s="470"/>
      <c r="UMQ2999" s="449"/>
      <c r="UMR2999" s="462"/>
      <c r="UMS2999" s="299"/>
      <c r="UMT2999" s="81"/>
      <c r="UMU2999" s="160"/>
      <c r="UMV2999" s="565"/>
      <c r="UMW2999" s="125"/>
      <c r="UMX2999" s="470"/>
      <c r="UMY2999" s="449"/>
      <c r="UMZ2999" s="462"/>
      <c r="UNA2999" s="299"/>
      <c r="UNB2999" s="81"/>
      <c r="UNC2999" s="160"/>
      <c r="UND2999" s="565"/>
      <c r="UNE2999" s="125"/>
      <c r="UNF2999" s="470"/>
      <c r="UNG2999" s="449"/>
      <c r="UNH2999" s="462"/>
      <c r="UNI2999" s="299"/>
      <c r="UNJ2999" s="81"/>
      <c r="UNK2999" s="160"/>
      <c r="UNL2999" s="565"/>
      <c r="UNM2999" s="125"/>
      <c r="UNN2999" s="470"/>
      <c r="UNO2999" s="449"/>
      <c r="UNP2999" s="462"/>
      <c r="UNQ2999" s="299"/>
      <c r="UNR2999" s="81"/>
      <c r="UNS2999" s="160"/>
      <c r="UNT2999" s="565"/>
      <c r="UNU2999" s="125"/>
      <c r="UNV2999" s="470"/>
      <c r="UNW2999" s="449"/>
      <c r="UNX2999" s="462"/>
      <c r="UNY2999" s="299"/>
      <c r="UNZ2999" s="81"/>
      <c r="UOA2999" s="160"/>
      <c r="UOB2999" s="565"/>
      <c r="UOC2999" s="125"/>
      <c r="UOD2999" s="470"/>
      <c r="UOE2999" s="449"/>
      <c r="UOF2999" s="462"/>
      <c r="UOG2999" s="299"/>
      <c r="UOH2999" s="81"/>
      <c r="UOI2999" s="160"/>
      <c r="UOJ2999" s="565"/>
      <c r="UOK2999" s="125"/>
      <c r="UOL2999" s="470"/>
      <c r="UOM2999" s="449"/>
      <c r="UON2999" s="462"/>
      <c r="UOO2999" s="299"/>
      <c r="UOP2999" s="81"/>
      <c r="UOQ2999" s="160"/>
      <c r="UOR2999" s="565"/>
      <c r="UOS2999" s="125"/>
      <c r="UOT2999" s="470"/>
      <c r="UOU2999" s="449"/>
      <c r="UOV2999" s="462"/>
      <c r="UOW2999" s="299"/>
      <c r="UOX2999" s="81"/>
      <c r="UOY2999" s="160"/>
      <c r="UOZ2999" s="565"/>
      <c r="UPA2999" s="125"/>
      <c r="UPB2999" s="470"/>
      <c r="UPC2999" s="449"/>
      <c r="UPD2999" s="462"/>
      <c r="UPE2999" s="299"/>
      <c r="UPF2999" s="81"/>
      <c r="UPG2999" s="160"/>
      <c r="UPH2999" s="565"/>
      <c r="UPI2999" s="125"/>
      <c r="UPJ2999" s="470"/>
      <c r="UPK2999" s="449"/>
      <c r="UPL2999" s="462"/>
      <c r="UPM2999" s="299"/>
      <c r="UPN2999" s="81"/>
      <c r="UPO2999" s="160"/>
      <c r="UPP2999" s="565"/>
      <c r="UPQ2999" s="125"/>
      <c r="UPR2999" s="470"/>
      <c r="UPS2999" s="449"/>
      <c r="UPT2999" s="462"/>
      <c r="UPU2999" s="299"/>
      <c r="UPV2999" s="81"/>
      <c r="UPW2999" s="160"/>
      <c r="UPX2999" s="565"/>
      <c r="UPY2999" s="125"/>
      <c r="UPZ2999" s="470"/>
      <c r="UQA2999" s="449"/>
      <c r="UQB2999" s="462"/>
      <c r="UQC2999" s="299"/>
      <c r="UQD2999" s="81"/>
      <c r="UQE2999" s="160"/>
      <c r="UQF2999" s="565"/>
      <c r="UQG2999" s="125"/>
      <c r="UQH2999" s="470"/>
      <c r="UQI2999" s="449"/>
      <c r="UQJ2999" s="462"/>
      <c r="UQK2999" s="299"/>
      <c r="UQL2999" s="81"/>
      <c r="UQM2999" s="160"/>
      <c r="UQN2999" s="565"/>
      <c r="UQO2999" s="125"/>
      <c r="UQP2999" s="470"/>
      <c r="UQQ2999" s="449"/>
      <c r="UQR2999" s="462"/>
      <c r="UQS2999" s="299"/>
      <c r="UQT2999" s="81"/>
      <c r="UQU2999" s="160"/>
      <c r="UQV2999" s="565"/>
      <c r="UQW2999" s="125"/>
      <c r="UQX2999" s="470"/>
      <c r="UQY2999" s="449"/>
      <c r="UQZ2999" s="462"/>
      <c r="URA2999" s="299"/>
      <c r="URB2999" s="81"/>
      <c r="URC2999" s="160"/>
      <c r="URD2999" s="565"/>
      <c r="URE2999" s="125"/>
      <c r="URF2999" s="470"/>
      <c r="URG2999" s="449"/>
      <c r="URH2999" s="462"/>
      <c r="URI2999" s="299"/>
      <c r="URJ2999" s="81"/>
      <c r="URK2999" s="160"/>
      <c r="URL2999" s="565"/>
      <c r="URM2999" s="125"/>
      <c r="URN2999" s="470"/>
      <c r="URO2999" s="449"/>
      <c r="URP2999" s="462"/>
      <c r="URQ2999" s="299"/>
      <c r="URR2999" s="81"/>
      <c r="URS2999" s="160"/>
      <c r="URT2999" s="565"/>
      <c r="URU2999" s="125"/>
      <c r="URV2999" s="470"/>
      <c r="URW2999" s="449"/>
      <c r="URX2999" s="462"/>
      <c r="URY2999" s="299"/>
      <c r="URZ2999" s="81"/>
      <c r="USA2999" s="160"/>
      <c r="USB2999" s="565"/>
      <c r="USC2999" s="125"/>
      <c r="USD2999" s="470"/>
      <c r="USE2999" s="449"/>
      <c r="USF2999" s="462"/>
      <c r="USG2999" s="299"/>
      <c r="USH2999" s="81"/>
      <c r="USI2999" s="160"/>
      <c r="USJ2999" s="565"/>
      <c r="USK2999" s="125"/>
      <c r="USL2999" s="470"/>
      <c r="USM2999" s="449"/>
      <c r="USN2999" s="462"/>
      <c r="USO2999" s="299"/>
      <c r="USP2999" s="81"/>
      <c r="USQ2999" s="160"/>
      <c r="USR2999" s="565"/>
      <c r="USS2999" s="125"/>
      <c r="UST2999" s="470"/>
      <c r="USU2999" s="449"/>
      <c r="USV2999" s="462"/>
      <c r="USW2999" s="299"/>
      <c r="USX2999" s="81"/>
      <c r="USY2999" s="160"/>
      <c r="USZ2999" s="565"/>
      <c r="UTA2999" s="125"/>
      <c r="UTB2999" s="470"/>
      <c r="UTC2999" s="449"/>
      <c r="UTD2999" s="462"/>
      <c r="UTE2999" s="299"/>
      <c r="UTF2999" s="81"/>
      <c r="UTG2999" s="160"/>
      <c r="UTH2999" s="565"/>
      <c r="UTI2999" s="125"/>
      <c r="UTJ2999" s="470"/>
      <c r="UTK2999" s="449"/>
      <c r="UTL2999" s="462"/>
      <c r="UTM2999" s="299"/>
      <c r="UTN2999" s="81"/>
      <c r="UTO2999" s="160"/>
      <c r="UTP2999" s="565"/>
      <c r="UTQ2999" s="125"/>
      <c r="UTR2999" s="470"/>
      <c r="UTS2999" s="449"/>
      <c r="UTT2999" s="462"/>
      <c r="UTU2999" s="299"/>
      <c r="UTV2999" s="81"/>
      <c r="UTW2999" s="160"/>
      <c r="UTX2999" s="565"/>
      <c r="UTY2999" s="125"/>
      <c r="UTZ2999" s="470"/>
      <c r="UUA2999" s="449"/>
      <c r="UUB2999" s="462"/>
      <c r="UUC2999" s="299"/>
      <c r="UUD2999" s="81"/>
      <c r="UUE2999" s="160"/>
      <c r="UUF2999" s="565"/>
      <c r="UUG2999" s="125"/>
      <c r="UUH2999" s="470"/>
      <c r="UUI2999" s="449"/>
      <c r="UUJ2999" s="462"/>
      <c r="UUK2999" s="299"/>
      <c r="UUL2999" s="81"/>
      <c r="UUM2999" s="160"/>
      <c r="UUN2999" s="565"/>
      <c r="UUO2999" s="125"/>
      <c r="UUP2999" s="470"/>
      <c r="UUQ2999" s="449"/>
      <c r="UUR2999" s="462"/>
      <c r="UUS2999" s="299"/>
      <c r="UUT2999" s="81"/>
      <c r="UUU2999" s="160"/>
      <c r="UUV2999" s="565"/>
      <c r="UUW2999" s="125"/>
      <c r="UUX2999" s="470"/>
      <c r="UUY2999" s="449"/>
      <c r="UUZ2999" s="462"/>
      <c r="UVA2999" s="299"/>
      <c r="UVB2999" s="81"/>
      <c r="UVC2999" s="160"/>
      <c r="UVD2999" s="565"/>
      <c r="UVE2999" s="125"/>
      <c r="UVF2999" s="470"/>
      <c r="UVG2999" s="449"/>
      <c r="UVH2999" s="462"/>
      <c r="UVI2999" s="299"/>
      <c r="UVJ2999" s="81"/>
      <c r="UVK2999" s="160"/>
      <c r="UVL2999" s="565"/>
      <c r="UVM2999" s="125"/>
      <c r="UVN2999" s="470"/>
      <c r="UVO2999" s="449"/>
      <c r="UVP2999" s="462"/>
      <c r="UVQ2999" s="299"/>
      <c r="UVR2999" s="81"/>
      <c r="UVS2999" s="160"/>
      <c r="UVT2999" s="565"/>
      <c r="UVU2999" s="125"/>
      <c r="UVV2999" s="470"/>
      <c r="UVW2999" s="449"/>
      <c r="UVX2999" s="462"/>
      <c r="UVY2999" s="299"/>
      <c r="UVZ2999" s="81"/>
      <c r="UWA2999" s="160"/>
      <c r="UWB2999" s="565"/>
      <c r="UWC2999" s="125"/>
      <c r="UWD2999" s="470"/>
      <c r="UWE2999" s="449"/>
      <c r="UWF2999" s="462"/>
      <c r="UWG2999" s="299"/>
      <c r="UWH2999" s="81"/>
      <c r="UWI2999" s="160"/>
      <c r="UWJ2999" s="565"/>
      <c r="UWK2999" s="125"/>
      <c r="UWL2999" s="470"/>
      <c r="UWM2999" s="449"/>
      <c r="UWN2999" s="462"/>
      <c r="UWO2999" s="299"/>
      <c r="UWP2999" s="81"/>
      <c r="UWQ2999" s="160"/>
      <c r="UWR2999" s="565"/>
      <c r="UWS2999" s="125"/>
      <c r="UWT2999" s="470"/>
      <c r="UWU2999" s="449"/>
      <c r="UWV2999" s="462"/>
      <c r="UWW2999" s="299"/>
      <c r="UWX2999" s="81"/>
      <c r="UWY2999" s="160"/>
      <c r="UWZ2999" s="565"/>
      <c r="UXA2999" s="125"/>
      <c r="UXB2999" s="470"/>
      <c r="UXC2999" s="449"/>
      <c r="UXD2999" s="462"/>
      <c r="UXE2999" s="299"/>
      <c r="UXF2999" s="81"/>
      <c r="UXG2999" s="160"/>
      <c r="UXH2999" s="565"/>
      <c r="UXI2999" s="125"/>
      <c r="UXJ2999" s="470"/>
      <c r="UXK2999" s="449"/>
      <c r="UXL2999" s="462"/>
      <c r="UXM2999" s="299"/>
      <c r="UXN2999" s="81"/>
      <c r="UXO2999" s="160"/>
      <c r="UXP2999" s="565"/>
      <c r="UXQ2999" s="125"/>
      <c r="UXR2999" s="470"/>
      <c r="UXS2999" s="449"/>
      <c r="UXT2999" s="462"/>
      <c r="UXU2999" s="299"/>
      <c r="UXV2999" s="81"/>
      <c r="UXW2999" s="160"/>
      <c r="UXX2999" s="565"/>
      <c r="UXY2999" s="125"/>
      <c r="UXZ2999" s="470"/>
      <c r="UYA2999" s="449"/>
      <c r="UYB2999" s="462"/>
      <c r="UYC2999" s="299"/>
      <c r="UYD2999" s="81"/>
      <c r="UYE2999" s="160"/>
      <c r="UYF2999" s="565"/>
      <c r="UYG2999" s="125"/>
      <c r="UYH2999" s="470"/>
      <c r="UYI2999" s="449"/>
      <c r="UYJ2999" s="462"/>
      <c r="UYK2999" s="299"/>
      <c r="UYL2999" s="81"/>
      <c r="UYM2999" s="160"/>
      <c r="UYN2999" s="565"/>
      <c r="UYO2999" s="125"/>
      <c r="UYP2999" s="470"/>
      <c r="UYQ2999" s="449"/>
      <c r="UYR2999" s="462"/>
      <c r="UYS2999" s="299"/>
      <c r="UYT2999" s="81"/>
      <c r="UYU2999" s="160"/>
      <c r="UYV2999" s="565"/>
      <c r="UYW2999" s="125"/>
      <c r="UYX2999" s="470"/>
      <c r="UYY2999" s="449"/>
      <c r="UYZ2999" s="462"/>
      <c r="UZA2999" s="299"/>
      <c r="UZB2999" s="81"/>
      <c r="UZC2999" s="160"/>
      <c r="UZD2999" s="565"/>
      <c r="UZE2999" s="125"/>
      <c r="UZF2999" s="470"/>
      <c r="UZG2999" s="449"/>
      <c r="UZH2999" s="462"/>
      <c r="UZI2999" s="299"/>
      <c r="UZJ2999" s="81"/>
      <c r="UZK2999" s="160"/>
      <c r="UZL2999" s="565"/>
      <c r="UZM2999" s="125"/>
      <c r="UZN2999" s="470"/>
      <c r="UZO2999" s="449"/>
      <c r="UZP2999" s="462"/>
      <c r="UZQ2999" s="299"/>
      <c r="UZR2999" s="81"/>
      <c r="UZS2999" s="160"/>
      <c r="UZT2999" s="565"/>
      <c r="UZU2999" s="125"/>
      <c r="UZV2999" s="470"/>
      <c r="UZW2999" s="449"/>
      <c r="UZX2999" s="462"/>
      <c r="UZY2999" s="299"/>
      <c r="UZZ2999" s="81"/>
      <c r="VAA2999" s="160"/>
      <c r="VAB2999" s="565"/>
      <c r="VAC2999" s="125"/>
      <c r="VAD2999" s="470"/>
      <c r="VAE2999" s="449"/>
      <c r="VAF2999" s="462"/>
      <c r="VAG2999" s="299"/>
      <c r="VAH2999" s="81"/>
      <c r="VAI2999" s="160"/>
      <c r="VAJ2999" s="565"/>
      <c r="VAK2999" s="125"/>
      <c r="VAL2999" s="470"/>
      <c r="VAM2999" s="449"/>
      <c r="VAN2999" s="462"/>
      <c r="VAO2999" s="299"/>
      <c r="VAP2999" s="81"/>
      <c r="VAQ2999" s="160"/>
      <c r="VAR2999" s="565"/>
      <c r="VAS2999" s="125"/>
      <c r="VAT2999" s="470"/>
      <c r="VAU2999" s="449"/>
      <c r="VAV2999" s="462"/>
      <c r="VAW2999" s="299"/>
      <c r="VAX2999" s="81"/>
      <c r="VAY2999" s="160"/>
      <c r="VAZ2999" s="565"/>
      <c r="VBA2999" s="125"/>
      <c r="VBB2999" s="470"/>
      <c r="VBC2999" s="449"/>
      <c r="VBD2999" s="462"/>
      <c r="VBE2999" s="299"/>
      <c r="VBF2999" s="81"/>
      <c r="VBG2999" s="160"/>
      <c r="VBH2999" s="565"/>
      <c r="VBI2999" s="125"/>
      <c r="VBJ2999" s="470"/>
      <c r="VBK2999" s="449"/>
      <c r="VBL2999" s="462"/>
      <c r="VBM2999" s="299"/>
      <c r="VBN2999" s="81"/>
      <c r="VBO2999" s="160"/>
      <c r="VBP2999" s="565"/>
      <c r="VBQ2999" s="125"/>
      <c r="VBR2999" s="470"/>
      <c r="VBS2999" s="449"/>
      <c r="VBT2999" s="462"/>
      <c r="VBU2999" s="299"/>
      <c r="VBV2999" s="81"/>
      <c r="VBW2999" s="160"/>
      <c r="VBX2999" s="565"/>
      <c r="VBY2999" s="125"/>
      <c r="VBZ2999" s="470"/>
      <c r="VCA2999" s="449"/>
      <c r="VCB2999" s="462"/>
      <c r="VCC2999" s="299"/>
      <c r="VCD2999" s="81"/>
      <c r="VCE2999" s="160"/>
      <c r="VCF2999" s="565"/>
      <c r="VCG2999" s="125"/>
      <c r="VCH2999" s="470"/>
      <c r="VCI2999" s="449"/>
      <c r="VCJ2999" s="462"/>
      <c r="VCK2999" s="299"/>
      <c r="VCL2999" s="81"/>
      <c r="VCM2999" s="160"/>
      <c r="VCN2999" s="565"/>
      <c r="VCO2999" s="125"/>
      <c r="VCP2999" s="470"/>
      <c r="VCQ2999" s="449"/>
      <c r="VCR2999" s="462"/>
      <c r="VCS2999" s="299"/>
      <c r="VCT2999" s="81"/>
      <c r="VCU2999" s="160"/>
      <c r="VCV2999" s="565"/>
      <c r="VCW2999" s="125"/>
      <c r="VCX2999" s="470"/>
      <c r="VCY2999" s="449"/>
      <c r="VCZ2999" s="462"/>
      <c r="VDA2999" s="299"/>
      <c r="VDB2999" s="81"/>
      <c r="VDC2999" s="160"/>
      <c r="VDD2999" s="565"/>
      <c r="VDE2999" s="125"/>
      <c r="VDF2999" s="470"/>
      <c r="VDG2999" s="449"/>
      <c r="VDH2999" s="462"/>
      <c r="VDI2999" s="299"/>
      <c r="VDJ2999" s="81"/>
      <c r="VDK2999" s="160"/>
      <c r="VDL2999" s="565"/>
      <c r="VDM2999" s="125"/>
      <c r="VDN2999" s="470"/>
      <c r="VDO2999" s="449"/>
      <c r="VDP2999" s="462"/>
      <c r="VDQ2999" s="299"/>
      <c r="VDR2999" s="81"/>
      <c r="VDS2999" s="160"/>
      <c r="VDT2999" s="565"/>
      <c r="VDU2999" s="125"/>
      <c r="VDV2999" s="470"/>
      <c r="VDW2999" s="449"/>
      <c r="VDX2999" s="462"/>
      <c r="VDY2999" s="299"/>
      <c r="VDZ2999" s="81"/>
      <c r="VEA2999" s="160"/>
      <c r="VEB2999" s="565"/>
      <c r="VEC2999" s="125"/>
      <c r="VED2999" s="470"/>
      <c r="VEE2999" s="449"/>
      <c r="VEF2999" s="462"/>
      <c r="VEG2999" s="299"/>
      <c r="VEH2999" s="81"/>
      <c r="VEI2999" s="160"/>
      <c r="VEJ2999" s="565"/>
      <c r="VEK2999" s="125"/>
      <c r="VEL2999" s="470"/>
      <c r="VEM2999" s="449"/>
      <c r="VEN2999" s="462"/>
      <c r="VEO2999" s="299"/>
      <c r="VEP2999" s="81"/>
      <c r="VEQ2999" s="160"/>
      <c r="VER2999" s="565"/>
      <c r="VES2999" s="125"/>
      <c r="VET2999" s="470"/>
      <c r="VEU2999" s="449"/>
      <c r="VEV2999" s="462"/>
      <c r="VEW2999" s="299"/>
      <c r="VEX2999" s="81"/>
      <c r="VEY2999" s="160"/>
      <c r="VEZ2999" s="565"/>
      <c r="VFA2999" s="125"/>
      <c r="VFB2999" s="470"/>
      <c r="VFC2999" s="449"/>
      <c r="VFD2999" s="462"/>
      <c r="VFE2999" s="299"/>
      <c r="VFF2999" s="81"/>
      <c r="VFG2999" s="160"/>
      <c r="VFH2999" s="565"/>
      <c r="VFI2999" s="125"/>
      <c r="VFJ2999" s="470"/>
      <c r="VFK2999" s="449"/>
      <c r="VFL2999" s="462"/>
      <c r="VFM2999" s="299"/>
      <c r="VFN2999" s="81"/>
      <c r="VFO2999" s="160"/>
      <c r="VFP2999" s="565"/>
      <c r="VFQ2999" s="125"/>
      <c r="VFR2999" s="470"/>
      <c r="VFS2999" s="449"/>
      <c r="VFT2999" s="462"/>
      <c r="VFU2999" s="299"/>
      <c r="VFV2999" s="81"/>
      <c r="VFW2999" s="160"/>
      <c r="VFX2999" s="565"/>
      <c r="VFY2999" s="125"/>
      <c r="VFZ2999" s="470"/>
      <c r="VGA2999" s="449"/>
      <c r="VGB2999" s="462"/>
      <c r="VGC2999" s="299"/>
      <c r="VGD2999" s="81"/>
      <c r="VGE2999" s="160"/>
      <c r="VGF2999" s="565"/>
      <c r="VGG2999" s="125"/>
      <c r="VGH2999" s="470"/>
      <c r="VGI2999" s="449"/>
      <c r="VGJ2999" s="462"/>
      <c r="VGK2999" s="299"/>
      <c r="VGL2999" s="81"/>
      <c r="VGM2999" s="160"/>
      <c r="VGN2999" s="565"/>
      <c r="VGO2999" s="125"/>
      <c r="VGP2999" s="470"/>
      <c r="VGQ2999" s="449"/>
      <c r="VGR2999" s="462"/>
      <c r="VGS2999" s="299"/>
      <c r="VGT2999" s="81"/>
      <c r="VGU2999" s="160"/>
      <c r="VGV2999" s="565"/>
      <c r="VGW2999" s="125"/>
      <c r="VGX2999" s="470"/>
      <c r="VGY2999" s="449"/>
      <c r="VGZ2999" s="462"/>
      <c r="VHA2999" s="299"/>
      <c r="VHB2999" s="81"/>
      <c r="VHC2999" s="160"/>
      <c r="VHD2999" s="565"/>
      <c r="VHE2999" s="125"/>
      <c r="VHF2999" s="470"/>
      <c r="VHG2999" s="449"/>
      <c r="VHH2999" s="462"/>
      <c r="VHI2999" s="299"/>
      <c r="VHJ2999" s="81"/>
      <c r="VHK2999" s="160"/>
      <c r="VHL2999" s="565"/>
      <c r="VHM2999" s="125"/>
      <c r="VHN2999" s="470"/>
      <c r="VHO2999" s="449"/>
      <c r="VHP2999" s="462"/>
      <c r="VHQ2999" s="299"/>
      <c r="VHR2999" s="81"/>
      <c r="VHS2999" s="160"/>
      <c r="VHT2999" s="565"/>
      <c r="VHU2999" s="125"/>
      <c r="VHV2999" s="470"/>
      <c r="VHW2999" s="449"/>
      <c r="VHX2999" s="462"/>
      <c r="VHY2999" s="299"/>
      <c r="VHZ2999" s="81"/>
      <c r="VIA2999" s="160"/>
      <c r="VIB2999" s="565"/>
      <c r="VIC2999" s="125"/>
      <c r="VID2999" s="470"/>
      <c r="VIE2999" s="449"/>
      <c r="VIF2999" s="462"/>
      <c r="VIG2999" s="299"/>
      <c r="VIH2999" s="81"/>
      <c r="VII2999" s="160"/>
      <c r="VIJ2999" s="565"/>
      <c r="VIK2999" s="125"/>
      <c r="VIL2999" s="470"/>
      <c r="VIM2999" s="449"/>
      <c r="VIN2999" s="462"/>
      <c r="VIO2999" s="299"/>
      <c r="VIP2999" s="81"/>
      <c r="VIQ2999" s="160"/>
      <c r="VIR2999" s="565"/>
      <c r="VIS2999" s="125"/>
      <c r="VIT2999" s="470"/>
      <c r="VIU2999" s="449"/>
      <c r="VIV2999" s="462"/>
      <c r="VIW2999" s="299"/>
      <c r="VIX2999" s="81"/>
      <c r="VIY2999" s="160"/>
      <c r="VIZ2999" s="565"/>
      <c r="VJA2999" s="125"/>
      <c r="VJB2999" s="470"/>
      <c r="VJC2999" s="449"/>
      <c r="VJD2999" s="462"/>
      <c r="VJE2999" s="299"/>
      <c r="VJF2999" s="81"/>
      <c r="VJG2999" s="160"/>
      <c r="VJH2999" s="565"/>
      <c r="VJI2999" s="125"/>
      <c r="VJJ2999" s="470"/>
      <c r="VJK2999" s="449"/>
      <c r="VJL2999" s="462"/>
      <c r="VJM2999" s="299"/>
      <c r="VJN2999" s="81"/>
      <c r="VJO2999" s="160"/>
      <c r="VJP2999" s="565"/>
      <c r="VJQ2999" s="125"/>
      <c r="VJR2999" s="470"/>
      <c r="VJS2999" s="449"/>
      <c r="VJT2999" s="462"/>
      <c r="VJU2999" s="299"/>
      <c r="VJV2999" s="81"/>
      <c r="VJW2999" s="160"/>
      <c r="VJX2999" s="565"/>
      <c r="VJY2999" s="125"/>
      <c r="VJZ2999" s="470"/>
      <c r="VKA2999" s="449"/>
      <c r="VKB2999" s="462"/>
      <c r="VKC2999" s="299"/>
      <c r="VKD2999" s="81"/>
      <c r="VKE2999" s="160"/>
      <c r="VKF2999" s="565"/>
      <c r="VKG2999" s="125"/>
      <c r="VKH2999" s="470"/>
      <c r="VKI2999" s="449"/>
      <c r="VKJ2999" s="462"/>
      <c r="VKK2999" s="299"/>
      <c r="VKL2999" s="81"/>
      <c r="VKM2999" s="160"/>
      <c r="VKN2999" s="565"/>
      <c r="VKO2999" s="125"/>
      <c r="VKP2999" s="470"/>
      <c r="VKQ2999" s="449"/>
      <c r="VKR2999" s="462"/>
      <c r="VKS2999" s="299"/>
      <c r="VKT2999" s="81"/>
      <c r="VKU2999" s="160"/>
      <c r="VKV2999" s="565"/>
      <c r="VKW2999" s="125"/>
      <c r="VKX2999" s="470"/>
      <c r="VKY2999" s="449"/>
      <c r="VKZ2999" s="462"/>
      <c r="VLA2999" s="299"/>
      <c r="VLB2999" s="81"/>
      <c r="VLC2999" s="160"/>
      <c r="VLD2999" s="565"/>
      <c r="VLE2999" s="125"/>
      <c r="VLF2999" s="470"/>
      <c r="VLG2999" s="449"/>
      <c r="VLH2999" s="462"/>
      <c r="VLI2999" s="299"/>
      <c r="VLJ2999" s="81"/>
      <c r="VLK2999" s="160"/>
      <c r="VLL2999" s="565"/>
      <c r="VLM2999" s="125"/>
      <c r="VLN2999" s="470"/>
      <c r="VLO2999" s="449"/>
      <c r="VLP2999" s="462"/>
      <c r="VLQ2999" s="299"/>
      <c r="VLR2999" s="81"/>
      <c r="VLS2999" s="160"/>
      <c r="VLT2999" s="565"/>
      <c r="VLU2999" s="125"/>
      <c r="VLV2999" s="470"/>
      <c r="VLW2999" s="449"/>
      <c r="VLX2999" s="462"/>
      <c r="VLY2999" s="299"/>
      <c r="VLZ2999" s="81"/>
      <c r="VMA2999" s="160"/>
      <c r="VMB2999" s="565"/>
      <c r="VMC2999" s="125"/>
      <c r="VMD2999" s="470"/>
      <c r="VME2999" s="449"/>
      <c r="VMF2999" s="462"/>
      <c r="VMG2999" s="299"/>
      <c r="VMH2999" s="81"/>
      <c r="VMI2999" s="160"/>
      <c r="VMJ2999" s="565"/>
      <c r="VMK2999" s="125"/>
      <c r="VML2999" s="470"/>
      <c r="VMM2999" s="449"/>
      <c r="VMN2999" s="462"/>
      <c r="VMO2999" s="299"/>
      <c r="VMP2999" s="81"/>
      <c r="VMQ2999" s="160"/>
      <c r="VMR2999" s="565"/>
      <c r="VMS2999" s="125"/>
      <c r="VMT2999" s="470"/>
      <c r="VMU2999" s="449"/>
      <c r="VMV2999" s="462"/>
      <c r="VMW2999" s="299"/>
      <c r="VMX2999" s="81"/>
      <c r="VMY2999" s="160"/>
      <c r="VMZ2999" s="565"/>
      <c r="VNA2999" s="125"/>
      <c r="VNB2999" s="470"/>
      <c r="VNC2999" s="449"/>
      <c r="VND2999" s="462"/>
      <c r="VNE2999" s="299"/>
      <c r="VNF2999" s="81"/>
      <c r="VNG2999" s="160"/>
      <c r="VNH2999" s="565"/>
      <c r="VNI2999" s="125"/>
      <c r="VNJ2999" s="470"/>
      <c r="VNK2999" s="449"/>
      <c r="VNL2999" s="462"/>
      <c r="VNM2999" s="299"/>
      <c r="VNN2999" s="81"/>
      <c r="VNO2999" s="160"/>
      <c r="VNP2999" s="565"/>
      <c r="VNQ2999" s="125"/>
      <c r="VNR2999" s="470"/>
      <c r="VNS2999" s="449"/>
      <c r="VNT2999" s="462"/>
      <c r="VNU2999" s="299"/>
      <c r="VNV2999" s="81"/>
      <c r="VNW2999" s="160"/>
      <c r="VNX2999" s="565"/>
      <c r="VNY2999" s="125"/>
      <c r="VNZ2999" s="470"/>
      <c r="VOA2999" s="449"/>
      <c r="VOB2999" s="462"/>
      <c r="VOC2999" s="299"/>
      <c r="VOD2999" s="81"/>
      <c r="VOE2999" s="160"/>
      <c r="VOF2999" s="565"/>
      <c r="VOG2999" s="125"/>
      <c r="VOH2999" s="470"/>
      <c r="VOI2999" s="449"/>
      <c r="VOJ2999" s="462"/>
      <c r="VOK2999" s="299"/>
      <c r="VOL2999" s="81"/>
      <c r="VOM2999" s="160"/>
      <c r="VON2999" s="565"/>
      <c r="VOO2999" s="125"/>
      <c r="VOP2999" s="470"/>
      <c r="VOQ2999" s="449"/>
      <c r="VOR2999" s="462"/>
      <c r="VOS2999" s="299"/>
      <c r="VOT2999" s="81"/>
      <c r="VOU2999" s="160"/>
      <c r="VOV2999" s="565"/>
      <c r="VOW2999" s="125"/>
      <c r="VOX2999" s="470"/>
      <c r="VOY2999" s="449"/>
      <c r="VOZ2999" s="462"/>
      <c r="VPA2999" s="299"/>
      <c r="VPB2999" s="81"/>
      <c r="VPC2999" s="160"/>
      <c r="VPD2999" s="565"/>
      <c r="VPE2999" s="125"/>
      <c r="VPF2999" s="470"/>
      <c r="VPG2999" s="449"/>
      <c r="VPH2999" s="462"/>
      <c r="VPI2999" s="299"/>
      <c r="VPJ2999" s="81"/>
      <c r="VPK2999" s="160"/>
      <c r="VPL2999" s="565"/>
      <c r="VPM2999" s="125"/>
      <c r="VPN2999" s="470"/>
      <c r="VPO2999" s="449"/>
      <c r="VPP2999" s="462"/>
      <c r="VPQ2999" s="299"/>
      <c r="VPR2999" s="81"/>
      <c r="VPS2999" s="160"/>
      <c r="VPT2999" s="565"/>
      <c r="VPU2999" s="125"/>
      <c r="VPV2999" s="470"/>
      <c r="VPW2999" s="449"/>
      <c r="VPX2999" s="462"/>
      <c r="VPY2999" s="299"/>
      <c r="VPZ2999" s="81"/>
      <c r="VQA2999" s="160"/>
      <c r="VQB2999" s="565"/>
      <c r="VQC2999" s="125"/>
      <c r="VQD2999" s="470"/>
      <c r="VQE2999" s="449"/>
      <c r="VQF2999" s="462"/>
      <c r="VQG2999" s="299"/>
      <c r="VQH2999" s="81"/>
      <c r="VQI2999" s="160"/>
      <c r="VQJ2999" s="565"/>
      <c r="VQK2999" s="125"/>
      <c r="VQL2999" s="470"/>
      <c r="VQM2999" s="449"/>
      <c r="VQN2999" s="462"/>
      <c r="VQO2999" s="299"/>
      <c r="VQP2999" s="81"/>
      <c r="VQQ2999" s="160"/>
      <c r="VQR2999" s="565"/>
      <c r="VQS2999" s="125"/>
      <c r="VQT2999" s="470"/>
      <c r="VQU2999" s="449"/>
      <c r="VQV2999" s="462"/>
      <c r="VQW2999" s="299"/>
      <c r="VQX2999" s="81"/>
      <c r="VQY2999" s="160"/>
      <c r="VQZ2999" s="565"/>
      <c r="VRA2999" s="125"/>
      <c r="VRB2999" s="470"/>
      <c r="VRC2999" s="449"/>
      <c r="VRD2999" s="462"/>
      <c r="VRE2999" s="299"/>
      <c r="VRF2999" s="81"/>
      <c r="VRG2999" s="160"/>
      <c r="VRH2999" s="565"/>
      <c r="VRI2999" s="125"/>
      <c r="VRJ2999" s="470"/>
      <c r="VRK2999" s="449"/>
      <c r="VRL2999" s="462"/>
      <c r="VRM2999" s="299"/>
      <c r="VRN2999" s="81"/>
      <c r="VRO2999" s="160"/>
      <c r="VRP2999" s="565"/>
      <c r="VRQ2999" s="125"/>
      <c r="VRR2999" s="470"/>
      <c r="VRS2999" s="449"/>
      <c r="VRT2999" s="462"/>
      <c r="VRU2999" s="299"/>
      <c r="VRV2999" s="81"/>
      <c r="VRW2999" s="160"/>
      <c r="VRX2999" s="565"/>
      <c r="VRY2999" s="125"/>
      <c r="VRZ2999" s="470"/>
      <c r="VSA2999" s="449"/>
      <c r="VSB2999" s="462"/>
      <c r="VSC2999" s="299"/>
      <c r="VSD2999" s="81"/>
      <c r="VSE2999" s="160"/>
      <c r="VSF2999" s="565"/>
      <c r="VSG2999" s="125"/>
      <c r="VSH2999" s="470"/>
      <c r="VSI2999" s="449"/>
      <c r="VSJ2999" s="462"/>
      <c r="VSK2999" s="299"/>
      <c r="VSL2999" s="81"/>
      <c r="VSM2999" s="160"/>
      <c r="VSN2999" s="565"/>
      <c r="VSO2999" s="125"/>
      <c r="VSP2999" s="470"/>
      <c r="VSQ2999" s="449"/>
      <c r="VSR2999" s="462"/>
      <c r="VSS2999" s="299"/>
      <c r="VST2999" s="81"/>
      <c r="VSU2999" s="160"/>
      <c r="VSV2999" s="565"/>
      <c r="VSW2999" s="125"/>
      <c r="VSX2999" s="470"/>
      <c r="VSY2999" s="449"/>
      <c r="VSZ2999" s="462"/>
      <c r="VTA2999" s="299"/>
      <c r="VTB2999" s="81"/>
      <c r="VTC2999" s="160"/>
      <c r="VTD2999" s="565"/>
      <c r="VTE2999" s="125"/>
      <c r="VTF2999" s="470"/>
      <c r="VTG2999" s="449"/>
      <c r="VTH2999" s="462"/>
      <c r="VTI2999" s="299"/>
      <c r="VTJ2999" s="81"/>
      <c r="VTK2999" s="160"/>
      <c r="VTL2999" s="565"/>
      <c r="VTM2999" s="125"/>
      <c r="VTN2999" s="470"/>
      <c r="VTO2999" s="449"/>
      <c r="VTP2999" s="462"/>
      <c r="VTQ2999" s="299"/>
      <c r="VTR2999" s="81"/>
      <c r="VTS2999" s="160"/>
      <c r="VTT2999" s="565"/>
      <c r="VTU2999" s="125"/>
      <c r="VTV2999" s="470"/>
      <c r="VTW2999" s="449"/>
      <c r="VTX2999" s="462"/>
      <c r="VTY2999" s="299"/>
      <c r="VTZ2999" s="81"/>
      <c r="VUA2999" s="160"/>
      <c r="VUB2999" s="565"/>
      <c r="VUC2999" s="125"/>
      <c r="VUD2999" s="470"/>
      <c r="VUE2999" s="449"/>
      <c r="VUF2999" s="462"/>
      <c r="VUG2999" s="299"/>
      <c r="VUH2999" s="81"/>
      <c r="VUI2999" s="160"/>
      <c r="VUJ2999" s="565"/>
      <c r="VUK2999" s="125"/>
      <c r="VUL2999" s="470"/>
      <c r="VUM2999" s="449"/>
      <c r="VUN2999" s="462"/>
      <c r="VUO2999" s="299"/>
      <c r="VUP2999" s="81"/>
      <c r="VUQ2999" s="160"/>
      <c r="VUR2999" s="565"/>
      <c r="VUS2999" s="125"/>
      <c r="VUT2999" s="470"/>
      <c r="VUU2999" s="449"/>
      <c r="VUV2999" s="462"/>
      <c r="VUW2999" s="299"/>
      <c r="VUX2999" s="81"/>
      <c r="VUY2999" s="160"/>
      <c r="VUZ2999" s="565"/>
      <c r="VVA2999" s="125"/>
      <c r="VVB2999" s="470"/>
      <c r="VVC2999" s="449"/>
      <c r="VVD2999" s="462"/>
      <c r="VVE2999" s="299"/>
      <c r="VVF2999" s="81"/>
      <c r="VVG2999" s="160"/>
      <c r="VVH2999" s="565"/>
      <c r="VVI2999" s="125"/>
      <c r="VVJ2999" s="470"/>
      <c r="VVK2999" s="449"/>
      <c r="VVL2999" s="462"/>
      <c r="VVM2999" s="299"/>
      <c r="VVN2999" s="81"/>
      <c r="VVO2999" s="160"/>
      <c r="VVP2999" s="565"/>
      <c r="VVQ2999" s="125"/>
      <c r="VVR2999" s="470"/>
      <c r="VVS2999" s="449"/>
      <c r="VVT2999" s="462"/>
      <c r="VVU2999" s="299"/>
      <c r="VVV2999" s="81"/>
      <c r="VVW2999" s="160"/>
      <c r="VVX2999" s="565"/>
      <c r="VVY2999" s="125"/>
      <c r="VVZ2999" s="470"/>
      <c r="VWA2999" s="449"/>
      <c r="VWB2999" s="462"/>
      <c r="VWC2999" s="299"/>
      <c r="VWD2999" s="81"/>
      <c r="VWE2999" s="160"/>
      <c r="VWF2999" s="565"/>
      <c r="VWG2999" s="125"/>
      <c r="VWH2999" s="470"/>
      <c r="VWI2999" s="449"/>
      <c r="VWJ2999" s="462"/>
      <c r="VWK2999" s="299"/>
      <c r="VWL2999" s="81"/>
      <c r="VWM2999" s="160"/>
      <c r="VWN2999" s="565"/>
      <c r="VWO2999" s="125"/>
      <c r="VWP2999" s="470"/>
      <c r="VWQ2999" s="449"/>
      <c r="VWR2999" s="462"/>
      <c r="VWS2999" s="299"/>
      <c r="VWT2999" s="81"/>
      <c r="VWU2999" s="160"/>
      <c r="VWV2999" s="565"/>
      <c r="VWW2999" s="125"/>
      <c r="VWX2999" s="470"/>
      <c r="VWY2999" s="449"/>
      <c r="VWZ2999" s="462"/>
      <c r="VXA2999" s="299"/>
      <c r="VXB2999" s="81"/>
      <c r="VXC2999" s="160"/>
      <c r="VXD2999" s="565"/>
      <c r="VXE2999" s="125"/>
      <c r="VXF2999" s="470"/>
      <c r="VXG2999" s="449"/>
      <c r="VXH2999" s="462"/>
      <c r="VXI2999" s="299"/>
      <c r="VXJ2999" s="81"/>
      <c r="VXK2999" s="160"/>
      <c r="VXL2999" s="565"/>
      <c r="VXM2999" s="125"/>
      <c r="VXN2999" s="470"/>
      <c r="VXO2999" s="449"/>
      <c r="VXP2999" s="462"/>
      <c r="VXQ2999" s="299"/>
      <c r="VXR2999" s="81"/>
      <c r="VXS2999" s="160"/>
      <c r="VXT2999" s="565"/>
      <c r="VXU2999" s="125"/>
      <c r="VXV2999" s="470"/>
      <c r="VXW2999" s="449"/>
      <c r="VXX2999" s="462"/>
      <c r="VXY2999" s="299"/>
      <c r="VXZ2999" s="81"/>
      <c r="VYA2999" s="160"/>
      <c r="VYB2999" s="565"/>
      <c r="VYC2999" s="125"/>
      <c r="VYD2999" s="470"/>
      <c r="VYE2999" s="449"/>
      <c r="VYF2999" s="462"/>
      <c r="VYG2999" s="299"/>
      <c r="VYH2999" s="81"/>
      <c r="VYI2999" s="160"/>
      <c r="VYJ2999" s="565"/>
      <c r="VYK2999" s="125"/>
      <c r="VYL2999" s="470"/>
      <c r="VYM2999" s="449"/>
      <c r="VYN2999" s="462"/>
      <c r="VYO2999" s="299"/>
      <c r="VYP2999" s="81"/>
      <c r="VYQ2999" s="160"/>
      <c r="VYR2999" s="565"/>
      <c r="VYS2999" s="125"/>
      <c r="VYT2999" s="470"/>
      <c r="VYU2999" s="449"/>
      <c r="VYV2999" s="462"/>
      <c r="VYW2999" s="299"/>
      <c r="VYX2999" s="81"/>
      <c r="VYY2999" s="160"/>
      <c r="VYZ2999" s="565"/>
      <c r="VZA2999" s="125"/>
      <c r="VZB2999" s="470"/>
      <c r="VZC2999" s="449"/>
      <c r="VZD2999" s="462"/>
      <c r="VZE2999" s="299"/>
      <c r="VZF2999" s="81"/>
      <c r="VZG2999" s="160"/>
      <c r="VZH2999" s="565"/>
      <c r="VZI2999" s="125"/>
      <c r="VZJ2999" s="470"/>
      <c r="VZK2999" s="449"/>
      <c r="VZL2999" s="462"/>
      <c r="VZM2999" s="299"/>
      <c r="VZN2999" s="81"/>
      <c r="VZO2999" s="160"/>
      <c r="VZP2999" s="565"/>
      <c r="VZQ2999" s="125"/>
      <c r="VZR2999" s="470"/>
      <c r="VZS2999" s="449"/>
      <c r="VZT2999" s="462"/>
      <c r="VZU2999" s="299"/>
      <c r="VZV2999" s="81"/>
      <c r="VZW2999" s="160"/>
      <c r="VZX2999" s="565"/>
      <c r="VZY2999" s="125"/>
      <c r="VZZ2999" s="470"/>
      <c r="WAA2999" s="449"/>
      <c r="WAB2999" s="462"/>
      <c r="WAC2999" s="299"/>
      <c r="WAD2999" s="81"/>
      <c r="WAE2999" s="160"/>
      <c r="WAF2999" s="565"/>
      <c r="WAG2999" s="125"/>
      <c r="WAH2999" s="470"/>
      <c r="WAI2999" s="449"/>
      <c r="WAJ2999" s="462"/>
      <c r="WAK2999" s="299"/>
      <c r="WAL2999" s="81"/>
      <c r="WAM2999" s="160"/>
      <c r="WAN2999" s="565"/>
      <c r="WAO2999" s="125"/>
      <c r="WAP2999" s="470"/>
      <c r="WAQ2999" s="449"/>
      <c r="WAR2999" s="462"/>
      <c r="WAS2999" s="299"/>
      <c r="WAT2999" s="81"/>
      <c r="WAU2999" s="160"/>
      <c r="WAV2999" s="565"/>
      <c r="WAW2999" s="125"/>
      <c r="WAX2999" s="470"/>
      <c r="WAY2999" s="449"/>
      <c r="WAZ2999" s="462"/>
      <c r="WBA2999" s="299"/>
      <c r="WBB2999" s="81"/>
      <c r="WBC2999" s="160"/>
      <c r="WBD2999" s="565"/>
      <c r="WBE2999" s="125"/>
      <c r="WBF2999" s="470"/>
      <c r="WBG2999" s="449"/>
      <c r="WBH2999" s="462"/>
      <c r="WBI2999" s="299"/>
      <c r="WBJ2999" s="81"/>
      <c r="WBK2999" s="160"/>
      <c r="WBL2999" s="565"/>
      <c r="WBM2999" s="125"/>
      <c r="WBN2999" s="470"/>
      <c r="WBO2999" s="449"/>
      <c r="WBP2999" s="462"/>
      <c r="WBQ2999" s="299"/>
      <c r="WBR2999" s="81"/>
      <c r="WBS2999" s="160"/>
      <c r="WBT2999" s="565"/>
      <c r="WBU2999" s="125"/>
      <c r="WBV2999" s="470"/>
      <c r="WBW2999" s="449"/>
      <c r="WBX2999" s="462"/>
      <c r="WBY2999" s="299"/>
      <c r="WBZ2999" s="81"/>
      <c r="WCA2999" s="160"/>
      <c r="WCB2999" s="565"/>
      <c r="WCC2999" s="125"/>
      <c r="WCD2999" s="470"/>
      <c r="WCE2999" s="449"/>
      <c r="WCF2999" s="462"/>
      <c r="WCG2999" s="299"/>
      <c r="WCH2999" s="81"/>
      <c r="WCI2999" s="160"/>
      <c r="WCJ2999" s="565"/>
      <c r="WCK2999" s="125"/>
      <c r="WCL2999" s="470"/>
      <c r="WCM2999" s="449"/>
      <c r="WCN2999" s="462"/>
      <c r="WCO2999" s="299"/>
      <c r="WCP2999" s="81"/>
      <c r="WCQ2999" s="160"/>
      <c r="WCR2999" s="565"/>
      <c r="WCS2999" s="125"/>
      <c r="WCT2999" s="470"/>
      <c r="WCU2999" s="449"/>
      <c r="WCV2999" s="462"/>
      <c r="WCW2999" s="299"/>
      <c r="WCX2999" s="81"/>
      <c r="WCY2999" s="160"/>
      <c r="WCZ2999" s="565"/>
      <c r="WDA2999" s="125"/>
      <c r="WDB2999" s="470"/>
      <c r="WDC2999" s="449"/>
      <c r="WDD2999" s="462"/>
      <c r="WDE2999" s="299"/>
      <c r="WDF2999" s="81"/>
      <c r="WDG2999" s="160"/>
      <c r="WDH2999" s="565"/>
      <c r="WDI2999" s="125"/>
      <c r="WDJ2999" s="470"/>
      <c r="WDK2999" s="449"/>
      <c r="WDL2999" s="462"/>
      <c r="WDM2999" s="299"/>
      <c r="WDN2999" s="81"/>
      <c r="WDO2999" s="160"/>
      <c r="WDP2999" s="565"/>
      <c r="WDQ2999" s="125"/>
      <c r="WDR2999" s="470"/>
      <c r="WDS2999" s="449"/>
      <c r="WDT2999" s="462"/>
      <c r="WDU2999" s="299"/>
      <c r="WDV2999" s="81"/>
      <c r="WDW2999" s="160"/>
      <c r="WDX2999" s="565"/>
      <c r="WDY2999" s="125"/>
      <c r="WDZ2999" s="470"/>
      <c r="WEA2999" s="449"/>
      <c r="WEB2999" s="462"/>
      <c r="WEC2999" s="299"/>
      <c r="WED2999" s="81"/>
      <c r="WEE2999" s="160"/>
      <c r="WEF2999" s="565"/>
      <c r="WEG2999" s="125"/>
      <c r="WEH2999" s="470"/>
      <c r="WEI2999" s="449"/>
      <c r="WEJ2999" s="462"/>
      <c r="WEK2999" s="299"/>
      <c r="WEL2999" s="81"/>
      <c r="WEM2999" s="160"/>
      <c r="WEN2999" s="565"/>
      <c r="WEO2999" s="125"/>
      <c r="WEP2999" s="470"/>
      <c r="WEQ2999" s="449"/>
      <c r="WER2999" s="462"/>
      <c r="WES2999" s="299"/>
      <c r="WET2999" s="81"/>
      <c r="WEU2999" s="160"/>
      <c r="WEV2999" s="565"/>
      <c r="WEW2999" s="125"/>
      <c r="WEX2999" s="470"/>
      <c r="WEY2999" s="449"/>
      <c r="WEZ2999" s="462"/>
      <c r="WFA2999" s="299"/>
      <c r="WFB2999" s="81"/>
      <c r="WFC2999" s="160"/>
      <c r="WFD2999" s="565"/>
      <c r="WFE2999" s="125"/>
      <c r="WFF2999" s="470"/>
      <c r="WFG2999" s="449"/>
      <c r="WFH2999" s="462"/>
      <c r="WFI2999" s="299"/>
      <c r="WFJ2999" s="81"/>
      <c r="WFK2999" s="160"/>
      <c r="WFL2999" s="565"/>
      <c r="WFM2999" s="125"/>
      <c r="WFN2999" s="470"/>
      <c r="WFO2999" s="449"/>
      <c r="WFP2999" s="462"/>
      <c r="WFQ2999" s="299"/>
      <c r="WFR2999" s="81"/>
      <c r="WFS2999" s="160"/>
      <c r="WFT2999" s="565"/>
      <c r="WFU2999" s="125"/>
      <c r="WFV2999" s="470"/>
      <c r="WFW2999" s="449"/>
      <c r="WFX2999" s="462"/>
      <c r="WFY2999" s="299"/>
      <c r="WFZ2999" s="81"/>
      <c r="WGA2999" s="160"/>
      <c r="WGB2999" s="565"/>
      <c r="WGC2999" s="125"/>
      <c r="WGD2999" s="470"/>
      <c r="WGE2999" s="449"/>
      <c r="WGF2999" s="462"/>
      <c r="WGG2999" s="299"/>
      <c r="WGH2999" s="81"/>
      <c r="WGI2999" s="160"/>
      <c r="WGJ2999" s="565"/>
      <c r="WGK2999" s="125"/>
      <c r="WGL2999" s="470"/>
      <c r="WGM2999" s="449"/>
      <c r="WGN2999" s="462"/>
      <c r="WGO2999" s="299"/>
      <c r="WGP2999" s="81"/>
      <c r="WGQ2999" s="160"/>
      <c r="WGR2999" s="565"/>
      <c r="WGS2999" s="125"/>
      <c r="WGT2999" s="470"/>
      <c r="WGU2999" s="449"/>
      <c r="WGV2999" s="462"/>
      <c r="WGW2999" s="299"/>
      <c r="WGX2999" s="81"/>
      <c r="WGY2999" s="160"/>
      <c r="WGZ2999" s="565"/>
      <c r="WHA2999" s="125"/>
      <c r="WHB2999" s="470"/>
      <c r="WHC2999" s="449"/>
      <c r="WHD2999" s="462"/>
      <c r="WHE2999" s="299"/>
      <c r="WHF2999" s="81"/>
      <c r="WHG2999" s="160"/>
      <c r="WHH2999" s="565"/>
      <c r="WHI2999" s="125"/>
      <c r="WHJ2999" s="470"/>
      <c r="WHK2999" s="449"/>
      <c r="WHL2999" s="462"/>
      <c r="WHM2999" s="299"/>
      <c r="WHN2999" s="81"/>
      <c r="WHO2999" s="160"/>
      <c r="WHP2999" s="565"/>
      <c r="WHQ2999" s="125"/>
      <c r="WHR2999" s="470"/>
      <c r="WHS2999" s="449"/>
      <c r="WHT2999" s="462"/>
      <c r="WHU2999" s="299"/>
      <c r="WHV2999" s="81"/>
      <c r="WHW2999" s="160"/>
      <c r="WHX2999" s="565"/>
      <c r="WHY2999" s="125"/>
      <c r="WHZ2999" s="470"/>
      <c r="WIA2999" s="449"/>
      <c r="WIB2999" s="462"/>
      <c r="WIC2999" s="299"/>
      <c r="WID2999" s="81"/>
      <c r="WIE2999" s="160"/>
      <c r="WIF2999" s="565"/>
      <c r="WIG2999" s="125"/>
      <c r="WIH2999" s="470"/>
      <c r="WII2999" s="449"/>
      <c r="WIJ2999" s="462"/>
      <c r="WIK2999" s="299"/>
      <c r="WIL2999" s="81"/>
      <c r="WIM2999" s="160"/>
      <c r="WIN2999" s="565"/>
      <c r="WIO2999" s="125"/>
      <c r="WIP2999" s="470"/>
      <c r="WIQ2999" s="449"/>
      <c r="WIR2999" s="462"/>
      <c r="WIS2999" s="299"/>
      <c r="WIT2999" s="81"/>
      <c r="WIU2999" s="160"/>
      <c r="WIV2999" s="565"/>
      <c r="WIW2999" s="125"/>
      <c r="WIX2999" s="470"/>
      <c r="WIY2999" s="449"/>
      <c r="WIZ2999" s="462"/>
      <c r="WJA2999" s="299"/>
      <c r="WJB2999" s="81"/>
      <c r="WJC2999" s="160"/>
      <c r="WJD2999" s="565"/>
      <c r="WJE2999" s="125"/>
      <c r="WJF2999" s="470"/>
      <c r="WJG2999" s="449"/>
      <c r="WJH2999" s="462"/>
      <c r="WJI2999" s="299"/>
      <c r="WJJ2999" s="81"/>
      <c r="WJK2999" s="160"/>
      <c r="WJL2999" s="565"/>
      <c r="WJM2999" s="125"/>
      <c r="WJN2999" s="470"/>
      <c r="WJO2999" s="449"/>
      <c r="WJP2999" s="462"/>
      <c r="WJQ2999" s="299"/>
      <c r="WJR2999" s="81"/>
      <c r="WJS2999" s="160"/>
      <c r="WJT2999" s="565"/>
      <c r="WJU2999" s="125"/>
      <c r="WJV2999" s="470"/>
      <c r="WJW2999" s="449"/>
      <c r="WJX2999" s="462"/>
      <c r="WJY2999" s="299"/>
      <c r="WJZ2999" s="81"/>
      <c r="WKA2999" s="160"/>
      <c r="WKB2999" s="565"/>
      <c r="WKC2999" s="125"/>
      <c r="WKD2999" s="470"/>
      <c r="WKE2999" s="449"/>
      <c r="WKF2999" s="462"/>
      <c r="WKG2999" s="299"/>
      <c r="WKH2999" s="81"/>
      <c r="WKI2999" s="160"/>
      <c r="WKJ2999" s="565"/>
      <c r="WKK2999" s="125"/>
      <c r="WKL2999" s="470"/>
      <c r="WKM2999" s="449"/>
      <c r="WKN2999" s="462"/>
      <c r="WKO2999" s="299"/>
      <c r="WKP2999" s="81"/>
      <c r="WKQ2999" s="160"/>
      <c r="WKR2999" s="565"/>
      <c r="WKS2999" s="125"/>
      <c r="WKT2999" s="470"/>
      <c r="WKU2999" s="449"/>
      <c r="WKV2999" s="462"/>
      <c r="WKW2999" s="299"/>
      <c r="WKX2999" s="81"/>
      <c r="WKY2999" s="160"/>
      <c r="WKZ2999" s="565"/>
      <c r="WLA2999" s="125"/>
      <c r="WLB2999" s="470"/>
      <c r="WLC2999" s="449"/>
      <c r="WLD2999" s="462"/>
      <c r="WLE2999" s="299"/>
      <c r="WLF2999" s="81"/>
      <c r="WLG2999" s="160"/>
      <c r="WLH2999" s="565"/>
      <c r="WLI2999" s="125"/>
      <c r="WLJ2999" s="470"/>
      <c r="WLK2999" s="449"/>
      <c r="WLL2999" s="462"/>
      <c r="WLM2999" s="299"/>
      <c r="WLN2999" s="81"/>
      <c r="WLO2999" s="160"/>
      <c r="WLP2999" s="565"/>
      <c r="WLQ2999" s="125"/>
      <c r="WLR2999" s="470"/>
      <c r="WLS2999" s="449"/>
      <c r="WLT2999" s="462"/>
      <c r="WLU2999" s="299"/>
      <c r="WLV2999" s="81"/>
      <c r="WLW2999" s="160"/>
      <c r="WLX2999" s="565"/>
      <c r="WLY2999" s="125"/>
      <c r="WLZ2999" s="470"/>
      <c r="WMA2999" s="449"/>
      <c r="WMB2999" s="462"/>
      <c r="WMC2999" s="299"/>
      <c r="WMD2999" s="81"/>
      <c r="WME2999" s="160"/>
      <c r="WMF2999" s="565"/>
      <c r="WMG2999" s="125"/>
      <c r="WMH2999" s="470"/>
      <c r="WMI2999" s="449"/>
      <c r="WMJ2999" s="462"/>
      <c r="WMK2999" s="299"/>
      <c r="WML2999" s="81"/>
      <c r="WMM2999" s="160"/>
      <c r="WMN2999" s="565"/>
      <c r="WMO2999" s="125"/>
      <c r="WMP2999" s="470"/>
      <c r="WMQ2999" s="449"/>
      <c r="WMR2999" s="462"/>
      <c r="WMS2999" s="299"/>
      <c r="WMT2999" s="81"/>
      <c r="WMU2999" s="160"/>
      <c r="WMV2999" s="565"/>
      <c r="WMW2999" s="125"/>
      <c r="WMX2999" s="470"/>
      <c r="WMY2999" s="449"/>
      <c r="WMZ2999" s="462"/>
      <c r="WNA2999" s="299"/>
      <c r="WNB2999" s="81"/>
      <c r="WNC2999" s="160"/>
      <c r="WND2999" s="565"/>
      <c r="WNE2999" s="125"/>
      <c r="WNF2999" s="470"/>
      <c r="WNG2999" s="449"/>
      <c r="WNH2999" s="462"/>
      <c r="WNI2999" s="299"/>
      <c r="WNJ2999" s="81"/>
      <c r="WNK2999" s="160"/>
      <c r="WNL2999" s="565"/>
      <c r="WNM2999" s="125"/>
      <c r="WNN2999" s="470"/>
      <c r="WNO2999" s="449"/>
      <c r="WNP2999" s="462"/>
      <c r="WNQ2999" s="299"/>
      <c r="WNR2999" s="81"/>
      <c r="WNS2999" s="160"/>
      <c r="WNT2999" s="565"/>
      <c r="WNU2999" s="125"/>
      <c r="WNV2999" s="470"/>
      <c r="WNW2999" s="449"/>
      <c r="WNX2999" s="462"/>
      <c r="WNY2999" s="299"/>
      <c r="WNZ2999" s="81"/>
      <c r="WOA2999" s="160"/>
      <c r="WOB2999" s="565"/>
      <c r="WOC2999" s="125"/>
      <c r="WOD2999" s="470"/>
      <c r="WOE2999" s="449"/>
      <c r="WOF2999" s="462"/>
      <c r="WOG2999" s="299"/>
      <c r="WOH2999" s="81"/>
      <c r="WOI2999" s="160"/>
      <c r="WOJ2999" s="565"/>
      <c r="WOK2999" s="125"/>
      <c r="WOL2999" s="470"/>
      <c r="WOM2999" s="449"/>
      <c r="WON2999" s="462"/>
      <c r="WOO2999" s="299"/>
      <c r="WOP2999" s="81"/>
      <c r="WOQ2999" s="160"/>
      <c r="WOR2999" s="565"/>
      <c r="WOS2999" s="125"/>
      <c r="WOT2999" s="470"/>
      <c r="WOU2999" s="449"/>
      <c r="WOV2999" s="462"/>
      <c r="WOW2999" s="299"/>
      <c r="WOX2999" s="81"/>
      <c r="WOY2999" s="160"/>
      <c r="WOZ2999" s="565"/>
      <c r="WPA2999" s="125"/>
      <c r="WPB2999" s="470"/>
      <c r="WPC2999" s="449"/>
      <c r="WPD2999" s="462"/>
      <c r="WPE2999" s="299"/>
      <c r="WPF2999" s="81"/>
      <c r="WPG2999" s="160"/>
      <c r="WPH2999" s="565"/>
      <c r="WPI2999" s="125"/>
      <c r="WPJ2999" s="470"/>
      <c r="WPK2999" s="449"/>
      <c r="WPL2999" s="462"/>
      <c r="WPM2999" s="299"/>
      <c r="WPN2999" s="81"/>
      <c r="WPO2999" s="160"/>
      <c r="WPP2999" s="565"/>
      <c r="WPQ2999" s="125"/>
      <c r="WPR2999" s="470"/>
      <c r="WPS2999" s="449"/>
      <c r="WPT2999" s="462"/>
      <c r="WPU2999" s="299"/>
      <c r="WPV2999" s="81"/>
      <c r="WPW2999" s="160"/>
      <c r="WPX2999" s="565"/>
      <c r="WPY2999" s="125"/>
      <c r="WPZ2999" s="470"/>
      <c r="WQA2999" s="449"/>
      <c r="WQB2999" s="462"/>
      <c r="WQC2999" s="299"/>
      <c r="WQD2999" s="81"/>
      <c r="WQE2999" s="160"/>
      <c r="WQF2999" s="565"/>
      <c r="WQG2999" s="125"/>
      <c r="WQH2999" s="470"/>
      <c r="WQI2999" s="449"/>
      <c r="WQJ2999" s="462"/>
      <c r="WQK2999" s="299"/>
      <c r="WQL2999" s="81"/>
      <c r="WQM2999" s="160"/>
      <c r="WQN2999" s="565"/>
      <c r="WQO2999" s="125"/>
      <c r="WQP2999" s="470"/>
      <c r="WQQ2999" s="449"/>
      <c r="WQR2999" s="462"/>
      <c r="WQS2999" s="299"/>
      <c r="WQT2999" s="81"/>
      <c r="WQU2999" s="160"/>
      <c r="WQV2999" s="565"/>
      <c r="WQW2999" s="125"/>
      <c r="WQX2999" s="470"/>
      <c r="WQY2999" s="449"/>
      <c r="WQZ2999" s="462"/>
      <c r="WRA2999" s="299"/>
      <c r="WRB2999" s="81"/>
      <c r="WRC2999" s="160"/>
      <c r="WRD2999" s="565"/>
      <c r="WRE2999" s="125"/>
      <c r="WRF2999" s="470"/>
      <c r="WRG2999" s="449"/>
      <c r="WRH2999" s="462"/>
      <c r="WRI2999" s="299"/>
      <c r="WRJ2999" s="81"/>
      <c r="WRK2999" s="160"/>
      <c r="WRL2999" s="565"/>
      <c r="WRM2999" s="125"/>
      <c r="WRN2999" s="470"/>
      <c r="WRO2999" s="449"/>
      <c r="WRP2999" s="462"/>
      <c r="WRQ2999" s="299"/>
      <c r="WRR2999" s="81"/>
      <c r="WRS2999" s="160"/>
      <c r="WRT2999" s="565"/>
      <c r="WRU2999" s="125"/>
      <c r="WRV2999" s="470"/>
      <c r="WRW2999" s="449"/>
      <c r="WRX2999" s="462"/>
      <c r="WRY2999" s="299"/>
      <c r="WRZ2999" s="81"/>
      <c r="WSA2999" s="160"/>
      <c r="WSB2999" s="565"/>
      <c r="WSC2999" s="125"/>
      <c r="WSD2999" s="470"/>
      <c r="WSE2999" s="449"/>
      <c r="WSF2999" s="462"/>
      <c r="WSG2999" s="299"/>
      <c r="WSH2999" s="81"/>
      <c r="WSI2999" s="160"/>
      <c r="WSJ2999" s="565"/>
      <c r="WSK2999" s="125"/>
      <c r="WSL2999" s="470"/>
      <c r="WSM2999" s="449"/>
      <c r="WSN2999" s="462"/>
      <c r="WSO2999" s="299"/>
      <c r="WSP2999" s="81"/>
      <c r="WSQ2999" s="160"/>
      <c r="WSR2999" s="565"/>
      <c r="WSS2999" s="125"/>
      <c r="WST2999" s="470"/>
      <c r="WSU2999" s="449"/>
      <c r="WSV2999" s="462"/>
      <c r="WSW2999" s="299"/>
      <c r="WSX2999" s="81"/>
      <c r="WSY2999" s="160"/>
      <c r="WSZ2999" s="565"/>
      <c r="WTA2999" s="125"/>
      <c r="WTB2999" s="470"/>
      <c r="WTC2999" s="449"/>
      <c r="WTD2999" s="462"/>
      <c r="WTE2999" s="299"/>
      <c r="WTF2999" s="81"/>
      <c r="WTG2999" s="160"/>
      <c r="WTH2999" s="565"/>
      <c r="WTI2999" s="125"/>
      <c r="WTJ2999" s="470"/>
      <c r="WTK2999" s="449"/>
      <c r="WTL2999" s="462"/>
      <c r="WTM2999" s="299"/>
      <c r="WTN2999" s="81"/>
      <c r="WTO2999" s="160"/>
      <c r="WTP2999" s="565"/>
      <c r="WTQ2999" s="125"/>
      <c r="WTR2999" s="470"/>
      <c r="WTS2999" s="449"/>
      <c r="WTT2999" s="462"/>
      <c r="WTU2999" s="299"/>
      <c r="WTV2999" s="81"/>
      <c r="WTW2999" s="160"/>
      <c r="WTX2999" s="565"/>
      <c r="WTY2999" s="125"/>
      <c r="WTZ2999" s="470"/>
      <c r="WUA2999" s="449"/>
      <c r="WUB2999" s="462"/>
      <c r="WUC2999" s="299"/>
      <c r="WUD2999" s="81"/>
      <c r="WUE2999" s="160"/>
      <c r="WUF2999" s="565"/>
      <c r="WUG2999" s="125"/>
      <c r="WUH2999" s="470"/>
      <c r="WUI2999" s="449"/>
      <c r="WUJ2999" s="462"/>
      <c r="WUK2999" s="299"/>
      <c r="WUL2999" s="81"/>
      <c r="WUM2999" s="160"/>
      <c r="WUN2999" s="565"/>
      <c r="WUO2999" s="125"/>
      <c r="WUP2999" s="470"/>
      <c r="WUQ2999" s="449"/>
      <c r="WUR2999" s="462"/>
      <c r="WUS2999" s="299"/>
      <c r="WUT2999" s="81"/>
      <c r="WUU2999" s="160"/>
      <c r="WUV2999" s="565"/>
      <c r="WUW2999" s="125"/>
      <c r="WUX2999" s="470"/>
      <c r="WUY2999" s="449"/>
      <c r="WUZ2999" s="462"/>
      <c r="WVA2999" s="299"/>
      <c r="WVB2999" s="81"/>
      <c r="WVC2999" s="160"/>
      <c r="WVD2999" s="565"/>
      <c r="WVE2999" s="125"/>
      <c r="WVF2999" s="470"/>
      <c r="WVG2999" s="449"/>
      <c r="WVH2999" s="462"/>
      <c r="WVI2999" s="299"/>
      <c r="WVJ2999" s="81"/>
      <c r="WVK2999" s="160"/>
      <c r="WVL2999" s="565"/>
      <c r="WVM2999" s="125"/>
      <c r="WVN2999" s="470"/>
      <c r="WVO2999" s="449"/>
      <c r="WVP2999" s="462"/>
      <c r="WVQ2999" s="299"/>
      <c r="WVR2999" s="81"/>
      <c r="WVS2999" s="160"/>
      <c r="WVT2999" s="565"/>
      <c r="WVU2999" s="125"/>
      <c r="WVV2999" s="470"/>
      <c r="WVW2999" s="449"/>
      <c r="WVX2999" s="462"/>
      <c r="WVY2999" s="299"/>
      <c r="WVZ2999" s="81"/>
      <c r="WWA2999" s="160"/>
      <c r="WWB2999" s="565"/>
      <c r="WWC2999" s="125"/>
      <c r="WWD2999" s="470"/>
      <c r="WWE2999" s="449"/>
      <c r="WWF2999" s="462"/>
      <c r="WWG2999" s="299"/>
      <c r="WWH2999" s="81"/>
      <c r="WWI2999" s="160"/>
      <c r="WWJ2999" s="565"/>
      <c r="WWK2999" s="125"/>
      <c r="WWL2999" s="470"/>
      <c r="WWM2999" s="449"/>
      <c r="WWN2999" s="462"/>
      <c r="WWO2999" s="299"/>
      <c r="WWP2999" s="81"/>
      <c r="WWQ2999" s="160"/>
      <c r="WWR2999" s="565"/>
      <c r="WWS2999" s="125"/>
      <c r="WWT2999" s="470"/>
      <c r="WWU2999" s="449"/>
      <c r="WWV2999" s="462"/>
      <c r="WWW2999" s="299"/>
      <c r="WWX2999" s="81"/>
      <c r="WWY2999" s="160"/>
      <c r="WWZ2999" s="565"/>
      <c r="WXA2999" s="125"/>
      <c r="WXB2999" s="470"/>
      <c r="WXC2999" s="449"/>
      <c r="WXD2999" s="462"/>
      <c r="WXE2999" s="299"/>
      <c r="WXF2999" s="81"/>
      <c r="WXG2999" s="160"/>
      <c r="WXH2999" s="565"/>
      <c r="WXI2999" s="125"/>
      <c r="WXJ2999" s="470"/>
      <c r="WXK2999" s="449"/>
      <c r="WXL2999" s="462"/>
      <c r="WXM2999" s="299"/>
      <c r="WXN2999" s="81"/>
      <c r="WXO2999" s="160"/>
      <c r="WXP2999" s="565"/>
      <c r="WXQ2999" s="125"/>
      <c r="WXR2999" s="470"/>
      <c r="WXS2999" s="449"/>
      <c r="WXT2999" s="462"/>
      <c r="WXU2999" s="299"/>
      <c r="WXV2999" s="81"/>
      <c r="WXW2999" s="160"/>
      <c r="WXX2999" s="565"/>
      <c r="WXY2999" s="125"/>
      <c r="WXZ2999" s="470"/>
      <c r="WYA2999" s="449"/>
      <c r="WYB2999" s="462"/>
      <c r="WYC2999" s="299"/>
      <c r="WYD2999" s="81"/>
      <c r="WYE2999" s="160"/>
      <c r="WYF2999" s="565"/>
      <c r="WYG2999" s="125"/>
      <c r="WYH2999" s="470"/>
      <c r="WYI2999" s="449"/>
      <c r="WYJ2999" s="462"/>
      <c r="WYK2999" s="299"/>
      <c r="WYL2999" s="81"/>
      <c r="WYM2999" s="160"/>
      <c r="WYN2999" s="565"/>
      <c r="WYO2999" s="125"/>
      <c r="WYP2999" s="470"/>
      <c r="WYQ2999" s="449"/>
      <c r="WYR2999" s="462"/>
      <c r="WYS2999" s="299"/>
      <c r="WYT2999" s="81"/>
      <c r="WYU2999" s="160"/>
      <c r="WYV2999" s="565"/>
      <c r="WYW2999" s="125"/>
      <c r="WYX2999" s="470"/>
      <c r="WYY2999" s="449"/>
      <c r="WYZ2999" s="462"/>
      <c r="WZA2999" s="299"/>
      <c r="WZB2999" s="81"/>
      <c r="WZC2999" s="160"/>
      <c r="WZD2999" s="565"/>
      <c r="WZE2999" s="125"/>
      <c r="WZF2999" s="470"/>
      <c r="WZG2999" s="449"/>
      <c r="WZH2999" s="462"/>
      <c r="WZI2999" s="299"/>
      <c r="WZJ2999" s="81"/>
      <c r="WZK2999" s="160"/>
      <c r="WZL2999" s="565"/>
      <c r="WZM2999" s="125"/>
      <c r="WZN2999" s="470"/>
      <c r="WZO2999" s="449"/>
      <c r="WZP2999" s="462"/>
      <c r="WZQ2999" s="299"/>
      <c r="WZR2999" s="81"/>
      <c r="WZS2999" s="160"/>
      <c r="WZT2999" s="565"/>
      <c r="WZU2999" s="125"/>
      <c r="WZV2999" s="470"/>
      <c r="WZW2999" s="449"/>
      <c r="WZX2999" s="462"/>
      <c r="WZY2999" s="299"/>
      <c r="WZZ2999" s="81"/>
      <c r="XAA2999" s="160"/>
      <c r="XAB2999" s="565"/>
      <c r="XAC2999" s="125"/>
      <c r="XAD2999" s="470"/>
      <c r="XAE2999" s="449"/>
      <c r="XAF2999" s="462"/>
      <c r="XAG2999" s="299"/>
      <c r="XAH2999" s="81"/>
      <c r="XAI2999" s="160"/>
      <c r="XAJ2999" s="565"/>
      <c r="XAK2999" s="125"/>
      <c r="XAL2999" s="470"/>
      <c r="XAM2999" s="449"/>
      <c r="XAN2999" s="462"/>
      <c r="XAO2999" s="299"/>
      <c r="XAP2999" s="81"/>
      <c r="XAQ2999" s="160"/>
      <c r="XAR2999" s="565"/>
      <c r="XAS2999" s="125"/>
      <c r="XAT2999" s="470"/>
      <c r="XAU2999" s="449"/>
      <c r="XAV2999" s="462"/>
      <c r="XAW2999" s="299"/>
      <c r="XAX2999" s="81"/>
      <c r="XAY2999" s="160"/>
      <c r="XAZ2999" s="565"/>
      <c r="XBA2999" s="125"/>
      <c r="XBB2999" s="470"/>
      <c r="XBC2999" s="449"/>
      <c r="XBD2999" s="462"/>
      <c r="XBE2999" s="299"/>
      <c r="XBF2999" s="81"/>
      <c r="XBG2999" s="160"/>
      <c r="XBH2999" s="565"/>
      <c r="XBI2999" s="125"/>
      <c r="XBJ2999" s="470"/>
      <c r="XBK2999" s="449"/>
      <c r="XBL2999" s="462"/>
      <c r="XBM2999" s="299"/>
      <c r="XBN2999" s="81"/>
      <c r="XBO2999" s="160"/>
      <c r="XBP2999" s="565"/>
      <c r="XBQ2999" s="125"/>
      <c r="XBR2999" s="470"/>
      <c r="XBS2999" s="449"/>
      <c r="XBT2999" s="462"/>
      <c r="XBU2999" s="299"/>
      <c r="XBV2999" s="81"/>
      <c r="XBW2999" s="160"/>
      <c r="XBX2999" s="565"/>
      <c r="XBY2999" s="125"/>
      <c r="XBZ2999" s="470"/>
      <c r="XCA2999" s="449"/>
      <c r="XCB2999" s="462"/>
      <c r="XCC2999" s="299"/>
      <c r="XCD2999" s="81"/>
      <c r="XCE2999" s="160"/>
      <c r="XCF2999" s="565"/>
      <c r="XCG2999" s="125"/>
      <c r="XCH2999" s="470"/>
      <c r="XCI2999" s="449"/>
      <c r="XCJ2999" s="462"/>
      <c r="XCK2999" s="299"/>
      <c r="XCL2999" s="81"/>
      <c r="XCM2999" s="160"/>
      <c r="XCN2999" s="565"/>
      <c r="XCO2999" s="125"/>
      <c r="XCP2999" s="470"/>
      <c r="XCQ2999" s="449"/>
      <c r="XCR2999" s="462"/>
      <c r="XCS2999" s="299"/>
      <c r="XCT2999" s="81"/>
      <c r="XCU2999" s="160"/>
      <c r="XCV2999" s="565"/>
      <c r="XCW2999" s="125"/>
      <c r="XCX2999" s="470"/>
      <c r="XCY2999" s="449"/>
      <c r="XCZ2999" s="462"/>
      <c r="XDA2999" s="299"/>
      <c r="XDB2999" s="81"/>
      <c r="XDC2999" s="160"/>
      <c r="XDD2999" s="565"/>
      <c r="XDE2999" s="125"/>
      <c r="XDF2999" s="470"/>
      <c r="XDG2999" s="449"/>
      <c r="XDH2999" s="462"/>
      <c r="XDI2999" s="299"/>
      <c r="XDJ2999" s="81"/>
      <c r="XDK2999" s="160"/>
      <c r="XDL2999" s="565"/>
      <c r="XDM2999" s="125"/>
      <c r="XDN2999" s="470"/>
      <c r="XDO2999" s="449"/>
      <c r="XDP2999" s="462"/>
      <c r="XDQ2999" s="299"/>
      <c r="XDR2999" s="81"/>
      <c r="XDS2999" s="160"/>
      <c r="XDT2999" s="565"/>
      <c r="XDU2999" s="125"/>
      <c r="XDV2999" s="470"/>
      <c r="XDW2999" s="449"/>
      <c r="XDX2999" s="462"/>
      <c r="XDY2999" s="299"/>
      <c r="XDZ2999" s="81"/>
      <c r="XEA2999" s="160"/>
      <c r="XEB2999" s="565"/>
      <c r="XEC2999" s="125"/>
      <c r="XED2999" s="470"/>
      <c r="XEE2999" s="449"/>
      <c r="XEF2999" s="462"/>
      <c r="XEG2999" s="299"/>
      <c r="XEH2999" s="81"/>
      <c r="XEI2999" s="160"/>
      <c r="XEJ2999" s="565"/>
      <c r="XEK2999" s="125"/>
      <c r="XEL2999" s="470"/>
      <c r="XEM2999" s="449"/>
      <c r="XEN2999" s="462"/>
      <c r="XEO2999" s="299"/>
      <c r="XEP2999" s="81"/>
      <c r="XEQ2999" s="160"/>
      <c r="XER2999" s="565"/>
      <c r="XES2999" s="125"/>
      <c r="XET2999" s="470"/>
      <c r="XEU2999" s="449"/>
      <c r="XEV2999" s="462"/>
      <c r="XEW2999" s="299"/>
      <c r="XEX2999" s="81"/>
      <c r="XEY2999" s="160"/>
      <c r="XEZ2999" s="565"/>
      <c r="XFA2999" s="125"/>
      <c r="XFB2999" s="470"/>
      <c r="XFC2999" s="449"/>
      <c r="XFD2999" s="462"/>
    </row>
    <row r="3000" spans="1:16384" ht="15" customHeight="1">
      <c r="A3000" s="1253">
        <v>45117</v>
      </c>
      <c r="B3000" s="1209">
        <v>4165</v>
      </c>
      <c r="C3000" s="1210">
        <v>28800</v>
      </c>
      <c r="D3000" s="1230">
        <v>28350</v>
      </c>
      <c r="E3000" s="1212">
        <f t="shared" ref="E3000" si="1141">D3000-C3000</f>
        <v>-450</v>
      </c>
      <c r="F3000" s="1211">
        <f t="shared" ref="F3000" si="1142">C3000-C2999</f>
        <v>-250</v>
      </c>
      <c r="G3000" s="1236"/>
      <c r="H3000" s="1280"/>
      <c r="I3000" s="1291">
        <v>229500</v>
      </c>
      <c r="J3000" s="81"/>
      <c r="K3000" s="160"/>
      <c r="L3000" s="568"/>
      <c r="M3000" s="125"/>
      <c r="N3000" s="470"/>
      <c r="R3000" s="81"/>
      <c r="S3000" s="160"/>
      <c r="T3000" s="568"/>
      <c r="U3000" s="125"/>
      <c r="V3000" s="470"/>
      <c r="W3000" s="449"/>
      <c r="X3000" s="462"/>
      <c r="Y3000" s="299"/>
      <c r="Z3000" s="81"/>
      <c r="AA3000" s="160"/>
      <c r="AB3000" s="568"/>
      <c r="AC3000" s="125"/>
      <c r="AD3000" s="470"/>
      <c r="AE3000" s="449"/>
      <c r="AF3000" s="462"/>
      <c r="AG3000" s="299"/>
      <c r="AH3000" s="81"/>
      <c r="AI3000" s="160"/>
      <c r="AJ3000" s="568"/>
      <c r="AK3000" s="125"/>
      <c r="AL3000" s="470"/>
      <c r="AM3000" s="449"/>
      <c r="AN3000" s="462"/>
      <c r="AO3000" s="299"/>
      <c r="AP3000" s="81"/>
      <c r="AQ3000" s="160"/>
      <c r="AR3000" s="568"/>
      <c r="AS3000" s="125"/>
      <c r="AT3000" s="470"/>
      <c r="AU3000" s="449"/>
      <c r="AV3000" s="462"/>
      <c r="AW3000" s="299"/>
      <c r="AX3000" s="81"/>
      <c r="AY3000" s="160"/>
      <c r="AZ3000" s="568"/>
      <c r="BA3000" s="125"/>
      <c r="BB3000" s="470"/>
      <c r="BC3000" s="449"/>
      <c r="BD3000" s="462"/>
      <c r="BE3000" s="299"/>
      <c r="BF3000" s="81"/>
      <c r="BG3000" s="160"/>
      <c r="BH3000" s="568"/>
      <c r="BI3000" s="125"/>
      <c r="BJ3000" s="470"/>
      <c r="BK3000" s="449"/>
      <c r="BL3000" s="462"/>
      <c r="BM3000" s="299"/>
      <c r="BN3000" s="81"/>
      <c r="BO3000" s="160"/>
      <c r="BP3000" s="568"/>
      <c r="BQ3000" s="125"/>
      <c r="BR3000" s="470"/>
      <c r="BS3000" s="449"/>
      <c r="BT3000" s="462"/>
      <c r="BU3000" s="299"/>
      <c r="BV3000" s="81"/>
      <c r="BW3000" s="160"/>
      <c r="BX3000" s="568"/>
      <c r="BY3000" s="125"/>
      <c r="BZ3000" s="470"/>
      <c r="CA3000" s="449"/>
      <c r="CB3000" s="462"/>
      <c r="CC3000" s="299"/>
      <c r="CD3000" s="81"/>
      <c r="CE3000" s="160"/>
      <c r="CF3000" s="568"/>
      <c r="CG3000" s="125"/>
      <c r="CH3000" s="470"/>
      <c r="CI3000" s="449"/>
      <c r="CJ3000" s="462"/>
      <c r="CK3000" s="299"/>
      <c r="CL3000" s="81"/>
      <c r="CM3000" s="160"/>
      <c r="CN3000" s="568"/>
      <c r="CO3000" s="125"/>
      <c r="CP3000" s="470"/>
      <c r="CQ3000" s="449"/>
      <c r="CR3000" s="462"/>
      <c r="CS3000" s="299"/>
      <c r="CT3000" s="81"/>
      <c r="CU3000" s="160"/>
      <c r="CV3000" s="568"/>
      <c r="CW3000" s="125"/>
      <c r="CX3000" s="470"/>
      <c r="CY3000" s="449"/>
      <c r="CZ3000" s="462"/>
      <c r="DA3000" s="299"/>
      <c r="DB3000" s="81"/>
      <c r="DC3000" s="160"/>
      <c r="DD3000" s="568"/>
      <c r="DE3000" s="125"/>
      <c r="DF3000" s="470"/>
      <c r="DG3000" s="449"/>
      <c r="DH3000" s="462"/>
      <c r="DI3000" s="299"/>
      <c r="DJ3000" s="81"/>
      <c r="DK3000" s="160"/>
      <c r="DL3000" s="568"/>
      <c r="DM3000" s="125"/>
      <c r="DN3000" s="470"/>
      <c r="DO3000" s="449"/>
      <c r="DP3000" s="462"/>
      <c r="DQ3000" s="299"/>
      <c r="DR3000" s="81"/>
      <c r="DS3000" s="160"/>
      <c r="DT3000" s="568"/>
      <c r="DU3000" s="125"/>
      <c r="DV3000" s="470"/>
      <c r="DW3000" s="449"/>
      <c r="DX3000" s="462"/>
      <c r="DY3000" s="299"/>
      <c r="DZ3000" s="81"/>
      <c r="EA3000" s="160"/>
      <c r="EB3000" s="568"/>
      <c r="EC3000" s="125"/>
      <c r="ED3000" s="470"/>
      <c r="EE3000" s="449"/>
      <c r="EF3000" s="462"/>
      <c r="EG3000" s="299"/>
      <c r="EH3000" s="81"/>
      <c r="EI3000" s="160"/>
      <c r="EJ3000" s="568"/>
      <c r="EK3000" s="125"/>
      <c r="EL3000" s="470"/>
      <c r="EM3000" s="449"/>
      <c r="EN3000" s="462"/>
      <c r="EO3000" s="299"/>
      <c r="EP3000" s="81"/>
      <c r="EQ3000" s="160"/>
      <c r="ER3000" s="568"/>
      <c r="ES3000" s="125"/>
      <c r="ET3000" s="470"/>
      <c r="EU3000" s="449"/>
      <c r="EV3000" s="462"/>
      <c r="EW3000" s="299"/>
      <c r="EX3000" s="81"/>
      <c r="EY3000" s="160"/>
      <c r="EZ3000" s="568"/>
      <c r="FA3000" s="125"/>
      <c r="FB3000" s="470"/>
      <c r="FC3000" s="449"/>
      <c r="FD3000" s="462"/>
      <c r="FE3000" s="299"/>
      <c r="FF3000" s="81"/>
      <c r="FG3000" s="160"/>
      <c r="FH3000" s="568"/>
      <c r="FI3000" s="125"/>
      <c r="FJ3000" s="470"/>
      <c r="FK3000" s="449"/>
      <c r="FL3000" s="462"/>
      <c r="FM3000" s="299"/>
      <c r="FN3000" s="81"/>
      <c r="FO3000" s="160"/>
      <c r="FP3000" s="568"/>
      <c r="FQ3000" s="125"/>
      <c r="FR3000" s="470"/>
      <c r="FS3000" s="449"/>
      <c r="FT3000" s="462"/>
      <c r="FU3000" s="299"/>
      <c r="FV3000" s="81"/>
      <c r="FW3000" s="160"/>
      <c r="FX3000" s="568"/>
      <c r="FY3000" s="125"/>
      <c r="FZ3000" s="470"/>
      <c r="GA3000" s="449"/>
      <c r="GB3000" s="462"/>
      <c r="GC3000" s="299"/>
      <c r="GD3000" s="81"/>
      <c r="GE3000" s="160"/>
      <c r="GF3000" s="568"/>
      <c r="GG3000" s="125"/>
      <c r="GH3000" s="470"/>
      <c r="GI3000" s="449"/>
      <c r="GJ3000" s="462"/>
      <c r="GK3000" s="299"/>
      <c r="GL3000" s="81"/>
      <c r="GM3000" s="160"/>
      <c r="GN3000" s="568"/>
      <c r="GO3000" s="125"/>
      <c r="GP3000" s="470"/>
      <c r="GQ3000" s="449"/>
      <c r="GR3000" s="462"/>
      <c r="GS3000" s="299"/>
      <c r="GT3000" s="81"/>
      <c r="GU3000" s="160"/>
      <c r="GV3000" s="568"/>
      <c r="GW3000" s="125"/>
      <c r="GX3000" s="470"/>
      <c r="GY3000" s="449"/>
      <c r="GZ3000" s="462"/>
      <c r="HA3000" s="299"/>
      <c r="HB3000" s="81"/>
      <c r="HC3000" s="160"/>
      <c r="HD3000" s="568"/>
      <c r="HE3000" s="125"/>
      <c r="HF3000" s="470"/>
      <c r="HG3000" s="449"/>
      <c r="HH3000" s="462"/>
      <c r="HI3000" s="299"/>
      <c r="HJ3000" s="81"/>
      <c r="HK3000" s="160"/>
      <c r="HL3000" s="568"/>
      <c r="HM3000" s="125"/>
      <c r="HN3000" s="470"/>
      <c r="HO3000" s="449"/>
      <c r="HP3000" s="462"/>
      <c r="HQ3000" s="299"/>
      <c r="HR3000" s="81"/>
      <c r="HS3000" s="160"/>
      <c r="HT3000" s="568"/>
      <c r="HU3000" s="125"/>
      <c r="HV3000" s="470"/>
      <c r="HW3000" s="449"/>
      <c r="HX3000" s="462"/>
      <c r="HY3000" s="299"/>
      <c r="HZ3000" s="81"/>
      <c r="IA3000" s="160"/>
      <c r="IB3000" s="568"/>
      <c r="IC3000" s="125"/>
      <c r="ID3000" s="470"/>
      <c r="IE3000" s="449"/>
      <c r="IF3000" s="462"/>
      <c r="IG3000" s="299"/>
      <c r="IH3000" s="81"/>
      <c r="II3000" s="160"/>
      <c r="IJ3000" s="568"/>
      <c r="IK3000" s="125"/>
      <c r="IL3000" s="470"/>
      <c r="IM3000" s="449"/>
      <c r="IN3000" s="462"/>
      <c r="IO3000" s="299"/>
      <c r="IP3000" s="81"/>
      <c r="IQ3000" s="160"/>
      <c r="IR3000" s="568"/>
      <c r="IS3000" s="125"/>
      <c r="IT3000" s="470"/>
      <c r="IU3000" s="449"/>
      <c r="IV3000" s="462"/>
      <c r="IW3000" s="299"/>
      <c r="IX3000" s="81"/>
      <c r="IY3000" s="160"/>
      <c r="IZ3000" s="568"/>
      <c r="JA3000" s="125"/>
      <c r="JB3000" s="470"/>
      <c r="JC3000" s="449"/>
      <c r="JD3000" s="462"/>
      <c r="JE3000" s="299"/>
      <c r="JF3000" s="81"/>
      <c r="JG3000" s="160"/>
      <c r="JH3000" s="568"/>
      <c r="JI3000" s="125"/>
      <c r="JJ3000" s="470"/>
      <c r="JK3000" s="449"/>
      <c r="JL3000" s="462"/>
      <c r="JM3000" s="299"/>
      <c r="JN3000" s="81"/>
      <c r="JO3000" s="160"/>
      <c r="JP3000" s="568"/>
      <c r="JQ3000" s="125"/>
      <c r="JR3000" s="470"/>
      <c r="JS3000" s="449"/>
      <c r="JT3000" s="462"/>
      <c r="JU3000" s="299"/>
      <c r="JV3000" s="81"/>
      <c r="JW3000" s="160"/>
      <c r="JX3000" s="568"/>
      <c r="JY3000" s="125"/>
      <c r="JZ3000" s="470"/>
      <c r="KA3000" s="449"/>
      <c r="KB3000" s="462"/>
      <c r="KC3000" s="299"/>
      <c r="KD3000" s="81"/>
      <c r="KE3000" s="160"/>
      <c r="KF3000" s="568"/>
      <c r="KG3000" s="125"/>
      <c r="KH3000" s="470"/>
      <c r="KI3000" s="449"/>
      <c r="KJ3000" s="462"/>
      <c r="KK3000" s="299"/>
      <c r="KL3000" s="81"/>
      <c r="KM3000" s="160"/>
      <c r="KN3000" s="568"/>
      <c r="KO3000" s="125"/>
      <c r="KP3000" s="470"/>
      <c r="KQ3000" s="449"/>
      <c r="KR3000" s="462"/>
      <c r="KS3000" s="299"/>
      <c r="KT3000" s="81"/>
      <c r="KU3000" s="160"/>
      <c r="KV3000" s="568"/>
      <c r="KW3000" s="125"/>
      <c r="KX3000" s="470"/>
      <c r="KY3000" s="449"/>
      <c r="KZ3000" s="462"/>
      <c r="LA3000" s="299"/>
      <c r="LB3000" s="81"/>
      <c r="LC3000" s="160"/>
      <c r="LD3000" s="568"/>
      <c r="LE3000" s="125"/>
      <c r="LF3000" s="470"/>
      <c r="LG3000" s="449"/>
      <c r="LH3000" s="462"/>
      <c r="LI3000" s="299"/>
      <c r="LJ3000" s="81"/>
      <c r="LK3000" s="160"/>
      <c r="LL3000" s="568"/>
      <c r="LM3000" s="125"/>
      <c r="LN3000" s="470"/>
      <c r="LO3000" s="449"/>
      <c r="LP3000" s="462"/>
      <c r="LQ3000" s="299"/>
      <c r="LR3000" s="81"/>
      <c r="LS3000" s="160"/>
      <c r="LT3000" s="568"/>
      <c r="LU3000" s="125"/>
      <c r="LV3000" s="470"/>
      <c r="LW3000" s="449"/>
      <c r="LX3000" s="462"/>
      <c r="LY3000" s="299"/>
      <c r="LZ3000" s="81"/>
      <c r="MA3000" s="160"/>
      <c r="MB3000" s="568"/>
      <c r="MC3000" s="125"/>
      <c r="MD3000" s="470"/>
      <c r="ME3000" s="449"/>
      <c r="MF3000" s="462"/>
      <c r="MG3000" s="299"/>
      <c r="MH3000" s="81"/>
      <c r="MI3000" s="160"/>
      <c r="MJ3000" s="568"/>
      <c r="MK3000" s="125"/>
      <c r="ML3000" s="470"/>
      <c r="MM3000" s="449"/>
      <c r="MN3000" s="462"/>
      <c r="MO3000" s="299"/>
      <c r="MP3000" s="81"/>
      <c r="MQ3000" s="160"/>
      <c r="MR3000" s="568"/>
      <c r="MS3000" s="125"/>
      <c r="MT3000" s="470"/>
      <c r="MU3000" s="449"/>
      <c r="MV3000" s="462"/>
      <c r="MW3000" s="299"/>
      <c r="MX3000" s="81"/>
      <c r="MY3000" s="160"/>
      <c r="MZ3000" s="568"/>
      <c r="NA3000" s="125"/>
      <c r="NB3000" s="470"/>
      <c r="NC3000" s="449"/>
      <c r="ND3000" s="462"/>
      <c r="NE3000" s="299"/>
      <c r="NF3000" s="81"/>
      <c r="NG3000" s="160"/>
      <c r="NH3000" s="568"/>
      <c r="NI3000" s="125"/>
      <c r="NJ3000" s="470"/>
      <c r="NK3000" s="449"/>
      <c r="NL3000" s="462"/>
      <c r="NM3000" s="299"/>
      <c r="NN3000" s="81"/>
      <c r="NO3000" s="160"/>
      <c r="NP3000" s="568"/>
      <c r="NQ3000" s="125"/>
      <c r="NR3000" s="470"/>
      <c r="NS3000" s="449"/>
      <c r="NT3000" s="462"/>
      <c r="NU3000" s="299"/>
      <c r="NV3000" s="81"/>
      <c r="NW3000" s="160"/>
      <c r="NX3000" s="568"/>
      <c r="NY3000" s="125"/>
      <c r="NZ3000" s="470"/>
      <c r="OA3000" s="449"/>
      <c r="OB3000" s="462"/>
      <c r="OC3000" s="299"/>
      <c r="OD3000" s="81"/>
      <c r="OE3000" s="160"/>
      <c r="OF3000" s="568"/>
      <c r="OG3000" s="125"/>
      <c r="OH3000" s="470"/>
      <c r="OI3000" s="449"/>
      <c r="OJ3000" s="462"/>
      <c r="OK3000" s="299"/>
      <c r="OL3000" s="81"/>
      <c r="OM3000" s="160"/>
      <c r="ON3000" s="568"/>
      <c r="OO3000" s="125"/>
      <c r="OP3000" s="470"/>
      <c r="OQ3000" s="449"/>
      <c r="OR3000" s="462"/>
      <c r="OS3000" s="299"/>
      <c r="OT3000" s="81"/>
      <c r="OU3000" s="160"/>
      <c r="OV3000" s="568"/>
      <c r="OW3000" s="125"/>
      <c r="OX3000" s="470"/>
      <c r="OY3000" s="449"/>
      <c r="OZ3000" s="462"/>
      <c r="PA3000" s="299"/>
      <c r="PB3000" s="81"/>
      <c r="PC3000" s="160"/>
      <c r="PD3000" s="568"/>
      <c r="PE3000" s="125"/>
      <c r="PF3000" s="470"/>
      <c r="PG3000" s="449"/>
      <c r="PH3000" s="462"/>
      <c r="PI3000" s="299"/>
      <c r="PJ3000" s="81"/>
      <c r="PK3000" s="160"/>
      <c r="PL3000" s="568"/>
      <c r="PM3000" s="125"/>
      <c r="PN3000" s="470"/>
      <c r="PO3000" s="449"/>
      <c r="PP3000" s="462"/>
      <c r="PQ3000" s="299"/>
      <c r="PR3000" s="81"/>
      <c r="PS3000" s="160"/>
      <c r="PT3000" s="568"/>
      <c r="PU3000" s="125"/>
      <c r="PV3000" s="470"/>
      <c r="PW3000" s="449"/>
      <c r="PX3000" s="462"/>
      <c r="PY3000" s="299"/>
      <c r="PZ3000" s="81"/>
      <c r="QA3000" s="160"/>
      <c r="QB3000" s="568"/>
      <c r="QC3000" s="125"/>
      <c r="QD3000" s="470"/>
      <c r="QE3000" s="449"/>
      <c r="QF3000" s="462"/>
      <c r="QG3000" s="299"/>
      <c r="QH3000" s="81"/>
      <c r="QI3000" s="160"/>
      <c r="QJ3000" s="568"/>
      <c r="QK3000" s="125"/>
      <c r="QL3000" s="470"/>
      <c r="QM3000" s="449"/>
      <c r="QN3000" s="462"/>
      <c r="QO3000" s="299"/>
      <c r="QP3000" s="81"/>
      <c r="QQ3000" s="160"/>
      <c r="QR3000" s="568"/>
      <c r="QS3000" s="125"/>
      <c r="QT3000" s="470"/>
      <c r="QU3000" s="449"/>
      <c r="QV3000" s="462"/>
      <c r="QW3000" s="299"/>
      <c r="QX3000" s="81"/>
      <c r="QY3000" s="160"/>
      <c r="QZ3000" s="568"/>
      <c r="RA3000" s="125"/>
      <c r="RB3000" s="470"/>
      <c r="RC3000" s="449"/>
      <c r="RD3000" s="462"/>
      <c r="RE3000" s="299"/>
      <c r="RF3000" s="81"/>
      <c r="RG3000" s="160"/>
      <c r="RH3000" s="568"/>
      <c r="RI3000" s="125"/>
      <c r="RJ3000" s="470"/>
      <c r="RK3000" s="449"/>
      <c r="RL3000" s="462"/>
      <c r="RM3000" s="299"/>
      <c r="RN3000" s="81"/>
      <c r="RO3000" s="160"/>
      <c r="RP3000" s="568"/>
      <c r="RQ3000" s="125"/>
      <c r="RR3000" s="470"/>
      <c r="RS3000" s="449"/>
      <c r="RT3000" s="462"/>
      <c r="RU3000" s="299"/>
      <c r="RV3000" s="81"/>
      <c r="RW3000" s="160"/>
      <c r="RX3000" s="568"/>
      <c r="RY3000" s="125"/>
      <c r="RZ3000" s="470"/>
      <c r="SA3000" s="449"/>
      <c r="SB3000" s="462"/>
      <c r="SC3000" s="299"/>
      <c r="SD3000" s="81"/>
      <c r="SE3000" s="160"/>
      <c r="SF3000" s="568"/>
      <c r="SG3000" s="125"/>
      <c r="SH3000" s="470"/>
      <c r="SI3000" s="449"/>
      <c r="SJ3000" s="462"/>
      <c r="SK3000" s="299"/>
      <c r="SL3000" s="81"/>
      <c r="SM3000" s="160"/>
      <c r="SN3000" s="568"/>
      <c r="SO3000" s="125"/>
      <c r="SP3000" s="470"/>
      <c r="SQ3000" s="449"/>
      <c r="SR3000" s="462"/>
      <c r="SS3000" s="299"/>
      <c r="ST3000" s="81"/>
      <c r="SU3000" s="160"/>
      <c r="SV3000" s="568"/>
      <c r="SW3000" s="125"/>
      <c r="SX3000" s="470"/>
      <c r="SY3000" s="449"/>
      <c r="SZ3000" s="462"/>
      <c r="TA3000" s="299"/>
      <c r="TB3000" s="81"/>
      <c r="TC3000" s="160"/>
      <c r="TD3000" s="568"/>
      <c r="TE3000" s="125"/>
      <c r="TF3000" s="470"/>
      <c r="TG3000" s="449"/>
      <c r="TH3000" s="462"/>
      <c r="TI3000" s="299"/>
      <c r="TJ3000" s="81"/>
      <c r="TK3000" s="160"/>
      <c r="TL3000" s="568"/>
      <c r="TM3000" s="125"/>
      <c r="TN3000" s="470"/>
      <c r="TO3000" s="449"/>
      <c r="TP3000" s="462"/>
      <c r="TQ3000" s="299"/>
      <c r="TR3000" s="81"/>
      <c r="TS3000" s="160"/>
      <c r="TT3000" s="568"/>
      <c r="TU3000" s="125"/>
      <c r="TV3000" s="470"/>
      <c r="TW3000" s="449"/>
      <c r="TX3000" s="462"/>
      <c r="TY3000" s="299"/>
      <c r="TZ3000" s="81"/>
      <c r="UA3000" s="160"/>
      <c r="UB3000" s="568"/>
      <c r="UC3000" s="125"/>
      <c r="UD3000" s="470"/>
      <c r="UE3000" s="449"/>
      <c r="UF3000" s="462"/>
      <c r="UG3000" s="299"/>
      <c r="UH3000" s="81"/>
      <c r="UI3000" s="160"/>
      <c r="UJ3000" s="568"/>
      <c r="UK3000" s="125"/>
      <c r="UL3000" s="470"/>
      <c r="UM3000" s="449"/>
      <c r="UN3000" s="462"/>
      <c r="UO3000" s="299"/>
      <c r="UP3000" s="81"/>
      <c r="UQ3000" s="160"/>
      <c r="UR3000" s="568"/>
      <c r="US3000" s="125"/>
      <c r="UT3000" s="470"/>
      <c r="UU3000" s="449"/>
      <c r="UV3000" s="462"/>
      <c r="UW3000" s="299"/>
      <c r="UX3000" s="81"/>
      <c r="UY3000" s="160"/>
      <c r="UZ3000" s="568"/>
      <c r="VA3000" s="125"/>
      <c r="VB3000" s="470"/>
      <c r="VC3000" s="449"/>
      <c r="VD3000" s="462"/>
      <c r="VE3000" s="299"/>
      <c r="VF3000" s="81"/>
      <c r="VG3000" s="160"/>
      <c r="VH3000" s="568"/>
      <c r="VI3000" s="125"/>
      <c r="VJ3000" s="470"/>
      <c r="VK3000" s="449"/>
      <c r="VL3000" s="462"/>
      <c r="VM3000" s="299"/>
      <c r="VN3000" s="81"/>
      <c r="VO3000" s="160"/>
      <c r="VP3000" s="568"/>
      <c r="VQ3000" s="125"/>
      <c r="VR3000" s="470"/>
      <c r="VS3000" s="449"/>
      <c r="VT3000" s="462"/>
      <c r="VU3000" s="299"/>
      <c r="VV3000" s="81"/>
      <c r="VW3000" s="160"/>
      <c r="VX3000" s="568"/>
      <c r="VY3000" s="125"/>
      <c r="VZ3000" s="470"/>
      <c r="WA3000" s="449"/>
      <c r="WB3000" s="462"/>
      <c r="WC3000" s="299"/>
      <c r="WD3000" s="81"/>
      <c r="WE3000" s="160"/>
      <c r="WF3000" s="568"/>
      <c r="WG3000" s="125"/>
      <c r="WH3000" s="470"/>
      <c r="WI3000" s="449"/>
      <c r="WJ3000" s="462"/>
      <c r="WK3000" s="299"/>
      <c r="WL3000" s="81"/>
      <c r="WM3000" s="160"/>
      <c r="WN3000" s="568"/>
      <c r="WO3000" s="125"/>
      <c r="WP3000" s="470"/>
      <c r="WQ3000" s="449"/>
      <c r="WR3000" s="462"/>
      <c r="WS3000" s="299"/>
      <c r="WT3000" s="81"/>
      <c r="WU3000" s="160"/>
      <c r="WV3000" s="568"/>
      <c r="WW3000" s="125"/>
      <c r="WX3000" s="470"/>
      <c r="WY3000" s="449"/>
      <c r="WZ3000" s="462"/>
      <c r="XA3000" s="299"/>
      <c r="XB3000" s="81"/>
      <c r="XC3000" s="160"/>
      <c r="XD3000" s="568"/>
      <c r="XE3000" s="125"/>
      <c r="XF3000" s="470"/>
      <c r="XG3000" s="449"/>
      <c r="XH3000" s="462"/>
      <c r="XI3000" s="299"/>
      <c r="XJ3000" s="81"/>
      <c r="XK3000" s="160"/>
      <c r="XL3000" s="568"/>
      <c r="XM3000" s="125"/>
      <c r="XN3000" s="470"/>
      <c r="XO3000" s="449"/>
      <c r="XP3000" s="462"/>
      <c r="XQ3000" s="299"/>
      <c r="XR3000" s="81"/>
      <c r="XS3000" s="160"/>
      <c r="XT3000" s="568"/>
      <c r="XU3000" s="125"/>
      <c r="XV3000" s="470"/>
      <c r="XW3000" s="449"/>
      <c r="XX3000" s="462"/>
      <c r="XY3000" s="299"/>
      <c r="XZ3000" s="81"/>
      <c r="YA3000" s="160"/>
      <c r="YB3000" s="568"/>
      <c r="YC3000" s="125"/>
      <c r="YD3000" s="470"/>
      <c r="YE3000" s="449"/>
      <c r="YF3000" s="462"/>
      <c r="YG3000" s="299"/>
      <c r="YH3000" s="81"/>
      <c r="YI3000" s="160"/>
      <c r="YJ3000" s="568"/>
      <c r="YK3000" s="125"/>
      <c r="YL3000" s="470"/>
      <c r="YM3000" s="449"/>
      <c r="YN3000" s="462"/>
      <c r="YO3000" s="299"/>
      <c r="YP3000" s="81"/>
      <c r="YQ3000" s="160"/>
      <c r="YR3000" s="568"/>
      <c r="YS3000" s="125"/>
      <c r="YT3000" s="470"/>
      <c r="YU3000" s="449"/>
      <c r="YV3000" s="462"/>
      <c r="YW3000" s="299"/>
      <c r="YX3000" s="81"/>
      <c r="YY3000" s="160"/>
      <c r="YZ3000" s="568"/>
      <c r="ZA3000" s="125"/>
      <c r="ZB3000" s="470"/>
      <c r="ZC3000" s="449"/>
      <c r="ZD3000" s="462"/>
      <c r="ZE3000" s="299"/>
      <c r="ZF3000" s="81"/>
      <c r="ZG3000" s="160"/>
      <c r="ZH3000" s="568"/>
      <c r="ZI3000" s="125"/>
      <c r="ZJ3000" s="470"/>
      <c r="ZK3000" s="449"/>
      <c r="ZL3000" s="462"/>
      <c r="ZM3000" s="299"/>
      <c r="ZN3000" s="81"/>
      <c r="ZO3000" s="160"/>
      <c r="ZP3000" s="568"/>
      <c r="ZQ3000" s="125"/>
      <c r="ZR3000" s="470"/>
      <c r="ZS3000" s="449"/>
      <c r="ZT3000" s="462"/>
      <c r="ZU3000" s="299"/>
      <c r="ZV3000" s="81"/>
      <c r="ZW3000" s="160"/>
      <c r="ZX3000" s="568"/>
      <c r="ZY3000" s="125"/>
      <c r="ZZ3000" s="470"/>
      <c r="AAA3000" s="449"/>
      <c r="AAB3000" s="462"/>
      <c r="AAC3000" s="299"/>
      <c r="AAD3000" s="81"/>
      <c r="AAE3000" s="160"/>
      <c r="AAF3000" s="568"/>
      <c r="AAG3000" s="125"/>
      <c r="AAH3000" s="470"/>
      <c r="AAI3000" s="449"/>
      <c r="AAJ3000" s="462"/>
      <c r="AAK3000" s="299"/>
      <c r="AAL3000" s="81"/>
      <c r="AAM3000" s="160"/>
      <c r="AAN3000" s="568"/>
      <c r="AAO3000" s="125"/>
      <c r="AAP3000" s="470"/>
      <c r="AAQ3000" s="449"/>
      <c r="AAR3000" s="462"/>
      <c r="AAS3000" s="299"/>
      <c r="AAT3000" s="81"/>
      <c r="AAU3000" s="160"/>
      <c r="AAV3000" s="568"/>
      <c r="AAW3000" s="125"/>
      <c r="AAX3000" s="470"/>
      <c r="AAY3000" s="449"/>
      <c r="AAZ3000" s="462"/>
      <c r="ABA3000" s="299"/>
      <c r="ABB3000" s="81"/>
      <c r="ABC3000" s="160"/>
      <c r="ABD3000" s="568"/>
      <c r="ABE3000" s="125"/>
      <c r="ABF3000" s="470"/>
      <c r="ABG3000" s="449"/>
      <c r="ABH3000" s="462"/>
      <c r="ABI3000" s="299"/>
      <c r="ABJ3000" s="81"/>
      <c r="ABK3000" s="160"/>
      <c r="ABL3000" s="568"/>
      <c r="ABM3000" s="125"/>
      <c r="ABN3000" s="470"/>
      <c r="ABO3000" s="449"/>
      <c r="ABP3000" s="462"/>
      <c r="ABQ3000" s="299"/>
      <c r="ABR3000" s="81"/>
      <c r="ABS3000" s="160"/>
      <c r="ABT3000" s="568"/>
      <c r="ABU3000" s="125"/>
      <c r="ABV3000" s="470"/>
      <c r="ABW3000" s="449"/>
      <c r="ABX3000" s="462"/>
      <c r="ABY3000" s="299"/>
      <c r="ABZ3000" s="81"/>
      <c r="ACA3000" s="160"/>
      <c r="ACB3000" s="568"/>
      <c r="ACC3000" s="125"/>
      <c r="ACD3000" s="470"/>
      <c r="ACE3000" s="449"/>
      <c r="ACF3000" s="462"/>
      <c r="ACG3000" s="299"/>
      <c r="ACH3000" s="81"/>
      <c r="ACI3000" s="160"/>
      <c r="ACJ3000" s="568"/>
      <c r="ACK3000" s="125"/>
      <c r="ACL3000" s="470"/>
      <c r="ACM3000" s="449"/>
      <c r="ACN3000" s="462"/>
      <c r="ACO3000" s="299"/>
      <c r="ACP3000" s="81"/>
      <c r="ACQ3000" s="160"/>
      <c r="ACR3000" s="568"/>
      <c r="ACS3000" s="125"/>
      <c r="ACT3000" s="470"/>
      <c r="ACU3000" s="449"/>
      <c r="ACV3000" s="462"/>
      <c r="ACW3000" s="299"/>
      <c r="ACX3000" s="81"/>
      <c r="ACY3000" s="160"/>
      <c r="ACZ3000" s="568"/>
      <c r="ADA3000" s="125"/>
      <c r="ADB3000" s="470"/>
      <c r="ADC3000" s="449"/>
      <c r="ADD3000" s="462"/>
      <c r="ADE3000" s="299"/>
      <c r="ADF3000" s="81"/>
      <c r="ADG3000" s="160"/>
      <c r="ADH3000" s="568"/>
      <c r="ADI3000" s="125"/>
      <c r="ADJ3000" s="470"/>
      <c r="ADK3000" s="449"/>
      <c r="ADL3000" s="462"/>
      <c r="ADM3000" s="299"/>
      <c r="ADN3000" s="81"/>
      <c r="ADO3000" s="160"/>
      <c r="ADP3000" s="568"/>
      <c r="ADQ3000" s="125"/>
      <c r="ADR3000" s="470"/>
      <c r="ADS3000" s="449"/>
      <c r="ADT3000" s="462"/>
      <c r="ADU3000" s="299"/>
      <c r="ADV3000" s="81"/>
      <c r="ADW3000" s="160"/>
      <c r="ADX3000" s="568"/>
      <c r="ADY3000" s="125"/>
      <c r="ADZ3000" s="470"/>
      <c r="AEA3000" s="449"/>
      <c r="AEB3000" s="462"/>
      <c r="AEC3000" s="299"/>
      <c r="AED3000" s="81"/>
      <c r="AEE3000" s="160"/>
      <c r="AEF3000" s="568"/>
      <c r="AEG3000" s="125"/>
      <c r="AEH3000" s="470"/>
      <c r="AEI3000" s="449"/>
      <c r="AEJ3000" s="462"/>
      <c r="AEK3000" s="299"/>
      <c r="AEL3000" s="81"/>
      <c r="AEM3000" s="160"/>
      <c r="AEN3000" s="568"/>
      <c r="AEO3000" s="125"/>
      <c r="AEP3000" s="470"/>
      <c r="AEQ3000" s="449"/>
      <c r="AER3000" s="462"/>
      <c r="AES3000" s="299"/>
      <c r="AET3000" s="81"/>
      <c r="AEU3000" s="160"/>
      <c r="AEV3000" s="568"/>
      <c r="AEW3000" s="125"/>
      <c r="AEX3000" s="470"/>
      <c r="AEY3000" s="449"/>
      <c r="AEZ3000" s="462"/>
      <c r="AFA3000" s="299"/>
      <c r="AFB3000" s="81"/>
      <c r="AFC3000" s="160"/>
      <c r="AFD3000" s="568"/>
      <c r="AFE3000" s="125"/>
      <c r="AFF3000" s="470"/>
      <c r="AFG3000" s="449"/>
      <c r="AFH3000" s="462"/>
      <c r="AFI3000" s="299"/>
      <c r="AFJ3000" s="81"/>
      <c r="AFK3000" s="160"/>
      <c r="AFL3000" s="568"/>
      <c r="AFM3000" s="125"/>
      <c r="AFN3000" s="470"/>
      <c r="AFO3000" s="449"/>
      <c r="AFP3000" s="462"/>
      <c r="AFQ3000" s="299"/>
      <c r="AFR3000" s="81"/>
      <c r="AFS3000" s="160"/>
      <c r="AFT3000" s="568"/>
      <c r="AFU3000" s="125"/>
      <c r="AFV3000" s="470"/>
      <c r="AFW3000" s="449"/>
      <c r="AFX3000" s="462"/>
      <c r="AFY3000" s="299"/>
      <c r="AFZ3000" s="81"/>
      <c r="AGA3000" s="160"/>
      <c r="AGB3000" s="568"/>
      <c r="AGC3000" s="125"/>
      <c r="AGD3000" s="470"/>
      <c r="AGE3000" s="449"/>
      <c r="AGF3000" s="462"/>
      <c r="AGG3000" s="299"/>
      <c r="AGH3000" s="81"/>
      <c r="AGI3000" s="160"/>
      <c r="AGJ3000" s="568"/>
      <c r="AGK3000" s="125"/>
      <c r="AGL3000" s="470"/>
      <c r="AGM3000" s="449"/>
      <c r="AGN3000" s="462"/>
      <c r="AGO3000" s="299"/>
      <c r="AGP3000" s="81"/>
      <c r="AGQ3000" s="160"/>
      <c r="AGR3000" s="568"/>
      <c r="AGS3000" s="125"/>
      <c r="AGT3000" s="470"/>
      <c r="AGU3000" s="449"/>
      <c r="AGV3000" s="462"/>
      <c r="AGW3000" s="299"/>
      <c r="AGX3000" s="81"/>
      <c r="AGY3000" s="160"/>
      <c r="AGZ3000" s="568"/>
      <c r="AHA3000" s="125"/>
      <c r="AHB3000" s="470"/>
      <c r="AHC3000" s="449"/>
      <c r="AHD3000" s="462"/>
      <c r="AHE3000" s="299"/>
      <c r="AHF3000" s="81"/>
      <c r="AHG3000" s="160"/>
      <c r="AHH3000" s="568"/>
      <c r="AHI3000" s="125"/>
      <c r="AHJ3000" s="470"/>
      <c r="AHK3000" s="449"/>
      <c r="AHL3000" s="462"/>
      <c r="AHM3000" s="299"/>
      <c r="AHN3000" s="81"/>
      <c r="AHO3000" s="160"/>
      <c r="AHP3000" s="568"/>
      <c r="AHQ3000" s="125"/>
      <c r="AHR3000" s="470"/>
      <c r="AHS3000" s="449"/>
      <c r="AHT3000" s="462"/>
      <c r="AHU3000" s="299"/>
      <c r="AHV3000" s="81"/>
      <c r="AHW3000" s="160"/>
      <c r="AHX3000" s="568"/>
      <c r="AHY3000" s="125"/>
      <c r="AHZ3000" s="470"/>
      <c r="AIA3000" s="449"/>
      <c r="AIB3000" s="462"/>
      <c r="AIC3000" s="299"/>
      <c r="AID3000" s="81"/>
      <c r="AIE3000" s="160"/>
      <c r="AIF3000" s="568"/>
      <c r="AIG3000" s="125"/>
      <c r="AIH3000" s="470"/>
      <c r="AII3000" s="449"/>
      <c r="AIJ3000" s="462"/>
      <c r="AIK3000" s="299"/>
      <c r="AIL3000" s="81"/>
      <c r="AIM3000" s="160"/>
      <c r="AIN3000" s="568"/>
      <c r="AIO3000" s="125"/>
      <c r="AIP3000" s="470"/>
      <c r="AIQ3000" s="449"/>
      <c r="AIR3000" s="462"/>
      <c r="AIS3000" s="299"/>
      <c r="AIT3000" s="81"/>
      <c r="AIU3000" s="160"/>
      <c r="AIV3000" s="568"/>
      <c r="AIW3000" s="125"/>
      <c r="AIX3000" s="470"/>
      <c r="AIY3000" s="449"/>
      <c r="AIZ3000" s="462"/>
      <c r="AJA3000" s="299"/>
      <c r="AJB3000" s="81"/>
      <c r="AJC3000" s="160"/>
      <c r="AJD3000" s="568"/>
      <c r="AJE3000" s="125"/>
      <c r="AJF3000" s="470"/>
      <c r="AJG3000" s="449"/>
      <c r="AJH3000" s="462"/>
      <c r="AJI3000" s="299"/>
      <c r="AJJ3000" s="81"/>
      <c r="AJK3000" s="160"/>
      <c r="AJL3000" s="568"/>
      <c r="AJM3000" s="125"/>
      <c r="AJN3000" s="470"/>
      <c r="AJO3000" s="449"/>
      <c r="AJP3000" s="462"/>
      <c r="AJQ3000" s="299"/>
      <c r="AJR3000" s="81"/>
      <c r="AJS3000" s="160"/>
      <c r="AJT3000" s="568"/>
      <c r="AJU3000" s="125"/>
      <c r="AJV3000" s="470"/>
      <c r="AJW3000" s="449"/>
      <c r="AJX3000" s="462"/>
      <c r="AJY3000" s="299"/>
      <c r="AJZ3000" s="81"/>
      <c r="AKA3000" s="160"/>
      <c r="AKB3000" s="568"/>
      <c r="AKC3000" s="125"/>
      <c r="AKD3000" s="470"/>
      <c r="AKE3000" s="449"/>
      <c r="AKF3000" s="462"/>
      <c r="AKG3000" s="299"/>
      <c r="AKH3000" s="81"/>
      <c r="AKI3000" s="160"/>
      <c r="AKJ3000" s="568"/>
      <c r="AKK3000" s="125"/>
      <c r="AKL3000" s="470"/>
      <c r="AKM3000" s="449"/>
      <c r="AKN3000" s="462"/>
      <c r="AKO3000" s="299"/>
      <c r="AKP3000" s="81"/>
      <c r="AKQ3000" s="160"/>
      <c r="AKR3000" s="568"/>
      <c r="AKS3000" s="125"/>
      <c r="AKT3000" s="470"/>
      <c r="AKU3000" s="449"/>
      <c r="AKV3000" s="462"/>
      <c r="AKW3000" s="299"/>
      <c r="AKX3000" s="81"/>
      <c r="AKY3000" s="160"/>
      <c r="AKZ3000" s="568"/>
      <c r="ALA3000" s="125"/>
      <c r="ALB3000" s="470"/>
      <c r="ALC3000" s="449"/>
      <c r="ALD3000" s="462"/>
      <c r="ALE3000" s="299"/>
      <c r="ALF3000" s="81"/>
      <c r="ALG3000" s="160"/>
      <c r="ALH3000" s="568"/>
      <c r="ALI3000" s="125"/>
      <c r="ALJ3000" s="470"/>
      <c r="ALK3000" s="449"/>
      <c r="ALL3000" s="462"/>
      <c r="ALM3000" s="299"/>
      <c r="ALN3000" s="81"/>
      <c r="ALO3000" s="160"/>
      <c r="ALP3000" s="568"/>
      <c r="ALQ3000" s="125"/>
      <c r="ALR3000" s="470"/>
      <c r="ALS3000" s="449"/>
      <c r="ALT3000" s="462"/>
      <c r="ALU3000" s="299"/>
      <c r="ALV3000" s="81"/>
      <c r="ALW3000" s="160"/>
      <c r="ALX3000" s="568"/>
      <c r="ALY3000" s="125"/>
      <c r="ALZ3000" s="470"/>
      <c r="AMA3000" s="449"/>
      <c r="AMB3000" s="462"/>
      <c r="AMC3000" s="299"/>
      <c r="AMD3000" s="81"/>
      <c r="AME3000" s="160"/>
      <c r="AMF3000" s="568"/>
      <c r="AMG3000" s="125"/>
      <c r="AMH3000" s="470"/>
      <c r="AMI3000" s="449"/>
      <c r="AMJ3000" s="462"/>
      <c r="AMK3000" s="299"/>
      <c r="AML3000" s="81"/>
      <c r="AMM3000" s="160"/>
      <c r="AMN3000" s="568"/>
      <c r="AMO3000" s="125"/>
      <c r="AMP3000" s="470"/>
      <c r="AMQ3000" s="449"/>
      <c r="AMR3000" s="462"/>
      <c r="AMS3000" s="299"/>
      <c r="AMT3000" s="81"/>
      <c r="AMU3000" s="160"/>
      <c r="AMV3000" s="568"/>
      <c r="AMW3000" s="125"/>
      <c r="AMX3000" s="470"/>
      <c r="AMY3000" s="449"/>
      <c r="AMZ3000" s="462"/>
      <c r="ANA3000" s="299"/>
      <c r="ANB3000" s="81"/>
      <c r="ANC3000" s="160"/>
      <c r="AND3000" s="568"/>
      <c r="ANE3000" s="125"/>
      <c r="ANF3000" s="470"/>
      <c r="ANG3000" s="449"/>
      <c r="ANH3000" s="462"/>
      <c r="ANI3000" s="299"/>
      <c r="ANJ3000" s="81"/>
      <c r="ANK3000" s="160"/>
      <c r="ANL3000" s="568"/>
      <c r="ANM3000" s="125"/>
      <c r="ANN3000" s="470"/>
      <c r="ANO3000" s="449"/>
      <c r="ANP3000" s="462"/>
      <c r="ANQ3000" s="299"/>
      <c r="ANR3000" s="81"/>
      <c r="ANS3000" s="160"/>
      <c r="ANT3000" s="568"/>
      <c r="ANU3000" s="125"/>
      <c r="ANV3000" s="470"/>
      <c r="ANW3000" s="449"/>
      <c r="ANX3000" s="462"/>
      <c r="ANY3000" s="299"/>
      <c r="ANZ3000" s="81"/>
      <c r="AOA3000" s="160"/>
      <c r="AOB3000" s="568"/>
      <c r="AOC3000" s="125"/>
      <c r="AOD3000" s="470"/>
      <c r="AOE3000" s="449"/>
      <c r="AOF3000" s="462"/>
      <c r="AOG3000" s="299"/>
      <c r="AOH3000" s="81"/>
      <c r="AOI3000" s="160"/>
      <c r="AOJ3000" s="568"/>
      <c r="AOK3000" s="125"/>
      <c r="AOL3000" s="470"/>
      <c r="AOM3000" s="449"/>
      <c r="AON3000" s="462"/>
      <c r="AOO3000" s="299"/>
      <c r="AOP3000" s="81"/>
      <c r="AOQ3000" s="160"/>
      <c r="AOR3000" s="568"/>
      <c r="AOS3000" s="125"/>
      <c r="AOT3000" s="470"/>
      <c r="AOU3000" s="449"/>
      <c r="AOV3000" s="462"/>
      <c r="AOW3000" s="299"/>
      <c r="AOX3000" s="81"/>
      <c r="AOY3000" s="160"/>
      <c r="AOZ3000" s="568"/>
      <c r="APA3000" s="125"/>
      <c r="APB3000" s="470"/>
      <c r="APC3000" s="449"/>
      <c r="APD3000" s="462"/>
      <c r="APE3000" s="299"/>
      <c r="APF3000" s="81"/>
      <c r="APG3000" s="160"/>
      <c r="APH3000" s="568"/>
      <c r="API3000" s="125"/>
      <c r="APJ3000" s="470"/>
      <c r="APK3000" s="449"/>
      <c r="APL3000" s="462"/>
      <c r="APM3000" s="299"/>
      <c r="APN3000" s="81"/>
      <c r="APO3000" s="160"/>
      <c r="APP3000" s="568"/>
      <c r="APQ3000" s="125"/>
      <c r="APR3000" s="470"/>
      <c r="APS3000" s="449"/>
      <c r="APT3000" s="462"/>
      <c r="APU3000" s="299"/>
      <c r="APV3000" s="81"/>
      <c r="APW3000" s="160"/>
      <c r="APX3000" s="568"/>
      <c r="APY3000" s="125"/>
      <c r="APZ3000" s="470"/>
      <c r="AQA3000" s="449"/>
      <c r="AQB3000" s="462"/>
      <c r="AQC3000" s="299"/>
      <c r="AQD3000" s="81"/>
      <c r="AQE3000" s="160"/>
      <c r="AQF3000" s="568"/>
      <c r="AQG3000" s="125"/>
      <c r="AQH3000" s="470"/>
      <c r="AQI3000" s="449"/>
      <c r="AQJ3000" s="462"/>
      <c r="AQK3000" s="299"/>
      <c r="AQL3000" s="81"/>
      <c r="AQM3000" s="160"/>
      <c r="AQN3000" s="568"/>
      <c r="AQO3000" s="125"/>
      <c r="AQP3000" s="470"/>
      <c r="AQQ3000" s="449"/>
      <c r="AQR3000" s="462"/>
      <c r="AQS3000" s="299"/>
      <c r="AQT3000" s="81"/>
      <c r="AQU3000" s="160"/>
      <c r="AQV3000" s="568"/>
      <c r="AQW3000" s="125"/>
      <c r="AQX3000" s="470"/>
      <c r="AQY3000" s="449"/>
      <c r="AQZ3000" s="462"/>
      <c r="ARA3000" s="299"/>
      <c r="ARB3000" s="81"/>
      <c r="ARC3000" s="160"/>
      <c r="ARD3000" s="568"/>
      <c r="ARE3000" s="125"/>
      <c r="ARF3000" s="470"/>
      <c r="ARG3000" s="449"/>
      <c r="ARH3000" s="462"/>
      <c r="ARI3000" s="299"/>
      <c r="ARJ3000" s="81"/>
      <c r="ARK3000" s="160"/>
      <c r="ARL3000" s="568"/>
      <c r="ARM3000" s="125"/>
      <c r="ARN3000" s="470"/>
      <c r="ARO3000" s="449"/>
      <c r="ARP3000" s="462"/>
      <c r="ARQ3000" s="299"/>
      <c r="ARR3000" s="81"/>
      <c r="ARS3000" s="160"/>
      <c r="ART3000" s="568"/>
      <c r="ARU3000" s="125"/>
      <c r="ARV3000" s="470"/>
      <c r="ARW3000" s="449"/>
      <c r="ARX3000" s="462"/>
      <c r="ARY3000" s="299"/>
      <c r="ARZ3000" s="81"/>
      <c r="ASA3000" s="160"/>
      <c r="ASB3000" s="568"/>
      <c r="ASC3000" s="125"/>
      <c r="ASD3000" s="470"/>
      <c r="ASE3000" s="449"/>
      <c r="ASF3000" s="462"/>
      <c r="ASG3000" s="299"/>
      <c r="ASH3000" s="81"/>
      <c r="ASI3000" s="160"/>
      <c r="ASJ3000" s="568"/>
      <c r="ASK3000" s="125"/>
      <c r="ASL3000" s="470"/>
      <c r="ASM3000" s="449"/>
      <c r="ASN3000" s="462"/>
      <c r="ASO3000" s="299"/>
      <c r="ASP3000" s="81"/>
      <c r="ASQ3000" s="160"/>
      <c r="ASR3000" s="568"/>
      <c r="ASS3000" s="125"/>
      <c r="AST3000" s="470"/>
      <c r="ASU3000" s="449"/>
      <c r="ASV3000" s="462"/>
      <c r="ASW3000" s="299"/>
      <c r="ASX3000" s="81"/>
      <c r="ASY3000" s="160"/>
      <c r="ASZ3000" s="568"/>
      <c r="ATA3000" s="125"/>
      <c r="ATB3000" s="470"/>
      <c r="ATC3000" s="449"/>
      <c r="ATD3000" s="462"/>
      <c r="ATE3000" s="299"/>
      <c r="ATF3000" s="81"/>
      <c r="ATG3000" s="160"/>
      <c r="ATH3000" s="568"/>
      <c r="ATI3000" s="125"/>
      <c r="ATJ3000" s="470"/>
      <c r="ATK3000" s="449"/>
      <c r="ATL3000" s="462"/>
      <c r="ATM3000" s="299"/>
      <c r="ATN3000" s="81"/>
      <c r="ATO3000" s="160"/>
      <c r="ATP3000" s="568"/>
      <c r="ATQ3000" s="125"/>
      <c r="ATR3000" s="470"/>
      <c r="ATS3000" s="449"/>
      <c r="ATT3000" s="462"/>
      <c r="ATU3000" s="299"/>
      <c r="ATV3000" s="81"/>
      <c r="ATW3000" s="160"/>
      <c r="ATX3000" s="568"/>
      <c r="ATY3000" s="125"/>
      <c r="ATZ3000" s="470"/>
      <c r="AUA3000" s="449"/>
      <c r="AUB3000" s="462"/>
      <c r="AUC3000" s="299"/>
      <c r="AUD3000" s="81"/>
      <c r="AUE3000" s="160"/>
      <c r="AUF3000" s="568"/>
      <c r="AUG3000" s="125"/>
      <c r="AUH3000" s="470"/>
      <c r="AUI3000" s="449"/>
      <c r="AUJ3000" s="462"/>
      <c r="AUK3000" s="299"/>
      <c r="AUL3000" s="81"/>
      <c r="AUM3000" s="160"/>
      <c r="AUN3000" s="568"/>
      <c r="AUO3000" s="125"/>
      <c r="AUP3000" s="470"/>
      <c r="AUQ3000" s="449"/>
      <c r="AUR3000" s="462"/>
      <c r="AUS3000" s="299"/>
      <c r="AUT3000" s="81"/>
      <c r="AUU3000" s="160"/>
      <c r="AUV3000" s="568"/>
      <c r="AUW3000" s="125"/>
      <c r="AUX3000" s="470"/>
      <c r="AUY3000" s="449"/>
      <c r="AUZ3000" s="462"/>
      <c r="AVA3000" s="299"/>
      <c r="AVB3000" s="81"/>
      <c r="AVC3000" s="160"/>
      <c r="AVD3000" s="568"/>
      <c r="AVE3000" s="125"/>
      <c r="AVF3000" s="470"/>
      <c r="AVG3000" s="449"/>
      <c r="AVH3000" s="462"/>
      <c r="AVI3000" s="299"/>
      <c r="AVJ3000" s="81"/>
      <c r="AVK3000" s="160"/>
      <c r="AVL3000" s="568"/>
      <c r="AVM3000" s="125"/>
      <c r="AVN3000" s="470"/>
      <c r="AVO3000" s="449"/>
      <c r="AVP3000" s="462"/>
      <c r="AVQ3000" s="299"/>
      <c r="AVR3000" s="81"/>
      <c r="AVS3000" s="160"/>
      <c r="AVT3000" s="568"/>
      <c r="AVU3000" s="125"/>
      <c r="AVV3000" s="470"/>
      <c r="AVW3000" s="449"/>
      <c r="AVX3000" s="462"/>
      <c r="AVY3000" s="299"/>
      <c r="AVZ3000" s="81"/>
      <c r="AWA3000" s="160"/>
      <c r="AWB3000" s="568"/>
      <c r="AWC3000" s="125"/>
      <c r="AWD3000" s="470"/>
      <c r="AWE3000" s="449"/>
      <c r="AWF3000" s="462"/>
      <c r="AWG3000" s="299"/>
      <c r="AWH3000" s="81"/>
      <c r="AWI3000" s="160"/>
      <c r="AWJ3000" s="568"/>
      <c r="AWK3000" s="125"/>
      <c r="AWL3000" s="470"/>
      <c r="AWM3000" s="449"/>
      <c r="AWN3000" s="462"/>
      <c r="AWO3000" s="299"/>
      <c r="AWP3000" s="81"/>
      <c r="AWQ3000" s="160"/>
      <c r="AWR3000" s="568"/>
      <c r="AWS3000" s="125"/>
      <c r="AWT3000" s="470"/>
      <c r="AWU3000" s="449"/>
      <c r="AWV3000" s="462"/>
      <c r="AWW3000" s="299"/>
      <c r="AWX3000" s="81"/>
      <c r="AWY3000" s="160"/>
      <c r="AWZ3000" s="568"/>
      <c r="AXA3000" s="125"/>
      <c r="AXB3000" s="470"/>
      <c r="AXC3000" s="449"/>
      <c r="AXD3000" s="462"/>
      <c r="AXE3000" s="299"/>
      <c r="AXF3000" s="81"/>
      <c r="AXG3000" s="160"/>
      <c r="AXH3000" s="568"/>
      <c r="AXI3000" s="125"/>
      <c r="AXJ3000" s="470"/>
      <c r="AXK3000" s="449"/>
      <c r="AXL3000" s="462"/>
      <c r="AXM3000" s="299"/>
      <c r="AXN3000" s="81"/>
      <c r="AXO3000" s="160"/>
      <c r="AXP3000" s="568"/>
      <c r="AXQ3000" s="125"/>
      <c r="AXR3000" s="470"/>
      <c r="AXS3000" s="449"/>
      <c r="AXT3000" s="462"/>
      <c r="AXU3000" s="299"/>
      <c r="AXV3000" s="81"/>
      <c r="AXW3000" s="160"/>
      <c r="AXX3000" s="568"/>
      <c r="AXY3000" s="125"/>
      <c r="AXZ3000" s="470"/>
      <c r="AYA3000" s="449"/>
      <c r="AYB3000" s="462"/>
      <c r="AYC3000" s="299"/>
      <c r="AYD3000" s="81"/>
      <c r="AYE3000" s="160"/>
      <c r="AYF3000" s="568"/>
      <c r="AYG3000" s="125"/>
      <c r="AYH3000" s="470"/>
      <c r="AYI3000" s="449"/>
      <c r="AYJ3000" s="462"/>
      <c r="AYK3000" s="299"/>
      <c r="AYL3000" s="81"/>
      <c r="AYM3000" s="160"/>
      <c r="AYN3000" s="568"/>
      <c r="AYO3000" s="125"/>
      <c r="AYP3000" s="470"/>
      <c r="AYQ3000" s="449"/>
      <c r="AYR3000" s="462"/>
      <c r="AYS3000" s="299"/>
      <c r="AYT3000" s="81"/>
      <c r="AYU3000" s="160"/>
      <c r="AYV3000" s="568"/>
      <c r="AYW3000" s="125"/>
      <c r="AYX3000" s="470"/>
      <c r="AYY3000" s="449"/>
      <c r="AYZ3000" s="462"/>
      <c r="AZA3000" s="299"/>
      <c r="AZB3000" s="81"/>
      <c r="AZC3000" s="160"/>
      <c r="AZD3000" s="568"/>
      <c r="AZE3000" s="125"/>
      <c r="AZF3000" s="470"/>
      <c r="AZG3000" s="449"/>
      <c r="AZH3000" s="462"/>
      <c r="AZI3000" s="299"/>
      <c r="AZJ3000" s="81"/>
      <c r="AZK3000" s="160"/>
      <c r="AZL3000" s="568"/>
      <c r="AZM3000" s="125"/>
      <c r="AZN3000" s="470"/>
      <c r="AZO3000" s="449"/>
      <c r="AZP3000" s="462"/>
      <c r="AZQ3000" s="299"/>
      <c r="AZR3000" s="81"/>
      <c r="AZS3000" s="160"/>
      <c r="AZT3000" s="568"/>
      <c r="AZU3000" s="125"/>
      <c r="AZV3000" s="470"/>
      <c r="AZW3000" s="449"/>
      <c r="AZX3000" s="462"/>
      <c r="AZY3000" s="299"/>
      <c r="AZZ3000" s="81"/>
      <c r="BAA3000" s="160"/>
      <c r="BAB3000" s="568"/>
      <c r="BAC3000" s="125"/>
      <c r="BAD3000" s="470"/>
      <c r="BAE3000" s="449"/>
      <c r="BAF3000" s="462"/>
      <c r="BAG3000" s="299"/>
      <c r="BAH3000" s="81"/>
      <c r="BAI3000" s="160"/>
      <c r="BAJ3000" s="568"/>
      <c r="BAK3000" s="125"/>
      <c r="BAL3000" s="470"/>
      <c r="BAM3000" s="449"/>
      <c r="BAN3000" s="462"/>
      <c r="BAO3000" s="299"/>
      <c r="BAP3000" s="81"/>
      <c r="BAQ3000" s="160"/>
      <c r="BAR3000" s="568"/>
      <c r="BAS3000" s="125"/>
      <c r="BAT3000" s="470"/>
      <c r="BAU3000" s="449"/>
      <c r="BAV3000" s="462"/>
      <c r="BAW3000" s="299"/>
      <c r="BAX3000" s="81"/>
      <c r="BAY3000" s="160"/>
      <c r="BAZ3000" s="568"/>
      <c r="BBA3000" s="125"/>
      <c r="BBB3000" s="470"/>
      <c r="BBC3000" s="449"/>
      <c r="BBD3000" s="462"/>
      <c r="BBE3000" s="299"/>
      <c r="BBF3000" s="81"/>
      <c r="BBG3000" s="160"/>
      <c r="BBH3000" s="568"/>
      <c r="BBI3000" s="125"/>
      <c r="BBJ3000" s="470"/>
      <c r="BBK3000" s="449"/>
      <c r="BBL3000" s="462"/>
      <c r="BBM3000" s="299"/>
      <c r="BBN3000" s="81"/>
      <c r="BBO3000" s="160"/>
      <c r="BBP3000" s="568"/>
      <c r="BBQ3000" s="125"/>
      <c r="BBR3000" s="470"/>
      <c r="BBS3000" s="449"/>
      <c r="BBT3000" s="462"/>
      <c r="BBU3000" s="299"/>
      <c r="BBV3000" s="81"/>
      <c r="BBW3000" s="160"/>
      <c r="BBX3000" s="568"/>
      <c r="BBY3000" s="125"/>
      <c r="BBZ3000" s="470"/>
      <c r="BCA3000" s="449"/>
      <c r="BCB3000" s="462"/>
      <c r="BCC3000" s="299"/>
      <c r="BCD3000" s="81"/>
      <c r="BCE3000" s="160"/>
      <c r="BCF3000" s="568"/>
      <c r="BCG3000" s="125"/>
      <c r="BCH3000" s="470"/>
      <c r="BCI3000" s="449"/>
      <c r="BCJ3000" s="462"/>
      <c r="BCK3000" s="299"/>
      <c r="BCL3000" s="81"/>
      <c r="BCM3000" s="160"/>
      <c r="BCN3000" s="568"/>
      <c r="BCO3000" s="125"/>
      <c r="BCP3000" s="470"/>
      <c r="BCQ3000" s="449"/>
      <c r="BCR3000" s="462"/>
      <c r="BCS3000" s="299"/>
      <c r="BCT3000" s="81"/>
      <c r="BCU3000" s="160"/>
      <c r="BCV3000" s="568"/>
      <c r="BCW3000" s="125"/>
      <c r="BCX3000" s="470"/>
      <c r="BCY3000" s="449"/>
      <c r="BCZ3000" s="462"/>
      <c r="BDA3000" s="299"/>
      <c r="BDB3000" s="81"/>
      <c r="BDC3000" s="160"/>
      <c r="BDD3000" s="568"/>
      <c r="BDE3000" s="125"/>
      <c r="BDF3000" s="470"/>
      <c r="BDG3000" s="449"/>
      <c r="BDH3000" s="462"/>
      <c r="BDI3000" s="299"/>
      <c r="BDJ3000" s="81"/>
      <c r="BDK3000" s="160"/>
      <c r="BDL3000" s="568"/>
      <c r="BDM3000" s="125"/>
      <c r="BDN3000" s="470"/>
      <c r="BDO3000" s="449"/>
      <c r="BDP3000" s="462"/>
      <c r="BDQ3000" s="299"/>
      <c r="BDR3000" s="81"/>
      <c r="BDS3000" s="160"/>
      <c r="BDT3000" s="568"/>
      <c r="BDU3000" s="125"/>
      <c r="BDV3000" s="470"/>
      <c r="BDW3000" s="449"/>
      <c r="BDX3000" s="462"/>
      <c r="BDY3000" s="299"/>
      <c r="BDZ3000" s="81"/>
      <c r="BEA3000" s="160"/>
      <c r="BEB3000" s="568"/>
      <c r="BEC3000" s="125"/>
      <c r="BED3000" s="470"/>
      <c r="BEE3000" s="449"/>
      <c r="BEF3000" s="462"/>
      <c r="BEG3000" s="299"/>
      <c r="BEH3000" s="81"/>
      <c r="BEI3000" s="160"/>
      <c r="BEJ3000" s="568"/>
      <c r="BEK3000" s="125"/>
      <c r="BEL3000" s="470"/>
      <c r="BEM3000" s="449"/>
      <c r="BEN3000" s="462"/>
      <c r="BEO3000" s="299"/>
      <c r="BEP3000" s="81"/>
      <c r="BEQ3000" s="160"/>
      <c r="BER3000" s="568"/>
      <c r="BES3000" s="125"/>
      <c r="BET3000" s="470"/>
      <c r="BEU3000" s="449"/>
      <c r="BEV3000" s="462"/>
      <c r="BEW3000" s="299"/>
      <c r="BEX3000" s="81"/>
      <c r="BEY3000" s="160"/>
      <c r="BEZ3000" s="568"/>
      <c r="BFA3000" s="125"/>
      <c r="BFB3000" s="470"/>
      <c r="BFC3000" s="449"/>
      <c r="BFD3000" s="462"/>
      <c r="BFE3000" s="299"/>
      <c r="BFF3000" s="81"/>
      <c r="BFG3000" s="160"/>
      <c r="BFH3000" s="568"/>
      <c r="BFI3000" s="125"/>
      <c r="BFJ3000" s="470"/>
      <c r="BFK3000" s="449"/>
      <c r="BFL3000" s="462"/>
      <c r="BFM3000" s="299"/>
      <c r="BFN3000" s="81"/>
      <c r="BFO3000" s="160"/>
      <c r="BFP3000" s="568"/>
      <c r="BFQ3000" s="125"/>
      <c r="BFR3000" s="470"/>
      <c r="BFS3000" s="449"/>
      <c r="BFT3000" s="462"/>
      <c r="BFU3000" s="299"/>
      <c r="BFV3000" s="81"/>
      <c r="BFW3000" s="160"/>
      <c r="BFX3000" s="568"/>
      <c r="BFY3000" s="125"/>
      <c r="BFZ3000" s="470"/>
      <c r="BGA3000" s="449"/>
      <c r="BGB3000" s="462"/>
      <c r="BGC3000" s="299"/>
      <c r="BGD3000" s="81"/>
      <c r="BGE3000" s="160"/>
      <c r="BGF3000" s="568"/>
      <c r="BGG3000" s="125"/>
      <c r="BGH3000" s="470"/>
      <c r="BGI3000" s="449"/>
      <c r="BGJ3000" s="462"/>
      <c r="BGK3000" s="299"/>
      <c r="BGL3000" s="81"/>
      <c r="BGM3000" s="160"/>
      <c r="BGN3000" s="568"/>
      <c r="BGO3000" s="125"/>
      <c r="BGP3000" s="470"/>
      <c r="BGQ3000" s="449"/>
      <c r="BGR3000" s="462"/>
      <c r="BGS3000" s="299"/>
      <c r="BGT3000" s="81"/>
      <c r="BGU3000" s="160"/>
      <c r="BGV3000" s="568"/>
      <c r="BGW3000" s="125"/>
      <c r="BGX3000" s="470"/>
      <c r="BGY3000" s="449"/>
      <c r="BGZ3000" s="462"/>
      <c r="BHA3000" s="299"/>
      <c r="BHB3000" s="81"/>
      <c r="BHC3000" s="160"/>
      <c r="BHD3000" s="568"/>
      <c r="BHE3000" s="125"/>
      <c r="BHF3000" s="470"/>
      <c r="BHG3000" s="449"/>
      <c r="BHH3000" s="462"/>
      <c r="BHI3000" s="299"/>
      <c r="BHJ3000" s="81"/>
      <c r="BHK3000" s="160"/>
      <c r="BHL3000" s="568"/>
      <c r="BHM3000" s="125"/>
      <c r="BHN3000" s="470"/>
      <c r="BHO3000" s="449"/>
      <c r="BHP3000" s="462"/>
      <c r="BHQ3000" s="299"/>
      <c r="BHR3000" s="81"/>
      <c r="BHS3000" s="160"/>
      <c r="BHT3000" s="568"/>
      <c r="BHU3000" s="125"/>
      <c r="BHV3000" s="470"/>
      <c r="BHW3000" s="449"/>
      <c r="BHX3000" s="462"/>
      <c r="BHY3000" s="299"/>
      <c r="BHZ3000" s="81"/>
      <c r="BIA3000" s="160"/>
      <c r="BIB3000" s="568"/>
      <c r="BIC3000" s="125"/>
      <c r="BID3000" s="470"/>
      <c r="BIE3000" s="449"/>
      <c r="BIF3000" s="462"/>
      <c r="BIG3000" s="299"/>
      <c r="BIH3000" s="81"/>
      <c r="BII3000" s="160"/>
      <c r="BIJ3000" s="568"/>
      <c r="BIK3000" s="125"/>
      <c r="BIL3000" s="470"/>
      <c r="BIM3000" s="449"/>
      <c r="BIN3000" s="462"/>
      <c r="BIO3000" s="299"/>
      <c r="BIP3000" s="81"/>
      <c r="BIQ3000" s="160"/>
      <c r="BIR3000" s="568"/>
      <c r="BIS3000" s="125"/>
      <c r="BIT3000" s="470"/>
      <c r="BIU3000" s="449"/>
      <c r="BIV3000" s="462"/>
      <c r="BIW3000" s="299"/>
      <c r="BIX3000" s="81"/>
      <c r="BIY3000" s="160"/>
      <c r="BIZ3000" s="568"/>
      <c r="BJA3000" s="125"/>
      <c r="BJB3000" s="470"/>
      <c r="BJC3000" s="449"/>
      <c r="BJD3000" s="462"/>
      <c r="BJE3000" s="299"/>
      <c r="BJF3000" s="81"/>
      <c r="BJG3000" s="160"/>
      <c r="BJH3000" s="568"/>
      <c r="BJI3000" s="125"/>
      <c r="BJJ3000" s="470"/>
      <c r="BJK3000" s="449"/>
      <c r="BJL3000" s="462"/>
      <c r="BJM3000" s="299"/>
      <c r="BJN3000" s="81"/>
      <c r="BJO3000" s="160"/>
      <c r="BJP3000" s="568"/>
      <c r="BJQ3000" s="125"/>
      <c r="BJR3000" s="470"/>
      <c r="BJS3000" s="449"/>
      <c r="BJT3000" s="462"/>
      <c r="BJU3000" s="299"/>
      <c r="BJV3000" s="81"/>
      <c r="BJW3000" s="160"/>
      <c r="BJX3000" s="568"/>
      <c r="BJY3000" s="125"/>
      <c r="BJZ3000" s="470"/>
      <c r="BKA3000" s="449"/>
      <c r="BKB3000" s="462"/>
      <c r="BKC3000" s="299"/>
      <c r="BKD3000" s="81"/>
      <c r="BKE3000" s="160"/>
      <c r="BKF3000" s="568"/>
      <c r="BKG3000" s="125"/>
      <c r="BKH3000" s="470"/>
      <c r="BKI3000" s="449"/>
      <c r="BKJ3000" s="462"/>
      <c r="BKK3000" s="299"/>
      <c r="BKL3000" s="81"/>
      <c r="BKM3000" s="160"/>
      <c r="BKN3000" s="568"/>
      <c r="BKO3000" s="125"/>
      <c r="BKP3000" s="470"/>
      <c r="BKQ3000" s="449"/>
      <c r="BKR3000" s="462"/>
      <c r="BKS3000" s="299"/>
      <c r="BKT3000" s="81"/>
      <c r="BKU3000" s="160"/>
      <c r="BKV3000" s="568"/>
      <c r="BKW3000" s="125"/>
      <c r="BKX3000" s="470"/>
      <c r="BKY3000" s="449"/>
      <c r="BKZ3000" s="462"/>
      <c r="BLA3000" s="299"/>
      <c r="BLB3000" s="81"/>
      <c r="BLC3000" s="160"/>
      <c r="BLD3000" s="568"/>
      <c r="BLE3000" s="125"/>
      <c r="BLF3000" s="470"/>
      <c r="BLG3000" s="449"/>
      <c r="BLH3000" s="462"/>
      <c r="BLI3000" s="299"/>
      <c r="BLJ3000" s="81"/>
      <c r="BLK3000" s="160"/>
      <c r="BLL3000" s="568"/>
      <c r="BLM3000" s="125"/>
      <c r="BLN3000" s="470"/>
      <c r="BLO3000" s="449"/>
      <c r="BLP3000" s="462"/>
      <c r="BLQ3000" s="299"/>
      <c r="BLR3000" s="81"/>
      <c r="BLS3000" s="160"/>
      <c r="BLT3000" s="568"/>
      <c r="BLU3000" s="125"/>
      <c r="BLV3000" s="470"/>
      <c r="BLW3000" s="449"/>
      <c r="BLX3000" s="462"/>
      <c r="BLY3000" s="299"/>
      <c r="BLZ3000" s="81"/>
      <c r="BMA3000" s="160"/>
      <c r="BMB3000" s="568"/>
      <c r="BMC3000" s="125"/>
      <c r="BMD3000" s="470"/>
      <c r="BME3000" s="449"/>
      <c r="BMF3000" s="462"/>
      <c r="BMG3000" s="299"/>
      <c r="BMH3000" s="81"/>
      <c r="BMI3000" s="160"/>
      <c r="BMJ3000" s="568"/>
      <c r="BMK3000" s="125"/>
      <c r="BML3000" s="470"/>
      <c r="BMM3000" s="449"/>
      <c r="BMN3000" s="462"/>
      <c r="BMO3000" s="299"/>
      <c r="BMP3000" s="81"/>
      <c r="BMQ3000" s="160"/>
      <c r="BMR3000" s="568"/>
      <c r="BMS3000" s="125"/>
      <c r="BMT3000" s="470"/>
      <c r="BMU3000" s="449"/>
      <c r="BMV3000" s="462"/>
      <c r="BMW3000" s="299"/>
      <c r="BMX3000" s="81"/>
      <c r="BMY3000" s="160"/>
      <c r="BMZ3000" s="568"/>
      <c r="BNA3000" s="125"/>
      <c r="BNB3000" s="470"/>
      <c r="BNC3000" s="449"/>
      <c r="BND3000" s="462"/>
      <c r="BNE3000" s="299"/>
      <c r="BNF3000" s="81"/>
      <c r="BNG3000" s="160"/>
      <c r="BNH3000" s="568"/>
      <c r="BNI3000" s="125"/>
      <c r="BNJ3000" s="470"/>
      <c r="BNK3000" s="449"/>
      <c r="BNL3000" s="462"/>
      <c r="BNM3000" s="299"/>
      <c r="BNN3000" s="81"/>
      <c r="BNO3000" s="160"/>
      <c r="BNP3000" s="568"/>
      <c r="BNQ3000" s="125"/>
      <c r="BNR3000" s="470"/>
      <c r="BNS3000" s="449"/>
      <c r="BNT3000" s="462"/>
      <c r="BNU3000" s="299"/>
      <c r="BNV3000" s="81"/>
      <c r="BNW3000" s="160"/>
      <c r="BNX3000" s="568"/>
      <c r="BNY3000" s="125"/>
      <c r="BNZ3000" s="470"/>
      <c r="BOA3000" s="449"/>
      <c r="BOB3000" s="462"/>
      <c r="BOC3000" s="299"/>
      <c r="BOD3000" s="81"/>
      <c r="BOE3000" s="160"/>
      <c r="BOF3000" s="568"/>
      <c r="BOG3000" s="125"/>
      <c r="BOH3000" s="470"/>
      <c r="BOI3000" s="449"/>
      <c r="BOJ3000" s="462"/>
      <c r="BOK3000" s="299"/>
      <c r="BOL3000" s="81"/>
      <c r="BOM3000" s="160"/>
      <c r="BON3000" s="568"/>
      <c r="BOO3000" s="125"/>
      <c r="BOP3000" s="470"/>
      <c r="BOQ3000" s="449"/>
      <c r="BOR3000" s="462"/>
      <c r="BOS3000" s="299"/>
      <c r="BOT3000" s="81"/>
      <c r="BOU3000" s="160"/>
      <c r="BOV3000" s="568"/>
      <c r="BOW3000" s="125"/>
      <c r="BOX3000" s="470"/>
      <c r="BOY3000" s="449"/>
      <c r="BOZ3000" s="462"/>
      <c r="BPA3000" s="299"/>
      <c r="BPB3000" s="81"/>
      <c r="BPC3000" s="160"/>
      <c r="BPD3000" s="568"/>
      <c r="BPE3000" s="125"/>
      <c r="BPF3000" s="470"/>
      <c r="BPG3000" s="449"/>
      <c r="BPH3000" s="462"/>
      <c r="BPI3000" s="299"/>
      <c r="BPJ3000" s="81"/>
      <c r="BPK3000" s="160"/>
      <c r="BPL3000" s="568"/>
      <c r="BPM3000" s="125"/>
      <c r="BPN3000" s="470"/>
      <c r="BPO3000" s="449"/>
      <c r="BPP3000" s="462"/>
      <c r="BPQ3000" s="299"/>
      <c r="BPR3000" s="81"/>
      <c r="BPS3000" s="160"/>
      <c r="BPT3000" s="568"/>
      <c r="BPU3000" s="125"/>
      <c r="BPV3000" s="470"/>
      <c r="BPW3000" s="449"/>
      <c r="BPX3000" s="462"/>
      <c r="BPY3000" s="299"/>
      <c r="BPZ3000" s="81"/>
      <c r="BQA3000" s="160"/>
      <c r="BQB3000" s="568"/>
      <c r="BQC3000" s="125"/>
      <c r="BQD3000" s="470"/>
      <c r="BQE3000" s="449"/>
      <c r="BQF3000" s="462"/>
      <c r="BQG3000" s="299"/>
      <c r="BQH3000" s="81"/>
      <c r="BQI3000" s="160"/>
      <c r="BQJ3000" s="568"/>
      <c r="BQK3000" s="125"/>
      <c r="BQL3000" s="470"/>
      <c r="BQM3000" s="449"/>
      <c r="BQN3000" s="462"/>
      <c r="BQO3000" s="299"/>
      <c r="BQP3000" s="81"/>
      <c r="BQQ3000" s="160"/>
      <c r="BQR3000" s="568"/>
      <c r="BQS3000" s="125"/>
      <c r="BQT3000" s="470"/>
      <c r="BQU3000" s="449"/>
      <c r="BQV3000" s="462"/>
      <c r="BQW3000" s="299"/>
      <c r="BQX3000" s="81"/>
      <c r="BQY3000" s="160"/>
      <c r="BQZ3000" s="568"/>
      <c r="BRA3000" s="125"/>
      <c r="BRB3000" s="470"/>
      <c r="BRC3000" s="449"/>
      <c r="BRD3000" s="462"/>
      <c r="BRE3000" s="299"/>
      <c r="BRF3000" s="81"/>
      <c r="BRG3000" s="160"/>
      <c r="BRH3000" s="568"/>
      <c r="BRI3000" s="125"/>
      <c r="BRJ3000" s="470"/>
      <c r="BRK3000" s="449"/>
      <c r="BRL3000" s="462"/>
      <c r="BRM3000" s="299"/>
      <c r="BRN3000" s="81"/>
      <c r="BRO3000" s="160"/>
      <c r="BRP3000" s="568"/>
      <c r="BRQ3000" s="125"/>
      <c r="BRR3000" s="470"/>
      <c r="BRS3000" s="449"/>
      <c r="BRT3000" s="462"/>
      <c r="BRU3000" s="299"/>
      <c r="BRV3000" s="81"/>
      <c r="BRW3000" s="160"/>
      <c r="BRX3000" s="568"/>
      <c r="BRY3000" s="125"/>
      <c r="BRZ3000" s="470"/>
      <c r="BSA3000" s="449"/>
      <c r="BSB3000" s="462"/>
      <c r="BSC3000" s="299"/>
      <c r="BSD3000" s="81"/>
      <c r="BSE3000" s="160"/>
      <c r="BSF3000" s="568"/>
      <c r="BSG3000" s="125"/>
      <c r="BSH3000" s="470"/>
      <c r="BSI3000" s="449"/>
      <c r="BSJ3000" s="462"/>
      <c r="BSK3000" s="299"/>
      <c r="BSL3000" s="81"/>
      <c r="BSM3000" s="160"/>
      <c r="BSN3000" s="568"/>
      <c r="BSO3000" s="125"/>
      <c r="BSP3000" s="470"/>
      <c r="BSQ3000" s="449"/>
      <c r="BSR3000" s="462"/>
      <c r="BSS3000" s="299"/>
      <c r="BST3000" s="81"/>
      <c r="BSU3000" s="160"/>
      <c r="BSV3000" s="568"/>
      <c r="BSW3000" s="125"/>
      <c r="BSX3000" s="470"/>
      <c r="BSY3000" s="449"/>
      <c r="BSZ3000" s="462"/>
      <c r="BTA3000" s="299"/>
      <c r="BTB3000" s="81"/>
      <c r="BTC3000" s="160"/>
      <c r="BTD3000" s="568"/>
      <c r="BTE3000" s="125"/>
      <c r="BTF3000" s="470"/>
      <c r="BTG3000" s="449"/>
      <c r="BTH3000" s="462"/>
      <c r="BTI3000" s="299"/>
      <c r="BTJ3000" s="81"/>
      <c r="BTK3000" s="160"/>
      <c r="BTL3000" s="568"/>
      <c r="BTM3000" s="125"/>
      <c r="BTN3000" s="470"/>
      <c r="BTO3000" s="449"/>
      <c r="BTP3000" s="462"/>
      <c r="BTQ3000" s="299"/>
      <c r="BTR3000" s="81"/>
      <c r="BTS3000" s="160"/>
      <c r="BTT3000" s="568"/>
      <c r="BTU3000" s="125"/>
      <c r="BTV3000" s="470"/>
      <c r="BTW3000" s="449"/>
      <c r="BTX3000" s="462"/>
      <c r="BTY3000" s="299"/>
      <c r="BTZ3000" s="81"/>
      <c r="BUA3000" s="160"/>
      <c r="BUB3000" s="568"/>
      <c r="BUC3000" s="125"/>
      <c r="BUD3000" s="470"/>
      <c r="BUE3000" s="449"/>
      <c r="BUF3000" s="462"/>
      <c r="BUG3000" s="299"/>
      <c r="BUH3000" s="81"/>
      <c r="BUI3000" s="160"/>
      <c r="BUJ3000" s="568"/>
      <c r="BUK3000" s="125"/>
      <c r="BUL3000" s="470"/>
      <c r="BUM3000" s="449"/>
      <c r="BUN3000" s="462"/>
      <c r="BUO3000" s="299"/>
      <c r="BUP3000" s="81"/>
      <c r="BUQ3000" s="160"/>
      <c r="BUR3000" s="568"/>
      <c r="BUS3000" s="125"/>
      <c r="BUT3000" s="470"/>
      <c r="BUU3000" s="449"/>
      <c r="BUV3000" s="462"/>
      <c r="BUW3000" s="299"/>
      <c r="BUX3000" s="81"/>
      <c r="BUY3000" s="160"/>
      <c r="BUZ3000" s="568"/>
      <c r="BVA3000" s="125"/>
      <c r="BVB3000" s="470"/>
      <c r="BVC3000" s="449"/>
      <c r="BVD3000" s="462"/>
      <c r="BVE3000" s="299"/>
      <c r="BVF3000" s="81"/>
      <c r="BVG3000" s="160"/>
      <c r="BVH3000" s="568"/>
      <c r="BVI3000" s="125"/>
      <c r="BVJ3000" s="470"/>
      <c r="BVK3000" s="449"/>
      <c r="BVL3000" s="462"/>
      <c r="BVM3000" s="299"/>
      <c r="BVN3000" s="81"/>
      <c r="BVO3000" s="160"/>
      <c r="BVP3000" s="568"/>
      <c r="BVQ3000" s="125"/>
      <c r="BVR3000" s="470"/>
      <c r="BVS3000" s="449"/>
      <c r="BVT3000" s="462"/>
      <c r="BVU3000" s="299"/>
      <c r="BVV3000" s="81"/>
      <c r="BVW3000" s="160"/>
      <c r="BVX3000" s="568"/>
      <c r="BVY3000" s="125"/>
      <c r="BVZ3000" s="470"/>
      <c r="BWA3000" s="449"/>
      <c r="BWB3000" s="462"/>
      <c r="BWC3000" s="299"/>
      <c r="BWD3000" s="81"/>
      <c r="BWE3000" s="160"/>
      <c r="BWF3000" s="568"/>
      <c r="BWG3000" s="125"/>
      <c r="BWH3000" s="470"/>
      <c r="BWI3000" s="449"/>
      <c r="BWJ3000" s="462"/>
      <c r="BWK3000" s="299"/>
      <c r="BWL3000" s="81"/>
      <c r="BWM3000" s="160"/>
      <c r="BWN3000" s="568"/>
      <c r="BWO3000" s="125"/>
      <c r="BWP3000" s="470"/>
      <c r="BWQ3000" s="449"/>
      <c r="BWR3000" s="462"/>
      <c r="BWS3000" s="299"/>
      <c r="BWT3000" s="81"/>
      <c r="BWU3000" s="160"/>
      <c r="BWV3000" s="568"/>
      <c r="BWW3000" s="125"/>
      <c r="BWX3000" s="470"/>
      <c r="BWY3000" s="449"/>
      <c r="BWZ3000" s="462"/>
      <c r="BXA3000" s="299"/>
      <c r="BXB3000" s="81"/>
      <c r="BXC3000" s="160"/>
      <c r="BXD3000" s="568"/>
      <c r="BXE3000" s="125"/>
      <c r="BXF3000" s="470"/>
      <c r="BXG3000" s="449"/>
      <c r="BXH3000" s="462"/>
      <c r="BXI3000" s="299"/>
      <c r="BXJ3000" s="81"/>
      <c r="BXK3000" s="160"/>
      <c r="BXL3000" s="568"/>
      <c r="BXM3000" s="125"/>
      <c r="BXN3000" s="470"/>
      <c r="BXO3000" s="449"/>
      <c r="BXP3000" s="462"/>
      <c r="BXQ3000" s="299"/>
      <c r="BXR3000" s="81"/>
      <c r="BXS3000" s="160"/>
      <c r="BXT3000" s="568"/>
      <c r="BXU3000" s="125"/>
      <c r="BXV3000" s="470"/>
      <c r="BXW3000" s="449"/>
      <c r="BXX3000" s="462"/>
      <c r="BXY3000" s="299"/>
      <c r="BXZ3000" s="81"/>
      <c r="BYA3000" s="160"/>
      <c r="BYB3000" s="568"/>
      <c r="BYC3000" s="125"/>
      <c r="BYD3000" s="470"/>
      <c r="BYE3000" s="449"/>
      <c r="BYF3000" s="462"/>
      <c r="BYG3000" s="299"/>
      <c r="BYH3000" s="81"/>
      <c r="BYI3000" s="160"/>
      <c r="BYJ3000" s="568"/>
      <c r="BYK3000" s="125"/>
      <c r="BYL3000" s="470"/>
      <c r="BYM3000" s="449"/>
      <c r="BYN3000" s="462"/>
      <c r="BYO3000" s="299"/>
      <c r="BYP3000" s="81"/>
      <c r="BYQ3000" s="160"/>
      <c r="BYR3000" s="568"/>
      <c r="BYS3000" s="125"/>
      <c r="BYT3000" s="470"/>
      <c r="BYU3000" s="449"/>
      <c r="BYV3000" s="462"/>
      <c r="BYW3000" s="299"/>
      <c r="BYX3000" s="81"/>
      <c r="BYY3000" s="160"/>
      <c r="BYZ3000" s="568"/>
      <c r="BZA3000" s="125"/>
      <c r="BZB3000" s="470"/>
      <c r="BZC3000" s="449"/>
      <c r="BZD3000" s="462"/>
      <c r="BZE3000" s="299"/>
      <c r="BZF3000" s="81"/>
      <c r="BZG3000" s="160"/>
      <c r="BZH3000" s="568"/>
      <c r="BZI3000" s="125"/>
      <c r="BZJ3000" s="470"/>
      <c r="BZK3000" s="449"/>
      <c r="BZL3000" s="462"/>
      <c r="BZM3000" s="299"/>
      <c r="BZN3000" s="81"/>
      <c r="BZO3000" s="160"/>
      <c r="BZP3000" s="568"/>
      <c r="BZQ3000" s="125"/>
      <c r="BZR3000" s="470"/>
      <c r="BZS3000" s="449"/>
      <c r="BZT3000" s="462"/>
      <c r="BZU3000" s="299"/>
      <c r="BZV3000" s="81"/>
      <c r="BZW3000" s="160"/>
      <c r="BZX3000" s="568"/>
      <c r="BZY3000" s="125"/>
      <c r="BZZ3000" s="470"/>
      <c r="CAA3000" s="449"/>
      <c r="CAB3000" s="462"/>
      <c r="CAC3000" s="299"/>
      <c r="CAD3000" s="81"/>
      <c r="CAE3000" s="160"/>
      <c r="CAF3000" s="568"/>
      <c r="CAG3000" s="125"/>
      <c r="CAH3000" s="470"/>
      <c r="CAI3000" s="449"/>
      <c r="CAJ3000" s="462"/>
      <c r="CAK3000" s="299"/>
      <c r="CAL3000" s="81"/>
      <c r="CAM3000" s="160"/>
      <c r="CAN3000" s="568"/>
      <c r="CAO3000" s="125"/>
      <c r="CAP3000" s="470"/>
      <c r="CAQ3000" s="449"/>
      <c r="CAR3000" s="462"/>
      <c r="CAS3000" s="299"/>
      <c r="CAT3000" s="81"/>
      <c r="CAU3000" s="160"/>
      <c r="CAV3000" s="568"/>
      <c r="CAW3000" s="125"/>
      <c r="CAX3000" s="470"/>
      <c r="CAY3000" s="449"/>
      <c r="CAZ3000" s="462"/>
      <c r="CBA3000" s="299"/>
      <c r="CBB3000" s="81"/>
      <c r="CBC3000" s="160"/>
      <c r="CBD3000" s="568"/>
      <c r="CBE3000" s="125"/>
      <c r="CBF3000" s="470"/>
      <c r="CBG3000" s="449"/>
      <c r="CBH3000" s="462"/>
      <c r="CBI3000" s="299"/>
      <c r="CBJ3000" s="81"/>
      <c r="CBK3000" s="160"/>
      <c r="CBL3000" s="568"/>
      <c r="CBM3000" s="125"/>
      <c r="CBN3000" s="470"/>
      <c r="CBO3000" s="449"/>
      <c r="CBP3000" s="462"/>
      <c r="CBQ3000" s="299"/>
      <c r="CBR3000" s="81"/>
      <c r="CBS3000" s="160"/>
      <c r="CBT3000" s="568"/>
      <c r="CBU3000" s="125"/>
      <c r="CBV3000" s="470"/>
      <c r="CBW3000" s="449"/>
      <c r="CBX3000" s="462"/>
      <c r="CBY3000" s="299"/>
      <c r="CBZ3000" s="81"/>
      <c r="CCA3000" s="160"/>
      <c r="CCB3000" s="568"/>
      <c r="CCC3000" s="125"/>
      <c r="CCD3000" s="470"/>
      <c r="CCE3000" s="449"/>
      <c r="CCF3000" s="462"/>
      <c r="CCG3000" s="299"/>
      <c r="CCH3000" s="81"/>
      <c r="CCI3000" s="160"/>
      <c r="CCJ3000" s="568"/>
      <c r="CCK3000" s="125"/>
      <c r="CCL3000" s="470"/>
      <c r="CCM3000" s="449"/>
      <c r="CCN3000" s="462"/>
      <c r="CCO3000" s="299"/>
      <c r="CCP3000" s="81"/>
      <c r="CCQ3000" s="160"/>
      <c r="CCR3000" s="568"/>
      <c r="CCS3000" s="125"/>
      <c r="CCT3000" s="470"/>
      <c r="CCU3000" s="449"/>
      <c r="CCV3000" s="462"/>
      <c r="CCW3000" s="299"/>
      <c r="CCX3000" s="81"/>
      <c r="CCY3000" s="160"/>
      <c r="CCZ3000" s="568"/>
      <c r="CDA3000" s="125"/>
      <c r="CDB3000" s="470"/>
      <c r="CDC3000" s="449"/>
      <c r="CDD3000" s="462"/>
      <c r="CDE3000" s="299"/>
      <c r="CDF3000" s="81"/>
      <c r="CDG3000" s="160"/>
      <c r="CDH3000" s="568"/>
      <c r="CDI3000" s="125"/>
      <c r="CDJ3000" s="470"/>
      <c r="CDK3000" s="449"/>
      <c r="CDL3000" s="462"/>
      <c r="CDM3000" s="299"/>
      <c r="CDN3000" s="81"/>
      <c r="CDO3000" s="160"/>
      <c r="CDP3000" s="568"/>
      <c r="CDQ3000" s="125"/>
      <c r="CDR3000" s="470"/>
      <c r="CDS3000" s="449"/>
      <c r="CDT3000" s="462"/>
      <c r="CDU3000" s="299"/>
      <c r="CDV3000" s="81"/>
      <c r="CDW3000" s="160"/>
      <c r="CDX3000" s="568"/>
      <c r="CDY3000" s="125"/>
      <c r="CDZ3000" s="470"/>
      <c r="CEA3000" s="449"/>
      <c r="CEB3000" s="462"/>
      <c r="CEC3000" s="299"/>
      <c r="CED3000" s="81"/>
      <c r="CEE3000" s="160"/>
      <c r="CEF3000" s="568"/>
      <c r="CEG3000" s="125"/>
      <c r="CEH3000" s="470"/>
      <c r="CEI3000" s="449"/>
      <c r="CEJ3000" s="462"/>
      <c r="CEK3000" s="299"/>
      <c r="CEL3000" s="81"/>
      <c r="CEM3000" s="160"/>
      <c r="CEN3000" s="568"/>
      <c r="CEO3000" s="125"/>
      <c r="CEP3000" s="470"/>
      <c r="CEQ3000" s="449"/>
      <c r="CER3000" s="462"/>
      <c r="CES3000" s="299"/>
      <c r="CET3000" s="81"/>
      <c r="CEU3000" s="160"/>
      <c r="CEV3000" s="568"/>
      <c r="CEW3000" s="125"/>
      <c r="CEX3000" s="470"/>
      <c r="CEY3000" s="449"/>
      <c r="CEZ3000" s="462"/>
      <c r="CFA3000" s="299"/>
      <c r="CFB3000" s="81"/>
      <c r="CFC3000" s="160"/>
      <c r="CFD3000" s="568"/>
      <c r="CFE3000" s="125"/>
      <c r="CFF3000" s="470"/>
      <c r="CFG3000" s="449"/>
      <c r="CFH3000" s="462"/>
      <c r="CFI3000" s="299"/>
      <c r="CFJ3000" s="81"/>
      <c r="CFK3000" s="160"/>
      <c r="CFL3000" s="568"/>
      <c r="CFM3000" s="125"/>
      <c r="CFN3000" s="470"/>
      <c r="CFO3000" s="449"/>
      <c r="CFP3000" s="462"/>
      <c r="CFQ3000" s="299"/>
      <c r="CFR3000" s="81"/>
      <c r="CFS3000" s="160"/>
      <c r="CFT3000" s="568"/>
      <c r="CFU3000" s="125"/>
      <c r="CFV3000" s="470"/>
      <c r="CFW3000" s="449"/>
      <c r="CFX3000" s="462"/>
      <c r="CFY3000" s="299"/>
      <c r="CFZ3000" s="81"/>
      <c r="CGA3000" s="160"/>
      <c r="CGB3000" s="568"/>
      <c r="CGC3000" s="125"/>
      <c r="CGD3000" s="470"/>
      <c r="CGE3000" s="449"/>
      <c r="CGF3000" s="462"/>
      <c r="CGG3000" s="299"/>
      <c r="CGH3000" s="81"/>
      <c r="CGI3000" s="160"/>
      <c r="CGJ3000" s="568"/>
      <c r="CGK3000" s="125"/>
      <c r="CGL3000" s="470"/>
      <c r="CGM3000" s="449"/>
      <c r="CGN3000" s="462"/>
      <c r="CGO3000" s="299"/>
      <c r="CGP3000" s="81"/>
      <c r="CGQ3000" s="160"/>
      <c r="CGR3000" s="568"/>
      <c r="CGS3000" s="125"/>
      <c r="CGT3000" s="470"/>
      <c r="CGU3000" s="449"/>
      <c r="CGV3000" s="462"/>
      <c r="CGW3000" s="299"/>
      <c r="CGX3000" s="81"/>
      <c r="CGY3000" s="160"/>
      <c r="CGZ3000" s="568"/>
      <c r="CHA3000" s="125"/>
      <c r="CHB3000" s="470"/>
      <c r="CHC3000" s="449"/>
      <c r="CHD3000" s="462"/>
      <c r="CHE3000" s="299"/>
      <c r="CHF3000" s="81"/>
      <c r="CHG3000" s="160"/>
      <c r="CHH3000" s="568"/>
      <c r="CHI3000" s="125"/>
      <c r="CHJ3000" s="470"/>
      <c r="CHK3000" s="449"/>
      <c r="CHL3000" s="462"/>
      <c r="CHM3000" s="299"/>
      <c r="CHN3000" s="81"/>
      <c r="CHO3000" s="160"/>
      <c r="CHP3000" s="568"/>
      <c r="CHQ3000" s="125"/>
      <c r="CHR3000" s="470"/>
      <c r="CHS3000" s="449"/>
      <c r="CHT3000" s="462"/>
      <c r="CHU3000" s="299"/>
      <c r="CHV3000" s="81"/>
      <c r="CHW3000" s="160"/>
      <c r="CHX3000" s="568"/>
      <c r="CHY3000" s="125"/>
      <c r="CHZ3000" s="470"/>
      <c r="CIA3000" s="449"/>
      <c r="CIB3000" s="462"/>
      <c r="CIC3000" s="299"/>
      <c r="CID3000" s="81"/>
      <c r="CIE3000" s="160"/>
      <c r="CIF3000" s="568"/>
      <c r="CIG3000" s="125"/>
      <c r="CIH3000" s="470"/>
      <c r="CII3000" s="449"/>
      <c r="CIJ3000" s="462"/>
      <c r="CIK3000" s="299"/>
      <c r="CIL3000" s="81"/>
      <c r="CIM3000" s="160"/>
      <c r="CIN3000" s="568"/>
      <c r="CIO3000" s="125"/>
      <c r="CIP3000" s="470"/>
      <c r="CIQ3000" s="449"/>
      <c r="CIR3000" s="462"/>
      <c r="CIS3000" s="299"/>
      <c r="CIT3000" s="81"/>
      <c r="CIU3000" s="160"/>
      <c r="CIV3000" s="568"/>
      <c r="CIW3000" s="125"/>
      <c r="CIX3000" s="470"/>
      <c r="CIY3000" s="449"/>
      <c r="CIZ3000" s="462"/>
      <c r="CJA3000" s="299"/>
      <c r="CJB3000" s="81"/>
      <c r="CJC3000" s="160"/>
      <c r="CJD3000" s="568"/>
      <c r="CJE3000" s="125"/>
      <c r="CJF3000" s="470"/>
      <c r="CJG3000" s="449"/>
      <c r="CJH3000" s="462"/>
      <c r="CJI3000" s="299"/>
      <c r="CJJ3000" s="81"/>
      <c r="CJK3000" s="160"/>
      <c r="CJL3000" s="568"/>
      <c r="CJM3000" s="125"/>
      <c r="CJN3000" s="470"/>
      <c r="CJO3000" s="449"/>
      <c r="CJP3000" s="462"/>
      <c r="CJQ3000" s="299"/>
      <c r="CJR3000" s="81"/>
      <c r="CJS3000" s="160"/>
      <c r="CJT3000" s="568"/>
      <c r="CJU3000" s="125"/>
      <c r="CJV3000" s="470"/>
      <c r="CJW3000" s="449"/>
      <c r="CJX3000" s="462"/>
      <c r="CJY3000" s="299"/>
      <c r="CJZ3000" s="81"/>
      <c r="CKA3000" s="160"/>
      <c r="CKB3000" s="568"/>
      <c r="CKC3000" s="125"/>
      <c r="CKD3000" s="470"/>
      <c r="CKE3000" s="449"/>
      <c r="CKF3000" s="462"/>
      <c r="CKG3000" s="299"/>
      <c r="CKH3000" s="81"/>
      <c r="CKI3000" s="160"/>
      <c r="CKJ3000" s="568"/>
      <c r="CKK3000" s="125"/>
      <c r="CKL3000" s="470"/>
      <c r="CKM3000" s="449"/>
      <c r="CKN3000" s="462"/>
      <c r="CKO3000" s="299"/>
      <c r="CKP3000" s="81"/>
      <c r="CKQ3000" s="160"/>
      <c r="CKR3000" s="568"/>
      <c r="CKS3000" s="125"/>
      <c r="CKT3000" s="470"/>
      <c r="CKU3000" s="449"/>
      <c r="CKV3000" s="462"/>
      <c r="CKW3000" s="299"/>
      <c r="CKX3000" s="81"/>
      <c r="CKY3000" s="160"/>
      <c r="CKZ3000" s="568"/>
      <c r="CLA3000" s="125"/>
      <c r="CLB3000" s="470"/>
      <c r="CLC3000" s="449"/>
      <c r="CLD3000" s="462"/>
      <c r="CLE3000" s="299"/>
      <c r="CLF3000" s="81"/>
      <c r="CLG3000" s="160"/>
      <c r="CLH3000" s="568"/>
      <c r="CLI3000" s="125"/>
      <c r="CLJ3000" s="470"/>
      <c r="CLK3000" s="449"/>
      <c r="CLL3000" s="462"/>
      <c r="CLM3000" s="299"/>
      <c r="CLN3000" s="81"/>
      <c r="CLO3000" s="160"/>
      <c r="CLP3000" s="568"/>
      <c r="CLQ3000" s="125"/>
      <c r="CLR3000" s="470"/>
      <c r="CLS3000" s="449"/>
      <c r="CLT3000" s="462"/>
      <c r="CLU3000" s="299"/>
      <c r="CLV3000" s="81"/>
      <c r="CLW3000" s="160"/>
      <c r="CLX3000" s="568"/>
      <c r="CLY3000" s="125"/>
      <c r="CLZ3000" s="470"/>
      <c r="CMA3000" s="449"/>
      <c r="CMB3000" s="462"/>
      <c r="CMC3000" s="299"/>
      <c r="CMD3000" s="81"/>
      <c r="CME3000" s="160"/>
      <c r="CMF3000" s="568"/>
      <c r="CMG3000" s="125"/>
      <c r="CMH3000" s="470"/>
      <c r="CMI3000" s="449"/>
      <c r="CMJ3000" s="462"/>
      <c r="CMK3000" s="299"/>
      <c r="CML3000" s="81"/>
      <c r="CMM3000" s="160"/>
      <c r="CMN3000" s="568"/>
      <c r="CMO3000" s="125"/>
      <c r="CMP3000" s="470"/>
      <c r="CMQ3000" s="449"/>
      <c r="CMR3000" s="462"/>
      <c r="CMS3000" s="299"/>
      <c r="CMT3000" s="81"/>
      <c r="CMU3000" s="160"/>
      <c r="CMV3000" s="568"/>
      <c r="CMW3000" s="125"/>
      <c r="CMX3000" s="470"/>
      <c r="CMY3000" s="449"/>
      <c r="CMZ3000" s="462"/>
      <c r="CNA3000" s="299"/>
      <c r="CNB3000" s="81"/>
      <c r="CNC3000" s="160"/>
      <c r="CND3000" s="568"/>
      <c r="CNE3000" s="125"/>
      <c r="CNF3000" s="470"/>
      <c r="CNG3000" s="449"/>
      <c r="CNH3000" s="462"/>
      <c r="CNI3000" s="299"/>
      <c r="CNJ3000" s="81"/>
      <c r="CNK3000" s="160"/>
      <c r="CNL3000" s="568"/>
      <c r="CNM3000" s="125"/>
      <c r="CNN3000" s="470"/>
      <c r="CNO3000" s="449"/>
      <c r="CNP3000" s="462"/>
      <c r="CNQ3000" s="299"/>
      <c r="CNR3000" s="81"/>
      <c r="CNS3000" s="160"/>
      <c r="CNT3000" s="568"/>
      <c r="CNU3000" s="125"/>
      <c r="CNV3000" s="470"/>
      <c r="CNW3000" s="449"/>
      <c r="CNX3000" s="462"/>
      <c r="CNY3000" s="299"/>
      <c r="CNZ3000" s="81"/>
      <c r="COA3000" s="160"/>
      <c r="COB3000" s="568"/>
      <c r="COC3000" s="125"/>
      <c r="COD3000" s="470"/>
      <c r="COE3000" s="449"/>
      <c r="COF3000" s="462"/>
      <c r="COG3000" s="299"/>
      <c r="COH3000" s="81"/>
      <c r="COI3000" s="160"/>
      <c r="COJ3000" s="568"/>
      <c r="COK3000" s="125"/>
      <c r="COL3000" s="470"/>
      <c r="COM3000" s="449"/>
      <c r="CON3000" s="462"/>
      <c r="COO3000" s="299"/>
      <c r="COP3000" s="81"/>
      <c r="COQ3000" s="160"/>
      <c r="COR3000" s="568"/>
      <c r="COS3000" s="125"/>
      <c r="COT3000" s="470"/>
      <c r="COU3000" s="449"/>
      <c r="COV3000" s="462"/>
      <c r="COW3000" s="299"/>
      <c r="COX3000" s="81"/>
      <c r="COY3000" s="160"/>
      <c r="COZ3000" s="568"/>
      <c r="CPA3000" s="125"/>
      <c r="CPB3000" s="470"/>
      <c r="CPC3000" s="449"/>
      <c r="CPD3000" s="462"/>
      <c r="CPE3000" s="299"/>
      <c r="CPF3000" s="81"/>
      <c r="CPG3000" s="160"/>
      <c r="CPH3000" s="568"/>
      <c r="CPI3000" s="125"/>
      <c r="CPJ3000" s="470"/>
      <c r="CPK3000" s="449"/>
      <c r="CPL3000" s="462"/>
      <c r="CPM3000" s="299"/>
      <c r="CPN3000" s="81"/>
      <c r="CPO3000" s="160"/>
      <c r="CPP3000" s="568"/>
      <c r="CPQ3000" s="125"/>
      <c r="CPR3000" s="470"/>
      <c r="CPS3000" s="449"/>
      <c r="CPT3000" s="462"/>
      <c r="CPU3000" s="299"/>
      <c r="CPV3000" s="81"/>
      <c r="CPW3000" s="160"/>
      <c r="CPX3000" s="568"/>
      <c r="CPY3000" s="125"/>
      <c r="CPZ3000" s="470"/>
      <c r="CQA3000" s="449"/>
      <c r="CQB3000" s="462"/>
      <c r="CQC3000" s="299"/>
      <c r="CQD3000" s="81"/>
      <c r="CQE3000" s="160"/>
      <c r="CQF3000" s="568"/>
      <c r="CQG3000" s="125"/>
      <c r="CQH3000" s="470"/>
      <c r="CQI3000" s="449"/>
      <c r="CQJ3000" s="462"/>
      <c r="CQK3000" s="299"/>
      <c r="CQL3000" s="81"/>
      <c r="CQM3000" s="160"/>
      <c r="CQN3000" s="568"/>
      <c r="CQO3000" s="125"/>
      <c r="CQP3000" s="470"/>
      <c r="CQQ3000" s="449"/>
      <c r="CQR3000" s="462"/>
      <c r="CQS3000" s="299"/>
      <c r="CQT3000" s="81"/>
      <c r="CQU3000" s="160"/>
      <c r="CQV3000" s="568"/>
      <c r="CQW3000" s="125"/>
      <c r="CQX3000" s="470"/>
      <c r="CQY3000" s="449"/>
      <c r="CQZ3000" s="462"/>
      <c r="CRA3000" s="299"/>
      <c r="CRB3000" s="81"/>
      <c r="CRC3000" s="160"/>
      <c r="CRD3000" s="568"/>
      <c r="CRE3000" s="125"/>
      <c r="CRF3000" s="470"/>
      <c r="CRG3000" s="449"/>
      <c r="CRH3000" s="462"/>
      <c r="CRI3000" s="299"/>
      <c r="CRJ3000" s="81"/>
      <c r="CRK3000" s="160"/>
      <c r="CRL3000" s="568"/>
      <c r="CRM3000" s="125"/>
      <c r="CRN3000" s="470"/>
      <c r="CRO3000" s="449"/>
      <c r="CRP3000" s="462"/>
      <c r="CRQ3000" s="299"/>
      <c r="CRR3000" s="81"/>
      <c r="CRS3000" s="160"/>
      <c r="CRT3000" s="568"/>
      <c r="CRU3000" s="125"/>
      <c r="CRV3000" s="470"/>
      <c r="CRW3000" s="449"/>
      <c r="CRX3000" s="462"/>
      <c r="CRY3000" s="299"/>
      <c r="CRZ3000" s="81"/>
      <c r="CSA3000" s="160"/>
      <c r="CSB3000" s="568"/>
      <c r="CSC3000" s="125"/>
      <c r="CSD3000" s="470"/>
      <c r="CSE3000" s="449"/>
      <c r="CSF3000" s="462"/>
      <c r="CSG3000" s="299"/>
      <c r="CSH3000" s="81"/>
      <c r="CSI3000" s="160"/>
      <c r="CSJ3000" s="568"/>
      <c r="CSK3000" s="125"/>
      <c r="CSL3000" s="470"/>
      <c r="CSM3000" s="449"/>
      <c r="CSN3000" s="462"/>
      <c r="CSO3000" s="299"/>
      <c r="CSP3000" s="81"/>
      <c r="CSQ3000" s="160"/>
      <c r="CSR3000" s="568"/>
      <c r="CSS3000" s="125"/>
      <c r="CST3000" s="470"/>
      <c r="CSU3000" s="449"/>
      <c r="CSV3000" s="462"/>
      <c r="CSW3000" s="299"/>
      <c r="CSX3000" s="81"/>
      <c r="CSY3000" s="160"/>
      <c r="CSZ3000" s="568"/>
      <c r="CTA3000" s="125"/>
      <c r="CTB3000" s="470"/>
      <c r="CTC3000" s="449"/>
      <c r="CTD3000" s="462"/>
      <c r="CTE3000" s="299"/>
      <c r="CTF3000" s="81"/>
      <c r="CTG3000" s="160"/>
      <c r="CTH3000" s="568"/>
      <c r="CTI3000" s="125"/>
      <c r="CTJ3000" s="470"/>
      <c r="CTK3000" s="449"/>
      <c r="CTL3000" s="462"/>
      <c r="CTM3000" s="299"/>
      <c r="CTN3000" s="81"/>
      <c r="CTO3000" s="160"/>
      <c r="CTP3000" s="568"/>
      <c r="CTQ3000" s="125"/>
      <c r="CTR3000" s="470"/>
      <c r="CTS3000" s="449"/>
      <c r="CTT3000" s="462"/>
      <c r="CTU3000" s="299"/>
      <c r="CTV3000" s="81"/>
      <c r="CTW3000" s="160"/>
      <c r="CTX3000" s="568"/>
      <c r="CTY3000" s="125"/>
      <c r="CTZ3000" s="470"/>
      <c r="CUA3000" s="449"/>
      <c r="CUB3000" s="462"/>
      <c r="CUC3000" s="299"/>
      <c r="CUD3000" s="81"/>
      <c r="CUE3000" s="160"/>
      <c r="CUF3000" s="568"/>
      <c r="CUG3000" s="125"/>
      <c r="CUH3000" s="470"/>
      <c r="CUI3000" s="449"/>
      <c r="CUJ3000" s="462"/>
      <c r="CUK3000" s="299"/>
      <c r="CUL3000" s="81"/>
      <c r="CUM3000" s="160"/>
      <c r="CUN3000" s="568"/>
      <c r="CUO3000" s="125"/>
      <c r="CUP3000" s="470"/>
      <c r="CUQ3000" s="449"/>
      <c r="CUR3000" s="462"/>
      <c r="CUS3000" s="299"/>
      <c r="CUT3000" s="81"/>
      <c r="CUU3000" s="160"/>
      <c r="CUV3000" s="568"/>
      <c r="CUW3000" s="125"/>
      <c r="CUX3000" s="470"/>
      <c r="CUY3000" s="449"/>
      <c r="CUZ3000" s="462"/>
      <c r="CVA3000" s="299"/>
      <c r="CVB3000" s="81"/>
      <c r="CVC3000" s="160"/>
      <c r="CVD3000" s="568"/>
      <c r="CVE3000" s="125"/>
      <c r="CVF3000" s="470"/>
      <c r="CVG3000" s="449"/>
      <c r="CVH3000" s="462"/>
      <c r="CVI3000" s="299"/>
      <c r="CVJ3000" s="81"/>
      <c r="CVK3000" s="160"/>
      <c r="CVL3000" s="568"/>
      <c r="CVM3000" s="125"/>
      <c r="CVN3000" s="470"/>
      <c r="CVO3000" s="449"/>
      <c r="CVP3000" s="462"/>
      <c r="CVQ3000" s="299"/>
      <c r="CVR3000" s="81"/>
      <c r="CVS3000" s="160"/>
      <c r="CVT3000" s="568"/>
      <c r="CVU3000" s="125"/>
      <c r="CVV3000" s="470"/>
      <c r="CVW3000" s="449"/>
      <c r="CVX3000" s="462"/>
      <c r="CVY3000" s="299"/>
      <c r="CVZ3000" s="81"/>
      <c r="CWA3000" s="160"/>
      <c r="CWB3000" s="568"/>
      <c r="CWC3000" s="125"/>
      <c r="CWD3000" s="470"/>
      <c r="CWE3000" s="449"/>
      <c r="CWF3000" s="462"/>
      <c r="CWG3000" s="299"/>
      <c r="CWH3000" s="81"/>
      <c r="CWI3000" s="160"/>
      <c r="CWJ3000" s="568"/>
      <c r="CWK3000" s="125"/>
      <c r="CWL3000" s="470"/>
      <c r="CWM3000" s="449"/>
      <c r="CWN3000" s="462"/>
      <c r="CWO3000" s="299"/>
      <c r="CWP3000" s="81"/>
      <c r="CWQ3000" s="160"/>
      <c r="CWR3000" s="568"/>
      <c r="CWS3000" s="125"/>
      <c r="CWT3000" s="470"/>
      <c r="CWU3000" s="449"/>
      <c r="CWV3000" s="462"/>
      <c r="CWW3000" s="299"/>
      <c r="CWX3000" s="81"/>
      <c r="CWY3000" s="160"/>
      <c r="CWZ3000" s="568"/>
      <c r="CXA3000" s="125"/>
      <c r="CXB3000" s="470"/>
      <c r="CXC3000" s="449"/>
      <c r="CXD3000" s="462"/>
      <c r="CXE3000" s="299"/>
      <c r="CXF3000" s="81"/>
      <c r="CXG3000" s="160"/>
      <c r="CXH3000" s="568"/>
      <c r="CXI3000" s="125"/>
      <c r="CXJ3000" s="470"/>
      <c r="CXK3000" s="449"/>
      <c r="CXL3000" s="462"/>
      <c r="CXM3000" s="299"/>
      <c r="CXN3000" s="81"/>
      <c r="CXO3000" s="160"/>
      <c r="CXP3000" s="568"/>
      <c r="CXQ3000" s="125"/>
      <c r="CXR3000" s="470"/>
      <c r="CXS3000" s="449"/>
      <c r="CXT3000" s="462"/>
      <c r="CXU3000" s="299"/>
      <c r="CXV3000" s="81"/>
      <c r="CXW3000" s="160"/>
      <c r="CXX3000" s="568"/>
      <c r="CXY3000" s="125"/>
      <c r="CXZ3000" s="470"/>
      <c r="CYA3000" s="449"/>
      <c r="CYB3000" s="462"/>
      <c r="CYC3000" s="299"/>
      <c r="CYD3000" s="81"/>
      <c r="CYE3000" s="160"/>
      <c r="CYF3000" s="568"/>
      <c r="CYG3000" s="125"/>
      <c r="CYH3000" s="470"/>
      <c r="CYI3000" s="449"/>
      <c r="CYJ3000" s="462"/>
      <c r="CYK3000" s="299"/>
      <c r="CYL3000" s="81"/>
      <c r="CYM3000" s="160"/>
      <c r="CYN3000" s="568"/>
      <c r="CYO3000" s="125"/>
      <c r="CYP3000" s="470"/>
      <c r="CYQ3000" s="449"/>
      <c r="CYR3000" s="462"/>
      <c r="CYS3000" s="299"/>
      <c r="CYT3000" s="81"/>
      <c r="CYU3000" s="160"/>
      <c r="CYV3000" s="568"/>
      <c r="CYW3000" s="125"/>
      <c r="CYX3000" s="470"/>
      <c r="CYY3000" s="449"/>
      <c r="CYZ3000" s="462"/>
      <c r="CZA3000" s="299"/>
      <c r="CZB3000" s="81"/>
      <c r="CZC3000" s="160"/>
      <c r="CZD3000" s="568"/>
      <c r="CZE3000" s="125"/>
      <c r="CZF3000" s="470"/>
      <c r="CZG3000" s="449"/>
      <c r="CZH3000" s="462"/>
      <c r="CZI3000" s="299"/>
      <c r="CZJ3000" s="81"/>
      <c r="CZK3000" s="160"/>
      <c r="CZL3000" s="568"/>
      <c r="CZM3000" s="125"/>
      <c r="CZN3000" s="470"/>
      <c r="CZO3000" s="449"/>
      <c r="CZP3000" s="462"/>
      <c r="CZQ3000" s="299"/>
      <c r="CZR3000" s="81"/>
      <c r="CZS3000" s="160"/>
      <c r="CZT3000" s="568"/>
      <c r="CZU3000" s="125"/>
      <c r="CZV3000" s="470"/>
      <c r="CZW3000" s="449"/>
      <c r="CZX3000" s="462"/>
      <c r="CZY3000" s="299"/>
      <c r="CZZ3000" s="81"/>
      <c r="DAA3000" s="160"/>
      <c r="DAB3000" s="568"/>
      <c r="DAC3000" s="125"/>
      <c r="DAD3000" s="470"/>
      <c r="DAE3000" s="449"/>
      <c r="DAF3000" s="462"/>
      <c r="DAG3000" s="299"/>
      <c r="DAH3000" s="81"/>
      <c r="DAI3000" s="160"/>
      <c r="DAJ3000" s="568"/>
      <c r="DAK3000" s="125"/>
      <c r="DAL3000" s="470"/>
      <c r="DAM3000" s="449"/>
      <c r="DAN3000" s="462"/>
      <c r="DAO3000" s="299"/>
      <c r="DAP3000" s="81"/>
      <c r="DAQ3000" s="160"/>
      <c r="DAR3000" s="568"/>
      <c r="DAS3000" s="125"/>
      <c r="DAT3000" s="470"/>
      <c r="DAU3000" s="449"/>
      <c r="DAV3000" s="462"/>
      <c r="DAW3000" s="299"/>
      <c r="DAX3000" s="81"/>
      <c r="DAY3000" s="160"/>
      <c r="DAZ3000" s="568"/>
      <c r="DBA3000" s="125"/>
      <c r="DBB3000" s="470"/>
      <c r="DBC3000" s="449"/>
      <c r="DBD3000" s="462"/>
      <c r="DBE3000" s="299"/>
      <c r="DBF3000" s="81"/>
      <c r="DBG3000" s="160"/>
      <c r="DBH3000" s="568"/>
      <c r="DBI3000" s="125"/>
      <c r="DBJ3000" s="470"/>
      <c r="DBK3000" s="449"/>
      <c r="DBL3000" s="462"/>
      <c r="DBM3000" s="299"/>
      <c r="DBN3000" s="81"/>
      <c r="DBO3000" s="160"/>
      <c r="DBP3000" s="568"/>
      <c r="DBQ3000" s="125"/>
      <c r="DBR3000" s="470"/>
      <c r="DBS3000" s="449"/>
      <c r="DBT3000" s="462"/>
      <c r="DBU3000" s="299"/>
      <c r="DBV3000" s="81"/>
      <c r="DBW3000" s="160"/>
      <c r="DBX3000" s="568"/>
      <c r="DBY3000" s="125"/>
      <c r="DBZ3000" s="470"/>
      <c r="DCA3000" s="449"/>
      <c r="DCB3000" s="462"/>
      <c r="DCC3000" s="299"/>
      <c r="DCD3000" s="81"/>
      <c r="DCE3000" s="160"/>
      <c r="DCF3000" s="568"/>
      <c r="DCG3000" s="125"/>
      <c r="DCH3000" s="470"/>
      <c r="DCI3000" s="449"/>
      <c r="DCJ3000" s="462"/>
      <c r="DCK3000" s="299"/>
      <c r="DCL3000" s="81"/>
      <c r="DCM3000" s="160"/>
      <c r="DCN3000" s="568"/>
      <c r="DCO3000" s="125"/>
      <c r="DCP3000" s="470"/>
      <c r="DCQ3000" s="449"/>
      <c r="DCR3000" s="462"/>
      <c r="DCS3000" s="299"/>
      <c r="DCT3000" s="81"/>
      <c r="DCU3000" s="160"/>
      <c r="DCV3000" s="568"/>
      <c r="DCW3000" s="125"/>
      <c r="DCX3000" s="470"/>
      <c r="DCY3000" s="449"/>
      <c r="DCZ3000" s="462"/>
      <c r="DDA3000" s="299"/>
      <c r="DDB3000" s="81"/>
      <c r="DDC3000" s="160"/>
      <c r="DDD3000" s="568"/>
      <c r="DDE3000" s="125"/>
      <c r="DDF3000" s="470"/>
      <c r="DDG3000" s="449"/>
      <c r="DDH3000" s="462"/>
      <c r="DDI3000" s="299"/>
      <c r="DDJ3000" s="81"/>
      <c r="DDK3000" s="160"/>
      <c r="DDL3000" s="568"/>
      <c r="DDM3000" s="125"/>
      <c r="DDN3000" s="470"/>
      <c r="DDO3000" s="449"/>
      <c r="DDP3000" s="462"/>
      <c r="DDQ3000" s="299"/>
      <c r="DDR3000" s="81"/>
      <c r="DDS3000" s="160"/>
      <c r="DDT3000" s="568"/>
      <c r="DDU3000" s="125"/>
      <c r="DDV3000" s="470"/>
      <c r="DDW3000" s="449"/>
      <c r="DDX3000" s="462"/>
      <c r="DDY3000" s="299"/>
      <c r="DDZ3000" s="81"/>
      <c r="DEA3000" s="160"/>
      <c r="DEB3000" s="568"/>
      <c r="DEC3000" s="125"/>
      <c r="DED3000" s="470"/>
      <c r="DEE3000" s="449"/>
      <c r="DEF3000" s="462"/>
      <c r="DEG3000" s="299"/>
      <c r="DEH3000" s="81"/>
      <c r="DEI3000" s="160"/>
      <c r="DEJ3000" s="568"/>
      <c r="DEK3000" s="125"/>
      <c r="DEL3000" s="470"/>
      <c r="DEM3000" s="449"/>
      <c r="DEN3000" s="462"/>
      <c r="DEO3000" s="299"/>
      <c r="DEP3000" s="81"/>
      <c r="DEQ3000" s="160"/>
      <c r="DER3000" s="568"/>
      <c r="DES3000" s="125"/>
      <c r="DET3000" s="470"/>
      <c r="DEU3000" s="449"/>
      <c r="DEV3000" s="462"/>
      <c r="DEW3000" s="299"/>
      <c r="DEX3000" s="81"/>
      <c r="DEY3000" s="160"/>
      <c r="DEZ3000" s="568"/>
      <c r="DFA3000" s="125"/>
      <c r="DFB3000" s="470"/>
      <c r="DFC3000" s="449"/>
      <c r="DFD3000" s="462"/>
      <c r="DFE3000" s="299"/>
      <c r="DFF3000" s="81"/>
      <c r="DFG3000" s="160"/>
      <c r="DFH3000" s="568"/>
      <c r="DFI3000" s="125"/>
      <c r="DFJ3000" s="470"/>
      <c r="DFK3000" s="449"/>
      <c r="DFL3000" s="462"/>
      <c r="DFM3000" s="299"/>
      <c r="DFN3000" s="81"/>
      <c r="DFO3000" s="160"/>
      <c r="DFP3000" s="568"/>
      <c r="DFQ3000" s="125"/>
      <c r="DFR3000" s="470"/>
      <c r="DFS3000" s="449"/>
      <c r="DFT3000" s="462"/>
      <c r="DFU3000" s="299"/>
      <c r="DFV3000" s="81"/>
      <c r="DFW3000" s="160"/>
      <c r="DFX3000" s="568"/>
      <c r="DFY3000" s="125"/>
      <c r="DFZ3000" s="470"/>
      <c r="DGA3000" s="449"/>
      <c r="DGB3000" s="462"/>
      <c r="DGC3000" s="299"/>
      <c r="DGD3000" s="81"/>
      <c r="DGE3000" s="160"/>
      <c r="DGF3000" s="568"/>
      <c r="DGG3000" s="125"/>
      <c r="DGH3000" s="470"/>
      <c r="DGI3000" s="449"/>
      <c r="DGJ3000" s="462"/>
      <c r="DGK3000" s="299"/>
      <c r="DGL3000" s="81"/>
      <c r="DGM3000" s="160"/>
      <c r="DGN3000" s="568"/>
      <c r="DGO3000" s="125"/>
      <c r="DGP3000" s="470"/>
      <c r="DGQ3000" s="449"/>
      <c r="DGR3000" s="462"/>
      <c r="DGS3000" s="299"/>
      <c r="DGT3000" s="81"/>
      <c r="DGU3000" s="160"/>
      <c r="DGV3000" s="568"/>
      <c r="DGW3000" s="125"/>
      <c r="DGX3000" s="470"/>
      <c r="DGY3000" s="449"/>
      <c r="DGZ3000" s="462"/>
      <c r="DHA3000" s="299"/>
      <c r="DHB3000" s="81"/>
      <c r="DHC3000" s="160"/>
      <c r="DHD3000" s="568"/>
      <c r="DHE3000" s="125"/>
      <c r="DHF3000" s="470"/>
      <c r="DHG3000" s="449"/>
      <c r="DHH3000" s="462"/>
      <c r="DHI3000" s="299"/>
      <c r="DHJ3000" s="81"/>
      <c r="DHK3000" s="160"/>
      <c r="DHL3000" s="568"/>
      <c r="DHM3000" s="125"/>
      <c r="DHN3000" s="470"/>
      <c r="DHO3000" s="449"/>
      <c r="DHP3000" s="462"/>
      <c r="DHQ3000" s="299"/>
      <c r="DHR3000" s="81"/>
      <c r="DHS3000" s="160"/>
      <c r="DHT3000" s="568"/>
      <c r="DHU3000" s="125"/>
      <c r="DHV3000" s="470"/>
      <c r="DHW3000" s="449"/>
      <c r="DHX3000" s="462"/>
      <c r="DHY3000" s="299"/>
      <c r="DHZ3000" s="81"/>
      <c r="DIA3000" s="160"/>
      <c r="DIB3000" s="568"/>
      <c r="DIC3000" s="125"/>
      <c r="DID3000" s="470"/>
      <c r="DIE3000" s="449"/>
      <c r="DIF3000" s="462"/>
      <c r="DIG3000" s="299"/>
      <c r="DIH3000" s="81"/>
      <c r="DII3000" s="160"/>
      <c r="DIJ3000" s="568"/>
      <c r="DIK3000" s="125"/>
      <c r="DIL3000" s="470"/>
      <c r="DIM3000" s="449"/>
      <c r="DIN3000" s="462"/>
      <c r="DIO3000" s="299"/>
      <c r="DIP3000" s="81"/>
      <c r="DIQ3000" s="160"/>
      <c r="DIR3000" s="568"/>
      <c r="DIS3000" s="125"/>
      <c r="DIT3000" s="470"/>
      <c r="DIU3000" s="449"/>
      <c r="DIV3000" s="462"/>
      <c r="DIW3000" s="299"/>
      <c r="DIX3000" s="81"/>
      <c r="DIY3000" s="160"/>
      <c r="DIZ3000" s="568"/>
      <c r="DJA3000" s="125"/>
      <c r="DJB3000" s="470"/>
      <c r="DJC3000" s="449"/>
      <c r="DJD3000" s="462"/>
      <c r="DJE3000" s="299"/>
      <c r="DJF3000" s="81"/>
      <c r="DJG3000" s="160"/>
      <c r="DJH3000" s="568"/>
      <c r="DJI3000" s="125"/>
      <c r="DJJ3000" s="470"/>
      <c r="DJK3000" s="449"/>
      <c r="DJL3000" s="462"/>
      <c r="DJM3000" s="299"/>
      <c r="DJN3000" s="81"/>
      <c r="DJO3000" s="160"/>
      <c r="DJP3000" s="568"/>
      <c r="DJQ3000" s="125"/>
      <c r="DJR3000" s="470"/>
      <c r="DJS3000" s="449"/>
      <c r="DJT3000" s="462"/>
      <c r="DJU3000" s="299"/>
      <c r="DJV3000" s="81"/>
      <c r="DJW3000" s="160"/>
      <c r="DJX3000" s="568"/>
      <c r="DJY3000" s="125"/>
      <c r="DJZ3000" s="470"/>
      <c r="DKA3000" s="449"/>
      <c r="DKB3000" s="462"/>
      <c r="DKC3000" s="299"/>
      <c r="DKD3000" s="81"/>
      <c r="DKE3000" s="160"/>
      <c r="DKF3000" s="568"/>
      <c r="DKG3000" s="125"/>
      <c r="DKH3000" s="470"/>
      <c r="DKI3000" s="449"/>
      <c r="DKJ3000" s="462"/>
      <c r="DKK3000" s="299"/>
      <c r="DKL3000" s="81"/>
      <c r="DKM3000" s="160"/>
      <c r="DKN3000" s="568"/>
      <c r="DKO3000" s="125"/>
      <c r="DKP3000" s="470"/>
      <c r="DKQ3000" s="449"/>
      <c r="DKR3000" s="462"/>
      <c r="DKS3000" s="299"/>
      <c r="DKT3000" s="81"/>
      <c r="DKU3000" s="160"/>
      <c r="DKV3000" s="568"/>
      <c r="DKW3000" s="125"/>
      <c r="DKX3000" s="470"/>
      <c r="DKY3000" s="449"/>
      <c r="DKZ3000" s="462"/>
      <c r="DLA3000" s="299"/>
      <c r="DLB3000" s="81"/>
      <c r="DLC3000" s="160"/>
      <c r="DLD3000" s="568"/>
      <c r="DLE3000" s="125"/>
      <c r="DLF3000" s="470"/>
      <c r="DLG3000" s="449"/>
      <c r="DLH3000" s="462"/>
      <c r="DLI3000" s="299"/>
      <c r="DLJ3000" s="81"/>
      <c r="DLK3000" s="160"/>
      <c r="DLL3000" s="568"/>
      <c r="DLM3000" s="125"/>
      <c r="DLN3000" s="470"/>
      <c r="DLO3000" s="449"/>
      <c r="DLP3000" s="462"/>
      <c r="DLQ3000" s="299"/>
      <c r="DLR3000" s="81"/>
      <c r="DLS3000" s="160"/>
      <c r="DLT3000" s="568"/>
      <c r="DLU3000" s="125"/>
      <c r="DLV3000" s="470"/>
      <c r="DLW3000" s="449"/>
      <c r="DLX3000" s="462"/>
      <c r="DLY3000" s="299"/>
      <c r="DLZ3000" s="81"/>
      <c r="DMA3000" s="160"/>
      <c r="DMB3000" s="568"/>
      <c r="DMC3000" s="125"/>
      <c r="DMD3000" s="470"/>
      <c r="DME3000" s="449"/>
      <c r="DMF3000" s="462"/>
      <c r="DMG3000" s="299"/>
      <c r="DMH3000" s="81"/>
      <c r="DMI3000" s="160"/>
      <c r="DMJ3000" s="568"/>
      <c r="DMK3000" s="125"/>
      <c r="DML3000" s="470"/>
      <c r="DMM3000" s="449"/>
      <c r="DMN3000" s="462"/>
      <c r="DMO3000" s="299"/>
      <c r="DMP3000" s="81"/>
      <c r="DMQ3000" s="160"/>
      <c r="DMR3000" s="568"/>
      <c r="DMS3000" s="125"/>
      <c r="DMT3000" s="470"/>
      <c r="DMU3000" s="449"/>
      <c r="DMV3000" s="462"/>
      <c r="DMW3000" s="299"/>
      <c r="DMX3000" s="81"/>
      <c r="DMY3000" s="160"/>
      <c r="DMZ3000" s="568"/>
      <c r="DNA3000" s="125"/>
      <c r="DNB3000" s="470"/>
      <c r="DNC3000" s="449"/>
      <c r="DND3000" s="462"/>
      <c r="DNE3000" s="299"/>
      <c r="DNF3000" s="81"/>
      <c r="DNG3000" s="160"/>
      <c r="DNH3000" s="568"/>
      <c r="DNI3000" s="125"/>
      <c r="DNJ3000" s="470"/>
      <c r="DNK3000" s="449"/>
      <c r="DNL3000" s="462"/>
      <c r="DNM3000" s="299"/>
      <c r="DNN3000" s="81"/>
      <c r="DNO3000" s="160"/>
      <c r="DNP3000" s="568"/>
      <c r="DNQ3000" s="125"/>
      <c r="DNR3000" s="470"/>
      <c r="DNS3000" s="449"/>
      <c r="DNT3000" s="462"/>
      <c r="DNU3000" s="299"/>
      <c r="DNV3000" s="81"/>
      <c r="DNW3000" s="160"/>
      <c r="DNX3000" s="568"/>
      <c r="DNY3000" s="125"/>
      <c r="DNZ3000" s="470"/>
      <c r="DOA3000" s="449"/>
      <c r="DOB3000" s="462"/>
      <c r="DOC3000" s="299"/>
      <c r="DOD3000" s="81"/>
      <c r="DOE3000" s="160"/>
      <c r="DOF3000" s="568"/>
      <c r="DOG3000" s="125"/>
      <c r="DOH3000" s="470"/>
      <c r="DOI3000" s="449"/>
      <c r="DOJ3000" s="462"/>
      <c r="DOK3000" s="299"/>
      <c r="DOL3000" s="81"/>
      <c r="DOM3000" s="160"/>
      <c r="DON3000" s="568"/>
      <c r="DOO3000" s="125"/>
      <c r="DOP3000" s="470"/>
      <c r="DOQ3000" s="449"/>
      <c r="DOR3000" s="462"/>
      <c r="DOS3000" s="299"/>
      <c r="DOT3000" s="81"/>
      <c r="DOU3000" s="160"/>
      <c r="DOV3000" s="568"/>
      <c r="DOW3000" s="125"/>
      <c r="DOX3000" s="470"/>
      <c r="DOY3000" s="449"/>
      <c r="DOZ3000" s="462"/>
      <c r="DPA3000" s="299"/>
      <c r="DPB3000" s="81"/>
      <c r="DPC3000" s="160"/>
      <c r="DPD3000" s="568"/>
      <c r="DPE3000" s="125"/>
      <c r="DPF3000" s="470"/>
      <c r="DPG3000" s="449"/>
      <c r="DPH3000" s="462"/>
      <c r="DPI3000" s="299"/>
      <c r="DPJ3000" s="81"/>
      <c r="DPK3000" s="160"/>
      <c r="DPL3000" s="568"/>
      <c r="DPM3000" s="125"/>
      <c r="DPN3000" s="470"/>
      <c r="DPO3000" s="449"/>
      <c r="DPP3000" s="462"/>
      <c r="DPQ3000" s="299"/>
      <c r="DPR3000" s="81"/>
      <c r="DPS3000" s="160"/>
      <c r="DPT3000" s="568"/>
      <c r="DPU3000" s="125"/>
      <c r="DPV3000" s="470"/>
      <c r="DPW3000" s="449"/>
      <c r="DPX3000" s="462"/>
      <c r="DPY3000" s="299"/>
      <c r="DPZ3000" s="81"/>
      <c r="DQA3000" s="160"/>
      <c r="DQB3000" s="568"/>
      <c r="DQC3000" s="125"/>
      <c r="DQD3000" s="470"/>
      <c r="DQE3000" s="449"/>
      <c r="DQF3000" s="462"/>
      <c r="DQG3000" s="299"/>
      <c r="DQH3000" s="81"/>
      <c r="DQI3000" s="160"/>
      <c r="DQJ3000" s="568"/>
      <c r="DQK3000" s="125"/>
      <c r="DQL3000" s="470"/>
      <c r="DQM3000" s="449"/>
      <c r="DQN3000" s="462"/>
      <c r="DQO3000" s="299"/>
      <c r="DQP3000" s="81"/>
      <c r="DQQ3000" s="160"/>
      <c r="DQR3000" s="568"/>
      <c r="DQS3000" s="125"/>
      <c r="DQT3000" s="470"/>
      <c r="DQU3000" s="449"/>
      <c r="DQV3000" s="462"/>
      <c r="DQW3000" s="299"/>
      <c r="DQX3000" s="81"/>
      <c r="DQY3000" s="160"/>
      <c r="DQZ3000" s="568"/>
      <c r="DRA3000" s="125"/>
      <c r="DRB3000" s="470"/>
      <c r="DRC3000" s="449"/>
      <c r="DRD3000" s="462"/>
      <c r="DRE3000" s="299"/>
      <c r="DRF3000" s="81"/>
      <c r="DRG3000" s="160"/>
      <c r="DRH3000" s="568"/>
      <c r="DRI3000" s="125"/>
      <c r="DRJ3000" s="470"/>
      <c r="DRK3000" s="449"/>
      <c r="DRL3000" s="462"/>
      <c r="DRM3000" s="299"/>
      <c r="DRN3000" s="81"/>
      <c r="DRO3000" s="160"/>
      <c r="DRP3000" s="568"/>
      <c r="DRQ3000" s="125"/>
      <c r="DRR3000" s="470"/>
      <c r="DRS3000" s="449"/>
      <c r="DRT3000" s="462"/>
      <c r="DRU3000" s="299"/>
      <c r="DRV3000" s="81"/>
      <c r="DRW3000" s="160"/>
      <c r="DRX3000" s="568"/>
      <c r="DRY3000" s="125"/>
      <c r="DRZ3000" s="470"/>
      <c r="DSA3000" s="449"/>
      <c r="DSB3000" s="462"/>
      <c r="DSC3000" s="299"/>
      <c r="DSD3000" s="81"/>
      <c r="DSE3000" s="160"/>
      <c r="DSF3000" s="568"/>
      <c r="DSG3000" s="125"/>
      <c r="DSH3000" s="470"/>
      <c r="DSI3000" s="449"/>
      <c r="DSJ3000" s="462"/>
      <c r="DSK3000" s="299"/>
      <c r="DSL3000" s="81"/>
      <c r="DSM3000" s="160"/>
      <c r="DSN3000" s="568"/>
      <c r="DSO3000" s="125"/>
      <c r="DSP3000" s="470"/>
      <c r="DSQ3000" s="449"/>
      <c r="DSR3000" s="462"/>
      <c r="DSS3000" s="299"/>
      <c r="DST3000" s="81"/>
      <c r="DSU3000" s="160"/>
      <c r="DSV3000" s="568"/>
      <c r="DSW3000" s="125"/>
      <c r="DSX3000" s="470"/>
      <c r="DSY3000" s="449"/>
      <c r="DSZ3000" s="462"/>
      <c r="DTA3000" s="299"/>
      <c r="DTB3000" s="81"/>
      <c r="DTC3000" s="160"/>
      <c r="DTD3000" s="568"/>
      <c r="DTE3000" s="125"/>
      <c r="DTF3000" s="470"/>
      <c r="DTG3000" s="449"/>
      <c r="DTH3000" s="462"/>
      <c r="DTI3000" s="299"/>
      <c r="DTJ3000" s="81"/>
      <c r="DTK3000" s="160"/>
      <c r="DTL3000" s="568"/>
      <c r="DTM3000" s="125"/>
      <c r="DTN3000" s="470"/>
      <c r="DTO3000" s="449"/>
      <c r="DTP3000" s="462"/>
      <c r="DTQ3000" s="299"/>
      <c r="DTR3000" s="81"/>
      <c r="DTS3000" s="160"/>
      <c r="DTT3000" s="568"/>
      <c r="DTU3000" s="125"/>
      <c r="DTV3000" s="470"/>
      <c r="DTW3000" s="449"/>
      <c r="DTX3000" s="462"/>
      <c r="DTY3000" s="299"/>
      <c r="DTZ3000" s="81"/>
      <c r="DUA3000" s="160"/>
      <c r="DUB3000" s="568"/>
      <c r="DUC3000" s="125"/>
      <c r="DUD3000" s="470"/>
      <c r="DUE3000" s="449"/>
      <c r="DUF3000" s="462"/>
      <c r="DUG3000" s="299"/>
      <c r="DUH3000" s="81"/>
      <c r="DUI3000" s="160"/>
      <c r="DUJ3000" s="568"/>
      <c r="DUK3000" s="125"/>
      <c r="DUL3000" s="470"/>
      <c r="DUM3000" s="449"/>
      <c r="DUN3000" s="462"/>
      <c r="DUO3000" s="299"/>
      <c r="DUP3000" s="81"/>
      <c r="DUQ3000" s="160"/>
      <c r="DUR3000" s="568"/>
      <c r="DUS3000" s="125"/>
      <c r="DUT3000" s="470"/>
      <c r="DUU3000" s="449"/>
      <c r="DUV3000" s="462"/>
      <c r="DUW3000" s="299"/>
      <c r="DUX3000" s="81"/>
      <c r="DUY3000" s="160"/>
      <c r="DUZ3000" s="568"/>
      <c r="DVA3000" s="125"/>
      <c r="DVB3000" s="470"/>
      <c r="DVC3000" s="449"/>
      <c r="DVD3000" s="462"/>
      <c r="DVE3000" s="299"/>
      <c r="DVF3000" s="81"/>
      <c r="DVG3000" s="160"/>
      <c r="DVH3000" s="568"/>
      <c r="DVI3000" s="125"/>
      <c r="DVJ3000" s="470"/>
      <c r="DVK3000" s="449"/>
      <c r="DVL3000" s="462"/>
      <c r="DVM3000" s="299"/>
      <c r="DVN3000" s="81"/>
      <c r="DVO3000" s="160"/>
      <c r="DVP3000" s="568"/>
      <c r="DVQ3000" s="125"/>
      <c r="DVR3000" s="470"/>
      <c r="DVS3000" s="449"/>
      <c r="DVT3000" s="462"/>
      <c r="DVU3000" s="299"/>
      <c r="DVV3000" s="81"/>
      <c r="DVW3000" s="160"/>
      <c r="DVX3000" s="568"/>
      <c r="DVY3000" s="125"/>
      <c r="DVZ3000" s="470"/>
      <c r="DWA3000" s="449"/>
      <c r="DWB3000" s="462"/>
      <c r="DWC3000" s="299"/>
      <c r="DWD3000" s="81"/>
      <c r="DWE3000" s="160"/>
      <c r="DWF3000" s="568"/>
      <c r="DWG3000" s="125"/>
      <c r="DWH3000" s="470"/>
      <c r="DWI3000" s="449"/>
      <c r="DWJ3000" s="462"/>
      <c r="DWK3000" s="299"/>
      <c r="DWL3000" s="81"/>
      <c r="DWM3000" s="160"/>
      <c r="DWN3000" s="568"/>
      <c r="DWO3000" s="125"/>
      <c r="DWP3000" s="470"/>
      <c r="DWQ3000" s="449"/>
      <c r="DWR3000" s="462"/>
      <c r="DWS3000" s="299"/>
      <c r="DWT3000" s="81"/>
      <c r="DWU3000" s="160"/>
      <c r="DWV3000" s="568"/>
      <c r="DWW3000" s="125"/>
      <c r="DWX3000" s="470"/>
      <c r="DWY3000" s="449"/>
      <c r="DWZ3000" s="462"/>
      <c r="DXA3000" s="299"/>
      <c r="DXB3000" s="81"/>
      <c r="DXC3000" s="160"/>
      <c r="DXD3000" s="568"/>
      <c r="DXE3000" s="125"/>
      <c r="DXF3000" s="470"/>
      <c r="DXG3000" s="449"/>
      <c r="DXH3000" s="462"/>
      <c r="DXI3000" s="299"/>
      <c r="DXJ3000" s="81"/>
      <c r="DXK3000" s="160"/>
      <c r="DXL3000" s="568"/>
      <c r="DXM3000" s="125"/>
      <c r="DXN3000" s="470"/>
      <c r="DXO3000" s="449"/>
      <c r="DXP3000" s="462"/>
      <c r="DXQ3000" s="299"/>
      <c r="DXR3000" s="81"/>
      <c r="DXS3000" s="160"/>
      <c r="DXT3000" s="568"/>
      <c r="DXU3000" s="125"/>
      <c r="DXV3000" s="470"/>
      <c r="DXW3000" s="449"/>
      <c r="DXX3000" s="462"/>
      <c r="DXY3000" s="299"/>
      <c r="DXZ3000" s="81"/>
      <c r="DYA3000" s="160"/>
      <c r="DYB3000" s="568"/>
      <c r="DYC3000" s="125"/>
      <c r="DYD3000" s="470"/>
      <c r="DYE3000" s="449"/>
      <c r="DYF3000" s="462"/>
      <c r="DYG3000" s="299"/>
      <c r="DYH3000" s="81"/>
      <c r="DYI3000" s="160"/>
      <c r="DYJ3000" s="568"/>
      <c r="DYK3000" s="125"/>
      <c r="DYL3000" s="470"/>
      <c r="DYM3000" s="449"/>
      <c r="DYN3000" s="462"/>
      <c r="DYO3000" s="299"/>
      <c r="DYP3000" s="81"/>
      <c r="DYQ3000" s="160"/>
      <c r="DYR3000" s="568"/>
      <c r="DYS3000" s="125"/>
      <c r="DYT3000" s="470"/>
      <c r="DYU3000" s="449"/>
      <c r="DYV3000" s="462"/>
      <c r="DYW3000" s="299"/>
      <c r="DYX3000" s="81"/>
      <c r="DYY3000" s="160"/>
      <c r="DYZ3000" s="568"/>
      <c r="DZA3000" s="125"/>
      <c r="DZB3000" s="470"/>
      <c r="DZC3000" s="449"/>
      <c r="DZD3000" s="462"/>
      <c r="DZE3000" s="299"/>
      <c r="DZF3000" s="81"/>
      <c r="DZG3000" s="160"/>
      <c r="DZH3000" s="568"/>
      <c r="DZI3000" s="125"/>
      <c r="DZJ3000" s="470"/>
      <c r="DZK3000" s="449"/>
      <c r="DZL3000" s="462"/>
      <c r="DZM3000" s="299"/>
      <c r="DZN3000" s="81"/>
      <c r="DZO3000" s="160"/>
      <c r="DZP3000" s="568"/>
      <c r="DZQ3000" s="125"/>
      <c r="DZR3000" s="470"/>
      <c r="DZS3000" s="449"/>
      <c r="DZT3000" s="462"/>
      <c r="DZU3000" s="299"/>
      <c r="DZV3000" s="81"/>
      <c r="DZW3000" s="160"/>
      <c r="DZX3000" s="568"/>
      <c r="DZY3000" s="125"/>
      <c r="DZZ3000" s="470"/>
      <c r="EAA3000" s="449"/>
      <c r="EAB3000" s="462"/>
      <c r="EAC3000" s="299"/>
      <c r="EAD3000" s="81"/>
      <c r="EAE3000" s="160"/>
      <c r="EAF3000" s="568"/>
      <c r="EAG3000" s="125"/>
      <c r="EAH3000" s="470"/>
      <c r="EAI3000" s="449"/>
      <c r="EAJ3000" s="462"/>
      <c r="EAK3000" s="299"/>
      <c r="EAL3000" s="81"/>
      <c r="EAM3000" s="160"/>
      <c r="EAN3000" s="568"/>
      <c r="EAO3000" s="125"/>
      <c r="EAP3000" s="470"/>
      <c r="EAQ3000" s="449"/>
      <c r="EAR3000" s="462"/>
      <c r="EAS3000" s="299"/>
      <c r="EAT3000" s="81"/>
      <c r="EAU3000" s="160"/>
      <c r="EAV3000" s="568"/>
      <c r="EAW3000" s="125"/>
      <c r="EAX3000" s="470"/>
      <c r="EAY3000" s="449"/>
      <c r="EAZ3000" s="462"/>
      <c r="EBA3000" s="299"/>
      <c r="EBB3000" s="81"/>
      <c r="EBC3000" s="160"/>
      <c r="EBD3000" s="568"/>
      <c r="EBE3000" s="125"/>
      <c r="EBF3000" s="470"/>
      <c r="EBG3000" s="449"/>
      <c r="EBH3000" s="462"/>
      <c r="EBI3000" s="299"/>
      <c r="EBJ3000" s="81"/>
      <c r="EBK3000" s="160"/>
      <c r="EBL3000" s="568"/>
      <c r="EBM3000" s="125"/>
      <c r="EBN3000" s="470"/>
      <c r="EBO3000" s="449"/>
      <c r="EBP3000" s="462"/>
      <c r="EBQ3000" s="299"/>
      <c r="EBR3000" s="81"/>
      <c r="EBS3000" s="160"/>
      <c r="EBT3000" s="568"/>
      <c r="EBU3000" s="125"/>
      <c r="EBV3000" s="470"/>
      <c r="EBW3000" s="449"/>
      <c r="EBX3000" s="462"/>
      <c r="EBY3000" s="299"/>
      <c r="EBZ3000" s="81"/>
      <c r="ECA3000" s="160"/>
      <c r="ECB3000" s="568"/>
      <c r="ECC3000" s="125"/>
      <c r="ECD3000" s="470"/>
      <c r="ECE3000" s="449"/>
      <c r="ECF3000" s="462"/>
      <c r="ECG3000" s="299"/>
      <c r="ECH3000" s="81"/>
      <c r="ECI3000" s="160"/>
      <c r="ECJ3000" s="568"/>
      <c r="ECK3000" s="125"/>
      <c r="ECL3000" s="470"/>
      <c r="ECM3000" s="449"/>
      <c r="ECN3000" s="462"/>
      <c r="ECO3000" s="299"/>
      <c r="ECP3000" s="81"/>
      <c r="ECQ3000" s="160"/>
      <c r="ECR3000" s="568"/>
      <c r="ECS3000" s="125"/>
      <c r="ECT3000" s="470"/>
      <c r="ECU3000" s="449"/>
      <c r="ECV3000" s="462"/>
      <c r="ECW3000" s="299"/>
      <c r="ECX3000" s="81"/>
      <c r="ECY3000" s="160"/>
      <c r="ECZ3000" s="568"/>
      <c r="EDA3000" s="125"/>
      <c r="EDB3000" s="470"/>
      <c r="EDC3000" s="449"/>
      <c r="EDD3000" s="462"/>
      <c r="EDE3000" s="299"/>
      <c r="EDF3000" s="81"/>
      <c r="EDG3000" s="160"/>
      <c r="EDH3000" s="568"/>
      <c r="EDI3000" s="125"/>
      <c r="EDJ3000" s="470"/>
      <c r="EDK3000" s="449"/>
      <c r="EDL3000" s="462"/>
      <c r="EDM3000" s="299"/>
      <c r="EDN3000" s="81"/>
      <c r="EDO3000" s="160"/>
      <c r="EDP3000" s="568"/>
      <c r="EDQ3000" s="125"/>
      <c r="EDR3000" s="470"/>
      <c r="EDS3000" s="449"/>
      <c r="EDT3000" s="462"/>
      <c r="EDU3000" s="299"/>
      <c r="EDV3000" s="81"/>
      <c r="EDW3000" s="160"/>
      <c r="EDX3000" s="568"/>
      <c r="EDY3000" s="125"/>
      <c r="EDZ3000" s="470"/>
      <c r="EEA3000" s="449"/>
      <c r="EEB3000" s="462"/>
      <c r="EEC3000" s="299"/>
      <c r="EED3000" s="81"/>
      <c r="EEE3000" s="160"/>
      <c r="EEF3000" s="568"/>
      <c r="EEG3000" s="125"/>
      <c r="EEH3000" s="470"/>
      <c r="EEI3000" s="449"/>
      <c r="EEJ3000" s="462"/>
      <c r="EEK3000" s="299"/>
      <c r="EEL3000" s="81"/>
      <c r="EEM3000" s="160"/>
      <c r="EEN3000" s="568"/>
      <c r="EEO3000" s="125"/>
      <c r="EEP3000" s="470"/>
      <c r="EEQ3000" s="449"/>
      <c r="EER3000" s="462"/>
      <c r="EES3000" s="299"/>
      <c r="EET3000" s="81"/>
      <c r="EEU3000" s="160"/>
      <c r="EEV3000" s="568"/>
      <c r="EEW3000" s="125"/>
      <c r="EEX3000" s="470"/>
      <c r="EEY3000" s="449"/>
      <c r="EEZ3000" s="462"/>
      <c r="EFA3000" s="299"/>
      <c r="EFB3000" s="81"/>
      <c r="EFC3000" s="160"/>
      <c r="EFD3000" s="568"/>
      <c r="EFE3000" s="125"/>
      <c r="EFF3000" s="470"/>
      <c r="EFG3000" s="449"/>
      <c r="EFH3000" s="462"/>
      <c r="EFI3000" s="299"/>
      <c r="EFJ3000" s="81"/>
      <c r="EFK3000" s="160"/>
      <c r="EFL3000" s="568"/>
      <c r="EFM3000" s="125"/>
      <c r="EFN3000" s="470"/>
      <c r="EFO3000" s="449"/>
      <c r="EFP3000" s="462"/>
      <c r="EFQ3000" s="299"/>
      <c r="EFR3000" s="81"/>
      <c r="EFS3000" s="160"/>
      <c r="EFT3000" s="568"/>
      <c r="EFU3000" s="125"/>
      <c r="EFV3000" s="470"/>
      <c r="EFW3000" s="449"/>
      <c r="EFX3000" s="462"/>
      <c r="EFY3000" s="299"/>
      <c r="EFZ3000" s="81"/>
      <c r="EGA3000" s="160"/>
      <c r="EGB3000" s="568"/>
      <c r="EGC3000" s="125"/>
      <c r="EGD3000" s="470"/>
      <c r="EGE3000" s="449"/>
      <c r="EGF3000" s="462"/>
      <c r="EGG3000" s="299"/>
      <c r="EGH3000" s="81"/>
      <c r="EGI3000" s="160"/>
      <c r="EGJ3000" s="568"/>
      <c r="EGK3000" s="125"/>
      <c r="EGL3000" s="470"/>
      <c r="EGM3000" s="449"/>
      <c r="EGN3000" s="462"/>
      <c r="EGO3000" s="299"/>
      <c r="EGP3000" s="81"/>
      <c r="EGQ3000" s="160"/>
      <c r="EGR3000" s="568"/>
      <c r="EGS3000" s="125"/>
      <c r="EGT3000" s="470"/>
      <c r="EGU3000" s="449"/>
      <c r="EGV3000" s="462"/>
      <c r="EGW3000" s="299"/>
      <c r="EGX3000" s="81"/>
      <c r="EGY3000" s="160"/>
      <c r="EGZ3000" s="568"/>
      <c r="EHA3000" s="125"/>
      <c r="EHB3000" s="470"/>
      <c r="EHC3000" s="449"/>
      <c r="EHD3000" s="462"/>
      <c r="EHE3000" s="299"/>
      <c r="EHF3000" s="81"/>
      <c r="EHG3000" s="160"/>
      <c r="EHH3000" s="568"/>
      <c r="EHI3000" s="125"/>
      <c r="EHJ3000" s="470"/>
      <c r="EHK3000" s="449"/>
      <c r="EHL3000" s="462"/>
      <c r="EHM3000" s="299"/>
      <c r="EHN3000" s="81"/>
      <c r="EHO3000" s="160"/>
      <c r="EHP3000" s="568"/>
      <c r="EHQ3000" s="125"/>
      <c r="EHR3000" s="470"/>
      <c r="EHS3000" s="449"/>
      <c r="EHT3000" s="462"/>
      <c r="EHU3000" s="299"/>
      <c r="EHV3000" s="81"/>
      <c r="EHW3000" s="160"/>
      <c r="EHX3000" s="568"/>
      <c r="EHY3000" s="125"/>
      <c r="EHZ3000" s="470"/>
      <c r="EIA3000" s="449"/>
      <c r="EIB3000" s="462"/>
      <c r="EIC3000" s="299"/>
      <c r="EID3000" s="81"/>
      <c r="EIE3000" s="160"/>
      <c r="EIF3000" s="568"/>
      <c r="EIG3000" s="125"/>
      <c r="EIH3000" s="470"/>
      <c r="EII3000" s="449"/>
      <c r="EIJ3000" s="462"/>
      <c r="EIK3000" s="299"/>
      <c r="EIL3000" s="81"/>
      <c r="EIM3000" s="160"/>
      <c r="EIN3000" s="568"/>
      <c r="EIO3000" s="125"/>
      <c r="EIP3000" s="470"/>
      <c r="EIQ3000" s="449"/>
      <c r="EIR3000" s="462"/>
      <c r="EIS3000" s="299"/>
      <c r="EIT3000" s="81"/>
      <c r="EIU3000" s="160"/>
      <c r="EIV3000" s="568"/>
      <c r="EIW3000" s="125"/>
      <c r="EIX3000" s="470"/>
      <c r="EIY3000" s="449"/>
      <c r="EIZ3000" s="462"/>
      <c r="EJA3000" s="299"/>
      <c r="EJB3000" s="81"/>
      <c r="EJC3000" s="160"/>
      <c r="EJD3000" s="568"/>
      <c r="EJE3000" s="125"/>
      <c r="EJF3000" s="470"/>
      <c r="EJG3000" s="449"/>
      <c r="EJH3000" s="462"/>
      <c r="EJI3000" s="299"/>
      <c r="EJJ3000" s="81"/>
      <c r="EJK3000" s="160"/>
      <c r="EJL3000" s="568"/>
      <c r="EJM3000" s="125"/>
      <c r="EJN3000" s="470"/>
      <c r="EJO3000" s="449"/>
      <c r="EJP3000" s="462"/>
      <c r="EJQ3000" s="299"/>
      <c r="EJR3000" s="81"/>
      <c r="EJS3000" s="160"/>
      <c r="EJT3000" s="568"/>
      <c r="EJU3000" s="125"/>
      <c r="EJV3000" s="470"/>
      <c r="EJW3000" s="449"/>
      <c r="EJX3000" s="462"/>
      <c r="EJY3000" s="299"/>
      <c r="EJZ3000" s="81"/>
      <c r="EKA3000" s="160"/>
      <c r="EKB3000" s="568"/>
      <c r="EKC3000" s="125"/>
      <c r="EKD3000" s="470"/>
      <c r="EKE3000" s="449"/>
      <c r="EKF3000" s="462"/>
      <c r="EKG3000" s="299"/>
      <c r="EKH3000" s="81"/>
      <c r="EKI3000" s="160"/>
      <c r="EKJ3000" s="568"/>
      <c r="EKK3000" s="125"/>
      <c r="EKL3000" s="470"/>
      <c r="EKM3000" s="449"/>
      <c r="EKN3000" s="462"/>
      <c r="EKO3000" s="299"/>
      <c r="EKP3000" s="81"/>
      <c r="EKQ3000" s="160"/>
      <c r="EKR3000" s="568"/>
      <c r="EKS3000" s="125"/>
      <c r="EKT3000" s="470"/>
      <c r="EKU3000" s="449"/>
      <c r="EKV3000" s="462"/>
      <c r="EKW3000" s="299"/>
      <c r="EKX3000" s="81"/>
      <c r="EKY3000" s="160"/>
      <c r="EKZ3000" s="568"/>
      <c r="ELA3000" s="125"/>
      <c r="ELB3000" s="470"/>
      <c r="ELC3000" s="449"/>
      <c r="ELD3000" s="462"/>
      <c r="ELE3000" s="299"/>
      <c r="ELF3000" s="81"/>
      <c r="ELG3000" s="160"/>
      <c r="ELH3000" s="568"/>
      <c r="ELI3000" s="125"/>
      <c r="ELJ3000" s="470"/>
      <c r="ELK3000" s="449"/>
      <c r="ELL3000" s="462"/>
      <c r="ELM3000" s="299"/>
      <c r="ELN3000" s="81"/>
      <c r="ELO3000" s="160"/>
      <c r="ELP3000" s="568"/>
      <c r="ELQ3000" s="125"/>
      <c r="ELR3000" s="470"/>
      <c r="ELS3000" s="449"/>
      <c r="ELT3000" s="462"/>
      <c r="ELU3000" s="299"/>
      <c r="ELV3000" s="81"/>
      <c r="ELW3000" s="160"/>
      <c r="ELX3000" s="568"/>
      <c r="ELY3000" s="125"/>
      <c r="ELZ3000" s="470"/>
      <c r="EMA3000" s="449"/>
      <c r="EMB3000" s="462"/>
      <c r="EMC3000" s="299"/>
      <c r="EMD3000" s="81"/>
      <c r="EME3000" s="160"/>
      <c r="EMF3000" s="568"/>
      <c r="EMG3000" s="125"/>
      <c r="EMH3000" s="470"/>
      <c r="EMI3000" s="449"/>
      <c r="EMJ3000" s="462"/>
      <c r="EMK3000" s="299"/>
      <c r="EML3000" s="81"/>
      <c r="EMM3000" s="160"/>
      <c r="EMN3000" s="568"/>
      <c r="EMO3000" s="125"/>
      <c r="EMP3000" s="470"/>
      <c r="EMQ3000" s="449"/>
      <c r="EMR3000" s="462"/>
      <c r="EMS3000" s="299"/>
      <c r="EMT3000" s="81"/>
      <c r="EMU3000" s="160"/>
      <c r="EMV3000" s="568"/>
      <c r="EMW3000" s="125"/>
      <c r="EMX3000" s="470"/>
      <c r="EMY3000" s="449"/>
      <c r="EMZ3000" s="462"/>
      <c r="ENA3000" s="299"/>
      <c r="ENB3000" s="81"/>
      <c r="ENC3000" s="160"/>
      <c r="END3000" s="568"/>
      <c r="ENE3000" s="125"/>
      <c r="ENF3000" s="470"/>
      <c r="ENG3000" s="449"/>
      <c r="ENH3000" s="462"/>
      <c r="ENI3000" s="299"/>
      <c r="ENJ3000" s="81"/>
      <c r="ENK3000" s="160"/>
      <c r="ENL3000" s="568"/>
      <c r="ENM3000" s="125"/>
      <c r="ENN3000" s="470"/>
      <c r="ENO3000" s="449"/>
      <c r="ENP3000" s="462"/>
      <c r="ENQ3000" s="299"/>
      <c r="ENR3000" s="81"/>
      <c r="ENS3000" s="160"/>
      <c r="ENT3000" s="568"/>
      <c r="ENU3000" s="125"/>
      <c r="ENV3000" s="470"/>
      <c r="ENW3000" s="449"/>
      <c r="ENX3000" s="462"/>
      <c r="ENY3000" s="299"/>
      <c r="ENZ3000" s="81"/>
      <c r="EOA3000" s="160"/>
      <c r="EOB3000" s="568"/>
      <c r="EOC3000" s="125"/>
      <c r="EOD3000" s="470"/>
      <c r="EOE3000" s="449"/>
      <c r="EOF3000" s="462"/>
      <c r="EOG3000" s="299"/>
      <c r="EOH3000" s="81"/>
      <c r="EOI3000" s="160"/>
      <c r="EOJ3000" s="568"/>
      <c r="EOK3000" s="125"/>
      <c r="EOL3000" s="470"/>
      <c r="EOM3000" s="449"/>
      <c r="EON3000" s="462"/>
      <c r="EOO3000" s="299"/>
      <c r="EOP3000" s="81"/>
      <c r="EOQ3000" s="160"/>
      <c r="EOR3000" s="568"/>
      <c r="EOS3000" s="125"/>
      <c r="EOT3000" s="470"/>
      <c r="EOU3000" s="449"/>
      <c r="EOV3000" s="462"/>
      <c r="EOW3000" s="299"/>
      <c r="EOX3000" s="81"/>
      <c r="EOY3000" s="160"/>
      <c r="EOZ3000" s="568"/>
      <c r="EPA3000" s="125"/>
      <c r="EPB3000" s="470"/>
      <c r="EPC3000" s="449"/>
      <c r="EPD3000" s="462"/>
      <c r="EPE3000" s="299"/>
      <c r="EPF3000" s="81"/>
      <c r="EPG3000" s="160"/>
      <c r="EPH3000" s="568"/>
      <c r="EPI3000" s="125"/>
      <c r="EPJ3000" s="470"/>
      <c r="EPK3000" s="449"/>
      <c r="EPL3000" s="462"/>
      <c r="EPM3000" s="299"/>
      <c r="EPN3000" s="81"/>
      <c r="EPO3000" s="160"/>
      <c r="EPP3000" s="568"/>
      <c r="EPQ3000" s="125"/>
      <c r="EPR3000" s="470"/>
      <c r="EPS3000" s="449"/>
      <c r="EPT3000" s="462"/>
      <c r="EPU3000" s="299"/>
      <c r="EPV3000" s="81"/>
      <c r="EPW3000" s="160"/>
      <c r="EPX3000" s="568"/>
      <c r="EPY3000" s="125"/>
      <c r="EPZ3000" s="470"/>
      <c r="EQA3000" s="449"/>
      <c r="EQB3000" s="462"/>
      <c r="EQC3000" s="299"/>
      <c r="EQD3000" s="81"/>
      <c r="EQE3000" s="160"/>
      <c r="EQF3000" s="568"/>
      <c r="EQG3000" s="125"/>
      <c r="EQH3000" s="470"/>
      <c r="EQI3000" s="449"/>
      <c r="EQJ3000" s="462"/>
      <c r="EQK3000" s="299"/>
      <c r="EQL3000" s="81"/>
      <c r="EQM3000" s="160"/>
      <c r="EQN3000" s="568"/>
      <c r="EQO3000" s="125"/>
      <c r="EQP3000" s="470"/>
      <c r="EQQ3000" s="449"/>
      <c r="EQR3000" s="462"/>
      <c r="EQS3000" s="299"/>
      <c r="EQT3000" s="81"/>
      <c r="EQU3000" s="160"/>
      <c r="EQV3000" s="568"/>
      <c r="EQW3000" s="125"/>
      <c r="EQX3000" s="470"/>
      <c r="EQY3000" s="449"/>
      <c r="EQZ3000" s="462"/>
      <c r="ERA3000" s="299"/>
      <c r="ERB3000" s="81"/>
      <c r="ERC3000" s="160"/>
      <c r="ERD3000" s="568"/>
      <c r="ERE3000" s="125"/>
      <c r="ERF3000" s="470"/>
      <c r="ERG3000" s="449"/>
      <c r="ERH3000" s="462"/>
      <c r="ERI3000" s="299"/>
      <c r="ERJ3000" s="81"/>
      <c r="ERK3000" s="160"/>
      <c r="ERL3000" s="568"/>
      <c r="ERM3000" s="125"/>
      <c r="ERN3000" s="470"/>
      <c r="ERO3000" s="449"/>
      <c r="ERP3000" s="462"/>
      <c r="ERQ3000" s="299"/>
      <c r="ERR3000" s="81"/>
      <c r="ERS3000" s="160"/>
      <c r="ERT3000" s="568"/>
      <c r="ERU3000" s="125"/>
      <c r="ERV3000" s="470"/>
      <c r="ERW3000" s="449"/>
      <c r="ERX3000" s="462"/>
      <c r="ERY3000" s="299"/>
      <c r="ERZ3000" s="81"/>
      <c r="ESA3000" s="160"/>
      <c r="ESB3000" s="568"/>
      <c r="ESC3000" s="125"/>
      <c r="ESD3000" s="470"/>
      <c r="ESE3000" s="449"/>
      <c r="ESF3000" s="462"/>
      <c r="ESG3000" s="299"/>
      <c r="ESH3000" s="81"/>
      <c r="ESI3000" s="160"/>
      <c r="ESJ3000" s="568"/>
      <c r="ESK3000" s="125"/>
      <c r="ESL3000" s="470"/>
      <c r="ESM3000" s="449"/>
      <c r="ESN3000" s="462"/>
      <c r="ESO3000" s="299"/>
      <c r="ESP3000" s="81"/>
      <c r="ESQ3000" s="160"/>
      <c r="ESR3000" s="568"/>
      <c r="ESS3000" s="125"/>
      <c r="EST3000" s="470"/>
      <c r="ESU3000" s="449"/>
      <c r="ESV3000" s="462"/>
      <c r="ESW3000" s="299"/>
      <c r="ESX3000" s="81"/>
      <c r="ESY3000" s="160"/>
      <c r="ESZ3000" s="568"/>
      <c r="ETA3000" s="125"/>
      <c r="ETB3000" s="470"/>
      <c r="ETC3000" s="449"/>
      <c r="ETD3000" s="462"/>
      <c r="ETE3000" s="299"/>
      <c r="ETF3000" s="81"/>
      <c r="ETG3000" s="160"/>
      <c r="ETH3000" s="568"/>
      <c r="ETI3000" s="125"/>
      <c r="ETJ3000" s="470"/>
      <c r="ETK3000" s="449"/>
      <c r="ETL3000" s="462"/>
      <c r="ETM3000" s="299"/>
      <c r="ETN3000" s="81"/>
      <c r="ETO3000" s="160"/>
      <c r="ETP3000" s="568"/>
      <c r="ETQ3000" s="125"/>
      <c r="ETR3000" s="470"/>
      <c r="ETS3000" s="449"/>
      <c r="ETT3000" s="462"/>
      <c r="ETU3000" s="299"/>
      <c r="ETV3000" s="81"/>
      <c r="ETW3000" s="160"/>
      <c r="ETX3000" s="568"/>
      <c r="ETY3000" s="125"/>
      <c r="ETZ3000" s="470"/>
      <c r="EUA3000" s="449"/>
      <c r="EUB3000" s="462"/>
      <c r="EUC3000" s="299"/>
      <c r="EUD3000" s="81"/>
      <c r="EUE3000" s="160"/>
      <c r="EUF3000" s="568"/>
      <c r="EUG3000" s="125"/>
      <c r="EUH3000" s="470"/>
      <c r="EUI3000" s="449"/>
      <c r="EUJ3000" s="462"/>
      <c r="EUK3000" s="299"/>
      <c r="EUL3000" s="81"/>
      <c r="EUM3000" s="160"/>
      <c r="EUN3000" s="568"/>
      <c r="EUO3000" s="125"/>
      <c r="EUP3000" s="470"/>
      <c r="EUQ3000" s="449"/>
      <c r="EUR3000" s="462"/>
      <c r="EUS3000" s="299"/>
      <c r="EUT3000" s="81"/>
      <c r="EUU3000" s="160"/>
      <c r="EUV3000" s="568"/>
      <c r="EUW3000" s="125"/>
      <c r="EUX3000" s="470"/>
      <c r="EUY3000" s="449"/>
      <c r="EUZ3000" s="462"/>
      <c r="EVA3000" s="299"/>
      <c r="EVB3000" s="81"/>
      <c r="EVC3000" s="160"/>
      <c r="EVD3000" s="568"/>
      <c r="EVE3000" s="125"/>
      <c r="EVF3000" s="470"/>
      <c r="EVG3000" s="449"/>
      <c r="EVH3000" s="462"/>
      <c r="EVI3000" s="299"/>
      <c r="EVJ3000" s="81"/>
      <c r="EVK3000" s="160"/>
      <c r="EVL3000" s="568"/>
      <c r="EVM3000" s="125"/>
      <c r="EVN3000" s="470"/>
      <c r="EVO3000" s="449"/>
      <c r="EVP3000" s="462"/>
      <c r="EVQ3000" s="299"/>
      <c r="EVR3000" s="81"/>
      <c r="EVS3000" s="160"/>
      <c r="EVT3000" s="568"/>
      <c r="EVU3000" s="125"/>
      <c r="EVV3000" s="470"/>
      <c r="EVW3000" s="449"/>
      <c r="EVX3000" s="462"/>
      <c r="EVY3000" s="299"/>
      <c r="EVZ3000" s="81"/>
      <c r="EWA3000" s="160"/>
      <c r="EWB3000" s="568"/>
      <c r="EWC3000" s="125"/>
      <c r="EWD3000" s="470"/>
      <c r="EWE3000" s="449"/>
      <c r="EWF3000" s="462"/>
      <c r="EWG3000" s="299"/>
      <c r="EWH3000" s="81"/>
      <c r="EWI3000" s="160"/>
      <c r="EWJ3000" s="568"/>
      <c r="EWK3000" s="125"/>
      <c r="EWL3000" s="470"/>
      <c r="EWM3000" s="449"/>
      <c r="EWN3000" s="462"/>
      <c r="EWO3000" s="299"/>
      <c r="EWP3000" s="81"/>
      <c r="EWQ3000" s="160"/>
      <c r="EWR3000" s="568"/>
      <c r="EWS3000" s="125"/>
      <c r="EWT3000" s="470"/>
      <c r="EWU3000" s="449"/>
      <c r="EWV3000" s="462"/>
      <c r="EWW3000" s="299"/>
      <c r="EWX3000" s="81"/>
      <c r="EWY3000" s="160"/>
      <c r="EWZ3000" s="568"/>
      <c r="EXA3000" s="125"/>
      <c r="EXB3000" s="470"/>
      <c r="EXC3000" s="449"/>
      <c r="EXD3000" s="462"/>
      <c r="EXE3000" s="299"/>
      <c r="EXF3000" s="81"/>
      <c r="EXG3000" s="160"/>
      <c r="EXH3000" s="568"/>
      <c r="EXI3000" s="125"/>
      <c r="EXJ3000" s="470"/>
      <c r="EXK3000" s="449"/>
      <c r="EXL3000" s="462"/>
      <c r="EXM3000" s="299"/>
      <c r="EXN3000" s="81"/>
      <c r="EXO3000" s="160"/>
      <c r="EXP3000" s="568"/>
      <c r="EXQ3000" s="125"/>
      <c r="EXR3000" s="470"/>
      <c r="EXS3000" s="449"/>
      <c r="EXT3000" s="462"/>
      <c r="EXU3000" s="299"/>
      <c r="EXV3000" s="81"/>
      <c r="EXW3000" s="160"/>
      <c r="EXX3000" s="568"/>
      <c r="EXY3000" s="125"/>
      <c r="EXZ3000" s="470"/>
      <c r="EYA3000" s="449"/>
      <c r="EYB3000" s="462"/>
      <c r="EYC3000" s="299"/>
      <c r="EYD3000" s="81"/>
      <c r="EYE3000" s="160"/>
      <c r="EYF3000" s="568"/>
      <c r="EYG3000" s="125"/>
      <c r="EYH3000" s="470"/>
      <c r="EYI3000" s="449"/>
      <c r="EYJ3000" s="462"/>
      <c r="EYK3000" s="299"/>
      <c r="EYL3000" s="81"/>
      <c r="EYM3000" s="160"/>
      <c r="EYN3000" s="568"/>
      <c r="EYO3000" s="125"/>
      <c r="EYP3000" s="470"/>
      <c r="EYQ3000" s="449"/>
      <c r="EYR3000" s="462"/>
      <c r="EYS3000" s="299"/>
      <c r="EYT3000" s="81"/>
      <c r="EYU3000" s="160"/>
      <c r="EYV3000" s="568"/>
      <c r="EYW3000" s="125"/>
      <c r="EYX3000" s="470"/>
      <c r="EYY3000" s="449"/>
      <c r="EYZ3000" s="462"/>
      <c r="EZA3000" s="299"/>
      <c r="EZB3000" s="81"/>
      <c r="EZC3000" s="160"/>
      <c r="EZD3000" s="568"/>
      <c r="EZE3000" s="125"/>
      <c r="EZF3000" s="470"/>
      <c r="EZG3000" s="449"/>
      <c r="EZH3000" s="462"/>
      <c r="EZI3000" s="299"/>
      <c r="EZJ3000" s="81"/>
      <c r="EZK3000" s="160"/>
      <c r="EZL3000" s="568"/>
      <c r="EZM3000" s="125"/>
      <c r="EZN3000" s="470"/>
      <c r="EZO3000" s="449"/>
      <c r="EZP3000" s="462"/>
      <c r="EZQ3000" s="299"/>
      <c r="EZR3000" s="81"/>
      <c r="EZS3000" s="160"/>
      <c r="EZT3000" s="568"/>
      <c r="EZU3000" s="125"/>
      <c r="EZV3000" s="470"/>
      <c r="EZW3000" s="449"/>
      <c r="EZX3000" s="462"/>
      <c r="EZY3000" s="299"/>
      <c r="EZZ3000" s="81"/>
      <c r="FAA3000" s="160"/>
      <c r="FAB3000" s="568"/>
      <c r="FAC3000" s="125"/>
      <c r="FAD3000" s="470"/>
      <c r="FAE3000" s="449"/>
      <c r="FAF3000" s="462"/>
      <c r="FAG3000" s="299"/>
      <c r="FAH3000" s="81"/>
      <c r="FAI3000" s="160"/>
      <c r="FAJ3000" s="568"/>
      <c r="FAK3000" s="125"/>
      <c r="FAL3000" s="470"/>
      <c r="FAM3000" s="449"/>
      <c r="FAN3000" s="462"/>
      <c r="FAO3000" s="299"/>
      <c r="FAP3000" s="81"/>
      <c r="FAQ3000" s="160"/>
      <c r="FAR3000" s="568"/>
      <c r="FAS3000" s="125"/>
      <c r="FAT3000" s="470"/>
      <c r="FAU3000" s="449"/>
      <c r="FAV3000" s="462"/>
      <c r="FAW3000" s="299"/>
      <c r="FAX3000" s="81"/>
      <c r="FAY3000" s="160"/>
      <c r="FAZ3000" s="568"/>
      <c r="FBA3000" s="125"/>
      <c r="FBB3000" s="470"/>
      <c r="FBC3000" s="449"/>
      <c r="FBD3000" s="462"/>
      <c r="FBE3000" s="299"/>
      <c r="FBF3000" s="81"/>
      <c r="FBG3000" s="160"/>
      <c r="FBH3000" s="568"/>
      <c r="FBI3000" s="125"/>
      <c r="FBJ3000" s="470"/>
      <c r="FBK3000" s="449"/>
      <c r="FBL3000" s="462"/>
      <c r="FBM3000" s="299"/>
      <c r="FBN3000" s="81"/>
      <c r="FBO3000" s="160"/>
      <c r="FBP3000" s="568"/>
      <c r="FBQ3000" s="125"/>
      <c r="FBR3000" s="470"/>
      <c r="FBS3000" s="449"/>
      <c r="FBT3000" s="462"/>
      <c r="FBU3000" s="299"/>
      <c r="FBV3000" s="81"/>
      <c r="FBW3000" s="160"/>
      <c r="FBX3000" s="568"/>
      <c r="FBY3000" s="125"/>
      <c r="FBZ3000" s="470"/>
      <c r="FCA3000" s="449"/>
      <c r="FCB3000" s="462"/>
      <c r="FCC3000" s="299"/>
      <c r="FCD3000" s="81"/>
      <c r="FCE3000" s="160"/>
      <c r="FCF3000" s="568"/>
      <c r="FCG3000" s="125"/>
      <c r="FCH3000" s="470"/>
      <c r="FCI3000" s="449"/>
      <c r="FCJ3000" s="462"/>
      <c r="FCK3000" s="299"/>
      <c r="FCL3000" s="81"/>
      <c r="FCM3000" s="160"/>
      <c r="FCN3000" s="568"/>
      <c r="FCO3000" s="125"/>
      <c r="FCP3000" s="470"/>
      <c r="FCQ3000" s="449"/>
      <c r="FCR3000" s="462"/>
      <c r="FCS3000" s="299"/>
      <c r="FCT3000" s="81"/>
      <c r="FCU3000" s="160"/>
      <c r="FCV3000" s="568"/>
      <c r="FCW3000" s="125"/>
      <c r="FCX3000" s="470"/>
      <c r="FCY3000" s="449"/>
      <c r="FCZ3000" s="462"/>
      <c r="FDA3000" s="299"/>
      <c r="FDB3000" s="81"/>
      <c r="FDC3000" s="160"/>
      <c r="FDD3000" s="568"/>
      <c r="FDE3000" s="125"/>
      <c r="FDF3000" s="470"/>
      <c r="FDG3000" s="449"/>
      <c r="FDH3000" s="462"/>
      <c r="FDI3000" s="299"/>
      <c r="FDJ3000" s="81"/>
      <c r="FDK3000" s="160"/>
      <c r="FDL3000" s="568"/>
      <c r="FDM3000" s="125"/>
      <c r="FDN3000" s="470"/>
      <c r="FDO3000" s="449"/>
      <c r="FDP3000" s="462"/>
      <c r="FDQ3000" s="299"/>
      <c r="FDR3000" s="81"/>
      <c r="FDS3000" s="160"/>
      <c r="FDT3000" s="568"/>
      <c r="FDU3000" s="125"/>
      <c r="FDV3000" s="470"/>
      <c r="FDW3000" s="449"/>
      <c r="FDX3000" s="462"/>
      <c r="FDY3000" s="299"/>
      <c r="FDZ3000" s="81"/>
      <c r="FEA3000" s="160"/>
      <c r="FEB3000" s="568"/>
      <c r="FEC3000" s="125"/>
      <c r="FED3000" s="470"/>
      <c r="FEE3000" s="449"/>
      <c r="FEF3000" s="462"/>
      <c r="FEG3000" s="299"/>
      <c r="FEH3000" s="81"/>
      <c r="FEI3000" s="160"/>
      <c r="FEJ3000" s="568"/>
      <c r="FEK3000" s="125"/>
      <c r="FEL3000" s="470"/>
      <c r="FEM3000" s="449"/>
      <c r="FEN3000" s="462"/>
      <c r="FEO3000" s="299"/>
      <c r="FEP3000" s="81"/>
      <c r="FEQ3000" s="160"/>
      <c r="FER3000" s="568"/>
      <c r="FES3000" s="125"/>
      <c r="FET3000" s="470"/>
      <c r="FEU3000" s="449"/>
      <c r="FEV3000" s="462"/>
      <c r="FEW3000" s="299"/>
      <c r="FEX3000" s="81"/>
      <c r="FEY3000" s="160"/>
      <c r="FEZ3000" s="568"/>
      <c r="FFA3000" s="125"/>
      <c r="FFB3000" s="470"/>
      <c r="FFC3000" s="449"/>
      <c r="FFD3000" s="462"/>
      <c r="FFE3000" s="299"/>
      <c r="FFF3000" s="81"/>
      <c r="FFG3000" s="160"/>
      <c r="FFH3000" s="568"/>
      <c r="FFI3000" s="125"/>
      <c r="FFJ3000" s="470"/>
      <c r="FFK3000" s="449"/>
      <c r="FFL3000" s="462"/>
      <c r="FFM3000" s="299"/>
      <c r="FFN3000" s="81"/>
      <c r="FFO3000" s="160"/>
      <c r="FFP3000" s="568"/>
      <c r="FFQ3000" s="125"/>
      <c r="FFR3000" s="470"/>
      <c r="FFS3000" s="449"/>
      <c r="FFT3000" s="462"/>
      <c r="FFU3000" s="299"/>
      <c r="FFV3000" s="81"/>
      <c r="FFW3000" s="160"/>
      <c r="FFX3000" s="568"/>
      <c r="FFY3000" s="125"/>
      <c r="FFZ3000" s="470"/>
      <c r="FGA3000" s="449"/>
      <c r="FGB3000" s="462"/>
      <c r="FGC3000" s="299"/>
      <c r="FGD3000" s="81"/>
      <c r="FGE3000" s="160"/>
      <c r="FGF3000" s="568"/>
      <c r="FGG3000" s="125"/>
      <c r="FGH3000" s="470"/>
      <c r="FGI3000" s="449"/>
      <c r="FGJ3000" s="462"/>
      <c r="FGK3000" s="299"/>
      <c r="FGL3000" s="81"/>
      <c r="FGM3000" s="160"/>
      <c r="FGN3000" s="568"/>
      <c r="FGO3000" s="125"/>
      <c r="FGP3000" s="470"/>
      <c r="FGQ3000" s="449"/>
      <c r="FGR3000" s="462"/>
      <c r="FGS3000" s="299"/>
      <c r="FGT3000" s="81"/>
      <c r="FGU3000" s="160"/>
      <c r="FGV3000" s="568"/>
      <c r="FGW3000" s="125"/>
      <c r="FGX3000" s="470"/>
      <c r="FGY3000" s="449"/>
      <c r="FGZ3000" s="462"/>
      <c r="FHA3000" s="299"/>
      <c r="FHB3000" s="81"/>
      <c r="FHC3000" s="160"/>
      <c r="FHD3000" s="568"/>
      <c r="FHE3000" s="125"/>
      <c r="FHF3000" s="470"/>
      <c r="FHG3000" s="449"/>
      <c r="FHH3000" s="462"/>
      <c r="FHI3000" s="299"/>
      <c r="FHJ3000" s="81"/>
      <c r="FHK3000" s="160"/>
      <c r="FHL3000" s="568"/>
      <c r="FHM3000" s="125"/>
      <c r="FHN3000" s="470"/>
      <c r="FHO3000" s="449"/>
      <c r="FHP3000" s="462"/>
      <c r="FHQ3000" s="299"/>
      <c r="FHR3000" s="81"/>
      <c r="FHS3000" s="160"/>
      <c r="FHT3000" s="568"/>
      <c r="FHU3000" s="125"/>
      <c r="FHV3000" s="470"/>
      <c r="FHW3000" s="449"/>
      <c r="FHX3000" s="462"/>
      <c r="FHY3000" s="299"/>
      <c r="FHZ3000" s="81"/>
      <c r="FIA3000" s="160"/>
      <c r="FIB3000" s="568"/>
      <c r="FIC3000" s="125"/>
      <c r="FID3000" s="470"/>
      <c r="FIE3000" s="449"/>
      <c r="FIF3000" s="462"/>
      <c r="FIG3000" s="299"/>
      <c r="FIH3000" s="81"/>
      <c r="FII3000" s="160"/>
      <c r="FIJ3000" s="568"/>
      <c r="FIK3000" s="125"/>
      <c r="FIL3000" s="470"/>
      <c r="FIM3000" s="449"/>
      <c r="FIN3000" s="462"/>
      <c r="FIO3000" s="299"/>
      <c r="FIP3000" s="81"/>
      <c r="FIQ3000" s="160"/>
      <c r="FIR3000" s="568"/>
      <c r="FIS3000" s="125"/>
      <c r="FIT3000" s="470"/>
      <c r="FIU3000" s="449"/>
      <c r="FIV3000" s="462"/>
      <c r="FIW3000" s="299"/>
      <c r="FIX3000" s="81"/>
      <c r="FIY3000" s="160"/>
      <c r="FIZ3000" s="568"/>
      <c r="FJA3000" s="125"/>
      <c r="FJB3000" s="470"/>
      <c r="FJC3000" s="449"/>
      <c r="FJD3000" s="462"/>
      <c r="FJE3000" s="299"/>
      <c r="FJF3000" s="81"/>
      <c r="FJG3000" s="160"/>
      <c r="FJH3000" s="568"/>
      <c r="FJI3000" s="125"/>
      <c r="FJJ3000" s="470"/>
      <c r="FJK3000" s="449"/>
      <c r="FJL3000" s="462"/>
      <c r="FJM3000" s="299"/>
      <c r="FJN3000" s="81"/>
      <c r="FJO3000" s="160"/>
      <c r="FJP3000" s="568"/>
      <c r="FJQ3000" s="125"/>
      <c r="FJR3000" s="470"/>
      <c r="FJS3000" s="449"/>
      <c r="FJT3000" s="462"/>
      <c r="FJU3000" s="299"/>
      <c r="FJV3000" s="81"/>
      <c r="FJW3000" s="160"/>
      <c r="FJX3000" s="568"/>
      <c r="FJY3000" s="125"/>
      <c r="FJZ3000" s="470"/>
      <c r="FKA3000" s="449"/>
      <c r="FKB3000" s="462"/>
      <c r="FKC3000" s="299"/>
      <c r="FKD3000" s="81"/>
      <c r="FKE3000" s="160"/>
      <c r="FKF3000" s="568"/>
      <c r="FKG3000" s="125"/>
      <c r="FKH3000" s="470"/>
      <c r="FKI3000" s="449"/>
      <c r="FKJ3000" s="462"/>
      <c r="FKK3000" s="299"/>
      <c r="FKL3000" s="81"/>
      <c r="FKM3000" s="160"/>
      <c r="FKN3000" s="568"/>
      <c r="FKO3000" s="125"/>
      <c r="FKP3000" s="470"/>
      <c r="FKQ3000" s="449"/>
      <c r="FKR3000" s="462"/>
      <c r="FKS3000" s="299"/>
      <c r="FKT3000" s="81"/>
      <c r="FKU3000" s="160"/>
      <c r="FKV3000" s="568"/>
      <c r="FKW3000" s="125"/>
      <c r="FKX3000" s="470"/>
      <c r="FKY3000" s="449"/>
      <c r="FKZ3000" s="462"/>
      <c r="FLA3000" s="299"/>
      <c r="FLB3000" s="81"/>
      <c r="FLC3000" s="160"/>
      <c r="FLD3000" s="568"/>
      <c r="FLE3000" s="125"/>
      <c r="FLF3000" s="470"/>
      <c r="FLG3000" s="449"/>
      <c r="FLH3000" s="462"/>
      <c r="FLI3000" s="299"/>
      <c r="FLJ3000" s="81"/>
      <c r="FLK3000" s="160"/>
      <c r="FLL3000" s="568"/>
      <c r="FLM3000" s="125"/>
      <c r="FLN3000" s="470"/>
      <c r="FLO3000" s="449"/>
      <c r="FLP3000" s="462"/>
      <c r="FLQ3000" s="299"/>
      <c r="FLR3000" s="81"/>
      <c r="FLS3000" s="160"/>
      <c r="FLT3000" s="568"/>
      <c r="FLU3000" s="125"/>
      <c r="FLV3000" s="470"/>
      <c r="FLW3000" s="449"/>
      <c r="FLX3000" s="462"/>
      <c r="FLY3000" s="299"/>
      <c r="FLZ3000" s="81"/>
      <c r="FMA3000" s="160"/>
      <c r="FMB3000" s="568"/>
      <c r="FMC3000" s="125"/>
      <c r="FMD3000" s="470"/>
      <c r="FME3000" s="449"/>
      <c r="FMF3000" s="462"/>
      <c r="FMG3000" s="299"/>
      <c r="FMH3000" s="81"/>
      <c r="FMI3000" s="160"/>
      <c r="FMJ3000" s="568"/>
      <c r="FMK3000" s="125"/>
      <c r="FML3000" s="470"/>
      <c r="FMM3000" s="449"/>
      <c r="FMN3000" s="462"/>
      <c r="FMO3000" s="299"/>
      <c r="FMP3000" s="81"/>
      <c r="FMQ3000" s="160"/>
      <c r="FMR3000" s="568"/>
      <c r="FMS3000" s="125"/>
      <c r="FMT3000" s="470"/>
      <c r="FMU3000" s="449"/>
      <c r="FMV3000" s="462"/>
      <c r="FMW3000" s="299"/>
      <c r="FMX3000" s="81"/>
      <c r="FMY3000" s="160"/>
      <c r="FMZ3000" s="568"/>
      <c r="FNA3000" s="125"/>
      <c r="FNB3000" s="470"/>
      <c r="FNC3000" s="449"/>
      <c r="FND3000" s="462"/>
      <c r="FNE3000" s="299"/>
      <c r="FNF3000" s="81"/>
      <c r="FNG3000" s="160"/>
      <c r="FNH3000" s="568"/>
      <c r="FNI3000" s="125"/>
      <c r="FNJ3000" s="470"/>
      <c r="FNK3000" s="449"/>
      <c r="FNL3000" s="462"/>
      <c r="FNM3000" s="299"/>
      <c r="FNN3000" s="81"/>
      <c r="FNO3000" s="160"/>
      <c r="FNP3000" s="568"/>
      <c r="FNQ3000" s="125"/>
      <c r="FNR3000" s="470"/>
      <c r="FNS3000" s="449"/>
      <c r="FNT3000" s="462"/>
      <c r="FNU3000" s="299"/>
      <c r="FNV3000" s="81"/>
      <c r="FNW3000" s="160"/>
      <c r="FNX3000" s="568"/>
      <c r="FNY3000" s="125"/>
      <c r="FNZ3000" s="470"/>
      <c r="FOA3000" s="449"/>
      <c r="FOB3000" s="462"/>
      <c r="FOC3000" s="299"/>
      <c r="FOD3000" s="81"/>
      <c r="FOE3000" s="160"/>
      <c r="FOF3000" s="568"/>
      <c r="FOG3000" s="125"/>
      <c r="FOH3000" s="470"/>
      <c r="FOI3000" s="449"/>
      <c r="FOJ3000" s="462"/>
      <c r="FOK3000" s="299"/>
      <c r="FOL3000" s="81"/>
      <c r="FOM3000" s="160"/>
      <c r="FON3000" s="568"/>
      <c r="FOO3000" s="125"/>
      <c r="FOP3000" s="470"/>
      <c r="FOQ3000" s="449"/>
      <c r="FOR3000" s="462"/>
      <c r="FOS3000" s="299"/>
      <c r="FOT3000" s="81"/>
      <c r="FOU3000" s="160"/>
      <c r="FOV3000" s="568"/>
      <c r="FOW3000" s="125"/>
      <c r="FOX3000" s="470"/>
      <c r="FOY3000" s="449"/>
      <c r="FOZ3000" s="462"/>
      <c r="FPA3000" s="299"/>
      <c r="FPB3000" s="81"/>
      <c r="FPC3000" s="160"/>
      <c r="FPD3000" s="568"/>
      <c r="FPE3000" s="125"/>
      <c r="FPF3000" s="470"/>
      <c r="FPG3000" s="449"/>
      <c r="FPH3000" s="462"/>
      <c r="FPI3000" s="299"/>
      <c r="FPJ3000" s="81"/>
      <c r="FPK3000" s="160"/>
      <c r="FPL3000" s="568"/>
      <c r="FPM3000" s="125"/>
      <c r="FPN3000" s="470"/>
      <c r="FPO3000" s="449"/>
      <c r="FPP3000" s="462"/>
      <c r="FPQ3000" s="299"/>
      <c r="FPR3000" s="81"/>
      <c r="FPS3000" s="160"/>
      <c r="FPT3000" s="568"/>
      <c r="FPU3000" s="125"/>
      <c r="FPV3000" s="470"/>
      <c r="FPW3000" s="449"/>
      <c r="FPX3000" s="462"/>
      <c r="FPY3000" s="299"/>
      <c r="FPZ3000" s="81"/>
      <c r="FQA3000" s="160"/>
      <c r="FQB3000" s="568"/>
      <c r="FQC3000" s="125"/>
      <c r="FQD3000" s="470"/>
      <c r="FQE3000" s="449"/>
      <c r="FQF3000" s="462"/>
      <c r="FQG3000" s="299"/>
      <c r="FQH3000" s="81"/>
      <c r="FQI3000" s="160"/>
      <c r="FQJ3000" s="568"/>
      <c r="FQK3000" s="125"/>
      <c r="FQL3000" s="470"/>
      <c r="FQM3000" s="449"/>
      <c r="FQN3000" s="462"/>
      <c r="FQO3000" s="299"/>
      <c r="FQP3000" s="81"/>
      <c r="FQQ3000" s="160"/>
      <c r="FQR3000" s="568"/>
      <c r="FQS3000" s="125"/>
      <c r="FQT3000" s="470"/>
      <c r="FQU3000" s="449"/>
      <c r="FQV3000" s="462"/>
      <c r="FQW3000" s="299"/>
      <c r="FQX3000" s="81"/>
      <c r="FQY3000" s="160"/>
      <c r="FQZ3000" s="568"/>
      <c r="FRA3000" s="125"/>
      <c r="FRB3000" s="470"/>
      <c r="FRC3000" s="449"/>
      <c r="FRD3000" s="462"/>
      <c r="FRE3000" s="299"/>
      <c r="FRF3000" s="81"/>
      <c r="FRG3000" s="160"/>
      <c r="FRH3000" s="568"/>
      <c r="FRI3000" s="125"/>
      <c r="FRJ3000" s="470"/>
      <c r="FRK3000" s="449"/>
      <c r="FRL3000" s="462"/>
      <c r="FRM3000" s="299"/>
      <c r="FRN3000" s="81"/>
      <c r="FRO3000" s="160"/>
      <c r="FRP3000" s="568"/>
      <c r="FRQ3000" s="125"/>
      <c r="FRR3000" s="470"/>
      <c r="FRS3000" s="449"/>
      <c r="FRT3000" s="462"/>
      <c r="FRU3000" s="299"/>
      <c r="FRV3000" s="81"/>
      <c r="FRW3000" s="160"/>
      <c r="FRX3000" s="568"/>
      <c r="FRY3000" s="125"/>
      <c r="FRZ3000" s="470"/>
      <c r="FSA3000" s="449"/>
      <c r="FSB3000" s="462"/>
      <c r="FSC3000" s="299"/>
      <c r="FSD3000" s="81"/>
      <c r="FSE3000" s="160"/>
      <c r="FSF3000" s="568"/>
      <c r="FSG3000" s="125"/>
      <c r="FSH3000" s="470"/>
      <c r="FSI3000" s="449"/>
      <c r="FSJ3000" s="462"/>
      <c r="FSK3000" s="299"/>
      <c r="FSL3000" s="81"/>
      <c r="FSM3000" s="160"/>
      <c r="FSN3000" s="568"/>
      <c r="FSO3000" s="125"/>
      <c r="FSP3000" s="470"/>
      <c r="FSQ3000" s="449"/>
      <c r="FSR3000" s="462"/>
      <c r="FSS3000" s="299"/>
      <c r="FST3000" s="81"/>
      <c r="FSU3000" s="160"/>
      <c r="FSV3000" s="568"/>
      <c r="FSW3000" s="125"/>
      <c r="FSX3000" s="470"/>
      <c r="FSY3000" s="449"/>
      <c r="FSZ3000" s="462"/>
      <c r="FTA3000" s="299"/>
      <c r="FTB3000" s="81"/>
      <c r="FTC3000" s="160"/>
      <c r="FTD3000" s="568"/>
      <c r="FTE3000" s="125"/>
      <c r="FTF3000" s="470"/>
      <c r="FTG3000" s="449"/>
      <c r="FTH3000" s="462"/>
      <c r="FTI3000" s="299"/>
      <c r="FTJ3000" s="81"/>
      <c r="FTK3000" s="160"/>
      <c r="FTL3000" s="568"/>
      <c r="FTM3000" s="125"/>
      <c r="FTN3000" s="470"/>
      <c r="FTO3000" s="449"/>
      <c r="FTP3000" s="462"/>
      <c r="FTQ3000" s="299"/>
      <c r="FTR3000" s="81"/>
      <c r="FTS3000" s="160"/>
      <c r="FTT3000" s="568"/>
      <c r="FTU3000" s="125"/>
      <c r="FTV3000" s="470"/>
      <c r="FTW3000" s="449"/>
      <c r="FTX3000" s="462"/>
      <c r="FTY3000" s="299"/>
      <c r="FTZ3000" s="81"/>
      <c r="FUA3000" s="160"/>
      <c r="FUB3000" s="568"/>
      <c r="FUC3000" s="125"/>
      <c r="FUD3000" s="470"/>
      <c r="FUE3000" s="449"/>
      <c r="FUF3000" s="462"/>
      <c r="FUG3000" s="299"/>
      <c r="FUH3000" s="81"/>
      <c r="FUI3000" s="160"/>
      <c r="FUJ3000" s="568"/>
      <c r="FUK3000" s="125"/>
      <c r="FUL3000" s="470"/>
      <c r="FUM3000" s="449"/>
      <c r="FUN3000" s="462"/>
      <c r="FUO3000" s="299"/>
      <c r="FUP3000" s="81"/>
      <c r="FUQ3000" s="160"/>
      <c r="FUR3000" s="568"/>
      <c r="FUS3000" s="125"/>
      <c r="FUT3000" s="470"/>
      <c r="FUU3000" s="449"/>
      <c r="FUV3000" s="462"/>
      <c r="FUW3000" s="299"/>
      <c r="FUX3000" s="81"/>
      <c r="FUY3000" s="160"/>
      <c r="FUZ3000" s="568"/>
      <c r="FVA3000" s="125"/>
      <c r="FVB3000" s="470"/>
      <c r="FVC3000" s="449"/>
      <c r="FVD3000" s="462"/>
      <c r="FVE3000" s="299"/>
      <c r="FVF3000" s="81"/>
      <c r="FVG3000" s="160"/>
      <c r="FVH3000" s="568"/>
      <c r="FVI3000" s="125"/>
      <c r="FVJ3000" s="470"/>
      <c r="FVK3000" s="449"/>
      <c r="FVL3000" s="462"/>
      <c r="FVM3000" s="299"/>
      <c r="FVN3000" s="81"/>
      <c r="FVO3000" s="160"/>
      <c r="FVP3000" s="568"/>
      <c r="FVQ3000" s="125"/>
      <c r="FVR3000" s="470"/>
      <c r="FVS3000" s="449"/>
      <c r="FVT3000" s="462"/>
      <c r="FVU3000" s="299"/>
      <c r="FVV3000" s="81"/>
      <c r="FVW3000" s="160"/>
      <c r="FVX3000" s="568"/>
      <c r="FVY3000" s="125"/>
      <c r="FVZ3000" s="470"/>
      <c r="FWA3000" s="449"/>
      <c r="FWB3000" s="462"/>
      <c r="FWC3000" s="299"/>
      <c r="FWD3000" s="81"/>
      <c r="FWE3000" s="160"/>
      <c r="FWF3000" s="568"/>
      <c r="FWG3000" s="125"/>
      <c r="FWH3000" s="470"/>
      <c r="FWI3000" s="449"/>
      <c r="FWJ3000" s="462"/>
      <c r="FWK3000" s="299"/>
      <c r="FWL3000" s="81"/>
      <c r="FWM3000" s="160"/>
      <c r="FWN3000" s="568"/>
      <c r="FWO3000" s="125"/>
      <c r="FWP3000" s="470"/>
      <c r="FWQ3000" s="449"/>
      <c r="FWR3000" s="462"/>
      <c r="FWS3000" s="299"/>
      <c r="FWT3000" s="81"/>
      <c r="FWU3000" s="160"/>
      <c r="FWV3000" s="568"/>
      <c r="FWW3000" s="125"/>
      <c r="FWX3000" s="470"/>
      <c r="FWY3000" s="449"/>
      <c r="FWZ3000" s="462"/>
      <c r="FXA3000" s="299"/>
      <c r="FXB3000" s="81"/>
      <c r="FXC3000" s="160"/>
      <c r="FXD3000" s="568"/>
      <c r="FXE3000" s="125"/>
      <c r="FXF3000" s="470"/>
      <c r="FXG3000" s="449"/>
      <c r="FXH3000" s="462"/>
      <c r="FXI3000" s="299"/>
      <c r="FXJ3000" s="81"/>
      <c r="FXK3000" s="160"/>
      <c r="FXL3000" s="568"/>
      <c r="FXM3000" s="125"/>
      <c r="FXN3000" s="470"/>
      <c r="FXO3000" s="449"/>
      <c r="FXP3000" s="462"/>
      <c r="FXQ3000" s="299"/>
      <c r="FXR3000" s="81"/>
      <c r="FXS3000" s="160"/>
      <c r="FXT3000" s="568"/>
      <c r="FXU3000" s="125"/>
      <c r="FXV3000" s="470"/>
      <c r="FXW3000" s="449"/>
      <c r="FXX3000" s="462"/>
      <c r="FXY3000" s="299"/>
      <c r="FXZ3000" s="81"/>
      <c r="FYA3000" s="160"/>
      <c r="FYB3000" s="568"/>
      <c r="FYC3000" s="125"/>
      <c r="FYD3000" s="470"/>
      <c r="FYE3000" s="449"/>
      <c r="FYF3000" s="462"/>
      <c r="FYG3000" s="299"/>
      <c r="FYH3000" s="81"/>
      <c r="FYI3000" s="160"/>
      <c r="FYJ3000" s="568"/>
      <c r="FYK3000" s="125"/>
      <c r="FYL3000" s="470"/>
      <c r="FYM3000" s="449"/>
      <c r="FYN3000" s="462"/>
      <c r="FYO3000" s="299"/>
      <c r="FYP3000" s="81"/>
      <c r="FYQ3000" s="160"/>
      <c r="FYR3000" s="568"/>
      <c r="FYS3000" s="125"/>
      <c r="FYT3000" s="470"/>
      <c r="FYU3000" s="449"/>
      <c r="FYV3000" s="462"/>
      <c r="FYW3000" s="299"/>
      <c r="FYX3000" s="81"/>
      <c r="FYY3000" s="160"/>
      <c r="FYZ3000" s="568"/>
      <c r="FZA3000" s="125"/>
      <c r="FZB3000" s="470"/>
      <c r="FZC3000" s="449"/>
      <c r="FZD3000" s="462"/>
      <c r="FZE3000" s="299"/>
      <c r="FZF3000" s="81"/>
      <c r="FZG3000" s="160"/>
      <c r="FZH3000" s="568"/>
      <c r="FZI3000" s="125"/>
      <c r="FZJ3000" s="470"/>
      <c r="FZK3000" s="449"/>
      <c r="FZL3000" s="462"/>
      <c r="FZM3000" s="299"/>
      <c r="FZN3000" s="81"/>
      <c r="FZO3000" s="160"/>
      <c r="FZP3000" s="568"/>
      <c r="FZQ3000" s="125"/>
      <c r="FZR3000" s="470"/>
      <c r="FZS3000" s="449"/>
      <c r="FZT3000" s="462"/>
      <c r="FZU3000" s="299"/>
      <c r="FZV3000" s="81"/>
      <c r="FZW3000" s="160"/>
      <c r="FZX3000" s="568"/>
      <c r="FZY3000" s="125"/>
      <c r="FZZ3000" s="470"/>
      <c r="GAA3000" s="449"/>
      <c r="GAB3000" s="462"/>
      <c r="GAC3000" s="299"/>
      <c r="GAD3000" s="81"/>
      <c r="GAE3000" s="160"/>
      <c r="GAF3000" s="568"/>
      <c r="GAG3000" s="125"/>
      <c r="GAH3000" s="470"/>
      <c r="GAI3000" s="449"/>
      <c r="GAJ3000" s="462"/>
      <c r="GAK3000" s="299"/>
      <c r="GAL3000" s="81"/>
      <c r="GAM3000" s="160"/>
      <c r="GAN3000" s="568"/>
      <c r="GAO3000" s="125"/>
      <c r="GAP3000" s="470"/>
      <c r="GAQ3000" s="449"/>
      <c r="GAR3000" s="462"/>
      <c r="GAS3000" s="299"/>
      <c r="GAT3000" s="81"/>
      <c r="GAU3000" s="160"/>
      <c r="GAV3000" s="568"/>
      <c r="GAW3000" s="125"/>
      <c r="GAX3000" s="470"/>
      <c r="GAY3000" s="449"/>
      <c r="GAZ3000" s="462"/>
      <c r="GBA3000" s="299"/>
      <c r="GBB3000" s="81"/>
      <c r="GBC3000" s="160"/>
      <c r="GBD3000" s="568"/>
      <c r="GBE3000" s="125"/>
      <c r="GBF3000" s="470"/>
      <c r="GBG3000" s="449"/>
      <c r="GBH3000" s="462"/>
      <c r="GBI3000" s="299"/>
      <c r="GBJ3000" s="81"/>
      <c r="GBK3000" s="160"/>
      <c r="GBL3000" s="568"/>
      <c r="GBM3000" s="125"/>
      <c r="GBN3000" s="470"/>
      <c r="GBO3000" s="449"/>
      <c r="GBP3000" s="462"/>
      <c r="GBQ3000" s="299"/>
      <c r="GBR3000" s="81"/>
      <c r="GBS3000" s="160"/>
      <c r="GBT3000" s="568"/>
      <c r="GBU3000" s="125"/>
      <c r="GBV3000" s="470"/>
      <c r="GBW3000" s="449"/>
      <c r="GBX3000" s="462"/>
      <c r="GBY3000" s="299"/>
      <c r="GBZ3000" s="81"/>
      <c r="GCA3000" s="160"/>
      <c r="GCB3000" s="568"/>
      <c r="GCC3000" s="125"/>
      <c r="GCD3000" s="470"/>
      <c r="GCE3000" s="449"/>
      <c r="GCF3000" s="462"/>
      <c r="GCG3000" s="299"/>
      <c r="GCH3000" s="81"/>
      <c r="GCI3000" s="160"/>
      <c r="GCJ3000" s="568"/>
      <c r="GCK3000" s="125"/>
      <c r="GCL3000" s="470"/>
      <c r="GCM3000" s="449"/>
      <c r="GCN3000" s="462"/>
      <c r="GCO3000" s="299"/>
      <c r="GCP3000" s="81"/>
      <c r="GCQ3000" s="160"/>
      <c r="GCR3000" s="568"/>
      <c r="GCS3000" s="125"/>
      <c r="GCT3000" s="470"/>
      <c r="GCU3000" s="449"/>
      <c r="GCV3000" s="462"/>
      <c r="GCW3000" s="299"/>
      <c r="GCX3000" s="81"/>
      <c r="GCY3000" s="160"/>
      <c r="GCZ3000" s="568"/>
      <c r="GDA3000" s="125"/>
      <c r="GDB3000" s="470"/>
      <c r="GDC3000" s="449"/>
      <c r="GDD3000" s="462"/>
      <c r="GDE3000" s="299"/>
      <c r="GDF3000" s="81"/>
      <c r="GDG3000" s="160"/>
      <c r="GDH3000" s="568"/>
      <c r="GDI3000" s="125"/>
      <c r="GDJ3000" s="470"/>
      <c r="GDK3000" s="449"/>
      <c r="GDL3000" s="462"/>
      <c r="GDM3000" s="299"/>
      <c r="GDN3000" s="81"/>
      <c r="GDO3000" s="160"/>
      <c r="GDP3000" s="568"/>
      <c r="GDQ3000" s="125"/>
      <c r="GDR3000" s="470"/>
      <c r="GDS3000" s="449"/>
      <c r="GDT3000" s="462"/>
      <c r="GDU3000" s="299"/>
      <c r="GDV3000" s="81"/>
      <c r="GDW3000" s="160"/>
      <c r="GDX3000" s="568"/>
      <c r="GDY3000" s="125"/>
      <c r="GDZ3000" s="470"/>
      <c r="GEA3000" s="449"/>
      <c r="GEB3000" s="462"/>
      <c r="GEC3000" s="299"/>
      <c r="GED3000" s="81"/>
      <c r="GEE3000" s="160"/>
      <c r="GEF3000" s="568"/>
      <c r="GEG3000" s="125"/>
      <c r="GEH3000" s="470"/>
      <c r="GEI3000" s="449"/>
      <c r="GEJ3000" s="462"/>
      <c r="GEK3000" s="299"/>
      <c r="GEL3000" s="81"/>
      <c r="GEM3000" s="160"/>
      <c r="GEN3000" s="568"/>
      <c r="GEO3000" s="125"/>
      <c r="GEP3000" s="470"/>
      <c r="GEQ3000" s="449"/>
      <c r="GER3000" s="462"/>
      <c r="GES3000" s="299"/>
      <c r="GET3000" s="81"/>
      <c r="GEU3000" s="160"/>
      <c r="GEV3000" s="568"/>
      <c r="GEW3000" s="125"/>
      <c r="GEX3000" s="470"/>
      <c r="GEY3000" s="449"/>
      <c r="GEZ3000" s="462"/>
      <c r="GFA3000" s="299"/>
      <c r="GFB3000" s="81"/>
      <c r="GFC3000" s="160"/>
      <c r="GFD3000" s="568"/>
      <c r="GFE3000" s="125"/>
      <c r="GFF3000" s="470"/>
      <c r="GFG3000" s="449"/>
      <c r="GFH3000" s="462"/>
      <c r="GFI3000" s="299"/>
      <c r="GFJ3000" s="81"/>
      <c r="GFK3000" s="160"/>
      <c r="GFL3000" s="568"/>
      <c r="GFM3000" s="125"/>
      <c r="GFN3000" s="470"/>
      <c r="GFO3000" s="449"/>
      <c r="GFP3000" s="462"/>
      <c r="GFQ3000" s="299"/>
      <c r="GFR3000" s="81"/>
      <c r="GFS3000" s="160"/>
      <c r="GFT3000" s="568"/>
      <c r="GFU3000" s="125"/>
      <c r="GFV3000" s="470"/>
      <c r="GFW3000" s="449"/>
      <c r="GFX3000" s="462"/>
      <c r="GFY3000" s="299"/>
      <c r="GFZ3000" s="81"/>
      <c r="GGA3000" s="160"/>
      <c r="GGB3000" s="568"/>
      <c r="GGC3000" s="125"/>
      <c r="GGD3000" s="470"/>
      <c r="GGE3000" s="449"/>
      <c r="GGF3000" s="462"/>
      <c r="GGG3000" s="299"/>
      <c r="GGH3000" s="81"/>
      <c r="GGI3000" s="160"/>
      <c r="GGJ3000" s="568"/>
      <c r="GGK3000" s="125"/>
      <c r="GGL3000" s="470"/>
      <c r="GGM3000" s="449"/>
      <c r="GGN3000" s="462"/>
      <c r="GGO3000" s="299"/>
      <c r="GGP3000" s="81"/>
      <c r="GGQ3000" s="160"/>
      <c r="GGR3000" s="568"/>
      <c r="GGS3000" s="125"/>
      <c r="GGT3000" s="470"/>
      <c r="GGU3000" s="449"/>
      <c r="GGV3000" s="462"/>
      <c r="GGW3000" s="299"/>
      <c r="GGX3000" s="81"/>
      <c r="GGY3000" s="160"/>
      <c r="GGZ3000" s="568"/>
      <c r="GHA3000" s="125"/>
      <c r="GHB3000" s="470"/>
      <c r="GHC3000" s="449"/>
      <c r="GHD3000" s="462"/>
      <c r="GHE3000" s="299"/>
      <c r="GHF3000" s="81"/>
      <c r="GHG3000" s="160"/>
      <c r="GHH3000" s="568"/>
      <c r="GHI3000" s="125"/>
      <c r="GHJ3000" s="470"/>
      <c r="GHK3000" s="449"/>
      <c r="GHL3000" s="462"/>
      <c r="GHM3000" s="299"/>
      <c r="GHN3000" s="81"/>
      <c r="GHO3000" s="160"/>
      <c r="GHP3000" s="568"/>
      <c r="GHQ3000" s="125"/>
      <c r="GHR3000" s="470"/>
      <c r="GHS3000" s="449"/>
      <c r="GHT3000" s="462"/>
      <c r="GHU3000" s="299"/>
      <c r="GHV3000" s="81"/>
      <c r="GHW3000" s="160"/>
      <c r="GHX3000" s="568"/>
      <c r="GHY3000" s="125"/>
      <c r="GHZ3000" s="470"/>
      <c r="GIA3000" s="449"/>
      <c r="GIB3000" s="462"/>
      <c r="GIC3000" s="299"/>
      <c r="GID3000" s="81"/>
      <c r="GIE3000" s="160"/>
      <c r="GIF3000" s="568"/>
      <c r="GIG3000" s="125"/>
      <c r="GIH3000" s="470"/>
      <c r="GII3000" s="449"/>
      <c r="GIJ3000" s="462"/>
      <c r="GIK3000" s="299"/>
      <c r="GIL3000" s="81"/>
      <c r="GIM3000" s="160"/>
      <c r="GIN3000" s="568"/>
      <c r="GIO3000" s="125"/>
      <c r="GIP3000" s="470"/>
      <c r="GIQ3000" s="449"/>
      <c r="GIR3000" s="462"/>
      <c r="GIS3000" s="299"/>
      <c r="GIT3000" s="81"/>
      <c r="GIU3000" s="160"/>
      <c r="GIV3000" s="568"/>
      <c r="GIW3000" s="125"/>
      <c r="GIX3000" s="470"/>
      <c r="GIY3000" s="449"/>
      <c r="GIZ3000" s="462"/>
      <c r="GJA3000" s="299"/>
      <c r="GJB3000" s="81"/>
      <c r="GJC3000" s="160"/>
      <c r="GJD3000" s="568"/>
      <c r="GJE3000" s="125"/>
      <c r="GJF3000" s="470"/>
      <c r="GJG3000" s="449"/>
      <c r="GJH3000" s="462"/>
      <c r="GJI3000" s="299"/>
      <c r="GJJ3000" s="81"/>
      <c r="GJK3000" s="160"/>
      <c r="GJL3000" s="568"/>
      <c r="GJM3000" s="125"/>
      <c r="GJN3000" s="470"/>
      <c r="GJO3000" s="449"/>
      <c r="GJP3000" s="462"/>
      <c r="GJQ3000" s="299"/>
      <c r="GJR3000" s="81"/>
      <c r="GJS3000" s="160"/>
      <c r="GJT3000" s="568"/>
      <c r="GJU3000" s="125"/>
      <c r="GJV3000" s="470"/>
      <c r="GJW3000" s="449"/>
      <c r="GJX3000" s="462"/>
      <c r="GJY3000" s="299"/>
      <c r="GJZ3000" s="81"/>
      <c r="GKA3000" s="160"/>
      <c r="GKB3000" s="568"/>
      <c r="GKC3000" s="125"/>
      <c r="GKD3000" s="470"/>
      <c r="GKE3000" s="449"/>
      <c r="GKF3000" s="462"/>
      <c r="GKG3000" s="299"/>
      <c r="GKH3000" s="81"/>
      <c r="GKI3000" s="160"/>
      <c r="GKJ3000" s="568"/>
      <c r="GKK3000" s="125"/>
      <c r="GKL3000" s="470"/>
      <c r="GKM3000" s="449"/>
      <c r="GKN3000" s="462"/>
      <c r="GKO3000" s="299"/>
      <c r="GKP3000" s="81"/>
      <c r="GKQ3000" s="160"/>
      <c r="GKR3000" s="568"/>
      <c r="GKS3000" s="125"/>
      <c r="GKT3000" s="470"/>
      <c r="GKU3000" s="449"/>
      <c r="GKV3000" s="462"/>
      <c r="GKW3000" s="299"/>
      <c r="GKX3000" s="81"/>
      <c r="GKY3000" s="160"/>
      <c r="GKZ3000" s="568"/>
      <c r="GLA3000" s="125"/>
      <c r="GLB3000" s="470"/>
      <c r="GLC3000" s="449"/>
      <c r="GLD3000" s="462"/>
      <c r="GLE3000" s="299"/>
      <c r="GLF3000" s="81"/>
      <c r="GLG3000" s="160"/>
      <c r="GLH3000" s="568"/>
      <c r="GLI3000" s="125"/>
      <c r="GLJ3000" s="470"/>
      <c r="GLK3000" s="449"/>
      <c r="GLL3000" s="462"/>
      <c r="GLM3000" s="299"/>
      <c r="GLN3000" s="81"/>
      <c r="GLO3000" s="160"/>
      <c r="GLP3000" s="568"/>
      <c r="GLQ3000" s="125"/>
      <c r="GLR3000" s="470"/>
      <c r="GLS3000" s="449"/>
      <c r="GLT3000" s="462"/>
      <c r="GLU3000" s="299"/>
      <c r="GLV3000" s="81"/>
      <c r="GLW3000" s="160"/>
      <c r="GLX3000" s="568"/>
      <c r="GLY3000" s="125"/>
      <c r="GLZ3000" s="470"/>
      <c r="GMA3000" s="449"/>
      <c r="GMB3000" s="462"/>
      <c r="GMC3000" s="299"/>
      <c r="GMD3000" s="81"/>
      <c r="GME3000" s="160"/>
      <c r="GMF3000" s="568"/>
      <c r="GMG3000" s="125"/>
      <c r="GMH3000" s="470"/>
      <c r="GMI3000" s="449"/>
      <c r="GMJ3000" s="462"/>
      <c r="GMK3000" s="299"/>
      <c r="GML3000" s="81"/>
      <c r="GMM3000" s="160"/>
      <c r="GMN3000" s="568"/>
      <c r="GMO3000" s="125"/>
      <c r="GMP3000" s="470"/>
      <c r="GMQ3000" s="449"/>
      <c r="GMR3000" s="462"/>
      <c r="GMS3000" s="299"/>
      <c r="GMT3000" s="81"/>
      <c r="GMU3000" s="160"/>
      <c r="GMV3000" s="568"/>
      <c r="GMW3000" s="125"/>
      <c r="GMX3000" s="470"/>
      <c r="GMY3000" s="449"/>
      <c r="GMZ3000" s="462"/>
      <c r="GNA3000" s="299"/>
      <c r="GNB3000" s="81"/>
      <c r="GNC3000" s="160"/>
      <c r="GND3000" s="568"/>
      <c r="GNE3000" s="125"/>
      <c r="GNF3000" s="470"/>
      <c r="GNG3000" s="449"/>
      <c r="GNH3000" s="462"/>
      <c r="GNI3000" s="299"/>
      <c r="GNJ3000" s="81"/>
      <c r="GNK3000" s="160"/>
      <c r="GNL3000" s="568"/>
      <c r="GNM3000" s="125"/>
      <c r="GNN3000" s="470"/>
      <c r="GNO3000" s="449"/>
      <c r="GNP3000" s="462"/>
      <c r="GNQ3000" s="299"/>
      <c r="GNR3000" s="81"/>
      <c r="GNS3000" s="160"/>
      <c r="GNT3000" s="568"/>
      <c r="GNU3000" s="125"/>
      <c r="GNV3000" s="470"/>
      <c r="GNW3000" s="449"/>
      <c r="GNX3000" s="462"/>
      <c r="GNY3000" s="299"/>
      <c r="GNZ3000" s="81"/>
      <c r="GOA3000" s="160"/>
      <c r="GOB3000" s="568"/>
      <c r="GOC3000" s="125"/>
      <c r="GOD3000" s="470"/>
      <c r="GOE3000" s="449"/>
      <c r="GOF3000" s="462"/>
      <c r="GOG3000" s="299"/>
      <c r="GOH3000" s="81"/>
      <c r="GOI3000" s="160"/>
      <c r="GOJ3000" s="568"/>
      <c r="GOK3000" s="125"/>
      <c r="GOL3000" s="470"/>
      <c r="GOM3000" s="449"/>
      <c r="GON3000" s="462"/>
      <c r="GOO3000" s="299"/>
      <c r="GOP3000" s="81"/>
      <c r="GOQ3000" s="160"/>
      <c r="GOR3000" s="568"/>
      <c r="GOS3000" s="125"/>
      <c r="GOT3000" s="470"/>
      <c r="GOU3000" s="449"/>
      <c r="GOV3000" s="462"/>
      <c r="GOW3000" s="299"/>
      <c r="GOX3000" s="81"/>
      <c r="GOY3000" s="160"/>
      <c r="GOZ3000" s="568"/>
      <c r="GPA3000" s="125"/>
      <c r="GPB3000" s="470"/>
      <c r="GPC3000" s="449"/>
      <c r="GPD3000" s="462"/>
      <c r="GPE3000" s="299"/>
      <c r="GPF3000" s="81"/>
      <c r="GPG3000" s="160"/>
      <c r="GPH3000" s="568"/>
      <c r="GPI3000" s="125"/>
      <c r="GPJ3000" s="470"/>
      <c r="GPK3000" s="449"/>
      <c r="GPL3000" s="462"/>
      <c r="GPM3000" s="299"/>
      <c r="GPN3000" s="81"/>
      <c r="GPO3000" s="160"/>
      <c r="GPP3000" s="568"/>
      <c r="GPQ3000" s="125"/>
      <c r="GPR3000" s="470"/>
      <c r="GPS3000" s="449"/>
      <c r="GPT3000" s="462"/>
      <c r="GPU3000" s="299"/>
      <c r="GPV3000" s="81"/>
      <c r="GPW3000" s="160"/>
      <c r="GPX3000" s="568"/>
      <c r="GPY3000" s="125"/>
      <c r="GPZ3000" s="470"/>
      <c r="GQA3000" s="449"/>
      <c r="GQB3000" s="462"/>
      <c r="GQC3000" s="299"/>
      <c r="GQD3000" s="81"/>
      <c r="GQE3000" s="160"/>
      <c r="GQF3000" s="568"/>
      <c r="GQG3000" s="125"/>
      <c r="GQH3000" s="470"/>
      <c r="GQI3000" s="449"/>
      <c r="GQJ3000" s="462"/>
      <c r="GQK3000" s="299"/>
      <c r="GQL3000" s="81"/>
      <c r="GQM3000" s="160"/>
      <c r="GQN3000" s="568"/>
      <c r="GQO3000" s="125"/>
      <c r="GQP3000" s="470"/>
      <c r="GQQ3000" s="449"/>
      <c r="GQR3000" s="462"/>
      <c r="GQS3000" s="299"/>
      <c r="GQT3000" s="81"/>
      <c r="GQU3000" s="160"/>
      <c r="GQV3000" s="568"/>
      <c r="GQW3000" s="125"/>
      <c r="GQX3000" s="470"/>
      <c r="GQY3000" s="449"/>
      <c r="GQZ3000" s="462"/>
      <c r="GRA3000" s="299"/>
      <c r="GRB3000" s="81"/>
      <c r="GRC3000" s="160"/>
      <c r="GRD3000" s="568"/>
      <c r="GRE3000" s="125"/>
      <c r="GRF3000" s="470"/>
      <c r="GRG3000" s="449"/>
      <c r="GRH3000" s="462"/>
      <c r="GRI3000" s="299"/>
      <c r="GRJ3000" s="81"/>
      <c r="GRK3000" s="160"/>
      <c r="GRL3000" s="568"/>
      <c r="GRM3000" s="125"/>
      <c r="GRN3000" s="470"/>
      <c r="GRO3000" s="449"/>
      <c r="GRP3000" s="462"/>
      <c r="GRQ3000" s="299"/>
      <c r="GRR3000" s="81"/>
      <c r="GRS3000" s="160"/>
      <c r="GRT3000" s="568"/>
      <c r="GRU3000" s="125"/>
      <c r="GRV3000" s="470"/>
      <c r="GRW3000" s="449"/>
      <c r="GRX3000" s="462"/>
      <c r="GRY3000" s="299"/>
      <c r="GRZ3000" s="81"/>
      <c r="GSA3000" s="160"/>
      <c r="GSB3000" s="568"/>
      <c r="GSC3000" s="125"/>
      <c r="GSD3000" s="470"/>
      <c r="GSE3000" s="449"/>
      <c r="GSF3000" s="462"/>
      <c r="GSG3000" s="299"/>
      <c r="GSH3000" s="81"/>
      <c r="GSI3000" s="160"/>
      <c r="GSJ3000" s="568"/>
      <c r="GSK3000" s="125"/>
      <c r="GSL3000" s="470"/>
      <c r="GSM3000" s="449"/>
      <c r="GSN3000" s="462"/>
      <c r="GSO3000" s="299"/>
      <c r="GSP3000" s="81"/>
      <c r="GSQ3000" s="160"/>
      <c r="GSR3000" s="568"/>
      <c r="GSS3000" s="125"/>
      <c r="GST3000" s="470"/>
      <c r="GSU3000" s="449"/>
      <c r="GSV3000" s="462"/>
      <c r="GSW3000" s="299"/>
      <c r="GSX3000" s="81"/>
      <c r="GSY3000" s="160"/>
      <c r="GSZ3000" s="568"/>
      <c r="GTA3000" s="125"/>
      <c r="GTB3000" s="470"/>
      <c r="GTC3000" s="449"/>
      <c r="GTD3000" s="462"/>
      <c r="GTE3000" s="299"/>
      <c r="GTF3000" s="81"/>
      <c r="GTG3000" s="160"/>
      <c r="GTH3000" s="568"/>
      <c r="GTI3000" s="125"/>
      <c r="GTJ3000" s="470"/>
      <c r="GTK3000" s="449"/>
      <c r="GTL3000" s="462"/>
      <c r="GTM3000" s="299"/>
      <c r="GTN3000" s="81"/>
      <c r="GTO3000" s="160"/>
      <c r="GTP3000" s="568"/>
      <c r="GTQ3000" s="125"/>
      <c r="GTR3000" s="470"/>
      <c r="GTS3000" s="449"/>
      <c r="GTT3000" s="462"/>
      <c r="GTU3000" s="299"/>
      <c r="GTV3000" s="81"/>
      <c r="GTW3000" s="160"/>
      <c r="GTX3000" s="568"/>
      <c r="GTY3000" s="125"/>
      <c r="GTZ3000" s="470"/>
      <c r="GUA3000" s="449"/>
      <c r="GUB3000" s="462"/>
      <c r="GUC3000" s="299"/>
      <c r="GUD3000" s="81"/>
      <c r="GUE3000" s="160"/>
      <c r="GUF3000" s="568"/>
      <c r="GUG3000" s="125"/>
      <c r="GUH3000" s="470"/>
      <c r="GUI3000" s="449"/>
      <c r="GUJ3000" s="462"/>
      <c r="GUK3000" s="299"/>
      <c r="GUL3000" s="81"/>
      <c r="GUM3000" s="160"/>
      <c r="GUN3000" s="568"/>
      <c r="GUO3000" s="125"/>
      <c r="GUP3000" s="470"/>
      <c r="GUQ3000" s="449"/>
      <c r="GUR3000" s="462"/>
      <c r="GUS3000" s="299"/>
      <c r="GUT3000" s="81"/>
      <c r="GUU3000" s="160"/>
      <c r="GUV3000" s="568"/>
      <c r="GUW3000" s="125"/>
      <c r="GUX3000" s="470"/>
      <c r="GUY3000" s="449"/>
      <c r="GUZ3000" s="462"/>
      <c r="GVA3000" s="299"/>
      <c r="GVB3000" s="81"/>
      <c r="GVC3000" s="160"/>
      <c r="GVD3000" s="568"/>
      <c r="GVE3000" s="125"/>
      <c r="GVF3000" s="470"/>
      <c r="GVG3000" s="449"/>
      <c r="GVH3000" s="462"/>
      <c r="GVI3000" s="299"/>
      <c r="GVJ3000" s="81"/>
      <c r="GVK3000" s="160"/>
      <c r="GVL3000" s="568"/>
      <c r="GVM3000" s="125"/>
      <c r="GVN3000" s="470"/>
      <c r="GVO3000" s="449"/>
      <c r="GVP3000" s="462"/>
      <c r="GVQ3000" s="299"/>
      <c r="GVR3000" s="81"/>
      <c r="GVS3000" s="160"/>
      <c r="GVT3000" s="568"/>
      <c r="GVU3000" s="125"/>
      <c r="GVV3000" s="470"/>
      <c r="GVW3000" s="449"/>
      <c r="GVX3000" s="462"/>
      <c r="GVY3000" s="299"/>
      <c r="GVZ3000" s="81"/>
      <c r="GWA3000" s="160"/>
      <c r="GWB3000" s="568"/>
      <c r="GWC3000" s="125"/>
      <c r="GWD3000" s="470"/>
      <c r="GWE3000" s="449"/>
      <c r="GWF3000" s="462"/>
      <c r="GWG3000" s="299"/>
      <c r="GWH3000" s="81"/>
      <c r="GWI3000" s="160"/>
      <c r="GWJ3000" s="568"/>
      <c r="GWK3000" s="125"/>
      <c r="GWL3000" s="470"/>
      <c r="GWM3000" s="449"/>
      <c r="GWN3000" s="462"/>
      <c r="GWO3000" s="299"/>
      <c r="GWP3000" s="81"/>
      <c r="GWQ3000" s="160"/>
      <c r="GWR3000" s="568"/>
      <c r="GWS3000" s="125"/>
      <c r="GWT3000" s="470"/>
      <c r="GWU3000" s="449"/>
      <c r="GWV3000" s="462"/>
      <c r="GWW3000" s="299"/>
      <c r="GWX3000" s="81"/>
      <c r="GWY3000" s="160"/>
      <c r="GWZ3000" s="568"/>
      <c r="GXA3000" s="125"/>
      <c r="GXB3000" s="470"/>
      <c r="GXC3000" s="449"/>
      <c r="GXD3000" s="462"/>
      <c r="GXE3000" s="299"/>
      <c r="GXF3000" s="81"/>
      <c r="GXG3000" s="160"/>
      <c r="GXH3000" s="568"/>
      <c r="GXI3000" s="125"/>
      <c r="GXJ3000" s="470"/>
      <c r="GXK3000" s="449"/>
      <c r="GXL3000" s="462"/>
      <c r="GXM3000" s="299"/>
      <c r="GXN3000" s="81"/>
      <c r="GXO3000" s="160"/>
      <c r="GXP3000" s="568"/>
      <c r="GXQ3000" s="125"/>
      <c r="GXR3000" s="470"/>
      <c r="GXS3000" s="449"/>
      <c r="GXT3000" s="462"/>
      <c r="GXU3000" s="299"/>
      <c r="GXV3000" s="81"/>
      <c r="GXW3000" s="160"/>
      <c r="GXX3000" s="568"/>
      <c r="GXY3000" s="125"/>
      <c r="GXZ3000" s="470"/>
      <c r="GYA3000" s="449"/>
      <c r="GYB3000" s="462"/>
      <c r="GYC3000" s="299"/>
      <c r="GYD3000" s="81"/>
      <c r="GYE3000" s="160"/>
      <c r="GYF3000" s="568"/>
      <c r="GYG3000" s="125"/>
      <c r="GYH3000" s="470"/>
      <c r="GYI3000" s="449"/>
      <c r="GYJ3000" s="462"/>
      <c r="GYK3000" s="299"/>
      <c r="GYL3000" s="81"/>
      <c r="GYM3000" s="160"/>
      <c r="GYN3000" s="568"/>
      <c r="GYO3000" s="125"/>
      <c r="GYP3000" s="470"/>
      <c r="GYQ3000" s="449"/>
      <c r="GYR3000" s="462"/>
      <c r="GYS3000" s="299"/>
      <c r="GYT3000" s="81"/>
      <c r="GYU3000" s="160"/>
      <c r="GYV3000" s="568"/>
      <c r="GYW3000" s="125"/>
      <c r="GYX3000" s="470"/>
      <c r="GYY3000" s="449"/>
      <c r="GYZ3000" s="462"/>
      <c r="GZA3000" s="299"/>
      <c r="GZB3000" s="81"/>
      <c r="GZC3000" s="160"/>
      <c r="GZD3000" s="568"/>
      <c r="GZE3000" s="125"/>
      <c r="GZF3000" s="470"/>
      <c r="GZG3000" s="449"/>
      <c r="GZH3000" s="462"/>
      <c r="GZI3000" s="299"/>
      <c r="GZJ3000" s="81"/>
      <c r="GZK3000" s="160"/>
      <c r="GZL3000" s="568"/>
      <c r="GZM3000" s="125"/>
      <c r="GZN3000" s="470"/>
      <c r="GZO3000" s="449"/>
      <c r="GZP3000" s="462"/>
      <c r="GZQ3000" s="299"/>
      <c r="GZR3000" s="81"/>
      <c r="GZS3000" s="160"/>
      <c r="GZT3000" s="568"/>
      <c r="GZU3000" s="125"/>
      <c r="GZV3000" s="470"/>
      <c r="GZW3000" s="449"/>
      <c r="GZX3000" s="462"/>
      <c r="GZY3000" s="299"/>
      <c r="GZZ3000" s="81"/>
      <c r="HAA3000" s="160"/>
      <c r="HAB3000" s="568"/>
      <c r="HAC3000" s="125"/>
      <c r="HAD3000" s="470"/>
      <c r="HAE3000" s="449"/>
      <c r="HAF3000" s="462"/>
      <c r="HAG3000" s="299"/>
      <c r="HAH3000" s="81"/>
      <c r="HAI3000" s="160"/>
      <c r="HAJ3000" s="568"/>
      <c r="HAK3000" s="125"/>
      <c r="HAL3000" s="470"/>
      <c r="HAM3000" s="449"/>
      <c r="HAN3000" s="462"/>
      <c r="HAO3000" s="299"/>
      <c r="HAP3000" s="81"/>
      <c r="HAQ3000" s="160"/>
      <c r="HAR3000" s="568"/>
      <c r="HAS3000" s="125"/>
      <c r="HAT3000" s="470"/>
      <c r="HAU3000" s="449"/>
      <c r="HAV3000" s="462"/>
      <c r="HAW3000" s="299"/>
      <c r="HAX3000" s="81"/>
      <c r="HAY3000" s="160"/>
      <c r="HAZ3000" s="568"/>
      <c r="HBA3000" s="125"/>
      <c r="HBB3000" s="470"/>
      <c r="HBC3000" s="449"/>
      <c r="HBD3000" s="462"/>
      <c r="HBE3000" s="299"/>
      <c r="HBF3000" s="81"/>
      <c r="HBG3000" s="160"/>
      <c r="HBH3000" s="568"/>
      <c r="HBI3000" s="125"/>
      <c r="HBJ3000" s="470"/>
      <c r="HBK3000" s="449"/>
      <c r="HBL3000" s="462"/>
      <c r="HBM3000" s="299"/>
      <c r="HBN3000" s="81"/>
      <c r="HBO3000" s="160"/>
      <c r="HBP3000" s="568"/>
      <c r="HBQ3000" s="125"/>
      <c r="HBR3000" s="470"/>
      <c r="HBS3000" s="449"/>
      <c r="HBT3000" s="462"/>
      <c r="HBU3000" s="299"/>
      <c r="HBV3000" s="81"/>
      <c r="HBW3000" s="160"/>
      <c r="HBX3000" s="568"/>
      <c r="HBY3000" s="125"/>
      <c r="HBZ3000" s="470"/>
      <c r="HCA3000" s="449"/>
      <c r="HCB3000" s="462"/>
      <c r="HCC3000" s="299"/>
      <c r="HCD3000" s="81"/>
      <c r="HCE3000" s="160"/>
      <c r="HCF3000" s="568"/>
      <c r="HCG3000" s="125"/>
      <c r="HCH3000" s="470"/>
      <c r="HCI3000" s="449"/>
      <c r="HCJ3000" s="462"/>
      <c r="HCK3000" s="299"/>
      <c r="HCL3000" s="81"/>
      <c r="HCM3000" s="160"/>
      <c r="HCN3000" s="568"/>
      <c r="HCO3000" s="125"/>
      <c r="HCP3000" s="470"/>
      <c r="HCQ3000" s="449"/>
      <c r="HCR3000" s="462"/>
      <c r="HCS3000" s="299"/>
      <c r="HCT3000" s="81"/>
      <c r="HCU3000" s="160"/>
      <c r="HCV3000" s="568"/>
      <c r="HCW3000" s="125"/>
      <c r="HCX3000" s="470"/>
      <c r="HCY3000" s="449"/>
      <c r="HCZ3000" s="462"/>
      <c r="HDA3000" s="299"/>
      <c r="HDB3000" s="81"/>
      <c r="HDC3000" s="160"/>
      <c r="HDD3000" s="568"/>
      <c r="HDE3000" s="125"/>
      <c r="HDF3000" s="470"/>
      <c r="HDG3000" s="449"/>
      <c r="HDH3000" s="462"/>
      <c r="HDI3000" s="299"/>
      <c r="HDJ3000" s="81"/>
      <c r="HDK3000" s="160"/>
      <c r="HDL3000" s="568"/>
      <c r="HDM3000" s="125"/>
      <c r="HDN3000" s="470"/>
      <c r="HDO3000" s="449"/>
      <c r="HDP3000" s="462"/>
      <c r="HDQ3000" s="299"/>
      <c r="HDR3000" s="81"/>
      <c r="HDS3000" s="160"/>
      <c r="HDT3000" s="568"/>
      <c r="HDU3000" s="125"/>
      <c r="HDV3000" s="470"/>
      <c r="HDW3000" s="449"/>
      <c r="HDX3000" s="462"/>
      <c r="HDY3000" s="299"/>
      <c r="HDZ3000" s="81"/>
      <c r="HEA3000" s="160"/>
      <c r="HEB3000" s="568"/>
      <c r="HEC3000" s="125"/>
      <c r="HED3000" s="470"/>
      <c r="HEE3000" s="449"/>
      <c r="HEF3000" s="462"/>
      <c r="HEG3000" s="299"/>
      <c r="HEH3000" s="81"/>
      <c r="HEI3000" s="160"/>
      <c r="HEJ3000" s="568"/>
      <c r="HEK3000" s="125"/>
      <c r="HEL3000" s="470"/>
      <c r="HEM3000" s="449"/>
      <c r="HEN3000" s="462"/>
      <c r="HEO3000" s="299"/>
      <c r="HEP3000" s="81"/>
      <c r="HEQ3000" s="160"/>
      <c r="HER3000" s="568"/>
      <c r="HES3000" s="125"/>
      <c r="HET3000" s="470"/>
      <c r="HEU3000" s="449"/>
      <c r="HEV3000" s="462"/>
      <c r="HEW3000" s="299"/>
      <c r="HEX3000" s="81"/>
      <c r="HEY3000" s="160"/>
      <c r="HEZ3000" s="568"/>
      <c r="HFA3000" s="125"/>
      <c r="HFB3000" s="470"/>
      <c r="HFC3000" s="449"/>
      <c r="HFD3000" s="462"/>
      <c r="HFE3000" s="299"/>
      <c r="HFF3000" s="81"/>
      <c r="HFG3000" s="160"/>
      <c r="HFH3000" s="568"/>
      <c r="HFI3000" s="125"/>
      <c r="HFJ3000" s="470"/>
      <c r="HFK3000" s="449"/>
      <c r="HFL3000" s="462"/>
      <c r="HFM3000" s="299"/>
      <c r="HFN3000" s="81"/>
      <c r="HFO3000" s="160"/>
      <c r="HFP3000" s="568"/>
      <c r="HFQ3000" s="125"/>
      <c r="HFR3000" s="470"/>
      <c r="HFS3000" s="449"/>
      <c r="HFT3000" s="462"/>
      <c r="HFU3000" s="299"/>
      <c r="HFV3000" s="81"/>
      <c r="HFW3000" s="160"/>
      <c r="HFX3000" s="568"/>
      <c r="HFY3000" s="125"/>
      <c r="HFZ3000" s="470"/>
      <c r="HGA3000" s="449"/>
      <c r="HGB3000" s="462"/>
      <c r="HGC3000" s="299"/>
      <c r="HGD3000" s="81"/>
      <c r="HGE3000" s="160"/>
      <c r="HGF3000" s="568"/>
      <c r="HGG3000" s="125"/>
      <c r="HGH3000" s="470"/>
      <c r="HGI3000" s="449"/>
      <c r="HGJ3000" s="462"/>
      <c r="HGK3000" s="299"/>
      <c r="HGL3000" s="81"/>
      <c r="HGM3000" s="160"/>
      <c r="HGN3000" s="568"/>
      <c r="HGO3000" s="125"/>
      <c r="HGP3000" s="470"/>
      <c r="HGQ3000" s="449"/>
      <c r="HGR3000" s="462"/>
      <c r="HGS3000" s="299"/>
      <c r="HGT3000" s="81"/>
      <c r="HGU3000" s="160"/>
      <c r="HGV3000" s="568"/>
      <c r="HGW3000" s="125"/>
      <c r="HGX3000" s="470"/>
      <c r="HGY3000" s="449"/>
      <c r="HGZ3000" s="462"/>
      <c r="HHA3000" s="299"/>
      <c r="HHB3000" s="81"/>
      <c r="HHC3000" s="160"/>
      <c r="HHD3000" s="568"/>
      <c r="HHE3000" s="125"/>
      <c r="HHF3000" s="470"/>
      <c r="HHG3000" s="449"/>
      <c r="HHH3000" s="462"/>
      <c r="HHI3000" s="299"/>
      <c r="HHJ3000" s="81"/>
      <c r="HHK3000" s="160"/>
      <c r="HHL3000" s="568"/>
      <c r="HHM3000" s="125"/>
      <c r="HHN3000" s="470"/>
      <c r="HHO3000" s="449"/>
      <c r="HHP3000" s="462"/>
      <c r="HHQ3000" s="299"/>
      <c r="HHR3000" s="81"/>
      <c r="HHS3000" s="160"/>
      <c r="HHT3000" s="568"/>
      <c r="HHU3000" s="125"/>
      <c r="HHV3000" s="470"/>
      <c r="HHW3000" s="449"/>
      <c r="HHX3000" s="462"/>
      <c r="HHY3000" s="299"/>
      <c r="HHZ3000" s="81"/>
      <c r="HIA3000" s="160"/>
      <c r="HIB3000" s="568"/>
      <c r="HIC3000" s="125"/>
      <c r="HID3000" s="470"/>
      <c r="HIE3000" s="449"/>
      <c r="HIF3000" s="462"/>
      <c r="HIG3000" s="299"/>
      <c r="HIH3000" s="81"/>
      <c r="HII3000" s="160"/>
      <c r="HIJ3000" s="568"/>
      <c r="HIK3000" s="125"/>
      <c r="HIL3000" s="470"/>
      <c r="HIM3000" s="449"/>
      <c r="HIN3000" s="462"/>
      <c r="HIO3000" s="299"/>
      <c r="HIP3000" s="81"/>
      <c r="HIQ3000" s="160"/>
      <c r="HIR3000" s="568"/>
      <c r="HIS3000" s="125"/>
      <c r="HIT3000" s="470"/>
      <c r="HIU3000" s="449"/>
      <c r="HIV3000" s="462"/>
      <c r="HIW3000" s="299"/>
      <c r="HIX3000" s="81"/>
      <c r="HIY3000" s="160"/>
      <c r="HIZ3000" s="568"/>
      <c r="HJA3000" s="125"/>
      <c r="HJB3000" s="470"/>
      <c r="HJC3000" s="449"/>
      <c r="HJD3000" s="462"/>
      <c r="HJE3000" s="299"/>
      <c r="HJF3000" s="81"/>
      <c r="HJG3000" s="160"/>
      <c r="HJH3000" s="568"/>
      <c r="HJI3000" s="125"/>
      <c r="HJJ3000" s="470"/>
      <c r="HJK3000" s="449"/>
      <c r="HJL3000" s="462"/>
      <c r="HJM3000" s="299"/>
      <c r="HJN3000" s="81"/>
      <c r="HJO3000" s="160"/>
      <c r="HJP3000" s="568"/>
      <c r="HJQ3000" s="125"/>
      <c r="HJR3000" s="470"/>
      <c r="HJS3000" s="449"/>
      <c r="HJT3000" s="462"/>
      <c r="HJU3000" s="299"/>
      <c r="HJV3000" s="81"/>
      <c r="HJW3000" s="160"/>
      <c r="HJX3000" s="568"/>
      <c r="HJY3000" s="125"/>
      <c r="HJZ3000" s="470"/>
      <c r="HKA3000" s="449"/>
      <c r="HKB3000" s="462"/>
      <c r="HKC3000" s="299"/>
      <c r="HKD3000" s="81"/>
      <c r="HKE3000" s="160"/>
      <c r="HKF3000" s="568"/>
      <c r="HKG3000" s="125"/>
      <c r="HKH3000" s="470"/>
      <c r="HKI3000" s="449"/>
      <c r="HKJ3000" s="462"/>
      <c r="HKK3000" s="299"/>
      <c r="HKL3000" s="81"/>
      <c r="HKM3000" s="160"/>
      <c r="HKN3000" s="568"/>
      <c r="HKO3000" s="125"/>
      <c r="HKP3000" s="470"/>
      <c r="HKQ3000" s="449"/>
      <c r="HKR3000" s="462"/>
      <c r="HKS3000" s="299"/>
      <c r="HKT3000" s="81"/>
      <c r="HKU3000" s="160"/>
      <c r="HKV3000" s="568"/>
      <c r="HKW3000" s="125"/>
      <c r="HKX3000" s="470"/>
      <c r="HKY3000" s="449"/>
      <c r="HKZ3000" s="462"/>
      <c r="HLA3000" s="299"/>
      <c r="HLB3000" s="81"/>
      <c r="HLC3000" s="160"/>
      <c r="HLD3000" s="568"/>
      <c r="HLE3000" s="125"/>
      <c r="HLF3000" s="470"/>
      <c r="HLG3000" s="449"/>
      <c r="HLH3000" s="462"/>
      <c r="HLI3000" s="299"/>
      <c r="HLJ3000" s="81"/>
      <c r="HLK3000" s="160"/>
      <c r="HLL3000" s="568"/>
      <c r="HLM3000" s="125"/>
      <c r="HLN3000" s="470"/>
      <c r="HLO3000" s="449"/>
      <c r="HLP3000" s="462"/>
      <c r="HLQ3000" s="299"/>
      <c r="HLR3000" s="81"/>
      <c r="HLS3000" s="160"/>
      <c r="HLT3000" s="568"/>
      <c r="HLU3000" s="125"/>
      <c r="HLV3000" s="470"/>
      <c r="HLW3000" s="449"/>
      <c r="HLX3000" s="462"/>
      <c r="HLY3000" s="299"/>
      <c r="HLZ3000" s="81"/>
      <c r="HMA3000" s="160"/>
      <c r="HMB3000" s="568"/>
      <c r="HMC3000" s="125"/>
      <c r="HMD3000" s="470"/>
      <c r="HME3000" s="449"/>
      <c r="HMF3000" s="462"/>
      <c r="HMG3000" s="299"/>
      <c r="HMH3000" s="81"/>
      <c r="HMI3000" s="160"/>
      <c r="HMJ3000" s="568"/>
      <c r="HMK3000" s="125"/>
      <c r="HML3000" s="470"/>
      <c r="HMM3000" s="449"/>
      <c r="HMN3000" s="462"/>
      <c r="HMO3000" s="299"/>
      <c r="HMP3000" s="81"/>
      <c r="HMQ3000" s="160"/>
      <c r="HMR3000" s="568"/>
      <c r="HMS3000" s="125"/>
      <c r="HMT3000" s="470"/>
      <c r="HMU3000" s="449"/>
      <c r="HMV3000" s="462"/>
      <c r="HMW3000" s="299"/>
      <c r="HMX3000" s="81"/>
      <c r="HMY3000" s="160"/>
      <c r="HMZ3000" s="568"/>
      <c r="HNA3000" s="125"/>
      <c r="HNB3000" s="470"/>
      <c r="HNC3000" s="449"/>
      <c r="HND3000" s="462"/>
      <c r="HNE3000" s="299"/>
      <c r="HNF3000" s="81"/>
      <c r="HNG3000" s="160"/>
      <c r="HNH3000" s="568"/>
      <c r="HNI3000" s="125"/>
      <c r="HNJ3000" s="470"/>
      <c r="HNK3000" s="449"/>
      <c r="HNL3000" s="462"/>
      <c r="HNM3000" s="299"/>
      <c r="HNN3000" s="81"/>
      <c r="HNO3000" s="160"/>
      <c r="HNP3000" s="568"/>
      <c r="HNQ3000" s="125"/>
      <c r="HNR3000" s="470"/>
      <c r="HNS3000" s="449"/>
      <c r="HNT3000" s="462"/>
      <c r="HNU3000" s="299"/>
      <c r="HNV3000" s="81"/>
      <c r="HNW3000" s="160"/>
      <c r="HNX3000" s="568"/>
      <c r="HNY3000" s="125"/>
      <c r="HNZ3000" s="470"/>
      <c r="HOA3000" s="449"/>
      <c r="HOB3000" s="462"/>
      <c r="HOC3000" s="299"/>
      <c r="HOD3000" s="81"/>
      <c r="HOE3000" s="160"/>
      <c r="HOF3000" s="568"/>
      <c r="HOG3000" s="125"/>
      <c r="HOH3000" s="470"/>
      <c r="HOI3000" s="449"/>
      <c r="HOJ3000" s="462"/>
      <c r="HOK3000" s="299"/>
      <c r="HOL3000" s="81"/>
      <c r="HOM3000" s="160"/>
      <c r="HON3000" s="568"/>
      <c r="HOO3000" s="125"/>
      <c r="HOP3000" s="470"/>
      <c r="HOQ3000" s="449"/>
      <c r="HOR3000" s="462"/>
      <c r="HOS3000" s="299"/>
      <c r="HOT3000" s="81"/>
      <c r="HOU3000" s="160"/>
      <c r="HOV3000" s="568"/>
      <c r="HOW3000" s="125"/>
      <c r="HOX3000" s="470"/>
      <c r="HOY3000" s="449"/>
      <c r="HOZ3000" s="462"/>
      <c r="HPA3000" s="299"/>
      <c r="HPB3000" s="81"/>
      <c r="HPC3000" s="160"/>
      <c r="HPD3000" s="568"/>
      <c r="HPE3000" s="125"/>
      <c r="HPF3000" s="470"/>
      <c r="HPG3000" s="449"/>
      <c r="HPH3000" s="462"/>
      <c r="HPI3000" s="299"/>
      <c r="HPJ3000" s="81"/>
      <c r="HPK3000" s="160"/>
      <c r="HPL3000" s="568"/>
      <c r="HPM3000" s="125"/>
      <c r="HPN3000" s="470"/>
      <c r="HPO3000" s="449"/>
      <c r="HPP3000" s="462"/>
      <c r="HPQ3000" s="299"/>
      <c r="HPR3000" s="81"/>
      <c r="HPS3000" s="160"/>
      <c r="HPT3000" s="568"/>
      <c r="HPU3000" s="125"/>
      <c r="HPV3000" s="470"/>
      <c r="HPW3000" s="449"/>
      <c r="HPX3000" s="462"/>
      <c r="HPY3000" s="299"/>
      <c r="HPZ3000" s="81"/>
      <c r="HQA3000" s="160"/>
      <c r="HQB3000" s="568"/>
      <c r="HQC3000" s="125"/>
      <c r="HQD3000" s="470"/>
      <c r="HQE3000" s="449"/>
      <c r="HQF3000" s="462"/>
      <c r="HQG3000" s="299"/>
      <c r="HQH3000" s="81"/>
      <c r="HQI3000" s="160"/>
      <c r="HQJ3000" s="568"/>
      <c r="HQK3000" s="125"/>
      <c r="HQL3000" s="470"/>
      <c r="HQM3000" s="449"/>
      <c r="HQN3000" s="462"/>
      <c r="HQO3000" s="299"/>
      <c r="HQP3000" s="81"/>
      <c r="HQQ3000" s="160"/>
      <c r="HQR3000" s="568"/>
      <c r="HQS3000" s="125"/>
      <c r="HQT3000" s="470"/>
      <c r="HQU3000" s="449"/>
      <c r="HQV3000" s="462"/>
      <c r="HQW3000" s="299"/>
      <c r="HQX3000" s="81"/>
      <c r="HQY3000" s="160"/>
      <c r="HQZ3000" s="568"/>
      <c r="HRA3000" s="125"/>
      <c r="HRB3000" s="470"/>
      <c r="HRC3000" s="449"/>
      <c r="HRD3000" s="462"/>
      <c r="HRE3000" s="299"/>
      <c r="HRF3000" s="81"/>
      <c r="HRG3000" s="160"/>
      <c r="HRH3000" s="568"/>
      <c r="HRI3000" s="125"/>
      <c r="HRJ3000" s="470"/>
      <c r="HRK3000" s="449"/>
      <c r="HRL3000" s="462"/>
      <c r="HRM3000" s="299"/>
      <c r="HRN3000" s="81"/>
      <c r="HRO3000" s="160"/>
      <c r="HRP3000" s="568"/>
      <c r="HRQ3000" s="125"/>
      <c r="HRR3000" s="470"/>
      <c r="HRS3000" s="449"/>
      <c r="HRT3000" s="462"/>
      <c r="HRU3000" s="299"/>
      <c r="HRV3000" s="81"/>
      <c r="HRW3000" s="160"/>
      <c r="HRX3000" s="568"/>
      <c r="HRY3000" s="125"/>
      <c r="HRZ3000" s="470"/>
      <c r="HSA3000" s="449"/>
      <c r="HSB3000" s="462"/>
      <c r="HSC3000" s="299"/>
      <c r="HSD3000" s="81"/>
      <c r="HSE3000" s="160"/>
      <c r="HSF3000" s="568"/>
      <c r="HSG3000" s="125"/>
      <c r="HSH3000" s="470"/>
      <c r="HSI3000" s="449"/>
      <c r="HSJ3000" s="462"/>
      <c r="HSK3000" s="299"/>
      <c r="HSL3000" s="81"/>
      <c r="HSM3000" s="160"/>
      <c r="HSN3000" s="568"/>
      <c r="HSO3000" s="125"/>
      <c r="HSP3000" s="470"/>
      <c r="HSQ3000" s="449"/>
      <c r="HSR3000" s="462"/>
      <c r="HSS3000" s="299"/>
      <c r="HST3000" s="81"/>
      <c r="HSU3000" s="160"/>
      <c r="HSV3000" s="568"/>
      <c r="HSW3000" s="125"/>
      <c r="HSX3000" s="470"/>
      <c r="HSY3000" s="449"/>
      <c r="HSZ3000" s="462"/>
      <c r="HTA3000" s="299"/>
      <c r="HTB3000" s="81"/>
      <c r="HTC3000" s="160"/>
      <c r="HTD3000" s="568"/>
      <c r="HTE3000" s="125"/>
      <c r="HTF3000" s="470"/>
      <c r="HTG3000" s="449"/>
      <c r="HTH3000" s="462"/>
      <c r="HTI3000" s="299"/>
      <c r="HTJ3000" s="81"/>
      <c r="HTK3000" s="160"/>
      <c r="HTL3000" s="568"/>
      <c r="HTM3000" s="125"/>
      <c r="HTN3000" s="470"/>
      <c r="HTO3000" s="449"/>
      <c r="HTP3000" s="462"/>
      <c r="HTQ3000" s="299"/>
      <c r="HTR3000" s="81"/>
      <c r="HTS3000" s="160"/>
      <c r="HTT3000" s="568"/>
      <c r="HTU3000" s="125"/>
      <c r="HTV3000" s="470"/>
      <c r="HTW3000" s="449"/>
      <c r="HTX3000" s="462"/>
      <c r="HTY3000" s="299"/>
      <c r="HTZ3000" s="81"/>
      <c r="HUA3000" s="160"/>
      <c r="HUB3000" s="568"/>
      <c r="HUC3000" s="125"/>
      <c r="HUD3000" s="470"/>
      <c r="HUE3000" s="449"/>
      <c r="HUF3000" s="462"/>
      <c r="HUG3000" s="299"/>
      <c r="HUH3000" s="81"/>
      <c r="HUI3000" s="160"/>
      <c r="HUJ3000" s="568"/>
      <c r="HUK3000" s="125"/>
      <c r="HUL3000" s="470"/>
      <c r="HUM3000" s="449"/>
      <c r="HUN3000" s="462"/>
      <c r="HUO3000" s="299"/>
      <c r="HUP3000" s="81"/>
      <c r="HUQ3000" s="160"/>
      <c r="HUR3000" s="568"/>
      <c r="HUS3000" s="125"/>
      <c r="HUT3000" s="470"/>
      <c r="HUU3000" s="449"/>
      <c r="HUV3000" s="462"/>
      <c r="HUW3000" s="299"/>
      <c r="HUX3000" s="81"/>
      <c r="HUY3000" s="160"/>
      <c r="HUZ3000" s="568"/>
      <c r="HVA3000" s="125"/>
      <c r="HVB3000" s="470"/>
      <c r="HVC3000" s="449"/>
      <c r="HVD3000" s="462"/>
      <c r="HVE3000" s="299"/>
      <c r="HVF3000" s="81"/>
      <c r="HVG3000" s="160"/>
      <c r="HVH3000" s="568"/>
      <c r="HVI3000" s="125"/>
      <c r="HVJ3000" s="470"/>
      <c r="HVK3000" s="449"/>
      <c r="HVL3000" s="462"/>
      <c r="HVM3000" s="299"/>
      <c r="HVN3000" s="81"/>
      <c r="HVO3000" s="160"/>
      <c r="HVP3000" s="568"/>
      <c r="HVQ3000" s="125"/>
      <c r="HVR3000" s="470"/>
      <c r="HVS3000" s="449"/>
      <c r="HVT3000" s="462"/>
      <c r="HVU3000" s="299"/>
      <c r="HVV3000" s="81"/>
      <c r="HVW3000" s="160"/>
      <c r="HVX3000" s="568"/>
      <c r="HVY3000" s="125"/>
      <c r="HVZ3000" s="470"/>
      <c r="HWA3000" s="449"/>
      <c r="HWB3000" s="462"/>
      <c r="HWC3000" s="299"/>
      <c r="HWD3000" s="81"/>
      <c r="HWE3000" s="160"/>
      <c r="HWF3000" s="568"/>
      <c r="HWG3000" s="125"/>
      <c r="HWH3000" s="470"/>
      <c r="HWI3000" s="449"/>
      <c r="HWJ3000" s="462"/>
      <c r="HWK3000" s="299"/>
      <c r="HWL3000" s="81"/>
      <c r="HWM3000" s="160"/>
      <c r="HWN3000" s="568"/>
      <c r="HWO3000" s="125"/>
      <c r="HWP3000" s="470"/>
      <c r="HWQ3000" s="449"/>
      <c r="HWR3000" s="462"/>
      <c r="HWS3000" s="299"/>
      <c r="HWT3000" s="81"/>
      <c r="HWU3000" s="160"/>
      <c r="HWV3000" s="568"/>
      <c r="HWW3000" s="125"/>
      <c r="HWX3000" s="470"/>
      <c r="HWY3000" s="449"/>
      <c r="HWZ3000" s="462"/>
      <c r="HXA3000" s="299"/>
      <c r="HXB3000" s="81"/>
      <c r="HXC3000" s="160"/>
      <c r="HXD3000" s="568"/>
      <c r="HXE3000" s="125"/>
      <c r="HXF3000" s="470"/>
      <c r="HXG3000" s="449"/>
      <c r="HXH3000" s="462"/>
      <c r="HXI3000" s="299"/>
      <c r="HXJ3000" s="81"/>
      <c r="HXK3000" s="160"/>
      <c r="HXL3000" s="568"/>
      <c r="HXM3000" s="125"/>
      <c r="HXN3000" s="470"/>
      <c r="HXO3000" s="449"/>
      <c r="HXP3000" s="462"/>
      <c r="HXQ3000" s="299"/>
      <c r="HXR3000" s="81"/>
      <c r="HXS3000" s="160"/>
      <c r="HXT3000" s="568"/>
      <c r="HXU3000" s="125"/>
      <c r="HXV3000" s="470"/>
      <c r="HXW3000" s="449"/>
      <c r="HXX3000" s="462"/>
      <c r="HXY3000" s="299"/>
      <c r="HXZ3000" s="81"/>
      <c r="HYA3000" s="160"/>
      <c r="HYB3000" s="568"/>
      <c r="HYC3000" s="125"/>
      <c r="HYD3000" s="470"/>
      <c r="HYE3000" s="449"/>
      <c r="HYF3000" s="462"/>
      <c r="HYG3000" s="299"/>
      <c r="HYH3000" s="81"/>
      <c r="HYI3000" s="160"/>
      <c r="HYJ3000" s="568"/>
      <c r="HYK3000" s="125"/>
      <c r="HYL3000" s="470"/>
      <c r="HYM3000" s="449"/>
      <c r="HYN3000" s="462"/>
      <c r="HYO3000" s="299"/>
      <c r="HYP3000" s="81"/>
      <c r="HYQ3000" s="160"/>
      <c r="HYR3000" s="568"/>
      <c r="HYS3000" s="125"/>
      <c r="HYT3000" s="470"/>
      <c r="HYU3000" s="449"/>
      <c r="HYV3000" s="462"/>
      <c r="HYW3000" s="299"/>
      <c r="HYX3000" s="81"/>
      <c r="HYY3000" s="160"/>
      <c r="HYZ3000" s="568"/>
      <c r="HZA3000" s="125"/>
      <c r="HZB3000" s="470"/>
      <c r="HZC3000" s="449"/>
      <c r="HZD3000" s="462"/>
      <c r="HZE3000" s="299"/>
      <c r="HZF3000" s="81"/>
      <c r="HZG3000" s="160"/>
      <c r="HZH3000" s="568"/>
      <c r="HZI3000" s="125"/>
      <c r="HZJ3000" s="470"/>
      <c r="HZK3000" s="449"/>
      <c r="HZL3000" s="462"/>
      <c r="HZM3000" s="299"/>
      <c r="HZN3000" s="81"/>
      <c r="HZO3000" s="160"/>
      <c r="HZP3000" s="568"/>
      <c r="HZQ3000" s="125"/>
      <c r="HZR3000" s="470"/>
      <c r="HZS3000" s="449"/>
      <c r="HZT3000" s="462"/>
      <c r="HZU3000" s="299"/>
      <c r="HZV3000" s="81"/>
      <c r="HZW3000" s="160"/>
      <c r="HZX3000" s="568"/>
      <c r="HZY3000" s="125"/>
      <c r="HZZ3000" s="470"/>
      <c r="IAA3000" s="449"/>
      <c r="IAB3000" s="462"/>
      <c r="IAC3000" s="299"/>
      <c r="IAD3000" s="81"/>
      <c r="IAE3000" s="160"/>
      <c r="IAF3000" s="568"/>
      <c r="IAG3000" s="125"/>
      <c r="IAH3000" s="470"/>
      <c r="IAI3000" s="449"/>
      <c r="IAJ3000" s="462"/>
      <c r="IAK3000" s="299"/>
      <c r="IAL3000" s="81"/>
      <c r="IAM3000" s="160"/>
      <c r="IAN3000" s="568"/>
      <c r="IAO3000" s="125"/>
      <c r="IAP3000" s="470"/>
      <c r="IAQ3000" s="449"/>
      <c r="IAR3000" s="462"/>
      <c r="IAS3000" s="299"/>
      <c r="IAT3000" s="81"/>
      <c r="IAU3000" s="160"/>
      <c r="IAV3000" s="568"/>
      <c r="IAW3000" s="125"/>
      <c r="IAX3000" s="470"/>
      <c r="IAY3000" s="449"/>
      <c r="IAZ3000" s="462"/>
      <c r="IBA3000" s="299"/>
      <c r="IBB3000" s="81"/>
      <c r="IBC3000" s="160"/>
      <c r="IBD3000" s="568"/>
      <c r="IBE3000" s="125"/>
      <c r="IBF3000" s="470"/>
      <c r="IBG3000" s="449"/>
      <c r="IBH3000" s="462"/>
      <c r="IBI3000" s="299"/>
      <c r="IBJ3000" s="81"/>
      <c r="IBK3000" s="160"/>
      <c r="IBL3000" s="568"/>
      <c r="IBM3000" s="125"/>
      <c r="IBN3000" s="470"/>
      <c r="IBO3000" s="449"/>
      <c r="IBP3000" s="462"/>
      <c r="IBQ3000" s="299"/>
      <c r="IBR3000" s="81"/>
      <c r="IBS3000" s="160"/>
      <c r="IBT3000" s="568"/>
      <c r="IBU3000" s="125"/>
      <c r="IBV3000" s="470"/>
      <c r="IBW3000" s="449"/>
      <c r="IBX3000" s="462"/>
      <c r="IBY3000" s="299"/>
      <c r="IBZ3000" s="81"/>
      <c r="ICA3000" s="160"/>
      <c r="ICB3000" s="568"/>
      <c r="ICC3000" s="125"/>
      <c r="ICD3000" s="470"/>
      <c r="ICE3000" s="449"/>
      <c r="ICF3000" s="462"/>
      <c r="ICG3000" s="299"/>
      <c r="ICH3000" s="81"/>
      <c r="ICI3000" s="160"/>
      <c r="ICJ3000" s="568"/>
      <c r="ICK3000" s="125"/>
      <c r="ICL3000" s="470"/>
      <c r="ICM3000" s="449"/>
      <c r="ICN3000" s="462"/>
      <c r="ICO3000" s="299"/>
      <c r="ICP3000" s="81"/>
      <c r="ICQ3000" s="160"/>
      <c r="ICR3000" s="568"/>
      <c r="ICS3000" s="125"/>
      <c r="ICT3000" s="470"/>
      <c r="ICU3000" s="449"/>
      <c r="ICV3000" s="462"/>
      <c r="ICW3000" s="299"/>
      <c r="ICX3000" s="81"/>
      <c r="ICY3000" s="160"/>
      <c r="ICZ3000" s="568"/>
      <c r="IDA3000" s="125"/>
      <c r="IDB3000" s="470"/>
      <c r="IDC3000" s="449"/>
      <c r="IDD3000" s="462"/>
      <c r="IDE3000" s="299"/>
      <c r="IDF3000" s="81"/>
      <c r="IDG3000" s="160"/>
      <c r="IDH3000" s="568"/>
      <c r="IDI3000" s="125"/>
      <c r="IDJ3000" s="470"/>
      <c r="IDK3000" s="449"/>
      <c r="IDL3000" s="462"/>
      <c r="IDM3000" s="299"/>
      <c r="IDN3000" s="81"/>
      <c r="IDO3000" s="160"/>
      <c r="IDP3000" s="568"/>
      <c r="IDQ3000" s="125"/>
      <c r="IDR3000" s="470"/>
      <c r="IDS3000" s="449"/>
      <c r="IDT3000" s="462"/>
      <c r="IDU3000" s="299"/>
      <c r="IDV3000" s="81"/>
      <c r="IDW3000" s="160"/>
      <c r="IDX3000" s="568"/>
      <c r="IDY3000" s="125"/>
      <c r="IDZ3000" s="470"/>
      <c r="IEA3000" s="449"/>
      <c r="IEB3000" s="462"/>
      <c r="IEC3000" s="299"/>
      <c r="IED3000" s="81"/>
      <c r="IEE3000" s="160"/>
      <c r="IEF3000" s="568"/>
      <c r="IEG3000" s="125"/>
      <c r="IEH3000" s="470"/>
      <c r="IEI3000" s="449"/>
      <c r="IEJ3000" s="462"/>
      <c r="IEK3000" s="299"/>
      <c r="IEL3000" s="81"/>
      <c r="IEM3000" s="160"/>
      <c r="IEN3000" s="568"/>
      <c r="IEO3000" s="125"/>
      <c r="IEP3000" s="470"/>
      <c r="IEQ3000" s="449"/>
      <c r="IER3000" s="462"/>
      <c r="IES3000" s="299"/>
      <c r="IET3000" s="81"/>
      <c r="IEU3000" s="160"/>
      <c r="IEV3000" s="568"/>
      <c r="IEW3000" s="125"/>
      <c r="IEX3000" s="470"/>
      <c r="IEY3000" s="449"/>
      <c r="IEZ3000" s="462"/>
      <c r="IFA3000" s="299"/>
      <c r="IFB3000" s="81"/>
      <c r="IFC3000" s="160"/>
      <c r="IFD3000" s="568"/>
      <c r="IFE3000" s="125"/>
      <c r="IFF3000" s="470"/>
      <c r="IFG3000" s="449"/>
      <c r="IFH3000" s="462"/>
      <c r="IFI3000" s="299"/>
      <c r="IFJ3000" s="81"/>
      <c r="IFK3000" s="160"/>
      <c r="IFL3000" s="568"/>
      <c r="IFM3000" s="125"/>
      <c r="IFN3000" s="470"/>
      <c r="IFO3000" s="449"/>
      <c r="IFP3000" s="462"/>
      <c r="IFQ3000" s="299"/>
      <c r="IFR3000" s="81"/>
      <c r="IFS3000" s="160"/>
      <c r="IFT3000" s="568"/>
      <c r="IFU3000" s="125"/>
      <c r="IFV3000" s="470"/>
      <c r="IFW3000" s="449"/>
      <c r="IFX3000" s="462"/>
      <c r="IFY3000" s="299"/>
      <c r="IFZ3000" s="81"/>
      <c r="IGA3000" s="160"/>
      <c r="IGB3000" s="568"/>
      <c r="IGC3000" s="125"/>
      <c r="IGD3000" s="470"/>
      <c r="IGE3000" s="449"/>
      <c r="IGF3000" s="462"/>
      <c r="IGG3000" s="299"/>
      <c r="IGH3000" s="81"/>
      <c r="IGI3000" s="160"/>
      <c r="IGJ3000" s="568"/>
      <c r="IGK3000" s="125"/>
      <c r="IGL3000" s="470"/>
      <c r="IGM3000" s="449"/>
      <c r="IGN3000" s="462"/>
      <c r="IGO3000" s="299"/>
      <c r="IGP3000" s="81"/>
      <c r="IGQ3000" s="160"/>
      <c r="IGR3000" s="568"/>
      <c r="IGS3000" s="125"/>
      <c r="IGT3000" s="470"/>
      <c r="IGU3000" s="449"/>
      <c r="IGV3000" s="462"/>
      <c r="IGW3000" s="299"/>
      <c r="IGX3000" s="81"/>
      <c r="IGY3000" s="160"/>
      <c r="IGZ3000" s="568"/>
      <c r="IHA3000" s="125"/>
      <c r="IHB3000" s="470"/>
      <c r="IHC3000" s="449"/>
      <c r="IHD3000" s="462"/>
      <c r="IHE3000" s="299"/>
      <c r="IHF3000" s="81"/>
      <c r="IHG3000" s="160"/>
      <c r="IHH3000" s="568"/>
      <c r="IHI3000" s="125"/>
      <c r="IHJ3000" s="470"/>
      <c r="IHK3000" s="449"/>
      <c r="IHL3000" s="462"/>
      <c r="IHM3000" s="299"/>
      <c r="IHN3000" s="81"/>
      <c r="IHO3000" s="160"/>
      <c r="IHP3000" s="568"/>
      <c r="IHQ3000" s="125"/>
      <c r="IHR3000" s="470"/>
      <c r="IHS3000" s="449"/>
      <c r="IHT3000" s="462"/>
      <c r="IHU3000" s="299"/>
      <c r="IHV3000" s="81"/>
      <c r="IHW3000" s="160"/>
      <c r="IHX3000" s="568"/>
      <c r="IHY3000" s="125"/>
      <c r="IHZ3000" s="470"/>
      <c r="IIA3000" s="449"/>
      <c r="IIB3000" s="462"/>
      <c r="IIC3000" s="299"/>
      <c r="IID3000" s="81"/>
      <c r="IIE3000" s="160"/>
      <c r="IIF3000" s="568"/>
      <c r="IIG3000" s="125"/>
      <c r="IIH3000" s="470"/>
      <c r="III3000" s="449"/>
      <c r="IIJ3000" s="462"/>
      <c r="IIK3000" s="299"/>
      <c r="IIL3000" s="81"/>
      <c r="IIM3000" s="160"/>
      <c r="IIN3000" s="568"/>
      <c r="IIO3000" s="125"/>
      <c r="IIP3000" s="470"/>
      <c r="IIQ3000" s="449"/>
      <c r="IIR3000" s="462"/>
      <c r="IIS3000" s="299"/>
      <c r="IIT3000" s="81"/>
      <c r="IIU3000" s="160"/>
      <c r="IIV3000" s="568"/>
      <c r="IIW3000" s="125"/>
      <c r="IIX3000" s="470"/>
      <c r="IIY3000" s="449"/>
      <c r="IIZ3000" s="462"/>
      <c r="IJA3000" s="299"/>
      <c r="IJB3000" s="81"/>
      <c r="IJC3000" s="160"/>
      <c r="IJD3000" s="568"/>
      <c r="IJE3000" s="125"/>
      <c r="IJF3000" s="470"/>
      <c r="IJG3000" s="449"/>
      <c r="IJH3000" s="462"/>
      <c r="IJI3000" s="299"/>
      <c r="IJJ3000" s="81"/>
      <c r="IJK3000" s="160"/>
      <c r="IJL3000" s="568"/>
      <c r="IJM3000" s="125"/>
      <c r="IJN3000" s="470"/>
      <c r="IJO3000" s="449"/>
      <c r="IJP3000" s="462"/>
      <c r="IJQ3000" s="299"/>
      <c r="IJR3000" s="81"/>
      <c r="IJS3000" s="160"/>
      <c r="IJT3000" s="568"/>
      <c r="IJU3000" s="125"/>
      <c r="IJV3000" s="470"/>
      <c r="IJW3000" s="449"/>
      <c r="IJX3000" s="462"/>
      <c r="IJY3000" s="299"/>
      <c r="IJZ3000" s="81"/>
      <c r="IKA3000" s="160"/>
      <c r="IKB3000" s="568"/>
      <c r="IKC3000" s="125"/>
      <c r="IKD3000" s="470"/>
      <c r="IKE3000" s="449"/>
      <c r="IKF3000" s="462"/>
      <c r="IKG3000" s="299"/>
      <c r="IKH3000" s="81"/>
      <c r="IKI3000" s="160"/>
      <c r="IKJ3000" s="568"/>
      <c r="IKK3000" s="125"/>
      <c r="IKL3000" s="470"/>
      <c r="IKM3000" s="449"/>
      <c r="IKN3000" s="462"/>
      <c r="IKO3000" s="299"/>
      <c r="IKP3000" s="81"/>
      <c r="IKQ3000" s="160"/>
      <c r="IKR3000" s="568"/>
      <c r="IKS3000" s="125"/>
      <c r="IKT3000" s="470"/>
      <c r="IKU3000" s="449"/>
      <c r="IKV3000" s="462"/>
      <c r="IKW3000" s="299"/>
      <c r="IKX3000" s="81"/>
      <c r="IKY3000" s="160"/>
      <c r="IKZ3000" s="568"/>
      <c r="ILA3000" s="125"/>
      <c r="ILB3000" s="470"/>
      <c r="ILC3000" s="449"/>
      <c r="ILD3000" s="462"/>
      <c r="ILE3000" s="299"/>
      <c r="ILF3000" s="81"/>
      <c r="ILG3000" s="160"/>
      <c r="ILH3000" s="568"/>
      <c r="ILI3000" s="125"/>
      <c r="ILJ3000" s="470"/>
      <c r="ILK3000" s="449"/>
      <c r="ILL3000" s="462"/>
      <c r="ILM3000" s="299"/>
      <c r="ILN3000" s="81"/>
      <c r="ILO3000" s="160"/>
      <c r="ILP3000" s="568"/>
      <c r="ILQ3000" s="125"/>
      <c r="ILR3000" s="470"/>
      <c r="ILS3000" s="449"/>
      <c r="ILT3000" s="462"/>
      <c r="ILU3000" s="299"/>
      <c r="ILV3000" s="81"/>
      <c r="ILW3000" s="160"/>
      <c r="ILX3000" s="568"/>
      <c r="ILY3000" s="125"/>
      <c r="ILZ3000" s="470"/>
      <c r="IMA3000" s="449"/>
      <c r="IMB3000" s="462"/>
      <c r="IMC3000" s="299"/>
      <c r="IMD3000" s="81"/>
      <c r="IME3000" s="160"/>
      <c r="IMF3000" s="568"/>
      <c r="IMG3000" s="125"/>
      <c r="IMH3000" s="470"/>
      <c r="IMI3000" s="449"/>
      <c r="IMJ3000" s="462"/>
      <c r="IMK3000" s="299"/>
      <c r="IML3000" s="81"/>
      <c r="IMM3000" s="160"/>
      <c r="IMN3000" s="568"/>
      <c r="IMO3000" s="125"/>
      <c r="IMP3000" s="470"/>
      <c r="IMQ3000" s="449"/>
      <c r="IMR3000" s="462"/>
      <c r="IMS3000" s="299"/>
      <c r="IMT3000" s="81"/>
      <c r="IMU3000" s="160"/>
      <c r="IMV3000" s="568"/>
      <c r="IMW3000" s="125"/>
      <c r="IMX3000" s="470"/>
      <c r="IMY3000" s="449"/>
      <c r="IMZ3000" s="462"/>
      <c r="INA3000" s="299"/>
      <c r="INB3000" s="81"/>
      <c r="INC3000" s="160"/>
      <c r="IND3000" s="568"/>
      <c r="INE3000" s="125"/>
      <c r="INF3000" s="470"/>
      <c r="ING3000" s="449"/>
      <c r="INH3000" s="462"/>
      <c r="INI3000" s="299"/>
      <c r="INJ3000" s="81"/>
      <c r="INK3000" s="160"/>
      <c r="INL3000" s="568"/>
      <c r="INM3000" s="125"/>
      <c r="INN3000" s="470"/>
      <c r="INO3000" s="449"/>
      <c r="INP3000" s="462"/>
      <c r="INQ3000" s="299"/>
      <c r="INR3000" s="81"/>
      <c r="INS3000" s="160"/>
      <c r="INT3000" s="568"/>
      <c r="INU3000" s="125"/>
      <c r="INV3000" s="470"/>
      <c r="INW3000" s="449"/>
      <c r="INX3000" s="462"/>
      <c r="INY3000" s="299"/>
      <c r="INZ3000" s="81"/>
      <c r="IOA3000" s="160"/>
      <c r="IOB3000" s="568"/>
      <c r="IOC3000" s="125"/>
      <c r="IOD3000" s="470"/>
      <c r="IOE3000" s="449"/>
      <c r="IOF3000" s="462"/>
      <c r="IOG3000" s="299"/>
      <c r="IOH3000" s="81"/>
      <c r="IOI3000" s="160"/>
      <c r="IOJ3000" s="568"/>
      <c r="IOK3000" s="125"/>
      <c r="IOL3000" s="470"/>
      <c r="IOM3000" s="449"/>
      <c r="ION3000" s="462"/>
      <c r="IOO3000" s="299"/>
      <c r="IOP3000" s="81"/>
      <c r="IOQ3000" s="160"/>
      <c r="IOR3000" s="568"/>
      <c r="IOS3000" s="125"/>
      <c r="IOT3000" s="470"/>
      <c r="IOU3000" s="449"/>
      <c r="IOV3000" s="462"/>
      <c r="IOW3000" s="299"/>
      <c r="IOX3000" s="81"/>
      <c r="IOY3000" s="160"/>
      <c r="IOZ3000" s="568"/>
      <c r="IPA3000" s="125"/>
      <c r="IPB3000" s="470"/>
      <c r="IPC3000" s="449"/>
      <c r="IPD3000" s="462"/>
      <c r="IPE3000" s="299"/>
      <c r="IPF3000" s="81"/>
      <c r="IPG3000" s="160"/>
      <c r="IPH3000" s="568"/>
      <c r="IPI3000" s="125"/>
      <c r="IPJ3000" s="470"/>
      <c r="IPK3000" s="449"/>
      <c r="IPL3000" s="462"/>
      <c r="IPM3000" s="299"/>
      <c r="IPN3000" s="81"/>
      <c r="IPO3000" s="160"/>
      <c r="IPP3000" s="568"/>
      <c r="IPQ3000" s="125"/>
      <c r="IPR3000" s="470"/>
      <c r="IPS3000" s="449"/>
      <c r="IPT3000" s="462"/>
      <c r="IPU3000" s="299"/>
      <c r="IPV3000" s="81"/>
      <c r="IPW3000" s="160"/>
      <c r="IPX3000" s="568"/>
      <c r="IPY3000" s="125"/>
      <c r="IPZ3000" s="470"/>
      <c r="IQA3000" s="449"/>
      <c r="IQB3000" s="462"/>
      <c r="IQC3000" s="299"/>
      <c r="IQD3000" s="81"/>
      <c r="IQE3000" s="160"/>
      <c r="IQF3000" s="568"/>
      <c r="IQG3000" s="125"/>
      <c r="IQH3000" s="470"/>
      <c r="IQI3000" s="449"/>
      <c r="IQJ3000" s="462"/>
      <c r="IQK3000" s="299"/>
      <c r="IQL3000" s="81"/>
      <c r="IQM3000" s="160"/>
      <c r="IQN3000" s="568"/>
      <c r="IQO3000" s="125"/>
      <c r="IQP3000" s="470"/>
      <c r="IQQ3000" s="449"/>
      <c r="IQR3000" s="462"/>
      <c r="IQS3000" s="299"/>
      <c r="IQT3000" s="81"/>
      <c r="IQU3000" s="160"/>
      <c r="IQV3000" s="568"/>
      <c r="IQW3000" s="125"/>
      <c r="IQX3000" s="470"/>
      <c r="IQY3000" s="449"/>
      <c r="IQZ3000" s="462"/>
      <c r="IRA3000" s="299"/>
      <c r="IRB3000" s="81"/>
      <c r="IRC3000" s="160"/>
      <c r="IRD3000" s="568"/>
      <c r="IRE3000" s="125"/>
      <c r="IRF3000" s="470"/>
      <c r="IRG3000" s="449"/>
      <c r="IRH3000" s="462"/>
      <c r="IRI3000" s="299"/>
      <c r="IRJ3000" s="81"/>
      <c r="IRK3000" s="160"/>
      <c r="IRL3000" s="568"/>
      <c r="IRM3000" s="125"/>
      <c r="IRN3000" s="470"/>
      <c r="IRO3000" s="449"/>
      <c r="IRP3000" s="462"/>
      <c r="IRQ3000" s="299"/>
      <c r="IRR3000" s="81"/>
      <c r="IRS3000" s="160"/>
      <c r="IRT3000" s="568"/>
      <c r="IRU3000" s="125"/>
      <c r="IRV3000" s="470"/>
      <c r="IRW3000" s="449"/>
      <c r="IRX3000" s="462"/>
      <c r="IRY3000" s="299"/>
      <c r="IRZ3000" s="81"/>
      <c r="ISA3000" s="160"/>
      <c r="ISB3000" s="568"/>
      <c r="ISC3000" s="125"/>
      <c r="ISD3000" s="470"/>
      <c r="ISE3000" s="449"/>
      <c r="ISF3000" s="462"/>
      <c r="ISG3000" s="299"/>
      <c r="ISH3000" s="81"/>
      <c r="ISI3000" s="160"/>
      <c r="ISJ3000" s="568"/>
      <c r="ISK3000" s="125"/>
      <c r="ISL3000" s="470"/>
      <c r="ISM3000" s="449"/>
      <c r="ISN3000" s="462"/>
      <c r="ISO3000" s="299"/>
      <c r="ISP3000" s="81"/>
      <c r="ISQ3000" s="160"/>
      <c r="ISR3000" s="568"/>
      <c r="ISS3000" s="125"/>
      <c r="IST3000" s="470"/>
      <c r="ISU3000" s="449"/>
      <c r="ISV3000" s="462"/>
      <c r="ISW3000" s="299"/>
      <c r="ISX3000" s="81"/>
      <c r="ISY3000" s="160"/>
      <c r="ISZ3000" s="568"/>
      <c r="ITA3000" s="125"/>
      <c r="ITB3000" s="470"/>
      <c r="ITC3000" s="449"/>
      <c r="ITD3000" s="462"/>
      <c r="ITE3000" s="299"/>
      <c r="ITF3000" s="81"/>
      <c r="ITG3000" s="160"/>
      <c r="ITH3000" s="568"/>
      <c r="ITI3000" s="125"/>
      <c r="ITJ3000" s="470"/>
      <c r="ITK3000" s="449"/>
      <c r="ITL3000" s="462"/>
      <c r="ITM3000" s="299"/>
      <c r="ITN3000" s="81"/>
      <c r="ITO3000" s="160"/>
      <c r="ITP3000" s="568"/>
      <c r="ITQ3000" s="125"/>
      <c r="ITR3000" s="470"/>
      <c r="ITS3000" s="449"/>
      <c r="ITT3000" s="462"/>
      <c r="ITU3000" s="299"/>
      <c r="ITV3000" s="81"/>
      <c r="ITW3000" s="160"/>
      <c r="ITX3000" s="568"/>
      <c r="ITY3000" s="125"/>
      <c r="ITZ3000" s="470"/>
      <c r="IUA3000" s="449"/>
      <c r="IUB3000" s="462"/>
      <c r="IUC3000" s="299"/>
      <c r="IUD3000" s="81"/>
      <c r="IUE3000" s="160"/>
      <c r="IUF3000" s="568"/>
      <c r="IUG3000" s="125"/>
      <c r="IUH3000" s="470"/>
      <c r="IUI3000" s="449"/>
      <c r="IUJ3000" s="462"/>
      <c r="IUK3000" s="299"/>
      <c r="IUL3000" s="81"/>
      <c r="IUM3000" s="160"/>
      <c r="IUN3000" s="568"/>
      <c r="IUO3000" s="125"/>
      <c r="IUP3000" s="470"/>
      <c r="IUQ3000" s="449"/>
      <c r="IUR3000" s="462"/>
      <c r="IUS3000" s="299"/>
      <c r="IUT3000" s="81"/>
      <c r="IUU3000" s="160"/>
      <c r="IUV3000" s="568"/>
      <c r="IUW3000" s="125"/>
      <c r="IUX3000" s="470"/>
      <c r="IUY3000" s="449"/>
      <c r="IUZ3000" s="462"/>
      <c r="IVA3000" s="299"/>
      <c r="IVB3000" s="81"/>
      <c r="IVC3000" s="160"/>
      <c r="IVD3000" s="568"/>
      <c r="IVE3000" s="125"/>
      <c r="IVF3000" s="470"/>
      <c r="IVG3000" s="449"/>
      <c r="IVH3000" s="462"/>
      <c r="IVI3000" s="299"/>
      <c r="IVJ3000" s="81"/>
      <c r="IVK3000" s="160"/>
      <c r="IVL3000" s="568"/>
      <c r="IVM3000" s="125"/>
      <c r="IVN3000" s="470"/>
      <c r="IVO3000" s="449"/>
      <c r="IVP3000" s="462"/>
      <c r="IVQ3000" s="299"/>
      <c r="IVR3000" s="81"/>
      <c r="IVS3000" s="160"/>
      <c r="IVT3000" s="568"/>
      <c r="IVU3000" s="125"/>
      <c r="IVV3000" s="470"/>
      <c r="IVW3000" s="449"/>
      <c r="IVX3000" s="462"/>
      <c r="IVY3000" s="299"/>
      <c r="IVZ3000" s="81"/>
      <c r="IWA3000" s="160"/>
      <c r="IWB3000" s="568"/>
      <c r="IWC3000" s="125"/>
      <c r="IWD3000" s="470"/>
      <c r="IWE3000" s="449"/>
      <c r="IWF3000" s="462"/>
      <c r="IWG3000" s="299"/>
      <c r="IWH3000" s="81"/>
      <c r="IWI3000" s="160"/>
      <c r="IWJ3000" s="568"/>
      <c r="IWK3000" s="125"/>
      <c r="IWL3000" s="470"/>
      <c r="IWM3000" s="449"/>
      <c r="IWN3000" s="462"/>
      <c r="IWO3000" s="299"/>
      <c r="IWP3000" s="81"/>
      <c r="IWQ3000" s="160"/>
      <c r="IWR3000" s="568"/>
      <c r="IWS3000" s="125"/>
      <c r="IWT3000" s="470"/>
      <c r="IWU3000" s="449"/>
      <c r="IWV3000" s="462"/>
      <c r="IWW3000" s="299"/>
      <c r="IWX3000" s="81"/>
      <c r="IWY3000" s="160"/>
      <c r="IWZ3000" s="568"/>
      <c r="IXA3000" s="125"/>
      <c r="IXB3000" s="470"/>
      <c r="IXC3000" s="449"/>
      <c r="IXD3000" s="462"/>
      <c r="IXE3000" s="299"/>
      <c r="IXF3000" s="81"/>
      <c r="IXG3000" s="160"/>
      <c r="IXH3000" s="568"/>
      <c r="IXI3000" s="125"/>
      <c r="IXJ3000" s="470"/>
      <c r="IXK3000" s="449"/>
      <c r="IXL3000" s="462"/>
      <c r="IXM3000" s="299"/>
      <c r="IXN3000" s="81"/>
      <c r="IXO3000" s="160"/>
      <c r="IXP3000" s="568"/>
      <c r="IXQ3000" s="125"/>
      <c r="IXR3000" s="470"/>
      <c r="IXS3000" s="449"/>
      <c r="IXT3000" s="462"/>
      <c r="IXU3000" s="299"/>
      <c r="IXV3000" s="81"/>
      <c r="IXW3000" s="160"/>
      <c r="IXX3000" s="568"/>
      <c r="IXY3000" s="125"/>
      <c r="IXZ3000" s="470"/>
      <c r="IYA3000" s="449"/>
      <c r="IYB3000" s="462"/>
      <c r="IYC3000" s="299"/>
      <c r="IYD3000" s="81"/>
      <c r="IYE3000" s="160"/>
      <c r="IYF3000" s="568"/>
      <c r="IYG3000" s="125"/>
      <c r="IYH3000" s="470"/>
      <c r="IYI3000" s="449"/>
      <c r="IYJ3000" s="462"/>
      <c r="IYK3000" s="299"/>
      <c r="IYL3000" s="81"/>
      <c r="IYM3000" s="160"/>
      <c r="IYN3000" s="568"/>
      <c r="IYO3000" s="125"/>
      <c r="IYP3000" s="470"/>
      <c r="IYQ3000" s="449"/>
      <c r="IYR3000" s="462"/>
      <c r="IYS3000" s="299"/>
      <c r="IYT3000" s="81"/>
      <c r="IYU3000" s="160"/>
      <c r="IYV3000" s="568"/>
      <c r="IYW3000" s="125"/>
      <c r="IYX3000" s="470"/>
      <c r="IYY3000" s="449"/>
      <c r="IYZ3000" s="462"/>
      <c r="IZA3000" s="299"/>
      <c r="IZB3000" s="81"/>
      <c r="IZC3000" s="160"/>
      <c r="IZD3000" s="568"/>
      <c r="IZE3000" s="125"/>
      <c r="IZF3000" s="470"/>
      <c r="IZG3000" s="449"/>
      <c r="IZH3000" s="462"/>
      <c r="IZI3000" s="299"/>
      <c r="IZJ3000" s="81"/>
      <c r="IZK3000" s="160"/>
      <c r="IZL3000" s="568"/>
      <c r="IZM3000" s="125"/>
      <c r="IZN3000" s="470"/>
      <c r="IZO3000" s="449"/>
      <c r="IZP3000" s="462"/>
      <c r="IZQ3000" s="299"/>
      <c r="IZR3000" s="81"/>
      <c r="IZS3000" s="160"/>
      <c r="IZT3000" s="568"/>
      <c r="IZU3000" s="125"/>
      <c r="IZV3000" s="470"/>
      <c r="IZW3000" s="449"/>
      <c r="IZX3000" s="462"/>
      <c r="IZY3000" s="299"/>
      <c r="IZZ3000" s="81"/>
      <c r="JAA3000" s="160"/>
      <c r="JAB3000" s="568"/>
      <c r="JAC3000" s="125"/>
      <c r="JAD3000" s="470"/>
      <c r="JAE3000" s="449"/>
      <c r="JAF3000" s="462"/>
      <c r="JAG3000" s="299"/>
      <c r="JAH3000" s="81"/>
      <c r="JAI3000" s="160"/>
      <c r="JAJ3000" s="568"/>
      <c r="JAK3000" s="125"/>
      <c r="JAL3000" s="470"/>
      <c r="JAM3000" s="449"/>
      <c r="JAN3000" s="462"/>
      <c r="JAO3000" s="299"/>
      <c r="JAP3000" s="81"/>
      <c r="JAQ3000" s="160"/>
      <c r="JAR3000" s="568"/>
      <c r="JAS3000" s="125"/>
      <c r="JAT3000" s="470"/>
      <c r="JAU3000" s="449"/>
      <c r="JAV3000" s="462"/>
      <c r="JAW3000" s="299"/>
      <c r="JAX3000" s="81"/>
      <c r="JAY3000" s="160"/>
      <c r="JAZ3000" s="568"/>
      <c r="JBA3000" s="125"/>
      <c r="JBB3000" s="470"/>
      <c r="JBC3000" s="449"/>
      <c r="JBD3000" s="462"/>
      <c r="JBE3000" s="299"/>
      <c r="JBF3000" s="81"/>
      <c r="JBG3000" s="160"/>
      <c r="JBH3000" s="568"/>
      <c r="JBI3000" s="125"/>
      <c r="JBJ3000" s="470"/>
      <c r="JBK3000" s="449"/>
      <c r="JBL3000" s="462"/>
      <c r="JBM3000" s="299"/>
      <c r="JBN3000" s="81"/>
      <c r="JBO3000" s="160"/>
      <c r="JBP3000" s="568"/>
      <c r="JBQ3000" s="125"/>
      <c r="JBR3000" s="470"/>
      <c r="JBS3000" s="449"/>
      <c r="JBT3000" s="462"/>
      <c r="JBU3000" s="299"/>
      <c r="JBV3000" s="81"/>
      <c r="JBW3000" s="160"/>
      <c r="JBX3000" s="568"/>
      <c r="JBY3000" s="125"/>
      <c r="JBZ3000" s="470"/>
      <c r="JCA3000" s="449"/>
      <c r="JCB3000" s="462"/>
      <c r="JCC3000" s="299"/>
      <c r="JCD3000" s="81"/>
      <c r="JCE3000" s="160"/>
      <c r="JCF3000" s="568"/>
      <c r="JCG3000" s="125"/>
      <c r="JCH3000" s="470"/>
      <c r="JCI3000" s="449"/>
      <c r="JCJ3000" s="462"/>
      <c r="JCK3000" s="299"/>
      <c r="JCL3000" s="81"/>
      <c r="JCM3000" s="160"/>
      <c r="JCN3000" s="568"/>
      <c r="JCO3000" s="125"/>
      <c r="JCP3000" s="470"/>
      <c r="JCQ3000" s="449"/>
      <c r="JCR3000" s="462"/>
      <c r="JCS3000" s="299"/>
      <c r="JCT3000" s="81"/>
      <c r="JCU3000" s="160"/>
      <c r="JCV3000" s="568"/>
      <c r="JCW3000" s="125"/>
      <c r="JCX3000" s="470"/>
      <c r="JCY3000" s="449"/>
      <c r="JCZ3000" s="462"/>
      <c r="JDA3000" s="299"/>
      <c r="JDB3000" s="81"/>
      <c r="JDC3000" s="160"/>
      <c r="JDD3000" s="568"/>
      <c r="JDE3000" s="125"/>
      <c r="JDF3000" s="470"/>
      <c r="JDG3000" s="449"/>
      <c r="JDH3000" s="462"/>
      <c r="JDI3000" s="299"/>
      <c r="JDJ3000" s="81"/>
      <c r="JDK3000" s="160"/>
      <c r="JDL3000" s="568"/>
      <c r="JDM3000" s="125"/>
      <c r="JDN3000" s="470"/>
      <c r="JDO3000" s="449"/>
      <c r="JDP3000" s="462"/>
      <c r="JDQ3000" s="299"/>
      <c r="JDR3000" s="81"/>
      <c r="JDS3000" s="160"/>
      <c r="JDT3000" s="568"/>
      <c r="JDU3000" s="125"/>
      <c r="JDV3000" s="470"/>
      <c r="JDW3000" s="449"/>
      <c r="JDX3000" s="462"/>
      <c r="JDY3000" s="299"/>
      <c r="JDZ3000" s="81"/>
      <c r="JEA3000" s="160"/>
      <c r="JEB3000" s="568"/>
      <c r="JEC3000" s="125"/>
      <c r="JED3000" s="470"/>
      <c r="JEE3000" s="449"/>
      <c r="JEF3000" s="462"/>
      <c r="JEG3000" s="299"/>
      <c r="JEH3000" s="81"/>
      <c r="JEI3000" s="160"/>
      <c r="JEJ3000" s="568"/>
      <c r="JEK3000" s="125"/>
      <c r="JEL3000" s="470"/>
      <c r="JEM3000" s="449"/>
      <c r="JEN3000" s="462"/>
      <c r="JEO3000" s="299"/>
      <c r="JEP3000" s="81"/>
      <c r="JEQ3000" s="160"/>
      <c r="JER3000" s="568"/>
      <c r="JES3000" s="125"/>
      <c r="JET3000" s="470"/>
      <c r="JEU3000" s="449"/>
      <c r="JEV3000" s="462"/>
      <c r="JEW3000" s="299"/>
      <c r="JEX3000" s="81"/>
      <c r="JEY3000" s="160"/>
      <c r="JEZ3000" s="568"/>
      <c r="JFA3000" s="125"/>
      <c r="JFB3000" s="470"/>
      <c r="JFC3000" s="449"/>
      <c r="JFD3000" s="462"/>
      <c r="JFE3000" s="299"/>
      <c r="JFF3000" s="81"/>
      <c r="JFG3000" s="160"/>
      <c r="JFH3000" s="568"/>
      <c r="JFI3000" s="125"/>
      <c r="JFJ3000" s="470"/>
      <c r="JFK3000" s="449"/>
      <c r="JFL3000" s="462"/>
      <c r="JFM3000" s="299"/>
      <c r="JFN3000" s="81"/>
      <c r="JFO3000" s="160"/>
      <c r="JFP3000" s="568"/>
      <c r="JFQ3000" s="125"/>
      <c r="JFR3000" s="470"/>
      <c r="JFS3000" s="449"/>
      <c r="JFT3000" s="462"/>
      <c r="JFU3000" s="299"/>
      <c r="JFV3000" s="81"/>
      <c r="JFW3000" s="160"/>
      <c r="JFX3000" s="568"/>
      <c r="JFY3000" s="125"/>
      <c r="JFZ3000" s="470"/>
      <c r="JGA3000" s="449"/>
      <c r="JGB3000" s="462"/>
      <c r="JGC3000" s="299"/>
      <c r="JGD3000" s="81"/>
      <c r="JGE3000" s="160"/>
      <c r="JGF3000" s="568"/>
      <c r="JGG3000" s="125"/>
      <c r="JGH3000" s="470"/>
      <c r="JGI3000" s="449"/>
      <c r="JGJ3000" s="462"/>
      <c r="JGK3000" s="299"/>
      <c r="JGL3000" s="81"/>
      <c r="JGM3000" s="160"/>
      <c r="JGN3000" s="568"/>
      <c r="JGO3000" s="125"/>
      <c r="JGP3000" s="470"/>
      <c r="JGQ3000" s="449"/>
      <c r="JGR3000" s="462"/>
      <c r="JGS3000" s="299"/>
      <c r="JGT3000" s="81"/>
      <c r="JGU3000" s="160"/>
      <c r="JGV3000" s="568"/>
      <c r="JGW3000" s="125"/>
      <c r="JGX3000" s="470"/>
      <c r="JGY3000" s="449"/>
      <c r="JGZ3000" s="462"/>
      <c r="JHA3000" s="299"/>
      <c r="JHB3000" s="81"/>
      <c r="JHC3000" s="160"/>
      <c r="JHD3000" s="568"/>
      <c r="JHE3000" s="125"/>
      <c r="JHF3000" s="470"/>
      <c r="JHG3000" s="449"/>
      <c r="JHH3000" s="462"/>
      <c r="JHI3000" s="299"/>
      <c r="JHJ3000" s="81"/>
      <c r="JHK3000" s="160"/>
      <c r="JHL3000" s="568"/>
      <c r="JHM3000" s="125"/>
      <c r="JHN3000" s="470"/>
      <c r="JHO3000" s="449"/>
      <c r="JHP3000" s="462"/>
      <c r="JHQ3000" s="299"/>
      <c r="JHR3000" s="81"/>
      <c r="JHS3000" s="160"/>
      <c r="JHT3000" s="568"/>
      <c r="JHU3000" s="125"/>
      <c r="JHV3000" s="470"/>
      <c r="JHW3000" s="449"/>
      <c r="JHX3000" s="462"/>
      <c r="JHY3000" s="299"/>
      <c r="JHZ3000" s="81"/>
      <c r="JIA3000" s="160"/>
      <c r="JIB3000" s="568"/>
      <c r="JIC3000" s="125"/>
      <c r="JID3000" s="470"/>
      <c r="JIE3000" s="449"/>
      <c r="JIF3000" s="462"/>
      <c r="JIG3000" s="299"/>
      <c r="JIH3000" s="81"/>
      <c r="JII3000" s="160"/>
      <c r="JIJ3000" s="568"/>
      <c r="JIK3000" s="125"/>
      <c r="JIL3000" s="470"/>
      <c r="JIM3000" s="449"/>
      <c r="JIN3000" s="462"/>
      <c r="JIO3000" s="299"/>
      <c r="JIP3000" s="81"/>
      <c r="JIQ3000" s="160"/>
      <c r="JIR3000" s="568"/>
      <c r="JIS3000" s="125"/>
      <c r="JIT3000" s="470"/>
      <c r="JIU3000" s="449"/>
      <c r="JIV3000" s="462"/>
      <c r="JIW3000" s="299"/>
      <c r="JIX3000" s="81"/>
      <c r="JIY3000" s="160"/>
      <c r="JIZ3000" s="568"/>
      <c r="JJA3000" s="125"/>
      <c r="JJB3000" s="470"/>
      <c r="JJC3000" s="449"/>
      <c r="JJD3000" s="462"/>
      <c r="JJE3000" s="299"/>
      <c r="JJF3000" s="81"/>
      <c r="JJG3000" s="160"/>
      <c r="JJH3000" s="568"/>
      <c r="JJI3000" s="125"/>
      <c r="JJJ3000" s="470"/>
      <c r="JJK3000" s="449"/>
      <c r="JJL3000" s="462"/>
      <c r="JJM3000" s="299"/>
      <c r="JJN3000" s="81"/>
      <c r="JJO3000" s="160"/>
      <c r="JJP3000" s="568"/>
      <c r="JJQ3000" s="125"/>
      <c r="JJR3000" s="470"/>
      <c r="JJS3000" s="449"/>
      <c r="JJT3000" s="462"/>
      <c r="JJU3000" s="299"/>
      <c r="JJV3000" s="81"/>
      <c r="JJW3000" s="160"/>
      <c r="JJX3000" s="568"/>
      <c r="JJY3000" s="125"/>
      <c r="JJZ3000" s="470"/>
      <c r="JKA3000" s="449"/>
      <c r="JKB3000" s="462"/>
      <c r="JKC3000" s="299"/>
      <c r="JKD3000" s="81"/>
      <c r="JKE3000" s="160"/>
      <c r="JKF3000" s="568"/>
      <c r="JKG3000" s="125"/>
      <c r="JKH3000" s="470"/>
      <c r="JKI3000" s="449"/>
      <c r="JKJ3000" s="462"/>
      <c r="JKK3000" s="299"/>
      <c r="JKL3000" s="81"/>
      <c r="JKM3000" s="160"/>
      <c r="JKN3000" s="568"/>
      <c r="JKO3000" s="125"/>
      <c r="JKP3000" s="470"/>
      <c r="JKQ3000" s="449"/>
      <c r="JKR3000" s="462"/>
      <c r="JKS3000" s="299"/>
      <c r="JKT3000" s="81"/>
      <c r="JKU3000" s="160"/>
      <c r="JKV3000" s="568"/>
      <c r="JKW3000" s="125"/>
      <c r="JKX3000" s="470"/>
      <c r="JKY3000" s="449"/>
      <c r="JKZ3000" s="462"/>
      <c r="JLA3000" s="299"/>
      <c r="JLB3000" s="81"/>
      <c r="JLC3000" s="160"/>
      <c r="JLD3000" s="568"/>
      <c r="JLE3000" s="125"/>
      <c r="JLF3000" s="470"/>
      <c r="JLG3000" s="449"/>
      <c r="JLH3000" s="462"/>
      <c r="JLI3000" s="299"/>
      <c r="JLJ3000" s="81"/>
      <c r="JLK3000" s="160"/>
      <c r="JLL3000" s="568"/>
      <c r="JLM3000" s="125"/>
      <c r="JLN3000" s="470"/>
      <c r="JLO3000" s="449"/>
      <c r="JLP3000" s="462"/>
      <c r="JLQ3000" s="299"/>
      <c r="JLR3000" s="81"/>
      <c r="JLS3000" s="160"/>
      <c r="JLT3000" s="568"/>
      <c r="JLU3000" s="125"/>
      <c r="JLV3000" s="470"/>
      <c r="JLW3000" s="449"/>
      <c r="JLX3000" s="462"/>
      <c r="JLY3000" s="299"/>
      <c r="JLZ3000" s="81"/>
      <c r="JMA3000" s="160"/>
      <c r="JMB3000" s="568"/>
      <c r="JMC3000" s="125"/>
      <c r="JMD3000" s="470"/>
      <c r="JME3000" s="449"/>
      <c r="JMF3000" s="462"/>
      <c r="JMG3000" s="299"/>
      <c r="JMH3000" s="81"/>
      <c r="JMI3000" s="160"/>
      <c r="JMJ3000" s="568"/>
      <c r="JMK3000" s="125"/>
      <c r="JML3000" s="470"/>
      <c r="JMM3000" s="449"/>
      <c r="JMN3000" s="462"/>
      <c r="JMO3000" s="299"/>
      <c r="JMP3000" s="81"/>
      <c r="JMQ3000" s="160"/>
      <c r="JMR3000" s="568"/>
      <c r="JMS3000" s="125"/>
      <c r="JMT3000" s="470"/>
      <c r="JMU3000" s="449"/>
      <c r="JMV3000" s="462"/>
      <c r="JMW3000" s="299"/>
      <c r="JMX3000" s="81"/>
      <c r="JMY3000" s="160"/>
      <c r="JMZ3000" s="568"/>
      <c r="JNA3000" s="125"/>
      <c r="JNB3000" s="470"/>
      <c r="JNC3000" s="449"/>
      <c r="JND3000" s="462"/>
      <c r="JNE3000" s="299"/>
      <c r="JNF3000" s="81"/>
      <c r="JNG3000" s="160"/>
      <c r="JNH3000" s="568"/>
      <c r="JNI3000" s="125"/>
      <c r="JNJ3000" s="470"/>
      <c r="JNK3000" s="449"/>
      <c r="JNL3000" s="462"/>
      <c r="JNM3000" s="299"/>
      <c r="JNN3000" s="81"/>
      <c r="JNO3000" s="160"/>
      <c r="JNP3000" s="568"/>
      <c r="JNQ3000" s="125"/>
      <c r="JNR3000" s="470"/>
      <c r="JNS3000" s="449"/>
      <c r="JNT3000" s="462"/>
      <c r="JNU3000" s="299"/>
      <c r="JNV3000" s="81"/>
      <c r="JNW3000" s="160"/>
      <c r="JNX3000" s="568"/>
      <c r="JNY3000" s="125"/>
      <c r="JNZ3000" s="470"/>
      <c r="JOA3000" s="449"/>
      <c r="JOB3000" s="462"/>
      <c r="JOC3000" s="299"/>
      <c r="JOD3000" s="81"/>
      <c r="JOE3000" s="160"/>
      <c r="JOF3000" s="568"/>
      <c r="JOG3000" s="125"/>
      <c r="JOH3000" s="470"/>
      <c r="JOI3000" s="449"/>
      <c r="JOJ3000" s="462"/>
      <c r="JOK3000" s="299"/>
      <c r="JOL3000" s="81"/>
      <c r="JOM3000" s="160"/>
      <c r="JON3000" s="568"/>
      <c r="JOO3000" s="125"/>
      <c r="JOP3000" s="470"/>
      <c r="JOQ3000" s="449"/>
      <c r="JOR3000" s="462"/>
      <c r="JOS3000" s="299"/>
      <c r="JOT3000" s="81"/>
      <c r="JOU3000" s="160"/>
      <c r="JOV3000" s="568"/>
      <c r="JOW3000" s="125"/>
      <c r="JOX3000" s="470"/>
      <c r="JOY3000" s="449"/>
      <c r="JOZ3000" s="462"/>
      <c r="JPA3000" s="299"/>
      <c r="JPB3000" s="81"/>
      <c r="JPC3000" s="160"/>
      <c r="JPD3000" s="568"/>
      <c r="JPE3000" s="125"/>
      <c r="JPF3000" s="470"/>
      <c r="JPG3000" s="449"/>
      <c r="JPH3000" s="462"/>
      <c r="JPI3000" s="299"/>
      <c r="JPJ3000" s="81"/>
      <c r="JPK3000" s="160"/>
      <c r="JPL3000" s="568"/>
      <c r="JPM3000" s="125"/>
      <c r="JPN3000" s="470"/>
      <c r="JPO3000" s="449"/>
      <c r="JPP3000" s="462"/>
      <c r="JPQ3000" s="299"/>
      <c r="JPR3000" s="81"/>
      <c r="JPS3000" s="160"/>
      <c r="JPT3000" s="568"/>
      <c r="JPU3000" s="125"/>
      <c r="JPV3000" s="470"/>
      <c r="JPW3000" s="449"/>
      <c r="JPX3000" s="462"/>
      <c r="JPY3000" s="299"/>
      <c r="JPZ3000" s="81"/>
      <c r="JQA3000" s="160"/>
      <c r="JQB3000" s="568"/>
      <c r="JQC3000" s="125"/>
      <c r="JQD3000" s="470"/>
      <c r="JQE3000" s="449"/>
      <c r="JQF3000" s="462"/>
      <c r="JQG3000" s="299"/>
      <c r="JQH3000" s="81"/>
      <c r="JQI3000" s="160"/>
      <c r="JQJ3000" s="568"/>
      <c r="JQK3000" s="125"/>
      <c r="JQL3000" s="470"/>
      <c r="JQM3000" s="449"/>
      <c r="JQN3000" s="462"/>
      <c r="JQO3000" s="299"/>
      <c r="JQP3000" s="81"/>
      <c r="JQQ3000" s="160"/>
      <c r="JQR3000" s="568"/>
      <c r="JQS3000" s="125"/>
      <c r="JQT3000" s="470"/>
      <c r="JQU3000" s="449"/>
      <c r="JQV3000" s="462"/>
      <c r="JQW3000" s="299"/>
      <c r="JQX3000" s="81"/>
      <c r="JQY3000" s="160"/>
      <c r="JQZ3000" s="568"/>
      <c r="JRA3000" s="125"/>
      <c r="JRB3000" s="470"/>
      <c r="JRC3000" s="449"/>
      <c r="JRD3000" s="462"/>
      <c r="JRE3000" s="299"/>
      <c r="JRF3000" s="81"/>
      <c r="JRG3000" s="160"/>
      <c r="JRH3000" s="568"/>
      <c r="JRI3000" s="125"/>
      <c r="JRJ3000" s="470"/>
      <c r="JRK3000" s="449"/>
      <c r="JRL3000" s="462"/>
      <c r="JRM3000" s="299"/>
      <c r="JRN3000" s="81"/>
      <c r="JRO3000" s="160"/>
      <c r="JRP3000" s="568"/>
      <c r="JRQ3000" s="125"/>
      <c r="JRR3000" s="470"/>
      <c r="JRS3000" s="449"/>
      <c r="JRT3000" s="462"/>
      <c r="JRU3000" s="299"/>
      <c r="JRV3000" s="81"/>
      <c r="JRW3000" s="160"/>
      <c r="JRX3000" s="568"/>
      <c r="JRY3000" s="125"/>
      <c r="JRZ3000" s="470"/>
      <c r="JSA3000" s="449"/>
      <c r="JSB3000" s="462"/>
      <c r="JSC3000" s="299"/>
      <c r="JSD3000" s="81"/>
      <c r="JSE3000" s="160"/>
      <c r="JSF3000" s="568"/>
      <c r="JSG3000" s="125"/>
      <c r="JSH3000" s="470"/>
      <c r="JSI3000" s="449"/>
      <c r="JSJ3000" s="462"/>
      <c r="JSK3000" s="299"/>
      <c r="JSL3000" s="81"/>
      <c r="JSM3000" s="160"/>
      <c r="JSN3000" s="568"/>
      <c r="JSO3000" s="125"/>
      <c r="JSP3000" s="470"/>
      <c r="JSQ3000" s="449"/>
      <c r="JSR3000" s="462"/>
      <c r="JSS3000" s="299"/>
      <c r="JST3000" s="81"/>
      <c r="JSU3000" s="160"/>
      <c r="JSV3000" s="568"/>
      <c r="JSW3000" s="125"/>
      <c r="JSX3000" s="470"/>
      <c r="JSY3000" s="449"/>
      <c r="JSZ3000" s="462"/>
      <c r="JTA3000" s="299"/>
      <c r="JTB3000" s="81"/>
      <c r="JTC3000" s="160"/>
      <c r="JTD3000" s="568"/>
      <c r="JTE3000" s="125"/>
      <c r="JTF3000" s="470"/>
      <c r="JTG3000" s="449"/>
      <c r="JTH3000" s="462"/>
      <c r="JTI3000" s="299"/>
      <c r="JTJ3000" s="81"/>
      <c r="JTK3000" s="160"/>
      <c r="JTL3000" s="568"/>
      <c r="JTM3000" s="125"/>
      <c r="JTN3000" s="470"/>
      <c r="JTO3000" s="449"/>
      <c r="JTP3000" s="462"/>
      <c r="JTQ3000" s="299"/>
      <c r="JTR3000" s="81"/>
      <c r="JTS3000" s="160"/>
      <c r="JTT3000" s="568"/>
      <c r="JTU3000" s="125"/>
      <c r="JTV3000" s="470"/>
      <c r="JTW3000" s="449"/>
      <c r="JTX3000" s="462"/>
      <c r="JTY3000" s="299"/>
      <c r="JTZ3000" s="81"/>
      <c r="JUA3000" s="160"/>
      <c r="JUB3000" s="568"/>
      <c r="JUC3000" s="125"/>
      <c r="JUD3000" s="470"/>
      <c r="JUE3000" s="449"/>
      <c r="JUF3000" s="462"/>
      <c r="JUG3000" s="299"/>
      <c r="JUH3000" s="81"/>
      <c r="JUI3000" s="160"/>
      <c r="JUJ3000" s="568"/>
      <c r="JUK3000" s="125"/>
      <c r="JUL3000" s="470"/>
      <c r="JUM3000" s="449"/>
      <c r="JUN3000" s="462"/>
      <c r="JUO3000" s="299"/>
      <c r="JUP3000" s="81"/>
      <c r="JUQ3000" s="160"/>
      <c r="JUR3000" s="568"/>
      <c r="JUS3000" s="125"/>
      <c r="JUT3000" s="470"/>
      <c r="JUU3000" s="449"/>
      <c r="JUV3000" s="462"/>
      <c r="JUW3000" s="299"/>
      <c r="JUX3000" s="81"/>
      <c r="JUY3000" s="160"/>
      <c r="JUZ3000" s="568"/>
      <c r="JVA3000" s="125"/>
      <c r="JVB3000" s="470"/>
      <c r="JVC3000" s="449"/>
      <c r="JVD3000" s="462"/>
      <c r="JVE3000" s="299"/>
      <c r="JVF3000" s="81"/>
      <c r="JVG3000" s="160"/>
      <c r="JVH3000" s="568"/>
      <c r="JVI3000" s="125"/>
      <c r="JVJ3000" s="470"/>
      <c r="JVK3000" s="449"/>
      <c r="JVL3000" s="462"/>
      <c r="JVM3000" s="299"/>
      <c r="JVN3000" s="81"/>
      <c r="JVO3000" s="160"/>
      <c r="JVP3000" s="568"/>
      <c r="JVQ3000" s="125"/>
      <c r="JVR3000" s="470"/>
      <c r="JVS3000" s="449"/>
      <c r="JVT3000" s="462"/>
      <c r="JVU3000" s="299"/>
      <c r="JVV3000" s="81"/>
      <c r="JVW3000" s="160"/>
      <c r="JVX3000" s="568"/>
      <c r="JVY3000" s="125"/>
      <c r="JVZ3000" s="470"/>
      <c r="JWA3000" s="449"/>
      <c r="JWB3000" s="462"/>
      <c r="JWC3000" s="299"/>
      <c r="JWD3000" s="81"/>
      <c r="JWE3000" s="160"/>
      <c r="JWF3000" s="568"/>
      <c r="JWG3000" s="125"/>
      <c r="JWH3000" s="470"/>
      <c r="JWI3000" s="449"/>
      <c r="JWJ3000" s="462"/>
      <c r="JWK3000" s="299"/>
      <c r="JWL3000" s="81"/>
      <c r="JWM3000" s="160"/>
      <c r="JWN3000" s="568"/>
      <c r="JWO3000" s="125"/>
      <c r="JWP3000" s="470"/>
      <c r="JWQ3000" s="449"/>
      <c r="JWR3000" s="462"/>
      <c r="JWS3000" s="299"/>
      <c r="JWT3000" s="81"/>
      <c r="JWU3000" s="160"/>
      <c r="JWV3000" s="568"/>
      <c r="JWW3000" s="125"/>
      <c r="JWX3000" s="470"/>
      <c r="JWY3000" s="449"/>
      <c r="JWZ3000" s="462"/>
      <c r="JXA3000" s="299"/>
      <c r="JXB3000" s="81"/>
      <c r="JXC3000" s="160"/>
      <c r="JXD3000" s="568"/>
      <c r="JXE3000" s="125"/>
      <c r="JXF3000" s="470"/>
      <c r="JXG3000" s="449"/>
      <c r="JXH3000" s="462"/>
      <c r="JXI3000" s="299"/>
      <c r="JXJ3000" s="81"/>
      <c r="JXK3000" s="160"/>
      <c r="JXL3000" s="568"/>
      <c r="JXM3000" s="125"/>
      <c r="JXN3000" s="470"/>
      <c r="JXO3000" s="449"/>
      <c r="JXP3000" s="462"/>
      <c r="JXQ3000" s="299"/>
      <c r="JXR3000" s="81"/>
      <c r="JXS3000" s="160"/>
      <c r="JXT3000" s="568"/>
      <c r="JXU3000" s="125"/>
      <c r="JXV3000" s="470"/>
      <c r="JXW3000" s="449"/>
      <c r="JXX3000" s="462"/>
      <c r="JXY3000" s="299"/>
      <c r="JXZ3000" s="81"/>
      <c r="JYA3000" s="160"/>
      <c r="JYB3000" s="568"/>
      <c r="JYC3000" s="125"/>
      <c r="JYD3000" s="470"/>
      <c r="JYE3000" s="449"/>
      <c r="JYF3000" s="462"/>
      <c r="JYG3000" s="299"/>
      <c r="JYH3000" s="81"/>
      <c r="JYI3000" s="160"/>
      <c r="JYJ3000" s="568"/>
      <c r="JYK3000" s="125"/>
      <c r="JYL3000" s="470"/>
      <c r="JYM3000" s="449"/>
      <c r="JYN3000" s="462"/>
      <c r="JYO3000" s="299"/>
      <c r="JYP3000" s="81"/>
      <c r="JYQ3000" s="160"/>
      <c r="JYR3000" s="568"/>
      <c r="JYS3000" s="125"/>
      <c r="JYT3000" s="470"/>
      <c r="JYU3000" s="449"/>
      <c r="JYV3000" s="462"/>
      <c r="JYW3000" s="299"/>
      <c r="JYX3000" s="81"/>
      <c r="JYY3000" s="160"/>
      <c r="JYZ3000" s="568"/>
      <c r="JZA3000" s="125"/>
      <c r="JZB3000" s="470"/>
      <c r="JZC3000" s="449"/>
      <c r="JZD3000" s="462"/>
      <c r="JZE3000" s="299"/>
      <c r="JZF3000" s="81"/>
      <c r="JZG3000" s="160"/>
      <c r="JZH3000" s="568"/>
      <c r="JZI3000" s="125"/>
      <c r="JZJ3000" s="470"/>
      <c r="JZK3000" s="449"/>
      <c r="JZL3000" s="462"/>
      <c r="JZM3000" s="299"/>
      <c r="JZN3000" s="81"/>
      <c r="JZO3000" s="160"/>
      <c r="JZP3000" s="568"/>
      <c r="JZQ3000" s="125"/>
      <c r="JZR3000" s="470"/>
      <c r="JZS3000" s="449"/>
      <c r="JZT3000" s="462"/>
      <c r="JZU3000" s="299"/>
      <c r="JZV3000" s="81"/>
      <c r="JZW3000" s="160"/>
      <c r="JZX3000" s="568"/>
      <c r="JZY3000" s="125"/>
      <c r="JZZ3000" s="470"/>
      <c r="KAA3000" s="449"/>
      <c r="KAB3000" s="462"/>
      <c r="KAC3000" s="299"/>
      <c r="KAD3000" s="81"/>
      <c r="KAE3000" s="160"/>
      <c r="KAF3000" s="568"/>
      <c r="KAG3000" s="125"/>
      <c r="KAH3000" s="470"/>
      <c r="KAI3000" s="449"/>
      <c r="KAJ3000" s="462"/>
      <c r="KAK3000" s="299"/>
      <c r="KAL3000" s="81"/>
      <c r="KAM3000" s="160"/>
      <c r="KAN3000" s="568"/>
      <c r="KAO3000" s="125"/>
      <c r="KAP3000" s="470"/>
      <c r="KAQ3000" s="449"/>
      <c r="KAR3000" s="462"/>
      <c r="KAS3000" s="299"/>
      <c r="KAT3000" s="81"/>
      <c r="KAU3000" s="160"/>
      <c r="KAV3000" s="568"/>
      <c r="KAW3000" s="125"/>
      <c r="KAX3000" s="470"/>
      <c r="KAY3000" s="449"/>
      <c r="KAZ3000" s="462"/>
      <c r="KBA3000" s="299"/>
      <c r="KBB3000" s="81"/>
      <c r="KBC3000" s="160"/>
      <c r="KBD3000" s="568"/>
      <c r="KBE3000" s="125"/>
      <c r="KBF3000" s="470"/>
      <c r="KBG3000" s="449"/>
      <c r="KBH3000" s="462"/>
      <c r="KBI3000" s="299"/>
      <c r="KBJ3000" s="81"/>
      <c r="KBK3000" s="160"/>
      <c r="KBL3000" s="568"/>
      <c r="KBM3000" s="125"/>
      <c r="KBN3000" s="470"/>
      <c r="KBO3000" s="449"/>
      <c r="KBP3000" s="462"/>
      <c r="KBQ3000" s="299"/>
      <c r="KBR3000" s="81"/>
      <c r="KBS3000" s="160"/>
      <c r="KBT3000" s="568"/>
      <c r="KBU3000" s="125"/>
      <c r="KBV3000" s="470"/>
      <c r="KBW3000" s="449"/>
      <c r="KBX3000" s="462"/>
      <c r="KBY3000" s="299"/>
      <c r="KBZ3000" s="81"/>
      <c r="KCA3000" s="160"/>
      <c r="KCB3000" s="568"/>
      <c r="KCC3000" s="125"/>
      <c r="KCD3000" s="470"/>
      <c r="KCE3000" s="449"/>
      <c r="KCF3000" s="462"/>
      <c r="KCG3000" s="299"/>
      <c r="KCH3000" s="81"/>
      <c r="KCI3000" s="160"/>
      <c r="KCJ3000" s="568"/>
      <c r="KCK3000" s="125"/>
      <c r="KCL3000" s="470"/>
      <c r="KCM3000" s="449"/>
      <c r="KCN3000" s="462"/>
      <c r="KCO3000" s="299"/>
      <c r="KCP3000" s="81"/>
      <c r="KCQ3000" s="160"/>
      <c r="KCR3000" s="568"/>
      <c r="KCS3000" s="125"/>
      <c r="KCT3000" s="470"/>
      <c r="KCU3000" s="449"/>
      <c r="KCV3000" s="462"/>
      <c r="KCW3000" s="299"/>
      <c r="KCX3000" s="81"/>
      <c r="KCY3000" s="160"/>
      <c r="KCZ3000" s="568"/>
      <c r="KDA3000" s="125"/>
      <c r="KDB3000" s="470"/>
      <c r="KDC3000" s="449"/>
      <c r="KDD3000" s="462"/>
      <c r="KDE3000" s="299"/>
      <c r="KDF3000" s="81"/>
      <c r="KDG3000" s="160"/>
      <c r="KDH3000" s="568"/>
      <c r="KDI3000" s="125"/>
      <c r="KDJ3000" s="470"/>
      <c r="KDK3000" s="449"/>
      <c r="KDL3000" s="462"/>
      <c r="KDM3000" s="299"/>
      <c r="KDN3000" s="81"/>
      <c r="KDO3000" s="160"/>
      <c r="KDP3000" s="568"/>
      <c r="KDQ3000" s="125"/>
      <c r="KDR3000" s="470"/>
      <c r="KDS3000" s="449"/>
      <c r="KDT3000" s="462"/>
      <c r="KDU3000" s="299"/>
      <c r="KDV3000" s="81"/>
      <c r="KDW3000" s="160"/>
      <c r="KDX3000" s="568"/>
      <c r="KDY3000" s="125"/>
      <c r="KDZ3000" s="470"/>
      <c r="KEA3000" s="449"/>
      <c r="KEB3000" s="462"/>
      <c r="KEC3000" s="299"/>
      <c r="KED3000" s="81"/>
      <c r="KEE3000" s="160"/>
      <c r="KEF3000" s="568"/>
      <c r="KEG3000" s="125"/>
      <c r="KEH3000" s="470"/>
      <c r="KEI3000" s="449"/>
      <c r="KEJ3000" s="462"/>
      <c r="KEK3000" s="299"/>
      <c r="KEL3000" s="81"/>
      <c r="KEM3000" s="160"/>
      <c r="KEN3000" s="568"/>
      <c r="KEO3000" s="125"/>
      <c r="KEP3000" s="470"/>
      <c r="KEQ3000" s="449"/>
      <c r="KER3000" s="462"/>
      <c r="KES3000" s="299"/>
      <c r="KET3000" s="81"/>
      <c r="KEU3000" s="160"/>
      <c r="KEV3000" s="568"/>
      <c r="KEW3000" s="125"/>
      <c r="KEX3000" s="470"/>
      <c r="KEY3000" s="449"/>
      <c r="KEZ3000" s="462"/>
      <c r="KFA3000" s="299"/>
      <c r="KFB3000" s="81"/>
      <c r="KFC3000" s="160"/>
      <c r="KFD3000" s="568"/>
      <c r="KFE3000" s="125"/>
      <c r="KFF3000" s="470"/>
      <c r="KFG3000" s="449"/>
      <c r="KFH3000" s="462"/>
      <c r="KFI3000" s="299"/>
      <c r="KFJ3000" s="81"/>
      <c r="KFK3000" s="160"/>
      <c r="KFL3000" s="568"/>
      <c r="KFM3000" s="125"/>
      <c r="KFN3000" s="470"/>
      <c r="KFO3000" s="449"/>
      <c r="KFP3000" s="462"/>
      <c r="KFQ3000" s="299"/>
      <c r="KFR3000" s="81"/>
      <c r="KFS3000" s="160"/>
      <c r="KFT3000" s="568"/>
      <c r="KFU3000" s="125"/>
      <c r="KFV3000" s="470"/>
      <c r="KFW3000" s="449"/>
      <c r="KFX3000" s="462"/>
      <c r="KFY3000" s="299"/>
      <c r="KFZ3000" s="81"/>
      <c r="KGA3000" s="160"/>
      <c r="KGB3000" s="568"/>
      <c r="KGC3000" s="125"/>
      <c r="KGD3000" s="470"/>
      <c r="KGE3000" s="449"/>
      <c r="KGF3000" s="462"/>
      <c r="KGG3000" s="299"/>
      <c r="KGH3000" s="81"/>
      <c r="KGI3000" s="160"/>
      <c r="KGJ3000" s="568"/>
      <c r="KGK3000" s="125"/>
      <c r="KGL3000" s="470"/>
      <c r="KGM3000" s="449"/>
      <c r="KGN3000" s="462"/>
      <c r="KGO3000" s="299"/>
      <c r="KGP3000" s="81"/>
      <c r="KGQ3000" s="160"/>
      <c r="KGR3000" s="568"/>
      <c r="KGS3000" s="125"/>
      <c r="KGT3000" s="470"/>
      <c r="KGU3000" s="449"/>
      <c r="KGV3000" s="462"/>
      <c r="KGW3000" s="299"/>
      <c r="KGX3000" s="81"/>
      <c r="KGY3000" s="160"/>
      <c r="KGZ3000" s="568"/>
      <c r="KHA3000" s="125"/>
      <c r="KHB3000" s="470"/>
      <c r="KHC3000" s="449"/>
      <c r="KHD3000" s="462"/>
      <c r="KHE3000" s="299"/>
      <c r="KHF3000" s="81"/>
      <c r="KHG3000" s="160"/>
      <c r="KHH3000" s="568"/>
      <c r="KHI3000" s="125"/>
      <c r="KHJ3000" s="470"/>
      <c r="KHK3000" s="449"/>
      <c r="KHL3000" s="462"/>
      <c r="KHM3000" s="299"/>
      <c r="KHN3000" s="81"/>
      <c r="KHO3000" s="160"/>
      <c r="KHP3000" s="568"/>
      <c r="KHQ3000" s="125"/>
      <c r="KHR3000" s="470"/>
      <c r="KHS3000" s="449"/>
      <c r="KHT3000" s="462"/>
      <c r="KHU3000" s="299"/>
      <c r="KHV3000" s="81"/>
      <c r="KHW3000" s="160"/>
      <c r="KHX3000" s="568"/>
      <c r="KHY3000" s="125"/>
      <c r="KHZ3000" s="470"/>
      <c r="KIA3000" s="449"/>
      <c r="KIB3000" s="462"/>
      <c r="KIC3000" s="299"/>
      <c r="KID3000" s="81"/>
      <c r="KIE3000" s="160"/>
      <c r="KIF3000" s="568"/>
      <c r="KIG3000" s="125"/>
      <c r="KIH3000" s="470"/>
      <c r="KII3000" s="449"/>
      <c r="KIJ3000" s="462"/>
      <c r="KIK3000" s="299"/>
      <c r="KIL3000" s="81"/>
      <c r="KIM3000" s="160"/>
      <c r="KIN3000" s="568"/>
      <c r="KIO3000" s="125"/>
      <c r="KIP3000" s="470"/>
      <c r="KIQ3000" s="449"/>
      <c r="KIR3000" s="462"/>
      <c r="KIS3000" s="299"/>
      <c r="KIT3000" s="81"/>
      <c r="KIU3000" s="160"/>
      <c r="KIV3000" s="568"/>
      <c r="KIW3000" s="125"/>
      <c r="KIX3000" s="470"/>
      <c r="KIY3000" s="449"/>
      <c r="KIZ3000" s="462"/>
      <c r="KJA3000" s="299"/>
      <c r="KJB3000" s="81"/>
      <c r="KJC3000" s="160"/>
      <c r="KJD3000" s="568"/>
      <c r="KJE3000" s="125"/>
      <c r="KJF3000" s="470"/>
      <c r="KJG3000" s="449"/>
      <c r="KJH3000" s="462"/>
      <c r="KJI3000" s="299"/>
      <c r="KJJ3000" s="81"/>
      <c r="KJK3000" s="160"/>
      <c r="KJL3000" s="568"/>
      <c r="KJM3000" s="125"/>
      <c r="KJN3000" s="470"/>
      <c r="KJO3000" s="449"/>
      <c r="KJP3000" s="462"/>
      <c r="KJQ3000" s="299"/>
      <c r="KJR3000" s="81"/>
      <c r="KJS3000" s="160"/>
      <c r="KJT3000" s="568"/>
      <c r="KJU3000" s="125"/>
      <c r="KJV3000" s="470"/>
      <c r="KJW3000" s="449"/>
      <c r="KJX3000" s="462"/>
      <c r="KJY3000" s="299"/>
      <c r="KJZ3000" s="81"/>
      <c r="KKA3000" s="160"/>
      <c r="KKB3000" s="568"/>
      <c r="KKC3000" s="125"/>
      <c r="KKD3000" s="470"/>
      <c r="KKE3000" s="449"/>
      <c r="KKF3000" s="462"/>
      <c r="KKG3000" s="299"/>
      <c r="KKH3000" s="81"/>
      <c r="KKI3000" s="160"/>
      <c r="KKJ3000" s="568"/>
      <c r="KKK3000" s="125"/>
      <c r="KKL3000" s="470"/>
      <c r="KKM3000" s="449"/>
      <c r="KKN3000" s="462"/>
      <c r="KKO3000" s="299"/>
      <c r="KKP3000" s="81"/>
      <c r="KKQ3000" s="160"/>
      <c r="KKR3000" s="568"/>
      <c r="KKS3000" s="125"/>
      <c r="KKT3000" s="470"/>
      <c r="KKU3000" s="449"/>
      <c r="KKV3000" s="462"/>
      <c r="KKW3000" s="299"/>
      <c r="KKX3000" s="81"/>
      <c r="KKY3000" s="160"/>
      <c r="KKZ3000" s="568"/>
      <c r="KLA3000" s="125"/>
      <c r="KLB3000" s="470"/>
      <c r="KLC3000" s="449"/>
      <c r="KLD3000" s="462"/>
      <c r="KLE3000" s="299"/>
      <c r="KLF3000" s="81"/>
      <c r="KLG3000" s="160"/>
      <c r="KLH3000" s="568"/>
      <c r="KLI3000" s="125"/>
      <c r="KLJ3000" s="470"/>
      <c r="KLK3000" s="449"/>
      <c r="KLL3000" s="462"/>
      <c r="KLM3000" s="299"/>
      <c r="KLN3000" s="81"/>
      <c r="KLO3000" s="160"/>
      <c r="KLP3000" s="568"/>
      <c r="KLQ3000" s="125"/>
      <c r="KLR3000" s="470"/>
      <c r="KLS3000" s="449"/>
      <c r="KLT3000" s="462"/>
      <c r="KLU3000" s="299"/>
      <c r="KLV3000" s="81"/>
      <c r="KLW3000" s="160"/>
      <c r="KLX3000" s="568"/>
      <c r="KLY3000" s="125"/>
      <c r="KLZ3000" s="470"/>
      <c r="KMA3000" s="449"/>
      <c r="KMB3000" s="462"/>
      <c r="KMC3000" s="299"/>
      <c r="KMD3000" s="81"/>
      <c r="KME3000" s="160"/>
      <c r="KMF3000" s="568"/>
      <c r="KMG3000" s="125"/>
      <c r="KMH3000" s="470"/>
      <c r="KMI3000" s="449"/>
      <c r="KMJ3000" s="462"/>
      <c r="KMK3000" s="299"/>
      <c r="KML3000" s="81"/>
      <c r="KMM3000" s="160"/>
      <c r="KMN3000" s="568"/>
      <c r="KMO3000" s="125"/>
      <c r="KMP3000" s="470"/>
      <c r="KMQ3000" s="449"/>
      <c r="KMR3000" s="462"/>
      <c r="KMS3000" s="299"/>
      <c r="KMT3000" s="81"/>
      <c r="KMU3000" s="160"/>
      <c r="KMV3000" s="568"/>
      <c r="KMW3000" s="125"/>
      <c r="KMX3000" s="470"/>
      <c r="KMY3000" s="449"/>
      <c r="KMZ3000" s="462"/>
      <c r="KNA3000" s="299"/>
      <c r="KNB3000" s="81"/>
      <c r="KNC3000" s="160"/>
      <c r="KND3000" s="568"/>
      <c r="KNE3000" s="125"/>
      <c r="KNF3000" s="470"/>
      <c r="KNG3000" s="449"/>
      <c r="KNH3000" s="462"/>
      <c r="KNI3000" s="299"/>
      <c r="KNJ3000" s="81"/>
      <c r="KNK3000" s="160"/>
      <c r="KNL3000" s="568"/>
      <c r="KNM3000" s="125"/>
      <c r="KNN3000" s="470"/>
      <c r="KNO3000" s="449"/>
      <c r="KNP3000" s="462"/>
      <c r="KNQ3000" s="299"/>
      <c r="KNR3000" s="81"/>
      <c r="KNS3000" s="160"/>
      <c r="KNT3000" s="568"/>
      <c r="KNU3000" s="125"/>
      <c r="KNV3000" s="470"/>
      <c r="KNW3000" s="449"/>
      <c r="KNX3000" s="462"/>
      <c r="KNY3000" s="299"/>
      <c r="KNZ3000" s="81"/>
      <c r="KOA3000" s="160"/>
      <c r="KOB3000" s="568"/>
      <c r="KOC3000" s="125"/>
      <c r="KOD3000" s="470"/>
      <c r="KOE3000" s="449"/>
      <c r="KOF3000" s="462"/>
      <c r="KOG3000" s="299"/>
      <c r="KOH3000" s="81"/>
      <c r="KOI3000" s="160"/>
      <c r="KOJ3000" s="568"/>
      <c r="KOK3000" s="125"/>
      <c r="KOL3000" s="470"/>
      <c r="KOM3000" s="449"/>
      <c r="KON3000" s="462"/>
      <c r="KOO3000" s="299"/>
      <c r="KOP3000" s="81"/>
      <c r="KOQ3000" s="160"/>
      <c r="KOR3000" s="568"/>
      <c r="KOS3000" s="125"/>
      <c r="KOT3000" s="470"/>
      <c r="KOU3000" s="449"/>
      <c r="KOV3000" s="462"/>
      <c r="KOW3000" s="299"/>
      <c r="KOX3000" s="81"/>
      <c r="KOY3000" s="160"/>
      <c r="KOZ3000" s="568"/>
      <c r="KPA3000" s="125"/>
      <c r="KPB3000" s="470"/>
      <c r="KPC3000" s="449"/>
      <c r="KPD3000" s="462"/>
      <c r="KPE3000" s="299"/>
      <c r="KPF3000" s="81"/>
      <c r="KPG3000" s="160"/>
      <c r="KPH3000" s="568"/>
      <c r="KPI3000" s="125"/>
      <c r="KPJ3000" s="470"/>
      <c r="KPK3000" s="449"/>
      <c r="KPL3000" s="462"/>
      <c r="KPM3000" s="299"/>
      <c r="KPN3000" s="81"/>
      <c r="KPO3000" s="160"/>
      <c r="KPP3000" s="568"/>
      <c r="KPQ3000" s="125"/>
      <c r="KPR3000" s="470"/>
      <c r="KPS3000" s="449"/>
      <c r="KPT3000" s="462"/>
      <c r="KPU3000" s="299"/>
      <c r="KPV3000" s="81"/>
      <c r="KPW3000" s="160"/>
      <c r="KPX3000" s="568"/>
      <c r="KPY3000" s="125"/>
      <c r="KPZ3000" s="470"/>
      <c r="KQA3000" s="449"/>
      <c r="KQB3000" s="462"/>
      <c r="KQC3000" s="299"/>
      <c r="KQD3000" s="81"/>
      <c r="KQE3000" s="160"/>
      <c r="KQF3000" s="568"/>
      <c r="KQG3000" s="125"/>
      <c r="KQH3000" s="470"/>
      <c r="KQI3000" s="449"/>
      <c r="KQJ3000" s="462"/>
      <c r="KQK3000" s="299"/>
      <c r="KQL3000" s="81"/>
      <c r="KQM3000" s="160"/>
      <c r="KQN3000" s="568"/>
      <c r="KQO3000" s="125"/>
      <c r="KQP3000" s="470"/>
      <c r="KQQ3000" s="449"/>
      <c r="KQR3000" s="462"/>
      <c r="KQS3000" s="299"/>
      <c r="KQT3000" s="81"/>
      <c r="KQU3000" s="160"/>
      <c r="KQV3000" s="568"/>
      <c r="KQW3000" s="125"/>
      <c r="KQX3000" s="470"/>
      <c r="KQY3000" s="449"/>
      <c r="KQZ3000" s="462"/>
      <c r="KRA3000" s="299"/>
      <c r="KRB3000" s="81"/>
      <c r="KRC3000" s="160"/>
      <c r="KRD3000" s="568"/>
      <c r="KRE3000" s="125"/>
      <c r="KRF3000" s="470"/>
      <c r="KRG3000" s="449"/>
      <c r="KRH3000" s="462"/>
      <c r="KRI3000" s="299"/>
      <c r="KRJ3000" s="81"/>
      <c r="KRK3000" s="160"/>
      <c r="KRL3000" s="568"/>
      <c r="KRM3000" s="125"/>
      <c r="KRN3000" s="470"/>
      <c r="KRO3000" s="449"/>
      <c r="KRP3000" s="462"/>
      <c r="KRQ3000" s="299"/>
      <c r="KRR3000" s="81"/>
      <c r="KRS3000" s="160"/>
      <c r="KRT3000" s="568"/>
      <c r="KRU3000" s="125"/>
      <c r="KRV3000" s="470"/>
      <c r="KRW3000" s="449"/>
      <c r="KRX3000" s="462"/>
      <c r="KRY3000" s="299"/>
      <c r="KRZ3000" s="81"/>
      <c r="KSA3000" s="160"/>
      <c r="KSB3000" s="568"/>
      <c r="KSC3000" s="125"/>
      <c r="KSD3000" s="470"/>
      <c r="KSE3000" s="449"/>
      <c r="KSF3000" s="462"/>
      <c r="KSG3000" s="299"/>
      <c r="KSH3000" s="81"/>
      <c r="KSI3000" s="160"/>
      <c r="KSJ3000" s="568"/>
      <c r="KSK3000" s="125"/>
      <c r="KSL3000" s="470"/>
      <c r="KSM3000" s="449"/>
      <c r="KSN3000" s="462"/>
      <c r="KSO3000" s="299"/>
      <c r="KSP3000" s="81"/>
      <c r="KSQ3000" s="160"/>
      <c r="KSR3000" s="568"/>
      <c r="KSS3000" s="125"/>
      <c r="KST3000" s="470"/>
      <c r="KSU3000" s="449"/>
      <c r="KSV3000" s="462"/>
      <c r="KSW3000" s="299"/>
      <c r="KSX3000" s="81"/>
      <c r="KSY3000" s="160"/>
      <c r="KSZ3000" s="568"/>
      <c r="KTA3000" s="125"/>
      <c r="KTB3000" s="470"/>
      <c r="KTC3000" s="449"/>
      <c r="KTD3000" s="462"/>
      <c r="KTE3000" s="299"/>
      <c r="KTF3000" s="81"/>
      <c r="KTG3000" s="160"/>
      <c r="KTH3000" s="568"/>
      <c r="KTI3000" s="125"/>
      <c r="KTJ3000" s="470"/>
      <c r="KTK3000" s="449"/>
      <c r="KTL3000" s="462"/>
      <c r="KTM3000" s="299"/>
      <c r="KTN3000" s="81"/>
      <c r="KTO3000" s="160"/>
      <c r="KTP3000" s="568"/>
      <c r="KTQ3000" s="125"/>
      <c r="KTR3000" s="470"/>
      <c r="KTS3000" s="449"/>
      <c r="KTT3000" s="462"/>
      <c r="KTU3000" s="299"/>
      <c r="KTV3000" s="81"/>
      <c r="KTW3000" s="160"/>
      <c r="KTX3000" s="568"/>
      <c r="KTY3000" s="125"/>
      <c r="KTZ3000" s="470"/>
      <c r="KUA3000" s="449"/>
      <c r="KUB3000" s="462"/>
      <c r="KUC3000" s="299"/>
      <c r="KUD3000" s="81"/>
      <c r="KUE3000" s="160"/>
      <c r="KUF3000" s="568"/>
      <c r="KUG3000" s="125"/>
      <c r="KUH3000" s="470"/>
      <c r="KUI3000" s="449"/>
      <c r="KUJ3000" s="462"/>
      <c r="KUK3000" s="299"/>
      <c r="KUL3000" s="81"/>
      <c r="KUM3000" s="160"/>
      <c r="KUN3000" s="568"/>
      <c r="KUO3000" s="125"/>
      <c r="KUP3000" s="470"/>
      <c r="KUQ3000" s="449"/>
      <c r="KUR3000" s="462"/>
      <c r="KUS3000" s="299"/>
      <c r="KUT3000" s="81"/>
      <c r="KUU3000" s="160"/>
      <c r="KUV3000" s="568"/>
      <c r="KUW3000" s="125"/>
      <c r="KUX3000" s="470"/>
      <c r="KUY3000" s="449"/>
      <c r="KUZ3000" s="462"/>
      <c r="KVA3000" s="299"/>
      <c r="KVB3000" s="81"/>
      <c r="KVC3000" s="160"/>
      <c r="KVD3000" s="568"/>
      <c r="KVE3000" s="125"/>
      <c r="KVF3000" s="470"/>
      <c r="KVG3000" s="449"/>
      <c r="KVH3000" s="462"/>
      <c r="KVI3000" s="299"/>
      <c r="KVJ3000" s="81"/>
      <c r="KVK3000" s="160"/>
      <c r="KVL3000" s="568"/>
      <c r="KVM3000" s="125"/>
      <c r="KVN3000" s="470"/>
      <c r="KVO3000" s="449"/>
      <c r="KVP3000" s="462"/>
      <c r="KVQ3000" s="299"/>
      <c r="KVR3000" s="81"/>
      <c r="KVS3000" s="160"/>
      <c r="KVT3000" s="568"/>
      <c r="KVU3000" s="125"/>
      <c r="KVV3000" s="470"/>
      <c r="KVW3000" s="449"/>
      <c r="KVX3000" s="462"/>
      <c r="KVY3000" s="299"/>
      <c r="KVZ3000" s="81"/>
      <c r="KWA3000" s="160"/>
      <c r="KWB3000" s="568"/>
      <c r="KWC3000" s="125"/>
      <c r="KWD3000" s="470"/>
      <c r="KWE3000" s="449"/>
      <c r="KWF3000" s="462"/>
      <c r="KWG3000" s="299"/>
      <c r="KWH3000" s="81"/>
      <c r="KWI3000" s="160"/>
      <c r="KWJ3000" s="568"/>
      <c r="KWK3000" s="125"/>
      <c r="KWL3000" s="470"/>
      <c r="KWM3000" s="449"/>
      <c r="KWN3000" s="462"/>
      <c r="KWO3000" s="299"/>
      <c r="KWP3000" s="81"/>
      <c r="KWQ3000" s="160"/>
      <c r="KWR3000" s="568"/>
      <c r="KWS3000" s="125"/>
      <c r="KWT3000" s="470"/>
      <c r="KWU3000" s="449"/>
      <c r="KWV3000" s="462"/>
      <c r="KWW3000" s="299"/>
      <c r="KWX3000" s="81"/>
      <c r="KWY3000" s="160"/>
      <c r="KWZ3000" s="568"/>
      <c r="KXA3000" s="125"/>
      <c r="KXB3000" s="470"/>
      <c r="KXC3000" s="449"/>
      <c r="KXD3000" s="462"/>
      <c r="KXE3000" s="299"/>
      <c r="KXF3000" s="81"/>
      <c r="KXG3000" s="160"/>
      <c r="KXH3000" s="568"/>
      <c r="KXI3000" s="125"/>
      <c r="KXJ3000" s="470"/>
      <c r="KXK3000" s="449"/>
      <c r="KXL3000" s="462"/>
      <c r="KXM3000" s="299"/>
      <c r="KXN3000" s="81"/>
      <c r="KXO3000" s="160"/>
      <c r="KXP3000" s="568"/>
      <c r="KXQ3000" s="125"/>
      <c r="KXR3000" s="470"/>
      <c r="KXS3000" s="449"/>
      <c r="KXT3000" s="462"/>
      <c r="KXU3000" s="299"/>
      <c r="KXV3000" s="81"/>
      <c r="KXW3000" s="160"/>
      <c r="KXX3000" s="568"/>
      <c r="KXY3000" s="125"/>
      <c r="KXZ3000" s="470"/>
      <c r="KYA3000" s="449"/>
      <c r="KYB3000" s="462"/>
      <c r="KYC3000" s="299"/>
      <c r="KYD3000" s="81"/>
      <c r="KYE3000" s="160"/>
      <c r="KYF3000" s="568"/>
      <c r="KYG3000" s="125"/>
      <c r="KYH3000" s="470"/>
      <c r="KYI3000" s="449"/>
      <c r="KYJ3000" s="462"/>
      <c r="KYK3000" s="299"/>
      <c r="KYL3000" s="81"/>
      <c r="KYM3000" s="160"/>
      <c r="KYN3000" s="568"/>
      <c r="KYO3000" s="125"/>
      <c r="KYP3000" s="470"/>
      <c r="KYQ3000" s="449"/>
      <c r="KYR3000" s="462"/>
      <c r="KYS3000" s="299"/>
      <c r="KYT3000" s="81"/>
      <c r="KYU3000" s="160"/>
      <c r="KYV3000" s="568"/>
      <c r="KYW3000" s="125"/>
      <c r="KYX3000" s="470"/>
      <c r="KYY3000" s="449"/>
      <c r="KYZ3000" s="462"/>
      <c r="KZA3000" s="299"/>
      <c r="KZB3000" s="81"/>
      <c r="KZC3000" s="160"/>
      <c r="KZD3000" s="568"/>
      <c r="KZE3000" s="125"/>
      <c r="KZF3000" s="470"/>
      <c r="KZG3000" s="449"/>
      <c r="KZH3000" s="462"/>
      <c r="KZI3000" s="299"/>
      <c r="KZJ3000" s="81"/>
      <c r="KZK3000" s="160"/>
      <c r="KZL3000" s="568"/>
      <c r="KZM3000" s="125"/>
      <c r="KZN3000" s="470"/>
      <c r="KZO3000" s="449"/>
      <c r="KZP3000" s="462"/>
      <c r="KZQ3000" s="299"/>
      <c r="KZR3000" s="81"/>
      <c r="KZS3000" s="160"/>
      <c r="KZT3000" s="568"/>
      <c r="KZU3000" s="125"/>
      <c r="KZV3000" s="470"/>
      <c r="KZW3000" s="449"/>
      <c r="KZX3000" s="462"/>
      <c r="KZY3000" s="299"/>
      <c r="KZZ3000" s="81"/>
      <c r="LAA3000" s="160"/>
      <c r="LAB3000" s="568"/>
      <c r="LAC3000" s="125"/>
      <c r="LAD3000" s="470"/>
      <c r="LAE3000" s="449"/>
      <c r="LAF3000" s="462"/>
      <c r="LAG3000" s="299"/>
      <c r="LAH3000" s="81"/>
      <c r="LAI3000" s="160"/>
      <c r="LAJ3000" s="568"/>
      <c r="LAK3000" s="125"/>
      <c r="LAL3000" s="470"/>
      <c r="LAM3000" s="449"/>
      <c r="LAN3000" s="462"/>
      <c r="LAO3000" s="299"/>
      <c r="LAP3000" s="81"/>
      <c r="LAQ3000" s="160"/>
      <c r="LAR3000" s="568"/>
      <c r="LAS3000" s="125"/>
      <c r="LAT3000" s="470"/>
      <c r="LAU3000" s="449"/>
      <c r="LAV3000" s="462"/>
      <c r="LAW3000" s="299"/>
      <c r="LAX3000" s="81"/>
      <c r="LAY3000" s="160"/>
      <c r="LAZ3000" s="568"/>
      <c r="LBA3000" s="125"/>
      <c r="LBB3000" s="470"/>
      <c r="LBC3000" s="449"/>
      <c r="LBD3000" s="462"/>
      <c r="LBE3000" s="299"/>
      <c r="LBF3000" s="81"/>
      <c r="LBG3000" s="160"/>
      <c r="LBH3000" s="568"/>
      <c r="LBI3000" s="125"/>
      <c r="LBJ3000" s="470"/>
      <c r="LBK3000" s="449"/>
      <c r="LBL3000" s="462"/>
      <c r="LBM3000" s="299"/>
      <c r="LBN3000" s="81"/>
      <c r="LBO3000" s="160"/>
      <c r="LBP3000" s="568"/>
      <c r="LBQ3000" s="125"/>
      <c r="LBR3000" s="470"/>
      <c r="LBS3000" s="449"/>
      <c r="LBT3000" s="462"/>
      <c r="LBU3000" s="299"/>
      <c r="LBV3000" s="81"/>
      <c r="LBW3000" s="160"/>
      <c r="LBX3000" s="568"/>
      <c r="LBY3000" s="125"/>
      <c r="LBZ3000" s="470"/>
      <c r="LCA3000" s="449"/>
      <c r="LCB3000" s="462"/>
      <c r="LCC3000" s="299"/>
      <c r="LCD3000" s="81"/>
      <c r="LCE3000" s="160"/>
      <c r="LCF3000" s="568"/>
      <c r="LCG3000" s="125"/>
      <c r="LCH3000" s="470"/>
      <c r="LCI3000" s="449"/>
      <c r="LCJ3000" s="462"/>
      <c r="LCK3000" s="299"/>
      <c r="LCL3000" s="81"/>
      <c r="LCM3000" s="160"/>
      <c r="LCN3000" s="568"/>
      <c r="LCO3000" s="125"/>
      <c r="LCP3000" s="470"/>
      <c r="LCQ3000" s="449"/>
      <c r="LCR3000" s="462"/>
      <c r="LCS3000" s="299"/>
      <c r="LCT3000" s="81"/>
      <c r="LCU3000" s="160"/>
      <c r="LCV3000" s="568"/>
      <c r="LCW3000" s="125"/>
      <c r="LCX3000" s="470"/>
      <c r="LCY3000" s="449"/>
      <c r="LCZ3000" s="462"/>
      <c r="LDA3000" s="299"/>
      <c r="LDB3000" s="81"/>
      <c r="LDC3000" s="160"/>
      <c r="LDD3000" s="568"/>
      <c r="LDE3000" s="125"/>
      <c r="LDF3000" s="470"/>
      <c r="LDG3000" s="449"/>
      <c r="LDH3000" s="462"/>
      <c r="LDI3000" s="299"/>
      <c r="LDJ3000" s="81"/>
      <c r="LDK3000" s="160"/>
      <c r="LDL3000" s="568"/>
      <c r="LDM3000" s="125"/>
      <c r="LDN3000" s="470"/>
      <c r="LDO3000" s="449"/>
      <c r="LDP3000" s="462"/>
      <c r="LDQ3000" s="299"/>
      <c r="LDR3000" s="81"/>
      <c r="LDS3000" s="160"/>
      <c r="LDT3000" s="568"/>
      <c r="LDU3000" s="125"/>
      <c r="LDV3000" s="470"/>
      <c r="LDW3000" s="449"/>
      <c r="LDX3000" s="462"/>
      <c r="LDY3000" s="299"/>
      <c r="LDZ3000" s="81"/>
      <c r="LEA3000" s="160"/>
      <c r="LEB3000" s="568"/>
      <c r="LEC3000" s="125"/>
      <c r="LED3000" s="470"/>
      <c r="LEE3000" s="449"/>
      <c r="LEF3000" s="462"/>
      <c r="LEG3000" s="299"/>
      <c r="LEH3000" s="81"/>
      <c r="LEI3000" s="160"/>
      <c r="LEJ3000" s="568"/>
      <c r="LEK3000" s="125"/>
      <c r="LEL3000" s="470"/>
      <c r="LEM3000" s="449"/>
      <c r="LEN3000" s="462"/>
      <c r="LEO3000" s="299"/>
      <c r="LEP3000" s="81"/>
      <c r="LEQ3000" s="160"/>
      <c r="LER3000" s="568"/>
      <c r="LES3000" s="125"/>
      <c r="LET3000" s="470"/>
      <c r="LEU3000" s="449"/>
      <c r="LEV3000" s="462"/>
      <c r="LEW3000" s="299"/>
      <c r="LEX3000" s="81"/>
      <c r="LEY3000" s="160"/>
      <c r="LEZ3000" s="568"/>
      <c r="LFA3000" s="125"/>
      <c r="LFB3000" s="470"/>
      <c r="LFC3000" s="449"/>
      <c r="LFD3000" s="462"/>
      <c r="LFE3000" s="299"/>
      <c r="LFF3000" s="81"/>
      <c r="LFG3000" s="160"/>
      <c r="LFH3000" s="568"/>
      <c r="LFI3000" s="125"/>
      <c r="LFJ3000" s="470"/>
      <c r="LFK3000" s="449"/>
      <c r="LFL3000" s="462"/>
      <c r="LFM3000" s="299"/>
      <c r="LFN3000" s="81"/>
      <c r="LFO3000" s="160"/>
      <c r="LFP3000" s="568"/>
      <c r="LFQ3000" s="125"/>
      <c r="LFR3000" s="470"/>
      <c r="LFS3000" s="449"/>
      <c r="LFT3000" s="462"/>
      <c r="LFU3000" s="299"/>
      <c r="LFV3000" s="81"/>
      <c r="LFW3000" s="160"/>
      <c r="LFX3000" s="568"/>
      <c r="LFY3000" s="125"/>
      <c r="LFZ3000" s="470"/>
      <c r="LGA3000" s="449"/>
      <c r="LGB3000" s="462"/>
      <c r="LGC3000" s="299"/>
      <c r="LGD3000" s="81"/>
      <c r="LGE3000" s="160"/>
      <c r="LGF3000" s="568"/>
      <c r="LGG3000" s="125"/>
      <c r="LGH3000" s="470"/>
      <c r="LGI3000" s="449"/>
      <c r="LGJ3000" s="462"/>
      <c r="LGK3000" s="299"/>
      <c r="LGL3000" s="81"/>
      <c r="LGM3000" s="160"/>
      <c r="LGN3000" s="568"/>
      <c r="LGO3000" s="125"/>
      <c r="LGP3000" s="470"/>
      <c r="LGQ3000" s="449"/>
      <c r="LGR3000" s="462"/>
      <c r="LGS3000" s="299"/>
      <c r="LGT3000" s="81"/>
      <c r="LGU3000" s="160"/>
      <c r="LGV3000" s="568"/>
      <c r="LGW3000" s="125"/>
      <c r="LGX3000" s="470"/>
      <c r="LGY3000" s="449"/>
      <c r="LGZ3000" s="462"/>
      <c r="LHA3000" s="299"/>
      <c r="LHB3000" s="81"/>
      <c r="LHC3000" s="160"/>
      <c r="LHD3000" s="568"/>
      <c r="LHE3000" s="125"/>
      <c r="LHF3000" s="470"/>
      <c r="LHG3000" s="449"/>
      <c r="LHH3000" s="462"/>
      <c r="LHI3000" s="299"/>
      <c r="LHJ3000" s="81"/>
      <c r="LHK3000" s="160"/>
      <c r="LHL3000" s="568"/>
      <c r="LHM3000" s="125"/>
      <c r="LHN3000" s="470"/>
      <c r="LHO3000" s="449"/>
      <c r="LHP3000" s="462"/>
      <c r="LHQ3000" s="299"/>
      <c r="LHR3000" s="81"/>
      <c r="LHS3000" s="160"/>
      <c r="LHT3000" s="568"/>
      <c r="LHU3000" s="125"/>
      <c r="LHV3000" s="470"/>
      <c r="LHW3000" s="449"/>
      <c r="LHX3000" s="462"/>
      <c r="LHY3000" s="299"/>
      <c r="LHZ3000" s="81"/>
      <c r="LIA3000" s="160"/>
      <c r="LIB3000" s="568"/>
      <c r="LIC3000" s="125"/>
      <c r="LID3000" s="470"/>
      <c r="LIE3000" s="449"/>
      <c r="LIF3000" s="462"/>
      <c r="LIG3000" s="299"/>
      <c r="LIH3000" s="81"/>
      <c r="LII3000" s="160"/>
      <c r="LIJ3000" s="568"/>
      <c r="LIK3000" s="125"/>
      <c r="LIL3000" s="470"/>
      <c r="LIM3000" s="449"/>
      <c r="LIN3000" s="462"/>
      <c r="LIO3000" s="299"/>
      <c r="LIP3000" s="81"/>
      <c r="LIQ3000" s="160"/>
      <c r="LIR3000" s="568"/>
      <c r="LIS3000" s="125"/>
      <c r="LIT3000" s="470"/>
      <c r="LIU3000" s="449"/>
      <c r="LIV3000" s="462"/>
      <c r="LIW3000" s="299"/>
      <c r="LIX3000" s="81"/>
      <c r="LIY3000" s="160"/>
      <c r="LIZ3000" s="568"/>
      <c r="LJA3000" s="125"/>
      <c r="LJB3000" s="470"/>
      <c r="LJC3000" s="449"/>
      <c r="LJD3000" s="462"/>
      <c r="LJE3000" s="299"/>
      <c r="LJF3000" s="81"/>
      <c r="LJG3000" s="160"/>
      <c r="LJH3000" s="568"/>
      <c r="LJI3000" s="125"/>
      <c r="LJJ3000" s="470"/>
      <c r="LJK3000" s="449"/>
      <c r="LJL3000" s="462"/>
      <c r="LJM3000" s="299"/>
      <c r="LJN3000" s="81"/>
      <c r="LJO3000" s="160"/>
      <c r="LJP3000" s="568"/>
      <c r="LJQ3000" s="125"/>
      <c r="LJR3000" s="470"/>
      <c r="LJS3000" s="449"/>
      <c r="LJT3000" s="462"/>
      <c r="LJU3000" s="299"/>
      <c r="LJV3000" s="81"/>
      <c r="LJW3000" s="160"/>
      <c r="LJX3000" s="568"/>
      <c r="LJY3000" s="125"/>
      <c r="LJZ3000" s="470"/>
      <c r="LKA3000" s="449"/>
      <c r="LKB3000" s="462"/>
      <c r="LKC3000" s="299"/>
      <c r="LKD3000" s="81"/>
      <c r="LKE3000" s="160"/>
      <c r="LKF3000" s="568"/>
      <c r="LKG3000" s="125"/>
      <c r="LKH3000" s="470"/>
      <c r="LKI3000" s="449"/>
      <c r="LKJ3000" s="462"/>
      <c r="LKK3000" s="299"/>
      <c r="LKL3000" s="81"/>
      <c r="LKM3000" s="160"/>
      <c r="LKN3000" s="568"/>
      <c r="LKO3000" s="125"/>
      <c r="LKP3000" s="470"/>
      <c r="LKQ3000" s="449"/>
      <c r="LKR3000" s="462"/>
      <c r="LKS3000" s="299"/>
      <c r="LKT3000" s="81"/>
      <c r="LKU3000" s="160"/>
      <c r="LKV3000" s="568"/>
      <c r="LKW3000" s="125"/>
      <c r="LKX3000" s="470"/>
      <c r="LKY3000" s="449"/>
      <c r="LKZ3000" s="462"/>
      <c r="LLA3000" s="299"/>
      <c r="LLB3000" s="81"/>
      <c r="LLC3000" s="160"/>
      <c r="LLD3000" s="568"/>
      <c r="LLE3000" s="125"/>
      <c r="LLF3000" s="470"/>
      <c r="LLG3000" s="449"/>
      <c r="LLH3000" s="462"/>
      <c r="LLI3000" s="299"/>
      <c r="LLJ3000" s="81"/>
      <c r="LLK3000" s="160"/>
      <c r="LLL3000" s="568"/>
      <c r="LLM3000" s="125"/>
      <c r="LLN3000" s="470"/>
      <c r="LLO3000" s="449"/>
      <c r="LLP3000" s="462"/>
      <c r="LLQ3000" s="299"/>
      <c r="LLR3000" s="81"/>
      <c r="LLS3000" s="160"/>
      <c r="LLT3000" s="568"/>
      <c r="LLU3000" s="125"/>
      <c r="LLV3000" s="470"/>
      <c r="LLW3000" s="449"/>
      <c r="LLX3000" s="462"/>
      <c r="LLY3000" s="299"/>
      <c r="LLZ3000" s="81"/>
      <c r="LMA3000" s="160"/>
      <c r="LMB3000" s="568"/>
      <c r="LMC3000" s="125"/>
      <c r="LMD3000" s="470"/>
      <c r="LME3000" s="449"/>
      <c r="LMF3000" s="462"/>
      <c r="LMG3000" s="299"/>
      <c r="LMH3000" s="81"/>
      <c r="LMI3000" s="160"/>
      <c r="LMJ3000" s="568"/>
      <c r="LMK3000" s="125"/>
      <c r="LML3000" s="470"/>
      <c r="LMM3000" s="449"/>
      <c r="LMN3000" s="462"/>
      <c r="LMO3000" s="299"/>
      <c r="LMP3000" s="81"/>
      <c r="LMQ3000" s="160"/>
      <c r="LMR3000" s="568"/>
      <c r="LMS3000" s="125"/>
      <c r="LMT3000" s="470"/>
      <c r="LMU3000" s="449"/>
      <c r="LMV3000" s="462"/>
      <c r="LMW3000" s="299"/>
      <c r="LMX3000" s="81"/>
      <c r="LMY3000" s="160"/>
      <c r="LMZ3000" s="568"/>
      <c r="LNA3000" s="125"/>
      <c r="LNB3000" s="470"/>
      <c r="LNC3000" s="449"/>
      <c r="LND3000" s="462"/>
      <c r="LNE3000" s="299"/>
      <c r="LNF3000" s="81"/>
      <c r="LNG3000" s="160"/>
      <c r="LNH3000" s="568"/>
      <c r="LNI3000" s="125"/>
      <c r="LNJ3000" s="470"/>
      <c r="LNK3000" s="449"/>
      <c r="LNL3000" s="462"/>
      <c r="LNM3000" s="299"/>
      <c r="LNN3000" s="81"/>
      <c r="LNO3000" s="160"/>
      <c r="LNP3000" s="568"/>
      <c r="LNQ3000" s="125"/>
      <c r="LNR3000" s="470"/>
      <c r="LNS3000" s="449"/>
      <c r="LNT3000" s="462"/>
      <c r="LNU3000" s="299"/>
      <c r="LNV3000" s="81"/>
      <c r="LNW3000" s="160"/>
      <c r="LNX3000" s="568"/>
      <c r="LNY3000" s="125"/>
      <c r="LNZ3000" s="470"/>
      <c r="LOA3000" s="449"/>
      <c r="LOB3000" s="462"/>
      <c r="LOC3000" s="299"/>
      <c r="LOD3000" s="81"/>
      <c r="LOE3000" s="160"/>
      <c r="LOF3000" s="568"/>
      <c r="LOG3000" s="125"/>
      <c r="LOH3000" s="470"/>
      <c r="LOI3000" s="449"/>
      <c r="LOJ3000" s="462"/>
      <c r="LOK3000" s="299"/>
      <c r="LOL3000" s="81"/>
      <c r="LOM3000" s="160"/>
      <c r="LON3000" s="568"/>
      <c r="LOO3000" s="125"/>
      <c r="LOP3000" s="470"/>
      <c r="LOQ3000" s="449"/>
      <c r="LOR3000" s="462"/>
      <c r="LOS3000" s="299"/>
      <c r="LOT3000" s="81"/>
      <c r="LOU3000" s="160"/>
      <c r="LOV3000" s="568"/>
      <c r="LOW3000" s="125"/>
      <c r="LOX3000" s="470"/>
      <c r="LOY3000" s="449"/>
      <c r="LOZ3000" s="462"/>
      <c r="LPA3000" s="299"/>
      <c r="LPB3000" s="81"/>
      <c r="LPC3000" s="160"/>
      <c r="LPD3000" s="568"/>
      <c r="LPE3000" s="125"/>
      <c r="LPF3000" s="470"/>
      <c r="LPG3000" s="449"/>
      <c r="LPH3000" s="462"/>
      <c r="LPI3000" s="299"/>
      <c r="LPJ3000" s="81"/>
      <c r="LPK3000" s="160"/>
      <c r="LPL3000" s="568"/>
      <c r="LPM3000" s="125"/>
      <c r="LPN3000" s="470"/>
      <c r="LPO3000" s="449"/>
      <c r="LPP3000" s="462"/>
      <c r="LPQ3000" s="299"/>
      <c r="LPR3000" s="81"/>
      <c r="LPS3000" s="160"/>
      <c r="LPT3000" s="568"/>
      <c r="LPU3000" s="125"/>
      <c r="LPV3000" s="470"/>
      <c r="LPW3000" s="449"/>
      <c r="LPX3000" s="462"/>
      <c r="LPY3000" s="299"/>
      <c r="LPZ3000" s="81"/>
      <c r="LQA3000" s="160"/>
      <c r="LQB3000" s="568"/>
      <c r="LQC3000" s="125"/>
      <c r="LQD3000" s="470"/>
      <c r="LQE3000" s="449"/>
      <c r="LQF3000" s="462"/>
      <c r="LQG3000" s="299"/>
      <c r="LQH3000" s="81"/>
      <c r="LQI3000" s="160"/>
      <c r="LQJ3000" s="568"/>
      <c r="LQK3000" s="125"/>
      <c r="LQL3000" s="470"/>
      <c r="LQM3000" s="449"/>
      <c r="LQN3000" s="462"/>
      <c r="LQO3000" s="299"/>
      <c r="LQP3000" s="81"/>
      <c r="LQQ3000" s="160"/>
      <c r="LQR3000" s="568"/>
      <c r="LQS3000" s="125"/>
      <c r="LQT3000" s="470"/>
      <c r="LQU3000" s="449"/>
      <c r="LQV3000" s="462"/>
      <c r="LQW3000" s="299"/>
      <c r="LQX3000" s="81"/>
      <c r="LQY3000" s="160"/>
      <c r="LQZ3000" s="568"/>
      <c r="LRA3000" s="125"/>
      <c r="LRB3000" s="470"/>
      <c r="LRC3000" s="449"/>
      <c r="LRD3000" s="462"/>
      <c r="LRE3000" s="299"/>
      <c r="LRF3000" s="81"/>
      <c r="LRG3000" s="160"/>
      <c r="LRH3000" s="568"/>
      <c r="LRI3000" s="125"/>
      <c r="LRJ3000" s="470"/>
      <c r="LRK3000" s="449"/>
      <c r="LRL3000" s="462"/>
      <c r="LRM3000" s="299"/>
      <c r="LRN3000" s="81"/>
      <c r="LRO3000" s="160"/>
      <c r="LRP3000" s="568"/>
      <c r="LRQ3000" s="125"/>
      <c r="LRR3000" s="470"/>
      <c r="LRS3000" s="449"/>
      <c r="LRT3000" s="462"/>
      <c r="LRU3000" s="299"/>
      <c r="LRV3000" s="81"/>
      <c r="LRW3000" s="160"/>
      <c r="LRX3000" s="568"/>
      <c r="LRY3000" s="125"/>
      <c r="LRZ3000" s="470"/>
      <c r="LSA3000" s="449"/>
      <c r="LSB3000" s="462"/>
      <c r="LSC3000" s="299"/>
      <c r="LSD3000" s="81"/>
      <c r="LSE3000" s="160"/>
      <c r="LSF3000" s="568"/>
      <c r="LSG3000" s="125"/>
      <c r="LSH3000" s="470"/>
      <c r="LSI3000" s="449"/>
      <c r="LSJ3000" s="462"/>
      <c r="LSK3000" s="299"/>
      <c r="LSL3000" s="81"/>
      <c r="LSM3000" s="160"/>
      <c r="LSN3000" s="568"/>
      <c r="LSO3000" s="125"/>
      <c r="LSP3000" s="470"/>
      <c r="LSQ3000" s="449"/>
      <c r="LSR3000" s="462"/>
      <c r="LSS3000" s="299"/>
      <c r="LST3000" s="81"/>
      <c r="LSU3000" s="160"/>
      <c r="LSV3000" s="568"/>
      <c r="LSW3000" s="125"/>
      <c r="LSX3000" s="470"/>
      <c r="LSY3000" s="449"/>
      <c r="LSZ3000" s="462"/>
      <c r="LTA3000" s="299"/>
      <c r="LTB3000" s="81"/>
      <c r="LTC3000" s="160"/>
      <c r="LTD3000" s="568"/>
      <c r="LTE3000" s="125"/>
      <c r="LTF3000" s="470"/>
      <c r="LTG3000" s="449"/>
      <c r="LTH3000" s="462"/>
      <c r="LTI3000" s="299"/>
      <c r="LTJ3000" s="81"/>
      <c r="LTK3000" s="160"/>
      <c r="LTL3000" s="568"/>
      <c r="LTM3000" s="125"/>
      <c r="LTN3000" s="470"/>
      <c r="LTO3000" s="449"/>
      <c r="LTP3000" s="462"/>
      <c r="LTQ3000" s="299"/>
      <c r="LTR3000" s="81"/>
      <c r="LTS3000" s="160"/>
      <c r="LTT3000" s="568"/>
      <c r="LTU3000" s="125"/>
      <c r="LTV3000" s="470"/>
      <c r="LTW3000" s="449"/>
      <c r="LTX3000" s="462"/>
      <c r="LTY3000" s="299"/>
      <c r="LTZ3000" s="81"/>
      <c r="LUA3000" s="160"/>
      <c r="LUB3000" s="568"/>
      <c r="LUC3000" s="125"/>
      <c r="LUD3000" s="470"/>
      <c r="LUE3000" s="449"/>
      <c r="LUF3000" s="462"/>
      <c r="LUG3000" s="299"/>
      <c r="LUH3000" s="81"/>
      <c r="LUI3000" s="160"/>
      <c r="LUJ3000" s="568"/>
      <c r="LUK3000" s="125"/>
      <c r="LUL3000" s="470"/>
      <c r="LUM3000" s="449"/>
      <c r="LUN3000" s="462"/>
      <c r="LUO3000" s="299"/>
      <c r="LUP3000" s="81"/>
      <c r="LUQ3000" s="160"/>
      <c r="LUR3000" s="568"/>
      <c r="LUS3000" s="125"/>
      <c r="LUT3000" s="470"/>
      <c r="LUU3000" s="449"/>
      <c r="LUV3000" s="462"/>
      <c r="LUW3000" s="299"/>
      <c r="LUX3000" s="81"/>
      <c r="LUY3000" s="160"/>
      <c r="LUZ3000" s="568"/>
      <c r="LVA3000" s="125"/>
      <c r="LVB3000" s="470"/>
      <c r="LVC3000" s="449"/>
      <c r="LVD3000" s="462"/>
      <c r="LVE3000" s="299"/>
      <c r="LVF3000" s="81"/>
      <c r="LVG3000" s="160"/>
      <c r="LVH3000" s="568"/>
      <c r="LVI3000" s="125"/>
      <c r="LVJ3000" s="470"/>
      <c r="LVK3000" s="449"/>
      <c r="LVL3000" s="462"/>
      <c r="LVM3000" s="299"/>
      <c r="LVN3000" s="81"/>
      <c r="LVO3000" s="160"/>
      <c r="LVP3000" s="568"/>
      <c r="LVQ3000" s="125"/>
      <c r="LVR3000" s="470"/>
      <c r="LVS3000" s="449"/>
      <c r="LVT3000" s="462"/>
      <c r="LVU3000" s="299"/>
      <c r="LVV3000" s="81"/>
      <c r="LVW3000" s="160"/>
      <c r="LVX3000" s="568"/>
      <c r="LVY3000" s="125"/>
      <c r="LVZ3000" s="470"/>
      <c r="LWA3000" s="449"/>
      <c r="LWB3000" s="462"/>
      <c r="LWC3000" s="299"/>
      <c r="LWD3000" s="81"/>
      <c r="LWE3000" s="160"/>
      <c r="LWF3000" s="568"/>
      <c r="LWG3000" s="125"/>
      <c r="LWH3000" s="470"/>
      <c r="LWI3000" s="449"/>
      <c r="LWJ3000" s="462"/>
      <c r="LWK3000" s="299"/>
      <c r="LWL3000" s="81"/>
      <c r="LWM3000" s="160"/>
      <c r="LWN3000" s="568"/>
      <c r="LWO3000" s="125"/>
      <c r="LWP3000" s="470"/>
      <c r="LWQ3000" s="449"/>
      <c r="LWR3000" s="462"/>
      <c r="LWS3000" s="299"/>
      <c r="LWT3000" s="81"/>
      <c r="LWU3000" s="160"/>
      <c r="LWV3000" s="568"/>
      <c r="LWW3000" s="125"/>
      <c r="LWX3000" s="470"/>
      <c r="LWY3000" s="449"/>
      <c r="LWZ3000" s="462"/>
      <c r="LXA3000" s="299"/>
      <c r="LXB3000" s="81"/>
      <c r="LXC3000" s="160"/>
      <c r="LXD3000" s="568"/>
      <c r="LXE3000" s="125"/>
      <c r="LXF3000" s="470"/>
      <c r="LXG3000" s="449"/>
      <c r="LXH3000" s="462"/>
      <c r="LXI3000" s="299"/>
      <c r="LXJ3000" s="81"/>
      <c r="LXK3000" s="160"/>
      <c r="LXL3000" s="568"/>
      <c r="LXM3000" s="125"/>
      <c r="LXN3000" s="470"/>
      <c r="LXO3000" s="449"/>
      <c r="LXP3000" s="462"/>
      <c r="LXQ3000" s="299"/>
      <c r="LXR3000" s="81"/>
      <c r="LXS3000" s="160"/>
      <c r="LXT3000" s="568"/>
      <c r="LXU3000" s="125"/>
      <c r="LXV3000" s="470"/>
      <c r="LXW3000" s="449"/>
      <c r="LXX3000" s="462"/>
      <c r="LXY3000" s="299"/>
      <c r="LXZ3000" s="81"/>
      <c r="LYA3000" s="160"/>
      <c r="LYB3000" s="568"/>
      <c r="LYC3000" s="125"/>
      <c r="LYD3000" s="470"/>
      <c r="LYE3000" s="449"/>
      <c r="LYF3000" s="462"/>
      <c r="LYG3000" s="299"/>
      <c r="LYH3000" s="81"/>
      <c r="LYI3000" s="160"/>
      <c r="LYJ3000" s="568"/>
      <c r="LYK3000" s="125"/>
      <c r="LYL3000" s="470"/>
      <c r="LYM3000" s="449"/>
      <c r="LYN3000" s="462"/>
      <c r="LYO3000" s="299"/>
      <c r="LYP3000" s="81"/>
      <c r="LYQ3000" s="160"/>
      <c r="LYR3000" s="568"/>
      <c r="LYS3000" s="125"/>
      <c r="LYT3000" s="470"/>
      <c r="LYU3000" s="449"/>
      <c r="LYV3000" s="462"/>
      <c r="LYW3000" s="299"/>
      <c r="LYX3000" s="81"/>
      <c r="LYY3000" s="160"/>
      <c r="LYZ3000" s="568"/>
      <c r="LZA3000" s="125"/>
      <c r="LZB3000" s="470"/>
      <c r="LZC3000" s="449"/>
      <c r="LZD3000" s="462"/>
      <c r="LZE3000" s="299"/>
      <c r="LZF3000" s="81"/>
      <c r="LZG3000" s="160"/>
      <c r="LZH3000" s="568"/>
      <c r="LZI3000" s="125"/>
      <c r="LZJ3000" s="470"/>
      <c r="LZK3000" s="449"/>
      <c r="LZL3000" s="462"/>
      <c r="LZM3000" s="299"/>
      <c r="LZN3000" s="81"/>
      <c r="LZO3000" s="160"/>
      <c r="LZP3000" s="568"/>
      <c r="LZQ3000" s="125"/>
      <c r="LZR3000" s="470"/>
      <c r="LZS3000" s="449"/>
      <c r="LZT3000" s="462"/>
      <c r="LZU3000" s="299"/>
      <c r="LZV3000" s="81"/>
      <c r="LZW3000" s="160"/>
      <c r="LZX3000" s="568"/>
      <c r="LZY3000" s="125"/>
      <c r="LZZ3000" s="470"/>
      <c r="MAA3000" s="449"/>
      <c r="MAB3000" s="462"/>
      <c r="MAC3000" s="299"/>
      <c r="MAD3000" s="81"/>
      <c r="MAE3000" s="160"/>
      <c r="MAF3000" s="568"/>
      <c r="MAG3000" s="125"/>
      <c r="MAH3000" s="470"/>
      <c r="MAI3000" s="449"/>
      <c r="MAJ3000" s="462"/>
      <c r="MAK3000" s="299"/>
      <c r="MAL3000" s="81"/>
      <c r="MAM3000" s="160"/>
      <c r="MAN3000" s="568"/>
      <c r="MAO3000" s="125"/>
      <c r="MAP3000" s="470"/>
      <c r="MAQ3000" s="449"/>
      <c r="MAR3000" s="462"/>
      <c r="MAS3000" s="299"/>
      <c r="MAT3000" s="81"/>
      <c r="MAU3000" s="160"/>
      <c r="MAV3000" s="568"/>
      <c r="MAW3000" s="125"/>
      <c r="MAX3000" s="470"/>
      <c r="MAY3000" s="449"/>
      <c r="MAZ3000" s="462"/>
      <c r="MBA3000" s="299"/>
      <c r="MBB3000" s="81"/>
      <c r="MBC3000" s="160"/>
      <c r="MBD3000" s="568"/>
      <c r="MBE3000" s="125"/>
      <c r="MBF3000" s="470"/>
      <c r="MBG3000" s="449"/>
      <c r="MBH3000" s="462"/>
      <c r="MBI3000" s="299"/>
      <c r="MBJ3000" s="81"/>
      <c r="MBK3000" s="160"/>
      <c r="MBL3000" s="568"/>
      <c r="MBM3000" s="125"/>
      <c r="MBN3000" s="470"/>
      <c r="MBO3000" s="449"/>
      <c r="MBP3000" s="462"/>
      <c r="MBQ3000" s="299"/>
      <c r="MBR3000" s="81"/>
      <c r="MBS3000" s="160"/>
      <c r="MBT3000" s="568"/>
      <c r="MBU3000" s="125"/>
      <c r="MBV3000" s="470"/>
      <c r="MBW3000" s="449"/>
      <c r="MBX3000" s="462"/>
      <c r="MBY3000" s="299"/>
      <c r="MBZ3000" s="81"/>
      <c r="MCA3000" s="160"/>
      <c r="MCB3000" s="568"/>
      <c r="MCC3000" s="125"/>
      <c r="MCD3000" s="470"/>
      <c r="MCE3000" s="449"/>
      <c r="MCF3000" s="462"/>
      <c r="MCG3000" s="299"/>
      <c r="MCH3000" s="81"/>
      <c r="MCI3000" s="160"/>
      <c r="MCJ3000" s="568"/>
      <c r="MCK3000" s="125"/>
      <c r="MCL3000" s="470"/>
      <c r="MCM3000" s="449"/>
      <c r="MCN3000" s="462"/>
      <c r="MCO3000" s="299"/>
      <c r="MCP3000" s="81"/>
      <c r="MCQ3000" s="160"/>
      <c r="MCR3000" s="568"/>
      <c r="MCS3000" s="125"/>
      <c r="MCT3000" s="470"/>
      <c r="MCU3000" s="449"/>
      <c r="MCV3000" s="462"/>
      <c r="MCW3000" s="299"/>
      <c r="MCX3000" s="81"/>
      <c r="MCY3000" s="160"/>
      <c r="MCZ3000" s="568"/>
      <c r="MDA3000" s="125"/>
      <c r="MDB3000" s="470"/>
      <c r="MDC3000" s="449"/>
      <c r="MDD3000" s="462"/>
      <c r="MDE3000" s="299"/>
      <c r="MDF3000" s="81"/>
      <c r="MDG3000" s="160"/>
      <c r="MDH3000" s="568"/>
      <c r="MDI3000" s="125"/>
      <c r="MDJ3000" s="470"/>
      <c r="MDK3000" s="449"/>
      <c r="MDL3000" s="462"/>
      <c r="MDM3000" s="299"/>
      <c r="MDN3000" s="81"/>
      <c r="MDO3000" s="160"/>
      <c r="MDP3000" s="568"/>
      <c r="MDQ3000" s="125"/>
      <c r="MDR3000" s="470"/>
      <c r="MDS3000" s="449"/>
      <c r="MDT3000" s="462"/>
      <c r="MDU3000" s="299"/>
      <c r="MDV3000" s="81"/>
      <c r="MDW3000" s="160"/>
      <c r="MDX3000" s="568"/>
      <c r="MDY3000" s="125"/>
      <c r="MDZ3000" s="470"/>
      <c r="MEA3000" s="449"/>
      <c r="MEB3000" s="462"/>
      <c r="MEC3000" s="299"/>
      <c r="MED3000" s="81"/>
      <c r="MEE3000" s="160"/>
      <c r="MEF3000" s="568"/>
      <c r="MEG3000" s="125"/>
      <c r="MEH3000" s="470"/>
      <c r="MEI3000" s="449"/>
      <c r="MEJ3000" s="462"/>
      <c r="MEK3000" s="299"/>
      <c r="MEL3000" s="81"/>
      <c r="MEM3000" s="160"/>
      <c r="MEN3000" s="568"/>
      <c r="MEO3000" s="125"/>
      <c r="MEP3000" s="470"/>
      <c r="MEQ3000" s="449"/>
      <c r="MER3000" s="462"/>
      <c r="MES3000" s="299"/>
      <c r="MET3000" s="81"/>
      <c r="MEU3000" s="160"/>
      <c r="MEV3000" s="568"/>
      <c r="MEW3000" s="125"/>
      <c r="MEX3000" s="470"/>
      <c r="MEY3000" s="449"/>
      <c r="MEZ3000" s="462"/>
      <c r="MFA3000" s="299"/>
      <c r="MFB3000" s="81"/>
      <c r="MFC3000" s="160"/>
      <c r="MFD3000" s="568"/>
      <c r="MFE3000" s="125"/>
      <c r="MFF3000" s="470"/>
      <c r="MFG3000" s="449"/>
      <c r="MFH3000" s="462"/>
      <c r="MFI3000" s="299"/>
      <c r="MFJ3000" s="81"/>
      <c r="MFK3000" s="160"/>
      <c r="MFL3000" s="568"/>
      <c r="MFM3000" s="125"/>
      <c r="MFN3000" s="470"/>
      <c r="MFO3000" s="449"/>
      <c r="MFP3000" s="462"/>
      <c r="MFQ3000" s="299"/>
      <c r="MFR3000" s="81"/>
      <c r="MFS3000" s="160"/>
      <c r="MFT3000" s="568"/>
      <c r="MFU3000" s="125"/>
      <c r="MFV3000" s="470"/>
      <c r="MFW3000" s="449"/>
      <c r="MFX3000" s="462"/>
      <c r="MFY3000" s="299"/>
      <c r="MFZ3000" s="81"/>
      <c r="MGA3000" s="160"/>
      <c r="MGB3000" s="568"/>
      <c r="MGC3000" s="125"/>
      <c r="MGD3000" s="470"/>
      <c r="MGE3000" s="449"/>
      <c r="MGF3000" s="462"/>
      <c r="MGG3000" s="299"/>
      <c r="MGH3000" s="81"/>
      <c r="MGI3000" s="160"/>
      <c r="MGJ3000" s="568"/>
      <c r="MGK3000" s="125"/>
      <c r="MGL3000" s="470"/>
      <c r="MGM3000" s="449"/>
      <c r="MGN3000" s="462"/>
      <c r="MGO3000" s="299"/>
      <c r="MGP3000" s="81"/>
      <c r="MGQ3000" s="160"/>
      <c r="MGR3000" s="568"/>
      <c r="MGS3000" s="125"/>
      <c r="MGT3000" s="470"/>
      <c r="MGU3000" s="449"/>
      <c r="MGV3000" s="462"/>
      <c r="MGW3000" s="299"/>
      <c r="MGX3000" s="81"/>
      <c r="MGY3000" s="160"/>
      <c r="MGZ3000" s="568"/>
      <c r="MHA3000" s="125"/>
      <c r="MHB3000" s="470"/>
      <c r="MHC3000" s="449"/>
      <c r="MHD3000" s="462"/>
      <c r="MHE3000" s="299"/>
      <c r="MHF3000" s="81"/>
      <c r="MHG3000" s="160"/>
      <c r="MHH3000" s="568"/>
      <c r="MHI3000" s="125"/>
      <c r="MHJ3000" s="470"/>
      <c r="MHK3000" s="449"/>
      <c r="MHL3000" s="462"/>
      <c r="MHM3000" s="299"/>
      <c r="MHN3000" s="81"/>
      <c r="MHO3000" s="160"/>
      <c r="MHP3000" s="568"/>
      <c r="MHQ3000" s="125"/>
      <c r="MHR3000" s="470"/>
      <c r="MHS3000" s="449"/>
      <c r="MHT3000" s="462"/>
      <c r="MHU3000" s="299"/>
      <c r="MHV3000" s="81"/>
      <c r="MHW3000" s="160"/>
      <c r="MHX3000" s="568"/>
      <c r="MHY3000" s="125"/>
      <c r="MHZ3000" s="470"/>
      <c r="MIA3000" s="449"/>
      <c r="MIB3000" s="462"/>
      <c r="MIC3000" s="299"/>
      <c r="MID3000" s="81"/>
      <c r="MIE3000" s="160"/>
      <c r="MIF3000" s="568"/>
      <c r="MIG3000" s="125"/>
      <c r="MIH3000" s="470"/>
      <c r="MII3000" s="449"/>
      <c r="MIJ3000" s="462"/>
      <c r="MIK3000" s="299"/>
      <c r="MIL3000" s="81"/>
      <c r="MIM3000" s="160"/>
      <c r="MIN3000" s="568"/>
      <c r="MIO3000" s="125"/>
      <c r="MIP3000" s="470"/>
      <c r="MIQ3000" s="449"/>
      <c r="MIR3000" s="462"/>
      <c r="MIS3000" s="299"/>
      <c r="MIT3000" s="81"/>
      <c r="MIU3000" s="160"/>
      <c r="MIV3000" s="568"/>
      <c r="MIW3000" s="125"/>
      <c r="MIX3000" s="470"/>
      <c r="MIY3000" s="449"/>
      <c r="MIZ3000" s="462"/>
      <c r="MJA3000" s="299"/>
      <c r="MJB3000" s="81"/>
      <c r="MJC3000" s="160"/>
      <c r="MJD3000" s="568"/>
      <c r="MJE3000" s="125"/>
      <c r="MJF3000" s="470"/>
      <c r="MJG3000" s="449"/>
      <c r="MJH3000" s="462"/>
      <c r="MJI3000" s="299"/>
      <c r="MJJ3000" s="81"/>
      <c r="MJK3000" s="160"/>
      <c r="MJL3000" s="568"/>
      <c r="MJM3000" s="125"/>
      <c r="MJN3000" s="470"/>
      <c r="MJO3000" s="449"/>
      <c r="MJP3000" s="462"/>
      <c r="MJQ3000" s="299"/>
      <c r="MJR3000" s="81"/>
      <c r="MJS3000" s="160"/>
      <c r="MJT3000" s="568"/>
      <c r="MJU3000" s="125"/>
      <c r="MJV3000" s="470"/>
      <c r="MJW3000" s="449"/>
      <c r="MJX3000" s="462"/>
      <c r="MJY3000" s="299"/>
      <c r="MJZ3000" s="81"/>
      <c r="MKA3000" s="160"/>
      <c r="MKB3000" s="568"/>
      <c r="MKC3000" s="125"/>
      <c r="MKD3000" s="470"/>
      <c r="MKE3000" s="449"/>
      <c r="MKF3000" s="462"/>
      <c r="MKG3000" s="299"/>
      <c r="MKH3000" s="81"/>
      <c r="MKI3000" s="160"/>
      <c r="MKJ3000" s="568"/>
      <c r="MKK3000" s="125"/>
      <c r="MKL3000" s="470"/>
      <c r="MKM3000" s="449"/>
      <c r="MKN3000" s="462"/>
      <c r="MKO3000" s="299"/>
      <c r="MKP3000" s="81"/>
      <c r="MKQ3000" s="160"/>
      <c r="MKR3000" s="568"/>
      <c r="MKS3000" s="125"/>
      <c r="MKT3000" s="470"/>
      <c r="MKU3000" s="449"/>
      <c r="MKV3000" s="462"/>
      <c r="MKW3000" s="299"/>
      <c r="MKX3000" s="81"/>
      <c r="MKY3000" s="160"/>
      <c r="MKZ3000" s="568"/>
      <c r="MLA3000" s="125"/>
      <c r="MLB3000" s="470"/>
      <c r="MLC3000" s="449"/>
      <c r="MLD3000" s="462"/>
      <c r="MLE3000" s="299"/>
      <c r="MLF3000" s="81"/>
      <c r="MLG3000" s="160"/>
      <c r="MLH3000" s="568"/>
      <c r="MLI3000" s="125"/>
      <c r="MLJ3000" s="470"/>
      <c r="MLK3000" s="449"/>
      <c r="MLL3000" s="462"/>
      <c r="MLM3000" s="299"/>
      <c r="MLN3000" s="81"/>
      <c r="MLO3000" s="160"/>
      <c r="MLP3000" s="568"/>
      <c r="MLQ3000" s="125"/>
      <c r="MLR3000" s="470"/>
      <c r="MLS3000" s="449"/>
      <c r="MLT3000" s="462"/>
      <c r="MLU3000" s="299"/>
      <c r="MLV3000" s="81"/>
      <c r="MLW3000" s="160"/>
      <c r="MLX3000" s="568"/>
      <c r="MLY3000" s="125"/>
      <c r="MLZ3000" s="470"/>
      <c r="MMA3000" s="449"/>
      <c r="MMB3000" s="462"/>
      <c r="MMC3000" s="299"/>
      <c r="MMD3000" s="81"/>
      <c r="MME3000" s="160"/>
      <c r="MMF3000" s="568"/>
      <c r="MMG3000" s="125"/>
      <c r="MMH3000" s="470"/>
      <c r="MMI3000" s="449"/>
      <c r="MMJ3000" s="462"/>
      <c r="MMK3000" s="299"/>
      <c r="MML3000" s="81"/>
      <c r="MMM3000" s="160"/>
      <c r="MMN3000" s="568"/>
      <c r="MMO3000" s="125"/>
      <c r="MMP3000" s="470"/>
      <c r="MMQ3000" s="449"/>
      <c r="MMR3000" s="462"/>
      <c r="MMS3000" s="299"/>
      <c r="MMT3000" s="81"/>
      <c r="MMU3000" s="160"/>
      <c r="MMV3000" s="568"/>
      <c r="MMW3000" s="125"/>
      <c r="MMX3000" s="470"/>
      <c r="MMY3000" s="449"/>
      <c r="MMZ3000" s="462"/>
      <c r="MNA3000" s="299"/>
      <c r="MNB3000" s="81"/>
      <c r="MNC3000" s="160"/>
      <c r="MND3000" s="568"/>
      <c r="MNE3000" s="125"/>
      <c r="MNF3000" s="470"/>
      <c r="MNG3000" s="449"/>
      <c r="MNH3000" s="462"/>
      <c r="MNI3000" s="299"/>
      <c r="MNJ3000" s="81"/>
      <c r="MNK3000" s="160"/>
      <c r="MNL3000" s="568"/>
      <c r="MNM3000" s="125"/>
      <c r="MNN3000" s="470"/>
      <c r="MNO3000" s="449"/>
      <c r="MNP3000" s="462"/>
      <c r="MNQ3000" s="299"/>
      <c r="MNR3000" s="81"/>
      <c r="MNS3000" s="160"/>
      <c r="MNT3000" s="568"/>
      <c r="MNU3000" s="125"/>
      <c r="MNV3000" s="470"/>
      <c r="MNW3000" s="449"/>
      <c r="MNX3000" s="462"/>
      <c r="MNY3000" s="299"/>
      <c r="MNZ3000" s="81"/>
      <c r="MOA3000" s="160"/>
      <c r="MOB3000" s="568"/>
      <c r="MOC3000" s="125"/>
      <c r="MOD3000" s="470"/>
      <c r="MOE3000" s="449"/>
      <c r="MOF3000" s="462"/>
      <c r="MOG3000" s="299"/>
      <c r="MOH3000" s="81"/>
      <c r="MOI3000" s="160"/>
      <c r="MOJ3000" s="568"/>
      <c r="MOK3000" s="125"/>
      <c r="MOL3000" s="470"/>
      <c r="MOM3000" s="449"/>
      <c r="MON3000" s="462"/>
      <c r="MOO3000" s="299"/>
      <c r="MOP3000" s="81"/>
      <c r="MOQ3000" s="160"/>
      <c r="MOR3000" s="568"/>
      <c r="MOS3000" s="125"/>
      <c r="MOT3000" s="470"/>
      <c r="MOU3000" s="449"/>
      <c r="MOV3000" s="462"/>
      <c r="MOW3000" s="299"/>
      <c r="MOX3000" s="81"/>
      <c r="MOY3000" s="160"/>
      <c r="MOZ3000" s="568"/>
      <c r="MPA3000" s="125"/>
      <c r="MPB3000" s="470"/>
      <c r="MPC3000" s="449"/>
      <c r="MPD3000" s="462"/>
      <c r="MPE3000" s="299"/>
      <c r="MPF3000" s="81"/>
      <c r="MPG3000" s="160"/>
      <c r="MPH3000" s="568"/>
      <c r="MPI3000" s="125"/>
      <c r="MPJ3000" s="470"/>
      <c r="MPK3000" s="449"/>
      <c r="MPL3000" s="462"/>
      <c r="MPM3000" s="299"/>
      <c r="MPN3000" s="81"/>
      <c r="MPO3000" s="160"/>
      <c r="MPP3000" s="568"/>
      <c r="MPQ3000" s="125"/>
      <c r="MPR3000" s="470"/>
      <c r="MPS3000" s="449"/>
      <c r="MPT3000" s="462"/>
      <c r="MPU3000" s="299"/>
      <c r="MPV3000" s="81"/>
      <c r="MPW3000" s="160"/>
      <c r="MPX3000" s="568"/>
      <c r="MPY3000" s="125"/>
      <c r="MPZ3000" s="470"/>
      <c r="MQA3000" s="449"/>
      <c r="MQB3000" s="462"/>
      <c r="MQC3000" s="299"/>
      <c r="MQD3000" s="81"/>
      <c r="MQE3000" s="160"/>
      <c r="MQF3000" s="568"/>
      <c r="MQG3000" s="125"/>
      <c r="MQH3000" s="470"/>
      <c r="MQI3000" s="449"/>
      <c r="MQJ3000" s="462"/>
      <c r="MQK3000" s="299"/>
      <c r="MQL3000" s="81"/>
      <c r="MQM3000" s="160"/>
      <c r="MQN3000" s="568"/>
      <c r="MQO3000" s="125"/>
      <c r="MQP3000" s="470"/>
      <c r="MQQ3000" s="449"/>
      <c r="MQR3000" s="462"/>
      <c r="MQS3000" s="299"/>
      <c r="MQT3000" s="81"/>
      <c r="MQU3000" s="160"/>
      <c r="MQV3000" s="568"/>
      <c r="MQW3000" s="125"/>
      <c r="MQX3000" s="470"/>
      <c r="MQY3000" s="449"/>
      <c r="MQZ3000" s="462"/>
      <c r="MRA3000" s="299"/>
      <c r="MRB3000" s="81"/>
      <c r="MRC3000" s="160"/>
      <c r="MRD3000" s="568"/>
      <c r="MRE3000" s="125"/>
      <c r="MRF3000" s="470"/>
      <c r="MRG3000" s="449"/>
      <c r="MRH3000" s="462"/>
      <c r="MRI3000" s="299"/>
      <c r="MRJ3000" s="81"/>
      <c r="MRK3000" s="160"/>
      <c r="MRL3000" s="568"/>
      <c r="MRM3000" s="125"/>
      <c r="MRN3000" s="470"/>
      <c r="MRO3000" s="449"/>
      <c r="MRP3000" s="462"/>
      <c r="MRQ3000" s="299"/>
      <c r="MRR3000" s="81"/>
      <c r="MRS3000" s="160"/>
      <c r="MRT3000" s="568"/>
      <c r="MRU3000" s="125"/>
      <c r="MRV3000" s="470"/>
      <c r="MRW3000" s="449"/>
      <c r="MRX3000" s="462"/>
      <c r="MRY3000" s="299"/>
      <c r="MRZ3000" s="81"/>
      <c r="MSA3000" s="160"/>
      <c r="MSB3000" s="568"/>
      <c r="MSC3000" s="125"/>
      <c r="MSD3000" s="470"/>
      <c r="MSE3000" s="449"/>
      <c r="MSF3000" s="462"/>
      <c r="MSG3000" s="299"/>
      <c r="MSH3000" s="81"/>
      <c r="MSI3000" s="160"/>
      <c r="MSJ3000" s="568"/>
      <c r="MSK3000" s="125"/>
      <c r="MSL3000" s="470"/>
      <c r="MSM3000" s="449"/>
      <c r="MSN3000" s="462"/>
      <c r="MSO3000" s="299"/>
      <c r="MSP3000" s="81"/>
      <c r="MSQ3000" s="160"/>
      <c r="MSR3000" s="568"/>
      <c r="MSS3000" s="125"/>
      <c r="MST3000" s="470"/>
      <c r="MSU3000" s="449"/>
      <c r="MSV3000" s="462"/>
      <c r="MSW3000" s="299"/>
      <c r="MSX3000" s="81"/>
      <c r="MSY3000" s="160"/>
      <c r="MSZ3000" s="568"/>
      <c r="MTA3000" s="125"/>
      <c r="MTB3000" s="470"/>
      <c r="MTC3000" s="449"/>
      <c r="MTD3000" s="462"/>
      <c r="MTE3000" s="299"/>
      <c r="MTF3000" s="81"/>
      <c r="MTG3000" s="160"/>
      <c r="MTH3000" s="568"/>
      <c r="MTI3000" s="125"/>
      <c r="MTJ3000" s="470"/>
      <c r="MTK3000" s="449"/>
      <c r="MTL3000" s="462"/>
      <c r="MTM3000" s="299"/>
      <c r="MTN3000" s="81"/>
      <c r="MTO3000" s="160"/>
      <c r="MTP3000" s="568"/>
      <c r="MTQ3000" s="125"/>
      <c r="MTR3000" s="470"/>
      <c r="MTS3000" s="449"/>
      <c r="MTT3000" s="462"/>
      <c r="MTU3000" s="299"/>
      <c r="MTV3000" s="81"/>
      <c r="MTW3000" s="160"/>
      <c r="MTX3000" s="568"/>
      <c r="MTY3000" s="125"/>
      <c r="MTZ3000" s="470"/>
      <c r="MUA3000" s="449"/>
      <c r="MUB3000" s="462"/>
      <c r="MUC3000" s="299"/>
      <c r="MUD3000" s="81"/>
      <c r="MUE3000" s="160"/>
      <c r="MUF3000" s="568"/>
      <c r="MUG3000" s="125"/>
      <c r="MUH3000" s="470"/>
      <c r="MUI3000" s="449"/>
      <c r="MUJ3000" s="462"/>
      <c r="MUK3000" s="299"/>
      <c r="MUL3000" s="81"/>
      <c r="MUM3000" s="160"/>
      <c r="MUN3000" s="568"/>
      <c r="MUO3000" s="125"/>
      <c r="MUP3000" s="470"/>
      <c r="MUQ3000" s="449"/>
      <c r="MUR3000" s="462"/>
      <c r="MUS3000" s="299"/>
      <c r="MUT3000" s="81"/>
      <c r="MUU3000" s="160"/>
      <c r="MUV3000" s="568"/>
      <c r="MUW3000" s="125"/>
      <c r="MUX3000" s="470"/>
      <c r="MUY3000" s="449"/>
      <c r="MUZ3000" s="462"/>
      <c r="MVA3000" s="299"/>
      <c r="MVB3000" s="81"/>
      <c r="MVC3000" s="160"/>
      <c r="MVD3000" s="568"/>
      <c r="MVE3000" s="125"/>
      <c r="MVF3000" s="470"/>
      <c r="MVG3000" s="449"/>
      <c r="MVH3000" s="462"/>
      <c r="MVI3000" s="299"/>
      <c r="MVJ3000" s="81"/>
      <c r="MVK3000" s="160"/>
      <c r="MVL3000" s="568"/>
      <c r="MVM3000" s="125"/>
      <c r="MVN3000" s="470"/>
      <c r="MVO3000" s="449"/>
      <c r="MVP3000" s="462"/>
      <c r="MVQ3000" s="299"/>
      <c r="MVR3000" s="81"/>
      <c r="MVS3000" s="160"/>
      <c r="MVT3000" s="568"/>
      <c r="MVU3000" s="125"/>
      <c r="MVV3000" s="470"/>
      <c r="MVW3000" s="449"/>
      <c r="MVX3000" s="462"/>
      <c r="MVY3000" s="299"/>
      <c r="MVZ3000" s="81"/>
      <c r="MWA3000" s="160"/>
      <c r="MWB3000" s="568"/>
      <c r="MWC3000" s="125"/>
      <c r="MWD3000" s="470"/>
      <c r="MWE3000" s="449"/>
      <c r="MWF3000" s="462"/>
      <c r="MWG3000" s="299"/>
      <c r="MWH3000" s="81"/>
      <c r="MWI3000" s="160"/>
      <c r="MWJ3000" s="568"/>
      <c r="MWK3000" s="125"/>
      <c r="MWL3000" s="470"/>
      <c r="MWM3000" s="449"/>
      <c r="MWN3000" s="462"/>
      <c r="MWO3000" s="299"/>
      <c r="MWP3000" s="81"/>
      <c r="MWQ3000" s="160"/>
      <c r="MWR3000" s="568"/>
      <c r="MWS3000" s="125"/>
      <c r="MWT3000" s="470"/>
      <c r="MWU3000" s="449"/>
      <c r="MWV3000" s="462"/>
      <c r="MWW3000" s="299"/>
      <c r="MWX3000" s="81"/>
      <c r="MWY3000" s="160"/>
      <c r="MWZ3000" s="568"/>
      <c r="MXA3000" s="125"/>
      <c r="MXB3000" s="470"/>
      <c r="MXC3000" s="449"/>
      <c r="MXD3000" s="462"/>
      <c r="MXE3000" s="299"/>
      <c r="MXF3000" s="81"/>
      <c r="MXG3000" s="160"/>
      <c r="MXH3000" s="568"/>
      <c r="MXI3000" s="125"/>
      <c r="MXJ3000" s="470"/>
      <c r="MXK3000" s="449"/>
      <c r="MXL3000" s="462"/>
      <c r="MXM3000" s="299"/>
      <c r="MXN3000" s="81"/>
      <c r="MXO3000" s="160"/>
      <c r="MXP3000" s="568"/>
      <c r="MXQ3000" s="125"/>
      <c r="MXR3000" s="470"/>
      <c r="MXS3000" s="449"/>
      <c r="MXT3000" s="462"/>
      <c r="MXU3000" s="299"/>
      <c r="MXV3000" s="81"/>
      <c r="MXW3000" s="160"/>
      <c r="MXX3000" s="568"/>
      <c r="MXY3000" s="125"/>
      <c r="MXZ3000" s="470"/>
      <c r="MYA3000" s="449"/>
      <c r="MYB3000" s="462"/>
      <c r="MYC3000" s="299"/>
      <c r="MYD3000" s="81"/>
      <c r="MYE3000" s="160"/>
      <c r="MYF3000" s="568"/>
      <c r="MYG3000" s="125"/>
      <c r="MYH3000" s="470"/>
      <c r="MYI3000" s="449"/>
      <c r="MYJ3000" s="462"/>
      <c r="MYK3000" s="299"/>
      <c r="MYL3000" s="81"/>
      <c r="MYM3000" s="160"/>
      <c r="MYN3000" s="568"/>
      <c r="MYO3000" s="125"/>
      <c r="MYP3000" s="470"/>
      <c r="MYQ3000" s="449"/>
      <c r="MYR3000" s="462"/>
      <c r="MYS3000" s="299"/>
      <c r="MYT3000" s="81"/>
      <c r="MYU3000" s="160"/>
      <c r="MYV3000" s="568"/>
      <c r="MYW3000" s="125"/>
      <c r="MYX3000" s="470"/>
      <c r="MYY3000" s="449"/>
      <c r="MYZ3000" s="462"/>
      <c r="MZA3000" s="299"/>
      <c r="MZB3000" s="81"/>
      <c r="MZC3000" s="160"/>
      <c r="MZD3000" s="568"/>
      <c r="MZE3000" s="125"/>
      <c r="MZF3000" s="470"/>
      <c r="MZG3000" s="449"/>
      <c r="MZH3000" s="462"/>
      <c r="MZI3000" s="299"/>
      <c r="MZJ3000" s="81"/>
      <c r="MZK3000" s="160"/>
      <c r="MZL3000" s="568"/>
      <c r="MZM3000" s="125"/>
      <c r="MZN3000" s="470"/>
      <c r="MZO3000" s="449"/>
      <c r="MZP3000" s="462"/>
      <c r="MZQ3000" s="299"/>
      <c r="MZR3000" s="81"/>
      <c r="MZS3000" s="160"/>
      <c r="MZT3000" s="568"/>
      <c r="MZU3000" s="125"/>
      <c r="MZV3000" s="470"/>
      <c r="MZW3000" s="449"/>
      <c r="MZX3000" s="462"/>
      <c r="MZY3000" s="299"/>
      <c r="MZZ3000" s="81"/>
      <c r="NAA3000" s="160"/>
      <c r="NAB3000" s="568"/>
      <c r="NAC3000" s="125"/>
      <c r="NAD3000" s="470"/>
      <c r="NAE3000" s="449"/>
      <c r="NAF3000" s="462"/>
      <c r="NAG3000" s="299"/>
      <c r="NAH3000" s="81"/>
      <c r="NAI3000" s="160"/>
      <c r="NAJ3000" s="568"/>
      <c r="NAK3000" s="125"/>
      <c r="NAL3000" s="470"/>
      <c r="NAM3000" s="449"/>
      <c r="NAN3000" s="462"/>
      <c r="NAO3000" s="299"/>
      <c r="NAP3000" s="81"/>
      <c r="NAQ3000" s="160"/>
      <c r="NAR3000" s="568"/>
      <c r="NAS3000" s="125"/>
      <c r="NAT3000" s="470"/>
      <c r="NAU3000" s="449"/>
      <c r="NAV3000" s="462"/>
      <c r="NAW3000" s="299"/>
      <c r="NAX3000" s="81"/>
      <c r="NAY3000" s="160"/>
      <c r="NAZ3000" s="568"/>
      <c r="NBA3000" s="125"/>
      <c r="NBB3000" s="470"/>
      <c r="NBC3000" s="449"/>
      <c r="NBD3000" s="462"/>
      <c r="NBE3000" s="299"/>
      <c r="NBF3000" s="81"/>
      <c r="NBG3000" s="160"/>
      <c r="NBH3000" s="568"/>
      <c r="NBI3000" s="125"/>
      <c r="NBJ3000" s="470"/>
      <c r="NBK3000" s="449"/>
      <c r="NBL3000" s="462"/>
      <c r="NBM3000" s="299"/>
      <c r="NBN3000" s="81"/>
      <c r="NBO3000" s="160"/>
      <c r="NBP3000" s="568"/>
      <c r="NBQ3000" s="125"/>
      <c r="NBR3000" s="470"/>
      <c r="NBS3000" s="449"/>
      <c r="NBT3000" s="462"/>
      <c r="NBU3000" s="299"/>
      <c r="NBV3000" s="81"/>
      <c r="NBW3000" s="160"/>
      <c r="NBX3000" s="568"/>
      <c r="NBY3000" s="125"/>
      <c r="NBZ3000" s="470"/>
      <c r="NCA3000" s="449"/>
      <c r="NCB3000" s="462"/>
      <c r="NCC3000" s="299"/>
      <c r="NCD3000" s="81"/>
      <c r="NCE3000" s="160"/>
      <c r="NCF3000" s="568"/>
      <c r="NCG3000" s="125"/>
      <c r="NCH3000" s="470"/>
      <c r="NCI3000" s="449"/>
      <c r="NCJ3000" s="462"/>
      <c r="NCK3000" s="299"/>
      <c r="NCL3000" s="81"/>
      <c r="NCM3000" s="160"/>
      <c r="NCN3000" s="568"/>
      <c r="NCO3000" s="125"/>
      <c r="NCP3000" s="470"/>
      <c r="NCQ3000" s="449"/>
      <c r="NCR3000" s="462"/>
      <c r="NCS3000" s="299"/>
      <c r="NCT3000" s="81"/>
      <c r="NCU3000" s="160"/>
      <c r="NCV3000" s="568"/>
      <c r="NCW3000" s="125"/>
      <c r="NCX3000" s="470"/>
      <c r="NCY3000" s="449"/>
      <c r="NCZ3000" s="462"/>
      <c r="NDA3000" s="299"/>
      <c r="NDB3000" s="81"/>
      <c r="NDC3000" s="160"/>
      <c r="NDD3000" s="568"/>
      <c r="NDE3000" s="125"/>
      <c r="NDF3000" s="470"/>
      <c r="NDG3000" s="449"/>
      <c r="NDH3000" s="462"/>
      <c r="NDI3000" s="299"/>
      <c r="NDJ3000" s="81"/>
      <c r="NDK3000" s="160"/>
      <c r="NDL3000" s="568"/>
      <c r="NDM3000" s="125"/>
      <c r="NDN3000" s="470"/>
      <c r="NDO3000" s="449"/>
      <c r="NDP3000" s="462"/>
      <c r="NDQ3000" s="299"/>
      <c r="NDR3000" s="81"/>
      <c r="NDS3000" s="160"/>
      <c r="NDT3000" s="568"/>
      <c r="NDU3000" s="125"/>
      <c r="NDV3000" s="470"/>
      <c r="NDW3000" s="449"/>
      <c r="NDX3000" s="462"/>
      <c r="NDY3000" s="299"/>
      <c r="NDZ3000" s="81"/>
      <c r="NEA3000" s="160"/>
      <c r="NEB3000" s="568"/>
      <c r="NEC3000" s="125"/>
      <c r="NED3000" s="470"/>
      <c r="NEE3000" s="449"/>
      <c r="NEF3000" s="462"/>
      <c r="NEG3000" s="299"/>
      <c r="NEH3000" s="81"/>
      <c r="NEI3000" s="160"/>
      <c r="NEJ3000" s="568"/>
      <c r="NEK3000" s="125"/>
      <c r="NEL3000" s="470"/>
      <c r="NEM3000" s="449"/>
      <c r="NEN3000" s="462"/>
      <c r="NEO3000" s="299"/>
      <c r="NEP3000" s="81"/>
      <c r="NEQ3000" s="160"/>
      <c r="NER3000" s="568"/>
      <c r="NES3000" s="125"/>
      <c r="NET3000" s="470"/>
      <c r="NEU3000" s="449"/>
      <c r="NEV3000" s="462"/>
      <c r="NEW3000" s="299"/>
      <c r="NEX3000" s="81"/>
      <c r="NEY3000" s="160"/>
      <c r="NEZ3000" s="568"/>
      <c r="NFA3000" s="125"/>
      <c r="NFB3000" s="470"/>
      <c r="NFC3000" s="449"/>
      <c r="NFD3000" s="462"/>
      <c r="NFE3000" s="299"/>
      <c r="NFF3000" s="81"/>
      <c r="NFG3000" s="160"/>
      <c r="NFH3000" s="568"/>
      <c r="NFI3000" s="125"/>
      <c r="NFJ3000" s="470"/>
      <c r="NFK3000" s="449"/>
      <c r="NFL3000" s="462"/>
      <c r="NFM3000" s="299"/>
      <c r="NFN3000" s="81"/>
      <c r="NFO3000" s="160"/>
      <c r="NFP3000" s="568"/>
      <c r="NFQ3000" s="125"/>
      <c r="NFR3000" s="470"/>
      <c r="NFS3000" s="449"/>
      <c r="NFT3000" s="462"/>
      <c r="NFU3000" s="299"/>
      <c r="NFV3000" s="81"/>
      <c r="NFW3000" s="160"/>
      <c r="NFX3000" s="568"/>
      <c r="NFY3000" s="125"/>
      <c r="NFZ3000" s="470"/>
      <c r="NGA3000" s="449"/>
      <c r="NGB3000" s="462"/>
      <c r="NGC3000" s="299"/>
      <c r="NGD3000" s="81"/>
      <c r="NGE3000" s="160"/>
      <c r="NGF3000" s="568"/>
      <c r="NGG3000" s="125"/>
      <c r="NGH3000" s="470"/>
      <c r="NGI3000" s="449"/>
      <c r="NGJ3000" s="462"/>
      <c r="NGK3000" s="299"/>
      <c r="NGL3000" s="81"/>
      <c r="NGM3000" s="160"/>
      <c r="NGN3000" s="568"/>
      <c r="NGO3000" s="125"/>
      <c r="NGP3000" s="470"/>
      <c r="NGQ3000" s="449"/>
      <c r="NGR3000" s="462"/>
      <c r="NGS3000" s="299"/>
      <c r="NGT3000" s="81"/>
      <c r="NGU3000" s="160"/>
      <c r="NGV3000" s="568"/>
      <c r="NGW3000" s="125"/>
      <c r="NGX3000" s="470"/>
      <c r="NGY3000" s="449"/>
      <c r="NGZ3000" s="462"/>
      <c r="NHA3000" s="299"/>
      <c r="NHB3000" s="81"/>
      <c r="NHC3000" s="160"/>
      <c r="NHD3000" s="568"/>
      <c r="NHE3000" s="125"/>
      <c r="NHF3000" s="470"/>
      <c r="NHG3000" s="449"/>
      <c r="NHH3000" s="462"/>
      <c r="NHI3000" s="299"/>
      <c r="NHJ3000" s="81"/>
      <c r="NHK3000" s="160"/>
      <c r="NHL3000" s="568"/>
      <c r="NHM3000" s="125"/>
      <c r="NHN3000" s="470"/>
      <c r="NHO3000" s="449"/>
      <c r="NHP3000" s="462"/>
      <c r="NHQ3000" s="299"/>
      <c r="NHR3000" s="81"/>
      <c r="NHS3000" s="160"/>
      <c r="NHT3000" s="568"/>
      <c r="NHU3000" s="125"/>
      <c r="NHV3000" s="470"/>
      <c r="NHW3000" s="449"/>
      <c r="NHX3000" s="462"/>
      <c r="NHY3000" s="299"/>
      <c r="NHZ3000" s="81"/>
      <c r="NIA3000" s="160"/>
      <c r="NIB3000" s="568"/>
      <c r="NIC3000" s="125"/>
      <c r="NID3000" s="470"/>
      <c r="NIE3000" s="449"/>
      <c r="NIF3000" s="462"/>
      <c r="NIG3000" s="299"/>
      <c r="NIH3000" s="81"/>
      <c r="NII3000" s="160"/>
      <c r="NIJ3000" s="568"/>
      <c r="NIK3000" s="125"/>
      <c r="NIL3000" s="470"/>
      <c r="NIM3000" s="449"/>
      <c r="NIN3000" s="462"/>
      <c r="NIO3000" s="299"/>
      <c r="NIP3000" s="81"/>
      <c r="NIQ3000" s="160"/>
      <c r="NIR3000" s="568"/>
      <c r="NIS3000" s="125"/>
      <c r="NIT3000" s="470"/>
      <c r="NIU3000" s="449"/>
      <c r="NIV3000" s="462"/>
      <c r="NIW3000" s="299"/>
      <c r="NIX3000" s="81"/>
      <c r="NIY3000" s="160"/>
      <c r="NIZ3000" s="568"/>
      <c r="NJA3000" s="125"/>
      <c r="NJB3000" s="470"/>
      <c r="NJC3000" s="449"/>
      <c r="NJD3000" s="462"/>
      <c r="NJE3000" s="299"/>
      <c r="NJF3000" s="81"/>
      <c r="NJG3000" s="160"/>
      <c r="NJH3000" s="568"/>
      <c r="NJI3000" s="125"/>
      <c r="NJJ3000" s="470"/>
      <c r="NJK3000" s="449"/>
      <c r="NJL3000" s="462"/>
      <c r="NJM3000" s="299"/>
      <c r="NJN3000" s="81"/>
      <c r="NJO3000" s="160"/>
      <c r="NJP3000" s="568"/>
      <c r="NJQ3000" s="125"/>
      <c r="NJR3000" s="470"/>
      <c r="NJS3000" s="449"/>
      <c r="NJT3000" s="462"/>
      <c r="NJU3000" s="299"/>
      <c r="NJV3000" s="81"/>
      <c r="NJW3000" s="160"/>
      <c r="NJX3000" s="568"/>
      <c r="NJY3000" s="125"/>
      <c r="NJZ3000" s="470"/>
      <c r="NKA3000" s="449"/>
      <c r="NKB3000" s="462"/>
      <c r="NKC3000" s="299"/>
      <c r="NKD3000" s="81"/>
      <c r="NKE3000" s="160"/>
      <c r="NKF3000" s="568"/>
      <c r="NKG3000" s="125"/>
      <c r="NKH3000" s="470"/>
      <c r="NKI3000" s="449"/>
      <c r="NKJ3000" s="462"/>
      <c r="NKK3000" s="299"/>
      <c r="NKL3000" s="81"/>
      <c r="NKM3000" s="160"/>
      <c r="NKN3000" s="568"/>
      <c r="NKO3000" s="125"/>
      <c r="NKP3000" s="470"/>
      <c r="NKQ3000" s="449"/>
      <c r="NKR3000" s="462"/>
      <c r="NKS3000" s="299"/>
      <c r="NKT3000" s="81"/>
      <c r="NKU3000" s="160"/>
      <c r="NKV3000" s="568"/>
      <c r="NKW3000" s="125"/>
      <c r="NKX3000" s="470"/>
      <c r="NKY3000" s="449"/>
      <c r="NKZ3000" s="462"/>
      <c r="NLA3000" s="299"/>
      <c r="NLB3000" s="81"/>
      <c r="NLC3000" s="160"/>
      <c r="NLD3000" s="568"/>
      <c r="NLE3000" s="125"/>
      <c r="NLF3000" s="470"/>
      <c r="NLG3000" s="449"/>
      <c r="NLH3000" s="462"/>
      <c r="NLI3000" s="299"/>
      <c r="NLJ3000" s="81"/>
      <c r="NLK3000" s="160"/>
      <c r="NLL3000" s="568"/>
      <c r="NLM3000" s="125"/>
      <c r="NLN3000" s="470"/>
      <c r="NLO3000" s="449"/>
      <c r="NLP3000" s="462"/>
      <c r="NLQ3000" s="299"/>
      <c r="NLR3000" s="81"/>
      <c r="NLS3000" s="160"/>
      <c r="NLT3000" s="568"/>
      <c r="NLU3000" s="125"/>
      <c r="NLV3000" s="470"/>
      <c r="NLW3000" s="449"/>
      <c r="NLX3000" s="462"/>
      <c r="NLY3000" s="299"/>
      <c r="NLZ3000" s="81"/>
      <c r="NMA3000" s="160"/>
      <c r="NMB3000" s="568"/>
      <c r="NMC3000" s="125"/>
      <c r="NMD3000" s="470"/>
      <c r="NME3000" s="449"/>
      <c r="NMF3000" s="462"/>
      <c r="NMG3000" s="299"/>
      <c r="NMH3000" s="81"/>
      <c r="NMI3000" s="160"/>
      <c r="NMJ3000" s="568"/>
      <c r="NMK3000" s="125"/>
      <c r="NML3000" s="470"/>
      <c r="NMM3000" s="449"/>
      <c r="NMN3000" s="462"/>
      <c r="NMO3000" s="299"/>
      <c r="NMP3000" s="81"/>
      <c r="NMQ3000" s="160"/>
      <c r="NMR3000" s="568"/>
      <c r="NMS3000" s="125"/>
      <c r="NMT3000" s="470"/>
      <c r="NMU3000" s="449"/>
      <c r="NMV3000" s="462"/>
      <c r="NMW3000" s="299"/>
      <c r="NMX3000" s="81"/>
      <c r="NMY3000" s="160"/>
      <c r="NMZ3000" s="568"/>
      <c r="NNA3000" s="125"/>
      <c r="NNB3000" s="470"/>
      <c r="NNC3000" s="449"/>
      <c r="NND3000" s="462"/>
      <c r="NNE3000" s="299"/>
      <c r="NNF3000" s="81"/>
      <c r="NNG3000" s="160"/>
      <c r="NNH3000" s="568"/>
      <c r="NNI3000" s="125"/>
      <c r="NNJ3000" s="470"/>
      <c r="NNK3000" s="449"/>
      <c r="NNL3000" s="462"/>
      <c r="NNM3000" s="299"/>
      <c r="NNN3000" s="81"/>
      <c r="NNO3000" s="160"/>
      <c r="NNP3000" s="568"/>
      <c r="NNQ3000" s="125"/>
      <c r="NNR3000" s="470"/>
      <c r="NNS3000" s="449"/>
      <c r="NNT3000" s="462"/>
      <c r="NNU3000" s="299"/>
      <c r="NNV3000" s="81"/>
      <c r="NNW3000" s="160"/>
      <c r="NNX3000" s="568"/>
      <c r="NNY3000" s="125"/>
      <c r="NNZ3000" s="470"/>
      <c r="NOA3000" s="449"/>
      <c r="NOB3000" s="462"/>
      <c r="NOC3000" s="299"/>
      <c r="NOD3000" s="81"/>
      <c r="NOE3000" s="160"/>
      <c r="NOF3000" s="568"/>
      <c r="NOG3000" s="125"/>
      <c r="NOH3000" s="470"/>
      <c r="NOI3000" s="449"/>
      <c r="NOJ3000" s="462"/>
      <c r="NOK3000" s="299"/>
      <c r="NOL3000" s="81"/>
      <c r="NOM3000" s="160"/>
      <c r="NON3000" s="568"/>
      <c r="NOO3000" s="125"/>
      <c r="NOP3000" s="470"/>
      <c r="NOQ3000" s="449"/>
      <c r="NOR3000" s="462"/>
      <c r="NOS3000" s="299"/>
      <c r="NOT3000" s="81"/>
      <c r="NOU3000" s="160"/>
      <c r="NOV3000" s="568"/>
      <c r="NOW3000" s="125"/>
      <c r="NOX3000" s="470"/>
      <c r="NOY3000" s="449"/>
      <c r="NOZ3000" s="462"/>
      <c r="NPA3000" s="299"/>
      <c r="NPB3000" s="81"/>
      <c r="NPC3000" s="160"/>
      <c r="NPD3000" s="568"/>
      <c r="NPE3000" s="125"/>
      <c r="NPF3000" s="470"/>
      <c r="NPG3000" s="449"/>
      <c r="NPH3000" s="462"/>
      <c r="NPI3000" s="299"/>
      <c r="NPJ3000" s="81"/>
      <c r="NPK3000" s="160"/>
      <c r="NPL3000" s="568"/>
      <c r="NPM3000" s="125"/>
      <c r="NPN3000" s="470"/>
      <c r="NPO3000" s="449"/>
      <c r="NPP3000" s="462"/>
      <c r="NPQ3000" s="299"/>
      <c r="NPR3000" s="81"/>
      <c r="NPS3000" s="160"/>
      <c r="NPT3000" s="568"/>
      <c r="NPU3000" s="125"/>
      <c r="NPV3000" s="470"/>
      <c r="NPW3000" s="449"/>
      <c r="NPX3000" s="462"/>
      <c r="NPY3000" s="299"/>
      <c r="NPZ3000" s="81"/>
      <c r="NQA3000" s="160"/>
      <c r="NQB3000" s="568"/>
      <c r="NQC3000" s="125"/>
      <c r="NQD3000" s="470"/>
      <c r="NQE3000" s="449"/>
      <c r="NQF3000" s="462"/>
      <c r="NQG3000" s="299"/>
      <c r="NQH3000" s="81"/>
      <c r="NQI3000" s="160"/>
      <c r="NQJ3000" s="568"/>
      <c r="NQK3000" s="125"/>
      <c r="NQL3000" s="470"/>
      <c r="NQM3000" s="449"/>
      <c r="NQN3000" s="462"/>
      <c r="NQO3000" s="299"/>
      <c r="NQP3000" s="81"/>
      <c r="NQQ3000" s="160"/>
      <c r="NQR3000" s="568"/>
      <c r="NQS3000" s="125"/>
      <c r="NQT3000" s="470"/>
      <c r="NQU3000" s="449"/>
      <c r="NQV3000" s="462"/>
      <c r="NQW3000" s="299"/>
      <c r="NQX3000" s="81"/>
      <c r="NQY3000" s="160"/>
      <c r="NQZ3000" s="568"/>
      <c r="NRA3000" s="125"/>
      <c r="NRB3000" s="470"/>
      <c r="NRC3000" s="449"/>
      <c r="NRD3000" s="462"/>
      <c r="NRE3000" s="299"/>
      <c r="NRF3000" s="81"/>
      <c r="NRG3000" s="160"/>
      <c r="NRH3000" s="568"/>
      <c r="NRI3000" s="125"/>
      <c r="NRJ3000" s="470"/>
      <c r="NRK3000" s="449"/>
      <c r="NRL3000" s="462"/>
      <c r="NRM3000" s="299"/>
      <c r="NRN3000" s="81"/>
      <c r="NRO3000" s="160"/>
      <c r="NRP3000" s="568"/>
      <c r="NRQ3000" s="125"/>
      <c r="NRR3000" s="470"/>
      <c r="NRS3000" s="449"/>
      <c r="NRT3000" s="462"/>
      <c r="NRU3000" s="299"/>
      <c r="NRV3000" s="81"/>
      <c r="NRW3000" s="160"/>
      <c r="NRX3000" s="568"/>
      <c r="NRY3000" s="125"/>
      <c r="NRZ3000" s="470"/>
      <c r="NSA3000" s="449"/>
      <c r="NSB3000" s="462"/>
      <c r="NSC3000" s="299"/>
      <c r="NSD3000" s="81"/>
      <c r="NSE3000" s="160"/>
      <c r="NSF3000" s="568"/>
      <c r="NSG3000" s="125"/>
      <c r="NSH3000" s="470"/>
      <c r="NSI3000" s="449"/>
      <c r="NSJ3000" s="462"/>
      <c r="NSK3000" s="299"/>
      <c r="NSL3000" s="81"/>
      <c r="NSM3000" s="160"/>
      <c r="NSN3000" s="568"/>
      <c r="NSO3000" s="125"/>
      <c r="NSP3000" s="470"/>
      <c r="NSQ3000" s="449"/>
      <c r="NSR3000" s="462"/>
      <c r="NSS3000" s="299"/>
      <c r="NST3000" s="81"/>
      <c r="NSU3000" s="160"/>
      <c r="NSV3000" s="568"/>
      <c r="NSW3000" s="125"/>
      <c r="NSX3000" s="470"/>
      <c r="NSY3000" s="449"/>
      <c r="NSZ3000" s="462"/>
      <c r="NTA3000" s="299"/>
      <c r="NTB3000" s="81"/>
      <c r="NTC3000" s="160"/>
      <c r="NTD3000" s="568"/>
      <c r="NTE3000" s="125"/>
      <c r="NTF3000" s="470"/>
      <c r="NTG3000" s="449"/>
      <c r="NTH3000" s="462"/>
      <c r="NTI3000" s="299"/>
      <c r="NTJ3000" s="81"/>
      <c r="NTK3000" s="160"/>
      <c r="NTL3000" s="568"/>
      <c r="NTM3000" s="125"/>
      <c r="NTN3000" s="470"/>
      <c r="NTO3000" s="449"/>
      <c r="NTP3000" s="462"/>
      <c r="NTQ3000" s="299"/>
      <c r="NTR3000" s="81"/>
      <c r="NTS3000" s="160"/>
      <c r="NTT3000" s="568"/>
      <c r="NTU3000" s="125"/>
      <c r="NTV3000" s="470"/>
      <c r="NTW3000" s="449"/>
      <c r="NTX3000" s="462"/>
      <c r="NTY3000" s="299"/>
      <c r="NTZ3000" s="81"/>
      <c r="NUA3000" s="160"/>
      <c r="NUB3000" s="568"/>
      <c r="NUC3000" s="125"/>
      <c r="NUD3000" s="470"/>
      <c r="NUE3000" s="449"/>
      <c r="NUF3000" s="462"/>
      <c r="NUG3000" s="299"/>
      <c r="NUH3000" s="81"/>
      <c r="NUI3000" s="160"/>
      <c r="NUJ3000" s="568"/>
      <c r="NUK3000" s="125"/>
      <c r="NUL3000" s="470"/>
      <c r="NUM3000" s="449"/>
      <c r="NUN3000" s="462"/>
      <c r="NUO3000" s="299"/>
      <c r="NUP3000" s="81"/>
      <c r="NUQ3000" s="160"/>
      <c r="NUR3000" s="568"/>
      <c r="NUS3000" s="125"/>
      <c r="NUT3000" s="470"/>
      <c r="NUU3000" s="449"/>
      <c r="NUV3000" s="462"/>
      <c r="NUW3000" s="299"/>
      <c r="NUX3000" s="81"/>
      <c r="NUY3000" s="160"/>
      <c r="NUZ3000" s="568"/>
      <c r="NVA3000" s="125"/>
      <c r="NVB3000" s="470"/>
      <c r="NVC3000" s="449"/>
      <c r="NVD3000" s="462"/>
      <c r="NVE3000" s="299"/>
      <c r="NVF3000" s="81"/>
      <c r="NVG3000" s="160"/>
      <c r="NVH3000" s="568"/>
      <c r="NVI3000" s="125"/>
      <c r="NVJ3000" s="470"/>
      <c r="NVK3000" s="449"/>
      <c r="NVL3000" s="462"/>
      <c r="NVM3000" s="299"/>
      <c r="NVN3000" s="81"/>
      <c r="NVO3000" s="160"/>
      <c r="NVP3000" s="568"/>
      <c r="NVQ3000" s="125"/>
      <c r="NVR3000" s="470"/>
      <c r="NVS3000" s="449"/>
      <c r="NVT3000" s="462"/>
      <c r="NVU3000" s="299"/>
      <c r="NVV3000" s="81"/>
      <c r="NVW3000" s="160"/>
      <c r="NVX3000" s="568"/>
      <c r="NVY3000" s="125"/>
      <c r="NVZ3000" s="470"/>
      <c r="NWA3000" s="449"/>
      <c r="NWB3000" s="462"/>
      <c r="NWC3000" s="299"/>
      <c r="NWD3000" s="81"/>
      <c r="NWE3000" s="160"/>
      <c r="NWF3000" s="568"/>
      <c r="NWG3000" s="125"/>
      <c r="NWH3000" s="470"/>
      <c r="NWI3000" s="449"/>
      <c r="NWJ3000" s="462"/>
      <c r="NWK3000" s="299"/>
      <c r="NWL3000" s="81"/>
      <c r="NWM3000" s="160"/>
      <c r="NWN3000" s="568"/>
      <c r="NWO3000" s="125"/>
      <c r="NWP3000" s="470"/>
      <c r="NWQ3000" s="449"/>
      <c r="NWR3000" s="462"/>
      <c r="NWS3000" s="299"/>
      <c r="NWT3000" s="81"/>
      <c r="NWU3000" s="160"/>
      <c r="NWV3000" s="568"/>
      <c r="NWW3000" s="125"/>
      <c r="NWX3000" s="470"/>
      <c r="NWY3000" s="449"/>
      <c r="NWZ3000" s="462"/>
      <c r="NXA3000" s="299"/>
      <c r="NXB3000" s="81"/>
      <c r="NXC3000" s="160"/>
      <c r="NXD3000" s="568"/>
      <c r="NXE3000" s="125"/>
      <c r="NXF3000" s="470"/>
      <c r="NXG3000" s="449"/>
      <c r="NXH3000" s="462"/>
      <c r="NXI3000" s="299"/>
      <c r="NXJ3000" s="81"/>
      <c r="NXK3000" s="160"/>
      <c r="NXL3000" s="568"/>
      <c r="NXM3000" s="125"/>
      <c r="NXN3000" s="470"/>
      <c r="NXO3000" s="449"/>
      <c r="NXP3000" s="462"/>
      <c r="NXQ3000" s="299"/>
      <c r="NXR3000" s="81"/>
      <c r="NXS3000" s="160"/>
      <c r="NXT3000" s="568"/>
      <c r="NXU3000" s="125"/>
      <c r="NXV3000" s="470"/>
      <c r="NXW3000" s="449"/>
      <c r="NXX3000" s="462"/>
      <c r="NXY3000" s="299"/>
      <c r="NXZ3000" s="81"/>
      <c r="NYA3000" s="160"/>
      <c r="NYB3000" s="568"/>
      <c r="NYC3000" s="125"/>
      <c r="NYD3000" s="470"/>
      <c r="NYE3000" s="449"/>
      <c r="NYF3000" s="462"/>
      <c r="NYG3000" s="299"/>
      <c r="NYH3000" s="81"/>
      <c r="NYI3000" s="160"/>
      <c r="NYJ3000" s="568"/>
      <c r="NYK3000" s="125"/>
      <c r="NYL3000" s="470"/>
      <c r="NYM3000" s="449"/>
      <c r="NYN3000" s="462"/>
      <c r="NYO3000" s="299"/>
      <c r="NYP3000" s="81"/>
      <c r="NYQ3000" s="160"/>
      <c r="NYR3000" s="568"/>
      <c r="NYS3000" s="125"/>
      <c r="NYT3000" s="470"/>
      <c r="NYU3000" s="449"/>
      <c r="NYV3000" s="462"/>
      <c r="NYW3000" s="299"/>
      <c r="NYX3000" s="81"/>
      <c r="NYY3000" s="160"/>
      <c r="NYZ3000" s="568"/>
      <c r="NZA3000" s="125"/>
      <c r="NZB3000" s="470"/>
      <c r="NZC3000" s="449"/>
      <c r="NZD3000" s="462"/>
      <c r="NZE3000" s="299"/>
      <c r="NZF3000" s="81"/>
      <c r="NZG3000" s="160"/>
      <c r="NZH3000" s="568"/>
      <c r="NZI3000" s="125"/>
      <c r="NZJ3000" s="470"/>
      <c r="NZK3000" s="449"/>
      <c r="NZL3000" s="462"/>
      <c r="NZM3000" s="299"/>
      <c r="NZN3000" s="81"/>
      <c r="NZO3000" s="160"/>
      <c r="NZP3000" s="568"/>
      <c r="NZQ3000" s="125"/>
      <c r="NZR3000" s="470"/>
      <c r="NZS3000" s="449"/>
      <c r="NZT3000" s="462"/>
      <c r="NZU3000" s="299"/>
      <c r="NZV3000" s="81"/>
      <c r="NZW3000" s="160"/>
      <c r="NZX3000" s="568"/>
      <c r="NZY3000" s="125"/>
      <c r="NZZ3000" s="470"/>
      <c r="OAA3000" s="449"/>
      <c r="OAB3000" s="462"/>
      <c r="OAC3000" s="299"/>
      <c r="OAD3000" s="81"/>
      <c r="OAE3000" s="160"/>
      <c r="OAF3000" s="568"/>
      <c r="OAG3000" s="125"/>
      <c r="OAH3000" s="470"/>
      <c r="OAI3000" s="449"/>
      <c r="OAJ3000" s="462"/>
      <c r="OAK3000" s="299"/>
      <c r="OAL3000" s="81"/>
      <c r="OAM3000" s="160"/>
      <c r="OAN3000" s="568"/>
      <c r="OAO3000" s="125"/>
      <c r="OAP3000" s="470"/>
      <c r="OAQ3000" s="449"/>
      <c r="OAR3000" s="462"/>
      <c r="OAS3000" s="299"/>
      <c r="OAT3000" s="81"/>
      <c r="OAU3000" s="160"/>
      <c r="OAV3000" s="568"/>
      <c r="OAW3000" s="125"/>
      <c r="OAX3000" s="470"/>
      <c r="OAY3000" s="449"/>
      <c r="OAZ3000" s="462"/>
      <c r="OBA3000" s="299"/>
      <c r="OBB3000" s="81"/>
      <c r="OBC3000" s="160"/>
      <c r="OBD3000" s="568"/>
      <c r="OBE3000" s="125"/>
      <c r="OBF3000" s="470"/>
      <c r="OBG3000" s="449"/>
      <c r="OBH3000" s="462"/>
      <c r="OBI3000" s="299"/>
      <c r="OBJ3000" s="81"/>
      <c r="OBK3000" s="160"/>
      <c r="OBL3000" s="568"/>
      <c r="OBM3000" s="125"/>
      <c r="OBN3000" s="470"/>
      <c r="OBO3000" s="449"/>
      <c r="OBP3000" s="462"/>
      <c r="OBQ3000" s="299"/>
      <c r="OBR3000" s="81"/>
      <c r="OBS3000" s="160"/>
      <c r="OBT3000" s="568"/>
      <c r="OBU3000" s="125"/>
      <c r="OBV3000" s="470"/>
      <c r="OBW3000" s="449"/>
      <c r="OBX3000" s="462"/>
      <c r="OBY3000" s="299"/>
      <c r="OBZ3000" s="81"/>
      <c r="OCA3000" s="160"/>
      <c r="OCB3000" s="568"/>
      <c r="OCC3000" s="125"/>
      <c r="OCD3000" s="470"/>
      <c r="OCE3000" s="449"/>
      <c r="OCF3000" s="462"/>
      <c r="OCG3000" s="299"/>
      <c r="OCH3000" s="81"/>
      <c r="OCI3000" s="160"/>
      <c r="OCJ3000" s="568"/>
      <c r="OCK3000" s="125"/>
      <c r="OCL3000" s="470"/>
      <c r="OCM3000" s="449"/>
      <c r="OCN3000" s="462"/>
      <c r="OCO3000" s="299"/>
      <c r="OCP3000" s="81"/>
      <c r="OCQ3000" s="160"/>
      <c r="OCR3000" s="568"/>
      <c r="OCS3000" s="125"/>
      <c r="OCT3000" s="470"/>
      <c r="OCU3000" s="449"/>
      <c r="OCV3000" s="462"/>
      <c r="OCW3000" s="299"/>
      <c r="OCX3000" s="81"/>
      <c r="OCY3000" s="160"/>
      <c r="OCZ3000" s="568"/>
      <c r="ODA3000" s="125"/>
      <c r="ODB3000" s="470"/>
      <c r="ODC3000" s="449"/>
      <c r="ODD3000" s="462"/>
      <c r="ODE3000" s="299"/>
      <c r="ODF3000" s="81"/>
      <c r="ODG3000" s="160"/>
      <c r="ODH3000" s="568"/>
      <c r="ODI3000" s="125"/>
      <c r="ODJ3000" s="470"/>
      <c r="ODK3000" s="449"/>
      <c r="ODL3000" s="462"/>
      <c r="ODM3000" s="299"/>
      <c r="ODN3000" s="81"/>
      <c r="ODO3000" s="160"/>
      <c r="ODP3000" s="568"/>
      <c r="ODQ3000" s="125"/>
      <c r="ODR3000" s="470"/>
      <c r="ODS3000" s="449"/>
      <c r="ODT3000" s="462"/>
      <c r="ODU3000" s="299"/>
      <c r="ODV3000" s="81"/>
      <c r="ODW3000" s="160"/>
      <c r="ODX3000" s="568"/>
      <c r="ODY3000" s="125"/>
      <c r="ODZ3000" s="470"/>
      <c r="OEA3000" s="449"/>
      <c r="OEB3000" s="462"/>
      <c r="OEC3000" s="299"/>
      <c r="OED3000" s="81"/>
      <c r="OEE3000" s="160"/>
      <c r="OEF3000" s="568"/>
      <c r="OEG3000" s="125"/>
      <c r="OEH3000" s="470"/>
      <c r="OEI3000" s="449"/>
      <c r="OEJ3000" s="462"/>
      <c r="OEK3000" s="299"/>
      <c r="OEL3000" s="81"/>
      <c r="OEM3000" s="160"/>
      <c r="OEN3000" s="568"/>
      <c r="OEO3000" s="125"/>
      <c r="OEP3000" s="470"/>
      <c r="OEQ3000" s="449"/>
      <c r="OER3000" s="462"/>
      <c r="OES3000" s="299"/>
      <c r="OET3000" s="81"/>
      <c r="OEU3000" s="160"/>
      <c r="OEV3000" s="568"/>
      <c r="OEW3000" s="125"/>
      <c r="OEX3000" s="470"/>
      <c r="OEY3000" s="449"/>
      <c r="OEZ3000" s="462"/>
      <c r="OFA3000" s="299"/>
      <c r="OFB3000" s="81"/>
      <c r="OFC3000" s="160"/>
      <c r="OFD3000" s="568"/>
      <c r="OFE3000" s="125"/>
      <c r="OFF3000" s="470"/>
      <c r="OFG3000" s="449"/>
      <c r="OFH3000" s="462"/>
      <c r="OFI3000" s="299"/>
      <c r="OFJ3000" s="81"/>
      <c r="OFK3000" s="160"/>
      <c r="OFL3000" s="568"/>
      <c r="OFM3000" s="125"/>
      <c r="OFN3000" s="470"/>
      <c r="OFO3000" s="449"/>
      <c r="OFP3000" s="462"/>
      <c r="OFQ3000" s="299"/>
      <c r="OFR3000" s="81"/>
      <c r="OFS3000" s="160"/>
      <c r="OFT3000" s="568"/>
      <c r="OFU3000" s="125"/>
      <c r="OFV3000" s="470"/>
      <c r="OFW3000" s="449"/>
      <c r="OFX3000" s="462"/>
      <c r="OFY3000" s="299"/>
      <c r="OFZ3000" s="81"/>
      <c r="OGA3000" s="160"/>
      <c r="OGB3000" s="568"/>
      <c r="OGC3000" s="125"/>
      <c r="OGD3000" s="470"/>
      <c r="OGE3000" s="449"/>
      <c r="OGF3000" s="462"/>
      <c r="OGG3000" s="299"/>
      <c r="OGH3000" s="81"/>
      <c r="OGI3000" s="160"/>
      <c r="OGJ3000" s="568"/>
      <c r="OGK3000" s="125"/>
      <c r="OGL3000" s="470"/>
      <c r="OGM3000" s="449"/>
      <c r="OGN3000" s="462"/>
      <c r="OGO3000" s="299"/>
      <c r="OGP3000" s="81"/>
      <c r="OGQ3000" s="160"/>
      <c r="OGR3000" s="568"/>
      <c r="OGS3000" s="125"/>
      <c r="OGT3000" s="470"/>
      <c r="OGU3000" s="449"/>
      <c r="OGV3000" s="462"/>
      <c r="OGW3000" s="299"/>
      <c r="OGX3000" s="81"/>
      <c r="OGY3000" s="160"/>
      <c r="OGZ3000" s="568"/>
      <c r="OHA3000" s="125"/>
      <c r="OHB3000" s="470"/>
      <c r="OHC3000" s="449"/>
      <c r="OHD3000" s="462"/>
      <c r="OHE3000" s="299"/>
      <c r="OHF3000" s="81"/>
      <c r="OHG3000" s="160"/>
      <c r="OHH3000" s="568"/>
      <c r="OHI3000" s="125"/>
      <c r="OHJ3000" s="470"/>
      <c r="OHK3000" s="449"/>
      <c r="OHL3000" s="462"/>
      <c r="OHM3000" s="299"/>
      <c r="OHN3000" s="81"/>
      <c r="OHO3000" s="160"/>
      <c r="OHP3000" s="568"/>
      <c r="OHQ3000" s="125"/>
      <c r="OHR3000" s="470"/>
      <c r="OHS3000" s="449"/>
      <c r="OHT3000" s="462"/>
      <c r="OHU3000" s="299"/>
      <c r="OHV3000" s="81"/>
      <c r="OHW3000" s="160"/>
      <c r="OHX3000" s="568"/>
      <c r="OHY3000" s="125"/>
      <c r="OHZ3000" s="470"/>
      <c r="OIA3000" s="449"/>
      <c r="OIB3000" s="462"/>
      <c r="OIC3000" s="299"/>
      <c r="OID3000" s="81"/>
      <c r="OIE3000" s="160"/>
      <c r="OIF3000" s="568"/>
      <c r="OIG3000" s="125"/>
      <c r="OIH3000" s="470"/>
      <c r="OII3000" s="449"/>
      <c r="OIJ3000" s="462"/>
      <c r="OIK3000" s="299"/>
      <c r="OIL3000" s="81"/>
      <c r="OIM3000" s="160"/>
      <c r="OIN3000" s="568"/>
      <c r="OIO3000" s="125"/>
      <c r="OIP3000" s="470"/>
      <c r="OIQ3000" s="449"/>
      <c r="OIR3000" s="462"/>
      <c r="OIS3000" s="299"/>
      <c r="OIT3000" s="81"/>
      <c r="OIU3000" s="160"/>
      <c r="OIV3000" s="568"/>
      <c r="OIW3000" s="125"/>
      <c r="OIX3000" s="470"/>
      <c r="OIY3000" s="449"/>
      <c r="OIZ3000" s="462"/>
      <c r="OJA3000" s="299"/>
      <c r="OJB3000" s="81"/>
      <c r="OJC3000" s="160"/>
      <c r="OJD3000" s="568"/>
      <c r="OJE3000" s="125"/>
      <c r="OJF3000" s="470"/>
      <c r="OJG3000" s="449"/>
      <c r="OJH3000" s="462"/>
      <c r="OJI3000" s="299"/>
      <c r="OJJ3000" s="81"/>
      <c r="OJK3000" s="160"/>
      <c r="OJL3000" s="568"/>
      <c r="OJM3000" s="125"/>
      <c r="OJN3000" s="470"/>
      <c r="OJO3000" s="449"/>
      <c r="OJP3000" s="462"/>
      <c r="OJQ3000" s="299"/>
      <c r="OJR3000" s="81"/>
      <c r="OJS3000" s="160"/>
      <c r="OJT3000" s="568"/>
      <c r="OJU3000" s="125"/>
      <c r="OJV3000" s="470"/>
      <c r="OJW3000" s="449"/>
      <c r="OJX3000" s="462"/>
      <c r="OJY3000" s="299"/>
      <c r="OJZ3000" s="81"/>
      <c r="OKA3000" s="160"/>
      <c r="OKB3000" s="568"/>
      <c r="OKC3000" s="125"/>
      <c r="OKD3000" s="470"/>
      <c r="OKE3000" s="449"/>
      <c r="OKF3000" s="462"/>
      <c r="OKG3000" s="299"/>
      <c r="OKH3000" s="81"/>
      <c r="OKI3000" s="160"/>
      <c r="OKJ3000" s="568"/>
      <c r="OKK3000" s="125"/>
      <c r="OKL3000" s="470"/>
      <c r="OKM3000" s="449"/>
      <c r="OKN3000" s="462"/>
      <c r="OKO3000" s="299"/>
      <c r="OKP3000" s="81"/>
      <c r="OKQ3000" s="160"/>
      <c r="OKR3000" s="568"/>
      <c r="OKS3000" s="125"/>
      <c r="OKT3000" s="470"/>
      <c r="OKU3000" s="449"/>
      <c r="OKV3000" s="462"/>
      <c r="OKW3000" s="299"/>
      <c r="OKX3000" s="81"/>
      <c r="OKY3000" s="160"/>
      <c r="OKZ3000" s="568"/>
      <c r="OLA3000" s="125"/>
      <c r="OLB3000" s="470"/>
      <c r="OLC3000" s="449"/>
      <c r="OLD3000" s="462"/>
      <c r="OLE3000" s="299"/>
      <c r="OLF3000" s="81"/>
      <c r="OLG3000" s="160"/>
      <c r="OLH3000" s="568"/>
      <c r="OLI3000" s="125"/>
      <c r="OLJ3000" s="470"/>
      <c r="OLK3000" s="449"/>
      <c r="OLL3000" s="462"/>
      <c r="OLM3000" s="299"/>
      <c r="OLN3000" s="81"/>
      <c r="OLO3000" s="160"/>
      <c r="OLP3000" s="568"/>
      <c r="OLQ3000" s="125"/>
      <c r="OLR3000" s="470"/>
      <c r="OLS3000" s="449"/>
      <c r="OLT3000" s="462"/>
      <c r="OLU3000" s="299"/>
      <c r="OLV3000" s="81"/>
      <c r="OLW3000" s="160"/>
      <c r="OLX3000" s="568"/>
      <c r="OLY3000" s="125"/>
      <c r="OLZ3000" s="470"/>
      <c r="OMA3000" s="449"/>
      <c r="OMB3000" s="462"/>
      <c r="OMC3000" s="299"/>
      <c r="OMD3000" s="81"/>
      <c r="OME3000" s="160"/>
      <c r="OMF3000" s="568"/>
      <c r="OMG3000" s="125"/>
      <c r="OMH3000" s="470"/>
      <c r="OMI3000" s="449"/>
      <c r="OMJ3000" s="462"/>
      <c r="OMK3000" s="299"/>
      <c r="OML3000" s="81"/>
      <c r="OMM3000" s="160"/>
      <c r="OMN3000" s="568"/>
      <c r="OMO3000" s="125"/>
      <c r="OMP3000" s="470"/>
      <c r="OMQ3000" s="449"/>
      <c r="OMR3000" s="462"/>
      <c r="OMS3000" s="299"/>
      <c r="OMT3000" s="81"/>
      <c r="OMU3000" s="160"/>
      <c r="OMV3000" s="568"/>
      <c r="OMW3000" s="125"/>
      <c r="OMX3000" s="470"/>
      <c r="OMY3000" s="449"/>
      <c r="OMZ3000" s="462"/>
      <c r="ONA3000" s="299"/>
      <c r="ONB3000" s="81"/>
      <c r="ONC3000" s="160"/>
      <c r="OND3000" s="568"/>
      <c r="ONE3000" s="125"/>
      <c r="ONF3000" s="470"/>
      <c r="ONG3000" s="449"/>
      <c r="ONH3000" s="462"/>
      <c r="ONI3000" s="299"/>
      <c r="ONJ3000" s="81"/>
      <c r="ONK3000" s="160"/>
      <c r="ONL3000" s="568"/>
      <c r="ONM3000" s="125"/>
      <c r="ONN3000" s="470"/>
      <c r="ONO3000" s="449"/>
      <c r="ONP3000" s="462"/>
      <c r="ONQ3000" s="299"/>
      <c r="ONR3000" s="81"/>
      <c r="ONS3000" s="160"/>
      <c r="ONT3000" s="568"/>
      <c r="ONU3000" s="125"/>
      <c r="ONV3000" s="470"/>
      <c r="ONW3000" s="449"/>
      <c r="ONX3000" s="462"/>
      <c r="ONY3000" s="299"/>
      <c r="ONZ3000" s="81"/>
      <c r="OOA3000" s="160"/>
      <c r="OOB3000" s="568"/>
      <c r="OOC3000" s="125"/>
      <c r="OOD3000" s="470"/>
      <c r="OOE3000" s="449"/>
      <c r="OOF3000" s="462"/>
      <c r="OOG3000" s="299"/>
      <c r="OOH3000" s="81"/>
      <c r="OOI3000" s="160"/>
      <c r="OOJ3000" s="568"/>
      <c r="OOK3000" s="125"/>
      <c r="OOL3000" s="470"/>
      <c r="OOM3000" s="449"/>
      <c r="OON3000" s="462"/>
      <c r="OOO3000" s="299"/>
      <c r="OOP3000" s="81"/>
      <c r="OOQ3000" s="160"/>
      <c r="OOR3000" s="568"/>
      <c r="OOS3000" s="125"/>
      <c r="OOT3000" s="470"/>
      <c r="OOU3000" s="449"/>
      <c r="OOV3000" s="462"/>
      <c r="OOW3000" s="299"/>
      <c r="OOX3000" s="81"/>
      <c r="OOY3000" s="160"/>
      <c r="OOZ3000" s="568"/>
      <c r="OPA3000" s="125"/>
      <c r="OPB3000" s="470"/>
      <c r="OPC3000" s="449"/>
      <c r="OPD3000" s="462"/>
      <c r="OPE3000" s="299"/>
      <c r="OPF3000" s="81"/>
      <c r="OPG3000" s="160"/>
      <c r="OPH3000" s="568"/>
      <c r="OPI3000" s="125"/>
      <c r="OPJ3000" s="470"/>
      <c r="OPK3000" s="449"/>
      <c r="OPL3000" s="462"/>
      <c r="OPM3000" s="299"/>
      <c r="OPN3000" s="81"/>
      <c r="OPO3000" s="160"/>
      <c r="OPP3000" s="568"/>
      <c r="OPQ3000" s="125"/>
      <c r="OPR3000" s="470"/>
      <c r="OPS3000" s="449"/>
      <c r="OPT3000" s="462"/>
      <c r="OPU3000" s="299"/>
      <c r="OPV3000" s="81"/>
      <c r="OPW3000" s="160"/>
      <c r="OPX3000" s="568"/>
      <c r="OPY3000" s="125"/>
      <c r="OPZ3000" s="470"/>
      <c r="OQA3000" s="449"/>
      <c r="OQB3000" s="462"/>
      <c r="OQC3000" s="299"/>
      <c r="OQD3000" s="81"/>
      <c r="OQE3000" s="160"/>
      <c r="OQF3000" s="568"/>
      <c r="OQG3000" s="125"/>
      <c r="OQH3000" s="470"/>
      <c r="OQI3000" s="449"/>
      <c r="OQJ3000" s="462"/>
      <c r="OQK3000" s="299"/>
      <c r="OQL3000" s="81"/>
      <c r="OQM3000" s="160"/>
      <c r="OQN3000" s="568"/>
      <c r="OQO3000" s="125"/>
      <c r="OQP3000" s="470"/>
      <c r="OQQ3000" s="449"/>
      <c r="OQR3000" s="462"/>
      <c r="OQS3000" s="299"/>
      <c r="OQT3000" s="81"/>
      <c r="OQU3000" s="160"/>
      <c r="OQV3000" s="568"/>
      <c r="OQW3000" s="125"/>
      <c r="OQX3000" s="470"/>
      <c r="OQY3000" s="449"/>
      <c r="OQZ3000" s="462"/>
      <c r="ORA3000" s="299"/>
      <c r="ORB3000" s="81"/>
      <c r="ORC3000" s="160"/>
      <c r="ORD3000" s="568"/>
      <c r="ORE3000" s="125"/>
      <c r="ORF3000" s="470"/>
      <c r="ORG3000" s="449"/>
      <c r="ORH3000" s="462"/>
      <c r="ORI3000" s="299"/>
      <c r="ORJ3000" s="81"/>
      <c r="ORK3000" s="160"/>
      <c r="ORL3000" s="568"/>
      <c r="ORM3000" s="125"/>
      <c r="ORN3000" s="470"/>
      <c r="ORO3000" s="449"/>
      <c r="ORP3000" s="462"/>
      <c r="ORQ3000" s="299"/>
      <c r="ORR3000" s="81"/>
      <c r="ORS3000" s="160"/>
      <c r="ORT3000" s="568"/>
      <c r="ORU3000" s="125"/>
      <c r="ORV3000" s="470"/>
      <c r="ORW3000" s="449"/>
      <c r="ORX3000" s="462"/>
      <c r="ORY3000" s="299"/>
      <c r="ORZ3000" s="81"/>
      <c r="OSA3000" s="160"/>
      <c r="OSB3000" s="568"/>
      <c r="OSC3000" s="125"/>
      <c r="OSD3000" s="470"/>
      <c r="OSE3000" s="449"/>
      <c r="OSF3000" s="462"/>
      <c r="OSG3000" s="299"/>
      <c r="OSH3000" s="81"/>
      <c r="OSI3000" s="160"/>
      <c r="OSJ3000" s="568"/>
      <c r="OSK3000" s="125"/>
      <c r="OSL3000" s="470"/>
      <c r="OSM3000" s="449"/>
      <c r="OSN3000" s="462"/>
      <c r="OSO3000" s="299"/>
      <c r="OSP3000" s="81"/>
      <c r="OSQ3000" s="160"/>
      <c r="OSR3000" s="568"/>
      <c r="OSS3000" s="125"/>
      <c r="OST3000" s="470"/>
      <c r="OSU3000" s="449"/>
      <c r="OSV3000" s="462"/>
      <c r="OSW3000" s="299"/>
      <c r="OSX3000" s="81"/>
      <c r="OSY3000" s="160"/>
      <c r="OSZ3000" s="568"/>
      <c r="OTA3000" s="125"/>
      <c r="OTB3000" s="470"/>
      <c r="OTC3000" s="449"/>
      <c r="OTD3000" s="462"/>
      <c r="OTE3000" s="299"/>
      <c r="OTF3000" s="81"/>
      <c r="OTG3000" s="160"/>
      <c r="OTH3000" s="568"/>
      <c r="OTI3000" s="125"/>
      <c r="OTJ3000" s="470"/>
      <c r="OTK3000" s="449"/>
      <c r="OTL3000" s="462"/>
      <c r="OTM3000" s="299"/>
      <c r="OTN3000" s="81"/>
      <c r="OTO3000" s="160"/>
      <c r="OTP3000" s="568"/>
      <c r="OTQ3000" s="125"/>
      <c r="OTR3000" s="470"/>
      <c r="OTS3000" s="449"/>
      <c r="OTT3000" s="462"/>
      <c r="OTU3000" s="299"/>
      <c r="OTV3000" s="81"/>
      <c r="OTW3000" s="160"/>
      <c r="OTX3000" s="568"/>
      <c r="OTY3000" s="125"/>
      <c r="OTZ3000" s="470"/>
      <c r="OUA3000" s="449"/>
      <c r="OUB3000" s="462"/>
      <c r="OUC3000" s="299"/>
      <c r="OUD3000" s="81"/>
      <c r="OUE3000" s="160"/>
      <c r="OUF3000" s="568"/>
      <c r="OUG3000" s="125"/>
      <c r="OUH3000" s="470"/>
      <c r="OUI3000" s="449"/>
      <c r="OUJ3000" s="462"/>
      <c r="OUK3000" s="299"/>
      <c r="OUL3000" s="81"/>
      <c r="OUM3000" s="160"/>
      <c r="OUN3000" s="568"/>
      <c r="OUO3000" s="125"/>
      <c r="OUP3000" s="470"/>
      <c r="OUQ3000" s="449"/>
      <c r="OUR3000" s="462"/>
      <c r="OUS3000" s="299"/>
      <c r="OUT3000" s="81"/>
      <c r="OUU3000" s="160"/>
      <c r="OUV3000" s="568"/>
      <c r="OUW3000" s="125"/>
      <c r="OUX3000" s="470"/>
      <c r="OUY3000" s="449"/>
      <c r="OUZ3000" s="462"/>
      <c r="OVA3000" s="299"/>
      <c r="OVB3000" s="81"/>
      <c r="OVC3000" s="160"/>
      <c r="OVD3000" s="568"/>
      <c r="OVE3000" s="125"/>
      <c r="OVF3000" s="470"/>
      <c r="OVG3000" s="449"/>
      <c r="OVH3000" s="462"/>
      <c r="OVI3000" s="299"/>
      <c r="OVJ3000" s="81"/>
      <c r="OVK3000" s="160"/>
      <c r="OVL3000" s="568"/>
      <c r="OVM3000" s="125"/>
      <c r="OVN3000" s="470"/>
      <c r="OVO3000" s="449"/>
      <c r="OVP3000" s="462"/>
      <c r="OVQ3000" s="299"/>
      <c r="OVR3000" s="81"/>
      <c r="OVS3000" s="160"/>
      <c r="OVT3000" s="568"/>
      <c r="OVU3000" s="125"/>
      <c r="OVV3000" s="470"/>
      <c r="OVW3000" s="449"/>
      <c r="OVX3000" s="462"/>
      <c r="OVY3000" s="299"/>
      <c r="OVZ3000" s="81"/>
      <c r="OWA3000" s="160"/>
      <c r="OWB3000" s="568"/>
      <c r="OWC3000" s="125"/>
      <c r="OWD3000" s="470"/>
      <c r="OWE3000" s="449"/>
      <c r="OWF3000" s="462"/>
      <c r="OWG3000" s="299"/>
      <c r="OWH3000" s="81"/>
      <c r="OWI3000" s="160"/>
      <c r="OWJ3000" s="568"/>
      <c r="OWK3000" s="125"/>
      <c r="OWL3000" s="470"/>
      <c r="OWM3000" s="449"/>
      <c r="OWN3000" s="462"/>
      <c r="OWO3000" s="299"/>
      <c r="OWP3000" s="81"/>
      <c r="OWQ3000" s="160"/>
      <c r="OWR3000" s="568"/>
      <c r="OWS3000" s="125"/>
      <c r="OWT3000" s="470"/>
      <c r="OWU3000" s="449"/>
      <c r="OWV3000" s="462"/>
      <c r="OWW3000" s="299"/>
      <c r="OWX3000" s="81"/>
      <c r="OWY3000" s="160"/>
      <c r="OWZ3000" s="568"/>
      <c r="OXA3000" s="125"/>
      <c r="OXB3000" s="470"/>
      <c r="OXC3000" s="449"/>
      <c r="OXD3000" s="462"/>
      <c r="OXE3000" s="299"/>
      <c r="OXF3000" s="81"/>
      <c r="OXG3000" s="160"/>
      <c r="OXH3000" s="568"/>
      <c r="OXI3000" s="125"/>
      <c r="OXJ3000" s="470"/>
      <c r="OXK3000" s="449"/>
      <c r="OXL3000" s="462"/>
      <c r="OXM3000" s="299"/>
      <c r="OXN3000" s="81"/>
      <c r="OXO3000" s="160"/>
      <c r="OXP3000" s="568"/>
      <c r="OXQ3000" s="125"/>
      <c r="OXR3000" s="470"/>
      <c r="OXS3000" s="449"/>
      <c r="OXT3000" s="462"/>
      <c r="OXU3000" s="299"/>
      <c r="OXV3000" s="81"/>
      <c r="OXW3000" s="160"/>
      <c r="OXX3000" s="568"/>
      <c r="OXY3000" s="125"/>
      <c r="OXZ3000" s="470"/>
      <c r="OYA3000" s="449"/>
      <c r="OYB3000" s="462"/>
      <c r="OYC3000" s="299"/>
      <c r="OYD3000" s="81"/>
      <c r="OYE3000" s="160"/>
      <c r="OYF3000" s="568"/>
      <c r="OYG3000" s="125"/>
      <c r="OYH3000" s="470"/>
      <c r="OYI3000" s="449"/>
      <c r="OYJ3000" s="462"/>
      <c r="OYK3000" s="299"/>
      <c r="OYL3000" s="81"/>
      <c r="OYM3000" s="160"/>
      <c r="OYN3000" s="568"/>
      <c r="OYO3000" s="125"/>
      <c r="OYP3000" s="470"/>
      <c r="OYQ3000" s="449"/>
      <c r="OYR3000" s="462"/>
      <c r="OYS3000" s="299"/>
      <c r="OYT3000" s="81"/>
      <c r="OYU3000" s="160"/>
      <c r="OYV3000" s="568"/>
      <c r="OYW3000" s="125"/>
      <c r="OYX3000" s="470"/>
      <c r="OYY3000" s="449"/>
      <c r="OYZ3000" s="462"/>
      <c r="OZA3000" s="299"/>
      <c r="OZB3000" s="81"/>
      <c r="OZC3000" s="160"/>
      <c r="OZD3000" s="568"/>
      <c r="OZE3000" s="125"/>
      <c r="OZF3000" s="470"/>
      <c r="OZG3000" s="449"/>
      <c r="OZH3000" s="462"/>
      <c r="OZI3000" s="299"/>
      <c r="OZJ3000" s="81"/>
      <c r="OZK3000" s="160"/>
      <c r="OZL3000" s="568"/>
      <c r="OZM3000" s="125"/>
      <c r="OZN3000" s="470"/>
      <c r="OZO3000" s="449"/>
      <c r="OZP3000" s="462"/>
      <c r="OZQ3000" s="299"/>
      <c r="OZR3000" s="81"/>
      <c r="OZS3000" s="160"/>
      <c r="OZT3000" s="568"/>
      <c r="OZU3000" s="125"/>
      <c r="OZV3000" s="470"/>
      <c r="OZW3000" s="449"/>
      <c r="OZX3000" s="462"/>
      <c r="OZY3000" s="299"/>
      <c r="OZZ3000" s="81"/>
      <c r="PAA3000" s="160"/>
      <c r="PAB3000" s="568"/>
      <c r="PAC3000" s="125"/>
      <c r="PAD3000" s="470"/>
      <c r="PAE3000" s="449"/>
      <c r="PAF3000" s="462"/>
      <c r="PAG3000" s="299"/>
      <c r="PAH3000" s="81"/>
      <c r="PAI3000" s="160"/>
      <c r="PAJ3000" s="568"/>
      <c r="PAK3000" s="125"/>
      <c r="PAL3000" s="470"/>
      <c r="PAM3000" s="449"/>
      <c r="PAN3000" s="462"/>
      <c r="PAO3000" s="299"/>
      <c r="PAP3000" s="81"/>
      <c r="PAQ3000" s="160"/>
      <c r="PAR3000" s="568"/>
      <c r="PAS3000" s="125"/>
      <c r="PAT3000" s="470"/>
      <c r="PAU3000" s="449"/>
      <c r="PAV3000" s="462"/>
      <c r="PAW3000" s="299"/>
      <c r="PAX3000" s="81"/>
      <c r="PAY3000" s="160"/>
      <c r="PAZ3000" s="568"/>
      <c r="PBA3000" s="125"/>
      <c r="PBB3000" s="470"/>
      <c r="PBC3000" s="449"/>
      <c r="PBD3000" s="462"/>
      <c r="PBE3000" s="299"/>
      <c r="PBF3000" s="81"/>
      <c r="PBG3000" s="160"/>
      <c r="PBH3000" s="568"/>
      <c r="PBI3000" s="125"/>
      <c r="PBJ3000" s="470"/>
      <c r="PBK3000" s="449"/>
      <c r="PBL3000" s="462"/>
      <c r="PBM3000" s="299"/>
      <c r="PBN3000" s="81"/>
      <c r="PBO3000" s="160"/>
      <c r="PBP3000" s="568"/>
      <c r="PBQ3000" s="125"/>
      <c r="PBR3000" s="470"/>
      <c r="PBS3000" s="449"/>
      <c r="PBT3000" s="462"/>
      <c r="PBU3000" s="299"/>
      <c r="PBV3000" s="81"/>
      <c r="PBW3000" s="160"/>
      <c r="PBX3000" s="568"/>
      <c r="PBY3000" s="125"/>
      <c r="PBZ3000" s="470"/>
      <c r="PCA3000" s="449"/>
      <c r="PCB3000" s="462"/>
      <c r="PCC3000" s="299"/>
      <c r="PCD3000" s="81"/>
      <c r="PCE3000" s="160"/>
      <c r="PCF3000" s="568"/>
      <c r="PCG3000" s="125"/>
      <c r="PCH3000" s="470"/>
      <c r="PCI3000" s="449"/>
      <c r="PCJ3000" s="462"/>
      <c r="PCK3000" s="299"/>
      <c r="PCL3000" s="81"/>
      <c r="PCM3000" s="160"/>
      <c r="PCN3000" s="568"/>
      <c r="PCO3000" s="125"/>
      <c r="PCP3000" s="470"/>
      <c r="PCQ3000" s="449"/>
      <c r="PCR3000" s="462"/>
      <c r="PCS3000" s="299"/>
      <c r="PCT3000" s="81"/>
      <c r="PCU3000" s="160"/>
      <c r="PCV3000" s="568"/>
      <c r="PCW3000" s="125"/>
      <c r="PCX3000" s="470"/>
      <c r="PCY3000" s="449"/>
      <c r="PCZ3000" s="462"/>
      <c r="PDA3000" s="299"/>
      <c r="PDB3000" s="81"/>
      <c r="PDC3000" s="160"/>
      <c r="PDD3000" s="568"/>
      <c r="PDE3000" s="125"/>
      <c r="PDF3000" s="470"/>
      <c r="PDG3000" s="449"/>
      <c r="PDH3000" s="462"/>
      <c r="PDI3000" s="299"/>
      <c r="PDJ3000" s="81"/>
      <c r="PDK3000" s="160"/>
      <c r="PDL3000" s="568"/>
      <c r="PDM3000" s="125"/>
      <c r="PDN3000" s="470"/>
      <c r="PDO3000" s="449"/>
      <c r="PDP3000" s="462"/>
      <c r="PDQ3000" s="299"/>
      <c r="PDR3000" s="81"/>
      <c r="PDS3000" s="160"/>
      <c r="PDT3000" s="568"/>
      <c r="PDU3000" s="125"/>
      <c r="PDV3000" s="470"/>
      <c r="PDW3000" s="449"/>
      <c r="PDX3000" s="462"/>
      <c r="PDY3000" s="299"/>
      <c r="PDZ3000" s="81"/>
      <c r="PEA3000" s="160"/>
      <c r="PEB3000" s="568"/>
      <c r="PEC3000" s="125"/>
      <c r="PED3000" s="470"/>
      <c r="PEE3000" s="449"/>
      <c r="PEF3000" s="462"/>
      <c r="PEG3000" s="299"/>
      <c r="PEH3000" s="81"/>
      <c r="PEI3000" s="160"/>
      <c r="PEJ3000" s="568"/>
      <c r="PEK3000" s="125"/>
      <c r="PEL3000" s="470"/>
      <c r="PEM3000" s="449"/>
      <c r="PEN3000" s="462"/>
      <c r="PEO3000" s="299"/>
      <c r="PEP3000" s="81"/>
      <c r="PEQ3000" s="160"/>
      <c r="PER3000" s="568"/>
      <c r="PES3000" s="125"/>
      <c r="PET3000" s="470"/>
      <c r="PEU3000" s="449"/>
      <c r="PEV3000" s="462"/>
      <c r="PEW3000" s="299"/>
      <c r="PEX3000" s="81"/>
      <c r="PEY3000" s="160"/>
      <c r="PEZ3000" s="568"/>
      <c r="PFA3000" s="125"/>
      <c r="PFB3000" s="470"/>
      <c r="PFC3000" s="449"/>
      <c r="PFD3000" s="462"/>
      <c r="PFE3000" s="299"/>
      <c r="PFF3000" s="81"/>
      <c r="PFG3000" s="160"/>
      <c r="PFH3000" s="568"/>
      <c r="PFI3000" s="125"/>
      <c r="PFJ3000" s="470"/>
      <c r="PFK3000" s="449"/>
      <c r="PFL3000" s="462"/>
      <c r="PFM3000" s="299"/>
      <c r="PFN3000" s="81"/>
      <c r="PFO3000" s="160"/>
      <c r="PFP3000" s="568"/>
      <c r="PFQ3000" s="125"/>
      <c r="PFR3000" s="470"/>
      <c r="PFS3000" s="449"/>
      <c r="PFT3000" s="462"/>
      <c r="PFU3000" s="299"/>
      <c r="PFV3000" s="81"/>
      <c r="PFW3000" s="160"/>
      <c r="PFX3000" s="568"/>
      <c r="PFY3000" s="125"/>
      <c r="PFZ3000" s="470"/>
      <c r="PGA3000" s="449"/>
      <c r="PGB3000" s="462"/>
      <c r="PGC3000" s="299"/>
      <c r="PGD3000" s="81"/>
      <c r="PGE3000" s="160"/>
      <c r="PGF3000" s="568"/>
      <c r="PGG3000" s="125"/>
      <c r="PGH3000" s="470"/>
      <c r="PGI3000" s="449"/>
      <c r="PGJ3000" s="462"/>
      <c r="PGK3000" s="299"/>
      <c r="PGL3000" s="81"/>
      <c r="PGM3000" s="160"/>
      <c r="PGN3000" s="568"/>
      <c r="PGO3000" s="125"/>
      <c r="PGP3000" s="470"/>
      <c r="PGQ3000" s="449"/>
      <c r="PGR3000" s="462"/>
      <c r="PGS3000" s="299"/>
      <c r="PGT3000" s="81"/>
      <c r="PGU3000" s="160"/>
      <c r="PGV3000" s="568"/>
      <c r="PGW3000" s="125"/>
      <c r="PGX3000" s="470"/>
      <c r="PGY3000" s="449"/>
      <c r="PGZ3000" s="462"/>
      <c r="PHA3000" s="299"/>
      <c r="PHB3000" s="81"/>
      <c r="PHC3000" s="160"/>
      <c r="PHD3000" s="568"/>
      <c r="PHE3000" s="125"/>
      <c r="PHF3000" s="470"/>
      <c r="PHG3000" s="449"/>
      <c r="PHH3000" s="462"/>
      <c r="PHI3000" s="299"/>
      <c r="PHJ3000" s="81"/>
      <c r="PHK3000" s="160"/>
      <c r="PHL3000" s="568"/>
      <c r="PHM3000" s="125"/>
      <c r="PHN3000" s="470"/>
      <c r="PHO3000" s="449"/>
      <c r="PHP3000" s="462"/>
      <c r="PHQ3000" s="299"/>
      <c r="PHR3000" s="81"/>
      <c r="PHS3000" s="160"/>
      <c r="PHT3000" s="568"/>
      <c r="PHU3000" s="125"/>
      <c r="PHV3000" s="470"/>
      <c r="PHW3000" s="449"/>
      <c r="PHX3000" s="462"/>
      <c r="PHY3000" s="299"/>
      <c r="PHZ3000" s="81"/>
      <c r="PIA3000" s="160"/>
      <c r="PIB3000" s="568"/>
      <c r="PIC3000" s="125"/>
      <c r="PID3000" s="470"/>
      <c r="PIE3000" s="449"/>
      <c r="PIF3000" s="462"/>
      <c r="PIG3000" s="299"/>
      <c r="PIH3000" s="81"/>
      <c r="PII3000" s="160"/>
      <c r="PIJ3000" s="568"/>
      <c r="PIK3000" s="125"/>
      <c r="PIL3000" s="470"/>
      <c r="PIM3000" s="449"/>
      <c r="PIN3000" s="462"/>
      <c r="PIO3000" s="299"/>
      <c r="PIP3000" s="81"/>
      <c r="PIQ3000" s="160"/>
      <c r="PIR3000" s="568"/>
      <c r="PIS3000" s="125"/>
      <c r="PIT3000" s="470"/>
      <c r="PIU3000" s="449"/>
      <c r="PIV3000" s="462"/>
      <c r="PIW3000" s="299"/>
      <c r="PIX3000" s="81"/>
      <c r="PIY3000" s="160"/>
      <c r="PIZ3000" s="568"/>
      <c r="PJA3000" s="125"/>
      <c r="PJB3000" s="470"/>
      <c r="PJC3000" s="449"/>
      <c r="PJD3000" s="462"/>
      <c r="PJE3000" s="299"/>
      <c r="PJF3000" s="81"/>
      <c r="PJG3000" s="160"/>
      <c r="PJH3000" s="568"/>
      <c r="PJI3000" s="125"/>
      <c r="PJJ3000" s="470"/>
      <c r="PJK3000" s="449"/>
      <c r="PJL3000" s="462"/>
      <c r="PJM3000" s="299"/>
      <c r="PJN3000" s="81"/>
      <c r="PJO3000" s="160"/>
      <c r="PJP3000" s="568"/>
      <c r="PJQ3000" s="125"/>
      <c r="PJR3000" s="470"/>
      <c r="PJS3000" s="449"/>
      <c r="PJT3000" s="462"/>
      <c r="PJU3000" s="299"/>
      <c r="PJV3000" s="81"/>
      <c r="PJW3000" s="160"/>
      <c r="PJX3000" s="568"/>
      <c r="PJY3000" s="125"/>
      <c r="PJZ3000" s="470"/>
      <c r="PKA3000" s="449"/>
      <c r="PKB3000" s="462"/>
      <c r="PKC3000" s="299"/>
      <c r="PKD3000" s="81"/>
      <c r="PKE3000" s="160"/>
      <c r="PKF3000" s="568"/>
      <c r="PKG3000" s="125"/>
      <c r="PKH3000" s="470"/>
      <c r="PKI3000" s="449"/>
      <c r="PKJ3000" s="462"/>
      <c r="PKK3000" s="299"/>
      <c r="PKL3000" s="81"/>
      <c r="PKM3000" s="160"/>
      <c r="PKN3000" s="568"/>
      <c r="PKO3000" s="125"/>
      <c r="PKP3000" s="470"/>
      <c r="PKQ3000" s="449"/>
      <c r="PKR3000" s="462"/>
      <c r="PKS3000" s="299"/>
      <c r="PKT3000" s="81"/>
      <c r="PKU3000" s="160"/>
      <c r="PKV3000" s="568"/>
      <c r="PKW3000" s="125"/>
      <c r="PKX3000" s="470"/>
      <c r="PKY3000" s="449"/>
      <c r="PKZ3000" s="462"/>
      <c r="PLA3000" s="299"/>
      <c r="PLB3000" s="81"/>
      <c r="PLC3000" s="160"/>
      <c r="PLD3000" s="568"/>
      <c r="PLE3000" s="125"/>
      <c r="PLF3000" s="470"/>
      <c r="PLG3000" s="449"/>
      <c r="PLH3000" s="462"/>
      <c r="PLI3000" s="299"/>
      <c r="PLJ3000" s="81"/>
      <c r="PLK3000" s="160"/>
      <c r="PLL3000" s="568"/>
      <c r="PLM3000" s="125"/>
      <c r="PLN3000" s="470"/>
      <c r="PLO3000" s="449"/>
      <c r="PLP3000" s="462"/>
      <c r="PLQ3000" s="299"/>
      <c r="PLR3000" s="81"/>
      <c r="PLS3000" s="160"/>
      <c r="PLT3000" s="568"/>
      <c r="PLU3000" s="125"/>
      <c r="PLV3000" s="470"/>
      <c r="PLW3000" s="449"/>
      <c r="PLX3000" s="462"/>
      <c r="PLY3000" s="299"/>
      <c r="PLZ3000" s="81"/>
      <c r="PMA3000" s="160"/>
      <c r="PMB3000" s="568"/>
      <c r="PMC3000" s="125"/>
      <c r="PMD3000" s="470"/>
      <c r="PME3000" s="449"/>
      <c r="PMF3000" s="462"/>
      <c r="PMG3000" s="299"/>
      <c r="PMH3000" s="81"/>
      <c r="PMI3000" s="160"/>
      <c r="PMJ3000" s="568"/>
      <c r="PMK3000" s="125"/>
      <c r="PML3000" s="470"/>
      <c r="PMM3000" s="449"/>
      <c r="PMN3000" s="462"/>
      <c r="PMO3000" s="299"/>
      <c r="PMP3000" s="81"/>
      <c r="PMQ3000" s="160"/>
      <c r="PMR3000" s="568"/>
      <c r="PMS3000" s="125"/>
      <c r="PMT3000" s="470"/>
      <c r="PMU3000" s="449"/>
      <c r="PMV3000" s="462"/>
      <c r="PMW3000" s="299"/>
      <c r="PMX3000" s="81"/>
      <c r="PMY3000" s="160"/>
      <c r="PMZ3000" s="568"/>
      <c r="PNA3000" s="125"/>
      <c r="PNB3000" s="470"/>
      <c r="PNC3000" s="449"/>
      <c r="PND3000" s="462"/>
      <c r="PNE3000" s="299"/>
      <c r="PNF3000" s="81"/>
      <c r="PNG3000" s="160"/>
      <c r="PNH3000" s="568"/>
      <c r="PNI3000" s="125"/>
      <c r="PNJ3000" s="470"/>
      <c r="PNK3000" s="449"/>
      <c r="PNL3000" s="462"/>
      <c r="PNM3000" s="299"/>
      <c r="PNN3000" s="81"/>
      <c r="PNO3000" s="160"/>
      <c r="PNP3000" s="568"/>
      <c r="PNQ3000" s="125"/>
      <c r="PNR3000" s="470"/>
      <c r="PNS3000" s="449"/>
      <c r="PNT3000" s="462"/>
      <c r="PNU3000" s="299"/>
      <c r="PNV3000" s="81"/>
      <c r="PNW3000" s="160"/>
      <c r="PNX3000" s="568"/>
      <c r="PNY3000" s="125"/>
      <c r="PNZ3000" s="470"/>
      <c r="POA3000" s="449"/>
      <c r="POB3000" s="462"/>
      <c r="POC3000" s="299"/>
      <c r="POD3000" s="81"/>
      <c r="POE3000" s="160"/>
      <c r="POF3000" s="568"/>
      <c r="POG3000" s="125"/>
      <c r="POH3000" s="470"/>
      <c r="POI3000" s="449"/>
      <c r="POJ3000" s="462"/>
      <c r="POK3000" s="299"/>
      <c r="POL3000" s="81"/>
      <c r="POM3000" s="160"/>
      <c r="PON3000" s="568"/>
      <c r="POO3000" s="125"/>
      <c r="POP3000" s="470"/>
      <c r="POQ3000" s="449"/>
      <c r="POR3000" s="462"/>
      <c r="POS3000" s="299"/>
      <c r="POT3000" s="81"/>
      <c r="POU3000" s="160"/>
      <c r="POV3000" s="568"/>
      <c r="POW3000" s="125"/>
      <c r="POX3000" s="470"/>
      <c r="POY3000" s="449"/>
      <c r="POZ3000" s="462"/>
      <c r="PPA3000" s="299"/>
      <c r="PPB3000" s="81"/>
      <c r="PPC3000" s="160"/>
      <c r="PPD3000" s="568"/>
      <c r="PPE3000" s="125"/>
      <c r="PPF3000" s="470"/>
      <c r="PPG3000" s="449"/>
      <c r="PPH3000" s="462"/>
      <c r="PPI3000" s="299"/>
      <c r="PPJ3000" s="81"/>
      <c r="PPK3000" s="160"/>
      <c r="PPL3000" s="568"/>
      <c r="PPM3000" s="125"/>
      <c r="PPN3000" s="470"/>
      <c r="PPO3000" s="449"/>
      <c r="PPP3000" s="462"/>
      <c r="PPQ3000" s="299"/>
      <c r="PPR3000" s="81"/>
      <c r="PPS3000" s="160"/>
      <c r="PPT3000" s="568"/>
      <c r="PPU3000" s="125"/>
      <c r="PPV3000" s="470"/>
      <c r="PPW3000" s="449"/>
      <c r="PPX3000" s="462"/>
      <c r="PPY3000" s="299"/>
      <c r="PPZ3000" s="81"/>
      <c r="PQA3000" s="160"/>
      <c r="PQB3000" s="568"/>
      <c r="PQC3000" s="125"/>
      <c r="PQD3000" s="470"/>
      <c r="PQE3000" s="449"/>
      <c r="PQF3000" s="462"/>
      <c r="PQG3000" s="299"/>
      <c r="PQH3000" s="81"/>
      <c r="PQI3000" s="160"/>
      <c r="PQJ3000" s="568"/>
      <c r="PQK3000" s="125"/>
      <c r="PQL3000" s="470"/>
      <c r="PQM3000" s="449"/>
      <c r="PQN3000" s="462"/>
      <c r="PQO3000" s="299"/>
      <c r="PQP3000" s="81"/>
      <c r="PQQ3000" s="160"/>
      <c r="PQR3000" s="568"/>
      <c r="PQS3000" s="125"/>
      <c r="PQT3000" s="470"/>
      <c r="PQU3000" s="449"/>
      <c r="PQV3000" s="462"/>
      <c r="PQW3000" s="299"/>
      <c r="PQX3000" s="81"/>
      <c r="PQY3000" s="160"/>
      <c r="PQZ3000" s="568"/>
      <c r="PRA3000" s="125"/>
      <c r="PRB3000" s="470"/>
      <c r="PRC3000" s="449"/>
      <c r="PRD3000" s="462"/>
      <c r="PRE3000" s="299"/>
      <c r="PRF3000" s="81"/>
      <c r="PRG3000" s="160"/>
      <c r="PRH3000" s="568"/>
      <c r="PRI3000" s="125"/>
      <c r="PRJ3000" s="470"/>
      <c r="PRK3000" s="449"/>
      <c r="PRL3000" s="462"/>
      <c r="PRM3000" s="299"/>
      <c r="PRN3000" s="81"/>
      <c r="PRO3000" s="160"/>
      <c r="PRP3000" s="568"/>
      <c r="PRQ3000" s="125"/>
      <c r="PRR3000" s="470"/>
      <c r="PRS3000" s="449"/>
      <c r="PRT3000" s="462"/>
      <c r="PRU3000" s="299"/>
      <c r="PRV3000" s="81"/>
      <c r="PRW3000" s="160"/>
      <c r="PRX3000" s="568"/>
      <c r="PRY3000" s="125"/>
      <c r="PRZ3000" s="470"/>
      <c r="PSA3000" s="449"/>
      <c r="PSB3000" s="462"/>
      <c r="PSC3000" s="299"/>
      <c r="PSD3000" s="81"/>
      <c r="PSE3000" s="160"/>
      <c r="PSF3000" s="568"/>
      <c r="PSG3000" s="125"/>
      <c r="PSH3000" s="470"/>
      <c r="PSI3000" s="449"/>
      <c r="PSJ3000" s="462"/>
      <c r="PSK3000" s="299"/>
      <c r="PSL3000" s="81"/>
      <c r="PSM3000" s="160"/>
      <c r="PSN3000" s="568"/>
      <c r="PSO3000" s="125"/>
      <c r="PSP3000" s="470"/>
      <c r="PSQ3000" s="449"/>
      <c r="PSR3000" s="462"/>
      <c r="PSS3000" s="299"/>
      <c r="PST3000" s="81"/>
      <c r="PSU3000" s="160"/>
      <c r="PSV3000" s="568"/>
      <c r="PSW3000" s="125"/>
      <c r="PSX3000" s="470"/>
      <c r="PSY3000" s="449"/>
      <c r="PSZ3000" s="462"/>
      <c r="PTA3000" s="299"/>
      <c r="PTB3000" s="81"/>
      <c r="PTC3000" s="160"/>
      <c r="PTD3000" s="568"/>
      <c r="PTE3000" s="125"/>
      <c r="PTF3000" s="470"/>
      <c r="PTG3000" s="449"/>
      <c r="PTH3000" s="462"/>
      <c r="PTI3000" s="299"/>
      <c r="PTJ3000" s="81"/>
      <c r="PTK3000" s="160"/>
      <c r="PTL3000" s="568"/>
      <c r="PTM3000" s="125"/>
      <c r="PTN3000" s="470"/>
      <c r="PTO3000" s="449"/>
      <c r="PTP3000" s="462"/>
      <c r="PTQ3000" s="299"/>
      <c r="PTR3000" s="81"/>
      <c r="PTS3000" s="160"/>
      <c r="PTT3000" s="568"/>
      <c r="PTU3000" s="125"/>
      <c r="PTV3000" s="470"/>
      <c r="PTW3000" s="449"/>
      <c r="PTX3000" s="462"/>
      <c r="PTY3000" s="299"/>
      <c r="PTZ3000" s="81"/>
      <c r="PUA3000" s="160"/>
      <c r="PUB3000" s="568"/>
      <c r="PUC3000" s="125"/>
      <c r="PUD3000" s="470"/>
      <c r="PUE3000" s="449"/>
      <c r="PUF3000" s="462"/>
      <c r="PUG3000" s="299"/>
      <c r="PUH3000" s="81"/>
      <c r="PUI3000" s="160"/>
      <c r="PUJ3000" s="568"/>
      <c r="PUK3000" s="125"/>
      <c r="PUL3000" s="470"/>
      <c r="PUM3000" s="449"/>
      <c r="PUN3000" s="462"/>
      <c r="PUO3000" s="299"/>
      <c r="PUP3000" s="81"/>
      <c r="PUQ3000" s="160"/>
      <c r="PUR3000" s="568"/>
      <c r="PUS3000" s="125"/>
      <c r="PUT3000" s="470"/>
      <c r="PUU3000" s="449"/>
      <c r="PUV3000" s="462"/>
      <c r="PUW3000" s="299"/>
      <c r="PUX3000" s="81"/>
      <c r="PUY3000" s="160"/>
      <c r="PUZ3000" s="568"/>
      <c r="PVA3000" s="125"/>
      <c r="PVB3000" s="470"/>
      <c r="PVC3000" s="449"/>
      <c r="PVD3000" s="462"/>
      <c r="PVE3000" s="299"/>
      <c r="PVF3000" s="81"/>
      <c r="PVG3000" s="160"/>
      <c r="PVH3000" s="568"/>
      <c r="PVI3000" s="125"/>
      <c r="PVJ3000" s="470"/>
      <c r="PVK3000" s="449"/>
      <c r="PVL3000" s="462"/>
      <c r="PVM3000" s="299"/>
      <c r="PVN3000" s="81"/>
      <c r="PVO3000" s="160"/>
      <c r="PVP3000" s="568"/>
      <c r="PVQ3000" s="125"/>
      <c r="PVR3000" s="470"/>
      <c r="PVS3000" s="449"/>
      <c r="PVT3000" s="462"/>
      <c r="PVU3000" s="299"/>
      <c r="PVV3000" s="81"/>
      <c r="PVW3000" s="160"/>
      <c r="PVX3000" s="568"/>
      <c r="PVY3000" s="125"/>
      <c r="PVZ3000" s="470"/>
      <c r="PWA3000" s="449"/>
      <c r="PWB3000" s="462"/>
      <c r="PWC3000" s="299"/>
      <c r="PWD3000" s="81"/>
      <c r="PWE3000" s="160"/>
      <c r="PWF3000" s="568"/>
      <c r="PWG3000" s="125"/>
      <c r="PWH3000" s="470"/>
      <c r="PWI3000" s="449"/>
      <c r="PWJ3000" s="462"/>
      <c r="PWK3000" s="299"/>
      <c r="PWL3000" s="81"/>
      <c r="PWM3000" s="160"/>
      <c r="PWN3000" s="568"/>
      <c r="PWO3000" s="125"/>
      <c r="PWP3000" s="470"/>
      <c r="PWQ3000" s="449"/>
      <c r="PWR3000" s="462"/>
      <c r="PWS3000" s="299"/>
      <c r="PWT3000" s="81"/>
      <c r="PWU3000" s="160"/>
      <c r="PWV3000" s="568"/>
      <c r="PWW3000" s="125"/>
      <c r="PWX3000" s="470"/>
      <c r="PWY3000" s="449"/>
      <c r="PWZ3000" s="462"/>
      <c r="PXA3000" s="299"/>
      <c r="PXB3000" s="81"/>
      <c r="PXC3000" s="160"/>
      <c r="PXD3000" s="568"/>
      <c r="PXE3000" s="125"/>
      <c r="PXF3000" s="470"/>
      <c r="PXG3000" s="449"/>
      <c r="PXH3000" s="462"/>
      <c r="PXI3000" s="299"/>
      <c r="PXJ3000" s="81"/>
      <c r="PXK3000" s="160"/>
      <c r="PXL3000" s="568"/>
      <c r="PXM3000" s="125"/>
      <c r="PXN3000" s="470"/>
      <c r="PXO3000" s="449"/>
      <c r="PXP3000" s="462"/>
      <c r="PXQ3000" s="299"/>
      <c r="PXR3000" s="81"/>
      <c r="PXS3000" s="160"/>
      <c r="PXT3000" s="568"/>
      <c r="PXU3000" s="125"/>
      <c r="PXV3000" s="470"/>
      <c r="PXW3000" s="449"/>
      <c r="PXX3000" s="462"/>
      <c r="PXY3000" s="299"/>
      <c r="PXZ3000" s="81"/>
      <c r="PYA3000" s="160"/>
      <c r="PYB3000" s="568"/>
      <c r="PYC3000" s="125"/>
      <c r="PYD3000" s="470"/>
      <c r="PYE3000" s="449"/>
      <c r="PYF3000" s="462"/>
      <c r="PYG3000" s="299"/>
      <c r="PYH3000" s="81"/>
      <c r="PYI3000" s="160"/>
      <c r="PYJ3000" s="568"/>
      <c r="PYK3000" s="125"/>
      <c r="PYL3000" s="470"/>
      <c r="PYM3000" s="449"/>
      <c r="PYN3000" s="462"/>
      <c r="PYO3000" s="299"/>
      <c r="PYP3000" s="81"/>
      <c r="PYQ3000" s="160"/>
      <c r="PYR3000" s="568"/>
      <c r="PYS3000" s="125"/>
      <c r="PYT3000" s="470"/>
      <c r="PYU3000" s="449"/>
      <c r="PYV3000" s="462"/>
      <c r="PYW3000" s="299"/>
      <c r="PYX3000" s="81"/>
      <c r="PYY3000" s="160"/>
      <c r="PYZ3000" s="568"/>
      <c r="PZA3000" s="125"/>
      <c r="PZB3000" s="470"/>
      <c r="PZC3000" s="449"/>
      <c r="PZD3000" s="462"/>
      <c r="PZE3000" s="299"/>
      <c r="PZF3000" s="81"/>
      <c r="PZG3000" s="160"/>
      <c r="PZH3000" s="568"/>
      <c r="PZI3000" s="125"/>
      <c r="PZJ3000" s="470"/>
      <c r="PZK3000" s="449"/>
      <c r="PZL3000" s="462"/>
      <c r="PZM3000" s="299"/>
      <c r="PZN3000" s="81"/>
      <c r="PZO3000" s="160"/>
      <c r="PZP3000" s="568"/>
      <c r="PZQ3000" s="125"/>
      <c r="PZR3000" s="470"/>
      <c r="PZS3000" s="449"/>
      <c r="PZT3000" s="462"/>
      <c r="PZU3000" s="299"/>
      <c r="PZV3000" s="81"/>
      <c r="PZW3000" s="160"/>
      <c r="PZX3000" s="568"/>
      <c r="PZY3000" s="125"/>
      <c r="PZZ3000" s="470"/>
      <c r="QAA3000" s="449"/>
      <c r="QAB3000" s="462"/>
      <c r="QAC3000" s="299"/>
      <c r="QAD3000" s="81"/>
      <c r="QAE3000" s="160"/>
      <c r="QAF3000" s="568"/>
      <c r="QAG3000" s="125"/>
      <c r="QAH3000" s="470"/>
      <c r="QAI3000" s="449"/>
      <c r="QAJ3000" s="462"/>
      <c r="QAK3000" s="299"/>
      <c r="QAL3000" s="81"/>
      <c r="QAM3000" s="160"/>
      <c r="QAN3000" s="568"/>
      <c r="QAO3000" s="125"/>
      <c r="QAP3000" s="470"/>
      <c r="QAQ3000" s="449"/>
      <c r="QAR3000" s="462"/>
      <c r="QAS3000" s="299"/>
      <c r="QAT3000" s="81"/>
      <c r="QAU3000" s="160"/>
      <c r="QAV3000" s="568"/>
      <c r="QAW3000" s="125"/>
      <c r="QAX3000" s="470"/>
      <c r="QAY3000" s="449"/>
      <c r="QAZ3000" s="462"/>
      <c r="QBA3000" s="299"/>
      <c r="QBB3000" s="81"/>
      <c r="QBC3000" s="160"/>
      <c r="QBD3000" s="568"/>
      <c r="QBE3000" s="125"/>
      <c r="QBF3000" s="470"/>
      <c r="QBG3000" s="449"/>
      <c r="QBH3000" s="462"/>
      <c r="QBI3000" s="299"/>
      <c r="QBJ3000" s="81"/>
      <c r="QBK3000" s="160"/>
      <c r="QBL3000" s="568"/>
      <c r="QBM3000" s="125"/>
      <c r="QBN3000" s="470"/>
      <c r="QBO3000" s="449"/>
      <c r="QBP3000" s="462"/>
      <c r="QBQ3000" s="299"/>
      <c r="QBR3000" s="81"/>
      <c r="QBS3000" s="160"/>
      <c r="QBT3000" s="568"/>
      <c r="QBU3000" s="125"/>
      <c r="QBV3000" s="470"/>
      <c r="QBW3000" s="449"/>
      <c r="QBX3000" s="462"/>
      <c r="QBY3000" s="299"/>
      <c r="QBZ3000" s="81"/>
      <c r="QCA3000" s="160"/>
      <c r="QCB3000" s="568"/>
      <c r="QCC3000" s="125"/>
      <c r="QCD3000" s="470"/>
      <c r="QCE3000" s="449"/>
      <c r="QCF3000" s="462"/>
      <c r="QCG3000" s="299"/>
      <c r="QCH3000" s="81"/>
      <c r="QCI3000" s="160"/>
      <c r="QCJ3000" s="568"/>
      <c r="QCK3000" s="125"/>
      <c r="QCL3000" s="470"/>
      <c r="QCM3000" s="449"/>
      <c r="QCN3000" s="462"/>
      <c r="QCO3000" s="299"/>
      <c r="QCP3000" s="81"/>
      <c r="QCQ3000" s="160"/>
      <c r="QCR3000" s="568"/>
      <c r="QCS3000" s="125"/>
      <c r="QCT3000" s="470"/>
      <c r="QCU3000" s="449"/>
      <c r="QCV3000" s="462"/>
      <c r="QCW3000" s="299"/>
      <c r="QCX3000" s="81"/>
      <c r="QCY3000" s="160"/>
      <c r="QCZ3000" s="568"/>
      <c r="QDA3000" s="125"/>
      <c r="QDB3000" s="470"/>
      <c r="QDC3000" s="449"/>
      <c r="QDD3000" s="462"/>
      <c r="QDE3000" s="299"/>
      <c r="QDF3000" s="81"/>
      <c r="QDG3000" s="160"/>
      <c r="QDH3000" s="568"/>
      <c r="QDI3000" s="125"/>
      <c r="QDJ3000" s="470"/>
      <c r="QDK3000" s="449"/>
      <c r="QDL3000" s="462"/>
      <c r="QDM3000" s="299"/>
      <c r="QDN3000" s="81"/>
      <c r="QDO3000" s="160"/>
      <c r="QDP3000" s="568"/>
      <c r="QDQ3000" s="125"/>
      <c r="QDR3000" s="470"/>
      <c r="QDS3000" s="449"/>
      <c r="QDT3000" s="462"/>
      <c r="QDU3000" s="299"/>
      <c r="QDV3000" s="81"/>
      <c r="QDW3000" s="160"/>
      <c r="QDX3000" s="568"/>
      <c r="QDY3000" s="125"/>
      <c r="QDZ3000" s="470"/>
      <c r="QEA3000" s="449"/>
      <c r="QEB3000" s="462"/>
      <c r="QEC3000" s="299"/>
      <c r="QED3000" s="81"/>
      <c r="QEE3000" s="160"/>
      <c r="QEF3000" s="568"/>
      <c r="QEG3000" s="125"/>
      <c r="QEH3000" s="470"/>
      <c r="QEI3000" s="449"/>
      <c r="QEJ3000" s="462"/>
      <c r="QEK3000" s="299"/>
      <c r="QEL3000" s="81"/>
      <c r="QEM3000" s="160"/>
      <c r="QEN3000" s="568"/>
      <c r="QEO3000" s="125"/>
      <c r="QEP3000" s="470"/>
      <c r="QEQ3000" s="449"/>
      <c r="QER3000" s="462"/>
      <c r="QES3000" s="299"/>
      <c r="QET3000" s="81"/>
      <c r="QEU3000" s="160"/>
      <c r="QEV3000" s="568"/>
      <c r="QEW3000" s="125"/>
      <c r="QEX3000" s="470"/>
      <c r="QEY3000" s="449"/>
      <c r="QEZ3000" s="462"/>
      <c r="QFA3000" s="299"/>
      <c r="QFB3000" s="81"/>
      <c r="QFC3000" s="160"/>
      <c r="QFD3000" s="568"/>
      <c r="QFE3000" s="125"/>
      <c r="QFF3000" s="470"/>
      <c r="QFG3000" s="449"/>
      <c r="QFH3000" s="462"/>
      <c r="QFI3000" s="299"/>
      <c r="QFJ3000" s="81"/>
      <c r="QFK3000" s="160"/>
      <c r="QFL3000" s="568"/>
      <c r="QFM3000" s="125"/>
      <c r="QFN3000" s="470"/>
      <c r="QFO3000" s="449"/>
      <c r="QFP3000" s="462"/>
      <c r="QFQ3000" s="299"/>
      <c r="QFR3000" s="81"/>
      <c r="QFS3000" s="160"/>
      <c r="QFT3000" s="568"/>
      <c r="QFU3000" s="125"/>
      <c r="QFV3000" s="470"/>
      <c r="QFW3000" s="449"/>
      <c r="QFX3000" s="462"/>
      <c r="QFY3000" s="299"/>
      <c r="QFZ3000" s="81"/>
      <c r="QGA3000" s="160"/>
      <c r="QGB3000" s="568"/>
      <c r="QGC3000" s="125"/>
      <c r="QGD3000" s="470"/>
      <c r="QGE3000" s="449"/>
      <c r="QGF3000" s="462"/>
      <c r="QGG3000" s="299"/>
      <c r="QGH3000" s="81"/>
      <c r="QGI3000" s="160"/>
      <c r="QGJ3000" s="568"/>
      <c r="QGK3000" s="125"/>
      <c r="QGL3000" s="470"/>
      <c r="QGM3000" s="449"/>
      <c r="QGN3000" s="462"/>
      <c r="QGO3000" s="299"/>
      <c r="QGP3000" s="81"/>
      <c r="QGQ3000" s="160"/>
      <c r="QGR3000" s="568"/>
      <c r="QGS3000" s="125"/>
      <c r="QGT3000" s="470"/>
      <c r="QGU3000" s="449"/>
      <c r="QGV3000" s="462"/>
      <c r="QGW3000" s="299"/>
      <c r="QGX3000" s="81"/>
      <c r="QGY3000" s="160"/>
      <c r="QGZ3000" s="568"/>
      <c r="QHA3000" s="125"/>
      <c r="QHB3000" s="470"/>
      <c r="QHC3000" s="449"/>
      <c r="QHD3000" s="462"/>
      <c r="QHE3000" s="299"/>
      <c r="QHF3000" s="81"/>
      <c r="QHG3000" s="160"/>
      <c r="QHH3000" s="568"/>
      <c r="QHI3000" s="125"/>
      <c r="QHJ3000" s="470"/>
      <c r="QHK3000" s="449"/>
      <c r="QHL3000" s="462"/>
      <c r="QHM3000" s="299"/>
      <c r="QHN3000" s="81"/>
      <c r="QHO3000" s="160"/>
      <c r="QHP3000" s="568"/>
      <c r="QHQ3000" s="125"/>
      <c r="QHR3000" s="470"/>
      <c r="QHS3000" s="449"/>
      <c r="QHT3000" s="462"/>
      <c r="QHU3000" s="299"/>
      <c r="QHV3000" s="81"/>
      <c r="QHW3000" s="160"/>
      <c r="QHX3000" s="568"/>
      <c r="QHY3000" s="125"/>
      <c r="QHZ3000" s="470"/>
      <c r="QIA3000" s="449"/>
      <c r="QIB3000" s="462"/>
      <c r="QIC3000" s="299"/>
      <c r="QID3000" s="81"/>
      <c r="QIE3000" s="160"/>
      <c r="QIF3000" s="568"/>
      <c r="QIG3000" s="125"/>
      <c r="QIH3000" s="470"/>
      <c r="QII3000" s="449"/>
      <c r="QIJ3000" s="462"/>
      <c r="QIK3000" s="299"/>
      <c r="QIL3000" s="81"/>
      <c r="QIM3000" s="160"/>
      <c r="QIN3000" s="568"/>
      <c r="QIO3000" s="125"/>
      <c r="QIP3000" s="470"/>
      <c r="QIQ3000" s="449"/>
      <c r="QIR3000" s="462"/>
      <c r="QIS3000" s="299"/>
      <c r="QIT3000" s="81"/>
      <c r="QIU3000" s="160"/>
      <c r="QIV3000" s="568"/>
      <c r="QIW3000" s="125"/>
      <c r="QIX3000" s="470"/>
      <c r="QIY3000" s="449"/>
      <c r="QIZ3000" s="462"/>
      <c r="QJA3000" s="299"/>
      <c r="QJB3000" s="81"/>
      <c r="QJC3000" s="160"/>
      <c r="QJD3000" s="568"/>
      <c r="QJE3000" s="125"/>
      <c r="QJF3000" s="470"/>
      <c r="QJG3000" s="449"/>
      <c r="QJH3000" s="462"/>
      <c r="QJI3000" s="299"/>
      <c r="QJJ3000" s="81"/>
      <c r="QJK3000" s="160"/>
      <c r="QJL3000" s="568"/>
      <c r="QJM3000" s="125"/>
      <c r="QJN3000" s="470"/>
      <c r="QJO3000" s="449"/>
      <c r="QJP3000" s="462"/>
      <c r="QJQ3000" s="299"/>
      <c r="QJR3000" s="81"/>
      <c r="QJS3000" s="160"/>
      <c r="QJT3000" s="568"/>
      <c r="QJU3000" s="125"/>
      <c r="QJV3000" s="470"/>
      <c r="QJW3000" s="449"/>
      <c r="QJX3000" s="462"/>
      <c r="QJY3000" s="299"/>
      <c r="QJZ3000" s="81"/>
      <c r="QKA3000" s="160"/>
      <c r="QKB3000" s="568"/>
      <c r="QKC3000" s="125"/>
      <c r="QKD3000" s="470"/>
      <c r="QKE3000" s="449"/>
      <c r="QKF3000" s="462"/>
      <c r="QKG3000" s="299"/>
      <c r="QKH3000" s="81"/>
      <c r="QKI3000" s="160"/>
      <c r="QKJ3000" s="568"/>
      <c r="QKK3000" s="125"/>
      <c r="QKL3000" s="470"/>
      <c r="QKM3000" s="449"/>
      <c r="QKN3000" s="462"/>
      <c r="QKO3000" s="299"/>
      <c r="QKP3000" s="81"/>
      <c r="QKQ3000" s="160"/>
      <c r="QKR3000" s="568"/>
      <c r="QKS3000" s="125"/>
      <c r="QKT3000" s="470"/>
      <c r="QKU3000" s="449"/>
      <c r="QKV3000" s="462"/>
      <c r="QKW3000" s="299"/>
      <c r="QKX3000" s="81"/>
      <c r="QKY3000" s="160"/>
      <c r="QKZ3000" s="568"/>
      <c r="QLA3000" s="125"/>
      <c r="QLB3000" s="470"/>
      <c r="QLC3000" s="449"/>
      <c r="QLD3000" s="462"/>
      <c r="QLE3000" s="299"/>
      <c r="QLF3000" s="81"/>
      <c r="QLG3000" s="160"/>
      <c r="QLH3000" s="568"/>
      <c r="QLI3000" s="125"/>
      <c r="QLJ3000" s="470"/>
      <c r="QLK3000" s="449"/>
      <c r="QLL3000" s="462"/>
      <c r="QLM3000" s="299"/>
      <c r="QLN3000" s="81"/>
      <c r="QLO3000" s="160"/>
      <c r="QLP3000" s="568"/>
      <c r="QLQ3000" s="125"/>
      <c r="QLR3000" s="470"/>
      <c r="QLS3000" s="449"/>
      <c r="QLT3000" s="462"/>
      <c r="QLU3000" s="299"/>
      <c r="QLV3000" s="81"/>
      <c r="QLW3000" s="160"/>
      <c r="QLX3000" s="568"/>
      <c r="QLY3000" s="125"/>
      <c r="QLZ3000" s="470"/>
      <c r="QMA3000" s="449"/>
      <c r="QMB3000" s="462"/>
      <c r="QMC3000" s="299"/>
      <c r="QMD3000" s="81"/>
      <c r="QME3000" s="160"/>
      <c r="QMF3000" s="568"/>
      <c r="QMG3000" s="125"/>
      <c r="QMH3000" s="470"/>
      <c r="QMI3000" s="449"/>
      <c r="QMJ3000" s="462"/>
      <c r="QMK3000" s="299"/>
      <c r="QML3000" s="81"/>
      <c r="QMM3000" s="160"/>
      <c r="QMN3000" s="568"/>
      <c r="QMO3000" s="125"/>
      <c r="QMP3000" s="470"/>
      <c r="QMQ3000" s="449"/>
      <c r="QMR3000" s="462"/>
      <c r="QMS3000" s="299"/>
      <c r="QMT3000" s="81"/>
      <c r="QMU3000" s="160"/>
      <c r="QMV3000" s="568"/>
      <c r="QMW3000" s="125"/>
      <c r="QMX3000" s="470"/>
      <c r="QMY3000" s="449"/>
      <c r="QMZ3000" s="462"/>
      <c r="QNA3000" s="299"/>
      <c r="QNB3000" s="81"/>
      <c r="QNC3000" s="160"/>
      <c r="QND3000" s="568"/>
      <c r="QNE3000" s="125"/>
      <c r="QNF3000" s="470"/>
      <c r="QNG3000" s="449"/>
      <c r="QNH3000" s="462"/>
      <c r="QNI3000" s="299"/>
      <c r="QNJ3000" s="81"/>
      <c r="QNK3000" s="160"/>
      <c r="QNL3000" s="568"/>
      <c r="QNM3000" s="125"/>
      <c r="QNN3000" s="470"/>
      <c r="QNO3000" s="449"/>
      <c r="QNP3000" s="462"/>
      <c r="QNQ3000" s="299"/>
      <c r="QNR3000" s="81"/>
      <c r="QNS3000" s="160"/>
      <c r="QNT3000" s="568"/>
      <c r="QNU3000" s="125"/>
      <c r="QNV3000" s="470"/>
      <c r="QNW3000" s="449"/>
      <c r="QNX3000" s="462"/>
      <c r="QNY3000" s="299"/>
      <c r="QNZ3000" s="81"/>
      <c r="QOA3000" s="160"/>
      <c r="QOB3000" s="568"/>
      <c r="QOC3000" s="125"/>
      <c r="QOD3000" s="470"/>
      <c r="QOE3000" s="449"/>
      <c r="QOF3000" s="462"/>
      <c r="QOG3000" s="299"/>
      <c r="QOH3000" s="81"/>
      <c r="QOI3000" s="160"/>
      <c r="QOJ3000" s="568"/>
      <c r="QOK3000" s="125"/>
      <c r="QOL3000" s="470"/>
      <c r="QOM3000" s="449"/>
      <c r="QON3000" s="462"/>
      <c r="QOO3000" s="299"/>
      <c r="QOP3000" s="81"/>
      <c r="QOQ3000" s="160"/>
      <c r="QOR3000" s="568"/>
      <c r="QOS3000" s="125"/>
      <c r="QOT3000" s="470"/>
      <c r="QOU3000" s="449"/>
      <c r="QOV3000" s="462"/>
      <c r="QOW3000" s="299"/>
      <c r="QOX3000" s="81"/>
      <c r="QOY3000" s="160"/>
      <c r="QOZ3000" s="568"/>
      <c r="QPA3000" s="125"/>
      <c r="QPB3000" s="470"/>
      <c r="QPC3000" s="449"/>
      <c r="QPD3000" s="462"/>
      <c r="QPE3000" s="299"/>
      <c r="QPF3000" s="81"/>
      <c r="QPG3000" s="160"/>
      <c r="QPH3000" s="568"/>
      <c r="QPI3000" s="125"/>
      <c r="QPJ3000" s="470"/>
      <c r="QPK3000" s="449"/>
      <c r="QPL3000" s="462"/>
      <c r="QPM3000" s="299"/>
      <c r="QPN3000" s="81"/>
      <c r="QPO3000" s="160"/>
      <c r="QPP3000" s="568"/>
      <c r="QPQ3000" s="125"/>
      <c r="QPR3000" s="470"/>
      <c r="QPS3000" s="449"/>
      <c r="QPT3000" s="462"/>
      <c r="QPU3000" s="299"/>
      <c r="QPV3000" s="81"/>
      <c r="QPW3000" s="160"/>
      <c r="QPX3000" s="568"/>
      <c r="QPY3000" s="125"/>
      <c r="QPZ3000" s="470"/>
      <c r="QQA3000" s="449"/>
      <c r="QQB3000" s="462"/>
      <c r="QQC3000" s="299"/>
      <c r="QQD3000" s="81"/>
      <c r="QQE3000" s="160"/>
      <c r="QQF3000" s="568"/>
      <c r="QQG3000" s="125"/>
      <c r="QQH3000" s="470"/>
      <c r="QQI3000" s="449"/>
      <c r="QQJ3000" s="462"/>
      <c r="QQK3000" s="299"/>
      <c r="QQL3000" s="81"/>
      <c r="QQM3000" s="160"/>
      <c r="QQN3000" s="568"/>
      <c r="QQO3000" s="125"/>
      <c r="QQP3000" s="470"/>
      <c r="QQQ3000" s="449"/>
      <c r="QQR3000" s="462"/>
      <c r="QQS3000" s="299"/>
      <c r="QQT3000" s="81"/>
      <c r="QQU3000" s="160"/>
      <c r="QQV3000" s="568"/>
      <c r="QQW3000" s="125"/>
      <c r="QQX3000" s="470"/>
      <c r="QQY3000" s="449"/>
      <c r="QQZ3000" s="462"/>
      <c r="QRA3000" s="299"/>
      <c r="QRB3000" s="81"/>
      <c r="QRC3000" s="160"/>
      <c r="QRD3000" s="568"/>
      <c r="QRE3000" s="125"/>
      <c r="QRF3000" s="470"/>
      <c r="QRG3000" s="449"/>
      <c r="QRH3000" s="462"/>
      <c r="QRI3000" s="299"/>
      <c r="QRJ3000" s="81"/>
      <c r="QRK3000" s="160"/>
      <c r="QRL3000" s="568"/>
      <c r="QRM3000" s="125"/>
      <c r="QRN3000" s="470"/>
      <c r="QRO3000" s="449"/>
      <c r="QRP3000" s="462"/>
      <c r="QRQ3000" s="299"/>
      <c r="QRR3000" s="81"/>
      <c r="QRS3000" s="160"/>
      <c r="QRT3000" s="568"/>
      <c r="QRU3000" s="125"/>
      <c r="QRV3000" s="470"/>
      <c r="QRW3000" s="449"/>
      <c r="QRX3000" s="462"/>
      <c r="QRY3000" s="299"/>
      <c r="QRZ3000" s="81"/>
      <c r="QSA3000" s="160"/>
      <c r="QSB3000" s="568"/>
      <c r="QSC3000" s="125"/>
      <c r="QSD3000" s="470"/>
      <c r="QSE3000" s="449"/>
      <c r="QSF3000" s="462"/>
      <c r="QSG3000" s="299"/>
      <c r="QSH3000" s="81"/>
      <c r="QSI3000" s="160"/>
      <c r="QSJ3000" s="568"/>
      <c r="QSK3000" s="125"/>
      <c r="QSL3000" s="470"/>
      <c r="QSM3000" s="449"/>
      <c r="QSN3000" s="462"/>
      <c r="QSO3000" s="299"/>
      <c r="QSP3000" s="81"/>
      <c r="QSQ3000" s="160"/>
      <c r="QSR3000" s="568"/>
      <c r="QSS3000" s="125"/>
      <c r="QST3000" s="470"/>
      <c r="QSU3000" s="449"/>
      <c r="QSV3000" s="462"/>
      <c r="QSW3000" s="299"/>
      <c r="QSX3000" s="81"/>
      <c r="QSY3000" s="160"/>
      <c r="QSZ3000" s="568"/>
      <c r="QTA3000" s="125"/>
      <c r="QTB3000" s="470"/>
      <c r="QTC3000" s="449"/>
      <c r="QTD3000" s="462"/>
      <c r="QTE3000" s="299"/>
      <c r="QTF3000" s="81"/>
      <c r="QTG3000" s="160"/>
      <c r="QTH3000" s="568"/>
      <c r="QTI3000" s="125"/>
      <c r="QTJ3000" s="470"/>
      <c r="QTK3000" s="449"/>
      <c r="QTL3000" s="462"/>
      <c r="QTM3000" s="299"/>
      <c r="QTN3000" s="81"/>
      <c r="QTO3000" s="160"/>
      <c r="QTP3000" s="568"/>
      <c r="QTQ3000" s="125"/>
      <c r="QTR3000" s="470"/>
      <c r="QTS3000" s="449"/>
      <c r="QTT3000" s="462"/>
      <c r="QTU3000" s="299"/>
      <c r="QTV3000" s="81"/>
      <c r="QTW3000" s="160"/>
      <c r="QTX3000" s="568"/>
      <c r="QTY3000" s="125"/>
      <c r="QTZ3000" s="470"/>
      <c r="QUA3000" s="449"/>
      <c r="QUB3000" s="462"/>
      <c r="QUC3000" s="299"/>
      <c r="QUD3000" s="81"/>
      <c r="QUE3000" s="160"/>
      <c r="QUF3000" s="568"/>
      <c r="QUG3000" s="125"/>
      <c r="QUH3000" s="470"/>
      <c r="QUI3000" s="449"/>
      <c r="QUJ3000" s="462"/>
      <c r="QUK3000" s="299"/>
      <c r="QUL3000" s="81"/>
      <c r="QUM3000" s="160"/>
      <c r="QUN3000" s="568"/>
      <c r="QUO3000" s="125"/>
      <c r="QUP3000" s="470"/>
      <c r="QUQ3000" s="449"/>
      <c r="QUR3000" s="462"/>
      <c r="QUS3000" s="299"/>
      <c r="QUT3000" s="81"/>
      <c r="QUU3000" s="160"/>
      <c r="QUV3000" s="568"/>
      <c r="QUW3000" s="125"/>
      <c r="QUX3000" s="470"/>
      <c r="QUY3000" s="449"/>
      <c r="QUZ3000" s="462"/>
      <c r="QVA3000" s="299"/>
      <c r="QVB3000" s="81"/>
      <c r="QVC3000" s="160"/>
      <c r="QVD3000" s="568"/>
      <c r="QVE3000" s="125"/>
      <c r="QVF3000" s="470"/>
      <c r="QVG3000" s="449"/>
      <c r="QVH3000" s="462"/>
      <c r="QVI3000" s="299"/>
      <c r="QVJ3000" s="81"/>
      <c r="QVK3000" s="160"/>
      <c r="QVL3000" s="568"/>
      <c r="QVM3000" s="125"/>
      <c r="QVN3000" s="470"/>
      <c r="QVO3000" s="449"/>
      <c r="QVP3000" s="462"/>
      <c r="QVQ3000" s="299"/>
      <c r="QVR3000" s="81"/>
      <c r="QVS3000" s="160"/>
      <c r="QVT3000" s="568"/>
      <c r="QVU3000" s="125"/>
      <c r="QVV3000" s="470"/>
      <c r="QVW3000" s="449"/>
      <c r="QVX3000" s="462"/>
      <c r="QVY3000" s="299"/>
      <c r="QVZ3000" s="81"/>
      <c r="QWA3000" s="160"/>
      <c r="QWB3000" s="568"/>
      <c r="QWC3000" s="125"/>
      <c r="QWD3000" s="470"/>
      <c r="QWE3000" s="449"/>
      <c r="QWF3000" s="462"/>
      <c r="QWG3000" s="299"/>
      <c r="QWH3000" s="81"/>
      <c r="QWI3000" s="160"/>
      <c r="QWJ3000" s="568"/>
      <c r="QWK3000" s="125"/>
      <c r="QWL3000" s="470"/>
      <c r="QWM3000" s="449"/>
      <c r="QWN3000" s="462"/>
      <c r="QWO3000" s="299"/>
      <c r="QWP3000" s="81"/>
      <c r="QWQ3000" s="160"/>
      <c r="QWR3000" s="568"/>
      <c r="QWS3000" s="125"/>
      <c r="QWT3000" s="470"/>
      <c r="QWU3000" s="449"/>
      <c r="QWV3000" s="462"/>
      <c r="QWW3000" s="299"/>
      <c r="QWX3000" s="81"/>
      <c r="QWY3000" s="160"/>
      <c r="QWZ3000" s="568"/>
      <c r="QXA3000" s="125"/>
      <c r="QXB3000" s="470"/>
      <c r="QXC3000" s="449"/>
      <c r="QXD3000" s="462"/>
      <c r="QXE3000" s="299"/>
      <c r="QXF3000" s="81"/>
      <c r="QXG3000" s="160"/>
      <c r="QXH3000" s="568"/>
      <c r="QXI3000" s="125"/>
      <c r="QXJ3000" s="470"/>
      <c r="QXK3000" s="449"/>
      <c r="QXL3000" s="462"/>
      <c r="QXM3000" s="299"/>
      <c r="QXN3000" s="81"/>
      <c r="QXO3000" s="160"/>
      <c r="QXP3000" s="568"/>
      <c r="QXQ3000" s="125"/>
      <c r="QXR3000" s="470"/>
      <c r="QXS3000" s="449"/>
      <c r="QXT3000" s="462"/>
      <c r="QXU3000" s="299"/>
      <c r="QXV3000" s="81"/>
      <c r="QXW3000" s="160"/>
      <c r="QXX3000" s="568"/>
      <c r="QXY3000" s="125"/>
      <c r="QXZ3000" s="470"/>
      <c r="QYA3000" s="449"/>
      <c r="QYB3000" s="462"/>
      <c r="QYC3000" s="299"/>
      <c r="QYD3000" s="81"/>
      <c r="QYE3000" s="160"/>
      <c r="QYF3000" s="568"/>
      <c r="QYG3000" s="125"/>
      <c r="QYH3000" s="470"/>
      <c r="QYI3000" s="449"/>
      <c r="QYJ3000" s="462"/>
      <c r="QYK3000" s="299"/>
      <c r="QYL3000" s="81"/>
      <c r="QYM3000" s="160"/>
      <c r="QYN3000" s="568"/>
      <c r="QYO3000" s="125"/>
      <c r="QYP3000" s="470"/>
      <c r="QYQ3000" s="449"/>
      <c r="QYR3000" s="462"/>
      <c r="QYS3000" s="299"/>
      <c r="QYT3000" s="81"/>
      <c r="QYU3000" s="160"/>
      <c r="QYV3000" s="568"/>
      <c r="QYW3000" s="125"/>
      <c r="QYX3000" s="470"/>
      <c r="QYY3000" s="449"/>
      <c r="QYZ3000" s="462"/>
      <c r="QZA3000" s="299"/>
      <c r="QZB3000" s="81"/>
      <c r="QZC3000" s="160"/>
      <c r="QZD3000" s="568"/>
      <c r="QZE3000" s="125"/>
      <c r="QZF3000" s="470"/>
      <c r="QZG3000" s="449"/>
      <c r="QZH3000" s="462"/>
      <c r="QZI3000" s="299"/>
      <c r="QZJ3000" s="81"/>
      <c r="QZK3000" s="160"/>
      <c r="QZL3000" s="568"/>
      <c r="QZM3000" s="125"/>
      <c r="QZN3000" s="470"/>
      <c r="QZO3000" s="449"/>
      <c r="QZP3000" s="462"/>
      <c r="QZQ3000" s="299"/>
      <c r="QZR3000" s="81"/>
      <c r="QZS3000" s="160"/>
      <c r="QZT3000" s="568"/>
      <c r="QZU3000" s="125"/>
      <c r="QZV3000" s="470"/>
      <c r="QZW3000" s="449"/>
      <c r="QZX3000" s="462"/>
      <c r="QZY3000" s="299"/>
      <c r="QZZ3000" s="81"/>
      <c r="RAA3000" s="160"/>
      <c r="RAB3000" s="568"/>
      <c r="RAC3000" s="125"/>
      <c r="RAD3000" s="470"/>
      <c r="RAE3000" s="449"/>
      <c r="RAF3000" s="462"/>
      <c r="RAG3000" s="299"/>
      <c r="RAH3000" s="81"/>
      <c r="RAI3000" s="160"/>
      <c r="RAJ3000" s="568"/>
      <c r="RAK3000" s="125"/>
      <c r="RAL3000" s="470"/>
      <c r="RAM3000" s="449"/>
      <c r="RAN3000" s="462"/>
      <c r="RAO3000" s="299"/>
      <c r="RAP3000" s="81"/>
      <c r="RAQ3000" s="160"/>
      <c r="RAR3000" s="568"/>
      <c r="RAS3000" s="125"/>
      <c r="RAT3000" s="470"/>
      <c r="RAU3000" s="449"/>
      <c r="RAV3000" s="462"/>
      <c r="RAW3000" s="299"/>
      <c r="RAX3000" s="81"/>
      <c r="RAY3000" s="160"/>
      <c r="RAZ3000" s="568"/>
      <c r="RBA3000" s="125"/>
      <c r="RBB3000" s="470"/>
      <c r="RBC3000" s="449"/>
      <c r="RBD3000" s="462"/>
      <c r="RBE3000" s="299"/>
      <c r="RBF3000" s="81"/>
      <c r="RBG3000" s="160"/>
      <c r="RBH3000" s="568"/>
      <c r="RBI3000" s="125"/>
      <c r="RBJ3000" s="470"/>
      <c r="RBK3000" s="449"/>
      <c r="RBL3000" s="462"/>
      <c r="RBM3000" s="299"/>
      <c r="RBN3000" s="81"/>
      <c r="RBO3000" s="160"/>
      <c r="RBP3000" s="568"/>
      <c r="RBQ3000" s="125"/>
      <c r="RBR3000" s="470"/>
      <c r="RBS3000" s="449"/>
      <c r="RBT3000" s="462"/>
      <c r="RBU3000" s="299"/>
      <c r="RBV3000" s="81"/>
      <c r="RBW3000" s="160"/>
      <c r="RBX3000" s="568"/>
      <c r="RBY3000" s="125"/>
      <c r="RBZ3000" s="470"/>
      <c r="RCA3000" s="449"/>
      <c r="RCB3000" s="462"/>
      <c r="RCC3000" s="299"/>
      <c r="RCD3000" s="81"/>
      <c r="RCE3000" s="160"/>
      <c r="RCF3000" s="568"/>
      <c r="RCG3000" s="125"/>
      <c r="RCH3000" s="470"/>
      <c r="RCI3000" s="449"/>
      <c r="RCJ3000" s="462"/>
      <c r="RCK3000" s="299"/>
      <c r="RCL3000" s="81"/>
      <c r="RCM3000" s="160"/>
      <c r="RCN3000" s="568"/>
      <c r="RCO3000" s="125"/>
      <c r="RCP3000" s="470"/>
      <c r="RCQ3000" s="449"/>
      <c r="RCR3000" s="462"/>
      <c r="RCS3000" s="299"/>
      <c r="RCT3000" s="81"/>
      <c r="RCU3000" s="160"/>
      <c r="RCV3000" s="568"/>
      <c r="RCW3000" s="125"/>
      <c r="RCX3000" s="470"/>
      <c r="RCY3000" s="449"/>
      <c r="RCZ3000" s="462"/>
      <c r="RDA3000" s="299"/>
      <c r="RDB3000" s="81"/>
      <c r="RDC3000" s="160"/>
      <c r="RDD3000" s="568"/>
      <c r="RDE3000" s="125"/>
      <c r="RDF3000" s="470"/>
      <c r="RDG3000" s="449"/>
      <c r="RDH3000" s="462"/>
      <c r="RDI3000" s="299"/>
      <c r="RDJ3000" s="81"/>
      <c r="RDK3000" s="160"/>
      <c r="RDL3000" s="568"/>
      <c r="RDM3000" s="125"/>
      <c r="RDN3000" s="470"/>
      <c r="RDO3000" s="449"/>
      <c r="RDP3000" s="462"/>
      <c r="RDQ3000" s="299"/>
      <c r="RDR3000" s="81"/>
      <c r="RDS3000" s="160"/>
      <c r="RDT3000" s="568"/>
      <c r="RDU3000" s="125"/>
      <c r="RDV3000" s="470"/>
      <c r="RDW3000" s="449"/>
      <c r="RDX3000" s="462"/>
      <c r="RDY3000" s="299"/>
      <c r="RDZ3000" s="81"/>
      <c r="REA3000" s="160"/>
      <c r="REB3000" s="568"/>
      <c r="REC3000" s="125"/>
      <c r="RED3000" s="470"/>
      <c r="REE3000" s="449"/>
      <c r="REF3000" s="462"/>
      <c r="REG3000" s="299"/>
      <c r="REH3000" s="81"/>
      <c r="REI3000" s="160"/>
      <c r="REJ3000" s="568"/>
      <c r="REK3000" s="125"/>
      <c r="REL3000" s="470"/>
      <c r="REM3000" s="449"/>
      <c r="REN3000" s="462"/>
      <c r="REO3000" s="299"/>
      <c r="REP3000" s="81"/>
      <c r="REQ3000" s="160"/>
      <c r="RER3000" s="568"/>
      <c r="RES3000" s="125"/>
      <c r="RET3000" s="470"/>
      <c r="REU3000" s="449"/>
      <c r="REV3000" s="462"/>
      <c r="REW3000" s="299"/>
      <c r="REX3000" s="81"/>
      <c r="REY3000" s="160"/>
      <c r="REZ3000" s="568"/>
      <c r="RFA3000" s="125"/>
      <c r="RFB3000" s="470"/>
      <c r="RFC3000" s="449"/>
      <c r="RFD3000" s="462"/>
      <c r="RFE3000" s="299"/>
      <c r="RFF3000" s="81"/>
      <c r="RFG3000" s="160"/>
      <c r="RFH3000" s="568"/>
      <c r="RFI3000" s="125"/>
      <c r="RFJ3000" s="470"/>
      <c r="RFK3000" s="449"/>
      <c r="RFL3000" s="462"/>
      <c r="RFM3000" s="299"/>
      <c r="RFN3000" s="81"/>
      <c r="RFO3000" s="160"/>
      <c r="RFP3000" s="568"/>
      <c r="RFQ3000" s="125"/>
      <c r="RFR3000" s="470"/>
      <c r="RFS3000" s="449"/>
      <c r="RFT3000" s="462"/>
      <c r="RFU3000" s="299"/>
      <c r="RFV3000" s="81"/>
      <c r="RFW3000" s="160"/>
      <c r="RFX3000" s="568"/>
      <c r="RFY3000" s="125"/>
      <c r="RFZ3000" s="470"/>
      <c r="RGA3000" s="449"/>
      <c r="RGB3000" s="462"/>
      <c r="RGC3000" s="299"/>
      <c r="RGD3000" s="81"/>
      <c r="RGE3000" s="160"/>
      <c r="RGF3000" s="568"/>
      <c r="RGG3000" s="125"/>
      <c r="RGH3000" s="470"/>
      <c r="RGI3000" s="449"/>
      <c r="RGJ3000" s="462"/>
      <c r="RGK3000" s="299"/>
      <c r="RGL3000" s="81"/>
      <c r="RGM3000" s="160"/>
      <c r="RGN3000" s="568"/>
      <c r="RGO3000" s="125"/>
      <c r="RGP3000" s="470"/>
      <c r="RGQ3000" s="449"/>
      <c r="RGR3000" s="462"/>
      <c r="RGS3000" s="299"/>
      <c r="RGT3000" s="81"/>
      <c r="RGU3000" s="160"/>
      <c r="RGV3000" s="568"/>
      <c r="RGW3000" s="125"/>
      <c r="RGX3000" s="470"/>
      <c r="RGY3000" s="449"/>
      <c r="RGZ3000" s="462"/>
      <c r="RHA3000" s="299"/>
      <c r="RHB3000" s="81"/>
      <c r="RHC3000" s="160"/>
      <c r="RHD3000" s="568"/>
      <c r="RHE3000" s="125"/>
      <c r="RHF3000" s="470"/>
      <c r="RHG3000" s="449"/>
      <c r="RHH3000" s="462"/>
      <c r="RHI3000" s="299"/>
      <c r="RHJ3000" s="81"/>
      <c r="RHK3000" s="160"/>
      <c r="RHL3000" s="568"/>
      <c r="RHM3000" s="125"/>
      <c r="RHN3000" s="470"/>
      <c r="RHO3000" s="449"/>
      <c r="RHP3000" s="462"/>
      <c r="RHQ3000" s="299"/>
      <c r="RHR3000" s="81"/>
      <c r="RHS3000" s="160"/>
      <c r="RHT3000" s="568"/>
      <c r="RHU3000" s="125"/>
      <c r="RHV3000" s="470"/>
      <c r="RHW3000" s="449"/>
      <c r="RHX3000" s="462"/>
      <c r="RHY3000" s="299"/>
      <c r="RHZ3000" s="81"/>
      <c r="RIA3000" s="160"/>
      <c r="RIB3000" s="568"/>
      <c r="RIC3000" s="125"/>
      <c r="RID3000" s="470"/>
      <c r="RIE3000" s="449"/>
      <c r="RIF3000" s="462"/>
      <c r="RIG3000" s="299"/>
      <c r="RIH3000" s="81"/>
      <c r="RII3000" s="160"/>
      <c r="RIJ3000" s="568"/>
      <c r="RIK3000" s="125"/>
      <c r="RIL3000" s="470"/>
      <c r="RIM3000" s="449"/>
      <c r="RIN3000" s="462"/>
      <c r="RIO3000" s="299"/>
      <c r="RIP3000" s="81"/>
      <c r="RIQ3000" s="160"/>
      <c r="RIR3000" s="568"/>
      <c r="RIS3000" s="125"/>
      <c r="RIT3000" s="470"/>
      <c r="RIU3000" s="449"/>
      <c r="RIV3000" s="462"/>
      <c r="RIW3000" s="299"/>
      <c r="RIX3000" s="81"/>
      <c r="RIY3000" s="160"/>
      <c r="RIZ3000" s="568"/>
      <c r="RJA3000" s="125"/>
      <c r="RJB3000" s="470"/>
      <c r="RJC3000" s="449"/>
      <c r="RJD3000" s="462"/>
      <c r="RJE3000" s="299"/>
      <c r="RJF3000" s="81"/>
      <c r="RJG3000" s="160"/>
      <c r="RJH3000" s="568"/>
      <c r="RJI3000" s="125"/>
      <c r="RJJ3000" s="470"/>
      <c r="RJK3000" s="449"/>
      <c r="RJL3000" s="462"/>
      <c r="RJM3000" s="299"/>
      <c r="RJN3000" s="81"/>
      <c r="RJO3000" s="160"/>
      <c r="RJP3000" s="568"/>
      <c r="RJQ3000" s="125"/>
      <c r="RJR3000" s="470"/>
      <c r="RJS3000" s="449"/>
      <c r="RJT3000" s="462"/>
      <c r="RJU3000" s="299"/>
      <c r="RJV3000" s="81"/>
      <c r="RJW3000" s="160"/>
      <c r="RJX3000" s="568"/>
      <c r="RJY3000" s="125"/>
      <c r="RJZ3000" s="470"/>
      <c r="RKA3000" s="449"/>
      <c r="RKB3000" s="462"/>
      <c r="RKC3000" s="299"/>
      <c r="RKD3000" s="81"/>
      <c r="RKE3000" s="160"/>
      <c r="RKF3000" s="568"/>
      <c r="RKG3000" s="125"/>
      <c r="RKH3000" s="470"/>
      <c r="RKI3000" s="449"/>
      <c r="RKJ3000" s="462"/>
      <c r="RKK3000" s="299"/>
      <c r="RKL3000" s="81"/>
      <c r="RKM3000" s="160"/>
      <c r="RKN3000" s="568"/>
      <c r="RKO3000" s="125"/>
      <c r="RKP3000" s="470"/>
      <c r="RKQ3000" s="449"/>
      <c r="RKR3000" s="462"/>
      <c r="RKS3000" s="299"/>
      <c r="RKT3000" s="81"/>
      <c r="RKU3000" s="160"/>
      <c r="RKV3000" s="568"/>
      <c r="RKW3000" s="125"/>
      <c r="RKX3000" s="470"/>
      <c r="RKY3000" s="449"/>
      <c r="RKZ3000" s="462"/>
      <c r="RLA3000" s="299"/>
      <c r="RLB3000" s="81"/>
      <c r="RLC3000" s="160"/>
      <c r="RLD3000" s="568"/>
      <c r="RLE3000" s="125"/>
      <c r="RLF3000" s="470"/>
      <c r="RLG3000" s="449"/>
      <c r="RLH3000" s="462"/>
      <c r="RLI3000" s="299"/>
      <c r="RLJ3000" s="81"/>
      <c r="RLK3000" s="160"/>
      <c r="RLL3000" s="568"/>
      <c r="RLM3000" s="125"/>
      <c r="RLN3000" s="470"/>
      <c r="RLO3000" s="449"/>
      <c r="RLP3000" s="462"/>
      <c r="RLQ3000" s="299"/>
      <c r="RLR3000" s="81"/>
      <c r="RLS3000" s="160"/>
      <c r="RLT3000" s="568"/>
      <c r="RLU3000" s="125"/>
      <c r="RLV3000" s="470"/>
      <c r="RLW3000" s="449"/>
      <c r="RLX3000" s="462"/>
      <c r="RLY3000" s="299"/>
      <c r="RLZ3000" s="81"/>
      <c r="RMA3000" s="160"/>
      <c r="RMB3000" s="568"/>
      <c r="RMC3000" s="125"/>
      <c r="RMD3000" s="470"/>
      <c r="RME3000" s="449"/>
      <c r="RMF3000" s="462"/>
      <c r="RMG3000" s="299"/>
      <c r="RMH3000" s="81"/>
      <c r="RMI3000" s="160"/>
      <c r="RMJ3000" s="568"/>
      <c r="RMK3000" s="125"/>
      <c r="RML3000" s="470"/>
      <c r="RMM3000" s="449"/>
      <c r="RMN3000" s="462"/>
      <c r="RMO3000" s="299"/>
      <c r="RMP3000" s="81"/>
      <c r="RMQ3000" s="160"/>
      <c r="RMR3000" s="568"/>
      <c r="RMS3000" s="125"/>
      <c r="RMT3000" s="470"/>
      <c r="RMU3000" s="449"/>
      <c r="RMV3000" s="462"/>
      <c r="RMW3000" s="299"/>
      <c r="RMX3000" s="81"/>
      <c r="RMY3000" s="160"/>
      <c r="RMZ3000" s="568"/>
      <c r="RNA3000" s="125"/>
      <c r="RNB3000" s="470"/>
      <c r="RNC3000" s="449"/>
      <c r="RND3000" s="462"/>
      <c r="RNE3000" s="299"/>
      <c r="RNF3000" s="81"/>
      <c r="RNG3000" s="160"/>
      <c r="RNH3000" s="568"/>
      <c r="RNI3000" s="125"/>
      <c r="RNJ3000" s="470"/>
      <c r="RNK3000" s="449"/>
      <c r="RNL3000" s="462"/>
      <c r="RNM3000" s="299"/>
      <c r="RNN3000" s="81"/>
      <c r="RNO3000" s="160"/>
      <c r="RNP3000" s="568"/>
      <c r="RNQ3000" s="125"/>
      <c r="RNR3000" s="470"/>
      <c r="RNS3000" s="449"/>
      <c r="RNT3000" s="462"/>
      <c r="RNU3000" s="299"/>
      <c r="RNV3000" s="81"/>
      <c r="RNW3000" s="160"/>
      <c r="RNX3000" s="568"/>
      <c r="RNY3000" s="125"/>
      <c r="RNZ3000" s="470"/>
      <c r="ROA3000" s="449"/>
      <c r="ROB3000" s="462"/>
      <c r="ROC3000" s="299"/>
      <c r="ROD3000" s="81"/>
      <c r="ROE3000" s="160"/>
      <c r="ROF3000" s="568"/>
      <c r="ROG3000" s="125"/>
      <c r="ROH3000" s="470"/>
      <c r="ROI3000" s="449"/>
      <c r="ROJ3000" s="462"/>
      <c r="ROK3000" s="299"/>
      <c r="ROL3000" s="81"/>
      <c r="ROM3000" s="160"/>
      <c r="RON3000" s="568"/>
      <c r="ROO3000" s="125"/>
      <c r="ROP3000" s="470"/>
      <c r="ROQ3000" s="449"/>
      <c r="ROR3000" s="462"/>
      <c r="ROS3000" s="299"/>
      <c r="ROT3000" s="81"/>
      <c r="ROU3000" s="160"/>
      <c r="ROV3000" s="568"/>
      <c r="ROW3000" s="125"/>
      <c r="ROX3000" s="470"/>
      <c r="ROY3000" s="449"/>
      <c r="ROZ3000" s="462"/>
      <c r="RPA3000" s="299"/>
      <c r="RPB3000" s="81"/>
      <c r="RPC3000" s="160"/>
      <c r="RPD3000" s="568"/>
      <c r="RPE3000" s="125"/>
      <c r="RPF3000" s="470"/>
      <c r="RPG3000" s="449"/>
      <c r="RPH3000" s="462"/>
      <c r="RPI3000" s="299"/>
      <c r="RPJ3000" s="81"/>
      <c r="RPK3000" s="160"/>
      <c r="RPL3000" s="568"/>
      <c r="RPM3000" s="125"/>
      <c r="RPN3000" s="470"/>
      <c r="RPO3000" s="449"/>
      <c r="RPP3000" s="462"/>
      <c r="RPQ3000" s="299"/>
      <c r="RPR3000" s="81"/>
      <c r="RPS3000" s="160"/>
      <c r="RPT3000" s="568"/>
      <c r="RPU3000" s="125"/>
      <c r="RPV3000" s="470"/>
      <c r="RPW3000" s="449"/>
      <c r="RPX3000" s="462"/>
      <c r="RPY3000" s="299"/>
      <c r="RPZ3000" s="81"/>
      <c r="RQA3000" s="160"/>
      <c r="RQB3000" s="568"/>
      <c r="RQC3000" s="125"/>
      <c r="RQD3000" s="470"/>
      <c r="RQE3000" s="449"/>
      <c r="RQF3000" s="462"/>
      <c r="RQG3000" s="299"/>
      <c r="RQH3000" s="81"/>
      <c r="RQI3000" s="160"/>
      <c r="RQJ3000" s="568"/>
      <c r="RQK3000" s="125"/>
      <c r="RQL3000" s="470"/>
      <c r="RQM3000" s="449"/>
      <c r="RQN3000" s="462"/>
      <c r="RQO3000" s="299"/>
      <c r="RQP3000" s="81"/>
      <c r="RQQ3000" s="160"/>
      <c r="RQR3000" s="568"/>
      <c r="RQS3000" s="125"/>
      <c r="RQT3000" s="470"/>
      <c r="RQU3000" s="449"/>
      <c r="RQV3000" s="462"/>
      <c r="RQW3000" s="299"/>
      <c r="RQX3000" s="81"/>
      <c r="RQY3000" s="160"/>
      <c r="RQZ3000" s="568"/>
      <c r="RRA3000" s="125"/>
      <c r="RRB3000" s="470"/>
      <c r="RRC3000" s="449"/>
      <c r="RRD3000" s="462"/>
      <c r="RRE3000" s="299"/>
      <c r="RRF3000" s="81"/>
      <c r="RRG3000" s="160"/>
      <c r="RRH3000" s="568"/>
      <c r="RRI3000" s="125"/>
      <c r="RRJ3000" s="470"/>
      <c r="RRK3000" s="449"/>
      <c r="RRL3000" s="462"/>
      <c r="RRM3000" s="299"/>
      <c r="RRN3000" s="81"/>
      <c r="RRO3000" s="160"/>
      <c r="RRP3000" s="568"/>
      <c r="RRQ3000" s="125"/>
      <c r="RRR3000" s="470"/>
      <c r="RRS3000" s="449"/>
      <c r="RRT3000" s="462"/>
      <c r="RRU3000" s="299"/>
      <c r="RRV3000" s="81"/>
      <c r="RRW3000" s="160"/>
      <c r="RRX3000" s="568"/>
      <c r="RRY3000" s="125"/>
      <c r="RRZ3000" s="470"/>
      <c r="RSA3000" s="449"/>
      <c r="RSB3000" s="462"/>
      <c r="RSC3000" s="299"/>
      <c r="RSD3000" s="81"/>
      <c r="RSE3000" s="160"/>
      <c r="RSF3000" s="568"/>
      <c r="RSG3000" s="125"/>
      <c r="RSH3000" s="470"/>
      <c r="RSI3000" s="449"/>
      <c r="RSJ3000" s="462"/>
      <c r="RSK3000" s="299"/>
      <c r="RSL3000" s="81"/>
      <c r="RSM3000" s="160"/>
      <c r="RSN3000" s="568"/>
      <c r="RSO3000" s="125"/>
      <c r="RSP3000" s="470"/>
      <c r="RSQ3000" s="449"/>
      <c r="RSR3000" s="462"/>
      <c r="RSS3000" s="299"/>
      <c r="RST3000" s="81"/>
      <c r="RSU3000" s="160"/>
      <c r="RSV3000" s="568"/>
      <c r="RSW3000" s="125"/>
      <c r="RSX3000" s="470"/>
      <c r="RSY3000" s="449"/>
      <c r="RSZ3000" s="462"/>
      <c r="RTA3000" s="299"/>
      <c r="RTB3000" s="81"/>
      <c r="RTC3000" s="160"/>
      <c r="RTD3000" s="568"/>
      <c r="RTE3000" s="125"/>
      <c r="RTF3000" s="470"/>
      <c r="RTG3000" s="449"/>
      <c r="RTH3000" s="462"/>
      <c r="RTI3000" s="299"/>
      <c r="RTJ3000" s="81"/>
      <c r="RTK3000" s="160"/>
      <c r="RTL3000" s="568"/>
      <c r="RTM3000" s="125"/>
      <c r="RTN3000" s="470"/>
      <c r="RTO3000" s="449"/>
      <c r="RTP3000" s="462"/>
      <c r="RTQ3000" s="299"/>
      <c r="RTR3000" s="81"/>
      <c r="RTS3000" s="160"/>
      <c r="RTT3000" s="568"/>
      <c r="RTU3000" s="125"/>
      <c r="RTV3000" s="470"/>
      <c r="RTW3000" s="449"/>
      <c r="RTX3000" s="462"/>
      <c r="RTY3000" s="299"/>
      <c r="RTZ3000" s="81"/>
      <c r="RUA3000" s="160"/>
      <c r="RUB3000" s="568"/>
      <c r="RUC3000" s="125"/>
      <c r="RUD3000" s="470"/>
      <c r="RUE3000" s="449"/>
      <c r="RUF3000" s="462"/>
      <c r="RUG3000" s="299"/>
      <c r="RUH3000" s="81"/>
      <c r="RUI3000" s="160"/>
      <c r="RUJ3000" s="568"/>
      <c r="RUK3000" s="125"/>
      <c r="RUL3000" s="470"/>
      <c r="RUM3000" s="449"/>
      <c r="RUN3000" s="462"/>
      <c r="RUO3000" s="299"/>
      <c r="RUP3000" s="81"/>
      <c r="RUQ3000" s="160"/>
      <c r="RUR3000" s="568"/>
      <c r="RUS3000" s="125"/>
      <c r="RUT3000" s="470"/>
      <c r="RUU3000" s="449"/>
      <c r="RUV3000" s="462"/>
      <c r="RUW3000" s="299"/>
      <c r="RUX3000" s="81"/>
      <c r="RUY3000" s="160"/>
      <c r="RUZ3000" s="568"/>
      <c r="RVA3000" s="125"/>
      <c r="RVB3000" s="470"/>
      <c r="RVC3000" s="449"/>
      <c r="RVD3000" s="462"/>
      <c r="RVE3000" s="299"/>
      <c r="RVF3000" s="81"/>
      <c r="RVG3000" s="160"/>
      <c r="RVH3000" s="568"/>
      <c r="RVI3000" s="125"/>
      <c r="RVJ3000" s="470"/>
      <c r="RVK3000" s="449"/>
      <c r="RVL3000" s="462"/>
      <c r="RVM3000" s="299"/>
      <c r="RVN3000" s="81"/>
      <c r="RVO3000" s="160"/>
      <c r="RVP3000" s="568"/>
      <c r="RVQ3000" s="125"/>
      <c r="RVR3000" s="470"/>
      <c r="RVS3000" s="449"/>
      <c r="RVT3000" s="462"/>
      <c r="RVU3000" s="299"/>
      <c r="RVV3000" s="81"/>
      <c r="RVW3000" s="160"/>
      <c r="RVX3000" s="568"/>
      <c r="RVY3000" s="125"/>
      <c r="RVZ3000" s="470"/>
      <c r="RWA3000" s="449"/>
      <c r="RWB3000" s="462"/>
      <c r="RWC3000" s="299"/>
      <c r="RWD3000" s="81"/>
      <c r="RWE3000" s="160"/>
      <c r="RWF3000" s="568"/>
      <c r="RWG3000" s="125"/>
      <c r="RWH3000" s="470"/>
      <c r="RWI3000" s="449"/>
      <c r="RWJ3000" s="462"/>
      <c r="RWK3000" s="299"/>
      <c r="RWL3000" s="81"/>
      <c r="RWM3000" s="160"/>
      <c r="RWN3000" s="568"/>
      <c r="RWO3000" s="125"/>
      <c r="RWP3000" s="470"/>
      <c r="RWQ3000" s="449"/>
      <c r="RWR3000" s="462"/>
      <c r="RWS3000" s="299"/>
      <c r="RWT3000" s="81"/>
      <c r="RWU3000" s="160"/>
      <c r="RWV3000" s="568"/>
      <c r="RWW3000" s="125"/>
      <c r="RWX3000" s="470"/>
      <c r="RWY3000" s="449"/>
      <c r="RWZ3000" s="462"/>
      <c r="RXA3000" s="299"/>
      <c r="RXB3000" s="81"/>
      <c r="RXC3000" s="160"/>
      <c r="RXD3000" s="568"/>
      <c r="RXE3000" s="125"/>
      <c r="RXF3000" s="470"/>
      <c r="RXG3000" s="449"/>
      <c r="RXH3000" s="462"/>
      <c r="RXI3000" s="299"/>
      <c r="RXJ3000" s="81"/>
      <c r="RXK3000" s="160"/>
      <c r="RXL3000" s="568"/>
      <c r="RXM3000" s="125"/>
      <c r="RXN3000" s="470"/>
      <c r="RXO3000" s="449"/>
      <c r="RXP3000" s="462"/>
      <c r="RXQ3000" s="299"/>
      <c r="RXR3000" s="81"/>
      <c r="RXS3000" s="160"/>
      <c r="RXT3000" s="568"/>
      <c r="RXU3000" s="125"/>
      <c r="RXV3000" s="470"/>
      <c r="RXW3000" s="449"/>
      <c r="RXX3000" s="462"/>
      <c r="RXY3000" s="299"/>
      <c r="RXZ3000" s="81"/>
      <c r="RYA3000" s="160"/>
      <c r="RYB3000" s="568"/>
      <c r="RYC3000" s="125"/>
      <c r="RYD3000" s="470"/>
      <c r="RYE3000" s="449"/>
      <c r="RYF3000" s="462"/>
      <c r="RYG3000" s="299"/>
      <c r="RYH3000" s="81"/>
      <c r="RYI3000" s="160"/>
      <c r="RYJ3000" s="568"/>
      <c r="RYK3000" s="125"/>
      <c r="RYL3000" s="470"/>
      <c r="RYM3000" s="449"/>
      <c r="RYN3000" s="462"/>
      <c r="RYO3000" s="299"/>
      <c r="RYP3000" s="81"/>
      <c r="RYQ3000" s="160"/>
      <c r="RYR3000" s="568"/>
      <c r="RYS3000" s="125"/>
      <c r="RYT3000" s="470"/>
      <c r="RYU3000" s="449"/>
      <c r="RYV3000" s="462"/>
      <c r="RYW3000" s="299"/>
      <c r="RYX3000" s="81"/>
      <c r="RYY3000" s="160"/>
      <c r="RYZ3000" s="568"/>
      <c r="RZA3000" s="125"/>
      <c r="RZB3000" s="470"/>
      <c r="RZC3000" s="449"/>
      <c r="RZD3000" s="462"/>
      <c r="RZE3000" s="299"/>
      <c r="RZF3000" s="81"/>
      <c r="RZG3000" s="160"/>
      <c r="RZH3000" s="568"/>
      <c r="RZI3000" s="125"/>
      <c r="RZJ3000" s="470"/>
      <c r="RZK3000" s="449"/>
      <c r="RZL3000" s="462"/>
      <c r="RZM3000" s="299"/>
      <c r="RZN3000" s="81"/>
      <c r="RZO3000" s="160"/>
      <c r="RZP3000" s="568"/>
      <c r="RZQ3000" s="125"/>
      <c r="RZR3000" s="470"/>
      <c r="RZS3000" s="449"/>
      <c r="RZT3000" s="462"/>
      <c r="RZU3000" s="299"/>
      <c r="RZV3000" s="81"/>
      <c r="RZW3000" s="160"/>
      <c r="RZX3000" s="568"/>
      <c r="RZY3000" s="125"/>
      <c r="RZZ3000" s="470"/>
      <c r="SAA3000" s="449"/>
      <c r="SAB3000" s="462"/>
      <c r="SAC3000" s="299"/>
      <c r="SAD3000" s="81"/>
      <c r="SAE3000" s="160"/>
      <c r="SAF3000" s="568"/>
      <c r="SAG3000" s="125"/>
      <c r="SAH3000" s="470"/>
      <c r="SAI3000" s="449"/>
      <c r="SAJ3000" s="462"/>
      <c r="SAK3000" s="299"/>
      <c r="SAL3000" s="81"/>
      <c r="SAM3000" s="160"/>
      <c r="SAN3000" s="568"/>
      <c r="SAO3000" s="125"/>
      <c r="SAP3000" s="470"/>
      <c r="SAQ3000" s="449"/>
      <c r="SAR3000" s="462"/>
      <c r="SAS3000" s="299"/>
      <c r="SAT3000" s="81"/>
      <c r="SAU3000" s="160"/>
      <c r="SAV3000" s="568"/>
      <c r="SAW3000" s="125"/>
      <c r="SAX3000" s="470"/>
      <c r="SAY3000" s="449"/>
      <c r="SAZ3000" s="462"/>
      <c r="SBA3000" s="299"/>
      <c r="SBB3000" s="81"/>
      <c r="SBC3000" s="160"/>
      <c r="SBD3000" s="568"/>
      <c r="SBE3000" s="125"/>
      <c r="SBF3000" s="470"/>
      <c r="SBG3000" s="449"/>
      <c r="SBH3000" s="462"/>
      <c r="SBI3000" s="299"/>
      <c r="SBJ3000" s="81"/>
      <c r="SBK3000" s="160"/>
      <c r="SBL3000" s="568"/>
      <c r="SBM3000" s="125"/>
      <c r="SBN3000" s="470"/>
      <c r="SBO3000" s="449"/>
      <c r="SBP3000" s="462"/>
      <c r="SBQ3000" s="299"/>
      <c r="SBR3000" s="81"/>
      <c r="SBS3000" s="160"/>
      <c r="SBT3000" s="568"/>
      <c r="SBU3000" s="125"/>
      <c r="SBV3000" s="470"/>
      <c r="SBW3000" s="449"/>
      <c r="SBX3000" s="462"/>
      <c r="SBY3000" s="299"/>
      <c r="SBZ3000" s="81"/>
      <c r="SCA3000" s="160"/>
      <c r="SCB3000" s="568"/>
      <c r="SCC3000" s="125"/>
      <c r="SCD3000" s="470"/>
      <c r="SCE3000" s="449"/>
      <c r="SCF3000" s="462"/>
      <c r="SCG3000" s="299"/>
      <c r="SCH3000" s="81"/>
      <c r="SCI3000" s="160"/>
      <c r="SCJ3000" s="568"/>
      <c r="SCK3000" s="125"/>
      <c r="SCL3000" s="470"/>
      <c r="SCM3000" s="449"/>
      <c r="SCN3000" s="462"/>
      <c r="SCO3000" s="299"/>
      <c r="SCP3000" s="81"/>
      <c r="SCQ3000" s="160"/>
      <c r="SCR3000" s="568"/>
      <c r="SCS3000" s="125"/>
      <c r="SCT3000" s="470"/>
      <c r="SCU3000" s="449"/>
      <c r="SCV3000" s="462"/>
      <c r="SCW3000" s="299"/>
      <c r="SCX3000" s="81"/>
      <c r="SCY3000" s="160"/>
      <c r="SCZ3000" s="568"/>
      <c r="SDA3000" s="125"/>
      <c r="SDB3000" s="470"/>
      <c r="SDC3000" s="449"/>
      <c r="SDD3000" s="462"/>
      <c r="SDE3000" s="299"/>
      <c r="SDF3000" s="81"/>
      <c r="SDG3000" s="160"/>
      <c r="SDH3000" s="568"/>
      <c r="SDI3000" s="125"/>
      <c r="SDJ3000" s="470"/>
      <c r="SDK3000" s="449"/>
      <c r="SDL3000" s="462"/>
      <c r="SDM3000" s="299"/>
      <c r="SDN3000" s="81"/>
      <c r="SDO3000" s="160"/>
      <c r="SDP3000" s="568"/>
      <c r="SDQ3000" s="125"/>
      <c r="SDR3000" s="470"/>
      <c r="SDS3000" s="449"/>
      <c r="SDT3000" s="462"/>
      <c r="SDU3000" s="299"/>
      <c r="SDV3000" s="81"/>
      <c r="SDW3000" s="160"/>
      <c r="SDX3000" s="568"/>
      <c r="SDY3000" s="125"/>
      <c r="SDZ3000" s="470"/>
      <c r="SEA3000" s="449"/>
      <c r="SEB3000" s="462"/>
      <c r="SEC3000" s="299"/>
      <c r="SED3000" s="81"/>
      <c r="SEE3000" s="160"/>
      <c r="SEF3000" s="568"/>
      <c r="SEG3000" s="125"/>
      <c r="SEH3000" s="470"/>
      <c r="SEI3000" s="449"/>
      <c r="SEJ3000" s="462"/>
      <c r="SEK3000" s="299"/>
      <c r="SEL3000" s="81"/>
      <c r="SEM3000" s="160"/>
      <c r="SEN3000" s="568"/>
      <c r="SEO3000" s="125"/>
      <c r="SEP3000" s="470"/>
      <c r="SEQ3000" s="449"/>
      <c r="SER3000" s="462"/>
      <c r="SES3000" s="299"/>
      <c r="SET3000" s="81"/>
      <c r="SEU3000" s="160"/>
      <c r="SEV3000" s="568"/>
      <c r="SEW3000" s="125"/>
      <c r="SEX3000" s="470"/>
      <c r="SEY3000" s="449"/>
      <c r="SEZ3000" s="462"/>
      <c r="SFA3000" s="299"/>
      <c r="SFB3000" s="81"/>
      <c r="SFC3000" s="160"/>
      <c r="SFD3000" s="568"/>
      <c r="SFE3000" s="125"/>
      <c r="SFF3000" s="470"/>
      <c r="SFG3000" s="449"/>
      <c r="SFH3000" s="462"/>
      <c r="SFI3000" s="299"/>
      <c r="SFJ3000" s="81"/>
      <c r="SFK3000" s="160"/>
      <c r="SFL3000" s="568"/>
      <c r="SFM3000" s="125"/>
      <c r="SFN3000" s="470"/>
      <c r="SFO3000" s="449"/>
      <c r="SFP3000" s="462"/>
      <c r="SFQ3000" s="299"/>
      <c r="SFR3000" s="81"/>
      <c r="SFS3000" s="160"/>
      <c r="SFT3000" s="568"/>
      <c r="SFU3000" s="125"/>
      <c r="SFV3000" s="470"/>
      <c r="SFW3000" s="449"/>
      <c r="SFX3000" s="462"/>
      <c r="SFY3000" s="299"/>
      <c r="SFZ3000" s="81"/>
      <c r="SGA3000" s="160"/>
      <c r="SGB3000" s="568"/>
      <c r="SGC3000" s="125"/>
      <c r="SGD3000" s="470"/>
      <c r="SGE3000" s="449"/>
      <c r="SGF3000" s="462"/>
      <c r="SGG3000" s="299"/>
      <c r="SGH3000" s="81"/>
      <c r="SGI3000" s="160"/>
      <c r="SGJ3000" s="568"/>
      <c r="SGK3000" s="125"/>
      <c r="SGL3000" s="470"/>
      <c r="SGM3000" s="449"/>
      <c r="SGN3000" s="462"/>
      <c r="SGO3000" s="299"/>
      <c r="SGP3000" s="81"/>
      <c r="SGQ3000" s="160"/>
      <c r="SGR3000" s="568"/>
      <c r="SGS3000" s="125"/>
      <c r="SGT3000" s="470"/>
      <c r="SGU3000" s="449"/>
      <c r="SGV3000" s="462"/>
      <c r="SGW3000" s="299"/>
      <c r="SGX3000" s="81"/>
      <c r="SGY3000" s="160"/>
      <c r="SGZ3000" s="568"/>
      <c r="SHA3000" s="125"/>
      <c r="SHB3000" s="470"/>
      <c r="SHC3000" s="449"/>
      <c r="SHD3000" s="462"/>
      <c r="SHE3000" s="299"/>
      <c r="SHF3000" s="81"/>
      <c r="SHG3000" s="160"/>
      <c r="SHH3000" s="568"/>
      <c r="SHI3000" s="125"/>
      <c r="SHJ3000" s="470"/>
      <c r="SHK3000" s="449"/>
      <c r="SHL3000" s="462"/>
      <c r="SHM3000" s="299"/>
      <c r="SHN3000" s="81"/>
      <c r="SHO3000" s="160"/>
      <c r="SHP3000" s="568"/>
      <c r="SHQ3000" s="125"/>
      <c r="SHR3000" s="470"/>
      <c r="SHS3000" s="449"/>
      <c r="SHT3000" s="462"/>
      <c r="SHU3000" s="299"/>
      <c r="SHV3000" s="81"/>
      <c r="SHW3000" s="160"/>
      <c r="SHX3000" s="568"/>
      <c r="SHY3000" s="125"/>
      <c r="SHZ3000" s="470"/>
      <c r="SIA3000" s="449"/>
      <c r="SIB3000" s="462"/>
      <c r="SIC3000" s="299"/>
      <c r="SID3000" s="81"/>
      <c r="SIE3000" s="160"/>
      <c r="SIF3000" s="568"/>
      <c r="SIG3000" s="125"/>
      <c r="SIH3000" s="470"/>
      <c r="SII3000" s="449"/>
      <c r="SIJ3000" s="462"/>
      <c r="SIK3000" s="299"/>
      <c r="SIL3000" s="81"/>
      <c r="SIM3000" s="160"/>
      <c r="SIN3000" s="568"/>
      <c r="SIO3000" s="125"/>
      <c r="SIP3000" s="470"/>
      <c r="SIQ3000" s="449"/>
      <c r="SIR3000" s="462"/>
      <c r="SIS3000" s="299"/>
      <c r="SIT3000" s="81"/>
      <c r="SIU3000" s="160"/>
      <c r="SIV3000" s="568"/>
      <c r="SIW3000" s="125"/>
      <c r="SIX3000" s="470"/>
      <c r="SIY3000" s="449"/>
      <c r="SIZ3000" s="462"/>
      <c r="SJA3000" s="299"/>
      <c r="SJB3000" s="81"/>
      <c r="SJC3000" s="160"/>
      <c r="SJD3000" s="568"/>
      <c r="SJE3000" s="125"/>
      <c r="SJF3000" s="470"/>
      <c r="SJG3000" s="449"/>
      <c r="SJH3000" s="462"/>
      <c r="SJI3000" s="299"/>
      <c r="SJJ3000" s="81"/>
      <c r="SJK3000" s="160"/>
      <c r="SJL3000" s="568"/>
      <c r="SJM3000" s="125"/>
      <c r="SJN3000" s="470"/>
      <c r="SJO3000" s="449"/>
      <c r="SJP3000" s="462"/>
      <c r="SJQ3000" s="299"/>
      <c r="SJR3000" s="81"/>
      <c r="SJS3000" s="160"/>
      <c r="SJT3000" s="568"/>
      <c r="SJU3000" s="125"/>
      <c r="SJV3000" s="470"/>
      <c r="SJW3000" s="449"/>
      <c r="SJX3000" s="462"/>
      <c r="SJY3000" s="299"/>
      <c r="SJZ3000" s="81"/>
      <c r="SKA3000" s="160"/>
      <c r="SKB3000" s="568"/>
      <c r="SKC3000" s="125"/>
      <c r="SKD3000" s="470"/>
      <c r="SKE3000" s="449"/>
      <c r="SKF3000" s="462"/>
      <c r="SKG3000" s="299"/>
      <c r="SKH3000" s="81"/>
      <c r="SKI3000" s="160"/>
      <c r="SKJ3000" s="568"/>
      <c r="SKK3000" s="125"/>
      <c r="SKL3000" s="470"/>
      <c r="SKM3000" s="449"/>
      <c r="SKN3000" s="462"/>
      <c r="SKO3000" s="299"/>
      <c r="SKP3000" s="81"/>
      <c r="SKQ3000" s="160"/>
      <c r="SKR3000" s="568"/>
      <c r="SKS3000" s="125"/>
      <c r="SKT3000" s="470"/>
      <c r="SKU3000" s="449"/>
      <c r="SKV3000" s="462"/>
      <c r="SKW3000" s="299"/>
      <c r="SKX3000" s="81"/>
      <c r="SKY3000" s="160"/>
      <c r="SKZ3000" s="568"/>
      <c r="SLA3000" s="125"/>
      <c r="SLB3000" s="470"/>
      <c r="SLC3000" s="449"/>
      <c r="SLD3000" s="462"/>
      <c r="SLE3000" s="299"/>
      <c r="SLF3000" s="81"/>
      <c r="SLG3000" s="160"/>
      <c r="SLH3000" s="568"/>
      <c r="SLI3000" s="125"/>
      <c r="SLJ3000" s="470"/>
      <c r="SLK3000" s="449"/>
      <c r="SLL3000" s="462"/>
      <c r="SLM3000" s="299"/>
      <c r="SLN3000" s="81"/>
      <c r="SLO3000" s="160"/>
      <c r="SLP3000" s="568"/>
      <c r="SLQ3000" s="125"/>
      <c r="SLR3000" s="470"/>
      <c r="SLS3000" s="449"/>
      <c r="SLT3000" s="462"/>
      <c r="SLU3000" s="299"/>
      <c r="SLV3000" s="81"/>
      <c r="SLW3000" s="160"/>
      <c r="SLX3000" s="568"/>
      <c r="SLY3000" s="125"/>
      <c r="SLZ3000" s="470"/>
      <c r="SMA3000" s="449"/>
      <c r="SMB3000" s="462"/>
      <c r="SMC3000" s="299"/>
      <c r="SMD3000" s="81"/>
      <c r="SME3000" s="160"/>
      <c r="SMF3000" s="568"/>
      <c r="SMG3000" s="125"/>
      <c r="SMH3000" s="470"/>
      <c r="SMI3000" s="449"/>
      <c r="SMJ3000" s="462"/>
      <c r="SMK3000" s="299"/>
      <c r="SML3000" s="81"/>
      <c r="SMM3000" s="160"/>
      <c r="SMN3000" s="568"/>
      <c r="SMO3000" s="125"/>
      <c r="SMP3000" s="470"/>
      <c r="SMQ3000" s="449"/>
      <c r="SMR3000" s="462"/>
      <c r="SMS3000" s="299"/>
      <c r="SMT3000" s="81"/>
      <c r="SMU3000" s="160"/>
      <c r="SMV3000" s="568"/>
      <c r="SMW3000" s="125"/>
      <c r="SMX3000" s="470"/>
      <c r="SMY3000" s="449"/>
      <c r="SMZ3000" s="462"/>
      <c r="SNA3000" s="299"/>
      <c r="SNB3000" s="81"/>
      <c r="SNC3000" s="160"/>
      <c r="SND3000" s="568"/>
      <c r="SNE3000" s="125"/>
      <c r="SNF3000" s="470"/>
      <c r="SNG3000" s="449"/>
      <c r="SNH3000" s="462"/>
      <c r="SNI3000" s="299"/>
      <c r="SNJ3000" s="81"/>
      <c r="SNK3000" s="160"/>
      <c r="SNL3000" s="568"/>
      <c r="SNM3000" s="125"/>
      <c r="SNN3000" s="470"/>
      <c r="SNO3000" s="449"/>
      <c r="SNP3000" s="462"/>
      <c r="SNQ3000" s="299"/>
      <c r="SNR3000" s="81"/>
      <c r="SNS3000" s="160"/>
      <c r="SNT3000" s="568"/>
      <c r="SNU3000" s="125"/>
      <c r="SNV3000" s="470"/>
      <c r="SNW3000" s="449"/>
      <c r="SNX3000" s="462"/>
      <c r="SNY3000" s="299"/>
      <c r="SNZ3000" s="81"/>
      <c r="SOA3000" s="160"/>
      <c r="SOB3000" s="568"/>
      <c r="SOC3000" s="125"/>
      <c r="SOD3000" s="470"/>
      <c r="SOE3000" s="449"/>
      <c r="SOF3000" s="462"/>
      <c r="SOG3000" s="299"/>
      <c r="SOH3000" s="81"/>
      <c r="SOI3000" s="160"/>
      <c r="SOJ3000" s="568"/>
      <c r="SOK3000" s="125"/>
      <c r="SOL3000" s="470"/>
      <c r="SOM3000" s="449"/>
      <c r="SON3000" s="462"/>
      <c r="SOO3000" s="299"/>
      <c r="SOP3000" s="81"/>
      <c r="SOQ3000" s="160"/>
      <c r="SOR3000" s="568"/>
      <c r="SOS3000" s="125"/>
      <c r="SOT3000" s="470"/>
      <c r="SOU3000" s="449"/>
      <c r="SOV3000" s="462"/>
      <c r="SOW3000" s="299"/>
      <c r="SOX3000" s="81"/>
      <c r="SOY3000" s="160"/>
      <c r="SOZ3000" s="568"/>
      <c r="SPA3000" s="125"/>
      <c r="SPB3000" s="470"/>
      <c r="SPC3000" s="449"/>
      <c r="SPD3000" s="462"/>
      <c r="SPE3000" s="299"/>
      <c r="SPF3000" s="81"/>
      <c r="SPG3000" s="160"/>
      <c r="SPH3000" s="568"/>
      <c r="SPI3000" s="125"/>
      <c r="SPJ3000" s="470"/>
      <c r="SPK3000" s="449"/>
      <c r="SPL3000" s="462"/>
      <c r="SPM3000" s="299"/>
      <c r="SPN3000" s="81"/>
      <c r="SPO3000" s="160"/>
      <c r="SPP3000" s="568"/>
      <c r="SPQ3000" s="125"/>
      <c r="SPR3000" s="470"/>
      <c r="SPS3000" s="449"/>
      <c r="SPT3000" s="462"/>
      <c r="SPU3000" s="299"/>
      <c r="SPV3000" s="81"/>
      <c r="SPW3000" s="160"/>
      <c r="SPX3000" s="568"/>
      <c r="SPY3000" s="125"/>
      <c r="SPZ3000" s="470"/>
      <c r="SQA3000" s="449"/>
      <c r="SQB3000" s="462"/>
      <c r="SQC3000" s="299"/>
      <c r="SQD3000" s="81"/>
      <c r="SQE3000" s="160"/>
      <c r="SQF3000" s="568"/>
      <c r="SQG3000" s="125"/>
      <c r="SQH3000" s="470"/>
      <c r="SQI3000" s="449"/>
      <c r="SQJ3000" s="462"/>
      <c r="SQK3000" s="299"/>
      <c r="SQL3000" s="81"/>
      <c r="SQM3000" s="160"/>
      <c r="SQN3000" s="568"/>
      <c r="SQO3000" s="125"/>
      <c r="SQP3000" s="470"/>
      <c r="SQQ3000" s="449"/>
      <c r="SQR3000" s="462"/>
      <c r="SQS3000" s="299"/>
      <c r="SQT3000" s="81"/>
      <c r="SQU3000" s="160"/>
      <c r="SQV3000" s="568"/>
      <c r="SQW3000" s="125"/>
      <c r="SQX3000" s="470"/>
      <c r="SQY3000" s="449"/>
      <c r="SQZ3000" s="462"/>
      <c r="SRA3000" s="299"/>
      <c r="SRB3000" s="81"/>
      <c r="SRC3000" s="160"/>
      <c r="SRD3000" s="568"/>
      <c r="SRE3000" s="125"/>
      <c r="SRF3000" s="470"/>
      <c r="SRG3000" s="449"/>
      <c r="SRH3000" s="462"/>
      <c r="SRI3000" s="299"/>
      <c r="SRJ3000" s="81"/>
      <c r="SRK3000" s="160"/>
      <c r="SRL3000" s="568"/>
      <c r="SRM3000" s="125"/>
      <c r="SRN3000" s="470"/>
      <c r="SRO3000" s="449"/>
      <c r="SRP3000" s="462"/>
      <c r="SRQ3000" s="299"/>
      <c r="SRR3000" s="81"/>
      <c r="SRS3000" s="160"/>
      <c r="SRT3000" s="568"/>
      <c r="SRU3000" s="125"/>
      <c r="SRV3000" s="470"/>
      <c r="SRW3000" s="449"/>
      <c r="SRX3000" s="462"/>
      <c r="SRY3000" s="299"/>
      <c r="SRZ3000" s="81"/>
      <c r="SSA3000" s="160"/>
      <c r="SSB3000" s="568"/>
      <c r="SSC3000" s="125"/>
      <c r="SSD3000" s="470"/>
      <c r="SSE3000" s="449"/>
      <c r="SSF3000" s="462"/>
      <c r="SSG3000" s="299"/>
      <c r="SSH3000" s="81"/>
      <c r="SSI3000" s="160"/>
      <c r="SSJ3000" s="568"/>
      <c r="SSK3000" s="125"/>
      <c r="SSL3000" s="470"/>
      <c r="SSM3000" s="449"/>
      <c r="SSN3000" s="462"/>
      <c r="SSO3000" s="299"/>
      <c r="SSP3000" s="81"/>
      <c r="SSQ3000" s="160"/>
      <c r="SSR3000" s="568"/>
      <c r="SSS3000" s="125"/>
      <c r="SST3000" s="470"/>
      <c r="SSU3000" s="449"/>
      <c r="SSV3000" s="462"/>
      <c r="SSW3000" s="299"/>
      <c r="SSX3000" s="81"/>
      <c r="SSY3000" s="160"/>
      <c r="SSZ3000" s="568"/>
      <c r="STA3000" s="125"/>
      <c r="STB3000" s="470"/>
      <c r="STC3000" s="449"/>
      <c r="STD3000" s="462"/>
      <c r="STE3000" s="299"/>
      <c r="STF3000" s="81"/>
      <c r="STG3000" s="160"/>
      <c r="STH3000" s="568"/>
      <c r="STI3000" s="125"/>
      <c r="STJ3000" s="470"/>
      <c r="STK3000" s="449"/>
      <c r="STL3000" s="462"/>
      <c r="STM3000" s="299"/>
      <c r="STN3000" s="81"/>
      <c r="STO3000" s="160"/>
      <c r="STP3000" s="568"/>
      <c r="STQ3000" s="125"/>
      <c r="STR3000" s="470"/>
      <c r="STS3000" s="449"/>
      <c r="STT3000" s="462"/>
      <c r="STU3000" s="299"/>
      <c r="STV3000" s="81"/>
      <c r="STW3000" s="160"/>
      <c r="STX3000" s="568"/>
      <c r="STY3000" s="125"/>
      <c r="STZ3000" s="470"/>
      <c r="SUA3000" s="449"/>
      <c r="SUB3000" s="462"/>
      <c r="SUC3000" s="299"/>
      <c r="SUD3000" s="81"/>
      <c r="SUE3000" s="160"/>
      <c r="SUF3000" s="568"/>
      <c r="SUG3000" s="125"/>
      <c r="SUH3000" s="470"/>
      <c r="SUI3000" s="449"/>
      <c r="SUJ3000" s="462"/>
      <c r="SUK3000" s="299"/>
      <c r="SUL3000" s="81"/>
      <c r="SUM3000" s="160"/>
      <c r="SUN3000" s="568"/>
      <c r="SUO3000" s="125"/>
      <c r="SUP3000" s="470"/>
      <c r="SUQ3000" s="449"/>
      <c r="SUR3000" s="462"/>
      <c r="SUS3000" s="299"/>
      <c r="SUT3000" s="81"/>
      <c r="SUU3000" s="160"/>
      <c r="SUV3000" s="568"/>
      <c r="SUW3000" s="125"/>
      <c r="SUX3000" s="470"/>
      <c r="SUY3000" s="449"/>
      <c r="SUZ3000" s="462"/>
      <c r="SVA3000" s="299"/>
      <c r="SVB3000" s="81"/>
      <c r="SVC3000" s="160"/>
      <c r="SVD3000" s="568"/>
      <c r="SVE3000" s="125"/>
      <c r="SVF3000" s="470"/>
      <c r="SVG3000" s="449"/>
      <c r="SVH3000" s="462"/>
      <c r="SVI3000" s="299"/>
      <c r="SVJ3000" s="81"/>
      <c r="SVK3000" s="160"/>
      <c r="SVL3000" s="568"/>
      <c r="SVM3000" s="125"/>
      <c r="SVN3000" s="470"/>
      <c r="SVO3000" s="449"/>
      <c r="SVP3000" s="462"/>
      <c r="SVQ3000" s="299"/>
      <c r="SVR3000" s="81"/>
      <c r="SVS3000" s="160"/>
      <c r="SVT3000" s="568"/>
      <c r="SVU3000" s="125"/>
      <c r="SVV3000" s="470"/>
      <c r="SVW3000" s="449"/>
      <c r="SVX3000" s="462"/>
      <c r="SVY3000" s="299"/>
      <c r="SVZ3000" s="81"/>
      <c r="SWA3000" s="160"/>
      <c r="SWB3000" s="568"/>
      <c r="SWC3000" s="125"/>
      <c r="SWD3000" s="470"/>
      <c r="SWE3000" s="449"/>
      <c r="SWF3000" s="462"/>
      <c r="SWG3000" s="299"/>
      <c r="SWH3000" s="81"/>
      <c r="SWI3000" s="160"/>
      <c r="SWJ3000" s="568"/>
      <c r="SWK3000" s="125"/>
      <c r="SWL3000" s="470"/>
      <c r="SWM3000" s="449"/>
      <c r="SWN3000" s="462"/>
      <c r="SWO3000" s="299"/>
      <c r="SWP3000" s="81"/>
      <c r="SWQ3000" s="160"/>
      <c r="SWR3000" s="568"/>
      <c r="SWS3000" s="125"/>
      <c r="SWT3000" s="470"/>
      <c r="SWU3000" s="449"/>
      <c r="SWV3000" s="462"/>
      <c r="SWW3000" s="299"/>
      <c r="SWX3000" s="81"/>
      <c r="SWY3000" s="160"/>
      <c r="SWZ3000" s="568"/>
      <c r="SXA3000" s="125"/>
      <c r="SXB3000" s="470"/>
      <c r="SXC3000" s="449"/>
      <c r="SXD3000" s="462"/>
      <c r="SXE3000" s="299"/>
      <c r="SXF3000" s="81"/>
      <c r="SXG3000" s="160"/>
      <c r="SXH3000" s="568"/>
      <c r="SXI3000" s="125"/>
      <c r="SXJ3000" s="470"/>
      <c r="SXK3000" s="449"/>
      <c r="SXL3000" s="462"/>
      <c r="SXM3000" s="299"/>
      <c r="SXN3000" s="81"/>
      <c r="SXO3000" s="160"/>
      <c r="SXP3000" s="568"/>
      <c r="SXQ3000" s="125"/>
      <c r="SXR3000" s="470"/>
      <c r="SXS3000" s="449"/>
      <c r="SXT3000" s="462"/>
      <c r="SXU3000" s="299"/>
      <c r="SXV3000" s="81"/>
      <c r="SXW3000" s="160"/>
      <c r="SXX3000" s="568"/>
      <c r="SXY3000" s="125"/>
      <c r="SXZ3000" s="470"/>
      <c r="SYA3000" s="449"/>
      <c r="SYB3000" s="462"/>
      <c r="SYC3000" s="299"/>
      <c r="SYD3000" s="81"/>
      <c r="SYE3000" s="160"/>
      <c r="SYF3000" s="568"/>
      <c r="SYG3000" s="125"/>
      <c r="SYH3000" s="470"/>
      <c r="SYI3000" s="449"/>
      <c r="SYJ3000" s="462"/>
      <c r="SYK3000" s="299"/>
      <c r="SYL3000" s="81"/>
      <c r="SYM3000" s="160"/>
      <c r="SYN3000" s="568"/>
      <c r="SYO3000" s="125"/>
      <c r="SYP3000" s="470"/>
      <c r="SYQ3000" s="449"/>
      <c r="SYR3000" s="462"/>
      <c r="SYS3000" s="299"/>
      <c r="SYT3000" s="81"/>
      <c r="SYU3000" s="160"/>
      <c r="SYV3000" s="568"/>
      <c r="SYW3000" s="125"/>
      <c r="SYX3000" s="470"/>
      <c r="SYY3000" s="449"/>
      <c r="SYZ3000" s="462"/>
      <c r="SZA3000" s="299"/>
      <c r="SZB3000" s="81"/>
      <c r="SZC3000" s="160"/>
      <c r="SZD3000" s="568"/>
      <c r="SZE3000" s="125"/>
      <c r="SZF3000" s="470"/>
      <c r="SZG3000" s="449"/>
      <c r="SZH3000" s="462"/>
      <c r="SZI3000" s="299"/>
      <c r="SZJ3000" s="81"/>
      <c r="SZK3000" s="160"/>
      <c r="SZL3000" s="568"/>
      <c r="SZM3000" s="125"/>
      <c r="SZN3000" s="470"/>
      <c r="SZO3000" s="449"/>
      <c r="SZP3000" s="462"/>
      <c r="SZQ3000" s="299"/>
      <c r="SZR3000" s="81"/>
      <c r="SZS3000" s="160"/>
      <c r="SZT3000" s="568"/>
      <c r="SZU3000" s="125"/>
      <c r="SZV3000" s="470"/>
      <c r="SZW3000" s="449"/>
      <c r="SZX3000" s="462"/>
      <c r="SZY3000" s="299"/>
      <c r="SZZ3000" s="81"/>
      <c r="TAA3000" s="160"/>
      <c r="TAB3000" s="568"/>
      <c r="TAC3000" s="125"/>
      <c r="TAD3000" s="470"/>
      <c r="TAE3000" s="449"/>
      <c r="TAF3000" s="462"/>
      <c r="TAG3000" s="299"/>
      <c r="TAH3000" s="81"/>
      <c r="TAI3000" s="160"/>
      <c r="TAJ3000" s="568"/>
      <c r="TAK3000" s="125"/>
      <c r="TAL3000" s="470"/>
      <c r="TAM3000" s="449"/>
      <c r="TAN3000" s="462"/>
      <c r="TAO3000" s="299"/>
      <c r="TAP3000" s="81"/>
      <c r="TAQ3000" s="160"/>
      <c r="TAR3000" s="568"/>
      <c r="TAS3000" s="125"/>
      <c r="TAT3000" s="470"/>
      <c r="TAU3000" s="449"/>
      <c r="TAV3000" s="462"/>
      <c r="TAW3000" s="299"/>
      <c r="TAX3000" s="81"/>
      <c r="TAY3000" s="160"/>
      <c r="TAZ3000" s="568"/>
      <c r="TBA3000" s="125"/>
      <c r="TBB3000" s="470"/>
      <c r="TBC3000" s="449"/>
      <c r="TBD3000" s="462"/>
      <c r="TBE3000" s="299"/>
      <c r="TBF3000" s="81"/>
      <c r="TBG3000" s="160"/>
      <c r="TBH3000" s="568"/>
      <c r="TBI3000" s="125"/>
      <c r="TBJ3000" s="470"/>
      <c r="TBK3000" s="449"/>
      <c r="TBL3000" s="462"/>
      <c r="TBM3000" s="299"/>
      <c r="TBN3000" s="81"/>
      <c r="TBO3000" s="160"/>
      <c r="TBP3000" s="568"/>
      <c r="TBQ3000" s="125"/>
      <c r="TBR3000" s="470"/>
      <c r="TBS3000" s="449"/>
      <c r="TBT3000" s="462"/>
      <c r="TBU3000" s="299"/>
      <c r="TBV3000" s="81"/>
      <c r="TBW3000" s="160"/>
      <c r="TBX3000" s="568"/>
      <c r="TBY3000" s="125"/>
      <c r="TBZ3000" s="470"/>
      <c r="TCA3000" s="449"/>
      <c r="TCB3000" s="462"/>
      <c r="TCC3000" s="299"/>
      <c r="TCD3000" s="81"/>
      <c r="TCE3000" s="160"/>
      <c r="TCF3000" s="568"/>
      <c r="TCG3000" s="125"/>
      <c r="TCH3000" s="470"/>
      <c r="TCI3000" s="449"/>
      <c r="TCJ3000" s="462"/>
      <c r="TCK3000" s="299"/>
      <c r="TCL3000" s="81"/>
      <c r="TCM3000" s="160"/>
      <c r="TCN3000" s="568"/>
      <c r="TCO3000" s="125"/>
      <c r="TCP3000" s="470"/>
      <c r="TCQ3000" s="449"/>
      <c r="TCR3000" s="462"/>
      <c r="TCS3000" s="299"/>
      <c r="TCT3000" s="81"/>
      <c r="TCU3000" s="160"/>
      <c r="TCV3000" s="568"/>
      <c r="TCW3000" s="125"/>
      <c r="TCX3000" s="470"/>
      <c r="TCY3000" s="449"/>
      <c r="TCZ3000" s="462"/>
      <c r="TDA3000" s="299"/>
      <c r="TDB3000" s="81"/>
      <c r="TDC3000" s="160"/>
      <c r="TDD3000" s="568"/>
      <c r="TDE3000" s="125"/>
      <c r="TDF3000" s="470"/>
      <c r="TDG3000" s="449"/>
      <c r="TDH3000" s="462"/>
      <c r="TDI3000" s="299"/>
      <c r="TDJ3000" s="81"/>
      <c r="TDK3000" s="160"/>
      <c r="TDL3000" s="568"/>
      <c r="TDM3000" s="125"/>
      <c r="TDN3000" s="470"/>
      <c r="TDO3000" s="449"/>
      <c r="TDP3000" s="462"/>
      <c r="TDQ3000" s="299"/>
      <c r="TDR3000" s="81"/>
      <c r="TDS3000" s="160"/>
      <c r="TDT3000" s="568"/>
      <c r="TDU3000" s="125"/>
      <c r="TDV3000" s="470"/>
      <c r="TDW3000" s="449"/>
      <c r="TDX3000" s="462"/>
      <c r="TDY3000" s="299"/>
      <c r="TDZ3000" s="81"/>
      <c r="TEA3000" s="160"/>
      <c r="TEB3000" s="568"/>
      <c r="TEC3000" s="125"/>
      <c r="TED3000" s="470"/>
      <c r="TEE3000" s="449"/>
      <c r="TEF3000" s="462"/>
      <c r="TEG3000" s="299"/>
      <c r="TEH3000" s="81"/>
      <c r="TEI3000" s="160"/>
      <c r="TEJ3000" s="568"/>
      <c r="TEK3000" s="125"/>
      <c r="TEL3000" s="470"/>
      <c r="TEM3000" s="449"/>
      <c r="TEN3000" s="462"/>
      <c r="TEO3000" s="299"/>
      <c r="TEP3000" s="81"/>
      <c r="TEQ3000" s="160"/>
      <c r="TER3000" s="568"/>
      <c r="TES3000" s="125"/>
      <c r="TET3000" s="470"/>
      <c r="TEU3000" s="449"/>
      <c r="TEV3000" s="462"/>
      <c r="TEW3000" s="299"/>
      <c r="TEX3000" s="81"/>
      <c r="TEY3000" s="160"/>
      <c r="TEZ3000" s="568"/>
      <c r="TFA3000" s="125"/>
      <c r="TFB3000" s="470"/>
      <c r="TFC3000" s="449"/>
      <c r="TFD3000" s="462"/>
      <c r="TFE3000" s="299"/>
      <c r="TFF3000" s="81"/>
      <c r="TFG3000" s="160"/>
      <c r="TFH3000" s="568"/>
      <c r="TFI3000" s="125"/>
      <c r="TFJ3000" s="470"/>
      <c r="TFK3000" s="449"/>
      <c r="TFL3000" s="462"/>
      <c r="TFM3000" s="299"/>
      <c r="TFN3000" s="81"/>
      <c r="TFO3000" s="160"/>
      <c r="TFP3000" s="568"/>
      <c r="TFQ3000" s="125"/>
      <c r="TFR3000" s="470"/>
      <c r="TFS3000" s="449"/>
      <c r="TFT3000" s="462"/>
      <c r="TFU3000" s="299"/>
      <c r="TFV3000" s="81"/>
      <c r="TFW3000" s="160"/>
      <c r="TFX3000" s="568"/>
      <c r="TFY3000" s="125"/>
      <c r="TFZ3000" s="470"/>
      <c r="TGA3000" s="449"/>
      <c r="TGB3000" s="462"/>
      <c r="TGC3000" s="299"/>
      <c r="TGD3000" s="81"/>
      <c r="TGE3000" s="160"/>
      <c r="TGF3000" s="568"/>
      <c r="TGG3000" s="125"/>
      <c r="TGH3000" s="470"/>
      <c r="TGI3000" s="449"/>
      <c r="TGJ3000" s="462"/>
      <c r="TGK3000" s="299"/>
      <c r="TGL3000" s="81"/>
      <c r="TGM3000" s="160"/>
      <c r="TGN3000" s="568"/>
      <c r="TGO3000" s="125"/>
      <c r="TGP3000" s="470"/>
      <c r="TGQ3000" s="449"/>
      <c r="TGR3000" s="462"/>
      <c r="TGS3000" s="299"/>
      <c r="TGT3000" s="81"/>
      <c r="TGU3000" s="160"/>
      <c r="TGV3000" s="568"/>
      <c r="TGW3000" s="125"/>
      <c r="TGX3000" s="470"/>
      <c r="TGY3000" s="449"/>
      <c r="TGZ3000" s="462"/>
      <c r="THA3000" s="299"/>
      <c r="THB3000" s="81"/>
      <c r="THC3000" s="160"/>
      <c r="THD3000" s="568"/>
      <c r="THE3000" s="125"/>
      <c r="THF3000" s="470"/>
      <c r="THG3000" s="449"/>
      <c r="THH3000" s="462"/>
      <c r="THI3000" s="299"/>
      <c r="THJ3000" s="81"/>
      <c r="THK3000" s="160"/>
      <c r="THL3000" s="568"/>
      <c r="THM3000" s="125"/>
      <c r="THN3000" s="470"/>
      <c r="THO3000" s="449"/>
      <c r="THP3000" s="462"/>
      <c r="THQ3000" s="299"/>
      <c r="THR3000" s="81"/>
      <c r="THS3000" s="160"/>
      <c r="THT3000" s="568"/>
      <c r="THU3000" s="125"/>
      <c r="THV3000" s="470"/>
      <c r="THW3000" s="449"/>
      <c r="THX3000" s="462"/>
      <c r="THY3000" s="299"/>
      <c r="THZ3000" s="81"/>
      <c r="TIA3000" s="160"/>
      <c r="TIB3000" s="568"/>
      <c r="TIC3000" s="125"/>
      <c r="TID3000" s="470"/>
      <c r="TIE3000" s="449"/>
      <c r="TIF3000" s="462"/>
      <c r="TIG3000" s="299"/>
      <c r="TIH3000" s="81"/>
      <c r="TII3000" s="160"/>
      <c r="TIJ3000" s="568"/>
      <c r="TIK3000" s="125"/>
      <c r="TIL3000" s="470"/>
      <c r="TIM3000" s="449"/>
      <c r="TIN3000" s="462"/>
      <c r="TIO3000" s="299"/>
      <c r="TIP3000" s="81"/>
      <c r="TIQ3000" s="160"/>
      <c r="TIR3000" s="568"/>
      <c r="TIS3000" s="125"/>
      <c r="TIT3000" s="470"/>
      <c r="TIU3000" s="449"/>
      <c r="TIV3000" s="462"/>
      <c r="TIW3000" s="299"/>
      <c r="TIX3000" s="81"/>
      <c r="TIY3000" s="160"/>
      <c r="TIZ3000" s="568"/>
      <c r="TJA3000" s="125"/>
      <c r="TJB3000" s="470"/>
      <c r="TJC3000" s="449"/>
      <c r="TJD3000" s="462"/>
      <c r="TJE3000" s="299"/>
      <c r="TJF3000" s="81"/>
      <c r="TJG3000" s="160"/>
      <c r="TJH3000" s="568"/>
      <c r="TJI3000" s="125"/>
      <c r="TJJ3000" s="470"/>
      <c r="TJK3000" s="449"/>
      <c r="TJL3000" s="462"/>
      <c r="TJM3000" s="299"/>
      <c r="TJN3000" s="81"/>
      <c r="TJO3000" s="160"/>
      <c r="TJP3000" s="568"/>
      <c r="TJQ3000" s="125"/>
      <c r="TJR3000" s="470"/>
      <c r="TJS3000" s="449"/>
      <c r="TJT3000" s="462"/>
      <c r="TJU3000" s="299"/>
      <c r="TJV3000" s="81"/>
      <c r="TJW3000" s="160"/>
      <c r="TJX3000" s="568"/>
      <c r="TJY3000" s="125"/>
      <c r="TJZ3000" s="470"/>
      <c r="TKA3000" s="449"/>
      <c r="TKB3000" s="462"/>
      <c r="TKC3000" s="299"/>
      <c r="TKD3000" s="81"/>
      <c r="TKE3000" s="160"/>
      <c r="TKF3000" s="568"/>
      <c r="TKG3000" s="125"/>
      <c r="TKH3000" s="470"/>
      <c r="TKI3000" s="449"/>
      <c r="TKJ3000" s="462"/>
      <c r="TKK3000" s="299"/>
      <c r="TKL3000" s="81"/>
      <c r="TKM3000" s="160"/>
      <c r="TKN3000" s="568"/>
      <c r="TKO3000" s="125"/>
      <c r="TKP3000" s="470"/>
      <c r="TKQ3000" s="449"/>
      <c r="TKR3000" s="462"/>
      <c r="TKS3000" s="299"/>
      <c r="TKT3000" s="81"/>
      <c r="TKU3000" s="160"/>
      <c r="TKV3000" s="568"/>
      <c r="TKW3000" s="125"/>
      <c r="TKX3000" s="470"/>
      <c r="TKY3000" s="449"/>
      <c r="TKZ3000" s="462"/>
      <c r="TLA3000" s="299"/>
      <c r="TLB3000" s="81"/>
      <c r="TLC3000" s="160"/>
      <c r="TLD3000" s="568"/>
      <c r="TLE3000" s="125"/>
      <c r="TLF3000" s="470"/>
      <c r="TLG3000" s="449"/>
      <c r="TLH3000" s="462"/>
      <c r="TLI3000" s="299"/>
      <c r="TLJ3000" s="81"/>
      <c r="TLK3000" s="160"/>
      <c r="TLL3000" s="568"/>
      <c r="TLM3000" s="125"/>
      <c r="TLN3000" s="470"/>
      <c r="TLO3000" s="449"/>
      <c r="TLP3000" s="462"/>
      <c r="TLQ3000" s="299"/>
      <c r="TLR3000" s="81"/>
      <c r="TLS3000" s="160"/>
      <c r="TLT3000" s="568"/>
      <c r="TLU3000" s="125"/>
      <c r="TLV3000" s="470"/>
      <c r="TLW3000" s="449"/>
      <c r="TLX3000" s="462"/>
      <c r="TLY3000" s="299"/>
      <c r="TLZ3000" s="81"/>
      <c r="TMA3000" s="160"/>
      <c r="TMB3000" s="568"/>
      <c r="TMC3000" s="125"/>
      <c r="TMD3000" s="470"/>
      <c r="TME3000" s="449"/>
      <c r="TMF3000" s="462"/>
      <c r="TMG3000" s="299"/>
      <c r="TMH3000" s="81"/>
      <c r="TMI3000" s="160"/>
      <c r="TMJ3000" s="568"/>
      <c r="TMK3000" s="125"/>
      <c r="TML3000" s="470"/>
      <c r="TMM3000" s="449"/>
      <c r="TMN3000" s="462"/>
      <c r="TMO3000" s="299"/>
      <c r="TMP3000" s="81"/>
      <c r="TMQ3000" s="160"/>
      <c r="TMR3000" s="568"/>
      <c r="TMS3000" s="125"/>
      <c r="TMT3000" s="470"/>
      <c r="TMU3000" s="449"/>
      <c r="TMV3000" s="462"/>
      <c r="TMW3000" s="299"/>
      <c r="TMX3000" s="81"/>
      <c r="TMY3000" s="160"/>
      <c r="TMZ3000" s="568"/>
      <c r="TNA3000" s="125"/>
      <c r="TNB3000" s="470"/>
      <c r="TNC3000" s="449"/>
      <c r="TND3000" s="462"/>
      <c r="TNE3000" s="299"/>
      <c r="TNF3000" s="81"/>
      <c r="TNG3000" s="160"/>
      <c r="TNH3000" s="568"/>
      <c r="TNI3000" s="125"/>
      <c r="TNJ3000" s="470"/>
      <c r="TNK3000" s="449"/>
      <c r="TNL3000" s="462"/>
      <c r="TNM3000" s="299"/>
      <c r="TNN3000" s="81"/>
      <c r="TNO3000" s="160"/>
      <c r="TNP3000" s="568"/>
      <c r="TNQ3000" s="125"/>
      <c r="TNR3000" s="470"/>
      <c r="TNS3000" s="449"/>
      <c r="TNT3000" s="462"/>
      <c r="TNU3000" s="299"/>
      <c r="TNV3000" s="81"/>
      <c r="TNW3000" s="160"/>
      <c r="TNX3000" s="568"/>
      <c r="TNY3000" s="125"/>
      <c r="TNZ3000" s="470"/>
      <c r="TOA3000" s="449"/>
      <c r="TOB3000" s="462"/>
      <c r="TOC3000" s="299"/>
      <c r="TOD3000" s="81"/>
      <c r="TOE3000" s="160"/>
      <c r="TOF3000" s="568"/>
      <c r="TOG3000" s="125"/>
      <c r="TOH3000" s="470"/>
      <c r="TOI3000" s="449"/>
      <c r="TOJ3000" s="462"/>
      <c r="TOK3000" s="299"/>
      <c r="TOL3000" s="81"/>
      <c r="TOM3000" s="160"/>
      <c r="TON3000" s="568"/>
      <c r="TOO3000" s="125"/>
      <c r="TOP3000" s="470"/>
      <c r="TOQ3000" s="449"/>
      <c r="TOR3000" s="462"/>
      <c r="TOS3000" s="299"/>
      <c r="TOT3000" s="81"/>
      <c r="TOU3000" s="160"/>
      <c r="TOV3000" s="568"/>
      <c r="TOW3000" s="125"/>
      <c r="TOX3000" s="470"/>
      <c r="TOY3000" s="449"/>
      <c r="TOZ3000" s="462"/>
      <c r="TPA3000" s="299"/>
      <c r="TPB3000" s="81"/>
      <c r="TPC3000" s="160"/>
      <c r="TPD3000" s="568"/>
      <c r="TPE3000" s="125"/>
      <c r="TPF3000" s="470"/>
      <c r="TPG3000" s="449"/>
      <c r="TPH3000" s="462"/>
      <c r="TPI3000" s="299"/>
      <c r="TPJ3000" s="81"/>
      <c r="TPK3000" s="160"/>
      <c r="TPL3000" s="568"/>
      <c r="TPM3000" s="125"/>
      <c r="TPN3000" s="470"/>
      <c r="TPO3000" s="449"/>
      <c r="TPP3000" s="462"/>
      <c r="TPQ3000" s="299"/>
      <c r="TPR3000" s="81"/>
      <c r="TPS3000" s="160"/>
      <c r="TPT3000" s="568"/>
      <c r="TPU3000" s="125"/>
      <c r="TPV3000" s="470"/>
      <c r="TPW3000" s="449"/>
      <c r="TPX3000" s="462"/>
      <c r="TPY3000" s="299"/>
      <c r="TPZ3000" s="81"/>
      <c r="TQA3000" s="160"/>
      <c r="TQB3000" s="568"/>
      <c r="TQC3000" s="125"/>
      <c r="TQD3000" s="470"/>
      <c r="TQE3000" s="449"/>
      <c r="TQF3000" s="462"/>
      <c r="TQG3000" s="299"/>
      <c r="TQH3000" s="81"/>
      <c r="TQI3000" s="160"/>
      <c r="TQJ3000" s="568"/>
      <c r="TQK3000" s="125"/>
      <c r="TQL3000" s="470"/>
      <c r="TQM3000" s="449"/>
      <c r="TQN3000" s="462"/>
      <c r="TQO3000" s="299"/>
      <c r="TQP3000" s="81"/>
      <c r="TQQ3000" s="160"/>
      <c r="TQR3000" s="568"/>
      <c r="TQS3000" s="125"/>
      <c r="TQT3000" s="470"/>
      <c r="TQU3000" s="449"/>
      <c r="TQV3000" s="462"/>
      <c r="TQW3000" s="299"/>
      <c r="TQX3000" s="81"/>
      <c r="TQY3000" s="160"/>
      <c r="TQZ3000" s="568"/>
      <c r="TRA3000" s="125"/>
      <c r="TRB3000" s="470"/>
      <c r="TRC3000" s="449"/>
      <c r="TRD3000" s="462"/>
      <c r="TRE3000" s="299"/>
      <c r="TRF3000" s="81"/>
      <c r="TRG3000" s="160"/>
      <c r="TRH3000" s="568"/>
      <c r="TRI3000" s="125"/>
      <c r="TRJ3000" s="470"/>
      <c r="TRK3000" s="449"/>
      <c r="TRL3000" s="462"/>
      <c r="TRM3000" s="299"/>
      <c r="TRN3000" s="81"/>
      <c r="TRO3000" s="160"/>
      <c r="TRP3000" s="568"/>
      <c r="TRQ3000" s="125"/>
      <c r="TRR3000" s="470"/>
      <c r="TRS3000" s="449"/>
      <c r="TRT3000" s="462"/>
      <c r="TRU3000" s="299"/>
      <c r="TRV3000" s="81"/>
      <c r="TRW3000" s="160"/>
      <c r="TRX3000" s="568"/>
      <c r="TRY3000" s="125"/>
      <c r="TRZ3000" s="470"/>
      <c r="TSA3000" s="449"/>
      <c r="TSB3000" s="462"/>
      <c r="TSC3000" s="299"/>
      <c r="TSD3000" s="81"/>
      <c r="TSE3000" s="160"/>
      <c r="TSF3000" s="568"/>
      <c r="TSG3000" s="125"/>
      <c r="TSH3000" s="470"/>
      <c r="TSI3000" s="449"/>
      <c r="TSJ3000" s="462"/>
      <c r="TSK3000" s="299"/>
      <c r="TSL3000" s="81"/>
      <c r="TSM3000" s="160"/>
      <c r="TSN3000" s="568"/>
      <c r="TSO3000" s="125"/>
      <c r="TSP3000" s="470"/>
      <c r="TSQ3000" s="449"/>
      <c r="TSR3000" s="462"/>
      <c r="TSS3000" s="299"/>
      <c r="TST3000" s="81"/>
      <c r="TSU3000" s="160"/>
      <c r="TSV3000" s="568"/>
      <c r="TSW3000" s="125"/>
      <c r="TSX3000" s="470"/>
      <c r="TSY3000" s="449"/>
      <c r="TSZ3000" s="462"/>
      <c r="TTA3000" s="299"/>
      <c r="TTB3000" s="81"/>
      <c r="TTC3000" s="160"/>
      <c r="TTD3000" s="568"/>
      <c r="TTE3000" s="125"/>
      <c r="TTF3000" s="470"/>
      <c r="TTG3000" s="449"/>
      <c r="TTH3000" s="462"/>
      <c r="TTI3000" s="299"/>
      <c r="TTJ3000" s="81"/>
      <c r="TTK3000" s="160"/>
      <c r="TTL3000" s="568"/>
      <c r="TTM3000" s="125"/>
      <c r="TTN3000" s="470"/>
      <c r="TTO3000" s="449"/>
      <c r="TTP3000" s="462"/>
      <c r="TTQ3000" s="299"/>
      <c r="TTR3000" s="81"/>
      <c r="TTS3000" s="160"/>
      <c r="TTT3000" s="568"/>
      <c r="TTU3000" s="125"/>
      <c r="TTV3000" s="470"/>
      <c r="TTW3000" s="449"/>
      <c r="TTX3000" s="462"/>
      <c r="TTY3000" s="299"/>
      <c r="TTZ3000" s="81"/>
      <c r="TUA3000" s="160"/>
      <c r="TUB3000" s="568"/>
      <c r="TUC3000" s="125"/>
      <c r="TUD3000" s="470"/>
      <c r="TUE3000" s="449"/>
      <c r="TUF3000" s="462"/>
      <c r="TUG3000" s="299"/>
      <c r="TUH3000" s="81"/>
      <c r="TUI3000" s="160"/>
      <c r="TUJ3000" s="568"/>
      <c r="TUK3000" s="125"/>
      <c r="TUL3000" s="470"/>
      <c r="TUM3000" s="449"/>
      <c r="TUN3000" s="462"/>
      <c r="TUO3000" s="299"/>
      <c r="TUP3000" s="81"/>
      <c r="TUQ3000" s="160"/>
      <c r="TUR3000" s="568"/>
      <c r="TUS3000" s="125"/>
      <c r="TUT3000" s="470"/>
      <c r="TUU3000" s="449"/>
      <c r="TUV3000" s="462"/>
      <c r="TUW3000" s="299"/>
      <c r="TUX3000" s="81"/>
      <c r="TUY3000" s="160"/>
      <c r="TUZ3000" s="568"/>
      <c r="TVA3000" s="125"/>
      <c r="TVB3000" s="470"/>
      <c r="TVC3000" s="449"/>
      <c r="TVD3000" s="462"/>
      <c r="TVE3000" s="299"/>
      <c r="TVF3000" s="81"/>
      <c r="TVG3000" s="160"/>
      <c r="TVH3000" s="568"/>
      <c r="TVI3000" s="125"/>
      <c r="TVJ3000" s="470"/>
      <c r="TVK3000" s="449"/>
      <c r="TVL3000" s="462"/>
      <c r="TVM3000" s="299"/>
      <c r="TVN3000" s="81"/>
      <c r="TVO3000" s="160"/>
      <c r="TVP3000" s="568"/>
      <c r="TVQ3000" s="125"/>
      <c r="TVR3000" s="470"/>
      <c r="TVS3000" s="449"/>
      <c r="TVT3000" s="462"/>
      <c r="TVU3000" s="299"/>
      <c r="TVV3000" s="81"/>
      <c r="TVW3000" s="160"/>
      <c r="TVX3000" s="568"/>
      <c r="TVY3000" s="125"/>
      <c r="TVZ3000" s="470"/>
      <c r="TWA3000" s="449"/>
      <c r="TWB3000" s="462"/>
      <c r="TWC3000" s="299"/>
      <c r="TWD3000" s="81"/>
      <c r="TWE3000" s="160"/>
      <c r="TWF3000" s="568"/>
      <c r="TWG3000" s="125"/>
      <c r="TWH3000" s="470"/>
      <c r="TWI3000" s="449"/>
      <c r="TWJ3000" s="462"/>
      <c r="TWK3000" s="299"/>
      <c r="TWL3000" s="81"/>
      <c r="TWM3000" s="160"/>
      <c r="TWN3000" s="568"/>
      <c r="TWO3000" s="125"/>
      <c r="TWP3000" s="470"/>
      <c r="TWQ3000" s="449"/>
      <c r="TWR3000" s="462"/>
      <c r="TWS3000" s="299"/>
      <c r="TWT3000" s="81"/>
      <c r="TWU3000" s="160"/>
      <c r="TWV3000" s="568"/>
      <c r="TWW3000" s="125"/>
      <c r="TWX3000" s="470"/>
      <c r="TWY3000" s="449"/>
      <c r="TWZ3000" s="462"/>
      <c r="TXA3000" s="299"/>
      <c r="TXB3000" s="81"/>
      <c r="TXC3000" s="160"/>
      <c r="TXD3000" s="568"/>
      <c r="TXE3000" s="125"/>
      <c r="TXF3000" s="470"/>
      <c r="TXG3000" s="449"/>
      <c r="TXH3000" s="462"/>
      <c r="TXI3000" s="299"/>
      <c r="TXJ3000" s="81"/>
      <c r="TXK3000" s="160"/>
      <c r="TXL3000" s="568"/>
      <c r="TXM3000" s="125"/>
      <c r="TXN3000" s="470"/>
      <c r="TXO3000" s="449"/>
      <c r="TXP3000" s="462"/>
      <c r="TXQ3000" s="299"/>
      <c r="TXR3000" s="81"/>
      <c r="TXS3000" s="160"/>
      <c r="TXT3000" s="568"/>
      <c r="TXU3000" s="125"/>
      <c r="TXV3000" s="470"/>
      <c r="TXW3000" s="449"/>
      <c r="TXX3000" s="462"/>
      <c r="TXY3000" s="299"/>
      <c r="TXZ3000" s="81"/>
      <c r="TYA3000" s="160"/>
      <c r="TYB3000" s="568"/>
      <c r="TYC3000" s="125"/>
      <c r="TYD3000" s="470"/>
      <c r="TYE3000" s="449"/>
      <c r="TYF3000" s="462"/>
      <c r="TYG3000" s="299"/>
      <c r="TYH3000" s="81"/>
      <c r="TYI3000" s="160"/>
      <c r="TYJ3000" s="568"/>
      <c r="TYK3000" s="125"/>
      <c r="TYL3000" s="470"/>
      <c r="TYM3000" s="449"/>
      <c r="TYN3000" s="462"/>
      <c r="TYO3000" s="299"/>
      <c r="TYP3000" s="81"/>
      <c r="TYQ3000" s="160"/>
      <c r="TYR3000" s="568"/>
      <c r="TYS3000" s="125"/>
      <c r="TYT3000" s="470"/>
      <c r="TYU3000" s="449"/>
      <c r="TYV3000" s="462"/>
      <c r="TYW3000" s="299"/>
      <c r="TYX3000" s="81"/>
      <c r="TYY3000" s="160"/>
      <c r="TYZ3000" s="568"/>
      <c r="TZA3000" s="125"/>
      <c r="TZB3000" s="470"/>
      <c r="TZC3000" s="449"/>
      <c r="TZD3000" s="462"/>
      <c r="TZE3000" s="299"/>
      <c r="TZF3000" s="81"/>
      <c r="TZG3000" s="160"/>
      <c r="TZH3000" s="568"/>
      <c r="TZI3000" s="125"/>
      <c r="TZJ3000" s="470"/>
      <c r="TZK3000" s="449"/>
      <c r="TZL3000" s="462"/>
      <c r="TZM3000" s="299"/>
      <c r="TZN3000" s="81"/>
      <c r="TZO3000" s="160"/>
      <c r="TZP3000" s="568"/>
      <c r="TZQ3000" s="125"/>
      <c r="TZR3000" s="470"/>
      <c r="TZS3000" s="449"/>
      <c r="TZT3000" s="462"/>
      <c r="TZU3000" s="299"/>
      <c r="TZV3000" s="81"/>
      <c r="TZW3000" s="160"/>
      <c r="TZX3000" s="568"/>
      <c r="TZY3000" s="125"/>
      <c r="TZZ3000" s="470"/>
      <c r="UAA3000" s="449"/>
      <c r="UAB3000" s="462"/>
      <c r="UAC3000" s="299"/>
      <c r="UAD3000" s="81"/>
      <c r="UAE3000" s="160"/>
      <c r="UAF3000" s="568"/>
      <c r="UAG3000" s="125"/>
      <c r="UAH3000" s="470"/>
      <c r="UAI3000" s="449"/>
      <c r="UAJ3000" s="462"/>
      <c r="UAK3000" s="299"/>
      <c r="UAL3000" s="81"/>
      <c r="UAM3000" s="160"/>
      <c r="UAN3000" s="568"/>
      <c r="UAO3000" s="125"/>
      <c r="UAP3000" s="470"/>
      <c r="UAQ3000" s="449"/>
      <c r="UAR3000" s="462"/>
      <c r="UAS3000" s="299"/>
      <c r="UAT3000" s="81"/>
      <c r="UAU3000" s="160"/>
      <c r="UAV3000" s="568"/>
      <c r="UAW3000" s="125"/>
      <c r="UAX3000" s="470"/>
      <c r="UAY3000" s="449"/>
      <c r="UAZ3000" s="462"/>
      <c r="UBA3000" s="299"/>
      <c r="UBB3000" s="81"/>
      <c r="UBC3000" s="160"/>
      <c r="UBD3000" s="568"/>
      <c r="UBE3000" s="125"/>
      <c r="UBF3000" s="470"/>
      <c r="UBG3000" s="449"/>
      <c r="UBH3000" s="462"/>
      <c r="UBI3000" s="299"/>
      <c r="UBJ3000" s="81"/>
      <c r="UBK3000" s="160"/>
      <c r="UBL3000" s="568"/>
      <c r="UBM3000" s="125"/>
      <c r="UBN3000" s="470"/>
      <c r="UBO3000" s="449"/>
      <c r="UBP3000" s="462"/>
      <c r="UBQ3000" s="299"/>
      <c r="UBR3000" s="81"/>
      <c r="UBS3000" s="160"/>
      <c r="UBT3000" s="568"/>
      <c r="UBU3000" s="125"/>
      <c r="UBV3000" s="470"/>
      <c r="UBW3000" s="449"/>
      <c r="UBX3000" s="462"/>
      <c r="UBY3000" s="299"/>
      <c r="UBZ3000" s="81"/>
      <c r="UCA3000" s="160"/>
      <c r="UCB3000" s="568"/>
      <c r="UCC3000" s="125"/>
      <c r="UCD3000" s="470"/>
      <c r="UCE3000" s="449"/>
      <c r="UCF3000" s="462"/>
      <c r="UCG3000" s="299"/>
      <c r="UCH3000" s="81"/>
      <c r="UCI3000" s="160"/>
      <c r="UCJ3000" s="568"/>
      <c r="UCK3000" s="125"/>
      <c r="UCL3000" s="470"/>
      <c r="UCM3000" s="449"/>
      <c r="UCN3000" s="462"/>
      <c r="UCO3000" s="299"/>
      <c r="UCP3000" s="81"/>
      <c r="UCQ3000" s="160"/>
      <c r="UCR3000" s="568"/>
      <c r="UCS3000" s="125"/>
      <c r="UCT3000" s="470"/>
      <c r="UCU3000" s="449"/>
      <c r="UCV3000" s="462"/>
      <c r="UCW3000" s="299"/>
      <c r="UCX3000" s="81"/>
      <c r="UCY3000" s="160"/>
      <c r="UCZ3000" s="568"/>
      <c r="UDA3000" s="125"/>
      <c r="UDB3000" s="470"/>
      <c r="UDC3000" s="449"/>
      <c r="UDD3000" s="462"/>
      <c r="UDE3000" s="299"/>
      <c r="UDF3000" s="81"/>
      <c r="UDG3000" s="160"/>
      <c r="UDH3000" s="568"/>
      <c r="UDI3000" s="125"/>
      <c r="UDJ3000" s="470"/>
      <c r="UDK3000" s="449"/>
      <c r="UDL3000" s="462"/>
      <c r="UDM3000" s="299"/>
      <c r="UDN3000" s="81"/>
      <c r="UDO3000" s="160"/>
      <c r="UDP3000" s="568"/>
      <c r="UDQ3000" s="125"/>
      <c r="UDR3000" s="470"/>
      <c r="UDS3000" s="449"/>
      <c r="UDT3000" s="462"/>
      <c r="UDU3000" s="299"/>
      <c r="UDV3000" s="81"/>
      <c r="UDW3000" s="160"/>
      <c r="UDX3000" s="568"/>
      <c r="UDY3000" s="125"/>
      <c r="UDZ3000" s="470"/>
      <c r="UEA3000" s="449"/>
      <c r="UEB3000" s="462"/>
      <c r="UEC3000" s="299"/>
      <c r="UED3000" s="81"/>
      <c r="UEE3000" s="160"/>
      <c r="UEF3000" s="568"/>
      <c r="UEG3000" s="125"/>
      <c r="UEH3000" s="470"/>
      <c r="UEI3000" s="449"/>
      <c r="UEJ3000" s="462"/>
      <c r="UEK3000" s="299"/>
      <c r="UEL3000" s="81"/>
      <c r="UEM3000" s="160"/>
      <c r="UEN3000" s="568"/>
      <c r="UEO3000" s="125"/>
      <c r="UEP3000" s="470"/>
      <c r="UEQ3000" s="449"/>
      <c r="UER3000" s="462"/>
      <c r="UES3000" s="299"/>
      <c r="UET3000" s="81"/>
      <c r="UEU3000" s="160"/>
      <c r="UEV3000" s="568"/>
      <c r="UEW3000" s="125"/>
      <c r="UEX3000" s="470"/>
      <c r="UEY3000" s="449"/>
      <c r="UEZ3000" s="462"/>
      <c r="UFA3000" s="299"/>
      <c r="UFB3000" s="81"/>
      <c r="UFC3000" s="160"/>
      <c r="UFD3000" s="568"/>
      <c r="UFE3000" s="125"/>
      <c r="UFF3000" s="470"/>
      <c r="UFG3000" s="449"/>
      <c r="UFH3000" s="462"/>
      <c r="UFI3000" s="299"/>
      <c r="UFJ3000" s="81"/>
      <c r="UFK3000" s="160"/>
      <c r="UFL3000" s="568"/>
      <c r="UFM3000" s="125"/>
      <c r="UFN3000" s="470"/>
      <c r="UFO3000" s="449"/>
      <c r="UFP3000" s="462"/>
      <c r="UFQ3000" s="299"/>
      <c r="UFR3000" s="81"/>
      <c r="UFS3000" s="160"/>
      <c r="UFT3000" s="568"/>
      <c r="UFU3000" s="125"/>
      <c r="UFV3000" s="470"/>
      <c r="UFW3000" s="449"/>
      <c r="UFX3000" s="462"/>
      <c r="UFY3000" s="299"/>
      <c r="UFZ3000" s="81"/>
      <c r="UGA3000" s="160"/>
      <c r="UGB3000" s="568"/>
      <c r="UGC3000" s="125"/>
      <c r="UGD3000" s="470"/>
      <c r="UGE3000" s="449"/>
      <c r="UGF3000" s="462"/>
      <c r="UGG3000" s="299"/>
      <c r="UGH3000" s="81"/>
      <c r="UGI3000" s="160"/>
      <c r="UGJ3000" s="568"/>
      <c r="UGK3000" s="125"/>
      <c r="UGL3000" s="470"/>
      <c r="UGM3000" s="449"/>
      <c r="UGN3000" s="462"/>
      <c r="UGO3000" s="299"/>
      <c r="UGP3000" s="81"/>
      <c r="UGQ3000" s="160"/>
      <c r="UGR3000" s="568"/>
      <c r="UGS3000" s="125"/>
      <c r="UGT3000" s="470"/>
      <c r="UGU3000" s="449"/>
      <c r="UGV3000" s="462"/>
      <c r="UGW3000" s="299"/>
      <c r="UGX3000" s="81"/>
      <c r="UGY3000" s="160"/>
      <c r="UGZ3000" s="568"/>
      <c r="UHA3000" s="125"/>
      <c r="UHB3000" s="470"/>
      <c r="UHC3000" s="449"/>
      <c r="UHD3000" s="462"/>
      <c r="UHE3000" s="299"/>
      <c r="UHF3000" s="81"/>
      <c r="UHG3000" s="160"/>
      <c r="UHH3000" s="568"/>
      <c r="UHI3000" s="125"/>
      <c r="UHJ3000" s="470"/>
      <c r="UHK3000" s="449"/>
      <c r="UHL3000" s="462"/>
      <c r="UHM3000" s="299"/>
      <c r="UHN3000" s="81"/>
      <c r="UHO3000" s="160"/>
      <c r="UHP3000" s="568"/>
      <c r="UHQ3000" s="125"/>
      <c r="UHR3000" s="470"/>
      <c r="UHS3000" s="449"/>
      <c r="UHT3000" s="462"/>
      <c r="UHU3000" s="299"/>
      <c r="UHV3000" s="81"/>
      <c r="UHW3000" s="160"/>
      <c r="UHX3000" s="568"/>
      <c r="UHY3000" s="125"/>
      <c r="UHZ3000" s="470"/>
      <c r="UIA3000" s="449"/>
      <c r="UIB3000" s="462"/>
      <c r="UIC3000" s="299"/>
      <c r="UID3000" s="81"/>
      <c r="UIE3000" s="160"/>
      <c r="UIF3000" s="568"/>
      <c r="UIG3000" s="125"/>
      <c r="UIH3000" s="470"/>
      <c r="UII3000" s="449"/>
      <c r="UIJ3000" s="462"/>
      <c r="UIK3000" s="299"/>
      <c r="UIL3000" s="81"/>
      <c r="UIM3000" s="160"/>
      <c r="UIN3000" s="568"/>
      <c r="UIO3000" s="125"/>
      <c r="UIP3000" s="470"/>
      <c r="UIQ3000" s="449"/>
      <c r="UIR3000" s="462"/>
      <c r="UIS3000" s="299"/>
      <c r="UIT3000" s="81"/>
      <c r="UIU3000" s="160"/>
      <c r="UIV3000" s="568"/>
      <c r="UIW3000" s="125"/>
      <c r="UIX3000" s="470"/>
      <c r="UIY3000" s="449"/>
      <c r="UIZ3000" s="462"/>
      <c r="UJA3000" s="299"/>
      <c r="UJB3000" s="81"/>
      <c r="UJC3000" s="160"/>
      <c r="UJD3000" s="568"/>
      <c r="UJE3000" s="125"/>
      <c r="UJF3000" s="470"/>
      <c r="UJG3000" s="449"/>
      <c r="UJH3000" s="462"/>
      <c r="UJI3000" s="299"/>
      <c r="UJJ3000" s="81"/>
      <c r="UJK3000" s="160"/>
      <c r="UJL3000" s="568"/>
      <c r="UJM3000" s="125"/>
      <c r="UJN3000" s="470"/>
      <c r="UJO3000" s="449"/>
      <c r="UJP3000" s="462"/>
      <c r="UJQ3000" s="299"/>
      <c r="UJR3000" s="81"/>
      <c r="UJS3000" s="160"/>
      <c r="UJT3000" s="568"/>
      <c r="UJU3000" s="125"/>
      <c r="UJV3000" s="470"/>
      <c r="UJW3000" s="449"/>
      <c r="UJX3000" s="462"/>
      <c r="UJY3000" s="299"/>
      <c r="UJZ3000" s="81"/>
      <c r="UKA3000" s="160"/>
      <c r="UKB3000" s="568"/>
      <c r="UKC3000" s="125"/>
      <c r="UKD3000" s="470"/>
      <c r="UKE3000" s="449"/>
      <c r="UKF3000" s="462"/>
      <c r="UKG3000" s="299"/>
      <c r="UKH3000" s="81"/>
      <c r="UKI3000" s="160"/>
      <c r="UKJ3000" s="568"/>
      <c r="UKK3000" s="125"/>
      <c r="UKL3000" s="470"/>
      <c r="UKM3000" s="449"/>
      <c r="UKN3000" s="462"/>
      <c r="UKO3000" s="299"/>
      <c r="UKP3000" s="81"/>
      <c r="UKQ3000" s="160"/>
      <c r="UKR3000" s="568"/>
      <c r="UKS3000" s="125"/>
      <c r="UKT3000" s="470"/>
      <c r="UKU3000" s="449"/>
      <c r="UKV3000" s="462"/>
      <c r="UKW3000" s="299"/>
      <c r="UKX3000" s="81"/>
      <c r="UKY3000" s="160"/>
      <c r="UKZ3000" s="568"/>
      <c r="ULA3000" s="125"/>
      <c r="ULB3000" s="470"/>
      <c r="ULC3000" s="449"/>
      <c r="ULD3000" s="462"/>
      <c r="ULE3000" s="299"/>
      <c r="ULF3000" s="81"/>
      <c r="ULG3000" s="160"/>
      <c r="ULH3000" s="568"/>
      <c r="ULI3000" s="125"/>
      <c r="ULJ3000" s="470"/>
      <c r="ULK3000" s="449"/>
      <c r="ULL3000" s="462"/>
      <c r="ULM3000" s="299"/>
      <c r="ULN3000" s="81"/>
      <c r="ULO3000" s="160"/>
      <c r="ULP3000" s="568"/>
      <c r="ULQ3000" s="125"/>
      <c r="ULR3000" s="470"/>
      <c r="ULS3000" s="449"/>
      <c r="ULT3000" s="462"/>
      <c r="ULU3000" s="299"/>
      <c r="ULV3000" s="81"/>
      <c r="ULW3000" s="160"/>
      <c r="ULX3000" s="568"/>
      <c r="ULY3000" s="125"/>
      <c r="ULZ3000" s="470"/>
      <c r="UMA3000" s="449"/>
      <c r="UMB3000" s="462"/>
      <c r="UMC3000" s="299"/>
      <c r="UMD3000" s="81"/>
      <c r="UME3000" s="160"/>
      <c r="UMF3000" s="568"/>
      <c r="UMG3000" s="125"/>
      <c r="UMH3000" s="470"/>
      <c r="UMI3000" s="449"/>
      <c r="UMJ3000" s="462"/>
      <c r="UMK3000" s="299"/>
      <c r="UML3000" s="81"/>
      <c r="UMM3000" s="160"/>
      <c r="UMN3000" s="568"/>
      <c r="UMO3000" s="125"/>
      <c r="UMP3000" s="470"/>
      <c r="UMQ3000" s="449"/>
      <c r="UMR3000" s="462"/>
      <c r="UMS3000" s="299"/>
      <c r="UMT3000" s="81"/>
      <c r="UMU3000" s="160"/>
      <c r="UMV3000" s="568"/>
      <c r="UMW3000" s="125"/>
      <c r="UMX3000" s="470"/>
      <c r="UMY3000" s="449"/>
      <c r="UMZ3000" s="462"/>
      <c r="UNA3000" s="299"/>
      <c r="UNB3000" s="81"/>
      <c r="UNC3000" s="160"/>
      <c r="UND3000" s="568"/>
      <c r="UNE3000" s="125"/>
      <c r="UNF3000" s="470"/>
      <c r="UNG3000" s="449"/>
      <c r="UNH3000" s="462"/>
      <c r="UNI3000" s="299"/>
      <c r="UNJ3000" s="81"/>
      <c r="UNK3000" s="160"/>
      <c r="UNL3000" s="568"/>
      <c r="UNM3000" s="125"/>
      <c r="UNN3000" s="470"/>
      <c r="UNO3000" s="449"/>
      <c r="UNP3000" s="462"/>
      <c r="UNQ3000" s="299"/>
      <c r="UNR3000" s="81"/>
      <c r="UNS3000" s="160"/>
      <c r="UNT3000" s="568"/>
      <c r="UNU3000" s="125"/>
      <c r="UNV3000" s="470"/>
      <c r="UNW3000" s="449"/>
      <c r="UNX3000" s="462"/>
      <c r="UNY3000" s="299"/>
      <c r="UNZ3000" s="81"/>
      <c r="UOA3000" s="160"/>
      <c r="UOB3000" s="568"/>
      <c r="UOC3000" s="125"/>
      <c r="UOD3000" s="470"/>
      <c r="UOE3000" s="449"/>
      <c r="UOF3000" s="462"/>
      <c r="UOG3000" s="299"/>
      <c r="UOH3000" s="81"/>
      <c r="UOI3000" s="160"/>
      <c r="UOJ3000" s="568"/>
      <c r="UOK3000" s="125"/>
      <c r="UOL3000" s="470"/>
      <c r="UOM3000" s="449"/>
      <c r="UON3000" s="462"/>
      <c r="UOO3000" s="299"/>
      <c r="UOP3000" s="81"/>
      <c r="UOQ3000" s="160"/>
      <c r="UOR3000" s="568"/>
      <c r="UOS3000" s="125"/>
      <c r="UOT3000" s="470"/>
      <c r="UOU3000" s="449"/>
      <c r="UOV3000" s="462"/>
      <c r="UOW3000" s="299"/>
      <c r="UOX3000" s="81"/>
      <c r="UOY3000" s="160"/>
      <c r="UOZ3000" s="568"/>
      <c r="UPA3000" s="125"/>
      <c r="UPB3000" s="470"/>
      <c r="UPC3000" s="449"/>
      <c r="UPD3000" s="462"/>
      <c r="UPE3000" s="299"/>
      <c r="UPF3000" s="81"/>
      <c r="UPG3000" s="160"/>
      <c r="UPH3000" s="568"/>
      <c r="UPI3000" s="125"/>
      <c r="UPJ3000" s="470"/>
      <c r="UPK3000" s="449"/>
      <c r="UPL3000" s="462"/>
      <c r="UPM3000" s="299"/>
      <c r="UPN3000" s="81"/>
      <c r="UPO3000" s="160"/>
      <c r="UPP3000" s="568"/>
      <c r="UPQ3000" s="125"/>
      <c r="UPR3000" s="470"/>
      <c r="UPS3000" s="449"/>
      <c r="UPT3000" s="462"/>
      <c r="UPU3000" s="299"/>
      <c r="UPV3000" s="81"/>
      <c r="UPW3000" s="160"/>
      <c r="UPX3000" s="568"/>
      <c r="UPY3000" s="125"/>
      <c r="UPZ3000" s="470"/>
      <c r="UQA3000" s="449"/>
      <c r="UQB3000" s="462"/>
      <c r="UQC3000" s="299"/>
      <c r="UQD3000" s="81"/>
      <c r="UQE3000" s="160"/>
      <c r="UQF3000" s="568"/>
      <c r="UQG3000" s="125"/>
      <c r="UQH3000" s="470"/>
      <c r="UQI3000" s="449"/>
      <c r="UQJ3000" s="462"/>
      <c r="UQK3000" s="299"/>
      <c r="UQL3000" s="81"/>
      <c r="UQM3000" s="160"/>
      <c r="UQN3000" s="568"/>
      <c r="UQO3000" s="125"/>
      <c r="UQP3000" s="470"/>
      <c r="UQQ3000" s="449"/>
      <c r="UQR3000" s="462"/>
      <c r="UQS3000" s="299"/>
      <c r="UQT3000" s="81"/>
      <c r="UQU3000" s="160"/>
      <c r="UQV3000" s="568"/>
      <c r="UQW3000" s="125"/>
      <c r="UQX3000" s="470"/>
      <c r="UQY3000" s="449"/>
      <c r="UQZ3000" s="462"/>
      <c r="URA3000" s="299"/>
      <c r="URB3000" s="81"/>
      <c r="URC3000" s="160"/>
      <c r="URD3000" s="568"/>
      <c r="URE3000" s="125"/>
      <c r="URF3000" s="470"/>
      <c r="URG3000" s="449"/>
      <c r="URH3000" s="462"/>
      <c r="URI3000" s="299"/>
      <c r="URJ3000" s="81"/>
      <c r="URK3000" s="160"/>
      <c r="URL3000" s="568"/>
      <c r="URM3000" s="125"/>
      <c r="URN3000" s="470"/>
      <c r="URO3000" s="449"/>
      <c r="URP3000" s="462"/>
      <c r="URQ3000" s="299"/>
      <c r="URR3000" s="81"/>
      <c r="URS3000" s="160"/>
      <c r="URT3000" s="568"/>
      <c r="URU3000" s="125"/>
      <c r="URV3000" s="470"/>
      <c r="URW3000" s="449"/>
      <c r="URX3000" s="462"/>
      <c r="URY3000" s="299"/>
      <c r="URZ3000" s="81"/>
      <c r="USA3000" s="160"/>
      <c r="USB3000" s="568"/>
      <c r="USC3000" s="125"/>
      <c r="USD3000" s="470"/>
      <c r="USE3000" s="449"/>
      <c r="USF3000" s="462"/>
      <c r="USG3000" s="299"/>
      <c r="USH3000" s="81"/>
      <c r="USI3000" s="160"/>
      <c r="USJ3000" s="568"/>
      <c r="USK3000" s="125"/>
      <c r="USL3000" s="470"/>
      <c r="USM3000" s="449"/>
      <c r="USN3000" s="462"/>
      <c r="USO3000" s="299"/>
      <c r="USP3000" s="81"/>
      <c r="USQ3000" s="160"/>
      <c r="USR3000" s="568"/>
      <c r="USS3000" s="125"/>
      <c r="UST3000" s="470"/>
      <c r="USU3000" s="449"/>
      <c r="USV3000" s="462"/>
      <c r="USW3000" s="299"/>
      <c r="USX3000" s="81"/>
      <c r="USY3000" s="160"/>
      <c r="USZ3000" s="568"/>
      <c r="UTA3000" s="125"/>
      <c r="UTB3000" s="470"/>
      <c r="UTC3000" s="449"/>
      <c r="UTD3000" s="462"/>
      <c r="UTE3000" s="299"/>
      <c r="UTF3000" s="81"/>
      <c r="UTG3000" s="160"/>
      <c r="UTH3000" s="568"/>
      <c r="UTI3000" s="125"/>
      <c r="UTJ3000" s="470"/>
      <c r="UTK3000" s="449"/>
      <c r="UTL3000" s="462"/>
      <c r="UTM3000" s="299"/>
      <c r="UTN3000" s="81"/>
      <c r="UTO3000" s="160"/>
      <c r="UTP3000" s="568"/>
      <c r="UTQ3000" s="125"/>
      <c r="UTR3000" s="470"/>
      <c r="UTS3000" s="449"/>
      <c r="UTT3000" s="462"/>
      <c r="UTU3000" s="299"/>
      <c r="UTV3000" s="81"/>
      <c r="UTW3000" s="160"/>
      <c r="UTX3000" s="568"/>
      <c r="UTY3000" s="125"/>
      <c r="UTZ3000" s="470"/>
      <c r="UUA3000" s="449"/>
      <c r="UUB3000" s="462"/>
      <c r="UUC3000" s="299"/>
      <c r="UUD3000" s="81"/>
      <c r="UUE3000" s="160"/>
      <c r="UUF3000" s="568"/>
      <c r="UUG3000" s="125"/>
      <c r="UUH3000" s="470"/>
      <c r="UUI3000" s="449"/>
      <c r="UUJ3000" s="462"/>
      <c r="UUK3000" s="299"/>
      <c r="UUL3000" s="81"/>
      <c r="UUM3000" s="160"/>
      <c r="UUN3000" s="568"/>
      <c r="UUO3000" s="125"/>
      <c r="UUP3000" s="470"/>
      <c r="UUQ3000" s="449"/>
      <c r="UUR3000" s="462"/>
      <c r="UUS3000" s="299"/>
      <c r="UUT3000" s="81"/>
      <c r="UUU3000" s="160"/>
      <c r="UUV3000" s="568"/>
      <c r="UUW3000" s="125"/>
      <c r="UUX3000" s="470"/>
      <c r="UUY3000" s="449"/>
      <c r="UUZ3000" s="462"/>
      <c r="UVA3000" s="299"/>
      <c r="UVB3000" s="81"/>
      <c r="UVC3000" s="160"/>
      <c r="UVD3000" s="568"/>
      <c r="UVE3000" s="125"/>
      <c r="UVF3000" s="470"/>
      <c r="UVG3000" s="449"/>
      <c r="UVH3000" s="462"/>
      <c r="UVI3000" s="299"/>
      <c r="UVJ3000" s="81"/>
      <c r="UVK3000" s="160"/>
      <c r="UVL3000" s="568"/>
      <c r="UVM3000" s="125"/>
      <c r="UVN3000" s="470"/>
      <c r="UVO3000" s="449"/>
      <c r="UVP3000" s="462"/>
      <c r="UVQ3000" s="299"/>
      <c r="UVR3000" s="81"/>
      <c r="UVS3000" s="160"/>
      <c r="UVT3000" s="568"/>
      <c r="UVU3000" s="125"/>
      <c r="UVV3000" s="470"/>
      <c r="UVW3000" s="449"/>
      <c r="UVX3000" s="462"/>
      <c r="UVY3000" s="299"/>
      <c r="UVZ3000" s="81"/>
      <c r="UWA3000" s="160"/>
      <c r="UWB3000" s="568"/>
      <c r="UWC3000" s="125"/>
      <c r="UWD3000" s="470"/>
      <c r="UWE3000" s="449"/>
      <c r="UWF3000" s="462"/>
      <c r="UWG3000" s="299"/>
      <c r="UWH3000" s="81"/>
      <c r="UWI3000" s="160"/>
      <c r="UWJ3000" s="568"/>
      <c r="UWK3000" s="125"/>
      <c r="UWL3000" s="470"/>
      <c r="UWM3000" s="449"/>
      <c r="UWN3000" s="462"/>
      <c r="UWO3000" s="299"/>
      <c r="UWP3000" s="81"/>
      <c r="UWQ3000" s="160"/>
      <c r="UWR3000" s="568"/>
      <c r="UWS3000" s="125"/>
      <c r="UWT3000" s="470"/>
      <c r="UWU3000" s="449"/>
      <c r="UWV3000" s="462"/>
      <c r="UWW3000" s="299"/>
      <c r="UWX3000" s="81"/>
      <c r="UWY3000" s="160"/>
      <c r="UWZ3000" s="568"/>
      <c r="UXA3000" s="125"/>
      <c r="UXB3000" s="470"/>
      <c r="UXC3000" s="449"/>
      <c r="UXD3000" s="462"/>
      <c r="UXE3000" s="299"/>
      <c r="UXF3000" s="81"/>
      <c r="UXG3000" s="160"/>
      <c r="UXH3000" s="568"/>
      <c r="UXI3000" s="125"/>
      <c r="UXJ3000" s="470"/>
      <c r="UXK3000" s="449"/>
      <c r="UXL3000" s="462"/>
      <c r="UXM3000" s="299"/>
      <c r="UXN3000" s="81"/>
      <c r="UXO3000" s="160"/>
      <c r="UXP3000" s="568"/>
      <c r="UXQ3000" s="125"/>
      <c r="UXR3000" s="470"/>
      <c r="UXS3000" s="449"/>
      <c r="UXT3000" s="462"/>
      <c r="UXU3000" s="299"/>
      <c r="UXV3000" s="81"/>
      <c r="UXW3000" s="160"/>
      <c r="UXX3000" s="568"/>
      <c r="UXY3000" s="125"/>
      <c r="UXZ3000" s="470"/>
      <c r="UYA3000" s="449"/>
      <c r="UYB3000" s="462"/>
      <c r="UYC3000" s="299"/>
      <c r="UYD3000" s="81"/>
      <c r="UYE3000" s="160"/>
      <c r="UYF3000" s="568"/>
      <c r="UYG3000" s="125"/>
      <c r="UYH3000" s="470"/>
      <c r="UYI3000" s="449"/>
      <c r="UYJ3000" s="462"/>
      <c r="UYK3000" s="299"/>
      <c r="UYL3000" s="81"/>
      <c r="UYM3000" s="160"/>
      <c r="UYN3000" s="568"/>
      <c r="UYO3000" s="125"/>
      <c r="UYP3000" s="470"/>
      <c r="UYQ3000" s="449"/>
      <c r="UYR3000" s="462"/>
      <c r="UYS3000" s="299"/>
      <c r="UYT3000" s="81"/>
      <c r="UYU3000" s="160"/>
      <c r="UYV3000" s="568"/>
      <c r="UYW3000" s="125"/>
      <c r="UYX3000" s="470"/>
      <c r="UYY3000" s="449"/>
      <c r="UYZ3000" s="462"/>
      <c r="UZA3000" s="299"/>
      <c r="UZB3000" s="81"/>
      <c r="UZC3000" s="160"/>
      <c r="UZD3000" s="568"/>
      <c r="UZE3000" s="125"/>
      <c r="UZF3000" s="470"/>
      <c r="UZG3000" s="449"/>
      <c r="UZH3000" s="462"/>
      <c r="UZI3000" s="299"/>
      <c r="UZJ3000" s="81"/>
      <c r="UZK3000" s="160"/>
      <c r="UZL3000" s="568"/>
      <c r="UZM3000" s="125"/>
      <c r="UZN3000" s="470"/>
      <c r="UZO3000" s="449"/>
      <c r="UZP3000" s="462"/>
      <c r="UZQ3000" s="299"/>
      <c r="UZR3000" s="81"/>
      <c r="UZS3000" s="160"/>
      <c r="UZT3000" s="568"/>
      <c r="UZU3000" s="125"/>
      <c r="UZV3000" s="470"/>
      <c r="UZW3000" s="449"/>
      <c r="UZX3000" s="462"/>
      <c r="UZY3000" s="299"/>
      <c r="UZZ3000" s="81"/>
      <c r="VAA3000" s="160"/>
      <c r="VAB3000" s="568"/>
      <c r="VAC3000" s="125"/>
      <c r="VAD3000" s="470"/>
      <c r="VAE3000" s="449"/>
      <c r="VAF3000" s="462"/>
      <c r="VAG3000" s="299"/>
      <c r="VAH3000" s="81"/>
      <c r="VAI3000" s="160"/>
      <c r="VAJ3000" s="568"/>
      <c r="VAK3000" s="125"/>
      <c r="VAL3000" s="470"/>
      <c r="VAM3000" s="449"/>
      <c r="VAN3000" s="462"/>
      <c r="VAO3000" s="299"/>
      <c r="VAP3000" s="81"/>
      <c r="VAQ3000" s="160"/>
      <c r="VAR3000" s="568"/>
      <c r="VAS3000" s="125"/>
      <c r="VAT3000" s="470"/>
      <c r="VAU3000" s="449"/>
      <c r="VAV3000" s="462"/>
      <c r="VAW3000" s="299"/>
      <c r="VAX3000" s="81"/>
      <c r="VAY3000" s="160"/>
      <c r="VAZ3000" s="568"/>
      <c r="VBA3000" s="125"/>
      <c r="VBB3000" s="470"/>
      <c r="VBC3000" s="449"/>
      <c r="VBD3000" s="462"/>
      <c r="VBE3000" s="299"/>
      <c r="VBF3000" s="81"/>
      <c r="VBG3000" s="160"/>
      <c r="VBH3000" s="568"/>
      <c r="VBI3000" s="125"/>
      <c r="VBJ3000" s="470"/>
      <c r="VBK3000" s="449"/>
      <c r="VBL3000" s="462"/>
      <c r="VBM3000" s="299"/>
      <c r="VBN3000" s="81"/>
      <c r="VBO3000" s="160"/>
      <c r="VBP3000" s="568"/>
      <c r="VBQ3000" s="125"/>
      <c r="VBR3000" s="470"/>
      <c r="VBS3000" s="449"/>
      <c r="VBT3000" s="462"/>
      <c r="VBU3000" s="299"/>
      <c r="VBV3000" s="81"/>
      <c r="VBW3000" s="160"/>
      <c r="VBX3000" s="568"/>
      <c r="VBY3000" s="125"/>
      <c r="VBZ3000" s="470"/>
      <c r="VCA3000" s="449"/>
      <c r="VCB3000" s="462"/>
      <c r="VCC3000" s="299"/>
      <c r="VCD3000" s="81"/>
      <c r="VCE3000" s="160"/>
      <c r="VCF3000" s="568"/>
      <c r="VCG3000" s="125"/>
      <c r="VCH3000" s="470"/>
      <c r="VCI3000" s="449"/>
      <c r="VCJ3000" s="462"/>
      <c r="VCK3000" s="299"/>
      <c r="VCL3000" s="81"/>
      <c r="VCM3000" s="160"/>
      <c r="VCN3000" s="568"/>
      <c r="VCO3000" s="125"/>
      <c r="VCP3000" s="470"/>
      <c r="VCQ3000" s="449"/>
      <c r="VCR3000" s="462"/>
      <c r="VCS3000" s="299"/>
      <c r="VCT3000" s="81"/>
      <c r="VCU3000" s="160"/>
      <c r="VCV3000" s="568"/>
      <c r="VCW3000" s="125"/>
      <c r="VCX3000" s="470"/>
      <c r="VCY3000" s="449"/>
      <c r="VCZ3000" s="462"/>
      <c r="VDA3000" s="299"/>
      <c r="VDB3000" s="81"/>
      <c r="VDC3000" s="160"/>
      <c r="VDD3000" s="568"/>
      <c r="VDE3000" s="125"/>
      <c r="VDF3000" s="470"/>
      <c r="VDG3000" s="449"/>
      <c r="VDH3000" s="462"/>
      <c r="VDI3000" s="299"/>
      <c r="VDJ3000" s="81"/>
      <c r="VDK3000" s="160"/>
      <c r="VDL3000" s="568"/>
      <c r="VDM3000" s="125"/>
      <c r="VDN3000" s="470"/>
      <c r="VDO3000" s="449"/>
      <c r="VDP3000" s="462"/>
      <c r="VDQ3000" s="299"/>
      <c r="VDR3000" s="81"/>
      <c r="VDS3000" s="160"/>
      <c r="VDT3000" s="568"/>
      <c r="VDU3000" s="125"/>
      <c r="VDV3000" s="470"/>
      <c r="VDW3000" s="449"/>
      <c r="VDX3000" s="462"/>
      <c r="VDY3000" s="299"/>
      <c r="VDZ3000" s="81"/>
      <c r="VEA3000" s="160"/>
      <c r="VEB3000" s="568"/>
      <c r="VEC3000" s="125"/>
      <c r="VED3000" s="470"/>
      <c r="VEE3000" s="449"/>
      <c r="VEF3000" s="462"/>
      <c r="VEG3000" s="299"/>
      <c r="VEH3000" s="81"/>
      <c r="VEI3000" s="160"/>
      <c r="VEJ3000" s="568"/>
      <c r="VEK3000" s="125"/>
      <c r="VEL3000" s="470"/>
      <c r="VEM3000" s="449"/>
      <c r="VEN3000" s="462"/>
      <c r="VEO3000" s="299"/>
      <c r="VEP3000" s="81"/>
      <c r="VEQ3000" s="160"/>
      <c r="VER3000" s="568"/>
      <c r="VES3000" s="125"/>
      <c r="VET3000" s="470"/>
      <c r="VEU3000" s="449"/>
      <c r="VEV3000" s="462"/>
      <c r="VEW3000" s="299"/>
      <c r="VEX3000" s="81"/>
      <c r="VEY3000" s="160"/>
      <c r="VEZ3000" s="568"/>
      <c r="VFA3000" s="125"/>
      <c r="VFB3000" s="470"/>
      <c r="VFC3000" s="449"/>
      <c r="VFD3000" s="462"/>
      <c r="VFE3000" s="299"/>
      <c r="VFF3000" s="81"/>
      <c r="VFG3000" s="160"/>
      <c r="VFH3000" s="568"/>
      <c r="VFI3000" s="125"/>
      <c r="VFJ3000" s="470"/>
      <c r="VFK3000" s="449"/>
      <c r="VFL3000" s="462"/>
      <c r="VFM3000" s="299"/>
      <c r="VFN3000" s="81"/>
      <c r="VFO3000" s="160"/>
      <c r="VFP3000" s="568"/>
      <c r="VFQ3000" s="125"/>
      <c r="VFR3000" s="470"/>
      <c r="VFS3000" s="449"/>
      <c r="VFT3000" s="462"/>
      <c r="VFU3000" s="299"/>
      <c r="VFV3000" s="81"/>
      <c r="VFW3000" s="160"/>
      <c r="VFX3000" s="568"/>
      <c r="VFY3000" s="125"/>
      <c r="VFZ3000" s="470"/>
      <c r="VGA3000" s="449"/>
      <c r="VGB3000" s="462"/>
      <c r="VGC3000" s="299"/>
      <c r="VGD3000" s="81"/>
      <c r="VGE3000" s="160"/>
      <c r="VGF3000" s="568"/>
      <c r="VGG3000" s="125"/>
      <c r="VGH3000" s="470"/>
      <c r="VGI3000" s="449"/>
      <c r="VGJ3000" s="462"/>
      <c r="VGK3000" s="299"/>
      <c r="VGL3000" s="81"/>
      <c r="VGM3000" s="160"/>
      <c r="VGN3000" s="568"/>
      <c r="VGO3000" s="125"/>
      <c r="VGP3000" s="470"/>
      <c r="VGQ3000" s="449"/>
      <c r="VGR3000" s="462"/>
      <c r="VGS3000" s="299"/>
      <c r="VGT3000" s="81"/>
      <c r="VGU3000" s="160"/>
      <c r="VGV3000" s="568"/>
      <c r="VGW3000" s="125"/>
      <c r="VGX3000" s="470"/>
      <c r="VGY3000" s="449"/>
      <c r="VGZ3000" s="462"/>
      <c r="VHA3000" s="299"/>
      <c r="VHB3000" s="81"/>
      <c r="VHC3000" s="160"/>
      <c r="VHD3000" s="568"/>
      <c r="VHE3000" s="125"/>
      <c r="VHF3000" s="470"/>
      <c r="VHG3000" s="449"/>
      <c r="VHH3000" s="462"/>
      <c r="VHI3000" s="299"/>
      <c r="VHJ3000" s="81"/>
      <c r="VHK3000" s="160"/>
      <c r="VHL3000" s="568"/>
      <c r="VHM3000" s="125"/>
      <c r="VHN3000" s="470"/>
      <c r="VHO3000" s="449"/>
      <c r="VHP3000" s="462"/>
      <c r="VHQ3000" s="299"/>
      <c r="VHR3000" s="81"/>
      <c r="VHS3000" s="160"/>
      <c r="VHT3000" s="568"/>
      <c r="VHU3000" s="125"/>
      <c r="VHV3000" s="470"/>
      <c r="VHW3000" s="449"/>
      <c r="VHX3000" s="462"/>
      <c r="VHY3000" s="299"/>
      <c r="VHZ3000" s="81"/>
      <c r="VIA3000" s="160"/>
      <c r="VIB3000" s="568"/>
      <c r="VIC3000" s="125"/>
      <c r="VID3000" s="470"/>
      <c r="VIE3000" s="449"/>
      <c r="VIF3000" s="462"/>
      <c r="VIG3000" s="299"/>
      <c r="VIH3000" s="81"/>
      <c r="VII3000" s="160"/>
      <c r="VIJ3000" s="568"/>
      <c r="VIK3000" s="125"/>
      <c r="VIL3000" s="470"/>
      <c r="VIM3000" s="449"/>
      <c r="VIN3000" s="462"/>
      <c r="VIO3000" s="299"/>
      <c r="VIP3000" s="81"/>
      <c r="VIQ3000" s="160"/>
      <c r="VIR3000" s="568"/>
      <c r="VIS3000" s="125"/>
      <c r="VIT3000" s="470"/>
      <c r="VIU3000" s="449"/>
      <c r="VIV3000" s="462"/>
      <c r="VIW3000" s="299"/>
      <c r="VIX3000" s="81"/>
      <c r="VIY3000" s="160"/>
      <c r="VIZ3000" s="568"/>
      <c r="VJA3000" s="125"/>
      <c r="VJB3000" s="470"/>
      <c r="VJC3000" s="449"/>
      <c r="VJD3000" s="462"/>
      <c r="VJE3000" s="299"/>
      <c r="VJF3000" s="81"/>
      <c r="VJG3000" s="160"/>
      <c r="VJH3000" s="568"/>
      <c r="VJI3000" s="125"/>
      <c r="VJJ3000" s="470"/>
      <c r="VJK3000" s="449"/>
      <c r="VJL3000" s="462"/>
      <c r="VJM3000" s="299"/>
      <c r="VJN3000" s="81"/>
      <c r="VJO3000" s="160"/>
      <c r="VJP3000" s="568"/>
      <c r="VJQ3000" s="125"/>
      <c r="VJR3000" s="470"/>
      <c r="VJS3000" s="449"/>
      <c r="VJT3000" s="462"/>
      <c r="VJU3000" s="299"/>
      <c r="VJV3000" s="81"/>
      <c r="VJW3000" s="160"/>
      <c r="VJX3000" s="568"/>
      <c r="VJY3000" s="125"/>
      <c r="VJZ3000" s="470"/>
      <c r="VKA3000" s="449"/>
      <c r="VKB3000" s="462"/>
      <c r="VKC3000" s="299"/>
      <c r="VKD3000" s="81"/>
      <c r="VKE3000" s="160"/>
      <c r="VKF3000" s="568"/>
      <c r="VKG3000" s="125"/>
      <c r="VKH3000" s="470"/>
      <c r="VKI3000" s="449"/>
      <c r="VKJ3000" s="462"/>
      <c r="VKK3000" s="299"/>
      <c r="VKL3000" s="81"/>
      <c r="VKM3000" s="160"/>
      <c r="VKN3000" s="568"/>
      <c r="VKO3000" s="125"/>
      <c r="VKP3000" s="470"/>
      <c r="VKQ3000" s="449"/>
      <c r="VKR3000" s="462"/>
      <c r="VKS3000" s="299"/>
      <c r="VKT3000" s="81"/>
      <c r="VKU3000" s="160"/>
      <c r="VKV3000" s="568"/>
      <c r="VKW3000" s="125"/>
      <c r="VKX3000" s="470"/>
      <c r="VKY3000" s="449"/>
      <c r="VKZ3000" s="462"/>
      <c r="VLA3000" s="299"/>
      <c r="VLB3000" s="81"/>
      <c r="VLC3000" s="160"/>
      <c r="VLD3000" s="568"/>
      <c r="VLE3000" s="125"/>
      <c r="VLF3000" s="470"/>
      <c r="VLG3000" s="449"/>
      <c r="VLH3000" s="462"/>
      <c r="VLI3000" s="299"/>
      <c r="VLJ3000" s="81"/>
      <c r="VLK3000" s="160"/>
      <c r="VLL3000" s="568"/>
      <c r="VLM3000" s="125"/>
      <c r="VLN3000" s="470"/>
      <c r="VLO3000" s="449"/>
      <c r="VLP3000" s="462"/>
      <c r="VLQ3000" s="299"/>
      <c r="VLR3000" s="81"/>
      <c r="VLS3000" s="160"/>
      <c r="VLT3000" s="568"/>
      <c r="VLU3000" s="125"/>
      <c r="VLV3000" s="470"/>
      <c r="VLW3000" s="449"/>
      <c r="VLX3000" s="462"/>
      <c r="VLY3000" s="299"/>
      <c r="VLZ3000" s="81"/>
      <c r="VMA3000" s="160"/>
      <c r="VMB3000" s="568"/>
      <c r="VMC3000" s="125"/>
      <c r="VMD3000" s="470"/>
      <c r="VME3000" s="449"/>
      <c r="VMF3000" s="462"/>
      <c r="VMG3000" s="299"/>
      <c r="VMH3000" s="81"/>
      <c r="VMI3000" s="160"/>
      <c r="VMJ3000" s="568"/>
      <c r="VMK3000" s="125"/>
      <c r="VML3000" s="470"/>
      <c r="VMM3000" s="449"/>
      <c r="VMN3000" s="462"/>
      <c r="VMO3000" s="299"/>
      <c r="VMP3000" s="81"/>
      <c r="VMQ3000" s="160"/>
      <c r="VMR3000" s="568"/>
      <c r="VMS3000" s="125"/>
      <c r="VMT3000" s="470"/>
      <c r="VMU3000" s="449"/>
      <c r="VMV3000" s="462"/>
      <c r="VMW3000" s="299"/>
      <c r="VMX3000" s="81"/>
      <c r="VMY3000" s="160"/>
      <c r="VMZ3000" s="568"/>
      <c r="VNA3000" s="125"/>
      <c r="VNB3000" s="470"/>
      <c r="VNC3000" s="449"/>
      <c r="VND3000" s="462"/>
      <c r="VNE3000" s="299"/>
      <c r="VNF3000" s="81"/>
      <c r="VNG3000" s="160"/>
      <c r="VNH3000" s="568"/>
      <c r="VNI3000" s="125"/>
      <c r="VNJ3000" s="470"/>
      <c r="VNK3000" s="449"/>
      <c r="VNL3000" s="462"/>
      <c r="VNM3000" s="299"/>
      <c r="VNN3000" s="81"/>
      <c r="VNO3000" s="160"/>
      <c r="VNP3000" s="568"/>
      <c r="VNQ3000" s="125"/>
      <c r="VNR3000" s="470"/>
      <c r="VNS3000" s="449"/>
      <c r="VNT3000" s="462"/>
      <c r="VNU3000" s="299"/>
      <c r="VNV3000" s="81"/>
      <c r="VNW3000" s="160"/>
      <c r="VNX3000" s="568"/>
      <c r="VNY3000" s="125"/>
      <c r="VNZ3000" s="470"/>
      <c r="VOA3000" s="449"/>
      <c r="VOB3000" s="462"/>
      <c r="VOC3000" s="299"/>
      <c r="VOD3000" s="81"/>
      <c r="VOE3000" s="160"/>
      <c r="VOF3000" s="568"/>
      <c r="VOG3000" s="125"/>
      <c r="VOH3000" s="470"/>
      <c r="VOI3000" s="449"/>
      <c r="VOJ3000" s="462"/>
      <c r="VOK3000" s="299"/>
      <c r="VOL3000" s="81"/>
      <c r="VOM3000" s="160"/>
      <c r="VON3000" s="568"/>
      <c r="VOO3000" s="125"/>
      <c r="VOP3000" s="470"/>
      <c r="VOQ3000" s="449"/>
      <c r="VOR3000" s="462"/>
      <c r="VOS3000" s="299"/>
      <c r="VOT3000" s="81"/>
      <c r="VOU3000" s="160"/>
      <c r="VOV3000" s="568"/>
      <c r="VOW3000" s="125"/>
      <c r="VOX3000" s="470"/>
      <c r="VOY3000" s="449"/>
      <c r="VOZ3000" s="462"/>
      <c r="VPA3000" s="299"/>
      <c r="VPB3000" s="81"/>
      <c r="VPC3000" s="160"/>
      <c r="VPD3000" s="568"/>
      <c r="VPE3000" s="125"/>
      <c r="VPF3000" s="470"/>
      <c r="VPG3000" s="449"/>
      <c r="VPH3000" s="462"/>
      <c r="VPI3000" s="299"/>
      <c r="VPJ3000" s="81"/>
      <c r="VPK3000" s="160"/>
      <c r="VPL3000" s="568"/>
      <c r="VPM3000" s="125"/>
      <c r="VPN3000" s="470"/>
      <c r="VPO3000" s="449"/>
      <c r="VPP3000" s="462"/>
      <c r="VPQ3000" s="299"/>
      <c r="VPR3000" s="81"/>
      <c r="VPS3000" s="160"/>
      <c r="VPT3000" s="568"/>
      <c r="VPU3000" s="125"/>
      <c r="VPV3000" s="470"/>
      <c r="VPW3000" s="449"/>
      <c r="VPX3000" s="462"/>
      <c r="VPY3000" s="299"/>
      <c r="VPZ3000" s="81"/>
      <c r="VQA3000" s="160"/>
      <c r="VQB3000" s="568"/>
      <c r="VQC3000" s="125"/>
      <c r="VQD3000" s="470"/>
      <c r="VQE3000" s="449"/>
      <c r="VQF3000" s="462"/>
      <c r="VQG3000" s="299"/>
      <c r="VQH3000" s="81"/>
      <c r="VQI3000" s="160"/>
      <c r="VQJ3000" s="568"/>
      <c r="VQK3000" s="125"/>
      <c r="VQL3000" s="470"/>
      <c r="VQM3000" s="449"/>
      <c r="VQN3000" s="462"/>
      <c r="VQO3000" s="299"/>
      <c r="VQP3000" s="81"/>
      <c r="VQQ3000" s="160"/>
      <c r="VQR3000" s="568"/>
      <c r="VQS3000" s="125"/>
      <c r="VQT3000" s="470"/>
      <c r="VQU3000" s="449"/>
      <c r="VQV3000" s="462"/>
      <c r="VQW3000" s="299"/>
      <c r="VQX3000" s="81"/>
      <c r="VQY3000" s="160"/>
      <c r="VQZ3000" s="568"/>
      <c r="VRA3000" s="125"/>
      <c r="VRB3000" s="470"/>
      <c r="VRC3000" s="449"/>
      <c r="VRD3000" s="462"/>
      <c r="VRE3000" s="299"/>
      <c r="VRF3000" s="81"/>
      <c r="VRG3000" s="160"/>
      <c r="VRH3000" s="568"/>
      <c r="VRI3000" s="125"/>
      <c r="VRJ3000" s="470"/>
      <c r="VRK3000" s="449"/>
      <c r="VRL3000" s="462"/>
      <c r="VRM3000" s="299"/>
      <c r="VRN3000" s="81"/>
      <c r="VRO3000" s="160"/>
      <c r="VRP3000" s="568"/>
      <c r="VRQ3000" s="125"/>
      <c r="VRR3000" s="470"/>
      <c r="VRS3000" s="449"/>
      <c r="VRT3000" s="462"/>
      <c r="VRU3000" s="299"/>
      <c r="VRV3000" s="81"/>
      <c r="VRW3000" s="160"/>
      <c r="VRX3000" s="568"/>
      <c r="VRY3000" s="125"/>
      <c r="VRZ3000" s="470"/>
      <c r="VSA3000" s="449"/>
      <c r="VSB3000" s="462"/>
      <c r="VSC3000" s="299"/>
      <c r="VSD3000" s="81"/>
      <c r="VSE3000" s="160"/>
      <c r="VSF3000" s="568"/>
      <c r="VSG3000" s="125"/>
      <c r="VSH3000" s="470"/>
      <c r="VSI3000" s="449"/>
      <c r="VSJ3000" s="462"/>
      <c r="VSK3000" s="299"/>
      <c r="VSL3000" s="81"/>
      <c r="VSM3000" s="160"/>
      <c r="VSN3000" s="568"/>
      <c r="VSO3000" s="125"/>
      <c r="VSP3000" s="470"/>
      <c r="VSQ3000" s="449"/>
      <c r="VSR3000" s="462"/>
      <c r="VSS3000" s="299"/>
      <c r="VST3000" s="81"/>
      <c r="VSU3000" s="160"/>
      <c r="VSV3000" s="568"/>
      <c r="VSW3000" s="125"/>
      <c r="VSX3000" s="470"/>
      <c r="VSY3000" s="449"/>
      <c r="VSZ3000" s="462"/>
      <c r="VTA3000" s="299"/>
      <c r="VTB3000" s="81"/>
      <c r="VTC3000" s="160"/>
      <c r="VTD3000" s="568"/>
      <c r="VTE3000" s="125"/>
      <c r="VTF3000" s="470"/>
      <c r="VTG3000" s="449"/>
      <c r="VTH3000" s="462"/>
      <c r="VTI3000" s="299"/>
      <c r="VTJ3000" s="81"/>
      <c r="VTK3000" s="160"/>
      <c r="VTL3000" s="568"/>
      <c r="VTM3000" s="125"/>
      <c r="VTN3000" s="470"/>
      <c r="VTO3000" s="449"/>
      <c r="VTP3000" s="462"/>
      <c r="VTQ3000" s="299"/>
      <c r="VTR3000" s="81"/>
      <c r="VTS3000" s="160"/>
      <c r="VTT3000" s="568"/>
      <c r="VTU3000" s="125"/>
      <c r="VTV3000" s="470"/>
      <c r="VTW3000" s="449"/>
      <c r="VTX3000" s="462"/>
      <c r="VTY3000" s="299"/>
      <c r="VTZ3000" s="81"/>
      <c r="VUA3000" s="160"/>
      <c r="VUB3000" s="568"/>
      <c r="VUC3000" s="125"/>
      <c r="VUD3000" s="470"/>
      <c r="VUE3000" s="449"/>
      <c r="VUF3000" s="462"/>
      <c r="VUG3000" s="299"/>
      <c r="VUH3000" s="81"/>
      <c r="VUI3000" s="160"/>
      <c r="VUJ3000" s="568"/>
      <c r="VUK3000" s="125"/>
      <c r="VUL3000" s="470"/>
      <c r="VUM3000" s="449"/>
      <c r="VUN3000" s="462"/>
      <c r="VUO3000" s="299"/>
      <c r="VUP3000" s="81"/>
      <c r="VUQ3000" s="160"/>
      <c r="VUR3000" s="568"/>
      <c r="VUS3000" s="125"/>
      <c r="VUT3000" s="470"/>
      <c r="VUU3000" s="449"/>
      <c r="VUV3000" s="462"/>
      <c r="VUW3000" s="299"/>
      <c r="VUX3000" s="81"/>
      <c r="VUY3000" s="160"/>
      <c r="VUZ3000" s="568"/>
      <c r="VVA3000" s="125"/>
      <c r="VVB3000" s="470"/>
      <c r="VVC3000" s="449"/>
      <c r="VVD3000" s="462"/>
      <c r="VVE3000" s="299"/>
      <c r="VVF3000" s="81"/>
      <c r="VVG3000" s="160"/>
      <c r="VVH3000" s="568"/>
      <c r="VVI3000" s="125"/>
      <c r="VVJ3000" s="470"/>
      <c r="VVK3000" s="449"/>
      <c r="VVL3000" s="462"/>
      <c r="VVM3000" s="299"/>
      <c r="VVN3000" s="81"/>
      <c r="VVO3000" s="160"/>
      <c r="VVP3000" s="568"/>
      <c r="VVQ3000" s="125"/>
      <c r="VVR3000" s="470"/>
      <c r="VVS3000" s="449"/>
      <c r="VVT3000" s="462"/>
      <c r="VVU3000" s="299"/>
      <c r="VVV3000" s="81"/>
      <c r="VVW3000" s="160"/>
      <c r="VVX3000" s="568"/>
      <c r="VVY3000" s="125"/>
      <c r="VVZ3000" s="470"/>
      <c r="VWA3000" s="449"/>
      <c r="VWB3000" s="462"/>
      <c r="VWC3000" s="299"/>
      <c r="VWD3000" s="81"/>
      <c r="VWE3000" s="160"/>
      <c r="VWF3000" s="568"/>
      <c r="VWG3000" s="125"/>
      <c r="VWH3000" s="470"/>
      <c r="VWI3000" s="449"/>
      <c r="VWJ3000" s="462"/>
      <c r="VWK3000" s="299"/>
      <c r="VWL3000" s="81"/>
      <c r="VWM3000" s="160"/>
      <c r="VWN3000" s="568"/>
      <c r="VWO3000" s="125"/>
      <c r="VWP3000" s="470"/>
      <c r="VWQ3000" s="449"/>
      <c r="VWR3000" s="462"/>
      <c r="VWS3000" s="299"/>
      <c r="VWT3000" s="81"/>
      <c r="VWU3000" s="160"/>
      <c r="VWV3000" s="568"/>
      <c r="VWW3000" s="125"/>
      <c r="VWX3000" s="470"/>
      <c r="VWY3000" s="449"/>
      <c r="VWZ3000" s="462"/>
      <c r="VXA3000" s="299"/>
      <c r="VXB3000" s="81"/>
      <c r="VXC3000" s="160"/>
      <c r="VXD3000" s="568"/>
      <c r="VXE3000" s="125"/>
      <c r="VXF3000" s="470"/>
      <c r="VXG3000" s="449"/>
      <c r="VXH3000" s="462"/>
      <c r="VXI3000" s="299"/>
      <c r="VXJ3000" s="81"/>
      <c r="VXK3000" s="160"/>
      <c r="VXL3000" s="568"/>
      <c r="VXM3000" s="125"/>
      <c r="VXN3000" s="470"/>
      <c r="VXO3000" s="449"/>
      <c r="VXP3000" s="462"/>
      <c r="VXQ3000" s="299"/>
      <c r="VXR3000" s="81"/>
      <c r="VXS3000" s="160"/>
      <c r="VXT3000" s="568"/>
      <c r="VXU3000" s="125"/>
      <c r="VXV3000" s="470"/>
      <c r="VXW3000" s="449"/>
      <c r="VXX3000" s="462"/>
      <c r="VXY3000" s="299"/>
      <c r="VXZ3000" s="81"/>
      <c r="VYA3000" s="160"/>
      <c r="VYB3000" s="568"/>
      <c r="VYC3000" s="125"/>
      <c r="VYD3000" s="470"/>
      <c r="VYE3000" s="449"/>
      <c r="VYF3000" s="462"/>
      <c r="VYG3000" s="299"/>
      <c r="VYH3000" s="81"/>
      <c r="VYI3000" s="160"/>
      <c r="VYJ3000" s="568"/>
      <c r="VYK3000" s="125"/>
      <c r="VYL3000" s="470"/>
      <c r="VYM3000" s="449"/>
      <c r="VYN3000" s="462"/>
      <c r="VYO3000" s="299"/>
      <c r="VYP3000" s="81"/>
      <c r="VYQ3000" s="160"/>
      <c r="VYR3000" s="568"/>
      <c r="VYS3000" s="125"/>
      <c r="VYT3000" s="470"/>
      <c r="VYU3000" s="449"/>
      <c r="VYV3000" s="462"/>
      <c r="VYW3000" s="299"/>
      <c r="VYX3000" s="81"/>
      <c r="VYY3000" s="160"/>
      <c r="VYZ3000" s="568"/>
      <c r="VZA3000" s="125"/>
      <c r="VZB3000" s="470"/>
      <c r="VZC3000" s="449"/>
      <c r="VZD3000" s="462"/>
      <c r="VZE3000" s="299"/>
      <c r="VZF3000" s="81"/>
      <c r="VZG3000" s="160"/>
      <c r="VZH3000" s="568"/>
      <c r="VZI3000" s="125"/>
      <c r="VZJ3000" s="470"/>
      <c r="VZK3000" s="449"/>
      <c r="VZL3000" s="462"/>
      <c r="VZM3000" s="299"/>
      <c r="VZN3000" s="81"/>
      <c r="VZO3000" s="160"/>
      <c r="VZP3000" s="568"/>
      <c r="VZQ3000" s="125"/>
      <c r="VZR3000" s="470"/>
      <c r="VZS3000" s="449"/>
      <c r="VZT3000" s="462"/>
      <c r="VZU3000" s="299"/>
      <c r="VZV3000" s="81"/>
      <c r="VZW3000" s="160"/>
      <c r="VZX3000" s="568"/>
      <c r="VZY3000" s="125"/>
      <c r="VZZ3000" s="470"/>
      <c r="WAA3000" s="449"/>
      <c r="WAB3000" s="462"/>
      <c r="WAC3000" s="299"/>
      <c r="WAD3000" s="81"/>
      <c r="WAE3000" s="160"/>
      <c r="WAF3000" s="568"/>
      <c r="WAG3000" s="125"/>
      <c r="WAH3000" s="470"/>
      <c r="WAI3000" s="449"/>
      <c r="WAJ3000" s="462"/>
      <c r="WAK3000" s="299"/>
      <c r="WAL3000" s="81"/>
      <c r="WAM3000" s="160"/>
      <c r="WAN3000" s="568"/>
      <c r="WAO3000" s="125"/>
      <c r="WAP3000" s="470"/>
      <c r="WAQ3000" s="449"/>
      <c r="WAR3000" s="462"/>
      <c r="WAS3000" s="299"/>
      <c r="WAT3000" s="81"/>
      <c r="WAU3000" s="160"/>
      <c r="WAV3000" s="568"/>
      <c r="WAW3000" s="125"/>
      <c r="WAX3000" s="470"/>
      <c r="WAY3000" s="449"/>
      <c r="WAZ3000" s="462"/>
      <c r="WBA3000" s="299"/>
      <c r="WBB3000" s="81"/>
      <c r="WBC3000" s="160"/>
      <c r="WBD3000" s="568"/>
      <c r="WBE3000" s="125"/>
      <c r="WBF3000" s="470"/>
      <c r="WBG3000" s="449"/>
      <c r="WBH3000" s="462"/>
      <c r="WBI3000" s="299"/>
      <c r="WBJ3000" s="81"/>
      <c r="WBK3000" s="160"/>
      <c r="WBL3000" s="568"/>
      <c r="WBM3000" s="125"/>
      <c r="WBN3000" s="470"/>
      <c r="WBO3000" s="449"/>
      <c r="WBP3000" s="462"/>
      <c r="WBQ3000" s="299"/>
      <c r="WBR3000" s="81"/>
      <c r="WBS3000" s="160"/>
      <c r="WBT3000" s="568"/>
      <c r="WBU3000" s="125"/>
      <c r="WBV3000" s="470"/>
      <c r="WBW3000" s="449"/>
      <c r="WBX3000" s="462"/>
      <c r="WBY3000" s="299"/>
      <c r="WBZ3000" s="81"/>
      <c r="WCA3000" s="160"/>
      <c r="WCB3000" s="568"/>
      <c r="WCC3000" s="125"/>
      <c r="WCD3000" s="470"/>
      <c r="WCE3000" s="449"/>
      <c r="WCF3000" s="462"/>
      <c r="WCG3000" s="299"/>
      <c r="WCH3000" s="81"/>
      <c r="WCI3000" s="160"/>
      <c r="WCJ3000" s="568"/>
      <c r="WCK3000" s="125"/>
      <c r="WCL3000" s="470"/>
      <c r="WCM3000" s="449"/>
      <c r="WCN3000" s="462"/>
      <c r="WCO3000" s="299"/>
      <c r="WCP3000" s="81"/>
      <c r="WCQ3000" s="160"/>
      <c r="WCR3000" s="568"/>
      <c r="WCS3000" s="125"/>
      <c r="WCT3000" s="470"/>
      <c r="WCU3000" s="449"/>
      <c r="WCV3000" s="462"/>
      <c r="WCW3000" s="299"/>
      <c r="WCX3000" s="81"/>
      <c r="WCY3000" s="160"/>
      <c r="WCZ3000" s="568"/>
      <c r="WDA3000" s="125"/>
      <c r="WDB3000" s="470"/>
      <c r="WDC3000" s="449"/>
      <c r="WDD3000" s="462"/>
      <c r="WDE3000" s="299"/>
      <c r="WDF3000" s="81"/>
      <c r="WDG3000" s="160"/>
      <c r="WDH3000" s="568"/>
      <c r="WDI3000" s="125"/>
      <c r="WDJ3000" s="470"/>
      <c r="WDK3000" s="449"/>
      <c r="WDL3000" s="462"/>
      <c r="WDM3000" s="299"/>
      <c r="WDN3000" s="81"/>
      <c r="WDO3000" s="160"/>
      <c r="WDP3000" s="568"/>
      <c r="WDQ3000" s="125"/>
      <c r="WDR3000" s="470"/>
      <c r="WDS3000" s="449"/>
      <c r="WDT3000" s="462"/>
      <c r="WDU3000" s="299"/>
      <c r="WDV3000" s="81"/>
      <c r="WDW3000" s="160"/>
      <c r="WDX3000" s="568"/>
      <c r="WDY3000" s="125"/>
      <c r="WDZ3000" s="470"/>
      <c r="WEA3000" s="449"/>
      <c r="WEB3000" s="462"/>
      <c r="WEC3000" s="299"/>
      <c r="WED3000" s="81"/>
      <c r="WEE3000" s="160"/>
      <c r="WEF3000" s="568"/>
      <c r="WEG3000" s="125"/>
      <c r="WEH3000" s="470"/>
      <c r="WEI3000" s="449"/>
      <c r="WEJ3000" s="462"/>
      <c r="WEK3000" s="299"/>
      <c r="WEL3000" s="81"/>
      <c r="WEM3000" s="160"/>
      <c r="WEN3000" s="568"/>
      <c r="WEO3000" s="125"/>
      <c r="WEP3000" s="470"/>
      <c r="WEQ3000" s="449"/>
      <c r="WER3000" s="462"/>
      <c r="WES3000" s="299"/>
      <c r="WET3000" s="81"/>
      <c r="WEU3000" s="160"/>
      <c r="WEV3000" s="568"/>
      <c r="WEW3000" s="125"/>
      <c r="WEX3000" s="470"/>
      <c r="WEY3000" s="449"/>
      <c r="WEZ3000" s="462"/>
      <c r="WFA3000" s="299"/>
      <c r="WFB3000" s="81"/>
      <c r="WFC3000" s="160"/>
      <c r="WFD3000" s="568"/>
      <c r="WFE3000" s="125"/>
      <c r="WFF3000" s="470"/>
      <c r="WFG3000" s="449"/>
      <c r="WFH3000" s="462"/>
      <c r="WFI3000" s="299"/>
      <c r="WFJ3000" s="81"/>
      <c r="WFK3000" s="160"/>
      <c r="WFL3000" s="568"/>
      <c r="WFM3000" s="125"/>
      <c r="WFN3000" s="470"/>
      <c r="WFO3000" s="449"/>
      <c r="WFP3000" s="462"/>
      <c r="WFQ3000" s="299"/>
      <c r="WFR3000" s="81"/>
      <c r="WFS3000" s="160"/>
      <c r="WFT3000" s="568"/>
      <c r="WFU3000" s="125"/>
      <c r="WFV3000" s="470"/>
      <c r="WFW3000" s="449"/>
      <c r="WFX3000" s="462"/>
      <c r="WFY3000" s="299"/>
      <c r="WFZ3000" s="81"/>
      <c r="WGA3000" s="160"/>
      <c r="WGB3000" s="568"/>
      <c r="WGC3000" s="125"/>
      <c r="WGD3000" s="470"/>
      <c r="WGE3000" s="449"/>
      <c r="WGF3000" s="462"/>
      <c r="WGG3000" s="299"/>
      <c r="WGH3000" s="81"/>
      <c r="WGI3000" s="160"/>
      <c r="WGJ3000" s="568"/>
      <c r="WGK3000" s="125"/>
      <c r="WGL3000" s="470"/>
      <c r="WGM3000" s="449"/>
      <c r="WGN3000" s="462"/>
      <c r="WGO3000" s="299"/>
      <c r="WGP3000" s="81"/>
      <c r="WGQ3000" s="160"/>
      <c r="WGR3000" s="568"/>
      <c r="WGS3000" s="125"/>
      <c r="WGT3000" s="470"/>
      <c r="WGU3000" s="449"/>
      <c r="WGV3000" s="462"/>
      <c r="WGW3000" s="299"/>
      <c r="WGX3000" s="81"/>
      <c r="WGY3000" s="160"/>
      <c r="WGZ3000" s="568"/>
      <c r="WHA3000" s="125"/>
      <c r="WHB3000" s="470"/>
      <c r="WHC3000" s="449"/>
      <c r="WHD3000" s="462"/>
      <c r="WHE3000" s="299"/>
      <c r="WHF3000" s="81"/>
      <c r="WHG3000" s="160"/>
      <c r="WHH3000" s="568"/>
      <c r="WHI3000" s="125"/>
      <c r="WHJ3000" s="470"/>
      <c r="WHK3000" s="449"/>
      <c r="WHL3000" s="462"/>
      <c r="WHM3000" s="299"/>
      <c r="WHN3000" s="81"/>
      <c r="WHO3000" s="160"/>
      <c r="WHP3000" s="568"/>
      <c r="WHQ3000" s="125"/>
      <c r="WHR3000" s="470"/>
      <c r="WHS3000" s="449"/>
      <c r="WHT3000" s="462"/>
      <c r="WHU3000" s="299"/>
      <c r="WHV3000" s="81"/>
      <c r="WHW3000" s="160"/>
      <c r="WHX3000" s="568"/>
      <c r="WHY3000" s="125"/>
      <c r="WHZ3000" s="470"/>
      <c r="WIA3000" s="449"/>
      <c r="WIB3000" s="462"/>
      <c r="WIC3000" s="299"/>
      <c r="WID3000" s="81"/>
      <c r="WIE3000" s="160"/>
      <c r="WIF3000" s="568"/>
      <c r="WIG3000" s="125"/>
      <c r="WIH3000" s="470"/>
      <c r="WII3000" s="449"/>
      <c r="WIJ3000" s="462"/>
      <c r="WIK3000" s="299"/>
      <c r="WIL3000" s="81"/>
      <c r="WIM3000" s="160"/>
      <c r="WIN3000" s="568"/>
      <c r="WIO3000" s="125"/>
      <c r="WIP3000" s="470"/>
      <c r="WIQ3000" s="449"/>
      <c r="WIR3000" s="462"/>
      <c r="WIS3000" s="299"/>
      <c r="WIT3000" s="81"/>
      <c r="WIU3000" s="160"/>
      <c r="WIV3000" s="568"/>
      <c r="WIW3000" s="125"/>
      <c r="WIX3000" s="470"/>
      <c r="WIY3000" s="449"/>
      <c r="WIZ3000" s="462"/>
      <c r="WJA3000" s="299"/>
      <c r="WJB3000" s="81"/>
      <c r="WJC3000" s="160"/>
      <c r="WJD3000" s="568"/>
      <c r="WJE3000" s="125"/>
      <c r="WJF3000" s="470"/>
      <c r="WJG3000" s="449"/>
      <c r="WJH3000" s="462"/>
      <c r="WJI3000" s="299"/>
      <c r="WJJ3000" s="81"/>
      <c r="WJK3000" s="160"/>
      <c r="WJL3000" s="568"/>
      <c r="WJM3000" s="125"/>
      <c r="WJN3000" s="470"/>
      <c r="WJO3000" s="449"/>
      <c r="WJP3000" s="462"/>
      <c r="WJQ3000" s="299"/>
      <c r="WJR3000" s="81"/>
      <c r="WJS3000" s="160"/>
      <c r="WJT3000" s="568"/>
      <c r="WJU3000" s="125"/>
      <c r="WJV3000" s="470"/>
      <c r="WJW3000" s="449"/>
      <c r="WJX3000" s="462"/>
      <c r="WJY3000" s="299"/>
      <c r="WJZ3000" s="81"/>
      <c r="WKA3000" s="160"/>
      <c r="WKB3000" s="568"/>
      <c r="WKC3000" s="125"/>
      <c r="WKD3000" s="470"/>
      <c r="WKE3000" s="449"/>
      <c r="WKF3000" s="462"/>
      <c r="WKG3000" s="299"/>
      <c r="WKH3000" s="81"/>
      <c r="WKI3000" s="160"/>
      <c r="WKJ3000" s="568"/>
      <c r="WKK3000" s="125"/>
      <c r="WKL3000" s="470"/>
      <c r="WKM3000" s="449"/>
      <c r="WKN3000" s="462"/>
      <c r="WKO3000" s="299"/>
      <c r="WKP3000" s="81"/>
      <c r="WKQ3000" s="160"/>
      <c r="WKR3000" s="568"/>
      <c r="WKS3000" s="125"/>
      <c r="WKT3000" s="470"/>
      <c r="WKU3000" s="449"/>
      <c r="WKV3000" s="462"/>
      <c r="WKW3000" s="299"/>
      <c r="WKX3000" s="81"/>
      <c r="WKY3000" s="160"/>
      <c r="WKZ3000" s="568"/>
      <c r="WLA3000" s="125"/>
      <c r="WLB3000" s="470"/>
      <c r="WLC3000" s="449"/>
      <c r="WLD3000" s="462"/>
      <c r="WLE3000" s="299"/>
      <c r="WLF3000" s="81"/>
      <c r="WLG3000" s="160"/>
      <c r="WLH3000" s="568"/>
      <c r="WLI3000" s="125"/>
      <c r="WLJ3000" s="470"/>
      <c r="WLK3000" s="449"/>
      <c r="WLL3000" s="462"/>
      <c r="WLM3000" s="299"/>
      <c r="WLN3000" s="81"/>
      <c r="WLO3000" s="160"/>
      <c r="WLP3000" s="568"/>
      <c r="WLQ3000" s="125"/>
      <c r="WLR3000" s="470"/>
      <c r="WLS3000" s="449"/>
      <c r="WLT3000" s="462"/>
      <c r="WLU3000" s="299"/>
      <c r="WLV3000" s="81"/>
      <c r="WLW3000" s="160"/>
      <c r="WLX3000" s="568"/>
      <c r="WLY3000" s="125"/>
      <c r="WLZ3000" s="470"/>
      <c r="WMA3000" s="449"/>
      <c r="WMB3000" s="462"/>
      <c r="WMC3000" s="299"/>
      <c r="WMD3000" s="81"/>
      <c r="WME3000" s="160"/>
      <c r="WMF3000" s="568"/>
      <c r="WMG3000" s="125"/>
      <c r="WMH3000" s="470"/>
      <c r="WMI3000" s="449"/>
      <c r="WMJ3000" s="462"/>
      <c r="WMK3000" s="299"/>
      <c r="WML3000" s="81"/>
      <c r="WMM3000" s="160"/>
      <c r="WMN3000" s="568"/>
      <c r="WMO3000" s="125"/>
      <c r="WMP3000" s="470"/>
      <c r="WMQ3000" s="449"/>
      <c r="WMR3000" s="462"/>
      <c r="WMS3000" s="299"/>
      <c r="WMT3000" s="81"/>
      <c r="WMU3000" s="160"/>
      <c r="WMV3000" s="568"/>
      <c r="WMW3000" s="125"/>
      <c r="WMX3000" s="470"/>
      <c r="WMY3000" s="449"/>
      <c r="WMZ3000" s="462"/>
      <c r="WNA3000" s="299"/>
      <c r="WNB3000" s="81"/>
      <c r="WNC3000" s="160"/>
      <c r="WND3000" s="568"/>
      <c r="WNE3000" s="125"/>
      <c r="WNF3000" s="470"/>
      <c r="WNG3000" s="449"/>
      <c r="WNH3000" s="462"/>
      <c r="WNI3000" s="299"/>
      <c r="WNJ3000" s="81"/>
      <c r="WNK3000" s="160"/>
      <c r="WNL3000" s="568"/>
      <c r="WNM3000" s="125"/>
      <c r="WNN3000" s="470"/>
      <c r="WNO3000" s="449"/>
      <c r="WNP3000" s="462"/>
      <c r="WNQ3000" s="299"/>
      <c r="WNR3000" s="81"/>
      <c r="WNS3000" s="160"/>
      <c r="WNT3000" s="568"/>
      <c r="WNU3000" s="125"/>
      <c r="WNV3000" s="470"/>
      <c r="WNW3000" s="449"/>
      <c r="WNX3000" s="462"/>
      <c r="WNY3000" s="299"/>
      <c r="WNZ3000" s="81"/>
      <c r="WOA3000" s="160"/>
      <c r="WOB3000" s="568"/>
      <c r="WOC3000" s="125"/>
      <c r="WOD3000" s="470"/>
      <c r="WOE3000" s="449"/>
      <c r="WOF3000" s="462"/>
      <c r="WOG3000" s="299"/>
      <c r="WOH3000" s="81"/>
      <c r="WOI3000" s="160"/>
      <c r="WOJ3000" s="568"/>
      <c r="WOK3000" s="125"/>
      <c r="WOL3000" s="470"/>
      <c r="WOM3000" s="449"/>
      <c r="WON3000" s="462"/>
      <c r="WOO3000" s="299"/>
      <c r="WOP3000" s="81"/>
      <c r="WOQ3000" s="160"/>
      <c r="WOR3000" s="568"/>
      <c r="WOS3000" s="125"/>
      <c r="WOT3000" s="470"/>
      <c r="WOU3000" s="449"/>
      <c r="WOV3000" s="462"/>
      <c r="WOW3000" s="299"/>
      <c r="WOX3000" s="81"/>
      <c r="WOY3000" s="160"/>
      <c r="WOZ3000" s="568"/>
      <c r="WPA3000" s="125"/>
      <c r="WPB3000" s="470"/>
      <c r="WPC3000" s="449"/>
      <c r="WPD3000" s="462"/>
      <c r="WPE3000" s="299"/>
      <c r="WPF3000" s="81"/>
      <c r="WPG3000" s="160"/>
      <c r="WPH3000" s="568"/>
      <c r="WPI3000" s="125"/>
      <c r="WPJ3000" s="470"/>
      <c r="WPK3000" s="449"/>
      <c r="WPL3000" s="462"/>
      <c r="WPM3000" s="299"/>
      <c r="WPN3000" s="81"/>
      <c r="WPO3000" s="160"/>
      <c r="WPP3000" s="568"/>
      <c r="WPQ3000" s="125"/>
      <c r="WPR3000" s="470"/>
      <c r="WPS3000" s="449"/>
      <c r="WPT3000" s="462"/>
      <c r="WPU3000" s="299"/>
      <c r="WPV3000" s="81"/>
      <c r="WPW3000" s="160"/>
      <c r="WPX3000" s="568"/>
      <c r="WPY3000" s="125"/>
      <c r="WPZ3000" s="470"/>
      <c r="WQA3000" s="449"/>
      <c r="WQB3000" s="462"/>
      <c r="WQC3000" s="299"/>
      <c r="WQD3000" s="81"/>
      <c r="WQE3000" s="160"/>
      <c r="WQF3000" s="568"/>
      <c r="WQG3000" s="125"/>
      <c r="WQH3000" s="470"/>
      <c r="WQI3000" s="449"/>
      <c r="WQJ3000" s="462"/>
      <c r="WQK3000" s="299"/>
      <c r="WQL3000" s="81"/>
      <c r="WQM3000" s="160"/>
      <c r="WQN3000" s="568"/>
      <c r="WQO3000" s="125"/>
      <c r="WQP3000" s="470"/>
      <c r="WQQ3000" s="449"/>
      <c r="WQR3000" s="462"/>
      <c r="WQS3000" s="299"/>
      <c r="WQT3000" s="81"/>
      <c r="WQU3000" s="160"/>
      <c r="WQV3000" s="568"/>
      <c r="WQW3000" s="125"/>
      <c r="WQX3000" s="470"/>
      <c r="WQY3000" s="449"/>
      <c r="WQZ3000" s="462"/>
      <c r="WRA3000" s="299"/>
      <c r="WRB3000" s="81"/>
      <c r="WRC3000" s="160"/>
      <c r="WRD3000" s="568"/>
      <c r="WRE3000" s="125"/>
      <c r="WRF3000" s="470"/>
      <c r="WRG3000" s="449"/>
      <c r="WRH3000" s="462"/>
      <c r="WRI3000" s="299"/>
      <c r="WRJ3000" s="81"/>
      <c r="WRK3000" s="160"/>
      <c r="WRL3000" s="568"/>
      <c r="WRM3000" s="125"/>
      <c r="WRN3000" s="470"/>
      <c r="WRO3000" s="449"/>
      <c r="WRP3000" s="462"/>
      <c r="WRQ3000" s="299"/>
      <c r="WRR3000" s="81"/>
      <c r="WRS3000" s="160"/>
      <c r="WRT3000" s="568"/>
      <c r="WRU3000" s="125"/>
      <c r="WRV3000" s="470"/>
      <c r="WRW3000" s="449"/>
      <c r="WRX3000" s="462"/>
      <c r="WRY3000" s="299"/>
      <c r="WRZ3000" s="81"/>
      <c r="WSA3000" s="160"/>
      <c r="WSB3000" s="568"/>
      <c r="WSC3000" s="125"/>
      <c r="WSD3000" s="470"/>
      <c r="WSE3000" s="449"/>
      <c r="WSF3000" s="462"/>
      <c r="WSG3000" s="299"/>
      <c r="WSH3000" s="81"/>
      <c r="WSI3000" s="160"/>
      <c r="WSJ3000" s="568"/>
      <c r="WSK3000" s="125"/>
      <c r="WSL3000" s="470"/>
      <c r="WSM3000" s="449"/>
      <c r="WSN3000" s="462"/>
      <c r="WSO3000" s="299"/>
      <c r="WSP3000" s="81"/>
      <c r="WSQ3000" s="160"/>
      <c r="WSR3000" s="568"/>
      <c r="WSS3000" s="125"/>
      <c r="WST3000" s="470"/>
      <c r="WSU3000" s="449"/>
      <c r="WSV3000" s="462"/>
      <c r="WSW3000" s="299"/>
      <c r="WSX3000" s="81"/>
      <c r="WSY3000" s="160"/>
      <c r="WSZ3000" s="568"/>
      <c r="WTA3000" s="125"/>
      <c r="WTB3000" s="470"/>
      <c r="WTC3000" s="449"/>
      <c r="WTD3000" s="462"/>
      <c r="WTE3000" s="299"/>
      <c r="WTF3000" s="81"/>
      <c r="WTG3000" s="160"/>
      <c r="WTH3000" s="568"/>
      <c r="WTI3000" s="125"/>
      <c r="WTJ3000" s="470"/>
      <c r="WTK3000" s="449"/>
      <c r="WTL3000" s="462"/>
      <c r="WTM3000" s="299"/>
      <c r="WTN3000" s="81"/>
      <c r="WTO3000" s="160"/>
      <c r="WTP3000" s="568"/>
      <c r="WTQ3000" s="125"/>
      <c r="WTR3000" s="470"/>
      <c r="WTS3000" s="449"/>
      <c r="WTT3000" s="462"/>
      <c r="WTU3000" s="299"/>
      <c r="WTV3000" s="81"/>
      <c r="WTW3000" s="160"/>
      <c r="WTX3000" s="568"/>
      <c r="WTY3000" s="125"/>
      <c r="WTZ3000" s="470"/>
      <c r="WUA3000" s="449"/>
      <c r="WUB3000" s="462"/>
      <c r="WUC3000" s="299"/>
      <c r="WUD3000" s="81"/>
      <c r="WUE3000" s="160"/>
      <c r="WUF3000" s="568"/>
      <c r="WUG3000" s="125"/>
      <c r="WUH3000" s="470"/>
      <c r="WUI3000" s="449"/>
      <c r="WUJ3000" s="462"/>
      <c r="WUK3000" s="299"/>
      <c r="WUL3000" s="81"/>
      <c r="WUM3000" s="160"/>
      <c r="WUN3000" s="568"/>
      <c r="WUO3000" s="125"/>
      <c r="WUP3000" s="470"/>
      <c r="WUQ3000" s="449"/>
      <c r="WUR3000" s="462"/>
      <c r="WUS3000" s="299"/>
      <c r="WUT3000" s="81"/>
      <c r="WUU3000" s="160"/>
      <c r="WUV3000" s="568"/>
      <c r="WUW3000" s="125"/>
      <c r="WUX3000" s="470"/>
      <c r="WUY3000" s="449"/>
      <c r="WUZ3000" s="462"/>
      <c r="WVA3000" s="299"/>
      <c r="WVB3000" s="81"/>
      <c r="WVC3000" s="160"/>
      <c r="WVD3000" s="568"/>
      <c r="WVE3000" s="125"/>
      <c r="WVF3000" s="470"/>
      <c r="WVG3000" s="449"/>
      <c r="WVH3000" s="462"/>
      <c r="WVI3000" s="299"/>
      <c r="WVJ3000" s="81"/>
      <c r="WVK3000" s="160"/>
      <c r="WVL3000" s="568"/>
      <c r="WVM3000" s="125"/>
      <c r="WVN3000" s="470"/>
      <c r="WVO3000" s="449"/>
      <c r="WVP3000" s="462"/>
      <c r="WVQ3000" s="299"/>
      <c r="WVR3000" s="81"/>
      <c r="WVS3000" s="160"/>
      <c r="WVT3000" s="568"/>
      <c r="WVU3000" s="125"/>
      <c r="WVV3000" s="470"/>
      <c r="WVW3000" s="449"/>
      <c r="WVX3000" s="462"/>
      <c r="WVY3000" s="299"/>
      <c r="WVZ3000" s="81"/>
      <c r="WWA3000" s="160"/>
      <c r="WWB3000" s="568"/>
      <c r="WWC3000" s="125"/>
      <c r="WWD3000" s="470"/>
      <c r="WWE3000" s="449"/>
      <c r="WWF3000" s="462"/>
      <c r="WWG3000" s="299"/>
      <c r="WWH3000" s="81"/>
      <c r="WWI3000" s="160"/>
      <c r="WWJ3000" s="568"/>
      <c r="WWK3000" s="125"/>
      <c r="WWL3000" s="470"/>
      <c r="WWM3000" s="449"/>
      <c r="WWN3000" s="462"/>
      <c r="WWO3000" s="299"/>
      <c r="WWP3000" s="81"/>
      <c r="WWQ3000" s="160"/>
      <c r="WWR3000" s="568"/>
      <c r="WWS3000" s="125"/>
      <c r="WWT3000" s="470"/>
      <c r="WWU3000" s="449"/>
      <c r="WWV3000" s="462"/>
      <c r="WWW3000" s="299"/>
      <c r="WWX3000" s="81"/>
      <c r="WWY3000" s="160"/>
      <c r="WWZ3000" s="568"/>
      <c r="WXA3000" s="125"/>
      <c r="WXB3000" s="470"/>
      <c r="WXC3000" s="449"/>
      <c r="WXD3000" s="462"/>
      <c r="WXE3000" s="299"/>
      <c r="WXF3000" s="81"/>
      <c r="WXG3000" s="160"/>
      <c r="WXH3000" s="568"/>
      <c r="WXI3000" s="125"/>
      <c r="WXJ3000" s="470"/>
      <c r="WXK3000" s="449"/>
      <c r="WXL3000" s="462"/>
      <c r="WXM3000" s="299"/>
      <c r="WXN3000" s="81"/>
      <c r="WXO3000" s="160"/>
      <c r="WXP3000" s="568"/>
      <c r="WXQ3000" s="125"/>
      <c r="WXR3000" s="470"/>
      <c r="WXS3000" s="449"/>
      <c r="WXT3000" s="462"/>
      <c r="WXU3000" s="299"/>
      <c r="WXV3000" s="81"/>
      <c r="WXW3000" s="160"/>
      <c r="WXX3000" s="568"/>
      <c r="WXY3000" s="125"/>
      <c r="WXZ3000" s="470"/>
      <c r="WYA3000" s="449"/>
      <c r="WYB3000" s="462"/>
      <c r="WYC3000" s="299"/>
      <c r="WYD3000" s="81"/>
      <c r="WYE3000" s="160"/>
      <c r="WYF3000" s="568"/>
      <c r="WYG3000" s="125"/>
      <c r="WYH3000" s="470"/>
      <c r="WYI3000" s="449"/>
      <c r="WYJ3000" s="462"/>
      <c r="WYK3000" s="299"/>
      <c r="WYL3000" s="81"/>
      <c r="WYM3000" s="160"/>
      <c r="WYN3000" s="568"/>
      <c r="WYO3000" s="125"/>
      <c r="WYP3000" s="470"/>
      <c r="WYQ3000" s="449"/>
      <c r="WYR3000" s="462"/>
      <c r="WYS3000" s="299"/>
      <c r="WYT3000" s="81"/>
      <c r="WYU3000" s="160"/>
      <c r="WYV3000" s="568"/>
      <c r="WYW3000" s="125"/>
      <c r="WYX3000" s="470"/>
      <c r="WYY3000" s="449"/>
      <c r="WYZ3000" s="462"/>
      <c r="WZA3000" s="299"/>
      <c r="WZB3000" s="81"/>
      <c r="WZC3000" s="160"/>
      <c r="WZD3000" s="568"/>
      <c r="WZE3000" s="125"/>
      <c r="WZF3000" s="470"/>
      <c r="WZG3000" s="449"/>
      <c r="WZH3000" s="462"/>
      <c r="WZI3000" s="299"/>
      <c r="WZJ3000" s="81"/>
      <c r="WZK3000" s="160"/>
      <c r="WZL3000" s="568"/>
      <c r="WZM3000" s="125"/>
      <c r="WZN3000" s="470"/>
      <c r="WZO3000" s="449"/>
      <c r="WZP3000" s="462"/>
      <c r="WZQ3000" s="299"/>
      <c r="WZR3000" s="81"/>
      <c r="WZS3000" s="160"/>
      <c r="WZT3000" s="568"/>
      <c r="WZU3000" s="125"/>
      <c r="WZV3000" s="470"/>
      <c r="WZW3000" s="449"/>
      <c r="WZX3000" s="462"/>
      <c r="WZY3000" s="299"/>
      <c r="WZZ3000" s="81"/>
      <c r="XAA3000" s="160"/>
      <c r="XAB3000" s="568"/>
      <c r="XAC3000" s="125"/>
      <c r="XAD3000" s="470"/>
      <c r="XAE3000" s="449"/>
      <c r="XAF3000" s="462"/>
      <c r="XAG3000" s="299"/>
      <c r="XAH3000" s="81"/>
      <c r="XAI3000" s="160"/>
      <c r="XAJ3000" s="568"/>
      <c r="XAK3000" s="125"/>
      <c r="XAL3000" s="470"/>
      <c r="XAM3000" s="449"/>
      <c r="XAN3000" s="462"/>
      <c r="XAO3000" s="299"/>
      <c r="XAP3000" s="81"/>
      <c r="XAQ3000" s="160"/>
      <c r="XAR3000" s="568"/>
      <c r="XAS3000" s="125"/>
      <c r="XAT3000" s="470"/>
      <c r="XAU3000" s="449"/>
      <c r="XAV3000" s="462"/>
      <c r="XAW3000" s="299"/>
      <c r="XAX3000" s="81"/>
      <c r="XAY3000" s="160"/>
      <c r="XAZ3000" s="568"/>
      <c r="XBA3000" s="125"/>
      <c r="XBB3000" s="470"/>
      <c r="XBC3000" s="449"/>
      <c r="XBD3000" s="462"/>
      <c r="XBE3000" s="299"/>
      <c r="XBF3000" s="81"/>
      <c r="XBG3000" s="160"/>
      <c r="XBH3000" s="568"/>
      <c r="XBI3000" s="125"/>
      <c r="XBJ3000" s="470"/>
      <c r="XBK3000" s="449"/>
      <c r="XBL3000" s="462"/>
      <c r="XBM3000" s="299"/>
      <c r="XBN3000" s="81"/>
      <c r="XBO3000" s="160"/>
      <c r="XBP3000" s="568"/>
      <c r="XBQ3000" s="125"/>
      <c r="XBR3000" s="470"/>
      <c r="XBS3000" s="449"/>
      <c r="XBT3000" s="462"/>
      <c r="XBU3000" s="299"/>
      <c r="XBV3000" s="81"/>
      <c r="XBW3000" s="160"/>
      <c r="XBX3000" s="568"/>
      <c r="XBY3000" s="125"/>
      <c r="XBZ3000" s="470"/>
      <c r="XCA3000" s="449"/>
      <c r="XCB3000" s="462"/>
      <c r="XCC3000" s="299"/>
      <c r="XCD3000" s="81"/>
      <c r="XCE3000" s="160"/>
      <c r="XCF3000" s="568"/>
      <c r="XCG3000" s="125"/>
      <c r="XCH3000" s="470"/>
      <c r="XCI3000" s="449"/>
      <c r="XCJ3000" s="462"/>
      <c r="XCK3000" s="299"/>
      <c r="XCL3000" s="81"/>
      <c r="XCM3000" s="160"/>
      <c r="XCN3000" s="568"/>
      <c r="XCO3000" s="125"/>
      <c r="XCP3000" s="470"/>
      <c r="XCQ3000" s="449"/>
      <c r="XCR3000" s="462"/>
      <c r="XCS3000" s="299"/>
      <c r="XCT3000" s="81"/>
      <c r="XCU3000" s="160"/>
      <c r="XCV3000" s="568"/>
      <c r="XCW3000" s="125"/>
      <c r="XCX3000" s="470"/>
      <c r="XCY3000" s="449"/>
      <c r="XCZ3000" s="462"/>
      <c r="XDA3000" s="299"/>
      <c r="XDB3000" s="81"/>
      <c r="XDC3000" s="160"/>
      <c r="XDD3000" s="568"/>
      <c r="XDE3000" s="125"/>
      <c r="XDF3000" s="470"/>
      <c r="XDG3000" s="449"/>
      <c r="XDH3000" s="462"/>
      <c r="XDI3000" s="299"/>
      <c r="XDJ3000" s="81"/>
      <c r="XDK3000" s="160"/>
      <c r="XDL3000" s="568"/>
      <c r="XDM3000" s="125"/>
      <c r="XDN3000" s="470"/>
      <c r="XDO3000" s="449"/>
      <c r="XDP3000" s="462"/>
      <c r="XDQ3000" s="299"/>
      <c r="XDR3000" s="81"/>
      <c r="XDS3000" s="160"/>
      <c r="XDT3000" s="568"/>
      <c r="XDU3000" s="125"/>
      <c r="XDV3000" s="470"/>
      <c r="XDW3000" s="449"/>
      <c r="XDX3000" s="462"/>
      <c r="XDY3000" s="299"/>
      <c r="XDZ3000" s="81"/>
      <c r="XEA3000" s="160"/>
      <c r="XEB3000" s="568"/>
      <c r="XEC3000" s="125"/>
      <c r="XED3000" s="470"/>
      <c r="XEE3000" s="449"/>
      <c r="XEF3000" s="462"/>
      <c r="XEG3000" s="299"/>
      <c r="XEH3000" s="81"/>
      <c r="XEI3000" s="160"/>
      <c r="XEJ3000" s="568"/>
      <c r="XEK3000" s="125"/>
      <c r="XEL3000" s="470"/>
      <c r="XEM3000" s="449"/>
      <c r="XEN3000" s="462"/>
      <c r="XEO3000" s="299"/>
      <c r="XEP3000" s="81"/>
      <c r="XEQ3000" s="160"/>
      <c r="XER3000" s="568"/>
      <c r="XES3000" s="125"/>
      <c r="XET3000" s="470"/>
      <c r="XEU3000" s="449"/>
      <c r="XEV3000" s="462"/>
      <c r="XEW3000" s="299"/>
      <c r="XEX3000" s="81"/>
      <c r="XEY3000" s="160"/>
      <c r="XEZ3000" s="568"/>
      <c r="XFA3000" s="125"/>
      <c r="XFB3000" s="470"/>
      <c r="XFC3000" s="449"/>
      <c r="XFD3000" s="462"/>
    </row>
    <row r="3001" spans="1:16384" ht="15" customHeight="1">
      <c r="A3001" s="1253">
        <v>45118</v>
      </c>
      <c r="B3001" s="1209">
        <v>4255</v>
      </c>
      <c r="C3001" s="1210">
        <v>28750</v>
      </c>
      <c r="D3001" s="1230">
        <v>28250</v>
      </c>
      <c r="E3001" s="1212">
        <f t="shared" ref="E3001" si="1143">D3001-C3001</f>
        <v>-500</v>
      </c>
      <c r="F3001" s="1211">
        <f t="shared" ref="F3001" si="1144">C3001-C3000</f>
        <v>-50</v>
      </c>
      <c r="G3001" s="1236"/>
      <c r="H3001" s="1280"/>
      <c r="I3001" s="1291">
        <v>231250</v>
      </c>
      <c r="J3001" s="81"/>
      <c r="K3001" s="160"/>
      <c r="L3001" s="571"/>
      <c r="M3001" s="125"/>
      <c r="N3001" s="470"/>
      <c r="R3001" s="81"/>
      <c r="S3001" s="160"/>
      <c r="T3001" s="571"/>
      <c r="U3001" s="125"/>
      <c r="V3001" s="470"/>
      <c r="W3001" s="449"/>
      <c r="X3001" s="462"/>
      <c r="Y3001" s="299"/>
      <c r="Z3001" s="81"/>
      <c r="AA3001" s="160"/>
      <c r="AB3001" s="571"/>
      <c r="AC3001" s="125"/>
      <c r="AD3001" s="470"/>
      <c r="AE3001" s="449"/>
      <c r="AF3001" s="462"/>
      <c r="AG3001" s="299"/>
      <c r="AH3001" s="81"/>
      <c r="AI3001" s="160"/>
      <c r="AJ3001" s="571"/>
      <c r="AK3001" s="125"/>
      <c r="AL3001" s="470"/>
      <c r="AM3001" s="449"/>
      <c r="AN3001" s="462"/>
      <c r="AO3001" s="299"/>
      <c r="AP3001" s="81"/>
      <c r="AQ3001" s="160"/>
      <c r="AR3001" s="571"/>
      <c r="AS3001" s="125"/>
      <c r="AT3001" s="470"/>
      <c r="AU3001" s="449"/>
      <c r="AV3001" s="462"/>
      <c r="AW3001" s="299"/>
      <c r="AX3001" s="81"/>
      <c r="AY3001" s="160"/>
      <c r="AZ3001" s="571"/>
      <c r="BA3001" s="125"/>
      <c r="BB3001" s="470"/>
      <c r="BC3001" s="449"/>
      <c r="BD3001" s="462"/>
      <c r="BE3001" s="299"/>
      <c r="BF3001" s="81"/>
      <c r="BG3001" s="160"/>
      <c r="BH3001" s="571"/>
      <c r="BI3001" s="125"/>
      <c r="BJ3001" s="470"/>
      <c r="BK3001" s="449"/>
      <c r="BL3001" s="462"/>
      <c r="BM3001" s="299"/>
      <c r="BN3001" s="81"/>
      <c r="BO3001" s="160"/>
      <c r="BP3001" s="571"/>
      <c r="BQ3001" s="125"/>
      <c r="BR3001" s="470"/>
      <c r="BS3001" s="449"/>
      <c r="BT3001" s="462"/>
      <c r="BU3001" s="299"/>
      <c r="BV3001" s="81"/>
      <c r="BW3001" s="160"/>
      <c r="BX3001" s="571"/>
      <c r="BY3001" s="125"/>
      <c r="BZ3001" s="470"/>
      <c r="CA3001" s="449"/>
      <c r="CB3001" s="462"/>
      <c r="CC3001" s="299"/>
      <c r="CD3001" s="81"/>
      <c r="CE3001" s="160"/>
      <c r="CF3001" s="571"/>
      <c r="CG3001" s="125"/>
      <c r="CH3001" s="470"/>
      <c r="CI3001" s="449"/>
      <c r="CJ3001" s="462"/>
      <c r="CK3001" s="299"/>
      <c r="CL3001" s="81"/>
      <c r="CM3001" s="160"/>
      <c r="CN3001" s="571"/>
      <c r="CO3001" s="125"/>
      <c r="CP3001" s="470"/>
      <c r="CQ3001" s="449"/>
      <c r="CR3001" s="462"/>
      <c r="CS3001" s="299"/>
      <c r="CT3001" s="81"/>
      <c r="CU3001" s="160"/>
      <c r="CV3001" s="571"/>
      <c r="CW3001" s="125"/>
      <c r="CX3001" s="470"/>
      <c r="CY3001" s="449"/>
      <c r="CZ3001" s="462"/>
      <c r="DA3001" s="299"/>
      <c r="DB3001" s="81"/>
      <c r="DC3001" s="160"/>
      <c r="DD3001" s="571"/>
      <c r="DE3001" s="125"/>
      <c r="DF3001" s="470"/>
      <c r="DG3001" s="449"/>
      <c r="DH3001" s="462"/>
      <c r="DI3001" s="299"/>
      <c r="DJ3001" s="81"/>
      <c r="DK3001" s="160"/>
      <c r="DL3001" s="571"/>
      <c r="DM3001" s="125"/>
      <c r="DN3001" s="470"/>
      <c r="DO3001" s="449"/>
      <c r="DP3001" s="462"/>
      <c r="DQ3001" s="299"/>
      <c r="DR3001" s="81"/>
      <c r="DS3001" s="160"/>
      <c r="DT3001" s="571"/>
      <c r="DU3001" s="125"/>
      <c r="DV3001" s="470"/>
      <c r="DW3001" s="449"/>
      <c r="DX3001" s="462"/>
      <c r="DY3001" s="299"/>
      <c r="DZ3001" s="81"/>
      <c r="EA3001" s="160"/>
      <c r="EB3001" s="571"/>
      <c r="EC3001" s="125"/>
      <c r="ED3001" s="470"/>
      <c r="EE3001" s="449"/>
      <c r="EF3001" s="462"/>
      <c r="EG3001" s="299"/>
      <c r="EH3001" s="81"/>
      <c r="EI3001" s="160"/>
      <c r="EJ3001" s="571"/>
      <c r="EK3001" s="125"/>
      <c r="EL3001" s="470"/>
      <c r="EM3001" s="449"/>
      <c r="EN3001" s="462"/>
      <c r="EO3001" s="299"/>
      <c r="EP3001" s="81"/>
      <c r="EQ3001" s="160"/>
      <c r="ER3001" s="571"/>
      <c r="ES3001" s="125"/>
      <c r="ET3001" s="470"/>
      <c r="EU3001" s="449"/>
      <c r="EV3001" s="462"/>
      <c r="EW3001" s="299"/>
      <c r="EX3001" s="81"/>
      <c r="EY3001" s="160"/>
      <c r="EZ3001" s="571"/>
      <c r="FA3001" s="125"/>
      <c r="FB3001" s="470"/>
      <c r="FC3001" s="449"/>
      <c r="FD3001" s="462"/>
      <c r="FE3001" s="299"/>
      <c r="FF3001" s="81"/>
      <c r="FG3001" s="160"/>
      <c r="FH3001" s="571"/>
      <c r="FI3001" s="125"/>
      <c r="FJ3001" s="470"/>
      <c r="FK3001" s="449"/>
      <c r="FL3001" s="462"/>
      <c r="FM3001" s="299"/>
      <c r="FN3001" s="81"/>
      <c r="FO3001" s="160"/>
      <c r="FP3001" s="571"/>
      <c r="FQ3001" s="125"/>
      <c r="FR3001" s="470"/>
      <c r="FS3001" s="449"/>
      <c r="FT3001" s="462"/>
      <c r="FU3001" s="299"/>
      <c r="FV3001" s="81"/>
      <c r="FW3001" s="160"/>
      <c r="FX3001" s="571"/>
      <c r="FY3001" s="125"/>
      <c r="FZ3001" s="470"/>
      <c r="GA3001" s="449"/>
      <c r="GB3001" s="462"/>
      <c r="GC3001" s="299"/>
      <c r="GD3001" s="81"/>
      <c r="GE3001" s="160"/>
      <c r="GF3001" s="571"/>
      <c r="GG3001" s="125"/>
      <c r="GH3001" s="470"/>
      <c r="GI3001" s="449"/>
      <c r="GJ3001" s="462"/>
      <c r="GK3001" s="299"/>
      <c r="GL3001" s="81"/>
      <c r="GM3001" s="160"/>
      <c r="GN3001" s="571"/>
      <c r="GO3001" s="125"/>
      <c r="GP3001" s="470"/>
      <c r="GQ3001" s="449"/>
      <c r="GR3001" s="462"/>
      <c r="GS3001" s="299"/>
      <c r="GT3001" s="81"/>
      <c r="GU3001" s="160"/>
      <c r="GV3001" s="571"/>
      <c r="GW3001" s="125"/>
      <c r="GX3001" s="470"/>
      <c r="GY3001" s="449"/>
      <c r="GZ3001" s="462"/>
      <c r="HA3001" s="299"/>
      <c r="HB3001" s="81"/>
      <c r="HC3001" s="160"/>
      <c r="HD3001" s="571"/>
      <c r="HE3001" s="125"/>
      <c r="HF3001" s="470"/>
      <c r="HG3001" s="449"/>
      <c r="HH3001" s="462"/>
      <c r="HI3001" s="299"/>
      <c r="HJ3001" s="81"/>
      <c r="HK3001" s="160"/>
      <c r="HL3001" s="571"/>
      <c r="HM3001" s="125"/>
      <c r="HN3001" s="470"/>
      <c r="HO3001" s="449"/>
      <c r="HP3001" s="462"/>
      <c r="HQ3001" s="299"/>
      <c r="HR3001" s="81"/>
      <c r="HS3001" s="160"/>
      <c r="HT3001" s="571"/>
      <c r="HU3001" s="125"/>
      <c r="HV3001" s="470"/>
      <c r="HW3001" s="449"/>
      <c r="HX3001" s="462"/>
      <c r="HY3001" s="299"/>
      <c r="HZ3001" s="81"/>
      <c r="IA3001" s="160"/>
      <c r="IB3001" s="571"/>
      <c r="IC3001" s="125"/>
      <c r="ID3001" s="470"/>
      <c r="IE3001" s="449"/>
      <c r="IF3001" s="462"/>
      <c r="IG3001" s="299"/>
      <c r="IH3001" s="81"/>
      <c r="II3001" s="160"/>
      <c r="IJ3001" s="571"/>
      <c r="IK3001" s="125"/>
      <c r="IL3001" s="470"/>
      <c r="IM3001" s="449"/>
      <c r="IN3001" s="462"/>
      <c r="IO3001" s="299"/>
      <c r="IP3001" s="81"/>
      <c r="IQ3001" s="160"/>
      <c r="IR3001" s="571"/>
      <c r="IS3001" s="125"/>
      <c r="IT3001" s="470"/>
      <c r="IU3001" s="449"/>
      <c r="IV3001" s="462"/>
      <c r="IW3001" s="299"/>
      <c r="IX3001" s="81"/>
      <c r="IY3001" s="160"/>
      <c r="IZ3001" s="571"/>
      <c r="JA3001" s="125"/>
      <c r="JB3001" s="470"/>
      <c r="JC3001" s="449"/>
      <c r="JD3001" s="462"/>
      <c r="JE3001" s="299"/>
      <c r="JF3001" s="81"/>
      <c r="JG3001" s="160"/>
      <c r="JH3001" s="571"/>
      <c r="JI3001" s="125"/>
      <c r="JJ3001" s="470"/>
      <c r="JK3001" s="449"/>
      <c r="JL3001" s="462"/>
      <c r="JM3001" s="299"/>
      <c r="JN3001" s="81"/>
      <c r="JO3001" s="160"/>
      <c r="JP3001" s="571"/>
      <c r="JQ3001" s="125"/>
      <c r="JR3001" s="470"/>
      <c r="JS3001" s="449"/>
      <c r="JT3001" s="462"/>
      <c r="JU3001" s="299"/>
      <c r="JV3001" s="81"/>
      <c r="JW3001" s="160"/>
      <c r="JX3001" s="571"/>
      <c r="JY3001" s="125"/>
      <c r="JZ3001" s="470"/>
      <c r="KA3001" s="449"/>
      <c r="KB3001" s="462"/>
      <c r="KC3001" s="299"/>
      <c r="KD3001" s="81"/>
      <c r="KE3001" s="160"/>
      <c r="KF3001" s="571"/>
      <c r="KG3001" s="125"/>
      <c r="KH3001" s="470"/>
      <c r="KI3001" s="449"/>
      <c r="KJ3001" s="462"/>
      <c r="KK3001" s="299"/>
      <c r="KL3001" s="81"/>
      <c r="KM3001" s="160"/>
      <c r="KN3001" s="571"/>
      <c r="KO3001" s="125"/>
      <c r="KP3001" s="470"/>
      <c r="KQ3001" s="449"/>
      <c r="KR3001" s="462"/>
      <c r="KS3001" s="299"/>
      <c r="KT3001" s="81"/>
      <c r="KU3001" s="160"/>
      <c r="KV3001" s="571"/>
      <c r="KW3001" s="125"/>
      <c r="KX3001" s="470"/>
      <c r="KY3001" s="449"/>
      <c r="KZ3001" s="462"/>
      <c r="LA3001" s="299"/>
      <c r="LB3001" s="81"/>
      <c r="LC3001" s="160"/>
      <c r="LD3001" s="571"/>
      <c r="LE3001" s="125"/>
      <c r="LF3001" s="470"/>
      <c r="LG3001" s="449"/>
      <c r="LH3001" s="462"/>
      <c r="LI3001" s="299"/>
      <c r="LJ3001" s="81"/>
      <c r="LK3001" s="160"/>
      <c r="LL3001" s="571"/>
      <c r="LM3001" s="125"/>
      <c r="LN3001" s="470"/>
      <c r="LO3001" s="449"/>
      <c r="LP3001" s="462"/>
      <c r="LQ3001" s="299"/>
      <c r="LR3001" s="81"/>
      <c r="LS3001" s="160"/>
      <c r="LT3001" s="571"/>
      <c r="LU3001" s="125"/>
      <c r="LV3001" s="470"/>
      <c r="LW3001" s="449"/>
      <c r="LX3001" s="462"/>
      <c r="LY3001" s="299"/>
      <c r="LZ3001" s="81"/>
      <c r="MA3001" s="160"/>
      <c r="MB3001" s="571"/>
      <c r="MC3001" s="125"/>
      <c r="MD3001" s="470"/>
      <c r="ME3001" s="449"/>
      <c r="MF3001" s="462"/>
      <c r="MG3001" s="299"/>
      <c r="MH3001" s="81"/>
      <c r="MI3001" s="160"/>
      <c r="MJ3001" s="571"/>
      <c r="MK3001" s="125"/>
      <c r="ML3001" s="470"/>
      <c r="MM3001" s="449"/>
      <c r="MN3001" s="462"/>
      <c r="MO3001" s="299"/>
      <c r="MP3001" s="81"/>
      <c r="MQ3001" s="160"/>
      <c r="MR3001" s="571"/>
      <c r="MS3001" s="125"/>
      <c r="MT3001" s="470"/>
      <c r="MU3001" s="449"/>
      <c r="MV3001" s="462"/>
      <c r="MW3001" s="299"/>
      <c r="MX3001" s="81"/>
      <c r="MY3001" s="160"/>
      <c r="MZ3001" s="571"/>
      <c r="NA3001" s="125"/>
      <c r="NB3001" s="470"/>
      <c r="NC3001" s="449"/>
      <c r="ND3001" s="462"/>
      <c r="NE3001" s="299"/>
      <c r="NF3001" s="81"/>
      <c r="NG3001" s="160"/>
      <c r="NH3001" s="571"/>
      <c r="NI3001" s="125"/>
      <c r="NJ3001" s="470"/>
      <c r="NK3001" s="449"/>
      <c r="NL3001" s="462"/>
      <c r="NM3001" s="299"/>
      <c r="NN3001" s="81"/>
      <c r="NO3001" s="160"/>
      <c r="NP3001" s="571"/>
      <c r="NQ3001" s="125"/>
      <c r="NR3001" s="470"/>
      <c r="NS3001" s="449"/>
      <c r="NT3001" s="462"/>
      <c r="NU3001" s="299"/>
      <c r="NV3001" s="81"/>
      <c r="NW3001" s="160"/>
      <c r="NX3001" s="571"/>
      <c r="NY3001" s="125"/>
      <c r="NZ3001" s="470"/>
      <c r="OA3001" s="449"/>
      <c r="OB3001" s="462"/>
      <c r="OC3001" s="299"/>
      <c r="OD3001" s="81"/>
      <c r="OE3001" s="160"/>
      <c r="OF3001" s="571"/>
      <c r="OG3001" s="125"/>
      <c r="OH3001" s="470"/>
      <c r="OI3001" s="449"/>
      <c r="OJ3001" s="462"/>
      <c r="OK3001" s="299"/>
      <c r="OL3001" s="81"/>
      <c r="OM3001" s="160"/>
      <c r="ON3001" s="571"/>
      <c r="OO3001" s="125"/>
      <c r="OP3001" s="470"/>
      <c r="OQ3001" s="449"/>
      <c r="OR3001" s="462"/>
      <c r="OS3001" s="299"/>
      <c r="OT3001" s="81"/>
      <c r="OU3001" s="160"/>
      <c r="OV3001" s="571"/>
      <c r="OW3001" s="125"/>
      <c r="OX3001" s="470"/>
      <c r="OY3001" s="449"/>
      <c r="OZ3001" s="462"/>
      <c r="PA3001" s="299"/>
      <c r="PB3001" s="81"/>
      <c r="PC3001" s="160"/>
      <c r="PD3001" s="571"/>
      <c r="PE3001" s="125"/>
      <c r="PF3001" s="470"/>
      <c r="PG3001" s="449"/>
      <c r="PH3001" s="462"/>
      <c r="PI3001" s="299"/>
      <c r="PJ3001" s="81"/>
      <c r="PK3001" s="160"/>
      <c r="PL3001" s="571"/>
      <c r="PM3001" s="125"/>
      <c r="PN3001" s="470"/>
      <c r="PO3001" s="449"/>
      <c r="PP3001" s="462"/>
      <c r="PQ3001" s="299"/>
      <c r="PR3001" s="81"/>
      <c r="PS3001" s="160"/>
      <c r="PT3001" s="571"/>
      <c r="PU3001" s="125"/>
      <c r="PV3001" s="470"/>
      <c r="PW3001" s="449"/>
      <c r="PX3001" s="462"/>
      <c r="PY3001" s="299"/>
      <c r="PZ3001" s="81"/>
      <c r="QA3001" s="160"/>
      <c r="QB3001" s="571"/>
      <c r="QC3001" s="125"/>
      <c r="QD3001" s="470"/>
      <c r="QE3001" s="449"/>
      <c r="QF3001" s="462"/>
      <c r="QG3001" s="299"/>
      <c r="QH3001" s="81"/>
      <c r="QI3001" s="160"/>
      <c r="QJ3001" s="571"/>
      <c r="QK3001" s="125"/>
      <c r="QL3001" s="470"/>
      <c r="QM3001" s="449"/>
      <c r="QN3001" s="462"/>
      <c r="QO3001" s="299"/>
      <c r="QP3001" s="81"/>
      <c r="QQ3001" s="160"/>
      <c r="QR3001" s="571"/>
      <c r="QS3001" s="125"/>
      <c r="QT3001" s="470"/>
      <c r="QU3001" s="449"/>
      <c r="QV3001" s="462"/>
      <c r="QW3001" s="299"/>
      <c r="QX3001" s="81"/>
      <c r="QY3001" s="160"/>
      <c r="QZ3001" s="571"/>
      <c r="RA3001" s="125"/>
      <c r="RB3001" s="470"/>
      <c r="RC3001" s="449"/>
      <c r="RD3001" s="462"/>
      <c r="RE3001" s="299"/>
      <c r="RF3001" s="81"/>
      <c r="RG3001" s="160"/>
      <c r="RH3001" s="571"/>
      <c r="RI3001" s="125"/>
      <c r="RJ3001" s="470"/>
      <c r="RK3001" s="449"/>
      <c r="RL3001" s="462"/>
      <c r="RM3001" s="299"/>
      <c r="RN3001" s="81"/>
      <c r="RO3001" s="160"/>
      <c r="RP3001" s="571"/>
      <c r="RQ3001" s="125"/>
      <c r="RR3001" s="470"/>
      <c r="RS3001" s="449"/>
      <c r="RT3001" s="462"/>
      <c r="RU3001" s="299"/>
      <c r="RV3001" s="81"/>
      <c r="RW3001" s="160"/>
      <c r="RX3001" s="571"/>
      <c r="RY3001" s="125"/>
      <c r="RZ3001" s="470"/>
      <c r="SA3001" s="449"/>
      <c r="SB3001" s="462"/>
      <c r="SC3001" s="299"/>
      <c r="SD3001" s="81"/>
      <c r="SE3001" s="160"/>
      <c r="SF3001" s="571"/>
      <c r="SG3001" s="125"/>
      <c r="SH3001" s="470"/>
      <c r="SI3001" s="449"/>
      <c r="SJ3001" s="462"/>
      <c r="SK3001" s="299"/>
      <c r="SL3001" s="81"/>
      <c r="SM3001" s="160"/>
      <c r="SN3001" s="571"/>
      <c r="SO3001" s="125"/>
      <c r="SP3001" s="470"/>
      <c r="SQ3001" s="449"/>
      <c r="SR3001" s="462"/>
      <c r="SS3001" s="299"/>
      <c r="ST3001" s="81"/>
      <c r="SU3001" s="160"/>
      <c r="SV3001" s="571"/>
      <c r="SW3001" s="125"/>
      <c r="SX3001" s="470"/>
      <c r="SY3001" s="449"/>
      <c r="SZ3001" s="462"/>
      <c r="TA3001" s="299"/>
      <c r="TB3001" s="81"/>
      <c r="TC3001" s="160"/>
      <c r="TD3001" s="571"/>
      <c r="TE3001" s="125"/>
      <c r="TF3001" s="470"/>
      <c r="TG3001" s="449"/>
      <c r="TH3001" s="462"/>
      <c r="TI3001" s="299"/>
      <c r="TJ3001" s="81"/>
      <c r="TK3001" s="160"/>
      <c r="TL3001" s="571"/>
      <c r="TM3001" s="125"/>
      <c r="TN3001" s="470"/>
      <c r="TO3001" s="449"/>
      <c r="TP3001" s="462"/>
      <c r="TQ3001" s="299"/>
      <c r="TR3001" s="81"/>
      <c r="TS3001" s="160"/>
      <c r="TT3001" s="571"/>
      <c r="TU3001" s="125"/>
      <c r="TV3001" s="470"/>
      <c r="TW3001" s="449"/>
      <c r="TX3001" s="462"/>
      <c r="TY3001" s="299"/>
      <c r="TZ3001" s="81"/>
      <c r="UA3001" s="160"/>
      <c r="UB3001" s="571"/>
      <c r="UC3001" s="125"/>
      <c r="UD3001" s="470"/>
      <c r="UE3001" s="449"/>
      <c r="UF3001" s="462"/>
      <c r="UG3001" s="299"/>
      <c r="UH3001" s="81"/>
      <c r="UI3001" s="160"/>
      <c r="UJ3001" s="571"/>
      <c r="UK3001" s="125"/>
      <c r="UL3001" s="470"/>
      <c r="UM3001" s="449"/>
      <c r="UN3001" s="462"/>
      <c r="UO3001" s="299"/>
      <c r="UP3001" s="81"/>
      <c r="UQ3001" s="160"/>
      <c r="UR3001" s="571"/>
      <c r="US3001" s="125"/>
      <c r="UT3001" s="470"/>
      <c r="UU3001" s="449"/>
      <c r="UV3001" s="462"/>
      <c r="UW3001" s="299"/>
      <c r="UX3001" s="81"/>
      <c r="UY3001" s="160"/>
      <c r="UZ3001" s="571"/>
      <c r="VA3001" s="125"/>
      <c r="VB3001" s="470"/>
      <c r="VC3001" s="449"/>
      <c r="VD3001" s="462"/>
      <c r="VE3001" s="299"/>
      <c r="VF3001" s="81"/>
      <c r="VG3001" s="160"/>
      <c r="VH3001" s="571"/>
      <c r="VI3001" s="125"/>
      <c r="VJ3001" s="470"/>
      <c r="VK3001" s="449"/>
      <c r="VL3001" s="462"/>
      <c r="VM3001" s="299"/>
      <c r="VN3001" s="81"/>
      <c r="VO3001" s="160"/>
      <c r="VP3001" s="571"/>
      <c r="VQ3001" s="125"/>
      <c r="VR3001" s="470"/>
      <c r="VS3001" s="449"/>
      <c r="VT3001" s="462"/>
      <c r="VU3001" s="299"/>
      <c r="VV3001" s="81"/>
      <c r="VW3001" s="160"/>
      <c r="VX3001" s="571"/>
      <c r="VY3001" s="125"/>
      <c r="VZ3001" s="470"/>
      <c r="WA3001" s="449"/>
      <c r="WB3001" s="462"/>
      <c r="WC3001" s="299"/>
      <c r="WD3001" s="81"/>
      <c r="WE3001" s="160"/>
      <c r="WF3001" s="571"/>
      <c r="WG3001" s="125"/>
      <c r="WH3001" s="470"/>
      <c r="WI3001" s="449"/>
      <c r="WJ3001" s="462"/>
      <c r="WK3001" s="299"/>
      <c r="WL3001" s="81"/>
      <c r="WM3001" s="160"/>
      <c r="WN3001" s="571"/>
      <c r="WO3001" s="125"/>
      <c r="WP3001" s="470"/>
      <c r="WQ3001" s="449"/>
      <c r="WR3001" s="462"/>
      <c r="WS3001" s="299"/>
      <c r="WT3001" s="81"/>
      <c r="WU3001" s="160"/>
      <c r="WV3001" s="571"/>
      <c r="WW3001" s="125"/>
      <c r="WX3001" s="470"/>
      <c r="WY3001" s="449"/>
      <c r="WZ3001" s="462"/>
      <c r="XA3001" s="299"/>
      <c r="XB3001" s="81"/>
      <c r="XC3001" s="160"/>
      <c r="XD3001" s="571"/>
      <c r="XE3001" s="125"/>
      <c r="XF3001" s="470"/>
      <c r="XG3001" s="449"/>
      <c r="XH3001" s="462"/>
      <c r="XI3001" s="299"/>
      <c r="XJ3001" s="81"/>
      <c r="XK3001" s="160"/>
      <c r="XL3001" s="571"/>
      <c r="XM3001" s="125"/>
      <c r="XN3001" s="470"/>
      <c r="XO3001" s="449"/>
      <c r="XP3001" s="462"/>
      <c r="XQ3001" s="299"/>
      <c r="XR3001" s="81"/>
      <c r="XS3001" s="160"/>
      <c r="XT3001" s="571"/>
      <c r="XU3001" s="125"/>
      <c r="XV3001" s="470"/>
      <c r="XW3001" s="449"/>
      <c r="XX3001" s="462"/>
      <c r="XY3001" s="299"/>
      <c r="XZ3001" s="81"/>
      <c r="YA3001" s="160"/>
      <c r="YB3001" s="571"/>
      <c r="YC3001" s="125"/>
      <c r="YD3001" s="470"/>
      <c r="YE3001" s="449"/>
      <c r="YF3001" s="462"/>
      <c r="YG3001" s="299"/>
      <c r="YH3001" s="81"/>
      <c r="YI3001" s="160"/>
      <c r="YJ3001" s="571"/>
      <c r="YK3001" s="125"/>
      <c r="YL3001" s="470"/>
      <c r="YM3001" s="449"/>
      <c r="YN3001" s="462"/>
      <c r="YO3001" s="299"/>
      <c r="YP3001" s="81"/>
      <c r="YQ3001" s="160"/>
      <c r="YR3001" s="571"/>
      <c r="YS3001" s="125"/>
      <c r="YT3001" s="470"/>
      <c r="YU3001" s="449"/>
      <c r="YV3001" s="462"/>
      <c r="YW3001" s="299"/>
      <c r="YX3001" s="81"/>
      <c r="YY3001" s="160"/>
      <c r="YZ3001" s="571"/>
      <c r="ZA3001" s="125"/>
      <c r="ZB3001" s="470"/>
      <c r="ZC3001" s="449"/>
      <c r="ZD3001" s="462"/>
      <c r="ZE3001" s="299"/>
      <c r="ZF3001" s="81"/>
      <c r="ZG3001" s="160"/>
      <c r="ZH3001" s="571"/>
      <c r="ZI3001" s="125"/>
      <c r="ZJ3001" s="470"/>
      <c r="ZK3001" s="449"/>
      <c r="ZL3001" s="462"/>
      <c r="ZM3001" s="299"/>
      <c r="ZN3001" s="81"/>
      <c r="ZO3001" s="160"/>
      <c r="ZP3001" s="571"/>
      <c r="ZQ3001" s="125"/>
      <c r="ZR3001" s="470"/>
      <c r="ZS3001" s="449"/>
      <c r="ZT3001" s="462"/>
      <c r="ZU3001" s="299"/>
      <c r="ZV3001" s="81"/>
      <c r="ZW3001" s="160"/>
      <c r="ZX3001" s="571"/>
      <c r="ZY3001" s="125"/>
      <c r="ZZ3001" s="470"/>
      <c r="AAA3001" s="449"/>
      <c r="AAB3001" s="462"/>
      <c r="AAC3001" s="299"/>
      <c r="AAD3001" s="81"/>
      <c r="AAE3001" s="160"/>
      <c r="AAF3001" s="571"/>
      <c r="AAG3001" s="125"/>
      <c r="AAH3001" s="470"/>
      <c r="AAI3001" s="449"/>
      <c r="AAJ3001" s="462"/>
      <c r="AAK3001" s="299"/>
      <c r="AAL3001" s="81"/>
      <c r="AAM3001" s="160"/>
      <c r="AAN3001" s="571"/>
      <c r="AAO3001" s="125"/>
      <c r="AAP3001" s="470"/>
      <c r="AAQ3001" s="449"/>
      <c r="AAR3001" s="462"/>
      <c r="AAS3001" s="299"/>
      <c r="AAT3001" s="81"/>
      <c r="AAU3001" s="160"/>
      <c r="AAV3001" s="571"/>
      <c r="AAW3001" s="125"/>
      <c r="AAX3001" s="470"/>
      <c r="AAY3001" s="449"/>
      <c r="AAZ3001" s="462"/>
      <c r="ABA3001" s="299"/>
      <c r="ABB3001" s="81"/>
      <c r="ABC3001" s="160"/>
      <c r="ABD3001" s="571"/>
      <c r="ABE3001" s="125"/>
      <c r="ABF3001" s="470"/>
      <c r="ABG3001" s="449"/>
      <c r="ABH3001" s="462"/>
      <c r="ABI3001" s="299"/>
      <c r="ABJ3001" s="81"/>
      <c r="ABK3001" s="160"/>
      <c r="ABL3001" s="571"/>
      <c r="ABM3001" s="125"/>
      <c r="ABN3001" s="470"/>
      <c r="ABO3001" s="449"/>
      <c r="ABP3001" s="462"/>
      <c r="ABQ3001" s="299"/>
      <c r="ABR3001" s="81"/>
      <c r="ABS3001" s="160"/>
      <c r="ABT3001" s="571"/>
      <c r="ABU3001" s="125"/>
      <c r="ABV3001" s="470"/>
      <c r="ABW3001" s="449"/>
      <c r="ABX3001" s="462"/>
      <c r="ABY3001" s="299"/>
      <c r="ABZ3001" s="81"/>
      <c r="ACA3001" s="160"/>
      <c r="ACB3001" s="571"/>
      <c r="ACC3001" s="125"/>
      <c r="ACD3001" s="470"/>
      <c r="ACE3001" s="449"/>
      <c r="ACF3001" s="462"/>
      <c r="ACG3001" s="299"/>
      <c r="ACH3001" s="81"/>
      <c r="ACI3001" s="160"/>
      <c r="ACJ3001" s="571"/>
      <c r="ACK3001" s="125"/>
      <c r="ACL3001" s="470"/>
      <c r="ACM3001" s="449"/>
      <c r="ACN3001" s="462"/>
      <c r="ACO3001" s="299"/>
      <c r="ACP3001" s="81"/>
      <c r="ACQ3001" s="160"/>
      <c r="ACR3001" s="571"/>
      <c r="ACS3001" s="125"/>
      <c r="ACT3001" s="470"/>
      <c r="ACU3001" s="449"/>
      <c r="ACV3001" s="462"/>
      <c r="ACW3001" s="299"/>
      <c r="ACX3001" s="81"/>
      <c r="ACY3001" s="160"/>
      <c r="ACZ3001" s="571"/>
      <c r="ADA3001" s="125"/>
      <c r="ADB3001" s="470"/>
      <c r="ADC3001" s="449"/>
      <c r="ADD3001" s="462"/>
      <c r="ADE3001" s="299"/>
      <c r="ADF3001" s="81"/>
      <c r="ADG3001" s="160"/>
      <c r="ADH3001" s="571"/>
      <c r="ADI3001" s="125"/>
      <c r="ADJ3001" s="470"/>
      <c r="ADK3001" s="449"/>
      <c r="ADL3001" s="462"/>
      <c r="ADM3001" s="299"/>
      <c r="ADN3001" s="81"/>
      <c r="ADO3001" s="160"/>
      <c r="ADP3001" s="571"/>
      <c r="ADQ3001" s="125"/>
      <c r="ADR3001" s="470"/>
      <c r="ADS3001" s="449"/>
      <c r="ADT3001" s="462"/>
      <c r="ADU3001" s="299"/>
      <c r="ADV3001" s="81"/>
      <c r="ADW3001" s="160"/>
      <c r="ADX3001" s="571"/>
      <c r="ADY3001" s="125"/>
      <c r="ADZ3001" s="470"/>
      <c r="AEA3001" s="449"/>
      <c r="AEB3001" s="462"/>
      <c r="AEC3001" s="299"/>
      <c r="AED3001" s="81"/>
      <c r="AEE3001" s="160"/>
      <c r="AEF3001" s="571"/>
      <c r="AEG3001" s="125"/>
      <c r="AEH3001" s="470"/>
      <c r="AEI3001" s="449"/>
      <c r="AEJ3001" s="462"/>
      <c r="AEK3001" s="299"/>
      <c r="AEL3001" s="81"/>
      <c r="AEM3001" s="160"/>
      <c r="AEN3001" s="571"/>
      <c r="AEO3001" s="125"/>
      <c r="AEP3001" s="470"/>
      <c r="AEQ3001" s="449"/>
      <c r="AER3001" s="462"/>
      <c r="AES3001" s="299"/>
      <c r="AET3001" s="81"/>
      <c r="AEU3001" s="160"/>
      <c r="AEV3001" s="571"/>
      <c r="AEW3001" s="125"/>
      <c r="AEX3001" s="470"/>
      <c r="AEY3001" s="449"/>
      <c r="AEZ3001" s="462"/>
      <c r="AFA3001" s="299"/>
      <c r="AFB3001" s="81"/>
      <c r="AFC3001" s="160"/>
      <c r="AFD3001" s="571"/>
      <c r="AFE3001" s="125"/>
      <c r="AFF3001" s="470"/>
      <c r="AFG3001" s="449"/>
      <c r="AFH3001" s="462"/>
      <c r="AFI3001" s="299"/>
      <c r="AFJ3001" s="81"/>
      <c r="AFK3001" s="160"/>
      <c r="AFL3001" s="571"/>
      <c r="AFM3001" s="125"/>
      <c r="AFN3001" s="470"/>
      <c r="AFO3001" s="449"/>
      <c r="AFP3001" s="462"/>
      <c r="AFQ3001" s="299"/>
      <c r="AFR3001" s="81"/>
      <c r="AFS3001" s="160"/>
      <c r="AFT3001" s="571"/>
      <c r="AFU3001" s="125"/>
      <c r="AFV3001" s="470"/>
      <c r="AFW3001" s="449"/>
      <c r="AFX3001" s="462"/>
      <c r="AFY3001" s="299"/>
      <c r="AFZ3001" s="81"/>
      <c r="AGA3001" s="160"/>
      <c r="AGB3001" s="571"/>
      <c r="AGC3001" s="125"/>
      <c r="AGD3001" s="470"/>
      <c r="AGE3001" s="449"/>
      <c r="AGF3001" s="462"/>
      <c r="AGG3001" s="299"/>
      <c r="AGH3001" s="81"/>
      <c r="AGI3001" s="160"/>
      <c r="AGJ3001" s="571"/>
      <c r="AGK3001" s="125"/>
      <c r="AGL3001" s="470"/>
      <c r="AGM3001" s="449"/>
      <c r="AGN3001" s="462"/>
      <c r="AGO3001" s="299"/>
      <c r="AGP3001" s="81"/>
      <c r="AGQ3001" s="160"/>
      <c r="AGR3001" s="571"/>
      <c r="AGS3001" s="125"/>
      <c r="AGT3001" s="470"/>
      <c r="AGU3001" s="449"/>
      <c r="AGV3001" s="462"/>
      <c r="AGW3001" s="299"/>
      <c r="AGX3001" s="81"/>
      <c r="AGY3001" s="160"/>
      <c r="AGZ3001" s="571"/>
      <c r="AHA3001" s="125"/>
      <c r="AHB3001" s="470"/>
      <c r="AHC3001" s="449"/>
      <c r="AHD3001" s="462"/>
      <c r="AHE3001" s="299"/>
      <c r="AHF3001" s="81"/>
      <c r="AHG3001" s="160"/>
      <c r="AHH3001" s="571"/>
      <c r="AHI3001" s="125"/>
      <c r="AHJ3001" s="470"/>
      <c r="AHK3001" s="449"/>
      <c r="AHL3001" s="462"/>
      <c r="AHM3001" s="299"/>
      <c r="AHN3001" s="81"/>
      <c r="AHO3001" s="160"/>
      <c r="AHP3001" s="571"/>
      <c r="AHQ3001" s="125"/>
      <c r="AHR3001" s="470"/>
      <c r="AHS3001" s="449"/>
      <c r="AHT3001" s="462"/>
      <c r="AHU3001" s="299"/>
      <c r="AHV3001" s="81"/>
      <c r="AHW3001" s="160"/>
      <c r="AHX3001" s="571"/>
      <c r="AHY3001" s="125"/>
      <c r="AHZ3001" s="470"/>
      <c r="AIA3001" s="449"/>
      <c r="AIB3001" s="462"/>
      <c r="AIC3001" s="299"/>
      <c r="AID3001" s="81"/>
      <c r="AIE3001" s="160"/>
      <c r="AIF3001" s="571"/>
      <c r="AIG3001" s="125"/>
      <c r="AIH3001" s="470"/>
      <c r="AII3001" s="449"/>
      <c r="AIJ3001" s="462"/>
      <c r="AIK3001" s="299"/>
      <c r="AIL3001" s="81"/>
      <c r="AIM3001" s="160"/>
      <c r="AIN3001" s="571"/>
      <c r="AIO3001" s="125"/>
      <c r="AIP3001" s="470"/>
      <c r="AIQ3001" s="449"/>
      <c r="AIR3001" s="462"/>
      <c r="AIS3001" s="299"/>
      <c r="AIT3001" s="81"/>
      <c r="AIU3001" s="160"/>
      <c r="AIV3001" s="571"/>
      <c r="AIW3001" s="125"/>
      <c r="AIX3001" s="470"/>
      <c r="AIY3001" s="449"/>
      <c r="AIZ3001" s="462"/>
      <c r="AJA3001" s="299"/>
      <c r="AJB3001" s="81"/>
      <c r="AJC3001" s="160"/>
      <c r="AJD3001" s="571"/>
      <c r="AJE3001" s="125"/>
      <c r="AJF3001" s="470"/>
      <c r="AJG3001" s="449"/>
      <c r="AJH3001" s="462"/>
      <c r="AJI3001" s="299"/>
      <c r="AJJ3001" s="81"/>
      <c r="AJK3001" s="160"/>
      <c r="AJL3001" s="571"/>
      <c r="AJM3001" s="125"/>
      <c r="AJN3001" s="470"/>
      <c r="AJO3001" s="449"/>
      <c r="AJP3001" s="462"/>
      <c r="AJQ3001" s="299"/>
      <c r="AJR3001" s="81"/>
      <c r="AJS3001" s="160"/>
      <c r="AJT3001" s="571"/>
      <c r="AJU3001" s="125"/>
      <c r="AJV3001" s="470"/>
      <c r="AJW3001" s="449"/>
      <c r="AJX3001" s="462"/>
      <c r="AJY3001" s="299"/>
      <c r="AJZ3001" s="81"/>
      <c r="AKA3001" s="160"/>
      <c r="AKB3001" s="571"/>
      <c r="AKC3001" s="125"/>
      <c r="AKD3001" s="470"/>
      <c r="AKE3001" s="449"/>
      <c r="AKF3001" s="462"/>
      <c r="AKG3001" s="299"/>
      <c r="AKH3001" s="81"/>
      <c r="AKI3001" s="160"/>
      <c r="AKJ3001" s="571"/>
      <c r="AKK3001" s="125"/>
      <c r="AKL3001" s="470"/>
      <c r="AKM3001" s="449"/>
      <c r="AKN3001" s="462"/>
      <c r="AKO3001" s="299"/>
      <c r="AKP3001" s="81"/>
      <c r="AKQ3001" s="160"/>
      <c r="AKR3001" s="571"/>
      <c r="AKS3001" s="125"/>
      <c r="AKT3001" s="470"/>
      <c r="AKU3001" s="449"/>
      <c r="AKV3001" s="462"/>
      <c r="AKW3001" s="299"/>
      <c r="AKX3001" s="81"/>
      <c r="AKY3001" s="160"/>
      <c r="AKZ3001" s="571"/>
      <c r="ALA3001" s="125"/>
      <c r="ALB3001" s="470"/>
      <c r="ALC3001" s="449"/>
      <c r="ALD3001" s="462"/>
      <c r="ALE3001" s="299"/>
      <c r="ALF3001" s="81"/>
      <c r="ALG3001" s="160"/>
      <c r="ALH3001" s="571"/>
      <c r="ALI3001" s="125"/>
      <c r="ALJ3001" s="470"/>
      <c r="ALK3001" s="449"/>
      <c r="ALL3001" s="462"/>
      <c r="ALM3001" s="299"/>
      <c r="ALN3001" s="81"/>
      <c r="ALO3001" s="160"/>
      <c r="ALP3001" s="571"/>
      <c r="ALQ3001" s="125"/>
      <c r="ALR3001" s="470"/>
      <c r="ALS3001" s="449"/>
      <c r="ALT3001" s="462"/>
      <c r="ALU3001" s="299"/>
      <c r="ALV3001" s="81"/>
      <c r="ALW3001" s="160"/>
      <c r="ALX3001" s="571"/>
      <c r="ALY3001" s="125"/>
      <c r="ALZ3001" s="470"/>
      <c r="AMA3001" s="449"/>
      <c r="AMB3001" s="462"/>
      <c r="AMC3001" s="299"/>
      <c r="AMD3001" s="81"/>
      <c r="AME3001" s="160"/>
      <c r="AMF3001" s="571"/>
      <c r="AMG3001" s="125"/>
      <c r="AMH3001" s="470"/>
      <c r="AMI3001" s="449"/>
      <c r="AMJ3001" s="462"/>
      <c r="AMK3001" s="299"/>
      <c r="AML3001" s="81"/>
      <c r="AMM3001" s="160"/>
      <c r="AMN3001" s="571"/>
      <c r="AMO3001" s="125"/>
      <c r="AMP3001" s="470"/>
      <c r="AMQ3001" s="449"/>
      <c r="AMR3001" s="462"/>
      <c r="AMS3001" s="299"/>
      <c r="AMT3001" s="81"/>
      <c r="AMU3001" s="160"/>
      <c r="AMV3001" s="571"/>
      <c r="AMW3001" s="125"/>
      <c r="AMX3001" s="470"/>
      <c r="AMY3001" s="449"/>
      <c r="AMZ3001" s="462"/>
      <c r="ANA3001" s="299"/>
      <c r="ANB3001" s="81"/>
      <c r="ANC3001" s="160"/>
      <c r="AND3001" s="571"/>
      <c r="ANE3001" s="125"/>
      <c r="ANF3001" s="470"/>
      <c r="ANG3001" s="449"/>
      <c r="ANH3001" s="462"/>
      <c r="ANI3001" s="299"/>
      <c r="ANJ3001" s="81"/>
      <c r="ANK3001" s="160"/>
      <c r="ANL3001" s="571"/>
      <c r="ANM3001" s="125"/>
      <c r="ANN3001" s="470"/>
      <c r="ANO3001" s="449"/>
      <c r="ANP3001" s="462"/>
      <c r="ANQ3001" s="299"/>
      <c r="ANR3001" s="81"/>
      <c r="ANS3001" s="160"/>
      <c r="ANT3001" s="571"/>
      <c r="ANU3001" s="125"/>
      <c r="ANV3001" s="470"/>
      <c r="ANW3001" s="449"/>
      <c r="ANX3001" s="462"/>
      <c r="ANY3001" s="299"/>
      <c r="ANZ3001" s="81"/>
      <c r="AOA3001" s="160"/>
      <c r="AOB3001" s="571"/>
      <c r="AOC3001" s="125"/>
      <c r="AOD3001" s="470"/>
      <c r="AOE3001" s="449"/>
      <c r="AOF3001" s="462"/>
      <c r="AOG3001" s="299"/>
      <c r="AOH3001" s="81"/>
      <c r="AOI3001" s="160"/>
      <c r="AOJ3001" s="571"/>
      <c r="AOK3001" s="125"/>
      <c r="AOL3001" s="470"/>
      <c r="AOM3001" s="449"/>
      <c r="AON3001" s="462"/>
      <c r="AOO3001" s="299"/>
      <c r="AOP3001" s="81"/>
      <c r="AOQ3001" s="160"/>
      <c r="AOR3001" s="571"/>
      <c r="AOS3001" s="125"/>
      <c r="AOT3001" s="470"/>
      <c r="AOU3001" s="449"/>
      <c r="AOV3001" s="462"/>
      <c r="AOW3001" s="299"/>
      <c r="AOX3001" s="81"/>
      <c r="AOY3001" s="160"/>
      <c r="AOZ3001" s="571"/>
      <c r="APA3001" s="125"/>
      <c r="APB3001" s="470"/>
      <c r="APC3001" s="449"/>
      <c r="APD3001" s="462"/>
      <c r="APE3001" s="299"/>
      <c r="APF3001" s="81"/>
      <c r="APG3001" s="160"/>
      <c r="APH3001" s="571"/>
      <c r="API3001" s="125"/>
      <c r="APJ3001" s="470"/>
      <c r="APK3001" s="449"/>
      <c r="APL3001" s="462"/>
      <c r="APM3001" s="299"/>
      <c r="APN3001" s="81"/>
      <c r="APO3001" s="160"/>
      <c r="APP3001" s="571"/>
      <c r="APQ3001" s="125"/>
      <c r="APR3001" s="470"/>
      <c r="APS3001" s="449"/>
      <c r="APT3001" s="462"/>
      <c r="APU3001" s="299"/>
      <c r="APV3001" s="81"/>
      <c r="APW3001" s="160"/>
      <c r="APX3001" s="571"/>
      <c r="APY3001" s="125"/>
      <c r="APZ3001" s="470"/>
      <c r="AQA3001" s="449"/>
      <c r="AQB3001" s="462"/>
      <c r="AQC3001" s="299"/>
      <c r="AQD3001" s="81"/>
      <c r="AQE3001" s="160"/>
      <c r="AQF3001" s="571"/>
      <c r="AQG3001" s="125"/>
      <c r="AQH3001" s="470"/>
      <c r="AQI3001" s="449"/>
      <c r="AQJ3001" s="462"/>
      <c r="AQK3001" s="299"/>
      <c r="AQL3001" s="81"/>
      <c r="AQM3001" s="160"/>
      <c r="AQN3001" s="571"/>
      <c r="AQO3001" s="125"/>
      <c r="AQP3001" s="470"/>
      <c r="AQQ3001" s="449"/>
      <c r="AQR3001" s="462"/>
      <c r="AQS3001" s="299"/>
      <c r="AQT3001" s="81"/>
      <c r="AQU3001" s="160"/>
      <c r="AQV3001" s="571"/>
      <c r="AQW3001" s="125"/>
      <c r="AQX3001" s="470"/>
      <c r="AQY3001" s="449"/>
      <c r="AQZ3001" s="462"/>
      <c r="ARA3001" s="299"/>
      <c r="ARB3001" s="81"/>
      <c r="ARC3001" s="160"/>
      <c r="ARD3001" s="571"/>
      <c r="ARE3001" s="125"/>
      <c r="ARF3001" s="470"/>
      <c r="ARG3001" s="449"/>
      <c r="ARH3001" s="462"/>
      <c r="ARI3001" s="299"/>
      <c r="ARJ3001" s="81"/>
      <c r="ARK3001" s="160"/>
      <c r="ARL3001" s="571"/>
      <c r="ARM3001" s="125"/>
      <c r="ARN3001" s="470"/>
      <c r="ARO3001" s="449"/>
      <c r="ARP3001" s="462"/>
      <c r="ARQ3001" s="299"/>
      <c r="ARR3001" s="81"/>
      <c r="ARS3001" s="160"/>
      <c r="ART3001" s="571"/>
      <c r="ARU3001" s="125"/>
      <c r="ARV3001" s="470"/>
      <c r="ARW3001" s="449"/>
      <c r="ARX3001" s="462"/>
      <c r="ARY3001" s="299"/>
      <c r="ARZ3001" s="81"/>
      <c r="ASA3001" s="160"/>
      <c r="ASB3001" s="571"/>
      <c r="ASC3001" s="125"/>
      <c r="ASD3001" s="470"/>
      <c r="ASE3001" s="449"/>
      <c r="ASF3001" s="462"/>
      <c r="ASG3001" s="299"/>
      <c r="ASH3001" s="81"/>
      <c r="ASI3001" s="160"/>
      <c r="ASJ3001" s="571"/>
      <c r="ASK3001" s="125"/>
      <c r="ASL3001" s="470"/>
      <c r="ASM3001" s="449"/>
      <c r="ASN3001" s="462"/>
      <c r="ASO3001" s="299"/>
      <c r="ASP3001" s="81"/>
      <c r="ASQ3001" s="160"/>
      <c r="ASR3001" s="571"/>
      <c r="ASS3001" s="125"/>
      <c r="AST3001" s="470"/>
      <c r="ASU3001" s="449"/>
      <c r="ASV3001" s="462"/>
      <c r="ASW3001" s="299"/>
      <c r="ASX3001" s="81"/>
      <c r="ASY3001" s="160"/>
      <c r="ASZ3001" s="571"/>
      <c r="ATA3001" s="125"/>
      <c r="ATB3001" s="470"/>
      <c r="ATC3001" s="449"/>
      <c r="ATD3001" s="462"/>
      <c r="ATE3001" s="299"/>
      <c r="ATF3001" s="81"/>
      <c r="ATG3001" s="160"/>
      <c r="ATH3001" s="571"/>
      <c r="ATI3001" s="125"/>
      <c r="ATJ3001" s="470"/>
      <c r="ATK3001" s="449"/>
      <c r="ATL3001" s="462"/>
      <c r="ATM3001" s="299"/>
      <c r="ATN3001" s="81"/>
      <c r="ATO3001" s="160"/>
      <c r="ATP3001" s="571"/>
      <c r="ATQ3001" s="125"/>
      <c r="ATR3001" s="470"/>
      <c r="ATS3001" s="449"/>
      <c r="ATT3001" s="462"/>
      <c r="ATU3001" s="299"/>
      <c r="ATV3001" s="81"/>
      <c r="ATW3001" s="160"/>
      <c r="ATX3001" s="571"/>
      <c r="ATY3001" s="125"/>
      <c r="ATZ3001" s="470"/>
      <c r="AUA3001" s="449"/>
      <c r="AUB3001" s="462"/>
      <c r="AUC3001" s="299"/>
      <c r="AUD3001" s="81"/>
      <c r="AUE3001" s="160"/>
      <c r="AUF3001" s="571"/>
      <c r="AUG3001" s="125"/>
      <c r="AUH3001" s="470"/>
      <c r="AUI3001" s="449"/>
      <c r="AUJ3001" s="462"/>
      <c r="AUK3001" s="299"/>
      <c r="AUL3001" s="81"/>
      <c r="AUM3001" s="160"/>
      <c r="AUN3001" s="571"/>
      <c r="AUO3001" s="125"/>
      <c r="AUP3001" s="470"/>
      <c r="AUQ3001" s="449"/>
      <c r="AUR3001" s="462"/>
      <c r="AUS3001" s="299"/>
      <c r="AUT3001" s="81"/>
      <c r="AUU3001" s="160"/>
      <c r="AUV3001" s="571"/>
      <c r="AUW3001" s="125"/>
      <c r="AUX3001" s="470"/>
      <c r="AUY3001" s="449"/>
      <c r="AUZ3001" s="462"/>
      <c r="AVA3001" s="299"/>
      <c r="AVB3001" s="81"/>
      <c r="AVC3001" s="160"/>
      <c r="AVD3001" s="571"/>
      <c r="AVE3001" s="125"/>
      <c r="AVF3001" s="470"/>
      <c r="AVG3001" s="449"/>
      <c r="AVH3001" s="462"/>
      <c r="AVI3001" s="299"/>
      <c r="AVJ3001" s="81"/>
      <c r="AVK3001" s="160"/>
      <c r="AVL3001" s="571"/>
      <c r="AVM3001" s="125"/>
      <c r="AVN3001" s="470"/>
      <c r="AVO3001" s="449"/>
      <c r="AVP3001" s="462"/>
      <c r="AVQ3001" s="299"/>
      <c r="AVR3001" s="81"/>
      <c r="AVS3001" s="160"/>
      <c r="AVT3001" s="571"/>
      <c r="AVU3001" s="125"/>
      <c r="AVV3001" s="470"/>
      <c r="AVW3001" s="449"/>
      <c r="AVX3001" s="462"/>
      <c r="AVY3001" s="299"/>
      <c r="AVZ3001" s="81"/>
      <c r="AWA3001" s="160"/>
      <c r="AWB3001" s="571"/>
      <c r="AWC3001" s="125"/>
      <c r="AWD3001" s="470"/>
      <c r="AWE3001" s="449"/>
      <c r="AWF3001" s="462"/>
      <c r="AWG3001" s="299"/>
      <c r="AWH3001" s="81"/>
      <c r="AWI3001" s="160"/>
      <c r="AWJ3001" s="571"/>
      <c r="AWK3001" s="125"/>
      <c r="AWL3001" s="470"/>
      <c r="AWM3001" s="449"/>
      <c r="AWN3001" s="462"/>
      <c r="AWO3001" s="299"/>
      <c r="AWP3001" s="81"/>
      <c r="AWQ3001" s="160"/>
      <c r="AWR3001" s="571"/>
      <c r="AWS3001" s="125"/>
      <c r="AWT3001" s="470"/>
      <c r="AWU3001" s="449"/>
      <c r="AWV3001" s="462"/>
      <c r="AWW3001" s="299"/>
      <c r="AWX3001" s="81"/>
      <c r="AWY3001" s="160"/>
      <c r="AWZ3001" s="571"/>
      <c r="AXA3001" s="125"/>
      <c r="AXB3001" s="470"/>
      <c r="AXC3001" s="449"/>
      <c r="AXD3001" s="462"/>
      <c r="AXE3001" s="299"/>
      <c r="AXF3001" s="81"/>
      <c r="AXG3001" s="160"/>
      <c r="AXH3001" s="571"/>
      <c r="AXI3001" s="125"/>
      <c r="AXJ3001" s="470"/>
      <c r="AXK3001" s="449"/>
      <c r="AXL3001" s="462"/>
      <c r="AXM3001" s="299"/>
      <c r="AXN3001" s="81"/>
      <c r="AXO3001" s="160"/>
      <c r="AXP3001" s="571"/>
      <c r="AXQ3001" s="125"/>
      <c r="AXR3001" s="470"/>
      <c r="AXS3001" s="449"/>
      <c r="AXT3001" s="462"/>
      <c r="AXU3001" s="299"/>
      <c r="AXV3001" s="81"/>
      <c r="AXW3001" s="160"/>
      <c r="AXX3001" s="571"/>
      <c r="AXY3001" s="125"/>
      <c r="AXZ3001" s="470"/>
      <c r="AYA3001" s="449"/>
      <c r="AYB3001" s="462"/>
      <c r="AYC3001" s="299"/>
      <c r="AYD3001" s="81"/>
      <c r="AYE3001" s="160"/>
      <c r="AYF3001" s="571"/>
      <c r="AYG3001" s="125"/>
      <c r="AYH3001" s="470"/>
      <c r="AYI3001" s="449"/>
      <c r="AYJ3001" s="462"/>
      <c r="AYK3001" s="299"/>
      <c r="AYL3001" s="81"/>
      <c r="AYM3001" s="160"/>
      <c r="AYN3001" s="571"/>
      <c r="AYO3001" s="125"/>
      <c r="AYP3001" s="470"/>
      <c r="AYQ3001" s="449"/>
      <c r="AYR3001" s="462"/>
      <c r="AYS3001" s="299"/>
      <c r="AYT3001" s="81"/>
      <c r="AYU3001" s="160"/>
      <c r="AYV3001" s="571"/>
      <c r="AYW3001" s="125"/>
      <c r="AYX3001" s="470"/>
      <c r="AYY3001" s="449"/>
      <c r="AYZ3001" s="462"/>
      <c r="AZA3001" s="299"/>
      <c r="AZB3001" s="81"/>
      <c r="AZC3001" s="160"/>
      <c r="AZD3001" s="571"/>
      <c r="AZE3001" s="125"/>
      <c r="AZF3001" s="470"/>
      <c r="AZG3001" s="449"/>
      <c r="AZH3001" s="462"/>
      <c r="AZI3001" s="299"/>
      <c r="AZJ3001" s="81"/>
      <c r="AZK3001" s="160"/>
      <c r="AZL3001" s="571"/>
      <c r="AZM3001" s="125"/>
      <c r="AZN3001" s="470"/>
      <c r="AZO3001" s="449"/>
      <c r="AZP3001" s="462"/>
      <c r="AZQ3001" s="299"/>
      <c r="AZR3001" s="81"/>
      <c r="AZS3001" s="160"/>
      <c r="AZT3001" s="571"/>
      <c r="AZU3001" s="125"/>
      <c r="AZV3001" s="470"/>
      <c r="AZW3001" s="449"/>
      <c r="AZX3001" s="462"/>
      <c r="AZY3001" s="299"/>
      <c r="AZZ3001" s="81"/>
      <c r="BAA3001" s="160"/>
      <c r="BAB3001" s="571"/>
      <c r="BAC3001" s="125"/>
      <c r="BAD3001" s="470"/>
      <c r="BAE3001" s="449"/>
      <c r="BAF3001" s="462"/>
      <c r="BAG3001" s="299"/>
      <c r="BAH3001" s="81"/>
      <c r="BAI3001" s="160"/>
      <c r="BAJ3001" s="571"/>
      <c r="BAK3001" s="125"/>
      <c r="BAL3001" s="470"/>
      <c r="BAM3001" s="449"/>
      <c r="BAN3001" s="462"/>
      <c r="BAO3001" s="299"/>
      <c r="BAP3001" s="81"/>
      <c r="BAQ3001" s="160"/>
      <c r="BAR3001" s="571"/>
      <c r="BAS3001" s="125"/>
      <c r="BAT3001" s="470"/>
      <c r="BAU3001" s="449"/>
      <c r="BAV3001" s="462"/>
      <c r="BAW3001" s="299"/>
      <c r="BAX3001" s="81"/>
      <c r="BAY3001" s="160"/>
      <c r="BAZ3001" s="571"/>
      <c r="BBA3001" s="125"/>
      <c r="BBB3001" s="470"/>
      <c r="BBC3001" s="449"/>
      <c r="BBD3001" s="462"/>
      <c r="BBE3001" s="299"/>
      <c r="BBF3001" s="81"/>
      <c r="BBG3001" s="160"/>
      <c r="BBH3001" s="571"/>
      <c r="BBI3001" s="125"/>
      <c r="BBJ3001" s="470"/>
      <c r="BBK3001" s="449"/>
      <c r="BBL3001" s="462"/>
      <c r="BBM3001" s="299"/>
      <c r="BBN3001" s="81"/>
      <c r="BBO3001" s="160"/>
      <c r="BBP3001" s="571"/>
      <c r="BBQ3001" s="125"/>
      <c r="BBR3001" s="470"/>
      <c r="BBS3001" s="449"/>
      <c r="BBT3001" s="462"/>
      <c r="BBU3001" s="299"/>
      <c r="BBV3001" s="81"/>
      <c r="BBW3001" s="160"/>
      <c r="BBX3001" s="571"/>
      <c r="BBY3001" s="125"/>
      <c r="BBZ3001" s="470"/>
      <c r="BCA3001" s="449"/>
      <c r="BCB3001" s="462"/>
      <c r="BCC3001" s="299"/>
      <c r="BCD3001" s="81"/>
      <c r="BCE3001" s="160"/>
      <c r="BCF3001" s="571"/>
      <c r="BCG3001" s="125"/>
      <c r="BCH3001" s="470"/>
      <c r="BCI3001" s="449"/>
      <c r="BCJ3001" s="462"/>
      <c r="BCK3001" s="299"/>
      <c r="BCL3001" s="81"/>
      <c r="BCM3001" s="160"/>
      <c r="BCN3001" s="571"/>
      <c r="BCO3001" s="125"/>
      <c r="BCP3001" s="470"/>
      <c r="BCQ3001" s="449"/>
      <c r="BCR3001" s="462"/>
      <c r="BCS3001" s="299"/>
      <c r="BCT3001" s="81"/>
      <c r="BCU3001" s="160"/>
      <c r="BCV3001" s="571"/>
      <c r="BCW3001" s="125"/>
      <c r="BCX3001" s="470"/>
      <c r="BCY3001" s="449"/>
      <c r="BCZ3001" s="462"/>
      <c r="BDA3001" s="299"/>
      <c r="BDB3001" s="81"/>
      <c r="BDC3001" s="160"/>
      <c r="BDD3001" s="571"/>
      <c r="BDE3001" s="125"/>
      <c r="BDF3001" s="470"/>
      <c r="BDG3001" s="449"/>
      <c r="BDH3001" s="462"/>
      <c r="BDI3001" s="299"/>
      <c r="BDJ3001" s="81"/>
      <c r="BDK3001" s="160"/>
      <c r="BDL3001" s="571"/>
      <c r="BDM3001" s="125"/>
      <c r="BDN3001" s="470"/>
      <c r="BDO3001" s="449"/>
      <c r="BDP3001" s="462"/>
      <c r="BDQ3001" s="299"/>
      <c r="BDR3001" s="81"/>
      <c r="BDS3001" s="160"/>
      <c r="BDT3001" s="571"/>
      <c r="BDU3001" s="125"/>
      <c r="BDV3001" s="470"/>
      <c r="BDW3001" s="449"/>
      <c r="BDX3001" s="462"/>
      <c r="BDY3001" s="299"/>
      <c r="BDZ3001" s="81"/>
      <c r="BEA3001" s="160"/>
      <c r="BEB3001" s="571"/>
      <c r="BEC3001" s="125"/>
      <c r="BED3001" s="470"/>
      <c r="BEE3001" s="449"/>
      <c r="BEF3001" s="462"/>
      <c r="BEG3001" s="299"/>
      <c r="BEH3001" s="81"/>
      <c r="BEI3001" s="160"/>
      <c r="BEJ3001" s="571"/>
      <c r="BEK3001" s="125"/>
      <c r="BEL3001" s="470"/>
      <c r="BEM3001" s="449"/>
      <c r="BEN3001" s="462"/>
      <c r="BEO3001" s="299"/>
      <c r="BEP3001" s="81"/>
      <c r="BEQ3001" s="160"/>
      <c r="BER3001" s="571"/>
      <c r="BES3001" s="125"/>
      <c r="BET3001" s="470"/>
      <c r="BEU3001" s="449"/>
      <c r="BEV3001" s="462"/>
      <c r="BEW3001" s="299"/>
      <c r="BEX3001" s="81"/>
      <c r="BEY3001" s="160"/>
      <c r="BEZ3001" s="571"/>
      <c r="BFA3001" s="125"/>
      <c r="BFB3001" s="470"/>
      <c r="BFC3001" s="449"/>
      <c r="BFD3001" s="462"/>
      <c r="BFE3001" s="299"/>
      <c r="BFF3001" s="81"/>
      <c r="BFG3001" s="160"/>
      <c r="BFH3001" s="571"/>
      <c r="BFI3001" s="125"/>
      <c r="BFJ3001" s="470"/>
      <c r="BFK3001" s="449"/>
      <c r="BFL3001" s="462"/>
      <c r="BFM3001" s="299"/>
      <c r="BFN3001" s="81"/>
      <c r="BFO3001" s="160"/>
      <c r="BFP3001" s="571"/>
      <c r="BFQ3001" s="125"/>
      <c r="BFR3001" s="470"/>
      <c r="BFS3001" s="449"/>
      <c r="BFT3001" s="462"/>
      <c r="BFU3001" s="299"/>
      <c r="BFV3001" s="81"/>
      <c r="BFW3001" s="160"/>
      <c r="BFX3001" s="571"/>
      <c r="BFY3001" s="125"/>
      <c r="BFZ3001" s="470"/>
      <c r="BGA3001" s="449"/>
      <c r="BGB3001" s="462"/>
      <c r="BGC3001" s="299"/>
      <c r="BGD3001" s="81"/>
      <c r="BGE3001" s="160"/>
      <c r="BGF3001" s="571"/>
      <c r="BGG3001" s="125"/>
      <c r="BGH3001" s="470"/>
      <c r="BGI3001" s="449"/>
      <c r="BGJ3001" s="462"/>
      <c r="BGK3001" s="299"/>
      <c r="BGL3001" s="81"/>
      <c r="BGM3001" s="160"/>
      <c r="BGN3001" s="571"/>
      <c r="BGO3001" s="125"/>
      <c r="BGP3001" s="470"/>
      <c r="BGQ3001" s="449"/>
      <c r="BGR3001" s="462"/>
      <c r="BGS3001" s="299"/>
      <c r="BGT3001" s="81"/>
      <c r="BGU3001" s="160"/>
      <c r="BGV3001" s="571"/>
      <c r="BGW3001" s="125"/>
      <c r="BGX3001" s="470"/>
      <c r="BGY3001" s="449"/>
      <c r="BGZ3001" s="462"/>
      <c r="BHA3001" s="299"/>
      <c r="BHB3001" s="81"/>
      <c r="BHC3001" s="160"/>
      <c r="BHD3001" s="571"/>
      <c r="BHE3001" s="125"/>
      <c r="BHF3001" s="470"/>
      <c r="BHG3001" s="449"/>
      <c r="BHH3001" s="462"/>
      <c r="BHI3001" s="299"/>
      <c r="BHJ3001" s="81"/>
      <c r="BHK3001" s="160"/>
      <c r="BHL3001" s="571"/>
      <c r="BHM3001" s="125"/>
      <c r="BHN3001" s="470"/>
      <c r="BHO3001" s="449"/>
      <c r="BHP3001" s="462"/>
      <c r="BHQ3001" s="299"/>
      <c r="BHR3001" s="81"/>
      <c r="BHS3001" s="160"/>
      <c r="BHT3001" s="571"/>
      <c r="BHU3001" s="125"/>
      <c r="BHV3001" s="470"/>
      <c r="BHW3001" s="449"/>
      <c r="BHX3001" s="462"/>
      <c r="BHY3001" s="299"/>
      <c r="BHZ3001" s="81"/>
      <c r="BIA3001" s="160"/>
      <c r="BIB3001" s="571"/>
      <c r="BIC3001" s="125"/>
      <c r="BID3001" s="470"/>
      <c r="BIE3001" s="449"/>
      <c r="BIF3001" s="462"/>
      <c r="BIG3001" s="299"/>
      <c r="BIH3001" s="81"/>
      <c r="BII3001" s="160"/>
      <c r="BIJ3001" s="571"/>
      <c r="BIK3001" s="125"/>
      <c r="BIL3001" s="470"/>
      <c r="BIM3001" s="449"/>
      <c r="BIN3001" s="462"/>
      <c r="BIO3001" s="299"/>
      <c r="BIP3001" s="81"/>
      <c r="BIQ3001" s="160"/>
      <c r="BIR3001" s="571"/>
      <c r="BIS3001" s="125"/>
      <c r="BIT3001" s="470"/>
      <c r="BIU3001" s="449"/>
      <c r="BIV3001" s="462"/>
      <c r="BIW3001" s="299"/>
      <c r="BIX3001" s="81"/>
      <c r="BIY3001" s="160"/>
      <c r="BIZ3001" s="571"/>
      <c r="BJA3001" s="125"/>
      <c r="BJB3001" s="470"/>
      <c r="BJC3001" s="449"/>
      <c r="BJD3001" s="462"/>
      <c r="BJE3001" s="299"/>
      <c r="BJF3001" s="81"/>
      <c r="BJG3001" s="160"/>
      <c r="BJH3001" s="571"/>
      <c r="BJI3001" s="125"/>
      <c r="BJJ3001" s="470"/>
      <c r="BJK3001" s="449"/>
      <c r="BJL3001" s="462"/>
      <c r="BJM3001" s="299"/>
      <c r="BJN3001" s="81"/>
      <c r="BJO3001" s="160"/>
      <c r="BJP3001" s="571"/>
      <c r="BJQ3001" s="125"/>
      <c r="BJR3001" s="470"/>
      <c r="BJS3001" s="449"/>
      <c r="BJT3001" s="462"/>
      <c r="BJU3001" s="299"/>
      <c r="BJV3001" s="81"/>
      <c r="BJW3001" s="160"/>
      <c r="BJX3001" s="571"/>
      <c r="BJY3001" s="125"/>
      <c r="BJZ3001" s="470"/>
      <c r="BKA3001" s="449"/>
      <c r="BKB3001" s="462"/>
      <c r="BKC3001" s="299"/>
      <c r="BKD3001" s="81"/>
      <c r="BKE3001" s="160"/>
      <c r="BKF3001" s="571"/>
      <c r="BKG3001" s="125"/>
      <c r="BKH3001" s="470"/>
      <c r="BKI3001" s="449"/>
      <c r="BKJ3001" s="462"/>
      <c r="BKK3001" s="299"/>
      <c r="BKL3001" s="81"/>
      <c r="BKM3001" s="160"/>
      <c r="BKN3001" s="571"/>
      <c r="BKO3001" s="125"/>
      <c r="BKP3001" s="470"/>
      <c r="BKQ3001" s="449"/>
      <c r="BKR3001" s="462"/>
      <c r="BKS3001" s="299"/>
      <c r="BKT3001" s="81"/>
      <c r="BKU3001" s="160"/>
      <c r="BKV3001" s="571"/>
      <c r="BKW3001" s="125"/>
      <c r="BKX3001" s="470"/>
      <c r="BKY3001" s="449"/>
      <c r="BKZ3001" s="462"/>
      <c r="BLA3001" s="299"/>
      <c r="BLB3001" s="81"/>
      <c r="BLC3001" s="160"/>
      <c r="BLD3001" s="571"/>
      <c r="BLE3001" s="125"/>
      <c r="BLF3001" s="470"/>
      <c r="BLG3001" s="449"/>
      <c r="BLH3001" s="462"/>
      <c r="BLI3001" s="299"/>
      <c r="BLJ3001" s="81"/>
      <c r="BLK3001" s="160"/>
      <c r="BLL3001" s="571"/>
      <c r="BLM3001" s="125"/>
      <c r="BLN3001" s="470"/>
      <c r="BLO3001" s="449"/>
      <c r="BLP3001" s="462"/>
      <c r="BLQ3001" s="299"/>
      <c r="BLR3001" s="81"/>
      <c r="BLS3001" s="160"/>
      <c r="BLT3001" s="571"/>
      <c r="BLU3001" s="125"/>
      <c r="BLV3001" s="470"/>
      <c r="BLW3001" s="449"/>
      <c r="BLX3001" s="462"/>
      <c r="BLY3001" s="299"/>
      <c r="BLZ3001" s="81"/>
      <c r="BMA3001" s="160"/>
      <c r="BMB3001" s="571"/>
      <c r="BMC3001" s="125"/>
      <c r="BMD3001" s="470"/>
      <c r="BME3001" s="449"/>
      <c r="BMF3001" s="462"/>
      <c r="BMG3001" s="299"/>
      <c r="BMH3001" s="81"/>
      <c r="BMI3001" s="160"/>
      <c r="BMJ3001" s="571"/>
      <c r="BMK3001" s="125"/>
      <c r="BML3001" s="470"/>
      <c r="BMM3001" s="449"/>
      <c r="BMN3001" s="462"/>
      <c r="BMO3001" s="299"/>
      <c r="BMP3001" s="81"/>
      <c r="BMQ3001" s="160"/>
      <c r="BMR3001" s="571"/>
      <c r="BMS3001" s="125"/>
      <c r="BMT3001" s="470"/>
      <c r="BMU3001" s="449"/>
      <c r="BMV3001" s="462"/>
      <c r="BMW3001" s="299"/>
      <c r="BMX3001" s="81"/>
      <c r="BMY3001" s="160"/>
      <c r="BMZ3001" s="571"/>
      <c r="BNA3001" s="125"/>
      <c r="BNB3001" s="470"/>
      <c r="BNC3001" s="449"/>
      <c r="BND3001" s="462"/>
      <c r="BNE3001" s="299"/>
      <c r="BNF3001" s="81"/>
      <c r="BNG3001" s="160"/>
      <c r="BNH3001" s="571"/>
      <c r="BNI3001" s="125"/>
      <c r="BNJ3001" s="470"/>
      <c r="BNK3001" s="449"/>
      <c r="BNL3001" s="462"/>
      <c r="BNM3001" s="299"/>
      <c r="BNN3001" s="81"/>
      <c r="BNO3001" s="160"/>
      <c r="BNP3001" s="571"/>
      <c r="BNQ3001" s="125"/>
      <c r="BNR3001" s="470"/>
      <c r="BNS3001" s="449"/>
      <c r="BNT3001" s="462"/>
      <c r="BNU3001" s="299"/>
      <c r="BNV3001" s="81"/>
      <c r="BNW3001" s="160"/>
      <c r="BNX3001" s="571"/>
      <c r="BNY3001" s="125"/>
      <c r="BNZ3001" s="470"/>
      <c r="BOA3001" s="449"/>
      <c r="BOB3001" s="462"/>
      <c r="BOC3001" s="299"/>
      <c r="BOD3001" s="81"/>
      <c r="BOE3001" s="160"/>
      <c r="BOF3001" s="571"/>
      <c r="BOG3001" s="125"/>
      <c r="BOH3001" s="470"/>
      <c r="BOI3001" s="449"/>
      <c r="BOJ3001" s="462"/>
      <c r="BOK3001" s="299"/>
      <c r="BOL3001" s="81"/>
      <c r="BOM3001" s="160"/>
      <c r="BON3001" s="571"/>
      <c r="BOO3001" s="125"/>
      <c r="BOP3001" s="470"/>
      <c r="BOQ3001" s="449"/>
      <c r="BOR3001" s="462"/>
      <c r="BOS3001" s="299"/>
      <c r="BOT3001" s="81"/>
      <c r="BOU3001" s="160"/>
      <c r="BOV3001" s="571"/>
      <c r="BOW3001" s="125"/>
      <c r="BOX3001" s="470"/>
      <c r="BOY3001" s="449"/>
      <c r="BOZ3001" s="462"/>
      <c r="BPA3001" s="299"/>
      <c r="BPB3001" s="81"/>
      <c r="BPC3001" s="160"/>
      <c r="BPD3001" s="571"/>
      <c r="BPE3001" s="125"/>
      <c r="BPF3001" s="470"/>
      <c r="BPG3001" s="449"/>
      <c r="BPH3001" s="462"/>
      <c r="BPI3001" s="299"/>
      <c r="BPJ3001" s="81"/>
      <c r="BPK3001" s="160"/>
      <c r="BPL3001" s="571"/>
      <c r="BPM3001" s="125"/>
      <c r="BPN3001" s="470"/>
      <c r="BPO3001" s="449"/>
      <c r="BPP3001" s="462"/>
      <c r="BPQ3001" s="299"/>
      <c r="BPR3001" s="81"/>
      <c r="BPS3001" s="160"/>
      <c r="BPT3001" s="571"/>
      <c r="BPU3001" s="125"/>
      <c r="BPV3001" s="470"/>
      <c r="BPW3001" s="449"/>
      <c r="BPX3001" s="462"/>
      <c r="BPY3001" s="299"/>
      <c r="BPZ3001" s="81"/>
      <c r="BQA3001" s="160"/>
      <c r="BQB3001" s="571"/>
      <c r="BQC3001" s="125"/>
      <c r="BQD3001" s="470"/>
      <c r="BQE3001" s="449"/>
      <c r="BQF3001" s="462"/>
      <c r="BQG3001" s="299"/>
      <c r="BQH3001" s="81"/>
      <c r="BQI3001" s="160"/>
      <c r="BQJ3001" s="571"/>
      <c r="BQK3001" s="125"/>
      <c r="BQL3001" s="470"/>
      <c r="BQM3001" s="449"/>
      <c r="BQN3001" s="462"/>
      <c r="BQO3001" s="299"/>
      <c r="BQP3001" s="81"/>
      <c r="BQQ3001" s="160"/>
      <c r="BQR3001" s="571"/>
      <c r="BQS3001" s="125"/>
      <c r="BQT3001" s="470"/>
      <c r="BQU3001" s="449"/>
      <c r="BQV3001" s="462"/>
      <c r="BQW3001" s="299"/>
      <c r="BQX3001" s="81"/>
      <c r="BQY3001" s="160"/>
      <c r="BQZ3001" s="571"/>
      <c r="BRA3001" s="125"/>
      <c r="BRB3001" s="470"/>
      <c r="BRC3001" s="449"/>
      <c r="BRD3001" s="462"/>
      <c r="BRE3001" s="299"/>
      <c r="BRF3001" s="81"/>
      <c r="BRG3001" s="160"/>
      <c r="BRH3001" s="571"/>
      <c r="BRI3001" s="125"/>
      <c r="BRJ3001" s="470"/>
      <c r="BRK3001" s="449"/>
      <c r="BRL3001" s="462"/>
      <c r="BRM3001" s="299"/>
      <c r="BRN3001" s="81"/>
      <c r="BRO3001" s="160"/>
      <c r="BRP3001" s="571"/>
      <c r="BRQ3001" s="125"/>
      <c r="BRR3001" s="470"/>
      <c r="BRS3001" s="449"/>
      <c r="BRT3001" s="462"/>
      <c r="BRU3001" s="299"/>
      <c r="BRV3001" s="81"/>
      <c r="BRW3001" s="160"/>
      <c r="BRX3001" s="571"/>
      <c r="BRY3001" s="125"/>
      <c r="BRZ3001" s="470"/>
      <c r="BSA3001" s="449"/>
      <c r="BSB3001" s="462"/>
      <c r="BSC3001" s="299"/>
      <c r="BSD3001" s="81"/>
      <c r="BSE3001" s="160"/>
      <c r="BSF3001" s="571"/>
      <c r="BSG3001" s="125"/>
      <c r="BSH3001" s="470"/>
      <c r="BSI3001" s="449"/>
      <c r="BSJ3001" s="462"/>
      <c r="BSK3001" s="299"/>
      <c r="BSL3001" s="81"/>
      <c r="BSM3001" s="160"/>
      <c r="BSN3001" s="571"/>
      <c r="BSO3001" s="125"/>
      <c r="BSP3001" s="470"/>
      <c r="BSQ3001" s="449"/>
      <c r="BSR3001" s="462"/>
      <c r="BSS3001" s="299"/>
      <c r="BST3001" s="81"/>
      <c r="BSU3001" s="160"/>
      <c r="BSV3001" s="571"/>
      <c r="BSW3001" s="125"/>
      <c r="BSX3001" s="470"/>
      <c r="BSY3001" s="449"/>
      <c r="BSZ3001" s="462"/>
      <c r="BTA3001" s="299"/>
      <c r="BTB3001" s="81"/>
      <c r="BTC3001" s="160"/>
      <c r="BTD3001" s="571"/>
      <c r="BTE3001" s="125"/>
      <c r="BTF3001" s="470"/>
      <c r="BTG3001" s="449"/>
      <c r="BTH3001" s="462"/>
      <c r="BTI3001" s="299"/>
      <c r="BTJ3001" s="81"/>
      <c r="BTK3001" s="160"/>
      <c r="BTL3001" s="571"/>
      <c r="BTM3001" s="125"/>
      <c r="BTN3001" s="470"/>
      <c r="BTO3001" s="449"/>
      <c r="BTP3001" s="462"/>
      <c r="BTQ3001" s="299"/>
      <c r="BTR3001" s="81"/>
      <c r="BTS3001" s="160"/>
      <c r="BTT3001" s="571"/>
      <c r="BTU3001" s="125"/>
      <c r="BTV3001" s="470"/>
      <c r="BTW3001" s="449"/>
      <c r="BTX3001" s="462"/>
      <c r="BTY3001" s="299"/>
      <c r="BTZ3001" s="81"/>
      <c r="BUA3001" s="160"/>
      <c r="BUB3001" s="571"/>
      <c r="BUC3001" s="125"/>
      <c r="BUD3001" s="470"/>
      <c r="BUE3001" s="449"/>
      <c r="BUF3001" s="462"/>
      <c r="BUG3001" s="299"/>
      <c r="BUH3001" s="81"/>
      <c r="BUI3001" s="160"/>
      <c r="BUJ3001" s="571"/>
      <c r="BUK3001" s="125"/>
      <c r="BUL3001" s="470"/>
      <c r="BUM3001" s="449"/>
      <c r="BUN3001" s="462"/>
      <c r="BUO3001" s="299"/>
      <c r="BUP3001" s="81"/>
      <c r="BUQ3001" s="160"/>
      <c r="BUR3001" s="571"/>
      <c r="BUS3001" s="125"/>
      <c r="BUT3001" s="470"/>
      <c r="BUU3001" s="449"/>
      <c r="BUV3001" s="462"/>
      <c r="BUW3001" s="299"/>
      <c r="BUX3001" s="81"/>
      <c r="BUY3001" s="160"/>
      <c r="BUZ3001" s="571"/>
      <c r="BVA3001" s="125"/>
      <c r="BVB3001" s="470"/>
      <c r="BVC3001" s="449"/>
      <c r="BVD3001" s="462"/>
      <c r="BVE3001" s="299"/>
      <c r="BVF3001" s="81"/>
      <c r="BVG3001" s="160"/>
      <c r="BVH3001" s="571"/>
      <c r="BVI3001" s="125"/>
      <c r="BVJ3001" s="470"/>
      <c r="BVK3001" s="449"/>
      <c r="BVL3001" s="462"/>
      <c r="BVM3001" s="299"/>
      <c r="BVN3001" s="81"/>
      <c r="BVO3001" s="160"/>
      <c r="BVP3001" s="571"/>
      <c r="BVQ3001" s="125"/>
      <c r="BVR3001" s="470"/>
      <c r="BVS3001" s="449"/>
      <c r="BVT3001" s="462"/>
      <c r="BVU3001" s="299"/>
      <c r="BVV3001" s="81"/>
      <c r="BVW3001" s="160"/>
      <c r="BVX3001" s="571"/>
      <c r="BVY3001" s="125"/>
      <c r="BVZ3001" s="470"/>
      <c r="BWA3001" s="449"/>
      <c r="BWB3001" s="462"/>
      <c r="BWC3001" s="299"/>
      <c r="BWD3001" s="81"/>
      <c r="BWE3001" s="160"/>
      <c r="BWF3001" s="571"/>
      <c r="BWG3001" s="125"/>
      <c r="BWH3001" s="470"/>
      <c r="BWI3001" s="449"/>
      <c r="BWJ3001" s="462"/>
      <c r="BWK3001" s="299"/>
      <c r="BWL3001" s="81"/>
      <c r="BWM3001" s="160"/>
      <c r="BWN3001" s="571"/>
      <c r="BWO3001" s="125"/>
      <c r="BWP3001" s="470"/>
      <c r="BWQ3001" s="449"/>
      <c r="BWR3001" s="462"/>
      <c r="BWS3001" s="299"/>
      <c r="BWT3001" s="81"/>
      <c r="BWU3001" s="160"/>
      <c r="BWV3001" s="571"/>
      <c r="BWW3001" s="125"/>
      <c r="BWX3001" s="470"/>
      <c r="BWY3001" s="449"/>
      <c r="BWZ3001" s="462"/>
      <c r="BXA3001" s="299"/>
      <c r="BXB3001" s="81"/>
      <c r="BXC3001" s="160"/>
      <c r="BXD3001" s="571"/>
      <c r="BXE3001" s="125"/>
      <c r="BXF3001" s="470"/>
      <c r="BXG3001" s="449"/>
      <c r="BXH3001" s="462"/>
      <c r="BXI3001" s="299"/>
      <c r="BXJ3001" s="81"/>
      <c r="BXK3001" s="160"/>
      <c r="BXL3001" s="571"/>
      <c r="BXM3001" s="125"/>
      <c r="BXN3001" s="470"/>
      <c r="BXO3001" s="449"/>
      <c r="BXP3001" s="462"/>
      <c r="BXQ3001" s="299"/>
      <c r="BXR3001" s="81"/>
      <c r="BXS3001" s="160"/>
      <c r="BXT3001" s="571"/>
      <c r="BXU3001" s="125"/>
      <c r="BXV3001" s="470"/>
      <c r="BXW3001" s="449"/>
      <c r="BXX3001" s="462"/>
      <c r="BXY3001" s="299"/>
      <c r="BXZ3001" s="81"/>
      <c r="BYA3001" s="160"/>
      <c r="BYB3001" s="571"/>
      <c r="BYC3001" s="125"/>
      <c r="BYD3001" s="470"/>
      <c r="BYE3001" s="449"/>
      <c r="BYF3001" s="462"/>
      <c r="BYG3001" s="299"/>
      <c r="BYH3001" s="81"/>
      <c r="BYI3001" s="160"/>
      <c r="BYJ3001" s="571"/>
      <c r="BYK3001" s="125"/>
      <c r="BYL3001" s="470"/>
      <c r="BYM3001" s="449"/>
      <c r="BYN3001" s="462"/>
      <c r="BYO3001" s="299"/>
      <c r="BYP3001" s="81"/>
      <c r="BYQ3001" s="160"/>
      <c r="BYR3001" s="571"/>
      <c r="BYS3001" s="125"/>
      <c r="BYT3001" s="470"/>
      <c r="BYU3001" s="449"/>
      <c r="BYV3001" s="462"/>
      <c r="BYW3001" s="299"/>
      <c r="BYX3001" s="81"/>
      <c r="BYY3001" s="160"/>
      <c r="BYZ3001" s="571"/>
      <c r="BZA3001" s="125"/>
      <c r="BZB3001" s="470"/>
      <c r="BZC3001" s="449"/>
      <c r="BZD3001" s="462"/>
      <c r="BZE3001" s="299"/>
      <c r="BZF3001" s="81"/>
      <c r="BZG3001" s="160"/>
      <c r="BZH3001" s="571"/>
      <c r="BZI3001" s="125"/>
      <c r="BZJ3001" s="470"/>
      <c r="BZK3001" s="449"/>
      <c r="BZL3001" s="462"/>
      <c r="BZM3001" s="299"/>
      <c r="BZN3001" s="81"/>
      <c r="BZO3001" s="160"/>
      <c r="BZP3001" s="571"/>
      <c r="BZQ3001" s="125"/>
      <c r="BZR3001" s="470"/>
      <c r="BZS3001" s="449"/>
      <c r="BZT3001" s="462"/>
      <c r="BZU3001" s="299"/>
      <c r="BZV3001" s="81"/>
      <c r="BZW3001" s="160"/>
      <c r="BZX3001" s="571"/>
      <c r="BZY3001" s="125"/>
      <c r="BZZ3001" s="470"/>
      <c r="CAA3001" s="449"/>
      <c r="CAB3001" s="462"/>
      <c r="CAC3001" s="299"/>
      <c r="CAD3001" s="81"/>
      <c r="CAE3001" s="160"/>
      <c r="CAF3001" s="571"/>
      <c r="CAG3001" s="125"/>
      <c r="CAH3001" s="470"/>
      <c r="CAI3001" s="449"/>
      <c r="CAJ3001" s="462"/>
      <c r="CAK3001" s="299"/>
      <c r="CAL3001" s="81"/>
      <c r="CAM3001" s="160"/>
      <c r="CAN3001" s="571"/>
      <c r="CAO3001" s="125"/>
      <c r="CAP3001" s="470"/>
      <c r="CAQ3001" s="449"/>
      <c r="CAR3001" s="462"/>
      <c r="CAS3001" s="299"/>
      <c r="CAT3001" s="81"/>
      <c r="CAU3001" s="160"/>
      <c r="CAV3001" s="571"/>
      <c r="CAW3001" s="125"/>
      <c r="CAX3001" s="470"/>
      <c r="CAY3001" s="449"/>
      <c r="CAZ3001" s="462"/>
      <c r="CBA3001" s="299"/>
      <c r="CBB3001" s="81"/>
      <c r="CBC3001" s="160"/>
      <c r="CBD3001" s="571"/>
      <c r="CBE3001" s="125"/>
      <c r="CBF3001" s="470"/>
      <c r="CBG3001" s="449"/>
      <c r="CBH3001" s="462"/>
      <c r="CBI3001" s="299"/>
      <c r="CBJ3001" s="81"/>
      <c r="CBK3001" s="160"/>
      <c r="CBL3001" s="571"/>
      <c r="CBM3001" s="125"/>
      <c r="CBN3001" s="470"/>
      <c r="CBO3001" s="449"/>
      <c r="CBP3001" s="462"/>
      <c r="CBQ3001" s="299"/>
      <c r="CBR3001" s="81"/>
      <c r="CBS3001" s="160"/>
      <c r="CBT3001" s="571"/>
      <c r="CBU3001" s="125"/>
      <c r="CBV3001" s="470"/>
      <c r="CBW3001" s="449"/>
      <c r="CBX3001" s="462"/>
      <c r="CBY3001" s="299"/>
      <c r="CBZ3001" s="81"/>
      <c r="CCA3001" s="160"/>
      <c r="CCB3001" s="571"/>
      <c r="CCC3001" s="125"/>
      <c r="CCD3001" s="470"/>
      <c r="CCE3001" s="449"/>
      <c r="CCF3001" s="462"/>
      <c r="CCG3001" s="299"/>
      <c r="CCH3001" s="81"/>
      <c r="CCI3001" s="160"/>
      <c r="CCJ3001" s="571"/>
      <c r="CCK3001" s="125"/>
      <c r="CCL3001" s="470"/>
      <c r="CCM3001" s="449"/>
      <c r="CCN3001" s="462"/>
      <c r="CCO3001" s="299"/>
      <c r="CCP3001" s="81"/>
      <c r="CCQ3001" s="160"/>
      <c r="CCR3001" s="571"/>
      <c r="CCS3001" s="125"/>
      <c r="CCT3001" s="470"/>
      <c r="CCU3001" s="449"/>
      <c r="CCV3001" s="462"/>
      <c r="CCW3001" s="299"/>
      <c r="CCX3001" s="81"/>
      <c r="CCY3001" s="160"/>
      <c r="CCZ3001" s="571"/>
      <c r="CDA3001" s="125"/>
      <c r="CDB3001" s="470"/>
      <c r="CDC3001" s="449"/>
      <c r="CDD3001" s="462"/>
      <c r="CDE3001" s="299"/>
      <c r="CDF3001" s="81"/>
      <c r="CDG3001" s="160"/>
      <c r="CDH3001" s="571"/>
      <c r="CDI3001" s="125"/>
      <c r="CDJ3001" s="470"/>
      <c r="CDK3001" s="449"/>
      <c r="CDL3001" s="462"/>
      <c r="CDM3001" s="299"/>
      <c r="CDN3001" s="81"/>
      <c r="CDO3001" s="160"/>
      <c r="CDP3001" s="571"/>
      <c r="CDQ3001" s="125"/>
      <c r="CDR3001" s="470"/>
      <c r="CDS3001" s="449"/>
      <c r="CDT3001" s="462"/>
      <c r="CDU3001" s="299"/>
      <c r="CDV3001" s="81"/>
      <c r="CDW3001" s="160"/>
      <c r="CDX3001" s="571"/>
      <c r="CDY3001" s="125"/>
      <c r="CDZ3001" s="470"/>
      <c r="CEA3001" s="449"/>
      <c r="CEB3001" s="462"/>
      <c r="CEC3001" s="299"/>
      <c r="CED3001" s="81"/>
      <c r="CEE3001" s="160"/>
      <c r="CEF3001" s="571"/>
      <c r="CEG3001" s="125"/>
      <c r="CEH3001" s="470"/>
      <c r="CEI3001" s="449"/>
      <c r="CEJ3001" s="462"/>
      <c r="CEK3001" s="299"/>
      <c r="CEL3001" s="81"/>
      <c r="CEM3001" s="160"/>
      <c r="CEN3001" s="571"/>
      <c r="CEO3001" s="125"/>
      <c r="CEP3001" s="470"/>
      <c r="CEQ3001" s="449"/>
      <c r="CER3001" s="462"/>
      <c r="CES3001" s="299"/>
      <c r="CET3001" s="81"/>
      <c r="CEU3001" s="160"/>
      <c r="CEV3001" s="571"/>
      <c r="CEW3001" s="125"/>
      <c r="CEX3001" s="470"/>
      <c r="CEY3001" s="449"/>
      <c r="CEZ3001" s="462"/>
      <c r="CFA3001" s="299"/>
      <c r="CFB3001" s="81"/>
      <c r="CFC3001" s="160"/>
      <c r="CFD3001" s="571"/>
      <c r="CFE3001" s="125"/>
      <c r="CFF3001" s="470"/>
      <c r="CFG3001" s="449"/>
      <c r="CFH3001" s="462"/>
      <c r="CFI3001" s="299"/>
      <c r="CFJ3001" s="81"/>
      <c r="CFK3001" s="160"/>
      <c r="CFL3001" s="571"/>
      <c r="CFM3001" s="125"/>
      <c r="CFN3001" s="470"/>
      <c r="CFO3001" s="449"/>
      <c r="CFP3001" s="462"/>
      <c r="CFQ3001" s="299"/>
      <c r="CFR3001" s="81"/>
      <c r="CFS3001" s="160"/>
      <c r="CFT3001" s="571"/>
      <c r="CFU3001" s="125"/>
      <c r="CFV3001" s="470"/>
      <c r="CFW3001" s="449"/>
      <c r="CFX3001" s="462"/>
      <c r="CFY3001" s="299"/>
      <c r="CFZ3001" s="81"/>
      <c r="CGA3001" s="160"/>
      <c r="CGB3001" s="571"/>
      <c r="CGC3001" s="125"/>
      <c r="CGD3001" s="470"/>
      <c r="CGE3001" s="449"/>
      <c r="CGF3001" s="462"/>
      <c r="CGG3001" s="299"/>
      <c r="CGH3001" s="81"/>
      <c r="CGI3001" s="160"/>
      <c r="CGJ3001" s="571"/>
      <c r="CGK3001" s="125"/>
      <c r="CGL3001" s="470"/>
      <c r="CGM3001" s="449"/>
      <c r="CGN3001" s="462"/>
      <c r="CGO3001" s="299"/>
      <c r="CGP3001" s="81"/>
      <c r="CGQ3001" s="160"/>
      <c r="CGR3001" s="571"/>
      <c r="CGS3001" s="125"/>
      <c r="CGT3001" s="470"/>
      <c r="CGU3001" s="449"/>
      <c r="CGV3001" s="462"/>
      <c r="CGW3001" s="299"/>
      <c r="CGX3001" s="81"/>
      <c r="CGY3001" s="160"/>
      <c r="CGZ3001" s="571"/>
      <c r="CHA3001" s="125"/>
      <c r="CHB3001" s="470"/>
      <c r="CHC3001" s="449"/>
      <c r="CHD3001" s="462"/>
      <c r="CHE3001" s="299"/>
      <c r="CHF3001" s="81"/>
      <c r="CHG3001" s="160"/>
      <c r="CHH3001" s="571"/>
      <c r="CHI3001" s="125"/>
      <c r="CHJ3001" s="470"/>
      <c r="CHK3001" s="449"/>
      <c r="CHL3001" s="462"/>
      <c r="CHM3001" s="299"/>
      <c r="CHN3001" s="81"/>
      <c r="CHO3001" s="160"/>
      <c r="CHP3001" s="571"/>
      <c r="CHQ3001" s="125"/>
      <c r="CHR3001" s="470"/>
      <c r="CHS3001" s="449"/>
      <c r="CHT3001" s="462"/>
      <c r="CHU3001" s="299"/>
      <c r="CHV3001" s="81"/>
      <c r="CHW3001" s="160"/>
      <c r="CHX3001" s="571"/>
      <c r="CHY3001" s="125"/>
      <c r="CHZ3001" s="470"/>
      <c r="CIA3001" s="449"/>
      <c r="CIB3001" s="462"/>
      <c r="CIC3001" s="299"/>
      <c r="CID3001" s="81"/>
      <c r="CIE3001" s="160"/>
      <c r="CIF3001" s="571"/>
      <c r="CIG3001" s="125"/>
      <c r="CIH3001" s="470"/>
      <c r="CII3001" s="449"/>
      <c r="CIJ3001" s="462"/>
      <c r="CIK3001" s="299"/>
      <c r="CIL3001" s="81"/>
      <c r="CIM3001" s="160"/>
      <c r="CIN3001" s="571"/>
      <c r="CIO3001" s="125"/>
      <c r="CIP3001" s="470"/>
      <c r="CIQ3001" s="449"/>
      <c r="CIR3001" s="462"/>
      <c r="CIS3001" s="299"/>
      <c r="CIT3001" s="81"/>
      <c r="CIU3001" s="160"/>
      <c r="CIV3001" s="571"/>
      <c r="CIW3001" s="125"/>
      <c r="CIX3001" s="470"/>
      <c r="CIY3001" s="449"/>
      <c r="CIZ3001" s="462"/>
      <c r="CJA3001" s="299"/>
      <c r="CJB3001" s="81"/>
      <c r="CJC3001" s="160"/>
      <c r="CJD3001" s="571"/>
      <c r="CJE3001" s="125"/>
      <c r="CJF3001" s="470"/>
      <c r="CJG3001" s="449"/>
      <c r="CJH3001" s="462"/>
      <c r="CJI3001" s="299"/>
      <c r="CJJ3001" s="81"/>
      <c r="CJK3001" s="160"/>
      <c r="CJL3001" s="571"/>
      <c r="CJM3001" s="125"/>
      <c r="CJN3001" s="470"/>
      <c r="CJO3001" s="449"/>
      <c r="CJP3001" s="462"/>
      <c r="CJQ3001" s="299"/>
      <c r="CJR3001" s="81"/>
      <c r="CJS3001" s="160"/>
      <c r="CJT3001" s="571"/>
      <c r="CJU3001" s="125"/>
      <c r="CJV3001" s="470"/>
      <c r="CJW3001" s="449"/>
      <c r="CJX3001" s="462"/>
      <c r="CJY3001" s="299"/>
      <c r="CJZ3001" s="81"/>
      <c r="CKA3001" s="160"/>
      <c r="CKB3001" s="571"/>
      <c r="CKC3001" s="125"/>
      <c r="CKD3001" s="470"/>
      <c r="CKE3001" s="449"/>
      <c r="CKF3001" s="462"/>
      <c r="CKG3001" s="299"/>
      <c r="CKH3001" s="81"/>
      <c r="CKI3001" s="160"/>
      <c r="CKJ3001" s="571"/>
      <c r="CKK3001" s="125"/>
      <c r="CKL3001" s="470"/>
      <c r="CKM3001" s="449"/>
      <c r="CKN3001" s="462"/>
      <c r="CKO3001" s="299"/>
      <c r="CKP3001" s="81"/>
      <c r="CKQ3001" s="160"/>
      <c r="CKR3001" s="571"/>
      <c r="CKS3001" s="125"/>
      <c r="CKT3001" s="470"/>
      <c r="CKU3001" s="449"/>
      <c r="CKV3001" s="462"/>
      <c r="CKW3001" s="299"/>
      <c r="CKX3001" s="81"/>
      <c r="CKY3001" s="160"/>
      <c r="CKZ3001" s="571"/>
      <c r="CLA3001" s="125"/>
      <c r="CLB3001" s="470"/>
      <c r="CLC3001" s="449"/>
      <c r="CLD3001" s="462"/>
      <c r="CLE3001" s="299"/>
      <c r="CLF3001" s="81"/>
      <c r="CLG3001" s="160"/>
      <c r="CLH3001" s="571"/>
      <c r="CLI3001" s="125"/>
      <c r="CLJ3001" s="470"/>
      <c r="CLK3001" s="449"/>
      <c r="CLL3001" s="462"/>
      <c r="CLM3001" s="299"/>
      <c r="CLN3001" s="81"/>
      <c r="CLO3001" s="160"/>
      <c r="CLP3001" s="571"/>
      <c r="CLQ3001" s="125"/>
      <c r="CLR3001" s="470"/>
      <c r="CLS3001" s="449"/>
      <c r="CLT3001" s="462"/>
      <c r="CLU3001" s="299"/>
      <c r="CLV3001" s="81"/>
      <c r="CLW3001" s="160"/>
      <c r="CLX3001" s="571"/>
      <c r="CLY3001" s="125"/>
      <c r="CLZ3001" s="470"/>
      <c r="CMA3001" s="449"/>
      <c r="CMB3001" s="462"/>
      <c r="CMC3001" s="299"/>
      <c r="CMD3001" s="81"/>
      <c r="CME3001" s="160"/>
      <c r="CMF3001" s="571"/>
      <c r="CMG3001" s="125"/>
      <c r="CMH3001" s="470"/>
      <c r="CMI3001" s="449"/>
      <c r="CMJ3001" s="462"/>
      <c r="CMK3001" s="299"/>
      <c r="CML3001" s="81"/>
      <c r="CMM3001" s="160"/>
      <c r="CMN3001" s="571"/>
      <c r="CMO3001" s="125"/>
      <c r="CMP3001" s="470"/>
      <c r="CMQ3001" s="449"/>
      <c r="CMR3001" s="462"/>
      <c r="CMS3001" s="299"/>
      <c r="CMT3001" s="81"/>
      <c r="CMU3001" s="160"/>
      <c r="CMV3001" s="571"/>
      <c r="CMW3001" s="125"/>
      <c r="CMX3001" s="470"/>
      <c r="CMY3001" s="449"/>
      <c r="CMZ3001" s="462"/>
      <c r="CNA3001" s="299"/>
      <c r="CNB3001" s="81"/>
      <c r="CNC3001" s="160"/>
      <c r="CND3001" s="571"/>
      <c r="CNE3001" s="125"/>
      <c r="CNF3001" s="470"/>
      <c r="CNG3001" s="449"/>
      <c r="CNH3001" s="462"/>
      <c r="CNI3001" s="299"/>
      <c r="CNJ3001" s="81"/>
      <c r="CNK3001" s="160"/>
      <c r="CNL3001" s="571"/>
      <c r="CNM3001" s="125"/>
      <c r="CNN3001" s="470"/>
      <c r="CNO3001" s="449"/>
      <c r="CNP3001" s="462"/>
      <c r="CNQ3001" s="299"/>
      <c r="CNR3001" s="81"/>
      <c r="CNS3001" s="160"/>
      <c r="CNT3001" s="571"/>
      <c r="CNU3001" s="125"/>
      <c r="CNV3001" s="470"/>
      <c r="CNW3001" s="449"/>
      <c r="CNX3001" s="462"/>
      <c r="CNY3001" s="299"/>
      <c r="CNZ3001" s="81"/>
      <c r="COA3001" s="160"/>
      <c r="COB3001" s="571"/>
      <c r="COC3001" s="125"/>
      <c r="COD3001" s="470"/>
      <c r="COE3001" s="449"/>
      <c r="COF3001" s="462"/>
      <c r="COG3001" s="299"/>
      <c r="COH3001" s="81"/>
      <c r="COI3001" s="160"/>
      <c r="COJ3001" s="571"/>
      <c r="COK3001" s="125"/>
      <c r="COL3001" s="470"/>
      <c r="COM3001" s="449"/>
      <c r="CON3001" s="462"/>
      <c r="COO3001" s="299"/>
      <c r="COP3001" s="81"/>
      <c r="COQ3001" s="160"/>
      <c r="COR3001" s="571"/>
      <c r="COS3001" s="125"/>
      <c r="COT3001" s="470"/>
      <c r="COU3001" s="449"/>
      <c r="COV3001" s="462"/>
      <c r="COW3001" s="299"/>
      <c r="COX3001" s="81"/>
      <c r="COY3001" s="160"/>
      <c r="COZ3001" s="571"/>
      <c r="CPA3001" s="125"/>
      <c r="CPB3001" s="470"/>
      <c r="CPC3001" s="449"/>
      <c r="CPD3001" s="462"/>
      <c r="CPE3001" s="299"/>
      <c r="CPF3001" s="81"/>
      <c r="CPG3001" s="160"/>
      <c r="CPH3001" s="571"/>
      <c r="CPI3001" s="125"/>
      <c r="CPJ3001" s="470"/>
      <c r="CPK3001" s="449"/>
      <c r="CPL3001" s="462"/>
      <c r="CPM3001" s="299"/>
      <c r="CPN3001" s="81"/>
      <c r="CPO3001" s="160"/>
      <c r="CPP3001" s="571"/>
      <c r="CPQ3001" s="125"/>
      <c r="CPR3001" s="470"/>
      <c r="CPS3001" s="449"/>
      <c r="CPT3001" s="462"/>
      <c r="CPU3001" s="299"/>
      <c r="CPV3001" s="81"/>
      <c r="CPW3001" s="160"/>
      <c r="CPX3001" s="571"/>
      <c r="CPY3001" s="125"/>
      <c r="CPZ3001" s="470"/>
      <c r="CQA3001" s="449"/>
      <c r="CQB3001" s="462"/>
      <c r="CQC3001" s="299"/>
      <c r="CQD3001" s="81"/>
      <c r="CQE3001" s="160"/>
      <c r="CQF3001" s="571"/>
      <c r="CQG3001" s="125"/>
      <c r="CQH3001" s="470"/>
      <c r="CQI3001" s="449"/>
      <c r="CQJ3001" s="462"/>
      <c r="CQK3001" s="299"/>
      <c r="CQL3001" s="81"/>
      <c r="CQM3001" s="160"/>
      <c r="CQN3001" s="571"/>
      <c r="CQO3001" s="125"/>
      <c r="CQP3001" s="470"/>
      <c r="CQQ3001" s="449"/>
      <c r="CQR3001" s="462"/>
      <c r="CQS3001" s="299"/>
      <c r="CQT3001" s="81"/>
      <c r="CQU3001" s="160"/>
      <c r="CQV3001" s="571"/>
      <c r="CQW3001" s="125"/>
      <c r="CQX3001" s="470"/>
      <c r="CQY3001" s="449"/>
      <c r="CQZ3001" s="462"/>
      <c r="CRA3001" s="299"/>
      <c r="CRB3001" s="81"/>
      <c r="CRC3001" s="160"/>
      <c r="CRD3001" s="571"/>
      <c r="CRE3001" s="125"/>
      <c r="CRF3001" s="470"/>
      <c r="CRG3001" s="449"/>
      <c r="CRH3001" s="462"/>
      <c r="CRI3001" s="299"/>
      <c r="CRJ3001" s="81"/>
      <c r="CRK3001" s="160"/>
      <c r="CRL3001" s="571"/>
      <c r="CRM3001" s="125"/>
      <c r="CRN3001" s="470"/>
      <c r="CRO3001" s="449"/>
      <c r="CRP3001" s="462"/>
      <c r="CRQ3001" s="299"/>
      <c r="CRR3001" s="81"/>
      <c r="CRS3001" s="160"/>
      <c r="CRT3001" s="571"/>
      <c r="CRU3001" s="125"/>
      <c r="CRV3001" s="470"/>
      <c r="CRW3001" s="449"/>
      <c r="CRX3001" s="462"/>
      <c r="CRY3001" s="299"/>
      <c r="CRZ3001" s="81"/>
      <c r="CSA3001" s="160"/>
      <c r="CSB3001" s="571"/>
      <c r="CSC3001" s="125"/>
      <c r="CSD3001" s="470"/>
      <c r="CSE3001" s="449"/>
      <c r="CSF3001" s="462"/>
      <c r="CSG3001" s="299"/>
      <c r="CSH3001" s="81"/>
      <c r="CSI3001" s="160"/>
      <c r="CSJ3001" s="571"/>
      <c r="CSK3001" s="125"/>
      <c r="CSL3001" s="470"/>
      <c r="CSM3001" s="449"/>
      <c r="CSN3001" s="462"/>
      <c r="CSO3001" s="299"/>
      <c r="CSP3001" s="81"/>
      <c r="CSQ3001" s="160"/>
      <c r="CSR3001" s="571"/>
      <c r="CSS3001" s="125"/>
      <c r="CST3001" s="470"/>
      <c r="CSU3001" s="449"/>
      <c r="CSV3001" s="462"/>
      <c r="CSW3001" s="299"/>
      <c r="CSX3001" s="81"/>
      <c r="CSY3001" s="160"/>
      <c r="CSZ3001" s="571"/>
      <c r="CTA3001" s="125"/>
      <c r="CTB3001" s="470"/>
      <c r="CTC3001" s="449"/>
      <c r="CTD3001" s="462"/>
      <c r="CTE3001" s="299"/>
      <c r="CTF3001" s="81"/>
      <c r="CTG3001" s="160"/>
      <c r="CTH3001" s="571"/>
      <c r="CTI3001" s="125"/>
      <c r="CTJ3001" s="470"/>
      <c r="CTK3001" s="449"/>
      <c r="CTL3001" s="462"/>
      <c r="CTM3001" s="299"/>
      <c r="CTN3001" s="81"/>
      <c r="CTO3001" s="160"/>
      <c r="CTP3001" s="571"/>
      <c r="CTQ3001" s="125"/>
      <c r="CTR3001" s="470"/>
      <c r="CTS3001" s="449"/>
      <c r="CTT3001" s="462"/>
      <c r="CTU3001" s="299"/>
      <c r="CTV3001" s="81"/>
      <c r="CTW3001" s="160"/>
      <c r="CTX3001" s="571"/>
      <c r="CTY3001" s="125"/>
      <c r="CTZ3001" s="470"/>
      <c r="CUA3001" s="449"/>
      <c r="CUB3001" s="462"/>
      <c r="CUC3001" s="299"/>
      <c r="CUD3001" s="81"/>
      <c r="CUE3001" s="160"/>
      <c r="CUF3001" s="571"/>
      <c r="CUG3001" s="125"/>
      <c r="CUH3001" s="470"/>
      <c r="CUI3001" s="449"/>
      <c r="CUJ3001" s="462"/>
      <c r="CUK3001" s="299"/>
      <c r="CUL3001" s="81"/>
      <c r="CUM3001" s="160"/>
      <c r="CUN3001" s="571"/>
      <c r="CUO3001" s="125"/>
      <c r="CUP3001" s="470"/>
      <c r="CUQ3001" s="449"/>
      <c r="CUR3001" s="462"/>
      <c r="CUS3001" s="299"/>
      <c r="CUT3001" s="81"/>
      <c r="CUU3001" s="160"/>
      <c r="CUV3001" s="571"/>
      <c r="CUW3001" s="125"/>
      <c r="CUX3001" s="470"/>
      <c r="CUY3001" s="449"/>
      <c r="CUZ3001" s="462"/>
      <c r="CVA3001" s="299"/>
      <c r="CVB3001" s="81"/>
      <c r="CVC3001" s="160"/>
      <c r="CVD3001" s="571"/>
      <c r="CVE3001" s="125"/>
      <c r="CVF3001" s="470"/>
      <c r="CVG3001" s="449"/>
      <c r="CVH3001" s="462"/>
      <c r="CVI3001" s="299"/>
      <c r="CVJ3001" s="81"/>
      <c r="CVK3001" s="160"/>
      <c r="CVL3001" s="571"/>
      <c r="CVM3001" s="125"/>
      <c r="CVN3001" s="470"/>
      <c r="CVO3001" s="449"/>
      <c r="CVP3001" s="462"/>
      <c r="CVQ3001" s="299"/>
      <c r="CVR3001" s="81"/>
      <c r="CVS3001" s="160"/>
      <c r="CVT3001" s="571"/>
      <c r="CVU3001" s="125"/>
      <c r="CVV3001" s="470"/>
      <c r="CVW3001" s="449"/>
      <c r="CVX3001" s="462"/>
      <c r="CVY3001" s="299"/>
      <c r="CVZ3001" s="81"/>
      <c r="CWA3001" s="160"/>
      <c r="CWB3001" s="571"/>
      <c r="CWC3001" s="125"/>
      <c r="CWD3001" s="470"/>
      <c r="CWE3001" s="449"/>
      <c r="CWF3001" s="462"/>
      <c r="CWG3001" s="299"/>
      <c r="CWH3001" s="81"/>
      <c r="CWI3001" s="160"/>
      <c r="CWJ3001" s="571"/>
      <c r="CWK3001" s="125"/>
      <c r="CWL3001" s="470"/>
      <c r="CWM3001" s="449"/>
      <c r="CWN3001" s="462"/>
      <c r="CWO3001" s="299"/>
      <c r="CWP3001" s="81"/>
      <c r="CWQ3001" s="160"/>
      <c r="CWR3001" s="571"/>
      <c r="CWS3001" s="125"/>
      <c r="CWT3001" s="470"/>
      <c r="CWU3001" s="449"/>
      <c r="CWV3001" s="462"/>
      <c r="CWW3001" s="299"/>
      <c r="CWX3001" s="81"/>
      <c r="CWY3001" s="160"/>
      <c r="CWZ3001" s="571"/>
      <c r="CXA3001" s="125"/>
      <c r="CXB3001" s="470"/>
      <c r="CXC3001" s="449"/>
      <c r="CXD3001" s="462"/>
      <c r="CXE3001" s="299"/>
      <c r="CXF3001" s="81"/>
      <c r="CXG3001" s="160"/>
      <c r="CXH3001" s="571"/>
      <c r="CXI3001" s="125"/>
      <c r="CXJ3001" s="470"/>
      <c r="CXK3001" s="449"/>
      <c r="CXL3001" s="462"/>
      <c r="CXM3001" s="299"/>
      <c r="CXN3001" s="81"/>
      <c r="CXO3001" s="160"/>
      <c r="CXP3001" s="571"/>
      <c r="CXQ3001" s="125"/>
      <c r="CXR3001" s="470"/>
      <c r="CXS3001" s="449"/>
      <c r="CXT3001" s="462"/>
      <c r="CXU3001" s="299"/>
      <c r="CXV3001" s="81"/>
      <c r="CXW3001" s="160"/>
      <c r="CXX3001" s="571"/>
      <c r="CXY3001" s="125"/>
      <c r="CXZ3001" s="470"/>
      <c r="CYA3001" s="449"/>
      <c r="CYB3001" s="462"/>
      <c r="CYC3001" s="299"/>
      <c r="CYD3001" s="81"/>
      <c r="CYE3001" s="160"/>
      <c r="CYF3001" s="571"/>
      <c r="CYG3001" s="125"/>
      <c r="CYH3001" s="470"/>
      <c r="CYI3001" s="449"/>
      <c r="CYJ3001" s="462"/>
      <c r="CYK3001" s="299"/>
      <c r="CYL3001" s="81"/>
      <c r="CYM3001" s="160"/>
      <c r="CYN3001" s="571"/>
      <c r="CYO3001" s="125"/>
      <c r="CYP3001" s="470"/>
      <c r="CYQ3001" s="449"/>
      <c r="CYR3001" s="462"/>
      <c r="CYS3001" s="299"/>
      <c r="CYT3001" s="81"/>
      <c r="CYU3001" s="160"/>
      <c r="CYV3001" s="571"/>
      <c r="CYW3001" s="125"/>
      <c r="CYX3001" s="470"/>
      <c r="CYY3001" s="449"/>
      <c r="CYZ3001" s="462"/>
      <c r="CZA3001" s="299"/>
      <c r="CZB3001" s="81"/>
      <c r="CZC3001" s="160"/>
      <c r="CZD3001" s="571"/>
      <c r="CZE3001" s="125"/>
      <c r="CZF3001" s="470"/>
      <c r="CZG3001" s="449"/>
      <c r="CZH3001" s="462"/>
      <c r="CZI3001" s="299"/>
      <c r="CZJ3001" s="81"/>
      <c r="CZK3001" s="160"/>
      <c r="CZL3001" s="571"/>
      <c r="CZM3001" s="125"/>
      <c r="CZN3001" s="470"/>
      <c r="CZO3001" s="449"/>
      <c r="CZP3001" s="462"/>
      <c r="CZQ3001" s="299"/>
      <c r="CZR3001" s="81"/>
      <c r="CZS3001" s="160"/>
      <c r="CZT3001" s="571"/>
      <c r="CZU3001" s="125"/>
      <c r="CZV3001" s="470"/>
      <c r="CZW3001" s="449"/>
      <c r="CZX3001" s="462"/>
      <c r="CZY3001" s="299"/>
      <c r="CZZ3001" s="81"/>
      <c r="DAA3001" s="160"/>
      <c r="DAB3001" s="571"/>
      <c r="DAC3001" s="125"/>
      <c r="DAD3001" s="470"/>
      <c r="DAE3001" s="449"/>
      <c r="DAF3001" s="462"/>
      <c r="DAG3001" s="299"/>
      <c r="DAH3001" s="81"/>
      <c r="DAI3001" s="160"/>
      <c r="DAJ3001" s="571"/>
      <c r="DAK3001" s="125"/>
      <c r="DAL3001" s="470"/>
      <c r="DAM3001" s="449"/>
      <c r="DAN3001" s="462"/>
      <c r="DAO3001" s="299"/>
      <c r="DAP3001" s="81"/>
      <c r="DAQ3001" s="160"/>
      <c r="DAR3001" s="571"/>
      <c r="DAS3001" s="125"/>
      <c r="DAT3001" s="470"/>
      <c r="DAU3001" s="449"/>
      <c r="DAV3001" s="462"/>
      <c r="DAW3001" s="299"/>
      <c r="DAX3001" s="81"/>
      <c r="DAY3001" s="160"/>
      <c r="DAZ3001" s="571"/>
      <c r="DBA3001" s="125"/>
      <c r="DBB3001" s="470"/>
      <c r="DBC3001" s="449"/>
      <c r="DBD3001" s="462"/>
      <c r="DBE3001" s="299"/>
      <c r="DBF3001" s="81"/>
      <c r="DBG3001" s="160"/>
      <c r="DBH3001" s="571"/>
      <c r="DBI3001" s="125"/>
      <c r="DBJ3001" s="470"/>
      <c r="DBK3001" s="449"/>
      <c r="DBL3001" s="462"/>
      <c r="DBM3001" s="299"/>
      <c r="DBN3001" s="81"/>
      <c r="DBO3001" s="160"/>
      <c r="DBP3001" s="571"/>
      <c r="DBQ3001" s="125"/>
      <c r="DBR3001" s="470"/>
      <c r="DBS3001" s="449"/>
      <c r="DBT3001" s="462"/>
      <c r="DBU3001" s="299"/>
      <c r="DBV3001" s="81"/>
      <c r="DBW3001" s="160"/>
      <c r="DBX3001" s="571"/>
      <c r="DBY3001" s="125"/>
      <c r="DBZ3001" s="470"/>
      <c r="DCA3001" s="449"/>
      <c r="DCB3001" s="462"/>
      <c r="DCC3001" s="299"/>
      <c r="DCD3001" s="81"/>
      <c r="DCE3001" s="160"/>
      <c r="DCF3001" s="571"/>
      <c r="DCG3001" s="125"/>
      <c r="DCH3001" s="470"/>
      <c r="DCI3001" s="449"/>
      <c r="DCJ3001" s="462"/>
      <c r="DCK3001" s="299"/>
      <c r="DCL3001" s="81"/>
      <c r="DCM3001" s="160"/>
      <c r="DCN3001" s="571"/>
      <c r="DCO3001" s="125"/>
      <c r="DCP3001" s="470"/>
      <c r="DCQ3001" s="449"/>
      <c r="DCR3001" s="462"/>
      <c r="DCS3001" s="299"/>
      <c r="DCT3001" s="81"/>
      <c r="DCU3001" s="160"/>
      <c r="DCV3001" s="571"/>
      <c r="DCW3001" s="125"/>
      <c r="DCX3001" s="470"/>
      <c r="DCY3001" s="449"/>
      <c r="DCZ3001" s="462"/>
      <c r="DDA3001" s="299"/>
      <c r="DDB3001" s="81"/>
      <c r="DDC3001" s="160"/>
      <c r="DDD3001" s="571"/>
      <c r="DDE3001" s="125"/>
      <c r="DDF3001" s="470"/>
      <c r="DDG3001" s="449"/>
      <c r="DDH3001" s="462"/>
      <c r="DDI3001" s="299"/>
      <c r="DDJ3001" s="81"/>
      <c r="DDK3001" s="160"/>
      <c r="DDL3001" s="571"/>
      <c r="DDM3001" s="125"/>
      <c r="DDN3001" s="470"/>
      <c r="DDO3001" s="449"/>
      <c r="DDP3001" s="462"/>
      <c r="DDQ3001" s="299"/>
      <c r="DDR3001" s="81"/>
      <c r="DDS3001" s="160"/>
      <c r="DDT3001" s="571"/>
      <c r="DDU3001" s="125"/>
      <c r="DDV3001" s="470"/>
      <c r="DDW3001" s="449"/>
      <c r="DDX3001" s="462"/>
      <c r="DDY3001" s="299"/>
      <c r="DDZ3001" s="81"/>
      <c r="DEA3001" s="160"/>
      <c r="DEB3001" s="571"/>
      <c r="DEC3001" s="125"/>
      <c r="DED3001" s="470"/>
      <c r="DEE3001" s="449"/>
      <c r="DEF3001" s="462"/>
      <c r="DEG3001" s="299"/>
      <c r="DEH3001" s="81"/>
      <c r="DEI3001" s="160"/>
      <c r="DEJ3001" s="571"/>
      <c r="DEK3001" s="125"/>
      <c r="DEL3001" s="470"/>
      <c r="DEM3001" s="449"/>
      <c r="DEN3001" s="462"/>
      <c r="DEO3001" s="299"/>
      <c r="DEP3001" s="81"/>
      <c r="DEQ3001" s="160"/>
      <c r="DER3001" s="571"/>
      <c r="DES3001" s="125"/>
      <c r="DET3001" s="470"/>
      <c r="DEU3001" s="449"/>
      <c r="DEV3001" s="462"/>
      <c r="DEW3001" s="299"/>
      <c r="DEX3001" s="81"/>
      <c r="DEY3001" s="160"/>
      <c r="DEZ3001" s="571"/>
      <c r="DFA3001" s="125"/>
      <c r="DFB3001" s="470"/>
      <c r="DFC3001" s="449"/>
      <c r="DFD3001" s="462"/>
      <c r="DFE3001" s="299"/>
      <c r="DFF3001" s="81"/>
      <c r="DFG3001" s="160"/>
      <c r="DFH3001" s="571"/>
      <c r="DFI3001" s="125"/>
      <c r="DFJ3001" s="470"/>
      <c r="DFK3001" s="449"/>
      <c r="DFL3001" s="462"/>
      <c r="DFM3001" s="299"/>
      <c r="DFN3001" s="81"/>
      <c r="DFO3001" s="160"/>
      <c r="DFP3001" s="571"/>
      <c r="DFQ3001" s="125"/>
      <c r="DFR3001" s="470"/>
      <c r="DFS3001" s="449"/>
      <c r="DFT3001" s="462"/>
      <c r="DFU3001" s="299"/>
      <c r="DFV3001" s="81"/>
      <c r="DFW3001" s="160"/>
      <c r="DFX3001" s="571"/>
      <c r="DFY3001" s="125"/>
      <c r="DFZ3001" s="470"/>
      <c r="DGA3001" s="449"/>
      <c r="DGB3001" s="462"/>
      <c r="DGC3001" s="299"/>
      <c r="DGD3001" s="81"/>
      <c r="DGE3001" s="160"/>
      <c r="DGF3001" s="571"/>
      <c r="DGG3001" s="125"/>
      <c r="DGH3001" s="470"/>
      <c r="DGI3001" s="449"/>
      <c r="DGJ3001" s="462"/>
      <c r="DGK3001" s="299"/>
      <c r="DGL3001" s="81"/>
      <c r="DGM3001" s="160"/>
      <c r="DGN3001" s="571"/>
      <c r="DGO3001" s="125"/>
      <c r="DGP3001" s="470"/>
      <c r="DGQ3001" s="449"/>
      <c r="DGR3001" s="462"/>
      <c r="DGS3001" s="299"/>
      <c r="DGT3001" s="81"/>
      <c r="DGU3001" s="160"/>
      <c r="DGV3001" s="571"/>
      <c r="DGW3001" s="125"/>
      <c r="DGX3001" s="470"/>
      <c r="DGY3001" s="449"/>
      <c r="DGZ3001" s="462"/>
      <c r="DHA3001" s="299"/>
      <c r="DHB3001" s="81"/>
      <c r="DHC3001" s="160"/>
      <c r="DHD3001" s="571"/>
      <c r="DHE3001" s="125"/>
      <c r="DHF3001" s="470"/>
      <c r="DHG3001" s="449"/>
      <c r="DHH3001" s="462"/>
      <c r="DHI3001" s="299"/>
      <c r="DHJ3001" s="81"/>
      <c r="DHK3001" s="160"/>
      <c r="DHL3001" s="571"/>
      <c r="DHM3001" s="125"/>
      <c r="DHN3001" s="470"/>
      <c r="DHO3001" s="449"/>
      <c r="DHP3001" s="462"/>
      <c r="DHQ3001" s="299"/>
      <c r="DHR3001" s="81"/>
      <c r="DHS3001" s="160"/>
      <c r="DHT3001" s="571"/>
      <c r="DHU3001" s="125"/>
      <c r="DHV3001" s="470"/>
      <c r="DHW3001" s="449"/>
      <c r="DHX3001" s="462"/>
      <c r="DHY3001" s="299"/>
      <c r="DHZ3001" s="81"/>
      <c r="DIA3001" s="160"/>
      <c r="DIB3001" s="571"/>
      <c r="DIC3001" s="125"/>
      <c r="DID3001" s="470"/>
      <c r="DIE3001" s="449"/>
      <c r="DIF3001" s="462"/>
      <c r="DIG3001" s="299"/>
      <c r="DIH3001" s="81"/>
      <c r="DII3001" s="160"/>
      <c r="DIJ3001" s="571"/>
      <c r="DIK3001" s="125"/>
      <c r="DIL3001" s="470"/>
      <c r="DIM3001" s="449"/>
      <c r="DIN3001" s="462"/>
      <c r="DIO3001" s="299"/>
      <c r="DIP3001" s="81"/>
      <c r="DIQ3001" s="160"/>
      <c r="DIR3001" s="571"/>
      <c r="DIS3001" s="125"/>
      <c r="DIT3001" s="470"/>
      <c r="DIU3001" s="449"/>
      <c r="DIV3001" s="462"/>
      <c r="DIW3001" s="299"/>
      <c r="DIX3001" s="81"/>
      <c r="DIY3001" s="160"/>
      <c r="DIZ3001" s="571"/>
      <c r="DJA3001" s="125"/>
      <c r="DJB3001" s="470"/>
      <c r="DJC3001" s="449"/>
      <c r="DJD3001" s="462"/>
      <c r="DJE3001" s="299"/>
      <c r="DJF3001" s="81"/>
      <c r="DJG3001" s="160"/>
      <c r="DJH3001" s="571"/>
      <c r="DJI3001" s="125"/>
      <c r="DJJ3001" s="470"/>
      <c r="DJK3001" s="449"/>
      <c r="DJL3001" s="462"/>
      <c r="DJM3001" s="299"/>
      <c r="DJN3001" s="81"/>
      <c r="DJO3001" s="160"/>
      <c r="DJP3001" s="571"/>
      <c r="DJQ3001" s="125"/>
      <c r="DJR3001" s="470"/>
      <c r="DJS3001" s="449"/>
      <c r="DJT3001" s="462"/>
      <c r="DJU3001" s="299"/>
      <c r="DJV3001" s="81"/>
      <c r="DJW3001" s="160"/>
      <c r="DJX3001" s="571"/>
      <c r="DJY3001" s="125"/>
      <c r="DJZ3001" s="470"/>
      <c r="DKA3001" s="449"/>
      <c r="DKB3001" s="462"/>
      <c r="DKC3001" s="299"/>
      <c r="DKD3001" s="81"/>
      <c r="DKE3001" s="160"/>
      <c r="DKF3001" s="571"/>
      <c r="DKG3001" s="125"/>
      <c r="DKH3001" s="470"/>
      <c r="DKI3001" s="449"/>
      <c r="DKJ3001" s="462"/>
      <c r="DKK3001" s="299"/>
      <c r="DKL3001" s="81"/>
      <c r="DKM3001" s="160"/>
      <c r="DKN3001" s="571"/>
      <c r="DKO3001" s="125"/>
      <c r="DKP3001" s="470"/>
      <c r="DKQ3001" s="449"/>
      <c r="DKR3001" s="462"/>
      <c r="DKS3001" s="299"/>
      <c r="DKT3001" s="81"/>
      <c r="DKU3001" s="160"/>
      <c r="DKV3001" s="571"/>
      <c r="DKW3001" s="125"/>
      <c r="DKX3001" s="470"/>
      <c r="DKY3001" s="449"/>
      <c r="DKZ3001" s="462"/>
      <c r="DLA3001" s="299"/>
      <c r="DLB3001" s="81"/>
      <c r="DLC3001" s="160"/>
      <c r="DLD3001" s="571"/>
      <c r="DLE3001" s="125"/>
      <c r="DLF3001" s="470"/>
      <c r="DLG3001" s="449"/>
      <c r="DLH3001" s="462"/>
      <c r="DLI3001" s="299"/>
      <c r="DLJ3001" s="81"/>
      <c r="DLK3001" s="160"/>
      <c r="DLL3001" s="571"/>
      <c r="DLM3001" s="125"/>
      <c r="DLN3001" s="470"/>
      <c r="DLO3001" s="449"/>
      <c r="DLP3001" s="462"/>
      <c r="DLQ3001" s="299"/>
      <c r="DLR3001" s="81"/>
      <c r="DLS3001" s="160"/>
      <c r="DLT3001" s="571"/>
      <c r="DLU3001" s="125"/>
      <c r="DLV3001" s="470"/>
      <c r="DLW3001" s="449"/>
      <c r="DLX3001" s="462"/>
      <c r="DLY3001" s="299"/>
      <c r="DLZ3001" s="81"/>
      <c r="DMA3001" s="160"/>
      <c r="DMB3001" s="571"/>
      <c r="DMC3001" s="125"/>
      <c r="DMD3001" s="470"/>
      <c r="DME3001" s="449"/>
      <c r="DMF3001" s="462"/>
      <c r="DMG3001" s="299"/>
      <c r="DMH3001" s="81"/>
      <c r="DMI3001" s="160"/>
      <c r="DMJ3001" s="571"/>
      <c r="DMK3001" s="125"/>
      <c r="DML3001" s="470"/>
      <c r="DMM3001" s="449"/>
      <c r="DMN3001" s="462"/>
      <c r="DMO3001" s="299"/>
      <c r="DMP3001" s="81"/>
      <c r="DMQ3001" s="160"/>
      <c r="DMR3001" s="571"/>
      <c r="DMS3001" s="125"/>
      <c r="DMT3001" s="470"/>
      <c r="DMU3001" s="449"/>
      <c r="DMV3001" s="462"/>
      <c r="DMW3001" s="299"/>
      <c r="DMX3001" s="81"/>
      <c r="DMY3001" s="160"/>
      <c r="DMZ3001" s="571"/>
      <c r="DNA3001" s="125"/>
      <c r="DNB3001" s="470"/>
      <c r="DNC3001" s="449"/>
      <c r="DND3001" s="462"/>
      <c r="DNE3001" s="299"/>
      <c r="DNF3001" s="81"/>
      <c r="DNG3001" s="160"/>
      <c r="DNH3001" s="571"/>
      <c r="DNI3001" s="125"/>
      <c r="DNJ3001" s="470"/>
      <c r="DNK3001" s="449"/>
      <c r="DNL3001" s="462"/>
      <c r="DNM3001" s="299"/>
      <c r="DNN3001" s="81"/>
      <c r="DNO3001" s="160"/>
      <c r="DNP3001" s="571"/>
      <c r="DNQ3001" s="125"/>
      <c r="DNR3001" s="470"/>
      <c r="DNS3001" s="449"/>
      <c r="DNT3001" s="462"/>
      <c r="DNU3001" s="299"/>
      <c r="DNV3001" s="81"/>
      <c r="DNW3001" s="160"/>
      <c r="DNX3001" s="571"/>
      <c r="DNY3001" s="125"/>
      <c r="DNZ3001" s="470"/>
      <c r="DOA3001" s="449"/>
      <c r="DOB3001" s="462"/>
      <c r="DOC3001" s="299"/>
      <c r="DOD3001" s="81"/>
      <c r="DOE3001" s="160"/>
      <c r="DOF3001" s="571"/>
      <c r="DOG3001" s="125"/>
      <c r="DOH3001" s="470"/>
      <c r="DOI3001" s="449"/>
      <c r="DOJ3001" s="462"/>
      <c r="DOK3001" s="299"/>
      <c r="DOL3001" s="81"/>
      <c r="DOM3001" s="160"/>
      <c r="DON3001" s="571"/>
      <c r="DOO3001" s="125"/>
      <c r="DOP3001" s="470"/>
      <c r="DOQ3001" s="449"/>
      <c r="DOR3001" s="462"/>
      <c r="DOS3001" s="299"/>
      <c r="DOT3001" s="81"/>
      <c r="DOU3001" s="160"/>
      <c r="DOV3001" s="571"/>
      <c r="DOW3001" s="125"/>
      <c r="DOX3001" s="470"/>
      <c r="DOY3001" s="449"/>
      <c r="DOZ3001" s="462"/>
      <c r="DPA3001" s="299"/>
      <c r="DPB3001" s="81"/>
      <c r="DPC3001" s="160"/>
      <c r="DPD3001" s="571"/>
      <c r="DPE3001" s="125"/>
      <c r="DPF3001" s="470"/>
      <c r="DPG3001" s="449"/>
      <c r="DPH3001" s="462"/>
      <c r="DPI3001" s="299"/>
      <c r="DPJ3001" s="81"/>
      <c r="DPK3001" s="160"/>
      <c r="DPL3001" s="571"/>
      <c r="DPM3001" s="125"/>
      <c r="DPN3001" s="470"/>
      <c r="DPO3001" s="449"/>
      <c r="DPP3001" s="462"/>
      <c r="DPQ3001" s="299"/>
      <c r="DPR3001" s="81"/>
      <c r="DPS3001" s="160"/>
      <c r="DPT3001" s="571"/>
      <c r="DPU3001" s="125"/>
      <c r="DPV3001" s="470"/>
      <c r="DPW3001" s="449"/>
      <c r="DPX3001" s="462"/>
      <c r="DPY3001" s="299"/>
      <c r="DPZ3001" s="81"/>
      <c r="DQA3001" s="160"/>
      <c r="DQB3001" s="571"/>
      <c r="DQC3001" s="125"/>
      <c r="DQD3001" s="470"/>
      <c r="DQE3001" s="449"/>
      <c r="DQF3001" s="462"/>
      <c r="DQG3001" s="299"/>
      <c r="DQH3001" s="81"/>
      <c r="DQI3001" s="160"/>
      <c r="DQJ3001" s="571"/>
      <c r="DQK3001" s="125"/>
      <c r="DQL3001" s="470"/>
      <c r="DQM3001" s="449"/>
      <c r="DQN3001" s="462"/>
      <c r="DQO3001" s="299"/>
      <c r="DQP3001" s="81"/>
      <c r="DQQ3001" s="160"/>
      <c r="DQR3001" s="571"/>
      <c r="DQS3001" s="125"/>
      <c r="DQT3001" s="470"/>
      <c r="DQU3001" s="449"/>
      <c r="DQV3001" s="462"/>
      <c r="DQW3001" s="299"/>
      <c r="DQX3001" s="81"/>
      <c r="DQY3001" s="160"/>
      <c r="DQZ3001" s="571"/>
      <c r="DRA3001" s="125"/>
      <c r="DRB3001" s="470"/>
      <c r="DRC3001" s="449"/>
      <c r="DRD3001" s="462"/>
      <c r="DRE3001" s="299"/>
      <c r="DRF3001" s="81"/>
      <c r="DRG3001" s="160"/>
      <c r="DRH3001" s="571"/>
      <c r="DRI3001" s="125"/>
      <c r="DRJ3001" s="470"/>
      <c r="DRK3001" s="449"/>
      <c r="DRL3001" s="462"/>
      <c r="DRM3001" s="299"/>
      <c r="DRN3001" s="81"/>
      <c r="DRO3001" s="160"/>
      <c r="DRP3001" s="571"/>
      <c r="DRQ3001" s="125"/>
      <c r="DRR3001" s="470"/>
      <c r="DRS3001" s="449"/>
      <c r="DRT3001" s="462"/>
      <c r="DRU3001" s="299"/>
      <c r="DRV3001" s="81"/>
      <c r="DRW3001" s="160"/>
      <c r="DRX3001" s="571"/>
      <c r="DRY3001" s="125"/>
      <c r="DRZ3001" s="470"/>
      <c r="DSA3001" s="449"/>
      <c r="DSB3001" s="462"/>
      <c r="DSC3001" s="299"/>
      <c r="DSD3001" s="81"/>
      <c r="DSE3001" s="160"/>
      <c r="DSF3001" s="571"/>
      <c r="DSG3001" s="125"/>
      <c r="DSH3001" s="470"/>
      <c r="DSI3001" s="449"/>
      <c r="DSJ3001" s="462"/>
      <c r="DSK3001" s="299"/>
      <c r="DSL3001" s="81"/>
      <c r="DSM3001" s="160"/>
      <c r="DSN3001" s="571"/>
      <c r="DSO3001" s="125"/>
      <c r="DSP3001" s="470"/>
      <c r="DSQ3001" s="449"/>
      <c r="DSR3001" s="462"/>
      <c r="DSS3001" s="299"/>
      <c r="DST3001" s="81"/>
      <c r="DSU3001" s="160"/>
      <c r="DSV3001" s="571"/>
      <c r="DSW3001" s="125"/>
      <c r="DSX3001" s="470"/>
      <c r="DSY3001" s="449"/>
      <c r="DSZ3001" s="462"/>
      <c r="DTA3001" s="299"/>
      <c r="DTB3001" s="81"/>
      <c r="DTC3001" s="160"/>
      <c r="DTD3001" s="571"/>
      <c r="DTE3001" s="125"/>
      <c r="DTF3001" s="470"/>
      <c r="DTG3001" s="449"/>
      <c r="DTH3001" s="462"/>
      <c r="DTI3001" s="299"/>
      <c r="DTJ3001" s="81"/>
      <c r="DTK3001" s="160"/>
      <c r="DTL3001" s="571"/>
      <c r="DTM3001" s="125"/>
      <c r="DTN3001" s="470"/>
      <c r="DTO3001" s="449"/>
      <c r="DTP3001" s="462"/>
      <c r="DTQ3001" s="299"/>
      <c r="DTR3001" s="81"/>
      <c r="DTS3001" s="160"/>
      <c r="DTT3001" s="571"/>
      <c r="DTU3001" s="125"/>
      <c r="DTV3001" s="470"/>
      <c r="DTW3001" s="449"/>
      <c r="DTX3001" s="462"/>
      <c r="DTY3001" s="299"/>
      <c r="DTZ3001" s="81"/>
      <c r="DUA3001" s="160"/>
      <c r="DUB3001" s="571"/>
      <c r="DUC3001" s="125"/>
      <c r="DUD3001" s="470"/>
      <c r="DUE3001" s="449"/>
      <c r="DUF3001" s="462"/>
      <c r="DUG3001" s="299"/>
      <c r="DUH3001" s="81"/>
      <c r="DUI3001" s="160"/>
      <c r="DUJ3001" s="571"/>
      <c r="DUK3001" s="125"/>
      <c r="DUL3001" s="470"/>
      <c r="DUM3001" s="449"/>
      <c r="DUN3001" s="462"/>
      <c r="DUO3001" s="299"/>
      <c r="DUP3001" s="81"/>
      <c r="DUQ3001" s="160"/>
      <c r="DUR3001" s="571"/>
      <c r="DUS3001" s="125"/>
      <c r="DUT3001" s="470"/>
      <c r="DUU3001" s="449"/>
      <c r="DUV3001" s="462"/>
      <c r="DUW3001" s="299"/>
      <c r="DUX3001" s="81"/>
      <c r="DUY3001" s="160"/>
      <c r="DUZ3001" s="571"/>
      <c r="DVA3001" s="125"/>
      <c r="DVB3001" s="470"/>
      <c r="DVC3001" s="449"/>
      <c r="DVD3001" s="462"/>
      <c r="DVE3001" s="299"/>
      <c r="DVF3001" s="81"/>
      <c r="DVG3001" s="160"/>
      <c r="DVH3001" s="571"/>
      <c r="DVI3001" s="125"/>
      <c r="DVJ3001" s="470"/>
      <c r="DVK3001" s="449"/>
      <c r="DVL3001" s="462"/>
      <c r="DVM3001" s="299"/>
      <c r="DVN3001" s="81"/>
      <c r="DVO3001" s="160"/>
      <c r="DVP3001" s="571"/>
      <c r="DVQ3001" s="125"/>
      <c r="DVR3001" s="470"/>
      <c r="DVS3001" s="449"/>
      <c r="DVT3001" s="462"/>
      <c r="DVU3001" s="299"/>
      <c r="DVV3001" s="81"/>
      <c r="DVW3001" s="160"/>
      <c r="DVX3001" s="571"/>
      <c r="DVY3001" s="125"/>
      <c r="DVZ3001" s="470"/>
      <c r="DWA3001" s="449"/>
      <c r="DWB3001" s="462"/>
      <c r="DWC3001" s="299"/>
      <c r="DWD3001" s="81"/>
      <c r="DWE3001" s="160"/>
      <c r="DWF3001" s="571"/>
      <c r="DWG3001" s="125"/>
      <c r="DWH3001" s="470"/>
      <c r="DWI3001" s="449"/>
      <c r="DWJ3001" s="462"/>
      <c r="DWK3001" s="299"/>
      <c r="DWL3001" s="81"/>
      <c r="DWM3001" s="160"/>
      <c r="DWN3001" s="571"/>
      <c r="DWO3001" s="125"/>
      <c r="DWP3001" s="470"/>
      <c r="DWQ3001" s="449"/>
      <c r="DWR3001" s="462"/>
      <c r="DWS3001" s="299"/>
      <c r="DWT3001" s="81"/>
      <c r="DWU3001" s="160"/>
      <c r="DWV3001" s="571"/>
      <c r="DWW3001" s="125"/>
      <c r="DWX3001" s="470"/>
      <c r="DWY3001" s="449"/>
      <c r="DWZ3001" s="462"/>
      <c r="DXA3001" s="299"/>
      <c r="DXB3001" s="81"/>
      <c r="DXC3001" s="160"/>
      <c r="DXD3001" s="571"/>
      <c r="DXE3001" s="125"/>
      <c r="DXF3001" s="470"/>
      <c r="DXG3001" s="449"/>
      <c r="DXH3001" s="462"/>
      <c r="DXI3001" s="299"/>
      <c r="DXJ3001" s="81"/>
      <c r="DXK3001" s="160"/>
      <c r="DXL3001" s="571"/>
      <c r="DXM3001" s="125"/>
      <c r="DXN3001" s="470"/>
      <c r="DXO3001" s="449"/>
      <c r="DXP3001" s="462"/>
      <c r="DXQ3001" s="299"/>
      <c r="DXR3001" s="81"/>
      <c r="DXS3001" s="160"/>
      <c r="DXT3001" s="571"/>
      <c r="DXU3001" s="125"/>
      <c r="DXV3001" s="470"/>
      <c r="DXW3001" s="449"/>
      <c r="DXX3001" s="462"/>
      <c r="DXY3001" s="299"/>
      <c r="DXZ3001" s="81"/>
      <c r="DYA3001" s="160"/>
      <c r="DYB3001" s="571"/>
      <c r="DYC3001" s="125"/>
      <c r="DYD3001" s="470"/>
      <c r="DYE3001" s="449"/>
      <c r="DYF3001" s="462"/>
      <c r="DYG3001" s="299"/>
      <c r="DYH3001" s="81"/>
      <c r="DYI3001" s="160"/>
      <c r="DYJ3001" s="571"/>
      <c r="DYK3001" s="125"/>
      <c r="DYL3001" s="470"/>
      <c r="DYM3001" s="449"/>
      <c r="DYN3001" s="462"/>
      <c r="DYO3001" s="299"/>
      <c r="DYP3001" s="81"/>
      <c r="DYQ3001" s="160"/>
      <c r="DYR3001" s="571"/>
      <c r="DYS3001" s="125"/>
      <c r="DYT3001" s="470"/>
      <c r="DYU3001" s="449"/>
      <c r="DYV3001" s="462"/>
      <c r="DYW3001" s="299"/>
      <c r="DYX3001" s="81"/>
      <c r="DYY3001" s="160"/>
      <c r="DYZ3001" s="571"/>
      <c r="DZA3001" s="125"/>
      <c r="DZB3001" s="470"/>
      <c r="DZC3001" s="449"/>
      <c r="DZD3001" s="462"/>
      <c r="DZE3001" s="299"/>
      <c r="DZF3001" s="81"/>
      <c r="DZG3001" s="160"/>
      <c r="DZH3001" s="571"/>
      <c r="DZI3001" s="125"/>
      <c r="DZJ3001" s="470"/>
      <c r="DZK3001" s="449"/>
      <c r="DZL3001" s="462"/>
      <c r="DZM3001" s="299"/>
      <c r="DZN3001" s="81"/>
      <c r="DZO3001" s="160"/>
      <c r="DZP3001" s="571"/>
      <c r="DZQ3001" s="125"/>
      <c r="DZR3001" s="470"/>
      <c r="DZS3001" s="449"/>
      <c r="DZT3001" s="462"/>
      <c r="DZU3001" s="299"/>
      <c r="DZV3001" s="81"/>
      <c r="DZW3001" s="160"/>
      <c r="DZX3001" s="571"/>
      <c r="DZY3001" s="125"/>
      <c r="DZZ3001" s="470"/>
      <c r="EAA3001" s="449"/>
      <c r="EAB3001" s="462"/>
      <c r="EAC3001" s="299"/>
      <c r="EAD3001" s="81"/>
      <c r="EAE3001" s="160"/>
      <c r="EAF3001" s="571"/>
      <c r="EAG3001" s="125"/>
      <c r="EAH3001" s="470"/>
      <c r="EAI3001" s="449"/>
      <c r="EAJ3001" s="462"/>
      <c r="EAK3001" s="299"/>
      <c r="EAL3001" s="81"/>
      <c r="EAM3001" s="160"/>
      <c r="EAN3001" s="571"/>
      <c r="EAO3001" s="125"/>
      <c r="EAP3001" s="470"/>
      <c r="EAQ3001" s="449"/>
      <c r="EAR3001" s="462"/>
      <c r="EAS3001" s="299"/>
      <c r="EAT3001" s="81"/>
      <c r="EAU3001" s="160"/>
      <c r="EAV3001" s="571"/>
      <c r="EAW3001" s="125"/>
      <c r="EAX3001" s="470"/>
      <c r="EAY3001" s="449"/>
      <c r="EAZ3001" s="462"/>
      <c r="EBA3001" s="299"/>
      <c r="EBB3001" s="81"/>
      <c r="EBC3001" s="160"/>
      <c r="EBD3001" s="571"/>
      <c r="EBE3001" s="125"/>
      <c r="EBF3001" s="470"/>
      <c r="EBG3001" s="449"/>
      <c r="EBH3001" s="462"/>
      <c r="EBI3001" s="299"/>
      <c r="EBJ3001" s="81"/>
      <c r="EBK3001" s="160"/>
      <c r="EBL3001" s="571"/>
      <c r="EBM3001" s="125"/>
      <c r="EBN3001" s="470"/>
      <c r="EBO3001" s="449"/>
      <c r="EBP3001" s="462"/>
      <c r="EBQ3001" s="299"/>
      <c r="EBR3001" s="81"/>
      <c r="EBS3001" s="160"/>
      <c r="EBT3001" s="571"/>
      <c r="EBU3001" s="125"/>
      <c r="EBV3001" s="470"/>
      <c r="EBW3001" s="449"/>
      <c r="EBX3001" s="462"/>
      <c r="EBY3001" s="299"/>
      <c r="EBZ3001" s="81"/>
      <c r="ECA3001" s="160"/>
      <c r="ECB3001" s="571"/>
      <c r="ECC3001" s="125"/>
      <c r="ECD3001" s="470"/>
      <c r="ECE3001" s="449"/>
      <c r="ECF3001" s="462"/>
      <c r="ECG3001" s="299"/>
      <c r="ECH3001" s="81"/>
      <c r="ECI3001" s="160"/>
      <c r="ECJ3001" s="571"/>
      <c r="ECK3001" s="125"/>
      <c r="ECL3001" s="470"/>
      <c r="ECM3001" s="449"/>
      <c r="ECN3001" s="462"/>
      <c r="ECO3001" s="299"/>
      <c r="ECP3001" s="81"/>
      <c r="ECQ3001" s="160"/>
      <c r="ECR3001" s="571"/>
      <c r="ECS3001" s="125"/>
      <c r="ECT3001" s="470"/>
      <c r="ECU3001" s="449"/>
      <c r="ECV3001" s="462"/>
      <c r="ECW3001" s="299"/>
      <c r="ECX3001" s="81"/>
      <c r="ECY3001" s="160"/>
      <c r="ECZ3001" s="571"/>
      <c r="EDA3001" s="125"/>
      <c r="EDB3001" s="470"/>
      <c r="EDC3001" s="449"/>
      <c r="EDD3001" s="462"/>
      <c r="EDE3001" s="299"/>
      <c r="EDF3001" s="81"/>
      <c r="EDG3001" s="160"/>
      <c r="EDH3001" s="571"/>
      <c r="EDI3001" s="125"/>
      <c r="EDJ3001" s="470"/>
      <c r="EDK3001" s="449"/>
      <c r="EDL3001" s="462"/>
      <c r="EDM3001" s="299"/>
      <c r="EDN3001" s="81"/>
      <c r="EDO3001" s="160"/>
      <c r="EDP3001" s="571"/>
      <c r="EDQ3001" s="125"/>
      <c r="EDR3001" s="470"/>
      <c r="EDS3001" s="449"/>
      <c r="EDT3001" s="462"/>
      <c r="EDU3001" s="299"/>
      <c r="EDV3001" s="81"/>
      <c r="EDW3001" s="160"/>
      <c r="EDX3001" s="571"/>
      <c r="EDY3001" s="125"/>
      <c r="EDZ3001" s="470"/>
      <c r="EEA3001" s="449"/>
      <c r="EEB3001" s="462"/>
      <c r="EEC3001" s="299"/>
      <c r="EED3001" s="81"/>
      <c r="EEE3001" s="160"/>
      <c r="EEF3001" s="571"/>
      <c r="EEG3001" s="125"/>
      <c r="EEH3001" s="470"/>
      <c r="EEI3001" s="449"/>
      <c r="EEJ3001" s="462"/>
      <c r="EEK3001" s="299"/>
      <c r="EEL3001" s="81"/>
      <c r="EEM3001" s="160"/>
      <c r="EEN3001" s="571"/>
      <c r="EEO3001" s="125"/>
      <c r="EEP3001" s="470"/>
      <c r="EEQ3001" s="449"/>
      <c r="EER3001" s="462"/>
      <c r="EES3001" s="299"/>
      <c r="EET3001" s="81"/>
      <c r="EEU3001" s="160"/>
      <c r="EEV3001" s="571"/>
      <c r="EEW3001" s="125"/>
      <c r="EEX3001" s="470"/>
      <c r="EEY3001" s="449"/>
      <c r="EEZ3001" s="462"/>
      <c r="EFA3001" s="299"/>
      <c r="EFB3001" s="81"/>
      <c r="EFC3001" s="160"/>
      <c r="EFD3001" s="571"/>
      <c r="EFE3001" s="125"/>
      <c r="EFF3001" s="470"/>
      <c r="EFG3001" s="449"/>
      <c r="EFH3001" s="462"/>
      <c r="EFI3001" s="299"/>
      <c r="EFJ3001" s="81"/>
      <c r="EFK3001" s="160"/>
      <c r="EFL3001" s="571"/>
      <c r="EFM3001" s="125"/>
      <c r="EFN3001" s="470"/>
      <c r="EFO3001" s="449"/>
      <c r="EFP3001" s="462"/>
      <c r="EFQ3001" s="299"/>
      <c r="EFR3001" s="81"/>
      <c r="EFS3001" s="160"/>
      <c r="EFT3001" s="571"/>
      <c r="EFU3001" s="125"/>
      <c r="EFV3001" s="470"/>
      <c r="EFW3001" s="449"/>
      <c r="EFX3001" s="462"/>
      <c r="EFY3001" s="299"/>
      <c r="EFZ3001" s="81"/>
      <c r="EGA3001" s="160"/>
      <c r="EGB3001" s="571"/>
      <c r="EGC3001" s="125"/>
      <c r="EGD3001" s="470"/>
      <c r="EGE3001" s="449"/>
      <c r="EGF3001" s="462"/>
      <c r="EGG3001" s="299"/>
      <c r="EGH3001" s="81"/>
      <c r="EGI3001" s="160"/>
      <c r="EGJ3001" s="571"/>
      <c r="EGK3001" s="125"/>
      <c r="EGL3001" s="470"/>
      <c r="EGM3001" s="449"/>
      <c r="EGN3001" s="462"/>
      <c r="EGO3001" s="299"/>
      <c r="EGP3001" s="81"/>
      <c r="EGQ3001" s="160"/>
      <c r="EGR3001" s="571"/>
      <c r="EGS3001" s="125"/>
      <c r="EGT3001" s="470"/>
      <c r="EGU3001" s="449"/>
      <c r="EGV3001" s="462"/>
      <c r="EGW3001" s="299"/>
      <c r="EGX3001" s="81"/>
      <c r="EGY3001" s="160"/>
      <c r="EGZ3001" s="571"/>
      <c r="EHA3001" s="125"/>
      <c r="EHB3001" s="470"/>
      <c r="EHC3001" s="449"/>
      <c r="EHD3001" s="462"/>
      <c r="EHE3001" s="299"/>
      <c r="EHF3001" s="81"/>
      <c r="EHG3001" s="160"/>
      <c r="EHH3001" s="571"/>
      <c r="EHI3001" s="125"/>
      <c r="EHJ3001" s="470"/>
      <c r="EHK3001" s="449"/>
      <c r="EHL3001" s="462"/>
      <c r="EHM3001" s="299"/>
      <c r="EHN3001" s="81"/>
      <c r="EHO3001" s="160"/>
      <c r="EHP3001" s="571"/>
      <c r="EHQ3001" s="125"/>
      <c r="EHR3001" s="470"/>
      <c r="EHS3001" s="449"/>
      <c r="EHT3001" s="462"/>
      <c r="EHU3001" s="299"/>
      <c r="EHV3001" s="81"/>
      <c r="EHW3001" s="160"/>
      <c r="EHX3001" s="571"/>
      <c r="EHY3001" s="125"/>
      <c r="EHZ3001" s="470"/>
      <c r="EIA3001" s="449"/>
      <c r="EIB3001" s="462"/>
      <c r="EIC3001" s="299"/>
      <c r="EID3001" s="81"/>
      <c r="EIE3001" s="160"/>
      <c r="EIF3001" s="571"/>
      <c r="EIG3001" s="125"/>
      <c r="EIH3001" s="470"/>
      <c r="EII3001" s="449"/>
      <c r="EIJ3001" s="462"/>
      <c r="EIK3001" s="299"/>
      <c r="EIL3001" s="81"/>
      <c r="EIM3001" s="160"/>
      <c r="EIN3001" s="571"/>
      <c r="EIO3001" s="125"/>
      <c r="EIP3001" s="470"/>
      <c r="EIQ3001" s="449"/>
      <c r="EIR3001" s="462"/>
      <c r="EIS3001" s="299"/>
      <c r="EIT3001" s="81"/>
      <c r="EIU3001" s="160"/>
      <c r="EIV3001" s="571"/>
      <c r="EIW3001" s="125"/>
      <c r="EIX3001" s="470"/>
      <c r="EIY3001" s="449"/>
      <c r="EIZ3001" s="462"/>
      <c r="EJA3001" s="299"/>
      <c r="EJB3001" s="81"/>
      <c r="EJC3001" s="160"/>
      <c r="EJD3001" s="571"/>
      <c r="EJE3001" s="125"/>
      <c r="EJF3001" s="470"/>
      <c r="EJG3001" s="449"/>
      <c r="EJH3001" s="462"/>
      <c r="EJI3001" s="299"/>
      <c r="EJJ3001" s="81"/>
      <c r="EJK3001" s="160"/>
      <c r="EJL3001" s="571"/>
      <c r="EJM3001" s="125"/>
      <c r="EJN3001" s="470"/>
      <c r="EJO3001" s="449"/>
      <c r="EJP3001" s="462"/>
      <c r="EJQ3001" s="299"/>
      <c r="EJR3001" s="81"/>
      <c r="EJS3001" s="160"/>
      <c r="EJT3001" s="571"/>
      <c r="EJU3001" s="125"/>
      <c r="EJV3001" s="470"/>
      <c r="EJW3001" s="449"/>
      <c r="EJX3001" s="462"/>
      <c r="EJY3001" s="299"/>
      <c r="EJZ3001" s="81"/>
      <c r="EKA3001" s="160"/>
      <c r="EKB3001" s="571"/>
      <c r="EKC3001" s="125"/>
      <c r="EKD3001" s="470"/>
      <c r="EKE3001" s="449"/>
      <c r="EKF3001" s="462"/>
      <c r="EKG3001" s="299"/>
      <c r="EKH3001" s="81"/>
      <c r="EKI3001" s="160"/>
      <c r="EKJ3001" s="571"/>
      <c r="EKK3001" s="125"/>
      <c r="EKL3001" s="470"/>
      <c r="EKM3001" s="449"/>
      <c r="EKN3001" s="462"/>
      <c r="EKO3001" s="299"/>
      <c r="EKP3001" s="81"/>
      <c r="EKQ3001" s="160"/>
      <c r="EKR3001" s="571"/>
      <c r="EKS3001" s="125"/>
      <c r="EKT3001" s="470"/>
      <c r="EKU3001" s="449"/>
      <c r="EKV3001" s="462"/>
      <c r="EKW3001" s="299"/>
      <c r="EKX3001" s="81"/>
      <c r="EKY3001" s="160"/>
      <c r="EKZ3001" s="571"/>
      <c r="ELA3001" s="125"/>
      <c r="ELB3001" s="470"/>
      <c r="ELC3001" s="449"/>
      <c r="ELD3001" s="462"/>
      <c r="ELE3001" s="299"/>
      <c r="ELF3001" s="81"/>
      <c r="ELG3001" s="160"/>
      <c r="ELH3001" s="571"/>
      <c r="ELI3001" s="125"/>
      <c r="ELJ3001" s="470"/>
      <c r="ELK3001" s="449"/>
      <c r="ELL3001" s="462"/>
      <c r="ELM3001" s="299"/>
      <c r="ELN3001" s="81"/>
      <c r="ELO3001" s="160"/>
      <c r="ELP3001" s="571"/>
      <c r="ELQ3001" s="125"/>
      <c r="ELR3001" s="470"/>
      <c r="ELS3001" s="449"/>
      <c r="ELT3001" s="462"/>
      <c r="ELU3001" s="299"/>
      <c r="ELV3001" s="81"/>
      <c r="ELW3001" s="160"/>
      <c r="ELX3001" s="571"/>
      <c r="ELY3001" s="125"/>
      <c r="ELZ3001" s="470"/>
      <c r="EMA3001" s="449"/>
      <c r="EMB3001" s="462"/>
      <c r="EMC3001" s="299"/>
      <c r="EMD3001" s="81"/>
      <c r="EME3001" s="160"/>
      <c r="EMF3001" s="571"/>
      <c r="EMG3001" s="125"/>
      <c r="EMH3001" s="470"/>
      <c r="EMI3001" s="449"/>
      <c r="EMJ3001" s="462"/>
      <c r="EMK3001" s="299"/>
      <c r="EML3001" s="81"/>
      <c r="EMM3001" s="160"/>
      <c r="EMN3001" s="571"/>
      <c r="EMO3001" s="125"/>
      <c r="EMP3001" s="470"/>
      <c r="EMQ3001" s="449"/>
      <c r="EMR3001" s="462"/>
      <c r="EMS3001" s="299"/>
      <c r="EMT3001" s="81"/>
      <c r="EMU3001" s="160"/>
      <c r="EMV3001" s="571"/>
      <c r="EMW3001" s="125"/>
      <c r="EMX3001" s="470"/>
      <c r="EMY3001" s="449"/>
      <c r="EMZ3001" s="462"/>
      <c r="ENA3001" s="299"/>
      <c r="ENB3001" s="81"/>
      <c r="ENC3001" s="160"/>
      <c r="END3001" s="571"/>
      <c r="ENE3001" s="125"/>
      <c r="ENF3001" s="470"/>
      <c r="ENG3001" s="449"/>
      <c r="ENH3001" s="462"/>
      <c r="ENI3001" s="299"/>
      <c r="ENJ3001" s="81"/>
      <c r="ENK3001" s="160"/>
      <c r="ENL3001" s="571"/>
      <c r="ENM3001" s="125"/>
      <c r="ENN3001" s="470"/>
      <c r="ENO3001" s="449"/>
      <c r="ENP3001" s="462"/>
      <c r="ENQ3001" s="299"/>
      <c r="ENR3001" s="81"/>
      <c r="ENS3001" s="160"/>
      <c r="ENT3001" s="571"/>
      <c r="ENU3001" s="125"/>
      <c r="ENV3001" s="470"/>
      <c r="ENW3001" s="449"/>
      <c r="ENX3001" s="462"/>
      <c r="ENY3001" s="299"/>
      <c r="ENZ3001" s="81"/>
      <c r="EOA3001" s="160"/>
      <c r="EOB3001" s="571"/>
      <c r="EOC3001" s="125"/>
      <c r="EOD3001" s="470"/>
      <c r="EOE3001" s="449"/>
      <c r="EOF3001" s="462"/>
      <c r="EOG3001" s="299"/>
      <c r="EOH3001" s="81"/>
      <c r="EOI3001" s="160"/>
      <c r="EOJ3001" s="571"/>
      <c r="EOK3001" s="125"/>
      <c r="EOL3001" s="470"/>
      <c r="EOM3001" s="449"/>
      <c r="EON3001" s="462"/>
      <c r="EOO3001" s="299"/>
      <c r="EOP3001" s="81"/>
      <c r="EOQ3001" s="160"/>
      <c r="EOR3001" s="571"/>
      <c r="EOS3001" s="125"/>
      <c r="EOT3001" s="470"/>
      <c r="EOU3001" s="449"/>
      <c r="EOV3001" s="462"/>
      <c r="EOW3001" s="299"/>
      <c r="EOX3001" s="81"/>
      <c r="EOY3001" s="160"/>
      <c r="EOZ3001" s="571"/>
      <c r="EPA3001" s="125"/>
      <c r="EPB3001" s="470"/>
      <c r="EPC3001" s="449"/>
      <c r="EPD3001" s="462"/>
      <c r="EPE3001" s="299"/>
      <c r="EPF3001" s="81"/>
      <c r="EPG3001" s="160"/>
      <c r="EPH3001" s="571"/>
      <c r="EPI3001" s="125"/>
      <c r="EPJ3001" s="470"/>
      <c r="EPK3001" s="449"/>
      <c r="EPL3001" s="462"/>
      <c r="EPM3001" s="299"/>
      <c r="EPN3001" s="81"/>
      <c r="EPO3001" s="160"/>
      <c r="EPP3001" s="571"/>
      <c r="EPQ3001" s="125"/>
      <c r="EPR3001" s="470"/>
      <c r="EPS3001" s="449"/>
      <c r="EPT3001" s="462"/>
      <c r="EPU3001" s="299"/>
      <c r="EPV3001" s="81"/>
      <c r="EPW3001" s="160"/>
      <c r="EPX3001" s="571"/>
      <c r="EPY3001" s="125"/>
      <c r="EPZ3001" s="470"/>
      <c r="EQA3001" s="449"/>
      <c r="EQB3001" s="462"/>
      <c r="EQC3001" s="299"/>
      <c r="EQD3001" s="81"/>
      <c r="EQE3001" s="160"/>
      <c r="EQF3001" s="571"/>
      <c r="EQG3001" s="125"/>
      <c r="EQH3001" s="470"/>
      <c r="EQI3001" s="449"/>
      <c r="EQJ3001" s="462"/>
      <c r="EQK3001" s="299"/>
      <c r="EQL3001" s="81"/>
      <c r="EQM3001" s="160"/>
      <c r="EQN3001" s="571"/>
      <c r="EQO3001" s="125"/>
      <c r="EQP3001" s="470"/>
      <c r="EQQ3001" s="449"/>
      <c r="EQR3001" s="462"/>
      <c r="EQS3001" s="299"/>
      <c r="EQT3001" s="81"/>
      <c r="EQU3001" s="160"/>
      <c r="EQV3001" s="571"/>
      <c r="EQW3001" s="125"/>
      <c r="EQX3001" s="470"/>
      <c r="EQY3001" s="449"/>
      <c r="EQZ3001" s="462"/>
      <c r="ERA3001" s="299"/>
      <c r="ERB3001" s="81"/>
      <c r="ERC3001" s="160"/>
      <c r="ERD3001" s="571"/>
      <c r="ERE3001" s="125"/>
      <c r="ERF3001" s="470"/>
      <c r="ERG3001" s="449"/>
      <c r="ERH3001" s="462"/>
      <c r="ERI3001" s="299"/>
      <c r="ERJ3001" s="81"/>
      <c r="ERK3001" s="160"/>
      <c r="ERL3001" s="571"/>
      <c r="ERM3001" s="125"/>
      <c r="ERN3001" s="470"/>
      <c r="ERO3001" s="449"/>
      <c r="ERP3001" s="462"/>
      <c r="ERQ3001" s="299"/>
      <c r="ERR3001" s="81"/>
      <c r="ERS3001" s="160"/>
      <c r="ERT3001" s="571"/>
      <c r="ERU3001" s="125"/>
      <c r="ERV3001" s="470"/>
      <c r="ERW3001" s="449"/>
      <c r="ERX3001" s="462"/>
      <c r="ERY3001" s="299"/>
      <c r="ERZ3001" s="81"/>
      <c r="ESA3001" s="160"/>
      <c r="ESB3001" s="571"/>
      <c r="ESC3001" s="125"/>
      <c r="ESD3001" s="470"/>
      <c r="ESE3001" s="449"/>
      <c r="ESF3001" s="462"/>
      <c r="ESG3001" s="299"/>
      <c r="ESH3001" s="81"/>
      <c r="ESI3001" s="160"/>
      <c r="ESJ3001" s="571"/>
      <c r="ESK3001" s="125"/>
      <c r="ESL3001" s="470"/>
      <c r="ESM3001" s="449"/>
      <c r="ESN3001" s="462"/>
      <c r="ESO3001" s="299"/>
      <c r="ESP3001" s="81"/>
      <c r="ESQ3001" s="160"/>
      <c r="ESR3001" s="571"/>
      <c r="ESS3001" s="125"/>
      <c r="EST3001" s="470"/>
      <c r="ESU3001" s="449"/>
      <c r="ESV3001" s="462"/>
      <c r="ESW3001" s="299"/>
      <c r="ESX3001" s="81"/>
      <c r="ESY3001" s="160"/>
      <c r="ESZ3001" s="571"/>
      <c r="ETA3001" s="125"/>
      <c r="ETB3001" s="470"/>
      <c r="ETC3001" s="449"/>
      <c r="ETD3001" s="462"/>
      <c r="ETE3001" s="299"/>
      <c r="ETF3001" s="81"/>
      <c r="ETG3001" s="160"/>
      <c r="ETH3001" s="571"/>
      <c r="ETI3001" s="125"/>
      <c r="ETJ3001" s="470"/>
      <c r="ETK3001" s="449"/>
      <c r="ETL3001" s="462"/>
      <c r="ETM3001" s="299"/>
      <c r="ETN3001" s="81"/>
      <c r="ETO3001" s="160"/>
      <c r="ETP3001" s="571"/>
      <c r="ETQ3001" s="125"/>
      <c r="ETR3001" s="470"/>
      <c r="ETS3001" s="449"/>
      <c r="ETT3001" s="462"/>
      <c r="ETU3001" s="299"/>
      <c r="ETV3001" s="81"/>
      <c r="ETW3001" s="160"/>
      <c r="ETX3001" s="571"/>
      <c r="ETY3001" s="125"/>
      <c r="ETZ3001" s="470"/>
      <c r="EUA3001" s="449"/>
      <c r="EUB3001" s="462"/>
      <c r="EUC3001" s="299"/>
      <c r="EUD3001" s="81"/>
      <c r="EUE3001" s="160"/>
      <c r="EUF3001" s="571"/>
      <c r="EUG3001" s="125"/>
      <c r="EUH3001" s="470"/>
      <c r="EUI3001" s="449"/>
      <c r="EUJ3001" s="462"/>
      <c r="EUK3001" s="299"/>
      <c r="EUL3001" s="81"/>
      <c r="EUM3001" s="160"/>
      <c r="EUN3001" s="571"/>
      <c r="EUO3001" s="125"/>
      <c r="EUP3001" s="470"/>
      <c r="EUQ3001" s="449"/>
      <c r="EUR3001" s="462"/>
      <c r="EUS3001" s="299"/>
      <c r="EUT3001" s="81"/>
      <c r="EUU3001" s="160"/>
      <c r="EUV3001" s="571"/>
      <c r="EUW3001" s="125"/>
      <c r="EUX3001" s="470"/>
      <c r="EUY3001" s="449"/>
      <c r="EUZ3001" s="462"/>
      <c r="EVA3001" s="299"/>
      <c r="EVB3001" s="81"/>
      <c r="EVC3001" s="160"/>
      <c r="EVD3001" s="571"/>
      <c r="EVE3001" s="125"/>
      <c r="EVF3001" s="470"/>
      <c r="EVG3001" s="449"/>
      <c r="EVH3001" s="462"/>
      <c r="EVI3001" s="299"/>
      <c r="EVJ3001" s="81"/>
      <c r="EVK3001" s="160"/>
      <c r="EVL3001" s="571"/>
      <c r="EVM3001" s="125"/>
      <c r="EVN3001" s="470"/>
      <c r="EVO3001" s="449"/>
      <c r="EVP3001" s="462"/>
      <c r="EVQ3001" s="299"/>
      <c r="EVR3001" s="81"/>
      <c r="EVS3001" s="160"/>
      <c r="EVT3001" s="571"/>
      <c r="EVU3001" s="125"/>
      <c r="EVV3001" s="470"/>
      <c r="EVW3001" s="449"/>
      <c r="EVX3001" s="462"/>
      <c r="EVY3001" s="299"/>
      <c r="EVZ3001" s="81"/>
      <c r="EWA3001" s="160"/>
      <c r="EWB3001" s="571"/>
      <c r="EWC3001" s="125"/>
      <c r="EWD3001" s="470"/>
      <c r="EWE3001" s="449"/>
      <c r="EWF3001" s="462"/>
      <c r="EWG3001" s="299"/>
      <c r="EWH3001" s="81"/>
      <c r="EWI3001" s="160"/>
      <c r="EWJ3001" s="571"/>
      <c r="EWK3001" s="125"/>
      <c r="EWL3001" s="470"/>
      <c r="EWM3001" s="449"/>
      <c r="EWN3001" s="462"/>
      <c r="EWO3001" s="299"/>
      <c r="EWP3001" s="81"/>
      <c r="EWQ3001" s="160"/>
      <c r="EWR3001" s="571"/>
      <c r="EWS3001" s="125"/>
      <c r="EWT3001" s="470"/>
      <c r="EWU3001" s="449"/>
      <c r="EWV3001" s="462"/>
      <c r="EWW3001" s="299"/>
      <c r="EWX3001" s="81"/>
      <c r="EWY3001" s="160"/>
      <c r="EWZ3001" s="571"/>
      <c r="EXA3001" s="125"/>
      <c r="EXB3001" s="470"/>
      <c r="EXC3001" s="449"/>
      <c r="EXD3001" s="462"/>
      <c r="EXE3001" s="299"/>
      <c r="EXF3001" s="81"/>
      <c r="EXG3001" s="160"/>
      <c r="EXH3001" s="571"/>
      <c r="EXI3001" s="125"/>
      <c r="EXJ3001" s="470"/>
      <c r="EXK3001" s="449"/>
      <c r="EXL3001" s="462"/>
      <c r="EXM3001" s="299"/>
      <c r="EXN3001" s="81"/>
      <c r="EXO3001" s="160"/>
      <c r="EXP3001" s="571"/>
      <c r="EXQ3001" s="125"/>
      <c r="EXR3001" s="470"/>
      <c r="EXS3001" s="449"/>
      <c r="EXT3001" s="462"/>
      <c r="EXU3001" s="299"/>
      <c r="EXV3001" s="81"/>
      <c r="EXW3001" s="160"/>
      <c r="EXX3001" s="571"/>
      <c r="EXY3001" s="125"/>
      <c r="EXZ3001" s="470"/>
      <c r="EYA3001" s="449"/>
      <c r="EYB3001" s="462"/>
      <c r="EYC3001" s="299"/>
      <c r="EYD3001" s="81"/>
      <c r="EYE3001" s="160"/>
      <c r="EYF3001" s="571"/>
      <c r="EYG3001" s="125"/>
      <c r="EYH3001" s="470"/>
      <c r="EYI3001" s="449"/>
      <c r="EYJ3001" s="462"/>
      <c r="EYK3001" s="299"/>
      <c r="EYL3001" s="81"/>
      <c r="EYM3001" s="160"/>
      <c r="EYN3001" s="571"/>
      <c r="EYO3001" s="125"/>
      <c r="EYP3001" s="470"/>
      <c r="EYQ3001" s="449"/>
      <c r="EYR3001" s="462"/>
      <c r="EYS3001" s="299"/>
      <c r="EYT3001" s="81"/>
      <c r="EYU3001" s="160"/>
      <c r="EYV3001" s="571"/>
      <c r="EYW3001" s="125"/>
      <c r="EYX3001" s="470"/>
      <c r="EYY3001" s="449"/>
      <c r="EYZ3001" s="462"/>
      <c r="EZA3001" s="299"/>
      <c r="EZB3001" s="81"/>
      <c r="EZC3001" s="160"/>
      <c r="EZD3001" s="571"/>
      <c r="EZE3001" s="125"/>
      <c r="EZF3001" s="470"/>
      <c r="EZG3001" s="449"/>
      <c r="EZH3001" s="462"/>
      <c r="EZI3001" s="299"/>
      <c r="EZJ3001" s="81"/>
      <c r="EZK3001" s="160"/>
      <c r="EZL3001" s="571"/>
      <c r="EZM3001" s="125"/>
      <c r="EZN3001" s="470"/>
      <c r="EZO3001" s="449"/>
      <c r="EZP3001" s="462"/>
      <c r="EZQ3001" s="299"/>
      <c r="EZR3001" s="81"/>
      <c r="EZS3001" s="160"/>
      <c r="EZT3001" s="571"/>
      <c r="EZU3001" s="125"/>
      <c r="EZV3001" s="470"/>
      <c r="EZW3001" s="449"/>
      <c r="EZX3001" s="462"/>
      <c r="EZY3001" s="299"/>
      <c r="EZZ3001" s="81"/>
      <c r="FAA3001" s="160"/>
      <c r="FAB3001" s="571"/>
      <c r="FAC3001" s="125"/>
      <c r="FAD3001" s="470"/>
      <c r="FAE3001" s="449"/>
      <c r="FAF3001" s="462"/>
      <c r="FAG3001" s="299"/>
      <c r="FAH3001" s="81"/>
      <c r="FAI3001" s="160"/>
      <c r="FAJ3001" s="571"/>
      <c r="FAK3001" s="125"/>
      <c r="FAL3001" s="470"/>
      <c r="FAM3001" s="449"/>
      <c r="FAN3001" s="462"/>
      <c r="FAO3001" s="299"/>
      <c r="FAP3001" s="81"/>
      <c r="FAQ3001" s="160"/>
      <c r="FAR3001" s="571"/>
      <c r="FAS3001" s="125"/>
      <c r="FAT3001" s="470"/>
      <c r="FAU3001" s="449"/>
      <c r="FAV3001" s="462"/>
      <c r="FAW3001" s="299"/>
      <c r="FAX3001" s="81"/>
      <c r="FAY3001" s="160"/>
      <c r="FAZ3001" s="571"/>
      <c r="FBA3001" s="125"/>
      <c r="FBB3001" s="470"/>
      <c r="FBC3001" s="449"/>
      <c r="FBD3001" s="462"/>
      <c r="FBE3001" s="299"/>
      <c r="FBF3001" s="81"/>
      <c r="FBG3001" s="160"/>
      <c r="FBH3001" s="571"/>
      <c r="FBI3001" s="125"/>
      <c r="FBJ3001" s="470"/>
      <c r="FBK3001" s="449"/>
      <c r="FBL3001" s="462"/>
      <c r="FBM3001" s="299"/>
      <c r="FBN3001" s="81"/>
      <c r="FBO3001" s="160"/>
      <c r="FBP3001" s="571"/>
      <c r="FBQ3001" s="125"/>
      <c r="FBR3001" s="470"/>
      <c r="FBS3001" s="449"/>
      <c r="FBT3001" s="462"/>
      <c r="FBU3001" s="299"/>
      <c r="FBV3001" s="81"/>
      <c r="FBW3001" s="160"/>
      <c r="FBX3001" s="571"/>
      <c r="FBY3001" s="125"/>
      <c r="FBZ3001" s="470"/>
      <c r="FCA3001" s="449"/>
      <c r="FCB3001" s="462"/>
      <c r="FCC3001" s="299"/>
      <c r="FCD3001" s="81"/>
      <c r="FCE3001" s="160"/>
      <c r="FCF3001" s="571"/>
      <c r="FCG3001" s="125"/>
      <c r="FCH3001" s="470"/>
      <c r="FCI3001" s="449"/>
      <c r="FCJ3001" s="462"/>
      <c r="FCK3001" s="299"/>
      <c r="FCL3001" s="81"/>
      <c r="FCM3001" s="160"/>
      <c r="FCN3001" s="571"/>
      <c r="FCO3001" s="125"/>
      <c r="FCP3001" s="470"/>
      <c r="FCQ3001" s="449"/>
      <c r="FCR3001" s="462"/>
      <c r="FCS3001" s="299"/>
      <c r="FCT3001" s="81"/>
      <c r="FCU3001" s="160"/>
      <c r="FCV3001" s="571"/>
      <c r="FCW3001" s="125"/>
      <c r="FCX3001" s="470"/>
      <c r="FCY3001" s="449"/>
      <c r="FCZ3001" s="462"/>
      <c r="FDA3001" s="299"/>
      <c r="FDB3001" s="81"/>
      <c r="FDC3001" s="160"/>
      <c r="FDD3001" s="571"/>
      <c r="FDE3001" s="125"/>
      <c r="FDF3001" s="470"/>
      <c r="FDG3001" s="449"/>
      <c r="FDH3001" s="462"/>
      <c r="FDI3001" s="299"/>
      <c r="FDJ3001" s="81"/>
      <c r="FDK3001" s="160"/>
      <c r="FDL3001" s="571"/>
      <c r="FDM3001" s="125"/>
      <c r="FDN3001" s="470"/>
      <c r="FDO3001" s="449"/>
      <c r="FDP3001" s="462"/>
      <c r="FDQ3001" s="299"/>
      <c r="FDR3001" s="81"/>
      <c r="FDS3001" s="160"/>
      <c r="FDT3001" s="571"/>
      <c r="FDU3001" s="125"/>
      <c r="FDV3001" s="470"/>
      <c r="FDW3001" s="449"/>
      <c r="FDX3001" s="462"/>
      <c r="FDY3001" s="299"/>
      <c r="FDZ3001" s="81"/>
      <c r="FEA3001" s="160"/>
      <c r="FEB3001" s="571"/>
      <c r="FEC3001" s="125"/>
      <c r="FED3001" s="470"/>
      <c r="FEE3001" s="449"/>
      <c r="FEF3001" s="462"/>
      <c r="FEG3001" s="299"/>
      <c r="FEH3001" s="81"/>
      <c r="FEI3001" s="160"/>
      <c r="FEJ3001" s="571"/>
      <c r="FEK3001" s="125"/>
      <c r="FEL3001" s="470"/>
      <c r="FEM3001" s="449"/>
      <c r="FEN3001" s="462"/>
      <c r="FEO3001" s="299"/>
      <c r="FEP3001" s="81"/>
      <c r="FEQ3001" s="160"/>
      <c r="FER3001" s="571"/>
      <c r="FES3001" s="125"/>
      <c r="FET3001" s="470"/>
      <c r="FEU3001" s="449"/>
      <c r="FEV3001" s="462"/>
      <c r="FEW3001" s="299"/>
      <c r="FEX3001" s="81"/>
      <c r="FEY3001" s="160"/>
      <c r="FEZ3001" s="571"/>
      <c r="FFA3001" s="125"/>
      <c r="FFB3001" s="470"/>
      <c r="FFC3001" s="449"/>
      <c r="FFD3001" s="462"/>
      <c r="FFE3001" s="299"/>
      <c r="FFF3001" s="81"/>
      <c r="FFG3001" s="160"/>
      <c r="FFH3001" s="571"/>
      <c r="FFI3001" s="125"/>
      <c r="FFJ3001" s="470"/>
      <c r="FFK3001" s="449"/>
      <c r="FFL3001" s="462"/>
      <c r="FFM3001" s="299"/>
      <c r="FFN3001" s="81"/>
      <c r="FFO3001" s="160"/>
      <c r="FFP3001" s="571"/>
      <c r="FFQ3001" s="125"/>
      <c r="FFR3001" s="470"/>
      <c r="FFS3001" s="449"/>
      <c r="FFT3001" s="462"/>
      <c r="FFU3001" s="299"/>
      <c r="FFV3001" s="81"/>
      <c r="FFW3001" s="160"/>
      <c r="FFX3001" s="571"/>
      <c r="FFY3001" s="125"/>
      <c r="FFZ3001" s="470"/>
      <c r="FGA3001" s="449"/>
      <c r="FGB3001" s="462"/>
      <c r="FGC3001" s="299"/>
      <c r="FGD3001" s="81"/>
      <c r="FGE3001" s="160"/>
      <c r="FGF3001" s="571"/>
      <c r="FGG3001" s="125"/>
      <c r="FGH3001" s="470"/>
      <c r="FGI3001" s="449"/>
      <c r="FGJ3001" s="462"/>
      <c r="FGK3001" s="299"/>
      <c r="FGL3001" s="81"/>
      <c r="FGM3001" s="160"/>
      <c r="FGN3001" s="571"/>
      <c r="FGO3001" s="125"/>
      <c r="FGP3001" s="470"/>
      <c r="FGQ3001" s="449"/>
      <c r="FGR3001" s="462"/>
      <c r="FGS3001" s="299"/>
      <c r="FGT3001" s="81"/>
      <c r="FGU3001" s="160"/>
      <c r="FGV3001" s="571"/>
      <c r="FGW3001" s="125"/>
      <c r="FGX3001" s="470"/>
      <c r="FGY3001" s="449"/>
      <c r="FGZ3001" s="462"/>
      <c r="FHA3001" s="299"/>
      <c r="FHB3001" s="81"/>
      <c r="FHC3001" s="160"/>
      <c r="FHD3001" s="571"/>
      <c r="FHE3001" s="125"/>
      <c r="FHF3001" s="470"/>
      <c r="FHG3001" s="449"/>
      <c r="FHH3001" s="462"/>
      <c r="FHI3001" s="299"/>
      <c r="FHJ3001" s="81"/>
      <c r="FHK3001" s="160"/>
      <c r="FHL3001" s="571"/>
      <c r="FHM3001" s="125"/>
      <c r="FHN3001" s="470"/>
      <c r="FHO3001" s="449"/>
      <c r="FHP3001" s="462"/>
      <c r="FHQ3001" s="299"/>
      <c r="FHR3001" s="81"/>
      <c r="FHS3001" s="160"/>
      <c r="FHT3001" s="571"/>
      <c r="FHU3001" s="125"/>
      <c r="FHV3001" s="470"/>
      <c r="FHW3001" s="449"/>
      <c r="FHX3001" s="462"/>
      <c r="FHY3001" s="299"/>
      <c r="FHZ3001" s="81"/>
      <c r="FIA3001" s="160"/>
      <c r="FIB3001" s="571"/>
      <c r="FIC3001" s="125"/>
      <c r="FID3001" s="470"/>
      <c r="FIE3001" s="449"/>
      <c r="FIF3001" s="462"/>
      <c r="FIG3001" s="299"/>
      <c r="FIH3001" s="81"/>
      <c r="FII3001" s="160"/>
      <c r="FIJ3001" s="571"/>
      <c r="FIK3001" s="125"/>
      <c r="FIL3001" s="470"/>
      <c r="FIM3001" s="449"/>
      <c r="FIN3001" s="462"/>
      <c r="FIO3001" s="299"/>
      <c r="FIP3001" s="81"/>
      <c r="FIQ3001" s="160"/>
      <c r="FIR3001" s="571"/>
      <c r="FIS3001" s="125"/>
      <c r="FIT3001" s="470"/>
      <c r="FIU3001" s="449"/>
      <c r="FIV3001" s="462"/>
      <c r="FIW3001" s="299"/>
      <c r="FIX3001" s="81"/>
      <c r="FIY3001" s="160"/>
      <c r="FIZ3001" s="571"/>
      <c r="FJA3001" s="125"/>
      <c r="FJB3001" s="470"/>
      <c r="FJC3001" s="449"/>
      <c r="FJD3001" s="462"/>
      <c r="FJE3001" s="299"/>
      <c r="FJF3001" s="81"/>
      <c r="FJG3001" s="160"/>
      <c r="FJH3001" s="571"/>
      <c r="FJI3001" s="125"/>
      <c r="FJJ3001" s="470"/>
      <c r="FJK3001" s="449"/>
      <c r="FJL3001" s="462"/>
      <c r="FJM3001" s="299"/>
      <c r="FJN3001" s="81"/>
      <c r="FJO3001" s="160"/>
      <c r="FJP3001" s="571"/>
      <c r="FJQ3001" s="125"/>
      <c r="FJR3001" s="470"/>
      <c r="FJS3001" s="449"/>
      <c r="FJT3001" s="462"/>
      <c r="FJU3001" s="299"/>
      <c r="FJV3001" s="81"/>
      <c r="FJW3001" s="160"/>
      <c r="FJX3001" s="571"/>
      <c r="FJY3001" s="125"/>
      <c r="FJZ3001" s="470"/>
      <c r="FKA3001" s="449"/>
      <c r="FKB3001" s="462"/>
      <c r="FKC3001" s="299"/>
      <c r="FKD3001" s="81"/>
      <c r="FKE3001" s="160"/>
      <c r="FKF3001" s="571"/>
      <c r="FKG3001" s="125"/>
      <c r="FKH3001" s="470"/>
      <c r="FKI3001" s="449"/>
      <c r="FKJ3001" s="462"/>
      <c r="FKK3001" s="299"/>
      <c r="FKL3001" s="81"/>
      <c r="FKM3001" s="160"/>
      <c r="FKN3001" s="571"/>
      <c r="FKO3001" s="125"/>
      <c r="FKP3001" s="470"/>
      <c r="FKQ3001" s="449"/>
      <c r="FKR3001" s="462"/>
      <c r="FKS3001" s="299"/>
      <c r="FKT3001" s="81"/>
      <c r="FKU3001" s="160"/>
      <c r="FKV3001" s="571"/>
      <c r="FKW3001" s="125"/>
      <c r="FKX3001" s="470"/>
      <c r="FKY3001" s="449"/>
      <c r="FKZ3001" s="462"/>
      <c r="FLA3001" s="299"/>
      <c r="FLB3001" s="81"/>
      <c r="FLC3001" s="160"/>
      <c r="FLD3001" s="571"/>
      <c r="FLE3001" s="125"/>
      <c r="FLF3001" s="470"/>
      <c r="FLG3001" s="449"/>
      <c r="FLH3001" s="462"/>
      <c r="FLI3001" s="299"/>
      <c r="FLJ3001" s="81"/>
      <c r="FLK3001" s="160"/>
      <c r="FLL3001" s="571"/>
      <c r="FLM3001" s="125"/>
      <c r="FLN3001" s="470"/>
      <c r="FLO3001" s="449"/>
      <c r="FLP3001" s="462"/>
      <c r="FLQ3001" s="299"/>
      <c r="FLR3001" s="81"/>
      <c r="FLS3001" s="160"/>
      <c r="FLT3001" s="571"/>
      <c r="FLU3001" s="125"/>
      <c r="FLV3001" s="470"/>
      <c r="FLW3001" s="449"/>
      <c r="FLX3001" s="462"/>
      <c r="FLY3001" s="299"/>
      <c r="FLZ3001" s="81"/>
      <c r="FMA3001" s="160"/>
      <c r="FMB3001" s="571"/>
      <c r="FMC3001" s="125"/>
      <c r="FMD3001" s="470"/>
      <c r="FME3001" s="449"/>
      <c r="FMF3001" s="462"/>
      <c r="FMG3001" s="299"/>
      <c r="FMH3001" s="81"/>
      <c r="FMI3001" s="160"/>
      <c r="FMJ3001" s="571"/>
      <c r="FMK3001" s="125"/>
      <c r="FML3001" s="470"/>
      <c r="FMM3001" s="449"/>
      <c r="FMN3001" s="462"/>
      <c r="FMO3001" s="299"/>
      <c r="FMP3001" s="81"/>
      <c r="FMQ3001" s="160"/>
      <c r="FMR3001" s="571"/>
      <c r="FMS3001" s="125"/>
      <c r="FMT3001" s="470"/>
      <c r="FMU3001" s="449"/>
      <c r="FMV3001" s="462"/>
      <c r="FMW3001" s="299"/>
      <c r="FMX3001" s="81"/>
      <c r="FMY3001" s="160"/>
      <c r="FMZ3001" s="571"/>
      <c r="FNA3001" s="125"/>
      <c r="FNB3001" s="470"/>
      <c r="FNC3001" s="449"/>
      <c r="FND3001" s="462"/>
      <c r="FNE3001" s="299"/>
      <c r="FNF3001" s="81"/>
      <c r="FNG3001" s="160"/>
      <c r="FNH3001" s="571"/>
      <c r="FNI3001" s="125"/>
      <c r="FNJ3001" s="470"/>
      <c r="FNK3001" s="449"/>
      <c r="FNL3001" s="462"/>
      <c r="FNM3001" s="299"/>
      <c r="FNN3001" s="81"/>
      <c r="FNO3001" s="160"/>
      <c r="FNP3001" s="571"/>
      <c r="FNQ3001" s="125"/>
      <c r="FNR3001" s="470"/>
      <c r="FNS3001" s="449"/>
      <c r="FNT3001" s="462"/>
      <c r="FNU3001" s="299"/>
      <c r="FNV3001" s="81"/>
      <c r="FNW3001" s="160"/>
      <c r="FNX3001" s="571"/>
      <c r="FNY3001" s="125"/>
      <c r="FNZ3001" s="470"/>
      <c r="FOA3001" s="449"/>
      <c r="FOB3001" s="462"/>
      <c r="FOC3001" s="299"/>
      <c r="FOD3001" s="81"/>
      <c r="FOE3001" s="160"/>
      <c r="FOF3001" s="571"/>
      <c r="FOG3001" s="125"/>
      <c r="FOH3001" s="470"/>
      <c r="FOI3001" s="449"/>
      <c r="FOJ3001" s="462"/>
      <c r="FOK3001" s="299"/>
      <c r="FOL3001" s="81"/>
      <c r="FOM3001" s="160"/>
      <c r="FON3001" s="571"/>
      <c r="FOO3001" s="125"/>
      <c r="FOP3001" s="470"/>
      <c r="FOQ3001" s="449"/>
      <c r="FOR3001" s="462"/>
      <c r="FOS3001" s="299"/>
      <c r="FOT3001" s="81"/>
      <c r="FOU3001" s="160"/>
      <c r="FOV3001" s="571"/>
      <c r="FOW3001" s="125"/>
      <c r="FOX3001" s="470"/>
      <c r="FOY3001" s="449"/>
      <c r="FOZ3001" s="462"/>
      <c r="FPA3001" s="299"/>
      <c r="FPB3001" s="81"/>
      <c r="FPC3001" s="160"/>
      <c r="FPD3001" s="571"/>
      <c r="FPE3001" s="125"/>
      <c r="FPF3001" s="470"/>
      <c r="FPG3001" s="449"/>
      <c r="FPH3001" s="462"/>
      <c r="FPI3001" s="299"/>
      <c r="FPJ3001" s="81"/>
      <c r="FPK3001" s="160"/>
      <c r="FPL3001" s="571"/>
      <c r="FPM3001" s="125"/>
      <c r="FPN3001" s="470"/>
      <c r="FPO3001" s="449"/>
      <c r="FPP3001" s="462"/>
      <c r="FPQ3001" s="299"/>
      <c r="FPR3001" s="81"/>
      <c r="FPS3001" s="160"/>
      <c r="FPT3001" s="571"/>
      <c r="FPU3001" s="125"/>
      <c r="FPV3001" s="470"/>
      <c r="FPW3001" s="449"/>
      <c r="FPX3001" s="462"/>
      <c r="FPY3001" s="299"/>
      <c r="FPZ3001" s="81"/>
      <c r="FQA3001" s="160"/>
      <c r="FQB3001" s="571"/>
      <c r="FQC3001" s="125"/>
      <c r="FQD3001" s="470"/>
      <c r="FQE3001" s="449"/>
      <c r="FQF3001" s="462"/>
      <c r="FQG3001" s="299"/>
      <c r="FQH3001" s="81"/>
      <c r="FQI3001" s="160"/>
      <c r="FQJ3001" s="571"/>
      <c r="FQK3001" s="125"/>
      <c r="FQL3001" s="470"/>
      <c r="FQM3001" s="449"/>
      <c r="FQN3001" s="462"/>
      <c r="FQO3001" s="299"/>
      <c r="FQP3001" s="81"/>
      <c r="FQQ3001" s="160"/>
      <c r="FQR3001" s="571"/>
      <c r="FQS3001" s="125"/>
      <c r="FQT3001" s="470"/>
      <c r="FQU3001" s="449"/>
      <c r="FQV3001" s="462"/>
      <c r="FQW3001" s="299"/>
      <c r="FQX3001" s="81"/>
      <c r="FQY3001" s="160"/>
      <c r="FQZ3001" s="571"/>
      <c r="FRA3001" s="125"/>
      <c r="FRB3001" s="470"/>
      <c r="FRC3001" s="449"/>
      <c r="FRD3001" s="462"/>
      <c r="FRE3001" s="299"/>
      <c r="FRF3001" s="81"/>
      <c r="FRG3001" s="160"/>
      <c r="FRH3001" s="571"/>
      <c r="FRI3001" s="125"/>
      <c r="FRJ3001" s="470"/>
      <c r="FRK3001" s="449"/>
      <c r="FRL3001" s="462"/>
      <c r="FRM3001" s="299"/>
      <c r="FRN3001" s="81"/>
      <c r="FRO3001" s="160"/>
      <c r="FRP3001" s="571"/>
      <c r="FRQ3001" s="125"/>
      <c r="FRR3001" s="470"/>
      <c r="FRS3001" s="449"/>
      <c r="FRT3001" s="462"/>
      <c r="FRU3001" s="299"/>
      <c r="FRV3001" s="81"/>
      <c r="FRW3001" s="160"/>
      <c r="FRX3001" s="571"/>
      <c r="FRY3001" s="125"/>
      <c r="FRZ3001" s="470"/>
      <c r="FSA3001" s="449"/>
      <c r="FSB3001" s="462"/>
      <c r="FSC3001" s="299"/>
      <c r="FSD3001" s="81"/>
      <c r="FSE3001" s="160"/>
      <c r="FSF3001" s="571"/>
      <c r="FSG3001" s="125"/>
      <c r="FSH3001" s="470"/>
      <c r="FSI3001" s="449"/>
      <c r="FSJ3001" s="462"/>
      <c r="FSK3001" s="299"/>
      <c r="FSL3001" s="81"/>
      <c r="FSM3001" s="160"/>
      <c r="FSN3001" s="571"/>
      <c r="FSO3001" s="125"/>
      <c r="FSP3001" s="470"/>
      <c r="FSQ3001" s="449"/>
      <c r="FSR3001" s="462"/>
      <c r="FSS3001" s="299"/>
      <c r="FST3001" s="81"/>
      <c r="FSU3001" s="160"/>
      <c r="FSV3001" s="571"/>
      <c r="FSW3001" s="125"/>
      <c r="FSX3001" s="470"/>
      <c r="FSY3001" s="449"/>
      <c r="FSZ3001" s="462"/>
      <c r="FTA3001" s="299"/>
      <c r="FTB3001" s="81"/>
      <c r="FTC3001" s="160"/>
      <c r="FTD3001" s="571"/>
      <c r="FTE3001" s="125"/>
      <c r="FTF3001" s="470"/>
      <c r="FTG3001" s="449"/>
      <c r="FTH3001" s="462"/>
      <c r="FTI3001" s="299"/>
      <c r="FTJ3001" s="81"/>
      <c r="FTK3001" s="160"/>
      <c r="FTL3001" s="571"/>
      <c r="FTM3001" s="125"/>
      <c r="FTN3001" s="470"/>
      <c r="FTO3001" s="449"/>
      <c r="FTP3001" s="462"/>
      <c r="FTQ3001" s="299"/>
      <c r="FTR3001" s="81"/>
      <c r="FTS3001" s="160"/>
      <c r="FTT3001" s="571"/>
      <c r="FTU3001" s="125"/>
      <c r="FTV3001" s="470"/>
      <c r="FTW3001" s="449"/>
      <c r="FTX3001" s="462"/>
      <c r="FTY3001" s="299"/>
      <c r="FTZ3001" s="81"/>
      <c r="FUA3001" s="160"/>
      <c r="FUB3001" s="571"/>
      <c r="FUC3001" s="125"/>
      <c r="FUD3001" s="470"/>
      <c r="FUE3001" s="449"/>
      <c r="FUF3001" s="462"/>
      <c r="FUG3001" s="299"/>
      <c r="FUH3001" s="81"/>
      <c r="FUI3001" s="160"/>
      <c r="FUJ3001" s="571"/>
      <c r="FUK3001" s="125"/>
      <c r="FUL3001" s="470"/>
      <c r="FUM3001" s="449"/>
      <c r="FUN3001" s="462"/>
      <c r="FUO3001" s="299"/>
      <c r="FUP3001" s="81"/>
      <c r="FUQ3001" s="160"/>
      <c r="FUR3001" s="571"/>
      <c r="FUS3001" s="125"/>
      <c r="FUT3001" s="470"/>
      <c r="FUU3001" s="449"/>
      <c r="FUV3001" s="462"/>
      <c r="FUW3001" s="299"/>
      <c r="FUX3001" s="81"/>
      <c r="FUY3001" s="160"/>
      <c r="FUZ3001" s="571"/>
      <c r="FVA3001" s="125"/>
      <c r="FVB3001" s="470"/>
      <c r="FVC3001" s="449"/>
      <c r="FVD3001" s="462"/>
      <c r="FVE3001" s="299"/>
      <c r="FVF3001" s="81"/>
      <c r="FVG3001" s="160"/>
      <c r="FVH3001" s="571"/>
      <c r="FVI3001" s="125"/>
      <c r="FVJ3001" s="470"/>
      <c r="FVK3001" s="449"/>
      <c r="FVL3001" s="462"/>
      <c r="FVM3001" s="299"/>
      <c r="FVN3001" s="81"/>
      <c r="FVO3001" s="160"/>
      <c r="FVP3001" s="571"/>
      <c r="FVQ3001" s="125"/>
      <c r="FVR3001" s="470"/>
      <c r="FVS3001" s="449"/>
      <c r="FVT3001" s="462"/>
      <c r="FVU3001" s="299"/>
      <c r="FVV3001" s="81"/>
      <c r="FVW3001" s="160"/>
      <c r="FVX3001" s="571"/>
      <c r="FVY3001" s="125"/>
      <c r="FVZ3001" s="470"/>
      <c r="FWA3001" s="449"/>
      <c r="FWB3001" s="462"/>
      <c r="FWC3001" s="299"/>
      <c r="FWD3001" s="81"/>
      <c r="FWE3001" s="160"/>
      <c r="FWF3001" s="571"/>
      <c r="FWG3001" s="125"/>
      <c r="FWH3001" s="470"/>
      <c r="FWI3001" s="449"/>
      <c r="FWJ3001" s="462"/>
      <c r="FWK3001" s="299"/>
      <c r="FWL3001" s="81"/>
      <c r="FWM3001" s="160"/>
      <c r="FWN3001" s="571"/>
      <c r="FWO3001" s="125"/>
      <c r="FWP3001" s="470"/>
      <c r="FWQ3001" s="449"/>
      <c r="FWR3001" s="462"/>
      <c r="FWS3001" s="299"/>
      <c r="FWT3001" s="81"/>
      <c r="FWU3001" s="160"/>
      <c r="FWV3001" s="571"/>
      <c r="FWW3001" s="125"/>
      <c r="FWX3001" s="470"/>
      <c r="FWY3001" s="449"/>
      <c r="FWZ3001" s="462"/>
      <c r="FXA3001" s="299"/>
      <c r="FXB3001" s="81"/>
      <c r="FXC3001" s="160"/>
      <c r="FXD3001" s="571"/>
      <c r="FXE3001" s="125"/>
      <c r="FXF3001" s="470"/>
      <c r="FXG3001" s="449"/>
      <c r="FXH3001" s="462"/>
      <c r="FXI3001" s="299"/>
      <c r="FXJ3001" s="81"/>
      <c r="FXK3001" s="160"/>
      <c r="FXL3001" s="571"/>
      <c r="FXM3001" s="125"/>
      <c r="FXN3001" s="470"/>
      <c r="FXO3001" s="449"/>
      <c r="FXP3001" s="462"/>
      <c r="FXQ3001" s="299"/>
      <c r="FXR3001" s="81"/>
      <c r="FXS3001" s="160"/>
      <c r="FXT3001" s="571"/>
      <c r="FXU3001" s="125"/>
      <c r="FXV3001" s="470"/>
      <c r="FXW3001" s="449"/>
      <c r="FXX3001" s="462"/>
      <c r="FXY3001" s="299"/>
      <c r="FXZ3001" s="81"/>
      <c r="FYA3001" s="160"/>
      <c r="FYB3001" s="571"/>
      <c r="FYC3001" s="125"/>
      <c r="FYD3001" s="470"/>
      <c r="FYE3001" s="449"/>
      <c r="FYF3001" s="462"/>
      <c r="FYG3001" s="299"/>
      <c r="FYH3001" s="81"/>
      <c r="FYI3001" s="160"/>
      <c r="FYJ3001" s="571"/>
      <c r="FYK3001" s="125"/>
      <c r="FYL3001" s="470"/>
      <c r="FYM3001" s="449"/>
      <c r="FYN3001" s="462"/>
      <c r="FYO3001" s="299"/>
      <c r="FYP3001" s="81"/>
      <c r="FYQ3001" s="160"/>
      <c r="FYR3001" s="571"/>
      <c r="FYS3001" s="125"/>
      <c r="FYT3001" s="470"/>
      <c r="FYU3001" s="449"/>
      <c r="FYV3001" s="462"/>
      <c r="FYW3001" s="299"/>
      <c r="FYX3001" s="81"/>
      <c r="FYY3001" s="160"/>
      <c r="FYZ3001" s="571"/>
      <c r="FZA3001" s="125"/>
      <c r="FZB3001" s="470"/>
      <c r="FZC3001" s="449"/>
      <c r="FZD3001" s="462"/>
      <c r="FZE3001" s="299"/>
      <c r="FZF3001" s="81"/>
      <c r="FZG3001" s="160"/>
      <c r="FZH3001" s="571"/>
      <c r="FZI3001" s="125"/>
      <c r="FZJ3001" s="470"/>
      <c r="FZK3001" s="449"/>
      <c r="FZL3001" s="462"/>
      <c r="FZM3001" s="299"/>
      <c r="FZN3001" s="81"/>
      <c r="FZO3001" s="160"/>
      <c r="FZP3001" s="571"/>
      <c r="FZQ3001" s="125"/>
      <c r="FZR3001" s="470"/>
      <c r="FZS3001" s="449"/>
      <c r="FZT3001" s="462"/>
      <c r="FZU3001" s="299"/>
      <c r="FZV3001" s="81"/>
      <c r="FZW3001" s="160"/>
      <c r="FZX3001" s="571"/>
      <c r="FZY3001" s="125"/>
      <c r="FZZ3001" s="470"/>
      <c r="GAA3001" s="449"/>
      <c r="GAB3001" s="462"/>
      <c r="GAC3001" s="299"/>
      <c r="GAD3001" s="81"/>
      <c r="GAE3001" s="160"/>
      <c r="GAF3001" s="571"/>
      <c r="GAG3001" s="125"/>
      <c r="GAH3001" s="470"/>
      <c r="GAI3001" s="449"/>
      <c r="GAJ3001" s="462"/>
      <c r="GAK3001" s="299"/>
      <c r="GAL3001" s="81"/>
      <c r="GAM3001" s="160"/>
      <c r="GAN3001" s="571"/>
      <c r="GAO3001" s="125"/>
      <c r="GAP3001" s="470"/>
      <c r="GAQ3001" s="449"/>
      <c r="GAR3001" s="462"/>
      <c r="GAS3001" s="299"/>
      <c r="GAT3001" s="81"/>
      <c r="GAU3001" s="160"/>
      <c r="GAV3001" s="571"/>
      <c r="GAW3001" s="125"/>
      <c r="GAX3001" s="470"/>
      <c r="GAY3001" s="449"/>
      <c r="GAZ3001" s="462"/>
      <c r="GBA3001" s="299"/>
      <c r="GBB3001" s="81"/>
      <c r="GBC3001" s="160"/>
      <c r="GBD3001" s="571"/>
      <c r="GBE3001" s="125"/>
      <c r="GBF3001" s="470"/>
      <c r="GBG3001" s="449"/>
      <c r="GBH3001" s="462"/>
      <c r="GBI3001" s="299"/>
      <c r="GBJ3001" s="81"/>
      <c r="GBK3001" s="160"/>
      <c r="GBL3001" s="571"/>
      <c r="GBM3001" s="125"/>
      <c r="GBN3001" s="470"/>
      <c r="GBO3001" s="449"/>
      <c r="GBP3001" s="462"/>
      <c r="GBQ3001" s="299"/>
      <c r="GBR3001" s="81"/>
      <c r="GBS3001" s="160"/>
      <c r="GBT3001" s="571"/>
      <c r="GBU3001" s="125"/>
      <c r="GBV3001" s="470"/>
      <c r="GBW3001" s="449"/>
      <c r="GBX3001" s="462"/>
      <c r="GBY3001" s="299"/>
      <c r="GBZ3001" s="81"/>
      <c r="GCA3001" s="160"/>
      <c r="GCB3001" s="571"/>
      <c r="GCC3001" s="125"/>
      <c r="GCD3001" s="470"/>
      <c r="GCE3001" s="449"/>
      <c r="GCF3001" s="462"/>
      <c r="GCG3001" s="299"/>
      <c r="GCH3001" s="81"/>
      <c r="GCI3001" s="160"/>
      <c r="GCJ3001" s="571"/>
      <c r="GCK3001" s="125"/>
      <c r="GCL3001" s="470"/>
      <c r="GCM3001" s="449"/>
      <c r="GCN3001" s="462"/>
      <c r="GCO3001" s="299"/>
      <c r="GCP3001" s="81"/>
      <c r="GCQ3001" s="160"/>
      <c r="GCR3001" s="571"/>
      <c r="GCS3001" s="125"/>
      <c r="GCT3001" s="470"/>
      <c r="GCU3001" s="449"/>
      <c r="GCV3001" s="462"/>
      <c r="GCW3001" s="299"/>
      <c r="GCX3001" s="81"/>
      <c r="GCY3001" s="160"/>
      <c r="GCZ3001" s="571"/>
      <c r="GDA3001" s="125"/>
      <c r="GDB3001" s="470"/>
      <c r="GDC3001" s="449"/>
      <c r="GDD3001" s="462"/>
      <c r="GDE3001" s="299"/>
      <c r="GDF3001" s="81"/>
      <c r="GDG3001" s="160"/>
      <c r="GDH3001" s="571"/>
      <c r="GDI3001" s="125"/>
      <c r="GDJ3001" s="470"/>
      <c r="GDK3001" s="449"/>
      <c r="GDL3001" s="462"/>
      <c r="GDM3001" s="299"/>
      <c r="GDN3001" s="81"/>
      <c r="GDO3001" s="160"/>
      <c r="GDP3001" s="571"/>
      <c r="GDQ3001" s="125"/>
      <c r="GDR3001" s="470"/>
      <c r="GDS3001" s="449"/>
      <c r="GDT3001" s="462"/>
      <c r="GDU3001" s="299"/>
      <c r="GDV3001" s="81"/>
      <c r="GDW3001" s="160"/>
      <c r="GDX3001" s="571"/>
      <c r="GDY3001" s="125"/>
      <c r="GDZ3001" s="470"/>
      <c r="GEA3001" s="449"/>
      <c r="GEB3001" s="462"/>
      <c r="GEC3001" s="299"/>
      <c r="GED3001" s="81"/>
      <c r="GEE3001" s="160"/>
      <c r="GEF3001" s="571"/>
      <c r="GEG3001" s="125"/>
      <c r="GEH3001" s="470"/>
      <c r="GEI3001" s="449"/>
      <c r="GEJ3001" s="462"/>
      <c r="GEK3001" s="299"/>
      <c r="GEL3001" s="81"/>
      <c r="GEM3001" s="160"/>
      <c r="GEN3001" s="571"/>
      <c r="GEO3001" s="125"/>
      <c r="GEP3001" s="470"/>
      <c r="GEQ3001" s="449"/>
      <c r="GER3001" s="462"/>
      <c r="GES3001" s="299"/>
      <c r="GET3001" s="81"/>
      <c r="GEU3001" s="160"/>
      <c r="GEV3001" s="571"/>
      <c r="GEW3001" s="125"/>
      <c r="GEX3001" s="470"/>
      <c r="GEY3001" s="449"/>
      <c r="GEZ3001" s="462"/>
      <c r="GFA3001" s="299"/>
      <c r="GFB3001" s="81"/>
      <c r="GFC3001" s="160"/>
      <c r="GFD3001" s="571"/>
      <c r="GFE3001" s="125"/>
      <c r="GFF3001" s="470"/>
      <c r="GFG3001" s="449"/>
      <c r="GFH3001" s="462"/>
      <c r="GFI3001" s="299"/>
      <c r="GFJ3001" s="81"/>
      <c r="GFK3001" s="160"/>
      <c r="GFL3001" s="571"/>
      <c r="GFM3001" s="125"/>
      <c r="GFN3001" s="470"/>
      <c r="GFO3001" s="449"/>
      <c r="GFP3001" s="462"/>
      <c r="GFQ3001" s="299"/>
      <c r="GFR3001" s="81"/>
      <c r="GFS3001" s="160"/>
      <c r="GFT3001" s="571"/>
      <c r="GFU3001" s="125"/>
      <c r="GFV3001" s="470"/>
      <c r="GFW3001" s="449"/>
      <c r="GFX3001" s="462"/>
      <c r="GFY3001" s="299"/>
      <c r="GFZ3001" s="81"/>
      <c r="GGA3001" s="160"/>
      <c r="GGB3001" s="571"/>
      <c r="GGC3001" s="125"/>
      <c r="GGD3001" s="470"/>
      <c r="GGE3001" s="449"/>
      <c r="GGF3001" s="462"/>
      <c r="GGG3001" s="299"/>
      <c r="GGH3001" s="81"/>
      <c r="GGI3001" s="160"/>
      <c r="GGJ3001" s="571"/>
      <c r="GGK3001" s="125"/>
      <c r="GGL3001" s="470"/>
      <c r="GGM3001" s="449"/>
      <c r="GGN3001" s="462"/>
      <c r="GGO3001" s="299"/>
      <c r="GGP3001" s="81"/>
      <c r="GGQ3001" s="160"/>
      <c r="GGR3001" s="571"/>
      <c r="GGS3001" s="125"/>
      <c r="GGT3001" s="470"/>
      <c r="GGU3001" s="449"/>
      <c r="GGV3001" s="462"/>
      <c r="GGW3001" s="299"/>
      <c r="GGX3001" s="81"/>
      <c r="GGY3001" s="160"/>
      <c r="GGZ3001" s="571"/>
      <c r="GHA3001" s="125"/>
      <c r="GHB3001" s="470"/>
      <c r="GHC3001" s="449"/>
      <c r="GHD3001" s="462"/>
      <c r="GHE3001" s="299"/>
      <c r="GHF3001" s="81"/>
      <c r="GHG3001" s="160"/>
      <c r="GHH3001" s="571"/>
      <c r="GHI3001" s="125"/>
      <c r="GHJ3001" s="470"/>
      <c r="GHK3001" s="449"/>
      <c r="GHL3001" s="462"/>
      <c r="GHM3001" s="299"/>
      <c r="GHN3001" s="81"/>
      <c r="GHO3001" s="160"/>
      <c r="GHP3001" s="571"/>
      <c r="GHQ3001" s="125"/>
      <c r="GHR3001" s="470"/>
      <c r="GHS3001" s="449"/>
      <c r="GHT3001" s="462"/>
      <c r="GHU3001" s="299"/>
      <c r="GHV3001" s="81"/>
      <c r="GHW3001" s="160"/>
      <c r="GHX3001" s="571"/>
      <c r="GHY3001" s="125"/>
      <c r="GHZ3001" s="470"/>
      <c r="GIA3001" s="449"/>
      <c r="GIB3001" s="462"/>
      <c r="GIC3001" s="299"/>
      <c r="GID3001" s="81"/>
      <c r="GIE3001" s="160"/>
      <c r="GIF3001" s="571"/>
      <c r="GIG3001" s="125"/>
      <c r="GIH3001" s="470"/>
      <c r="GII3001" s="449"/>
      <c r="GIJ3001" s="462"/>
      <c r="GIK3001" s="299"/>
      <c r="GIL3001" s="81"/>
      <c r="GIM3001" s="160"/>
      <c r="GIN3001" s="571"/>
      <c r="GIO3001" s="125"/>
      <c r="GIP3001" s="470"/>
      <c r="GIQ3001" s="449"/>
      <c r="GIR3001" s="462"/>
      <c r="GIS3001" s="299"/>
      <c r="GIT3001" s="81"/>
      <c r="GIU3001" s="160"/>
      <c r="GIV3001" s="571"/>
      <c r="GIW3001" s="125"/>
      <c r="GIX3001" s="470"/>
      <c r="GIY3001" s="449"/>
      <c r="GIZ3001" s="462"/>
      <c r="GJA3001" s="299"/>
      <c r="GJB3001" s="81"/>
      <c r="GJC3001" s="160"/>
      <c r="GJD3001" s="571"/>
      <c r="GJE3001" s="125"/>
      <c r="GJF3001" s="470"/>
      <c r="GJG3001" s="449"/>
      <c r="GJH3001" s="462"/>
      <c r="GJI3001" s="299"/>
      <c r="GJJ3001" s="81"/>
      <c r="GJK3001" s="160"/>
      <c r="GJL3001" s="571"/>
      <c r="GJM3001" s="125"/>
      <c r="GJN3001" s="470"/>
      <c r="GJO3001" s="449"/>
      <c r="GJP3001" s="462"/>
      <c r="GJQ3001" s="299"/>
      <c r="GJR3001" s="81"/>
      <c r="GJS3001" s="160"/>
      <c r="GJT3001" s="571"/>
      <c r="GJU3001" s="125"/>
      <c r="GJV3001" s="470"/>
      <c r="GJW3001" s="449"/>
      <c r="GJX3001" s="462"/>
      <c r="GJY3001" s="299"/>
      <c r="GJZ3001" s="81"/>
      <c r="GKA3001" s="160"/>
      <c r="GKB3001" s="571"/>
      <c r="GKC3001" s="125"/>
      <c r="GKD3001" s="470"/>
      <c r="GKE3001" s="449"/>
      <c r="GKF3001" s="462"/>
      <c r="GKG3001" s="299"/>
      <c r="GKH3001" s="81"/>
      <c r="GKI3001" s="160"/>
      <c r="GKJ3001" s="571"/>
      <c r="GKK3001" s="125"/>
      <c r="GKL3001" s="470"/>
      <c r="GKM3001" s="449"/>
      <c r="GKN3001" s="462"/>
      <c r="GKO3001" s="299"/>
      <c r="GKP3001" s="81"/>
      <c r="GKQ3001" s="160"/>
      <c r="GKR3001" s="571"/>
      <c r="GKS3001" s="125"/>
      <c r="GKT3001" s="470"/>
      <c r="GKU3001" s="449"/>
      <c r="GKV3001" s="462"/>
      <c r="GKW3001" s="299"/>
      <c r="GKX3001" s="81"/>
      <c r="GKY3001" s="160"/>
      <c r="GKZ3001" s="571"/>
      <c r="GLA3001" s="125"/>
      <c r="GLB3001" s="470"/>
      <c r="GLC3001" s="449"/>
      <c r="GLD3001" s="462"/>
      <c r="GLE3001" s="299"/>
      <c r="GLF3001" s="81"/>
      <c r="GLG3001" s="160"/>
      <c r="GLH3001" s="571"/>
      <c r="GLI3001" s="125"/>
      <c r="GLJ3001" s="470"/>
      <c r="GLK3001" s="449"/>
      <c r="GLL3001" s="462"/>
      <c r="GLM3001" s="299"/>
      <c r="GLN3001" s="81"/>
      <c r="GLO3001" s="160"/>
      <c r="GLP3001" s="571"/>
      <c r="GLQ3001" s="125"/>
      <c r="GLR3001" s="470"/>
      <c r="GLS3001" s="449"/>
      <c r="GLT3001" s="462"/>
      <c r="GLU3001" s="299"/>
      <c r="GLV3001" s="81"/>
      <c r="GLW3001" s="160"/>
      <c r="GLX3001" s="571"/>
      <c r="GLY3001" s="125"/>
      <c r="GLZ3001" s="470"/>
      <c r="GMA3001" s="449"/>
      <c r="GMB3001" s="462"/>
      <c r="GMC3001" s="299"/>
      <c r="GMD3001" s="81"/>
      <c r="GME3001" s="160"/>
      <c r="GMF3001" s="571"/>
      <c r="GMG3001" s="125"/>
      <c r="GMH3001" s="470"/>
      <c r="GMI3001" s="449"/>
      <c r="GMJ3001" s="462"/>
      <c r="GMK3001" s="299"/>
      <c r="GML3001" s="81"/>
      <c r="GMM3001" s="160"/>
      <c r="GMN3001" s="571"/>
      <c r="GMO3001" s="125"/>
      <c r="GMP3001" s="470"/>
      <c r="GMQ3001" s="449"/>
      <c r="GMR3001" s="462"/>
      <c r="GMS3001" s="299"/>
      <c r="GMT3001" s="81"/>
      <c r="GMU3001" s="160"/>
      <c r="GMV3001" s="571"/>
      <c r="GMW3001" s="125"/>
      <c r="GMX3001" s="470"/>
      <c r="GMY3001" s="449"/>
      <c r="GMZ3001" s="462"/>
      <c r="GNA3001" s="299"/>
      <c r="GNB3001" s="81"/>
      <c r="GNC3001" s="160"/>
      <c r="GND3001" s="571"/>
      <c r="GNE3001" s="125"/>
      <c r="GNF3001" s="470"/>
      <c r="GNG3001" s="449"/>
      <c r="GNH3001" s="462"/>
      <c r="GNI3001" s="299"/>
      <c r="GNJ3001" s="81"/>
      <c r="GNK3001" s="160"/>
      <c r="GNL3001" s="571"/>
      <c r="GNM3001" s="125"/>
      <c r="GNN3001" s="470"/>
      <c r="GNO3001" s="449"/>
      <c r="GNP3001" s="462"/>
      <c r="GNQ3001" s="299"/>
      <c r="GNR3001" s="81"/>
      <c r="GNS3001" s="160"/>
      <c r="GNT3001" s="571"/>
      <c r="GNU3001" s="125"/>
      <c r="GNV3001" s="470"/>
      <c r="GNW3001" s="449"/>
      <c r="GNX3001" s="462"/>
      <c r="GNY3001" s="299"/>
      <c r="GNZ3001" s="81"/>
      <c r="GOA3001" s="160"/>
      <c r="GOB3001" s="571"/>
      <c r="GOC3001" s="125"/>
      <c r="GOD3001" s="470"/>
      <c r="GOE3001" s="449"/>
      <c r="GOF3001" s="462"/>
      <c r="GOG3001" s="299"/>
      <c r="GOH3001" s="81"/>
      <c r="GOI3001" s="160"/>
      <c r="GOJ3001" s="571"/>
      <c r="GOK3001" s="125"/>
      <c r="GOL3001" s="470"/>
      <c r="GOM3001" s="449"/>
      <c r="GON3001" s="462"/>
      <c r="GOO3001" s="299"/>
      <c r="GOP3001" s="81"/>
      <c r="GOQ3001" s="160"/>
      <c r="GOR3001" s="571"/>
      <c r="GOS3001" s="125"/>
      <c r="GOT3001" s="470"/>
      <c r="GOU3001" s="449"/>
      <c r="GOV3001" s="462"/>
      <c r="GOW3001" s="299"/>
      <c r="GOX3001" s="81"/>
      <c r="GOY3001" s="160"/>
      <c r="GOZ3001" s="571"/>
      <c r="GPA3001" s="125"/>
      <c r="GPB3001" s="470"/>
      <c r="GPC3001" s="449"/>
      <c r="GPD3001" s="462"/>
      <c r="GPE3001" s="299"/>
      <c r="GPF3001" s="81"/>
      <c r="GPG3001" s="160"/>
      <c r="GPH3001" s="571"/>
      <c r="GPI3001" s="125"/>
      <c r="GPJ3001" s="470"/>
      <c r="GPK3001" s="449"/>
      <c r="GPL3001" s="462"/>
      <c r="GPM3001" s="299"/>
      <c r="GPN3001" s="81"/>
      <c r="GPO3001" s="160"/>
      <c r="GPP3001" s="571"/>
      <c r="GPQ3001" s="125"/>
      <c r="GPR3001" s="470"/>
      <c r="GPS3001" s="449"/>
      <c r="GPT3001" s="462"/>
      <c r="GPU3001" s="299"/>
      <c r="GPV3001" s="81"/>
      <c r="GPW3001" s="160"/>
      <c r="GPX3001" s="571"/>
      <c r="GPY3001" s="125"/>
      <c r="GPZ3001" s="470"/>
      <c r="GQA3001" s="449"/>
      <c r="GQB3001" s="462"/>
      <c r="GQC3001" s="299"/>
      <c r="GQD3001" s="81"/>
      <c r="GQE3001" s="160"/>
      <c r="GQF3001" s="571"/>
      <c r="GQG3001" s="125"/>
      <c r="GQH3001" s="470"/>
      <c r="GQI3001" s="449"/>
      <c r="GQJ3001" s="462"/>
      <c r="GQK3001" s="299"/>
      <c r="GQL3001" s="81"/>
      <c r="GQM3001" s="160"/>
      <c r="GQN3001" s="571"/>
      <c r="GQO3001" s="125"/>
      <c r="GQP3001" s="470"/>
      <c r="GQQ3001" s="449"/>
      <c r="GQR3001" s="462"/>
      <c r="GQS3001" s="299"/>
      <c r="GQT3001" s="81"/>
      <c r="GQU3001" s="160"/>
      <c r="GQV3001" s="571"/>
      <c r="GQW3001" s="125"/>
      <c r="GQX3001" s="470"/>
      <c r="GQY3001" s="449"/>
      <c r="GQZ3001" s="462"/>
      <c r="GRA3001" s="299"/>
      <c r="GRB3001" s="81"/>
      <c r="GRC3001" s="160"/>
      <c r="GRD3001" s="571"/>
      <c r="GRE3001" s="125"/>
      <c r="GRF3001" s="470"/>
      <c r="GRG3001" s="449"/>
      <c r="GRH3001" s="462"/>
      <c r="GRI3001" s="299"/>
      <c r="GRJ3001" s="81"/>
      <c r="GRK3001" s="160"/>
      <c r="GRL3001" s="571"/>
      <c r="GRM3001" s="125"/>
      <c r="GRN3001" s="470"/>
      <c r="GRO3001" s="449"/>
      <c r="GRP3001" s="462"/>
      <c r="GRQ3001" s="299"/>
      <c r="GRR3001" s="81"/>
      <c r="GRS3001" s="160"/>
      <c r="GRT3001" s="571"/>
      <c r="GRU3001" s="125"/>
      <c r="GRV3001" s="470"/>
      <c r="GRW3001" s="449"/>
      <c r="GRX3001" s="462"/>
      <c r="GRY3001" s="299"/>
      <c r="GRZ3001" s="81"/>
      <c r="GSA3001" s="160"/>
      <c r="GSB3001" s="571"/>
      <c r="GSC3001" s="125"/>
      <c r="GSD3001" s="470"/>
      <c r="GSE3001" s="449"/>
      <c r="GSF3001" s="462"/>
      <c r="GSG3001" s="299"/>
      <c r="GSH3001" s="81"/>
      <c r="GSI3001" s="160"/>
      <c r="GSJ3001" s="571"/>
      <c r="GSK3001" s="125"/>
      <c r="GSL3001" s="470"/>
      <c r="GSM3001" s="449"/>
      <c r="GSN3001" s="462"/>
      <c r="GSO3001" s="299"/>
      <c r="GSP3001" s="81"/>
      <c r="GSQ3001" s="160"/>
      <c r="GSR3001" s="571"/>
      <c r="GSS3001" s="125"/>
      <c r="GST3001" s="470"/>
      <c r="GSU3001" s="449"/>
      <c r="GSV3001" s="462"/>
      <c r="GSW3001" s="299"/>
      <c r="GSX3001" s="81"/>
      <c r="GSY3001" s="160"/>
      <c r="GSZ3001" s="571"/>
      <c r="GTA3001" s="125"/>
      <c r="GTB3001" s="470"/>
      <c r="GTC3001" s="449"/>
      <c r="GTD3001" s="462"/>
      <c r="GTE3001" s="299"/>
      <c r="GTF3001" s="81"/>
      <c r="GTG3001" s="160"/>
      <c r="GTH3001" s="571"/>
      <c r="GTI3001" s="125"/>
      <c r="GTJ3001" s="470"/>
      <c r="GTK3001" s="449"/>
      <c r="GTL3001" s="462"/>
      <c r="GTM3001" s="299"/>
      <c r="GTN3001" s="81"/>
      <c r="GTO3001" s="160"/>
      <c r="GTP3001" s="571"/>
      <c r="GTQ3001" s="125"/>
      <c r="GTR3001" s="470"/>
      <c r="GTS3001" s="449"/>
      <c r="GTT3001" s="462"/>
      <c r="GTU3001" s="299"/>
      <c r="GTV3001" s="81"/>
      <c r="GTW3001" s="160"/>
      <c r="GTX3001" s="571"/>
      <c r="GTY3001" s="125"/>
      <c r="GTZ3001" s="470"/>
      <c r="GUA3001" s="449"/>
      <c r="GUB3001" s="462"/>
      <c r="GUC3001" s="299"/>
      <c r="GUD3001" s="81"/>
      <c r="GUE3001" s="160"/>
      <c r="GUF3001" s="571"/>
      <c r="GUG3001" s="125"/>
      <c r="GUH3001" s="470"/>
      <c r="GUI3001" s="449"/>
      <c r="GUJ3001" s="462"/>
      <c r="GUK3001" s="299"/>
      <c r="GUL3001" s="81"/>
      <c r="GUM3001" s="160"/>
      <c r="GUN3001" s="571"/>
      <c r="GUO3001" s="125"/>
      <c r="GUP3001" s="470"/>
      <c r="GUQ3001" s="449"/>
      <c r="GUR3001" s="462"/>
      <c r="GUS3001" s="299"/>
      <c r="GUT3001" s="81"/>
      <c r="GUU3001" s="160"/>
      <c r="GUV3001" s="571"/>
      <c r="GUW3001" s="125"/>
      <c r="GUX3001" s="470"/>
      <c r="GUY3001" s="449"/>
      <c r="GUZ3001" s="462"/>
      <c r="GVA3001" s="299"/>
      <c r="GVB3001" s="81"/>
      <c r="GVC3001" s="160"/>
      <c r="GVD3001" s="571"/>
      <c r="GVE3001" s="125"/>
      <c r="GVF3001" s="470"/>
      <c r="GVG3001" s="449"/>
      <c r="GVH3001" s="462"/>
      <c r="GVI3001" s="299"/>
      <c r="GVJ3001" s="81"/>
      <c r="GVK3001" s="160"/>
      <c r="GVL3001" s="571"/>
      <c r="GVM3001" s="125"/>
      <c r="GVN3001" s="470"/>
      <c r="GVO3001" s="449"/>
      <c r="GVP3001" s="462"/>
      <c r="GVQ3001" s="299"/>
      <c r="GVR3001" s="81"/>
      <c r="GVS3001" s="160"/>
      <c r="GVT3001" s="571"/>
      <c r="GVU3001" s="125"/>
      <c r="GVV3001" s="470"/>
      <c r="GVW3001" s="449"/>
      <c r="GVX3001" s="462"/>
      <c r="GVY3001" s="299"/>
      <c r="GVZ3001" s="81"/>
      <c r="GWA3001" s="160"/>
      <c r="GWB3001" s="571"/>
      <c r="GWC3001" s="125"/>
      <c r="GWD3001" s="470"/>
      <c r="GWE3001" s="449"/>
      <c r="GWF3001" s="462"/>
      <c r="GWG3001" s="299"/>
      <c r="GWH3001" s="81"/>
      <c r="GWI3001" s="160"/>
      <c r="GWJ3001" s="571"/>
      <c r="GWK3001" s="125"/>
      <c r="GWL3001" s="470"/>
      <c r="GWM3001" s="449"/>
      <c r="GWN3001" s="462"/>
      <c r="GWO3001" s="299"/>
      <c r="GWP3001" s="81"/>
      <c r="GWQ3001" s="160"/>
      <c r="GWR3001" s="571"/>
      <c r="GWS3001" s="125"/>
      <c r="GWT3001" s="470"/>
      <c r="GWU3001" s="449"/>
      <c r="GWV3001" s="462"/>
      <c r="GWW3001" s="299"/>
      <c r="GWX3001" s="81"/>
      <c r="GWY3001" s="160"/>
      <c r="GWZ3001" s="571"/>
      <c r="GXA3001" s="125"/>
      <c r="GXB3001" s="470"/>
      <c r="GXC3001" s="449"/>
      <c r="GXD3001" s="462"/>
      <c r="GXE3001" s="299"/>
      <c r="GXF3001" s="81"/>
      <c r="GXG3001" s="160"/>
      <c r="GXH3001" s="571"/>
      <c r="GXI3001" s="125"/>
      <c r="GXJ3001" s="470"/>
      <c r="GXK3001" s="449"/>
      <c r="GXL3001" s="462"/>
      <c r="GXM3001" s="299"/>
      <c r="GXN3001" s="81"/>
      <c r="GXO3001" s="160"/>
      <c r="GXP3001" s="571"/>
      <c r="GXQ3001" s="125"/>
      <c r="GXR3001" s="470"/>
      <c r="GXS3001" s="449"/>
      <c r="GXT3001" s="462"/>
      <c r="GXU3001" s="299"/>
      <c r="GXV3001" s="81"/>
      <c r="GXW3001" s="160"/>
      <c r="GXX3001" s="571"/>
      <c r="GXY3001" s="125"/>
      <c r="GXZ3001" s="470"/>
      <c r="GYA3001" s="449"/>
      <c r="GYB3001" s="462"/>
      <c r="GYC3001" s="299"/>
      <c r="GYD3001" s="81"/>
      <c r="GYE3001" s="160"/>
      <c r="GYF3001" s="571"/>
      <c r="GYG3001" s="125"/>
      <c r="GYH3001" s="470"/>
      <c r="GYI3001" s="449"/>
      <c r="GYJ3001" s="462"/>
      <c r="GYK3001" s="299"/>
      <c r="GYL3001" s="81"/>
      <c r="GYM3001" s="160"/>
      <c r="GYN3001" s="571"/>
      <c r="GYO3001" s="125"/>
      <c r="GYP3001" s="470"/>
      <c r="GYQ3001" s="449"/>
      <c r="GYR3001" s="462"/>
      <c r="GYS3001" s="299"/>
      <c r="GYT3001" s="81"/>
      <c r="GYU3001" s="160"/>
      <c r="GYV3001" s="571"/>
      <c r="GYW3001" s="125"/>
      <c r="GYX3001" s="470"/>
      <c r="GYY3001" s="449"/>
      <c r="GYZ3001" s="462"/>
      <c r="GZA3001" s="299"/>
      <c r="GZB3001" s="81"/>
      <c r="GZC3001" s="160"/>
      <c r="GZD3001" s="571"/>
      <c r="GZE3001" s="125"/>
      <c r="GZF3001" s="470"/>
      <c r="GZG3001" s="449"/>
      <c r="GZH3001" s="462"/>
      <c r="GZI3001" s="299"/>
      <c r="GZJ3001" s="81"/>
      <c r="GZK3001" s="160"/>
      <c r="GZL3001" s="571"/>
      <c r="GZM3001" s="125"/>
      <c r="GZN3001" s="470"/>
      <c r="GZO3001" s="449"/>
      <c r="GZP3001" s="462"/>
      <c r="GZQ3001" s="299"/>
      <c r="GZR3001" s="81"/>
      <c r="GZS3001" s="160"/>
      <c r="GZT3001" s="571"/>
      <c r="GZU3001" s="125"/>
      <c r="GZV3001" s="470"/>
      <c r="GZW3001" s="449"/>
      <c r="GZX3001" s="462"/>
      <c r="GZY3001" s="299"/>
      <c r="GZZ3001" s="81"/>
      <c r="HAA3001" s="160"/>
      <c r="HAB3001" s="571"/>
      <c r="HAC3001" s="125"/>
      <c r="HAD3001" s="470"/>
      <c r="HAE3001" s="449"/>
      <c r="HAF3001" s="462"/>
      <c r="HAG3001" s="299"/>
      <c r="HAH3001" s="81"/>
      <c r="HAI3001" s="160"/>
      <c r="HAJ3001" s="571"/>
      <c r="HAK3001" s="125"/>
      <c r="HAL3001" s="470"/>
      <c r="HAM3001" s="449"/>
      <c r="HAN3001" s="462"/>
      <c r="HAO3001" s="299"/>
      <c r="HAP3001" s="81"/>
      <c r="HAQ3001" s="160"/>
      <c r="HAR3001" s="571"/>
      <c r="HAS3001" s="125"/>
      <c r="HAT3001" s="470"/>
      <c r="HAU3001" s="449"/>
      <c r="HAV3001" s="462"/>
      <c r="HAW3001" s="299"/>
      <c r="HAX3001" s="81"/>
      <c r="HAY3001" s="160"/>
      <c r="HAZ3001" s="571"/>
      <c r="HBA3001" s="125"/>
      <c r="HBB3001" s="470"/>
      <c r="HBC3001" s="449"/>
      <c r="HBD3001" s="462"/>
      <c r="HBE3001" s="299"/>
      <c r="HBF3001" s="81"/>
      <c r="HBG3001" s="160"/>
      <c r="HBH3001" s="571"/>
      <c r="HBI3001" s="125"/>
      <c r="HBJ3001" s="470"/>
      <c r="HBK3001" s="449"/>
      <c r="HBL3001" s="462"/>
      <c r="HBM3001" s="299"/>
      <c r="HBN3001" s="81"/>
      <c r="HBO3001" s="160"/>
      <c r="HBP3001" s="571"/>
      <c r="HBQ3001" s="125"/>
      <c r="HBR3001" s="470"/>
      <c r="HBS3001" s="449"/>
      <c r="HBT3001" s="462"/>
      <c r="HBU3001" s="299"/>
      <c r="HBV3001" s="81"/>
      <c r="HBW3001" s="160"/>
      <c r="HBX3001" s="571"/>
      <c r="HBY3001" s="125"/>
      <c r="HBZ3001" s="470"/>
      <c r="HCA3001" s="449"/>
      <c r="HCB3001" s="462"/>
      <c r="HCC3001" s="299"/>
      <c r="HCD3001" s="81"/>
      <c r="HCE3001" s="160"/>
      <c r="HCF3001" s="571"/>
      <c r="HCG3001" s="125"/>
      <c r="HCH3001" s="470"/>
      <c r="HCI3001" s="449"/>
      <c r="HCJ3001" s="462"/>
      <c r="HCK3001" s="299"/>
      <c r="HCL3001" s="81"/>
      <c r="HCM3001" s="160"/>
      <c r="HCN3001" s="571"/>
      <c r="HCO3001" s="125"/>
      <c r="HCP3001" s="470"/>
      <c r="HCQ3001" s="449"/>
      <c r="HCR3001" s="462"/>
      <c r="HCS3001" s="299"/>
      <c r="HCT3001" s="81"/>
      <c r="HCU3001" s="160"/>
      <c r="HCV3001" s="571"/>
      <c r="HCW3001" s="125"/>
      <c r="HCX3001" s="470"/>
      <c r="HCY3001" s="449"/>
      <c r="HCZ3001" s="462"/>
      <c r="HDA3001" s="299"/>
      <c r="HDB3001" s="81"/>
      <c r="HDC3001" s="160"/>
      <c r="HDD3001" s="571"/>
      <c r="HDE3001" s="125"/>
      <c r="HDF3001" s="470"/>
      <c r="HDG3001" s="449"/>
      <c r="HDH3001" s="462"/>
      <c r="HDI3001" s="299"/>
      <c r="HDJ3001" s="81"/>
      <c r="HDK3001" s="160"/>
      <c r="HDL3001" s="571"/>
      <c r="HDM3001" s="125"/>
      <c r="HDN3001" s="470"/>
      <c r="HDO3001" s="449"/>
      <c r="HDP3001" s="462"/>
      <c r="HDQ3001" s="299"/>
      <c r="HDR3001" s="81"/>
      <c r="HDS3001" s="160"/>
      <c r="HDT3001" s="571"/>
      <c r="HDU3001" s="125"/>
      <c r="HDV3001" s="470"/>
      <c r="HDW3001" s="449"/>
      <c r="HDX3001" s="462"/>
      <c r="HDY3001" s="299"/>
      <c r="HDZ3001" s="81"/>
      <c r="HEA3001" s="160"/>
      <c r="HEB3001" s="571"/>
      <c r="HEC3001" s="125"/>
      <c r="HED3001" s="470"/>
      <c r="HEE3001" s="449"/>
      <c r="HEF3001" s="462"/>
      <c r="HEG3001" s="299"/>
      <c r="HEH3001" s="81"/>
      <c r="HEI3001" s="160"/>
      <c r="HEJ3001" s="571"/>
      <c r="HEK3001" s="125"/>
      <c r="HEL3001" s="470"/>
      <c r="HEM3001" s="449"/>
      <c r="HEN3001" s="462"/>
      <c r="HEO3001" s="299"/>
      <c r="HEP3001" s="81"/>
      <c r="HEQ3001" s="160"/>
      <c r="HER3001" s="571"/>
      <c r="HES3001" s="125"/>
      <c r="HET3001" s="470"/>
      <c r="HEU3001" s="449"/>
      <c r="HEV3001" s="462"/>
      <c r="HEW3001" s="299"/>
      <c r="HEX3001" s="81"/>
      <c r="HEY3001" s="160"/>
      <c r="HEZ3001" s="571"/>
      <c r="HFA3001" s="125"/>
      <c r="HFB3001" s="470"/>
      <c r="HFC3001" s="449"/>
      <c r="HFD3001" s="462"/>
      <c r="HFE3001" s="299"/>
      <c r="HFF3001" s="81"/>
      <c r="HFG3001" s="160"/>
      <c r="HFH3001" s="571"/>
      <c r="HFI3001" s="125"/>
      <c r="HFJ3001" s="470"/>
      <c r="HFK3001" s="449"/>
      <c r="HFL3001" s="462"/>
      <c r="HFM3001" s="299"/>
      <c r="HFN3001" s="81"/>
      <c r="HFO3001" s="160"/>
      <c r="HFP3001" s="571"/>
      <c r="HFQ3001" s="125"/>
      <c r="HFR3001" s="470"/>
      <c r="HFS3001" s="449"/>
      <c r="HFT3001" s="462"/>
      <c r="HFU3001" s="299"/>
      <c r="HFV3001" s="81"/>
      <c r="HFW3001" s="160"/>
      <c r="HFX3001" s="571"/>
      <c r="HFY3001" s="125"/>
      <c r="HFZ3001" s="470"/>
      <c r="HGA3001" s="449"/>
      <c r="HGB3001" s="462"/>
      <c r="HGC3001" s="299"/>
      <c r="HGD3001" s="81"/>
      <c r="HGE3001" s="160"/>
      <c r="HGF3001" s="571"/>
      <c r="HGG3001" s="125"/>
      <c r="HGH3001" s="470"/>
      <c r="HGI3001" s="449"/>
      <c r="HGJ3001" s="462"/>
      <c r="HGK3001" s="299"/>
      <c r="HGL3001" s="81"/>
      <c r="HGM3001" s="160"/>
      <c r="HGN3001" s="571"/>
      <c r="HGO3001" s="125"/>
      <c r="HGP3001" s="470"/>
      <c r="HGQ3001" s="449"/>
      <c r="HGR3001" s="462"/>
      <c r="HGS3001" s="299"/>
      <c r="HGT3001" s="81"/>
      <c r="HGU3001" s="160"/>
      <c r="HGV3001" s="571"/>
      <c r="HGW3001" s="125"/>
      <c r="HGX3001" s="470"/>
      <c r="HGY3001" s="449"/>
      <c r="HGZ3001" s="462"/>
      <c r="HHA3001" s="299"/>
      <c r="HHB3001" s="81"/>
      <c r="HHC3001" s="160"/>
      <c r="HHD3001" s="571"/>
      <c r="HHE3001" s="125"/>
      <c r="HHF3001" s="470"/>
      <c r="HHG3001" s="449"/>
      <c r="HHH3001" s="462"/>
      <c r="HHI3001" s="299"/>
      <c r="HHJ3001" s="81"/>
      <c r="HHK3001" s="160"/>
      <c r="HHL3001" s="571"/>
      <c r="HHM3001" s="125"/>
      <c r="HHN3001" s="470"/>
      <c r="HHO3001" s="449"/>
      <c r="HHP3001" s="462"/>
      <c r="HHQ3001" s="299"/>
      <c r="HHR3001" s="81"/>
      <c r="HHS3001" s="160"/>
      <c r="HHT3001" s="571"/>
      <c r="HHU3001" s="125"/>
      <c r="HHV3001" s="470"/>
      <c r="HHW3001" s="449"/>
      <c r="HHX3001" s="462"/>
      <c r="HHY3001" s="299"/>
      <c r="HHZ3001" s="81"/>
      <c r="HIA3001" s="160"/>
      <c r="HIB3001" s="571"/>
      <c r="HIC3001" s="125"/>
      <c r="HID3001" s="470"/>
      <c r="HIE3001" s="449"/>
      <c r="HIF3001" s="462"/>
      <c r="HIG3001" s="299"/>
      <c r="HIH3001" s="81"/>
      <c r="HII3001" s="160"/>
      <c r="HIJ3001" s="571"/>
      <c r="HIK3001" s="125"/>
      <c r="HIL3001" s="470"/>
      <c r="HIM3001" s="449"/>
      <c r="HIN3001" s="462"/>
      <c r="HIO3001" s="299"/>
      <c r="HIP3001" s="81"/>
      <c r="HIQ3001" s="160"/>
      <c r="HIR3001" s="571"/>
      <c r="HIS3001" s="125"/>
      <c r="HIT3001" s="470"/>
      <c r="HIU3001" s="449"/>
      <c r="HIV3001" s="462"/>
      <c r="HIW3001" s="299"/>
      <c r="HIX3001" s="81"/>
      <c r="HIY3001" s="160"/>
      <c r="HIZ3001" s="571"/>
      <c r="HJA3001" s="125"/>
      <c r="HJB3001" s="470"/>
      <c r="HJC3001" s="449"/>
      <c r="HJD3001" s="462"/>
      <c r="HJE3001" s="299"/>
      <c r="HJF3001" s="81"/>
      <c r="HJG3001" s="160"/>
      <c r="HJH3001" s="571"/>
      <c r="HJI3001" s="125"/>
      <c r="HJJ3001" s="470"/>
      <c r="HJK3001" s="449"/>
      <c r="HJL3001" s="462"/>
      <c r="HJM3001" s="299"/>
      <c r="HJN3001" s="81"/>
      <c r="HJO3001" s="160"/>
      <c r="HJP3001" s="571"/>
      <c r="HJQ3001" s="125"/>
      <c r="HJR3001" s="470"/>
      <c r="HJS3001" s="449"/>
      <c r="HJT3001" s="462"/>
      <c r="HJU3001" s="299"/>
      <c r="HJV3001" s="81"/>
      <c r="HJW3001" s="160"/>
      <c r="HJX3001" s="571"/>
      <c r="HJY3001" s="125"/>
      <c r="HJZ3001" s="470"/>
      <c r="HKA3001" s="449"/>
      <c r="HKB3001" s="462"/>
      <c r="HKC3001" s="299"/>
      <c r="HKD3001" s="81"/>
      <c r="HKE3001" s="160"/>
      <c r="HKF3001" s="571"/>
      <c r="HKG3001" s="125"/>
      <c r="HKH3001" s="470"/>
      <c r="HKI3001" s="449"/>
      <c r="HKJ3001" s="462"/>
      <c r="HKK3001" s="299"/>
      <c r="HKL3001" s="81"/>
      <c r="HKM3001" s="160"/>
      <c r="HKN3001" s="571"/>
      <c r="HKO3001" s="125"/>
      <c r="HKP3001" s="470"/>
      <c r="HKQ3001" s="449"/>
      <c r="HKR3001" s="462"/>
      <c r="HKS3001" s="299"/>
      <c r="HKT3001" s="81"/>
      <c r="HKU3001" s="160"/>
      <c r="HKV3001" s="571"/>
      <c r="HKW3001" s="125"/>
      <c r="HKX3001" s="470"/>
      <c r="HKY3001" s="449"/>
      <c r="HKZ3001" s="462"/>
      <c r="HLA3001" s="299"/>
      <c r="HLB3001" s="81"/>
      <c r="HLC3001" s="160"/>
      <c r="HLD3001" s="571"/>
      <c r="HLE3001" s="125"/>
      <c r="HLF3001" s="470"/>
      <c r="HLG3001" s="449"/>
      <c r="HLH3001" s="462"/>
      <c r="HLI3001" s="299"/>
      <c r="HLJ3001" s="81"/>
      <c r="HLK3001" s="160"/>
      <c r="HLL3001" s="571"/>
      <c r="HLM3001" s="125"/>
      <c r="HLN3001" s="470"/>
      <c r="HLO3001" s="449"/>
      <c r="HLP3001" s="462"/>
      <c r="HLQ3001" s="299"/>
      <c r="HLR3001" s="81"/>
      <c r="HLS3001" s="160"/>
      <c r="HLT3001" s="571"/>
      <c r="HLU3001" s="125"/>
      <c r="HLV3001" s="470"/>
      <c r="HLW3001" s="449"/>
      <c r="HLX3001" s="462"/>
      <c r="HLY3001" s="299"/>
      <c r="HLZ3001" s="81"/>
      <c r="HMA3001" s="160"/>
      <c r="HMB3001" s="571"/>
      <c r="HMC3001" s="125"/>
      <c r="HMD3001" s="470"/>
      <c r="HME3001" s="449"/>
      <c r="HMF3001" s="462"/>
      <c r="HMG3001" s="299"/>
      <c r="HMH3001" s="81"/>
      <c r="HMI3001" s="160"/>
      <c r="HMJ3001" s="571"/>
      <c r="HMK3001" s="125"/>
      <c r="HML3001" s="470"/>
      <c r="HMM3001" s="449"/>
      <c r="HMN3001" s="462"/>
      <c r="HMO3001" s="299"/>
      <c r="HMP3001" s="81"/>
      <c r="HMQ3001" s="160"/>
      <c r="HMR3001" s="571"/>
      <c r="HMS3001" s="125"/>
      <c r="HMT3001" s="470"/>
      <c r="HMU3001" s="449"/>
      <c r="HMV3001" s="462"/>
      <c r="HMW3001" s="299"/>
      <c r="HMX3001" s="81"/>
      <c r="HMY3001" s="160"/>
      <c r="HMZ3001" s="571"/>
      <c r="HNA3001" s="125"/>
      <c r="HNB3001" s="470"/>
      <c r="HNC3001" s="449"/>
      <c r="HND3001" s="462"/>
      <c r="HNE3001" s="299"/>
      <c r="HNF3001" s="81"/>
      <c r="HNG3001" s="160"/>
      <c r="HNH3001" s="571"/>
      <c r="HNI3001" s="125"/>
      <c r="HNJ3001" s="470"/>
      <c r="HNK3001" s="449"/>
      <c r="HNL3001" s="462"/>
      <c r="HNM3001" s="299"/>
      <c r="HNN3001" s="81"/>
      <c r="HNO3001" s="160"/>
      <c r="HNP3001" s="571"/>
      <c r="HNQ3001" s="125"/>
      <c r="HNR3001" s="470"/>
      <c r="HNS3001" s="449"/>
      <c r="HNT3001" s="462"/>
      <c r="HNU3001" s="299"/>
      <c r="HNV3001" s="81"/>
      <c r="HNW3001" s="160"/>
      <c r="HNX3001" s="571"/>
      <c r="HNY3001" s="125"/>
      <c r="HNZ3001" s="470"/>
      <c r="HOA3001" s="449"/>
      <c r="HOB3001" s="462"/>
      <c r="HOC3001" s="299"/>
      <c r="HOD3001" s="81"/>
      <c r="HOE3001" s="160"/>
      <c r="HOF3001" s="571"/>
      <c r="HOG3001" s="125"/>
      <c r="HOH3001" s="470"/>
      <c r="HOI3001" s="449"/>
      <c r="HOJ3001" s="462"/>
      <c r="HOK3001" s="299"/>
      <c r="HOL3001" s="81"/>
      <c r="HOM3001" s="160"/>
      <c r="HON3001" s="571"/>
      <c r="HOO3001" s="125"/>
      <c r="HOP3001" s="470"/>
      <c r="HOQ3001" s="449"/>
      <c r="HOR3001" s="462"/>
      <c r="HOS3001" s="299"/>
      <c r="HOT3001" s="81"/>
      <c r="HOU3001" s="160"/>
      <c r="HOV3001" s="571"/>
      <c r="HOW3001" s="125"/>
      <c r="HOX3001" s="470"/>
      <c r="HOY3001" s="449"/>
      <c r="HOZ3001" s="462"/>
      <c r="HPA3001" s="299"/>
      <c r="HPB3001" s="81"/>
      <c r="HPC3001" s="160"/>
      <c r="HPD3001" s="571"/>
      <c r="HPE3001" s="125"/>
      <c r="HPF3001" s="470"/>
      <c r="HPG3001" s="449"/>
      <c r="HPH3001" s="462"/>
      <c r="HPI3001" s="299"/>
      <c r="HPJ3001" s="81"/>
      <c r="HPK3001" s="160"/>
      <c r="HPL3001" s="571"/>
      <c r="HPM3001" s="125"/>
      <c r="HPN3001" s="470"/>
      <c r="HPO3001" s="449"/>
      <c r="HPP3001" s="462"/>
      <c r="HPQ3001" s="299"/>
      <c r="HPR3001" s="81"/>
      <c r="HPS3001" s="160"/>
      <c r="HPT3001" s="571"/>
      <c r="HPU3001" s="125"/>
      <c r="HPV3001" s="470"/>
      <c r="HPW3001" s="449"/>
      <c r="HPX3001" s="462"/>
      <c r="HPY3001" s="299"/>
      <c r="HPZ3001" s="81"/>
      <c r="HQA3001" s="160"/>
      <c r="HQB3001" s="571"/>
      <c r="HQC3001" s="125"/>
      <c r="HQD3001" s="470"/>
      <c r="HQE3001" s="449"/>
      <c r="HQF3001" s="462"/>
      <c r="HQG3001" s="299"/>
      <c r="HQH3001" s="81"/>
      <c r="HQI3001" s="160"/>
      <c r="HQJ3001" s="571"/>
      <c r="HQK3001" s="125"/>
      <c r="HQL3001" s="470"/>
      <c r="HQM3001" s="449"/>
      <c r="HQN3001" s="462"/>
      <c r="HQO3001" s="299"/>
      <c r="HQP3001" s="81"/>
      <c r="HQQ3001" s="160"/>
      <c r="HQR3001" s="571"/>
      <c r="HQS3001" s="125"/>
      <c r="HQT3001" s="470"/>
      <c r="HQU3001" s="449"/>
      <c r="HQV3001" s="462"/>
      <c r="HQW3001" s="299"/>
      <c r="HQX3001" s="81"/>
      <c r="HQY3001" s="160"/>
      <c r="HQZ3001" s="571"/>
      <c r="HRA3001" s="125"/>
      <c r="HRB3001" s="470"/>
      <c r="HRC3001" s="449"/>
      <c r="HRD3001" s="462"/>
      <c r="HRE3001" s="299"/>
      <c r="HRF3001" s="81"/>
      <c r="HRG3001" s="160"/>
      <c r="HRH3001" s="571"/>
      <c r="HRI3001" s="125"/>
      <c r="HRJ3001" s="470"/>
      <c r="HRK3001" s="449"/>
      <c r="HRL3001" s="462"/>
      <c r="HRM3001" s="299"/>
      <c r="HRN3001" s="81"/>
      <c r="HRO3001" s="160"/>
      <c r="HRP3001" s="571"/>
      <c r="HRQ3001" s="125"/>
      <c r="HRR3001" s="470"/>
      <c r="HRS3001" s="449"/>
      <c r="HRT3001" s="462"/>
      <c r="HRU3001" s="299"/>
      <c r="HRV3001" s="81"/>
      <c r="HRW3001" s="160"/>
      <c r="HRX3001" s="571"/>
      <c r="HRY3001" s="125"/>
      <c r="HRZ3001" s="470"/>
      <c r="HSA3001" s="449"/>
      <c r="HSB3001" s="462"/>
      <c r="HSC3001" s="299"/>
      <c r="HSD3001" s="81"/>
      <c r="HSE3001" s="160"/>
      <c r="HSF3001" s="571"/>
      <c r="HSG3001" s="125"/>
      <c r="HSH3001" s="470"/>
      <c r="HSI3001" s="449"/>
      <c r="HSJ3001" s="462"/>
      <c r="HSK3001" s="299"/>
      <c r="HSL3001" s="81"/>
      <c r="HSM3001" s="160"/>
      <c r="HSN3001" s="571"/>
      <c r="HSO3001" s="125"/>
      <c r="HSP3001" s="470"/>
      <c r="HSQ3001" s="449"/>
      <c r="HSR3001" s="462"/>
      <c r="HSS3001" s="299"/>
      <c r="HST3001" s="81"/>
      <c r="HSU3001" s="160"/>
      <c r="HSV3001" s="571"/>
      <c r="HSW3001" s="125"/>
      <c r="HSX3001" s="470"/>
      <c r="HSY3001" s="449"/>
      <c r="HSZ3001" s="462"/>
      <c r="HTA3001" s="299"/>
      <c r="HTB3001" s="81"/>
      <c r="HTC3001" s="160"/>
      <c r="HTD3001" s="571"/>
      <c r="HTE3001" s="125"/>
      <c r="HTF3001" s="470"/>
      <c r="HTG3001" s="449"/>
      <c r="HTH3001" s="462"/>
      <c r="HTI3001" s="299"/>
      <c r="HTJ3001" s="81"/>
      <c r="HTK3001" s="160"/>
      <c r="HTL3001" s="571"/>
      <c r="HTM3001" s="125"/>
      <c r="HTN3001" s="470"/>
      <c r="HTO3001" s="449"/>
      <c r="HTP3001" s="462"/>
      <c r="HTQ3001" s="299"/>
      <c r="HTR3001" s="81"/>
      <c r="HTS3001" s="160"/>
      <c r="HTT3001" s="571"/>
      <c r="HTU3001" s="125"/>
      <c r="HTV3001" s="470"/>
      <c r="HTW3001" s="449"/>
      <c r="HTX3001" s="462"/>
      <c r="HTY3001" s="299"/>
      <c r="HTZ3001" s="81"/>
      <c r="HUA3001" s="160"/>
      <c r="HUB3001" s="571"/>
      <c r="HUC3001" s="125"/>
      <c r="HUD3001" s="470"/>
      <c r="HUE3001" s="449"/>
      <c r="HUF3001" s="462"/>
      <c r="HUG3001" s="299"/>
      <c r="HUH3001" s="81"/>
      <c r="HUI3001" s="160"/>
      <c r="HUJ3001" s="571"/>
      <c r="HUK3001" s="125"/>
      <c r="HUL3001" s="470"/>
      <c r="HUM3001" s="449"/>
      <c r="HUN3001" s="462"/>
      <c r="HUO3001" s="299"/>
      <c r="HUP3001" s="81"/>
      <c r="HUQ3001" s="160"/>
      <c r="HUR3001" s="571"/>
      <c r="HUS3001" s="125"/>
      <c r="HUT3001" s="470"/>
      <c r="HUU3001" s="449"/>
      <c r="HUV3001" s="462"/>
      <c r="HUW3001" s="299"/>
      <c r="HUX3001" s="81"/>
      <c r="HUY3001" s="160"/>
      <c r="HUZ3001" s="571"/>
      <c r="HVA3001" s="125"/>
      <c r="HVB3001" s="470"/>
      <c r="HVC3001" s="449"/>
      <c r="HVD3001" s="462"/>
      <c r="HVE3001" s="299"/>
      <c r="HVF3001" s="81"/>
      <c r="HVG3001" s="160"/>
      <c r="HVH3001" s="571"/>
      <c r="HVI3001" s="125"/>
      <c r="HVJ3001" s="470"/>
      <c r="HVK3001" s="449"/>
      <c r="HVL3001" s="462"/>
      <c r="HVM3001" s="299"/>
      <c r="HVN3001" s="81"/>
      <c r="HVO3001" s="160"/>
      <c r="HVP3001" s="571"/>
      <c r="HVQ3001" s="125"/>
      <c r="HVR3001" s="470"/>
      <c r="HVS3001" s="449"/>
      <c r="HVT3001" s="462"/>
      <c r="HVU3001" s="299"/>
      <c r="HVV3001" s="81"/>
      <c r="HVW3001" s="160"/>
      <c r="HVX3001" s="571"/>
      <c r="HVY3001" s="125"/>
      <c r="HVZ3001" s="470"/>
      <c r="HWA3001" s="449"/>
      <c r="HWB3001" s="462"/>
      <c r="HWC3001" s="299"/>
      <c r="HWD3001" s="81"/>
      <c r="HWE3001" s="160"/>
      <c r="HWF3001" s="571"/>
      <c r="HWG3001" s="125"/>
      <c r="HWH3001" s="470"/>
      <c r="HWI3001" s="449"/>
      <c r="HWJ3001" s="462"/>
      <c r="HWK3001" s="299"/>
      <c r="HWL3001" s="81"/>
      <c r="HWM3001" s="160"/>
      <c r="HWN3001" s="571"/>
      <c r="HWO3001" s="125"/>
      <c r="HWP3001" s="470"/>
      <c r="HWQ3001" s="449"/>
      <c r="HWR3001" s="462"/>
      <c r="HWS3001" s="299"/>
      <c r="HWT3001" s="81"/>
      <c r="HWU3001" s="160"/>
      <c r="HWV3001" s="571"/>
      <c r="HWW3001" s="125"/>
      <c r="HWX3001" s="470"/>
      <c r="HWY3001" s="449"/>
      <c r="HWZ3001" s="462"/>
      <c r="HXA3001" s="299"/>
      <c r="HXB3001" s="81"/>
      <c r="HXC3001" s="160"/>
      <c r="HXD3001" s="571"/>
      <c r="HXE3001" s="125"/>
      <c r="HXF3001" s="470"/>
      <c r="HXG3001" s="449"/>
      <c r="HXH3001" s="462"/>
      <c r="HXI3001" s="299"/>
      <c r="HXJ3001" s="81"/>
      <c r="HXK3001" s="160"/>
      <c r="HXL3001" s="571"/>
      <c r="HXM3001" s="125"/>
      <c r="HXN3001" s="470"/>
      <c r="HXO3001" s="449"/>
      <c r="HXP3001" s="462"/>
      <c r="HXQ3001" s="299"/>
      <c r="HXR3001" s="81"/>
      <c r="HXS3001" s="160"/>
      <c r="HXT3001" s="571"/>
      <c r="HXU3001" s="125"/>
      <c r="HXV3001" s="470"/>
      <c r="HXW3001" s="449"/>
      <c r="HXX3001" s="462"/>
      <c r="HXY3001" s="299"/>
      <c r="HXZ3001" s="81"/>
      <c r="HYA3001" s="160"/>
      <c r="HYB3001" s="571"/>
      <c r="HYC3001" s="125"/>
      <c r="HYD3001" s="470"/>
      <c r="HYE3001" s="449"/>
      <c r="HYF3001" s="462"/>
      <c r="HYG3001" s="299"/>
      <c r="HYH3001" s="81"/>
      <c r="HYI3001" s="160"/>
      <c r="HYJ3001" s="571"/>
      <c r="HYK3001" s="125"/>
      <c r="HYL3001" s="470"/>
      <c r="HYM3001" s="449"/>
      <c r="HYN3001" s="462"/>
      <c r="HYO3001" s="299"/>
      <c r="HYP3001" s="81"/>
      <c r="HYQ3001" s="160"/>
      <c r="HYR3001" s="571"/>
      <c r="HYS3001" s="125"/>
      <c r="HYT3001" s="470"/>
      <c r="HYU3001" s="449"/>
      <c r="HYV3001" s="462"/>
      <c r="HYW3001" s="299"/>
      <c r="HYX3001" s="81"/>
      <c r="HYY3001" s="160"/>
      <c r="HYZ3001" s="571"/>
      <c r="HZA3001" s="125"/>
      <c r="HZB3001" s="470"/>
      <c r="HZC3001" s="449"/>
      <c r="HZD3001" s="462"/>
      <c r="HZE3001" s="299"/>
      <c r="HZF3001" s="81"/>
      <c r="HZG3001" s="160"/>
      <c r="HZH3001" s="571"/>
      <c r="HZI3001" s="125"/>
      <c r="HZJ3001" s="470"/>
      <c r="HZK3001" s="449"/>
      <c r="HZL3001" s="462"/>
      <c r="HZM3001" s="299"/>
      <c r="HZN3001" s="81"/>
      <c r="HZO3001" s="160"/>
      <c r="HZP3001" s="571"/>
      <c r="HZQ3001" s="125"/>
      <c r="HZR3001" s="470"/>
      <c r="HZS3001" s="449"/>
      <c r="HZT3001" s="462"/>
      <c r="HZU3001" s="299"/>
      <c r="HZV3001" s="81"/>
      <c r="HZW3001" s="160"/>
      <c r="HZX3001" s="571"/>
      <c r="HZY3001" s="125"/>
      <c r="HZZ3001" s="470"/>
      <c r="IAA3001" s="449"/>
      <c r="IAB3001" s="462"/>
      <c r="IAC3001" s="299"/>
      <c r="IAD3001" s="81"/>
      <c r="IAE3001" s="160"/>
      <c r="IAF3001" s="571"/>
      <c r="IAG3001" s="125"/>
      <c r="IAH3001" s="470"/>
      <c r="IAI3001" s="449"/>
      <c r="IAJ3001" s="462"/>
      <c r="IAK3001" s="299"/>
      <c r="IAL3001" s="81"/>
      <c r="IAM3001" s="160"/>
      <c r="IAN3001" s="571"/>
      <c r="IAO3001" s="125"/>
      <c r="IAP3001" s="470"/>
      <c r="IAQ3001" s="449"/>
      <c r="IAR3001" s="462"/>
      <c r="IAS3001" s="299"/>
      <c r="IAT3001" s="81"/>
      <c r="IAU3001" s="160"/>
      <c r="IAV3001" s="571"/>
      <c r="IAW3001" s="125"/>
      <c r="IAX3001" s="470"/>
      <c r="IAY3001" s="449"/>
      <c r="IAZ3001" s="462"/>
      <c r="IBA3001" s="299"/>
      <c r="IBB3001" s="81"/>
      <c r="IBC3001" s="160"/>
      <c r="IBD3001" s="571"/>
      <c r="IBE3001" s="125"/>
      <c r="IBF3001" s="470"/>
      <c r="IBG3001" s="449"/>
      <c r="IBH3001" s="462"/>
      <c r="IBI3001" s="299"/>
      <c r="IBJ3001" s="81"/>
      <c r="IBK3001" s="160"/>
      <c r="IBL3001" s="571"/>
      <c r="IBM3001" s="125"/>
      <c r="IBN3001" s="470"/>
      <c r="IBO3001" s="449"/>
      <c r="IBP3001" s="462"/>
      <c r="IBQ3001" s="299"/>
      <c r="IBR3001" s="81"/>
      <c r="IBS3001" s="160"/>
      <c r="IBT3001" s="571"/>
      <c r="IBU3001" s="125"/>
      <c r="IBV3001" s="470"/>
      <c r="IBW3001" s="449"/>
      <c r="IBX3001" s="462"/>
      <c r="IBY3001" s="299"/>
      <c r="IBZ3001" s="81"/>
      <c r="ICA3001" s="160"/>
      <c r="ICB3001" s="571"/>
      <c r="ICC3001" s="125"/>
      <c r="ICD3001" s="470"/>
      <c r="ICE3001" s="449"/>
      <c r="ICF3001" s="462"/>
      <c r="ICG3001" s="299"/>
      <c r="ICH3001" s="81"/>
      <c r="ICI3001" s="160"/>
      <c r="ICJ3001" s="571"/>
      <c r="ICK3001" s="125"/>
      <c r="ICL3001" s="470"/>
      <c r="ICM3001" s="449"/>
      <c r="ICN3001" s="462"/>
      <c r="ICO3001" s="299"/>
      <c r="ICP3001" s="81"/>
      <c r="ICQ3001" s="160"/>
      <c r="ICR3001" s="571"/>
      <c r="ICS3001" s="125"/>
      <c r="ICT3001" s="470"/>
      <c r="ICU3001" s="449"/>
      <c r="ICV3001" s="462"/>
      <c r="ICW3001" s="299"/>
      <c r="ICX3001" s="81"/>
      <c r="ICY3001" s="160"/>
      <c r="ICZ3001" s="571"/>
      <c r="IDA3001" s="125"/>
      <c r="IDB3001" s="470"/>
      <c r="IDC3001" s="449"/>
      <c r="IDD3001" s="462"/>
      <c r="IDE3001" s="299"/>
      <c r="IDF3001" s="81"/>
      <c r="IDG3001" s="160"/>
      <c r="IDH3001" s="571"/>
      <c r="IDI3001" s="125"/>
      <c r="IDJ3001" s="470"/>
      <c r="IDK3001" s="449"/>
      <c r="IDL3001" s="462"/>
      <c r="IDM3001" s="299"/>
      <c r="IDN3001" s="81"/>
      <c r="IDO3001" s="160"/>
      <c r="IDP3001" s="571"/>
      <c r="IDQ3001" s="125"/>
      <c r="IDR3001" s="470"/>
      <c r="IDS3001" s="449"/>
      <c r="IDT3001" s="462"/>
      <c r="IDU3001" s="299"/>
      <c r="IDV3001" s="81"/>
      <c r="IDW3001" s="160"/>
      <c r="IDX3001" s="571"/>
      <c r="IDY3001" s="125"/>
      <c r="IDZ3001" s="470"/>
      <c r="IEA3001" s="449"/>
      <c r="IEB3001" s="462"/>
      <c r="IEC3001" s="299"/>
      <c r="IED3001" s="81"/>
      <c r="IEE3001" s="160"/>
      <c r="IEF3001" s="571"/>
      <c r="IEG3001" s="125"/>
      <c r="IEH3001" s="470"/>
      <c r="IEI3001" s="449"/>
      <c r="IEJ3001" s="462"/>
      <c r="IEK3001" s="299"/>
      <c r="IEL3001" s="81"/>
      <c r="IEM3001" s="160"/>
      <c r="IEN3001" s="571"/>
      <c r="IEO3001" s="125"/>
      <c r="IEP3001" s="470"/>
      <c r="IEQ3001" s="449"/>
      <c r="IER3001" s="462"/>
      <c r="IES3001" s="299"/>
      <c r="IET3001" s="81"/>
      <c r="IEU3001" s="160"/>
      <c r="IEV3001" s="571"/>
      <c r="IEW3001" s="125"/>
      <c r="IEX3001" s="470"/>
      <c r="IEY3001" s="449"/>
      <c r="IEZ3001" s="462"/>
      <c r="IFA3001" s="299"/>
      <c r="IFB3001" s="81"/>
      <c r="IFC3001" s="160"/>
      <c r="IFD3001" s="571"/>
      <c r="IFE3001" s="125"/>
      <c r="IFF3001" s="470"/>
      <c r="IFG3001" s="449"/>
      <c r="IFH3001" s="462"/>
      <c r="IFI3001" s="299"/>
      <c r="IFJ3001" s="81"/>
      <c r="IFK3001" s="160"/>
      <c r="IFL3001" s="571"/>
      <c r="IFM3001" s="125"/>
      <c r="IFN3001" s="470"/>
      <c r="IFO3001" s="449"/>
      <c r="IFP3001" s="462"/>
      <c r="IFQ3001" s="299"/>
      <c r="IFR3001" s="81"/>
      <c r="IFS3001" s="160"/>
      <c r="IFT3001" s="571"/>
      <c r="IFU3001" s="125"/>
      <c r="IFV3001" s="470"/>
      <c r="IFW3001" s="449"/>
      <c r="IFX3001" s="462"/>
      <c r="IFY3001" s="299"/>
      <c r="IFZ3001" s="81"/>
      <c r="IGA3001" s="160"/>
      <c r="IGB3001" s="571"/>
      <c r="IGC3001" s="125"/>
      <c r="IGD3001" s="470"/>
      <c r="IGE3001" s="449"/>
      <c r="IGF3001" s="462"/>
      <c r="IGG3001" s="299"/>
      <c r="IGH3001" s="81"/>
      <c r="IGI3001" s="160"/>
      <c r="IGJ3001" s="571"/>
      <c r="IGK3001" s="125"/>
      <c r="IGL3001" s="470"/>
      <c r="IGM3001" s="449"/>
      <c r="IGN3001" s="462"/>
      <c r="IGO3001" s="299"/>
      <c r="IGP3001" s="81"/>
      <c r="IGQ3001" s="160"/>
      <c r="IGR3001" s="571"/>
      <c r="IGS3001" s="125"/>
      <c r="IGT3001" s="470"/>
      <c r="IGU3001" s="449"/>
      <c r="IGV3001" s="462"/>
      <c r="IGW3001" s="299"/>
      <c r="IGX3001" s="81"/>
      <c r="IGY3001" s="160"/>
      <c r="IGZ3001" s="571"/>
      <c r="IHA3001" s="125"/>
      <c r="IHB3001" s="470"/>
      <c r="IHC3001" s="449"/>
      <c r="IHD3001" s="462"/>
      <c r="IHE3001" s="299"/>
      <c r="IHF3001" s="81"/>
      <c r="IHG3001" s="160"/>
      <c r="IHH3001" s="571"/>
      <c r="IHI3001" s="125"/>
      <c r="IHJ3001" s="470"/>
      <c r="IHK3001" s="449"/>
      <c r="IHL3001" s="462"/>
      <c r="IHM3001" s="299"/>
      <c r="IHN3001" s="81"/>
      <c r="IHO3001" s="160"/>
      <c r="IHP3001" s="571"/>
      <c r="IHQ3001" s="125"/>
      <c r="IHR3001" s="470"/>
      <c r="IHS3001" s="449"/>
      <c r="IHT3001" s="462"/>
      <c r="IHU3001" s="299"/>
      <c r="IHV3001" s="81"/>
      <c r="IHW3001" s="160"/>
      <c r="IHX3001" s="571"/>
      <c r="IHY3001" s="125"/>
      <c r="IHZ3001" s="470"/>
      <c r="IIA3001" s="449"/>
      <c r="IIB3001" s="462"/>
      <c r="IIC3001" s="299"/>
      <c r="IID3001" s="81"/>
      <c r="IIE3001" s="160"/>
      <c r="IIF3001" s="571"/>
      <c r="IIG3001" s="125"/>
      <c r="IIH3001" s="470"/>
      <c r="III3001" s="449"/>
      <c r="IIJ3001" s="462"/>
      <c r="IIK3001" s="299"/>
      <c r="IIL3001" s="81"/>
      <c r="IIM3001" s="160"/>
      <c r="IIN3001" s="571"/>
      <c r="IIO3001" s="125"/>
      <c r="IIP3001" s="470"/>
      <c r="IIQ3001" s="449"/>
      <c r="IIR3001" s="462"/>
      <c r="IIS3001" s="299"/>
      <c r="IIT3001" s="81"/>
      <c r="IIU3001" s="160"/>
      <c r="IIV3001" s="571"/>
      <c r="IIW3001" s="125"/>
      <c r="IIX3001" s="470"/>
      <c r="IIY3001" s="449"/>
      <c r="IIZ3001" s="462"/>
      <c r="IJA3001" s="299"/>
      <c r="IJB3001" s="81"/>
      <c r="IJC3001" s="160"/>
      <c r="IJD3001" s="571"/>
      <c r="IJE3001" s="125"/>
      <c r="IJF3001" s="470"/>
      <c r="IJG3001" s="449"/>
      <c r="IJH3001" s="462"/>
      <c r="IJI3001" s="299"/>
      <c r="IJJ3001" s="81"/>
      <c r="IJK3001" s="160"/>
      <c r="IJL3001" s="571"/>
      <c r="IJM3001" s="125"/>
      <c r="IJN3001" s="470"/>
      <c r="IJO3001" s="449"/>
      <c r="IJP3001" s="462"/>
      <c r="IJQ3001" s="299"/>
      <c r="IJR3001" s="81"/>
      <c r="IJS3001" s="160"/>
      <c r="IJT3001" s="571"/>
      <c r="IJU3001" s="125"/>
      <c r="IJV3001" s="470"/>
      <c r="IJW3001" s="449"/>
      <c r="IJX3001" s="462"/>
      <c r="IJY3001" s="299"/>
      <c r="IJZ3001" s="81"/>
      <c r="IKA3001" s="160"/>
      <c r="IKB3001" s="571"/>
      <c r="IKC3001" s="125"/>
      <c r="IKD3001" s="470"/>
      <c r="IKE3001" s="449"/>
      <c r="IKF3001" s="462"/>
      <c r="IKG3001" s="299"/>
      <c r="IKH3001" s="81"/>
      <c r="IKI3001" s="160"/>
      <c r="IKJ3001" s="571"/>
      <c r="IKK3001" s="125"/>
      <c r="IKL3001" s="470"/>
      <c r="IKM3001" s="449"/>
      <c r="IKN3001" s="462"/>
      <c r="IKO3001" s="299"/>
      <c r="IKP3001" s="81"/>
      <c r="IKQ3001" s="160"/>
      <c r="IKR3001" s="571"/>
      <c r="IKS3001" s="125"/>
      <c r="IKT3001" s="470"/>
      <c r="IKU3001" s="449"/>
      <c r="IKV3001" s="462"/>
      <c r="IKW3001" s="299"/>
      <c r="IKX3001" s="81"/>
      <c r="IKY3001" s="160"/>
      <c r="IKZ3001" s="571"/>
      <c r="ILA3001" s="125"/>
      <c r="ILB3001" s="470"/>
      <c r="ILC3001" s="449"/>
      <c r="ILD3001" s="462"/>
      <c r="ILE3001" s="299"/>
      <c r="ILF3001" s="81"/>
      <c r="ILG3001" s="160"/>
      <c r="ILH3001" s="571"/>
      <c r="ILI3001" s="125"/>
      <c r="ILJ3001" s="470"/>
      <c r="ILK3001" s="449"/>
      <c r="ILL3001" s="462"/>
      <c r="ILM3001" s="299"/>
      <c r="ILN3001" s="81"/>
      <c r="ILO3001" s="160"/>
      <c r="ILP3001" s="571"/>
      <c r="ILQ3001" s="125"/>
      <c r="ILR3001" s="470"/>
      <c r="ILS3001" s="449"/>
      <c r="ILT3001" s="462"/>
      <c r="ILU3001" s="299"/>
      <c r="ILV3001" s="81"/>
      <c r="ILW3001" s="160"/>
      <c r="ILX3001" s="571"/>
      <c r="ILY3001" s="125"/>
      <c r="ILZ3001" s="470"/>
      <c r="IMA3001" s="449"/>
      <c r="IMB3001" s="462"/>
      <c r="IMC3001" s="299"/>
      <c r="IMD3001" s="81"/>
      <c r="IME3001" s="160"/>
      <c r="IMF3001" s="571"/>
      <c r="IMG3001" s="125"/>
      <c r="IMH3001" s="470"/>
      <c r="IMI3001" s="449"/>
      <c r="IMJ3001" s="462"/>
      <c r="IMK3001" s="299"/>
      <c r="IML3001" s="81"/>
      <c r="IMM3001" s="160"/>
      <c r="IMN3001" s="571"/>
      <c r="IMO3001" s="125"/>
      <c r="IMP3001" s="470"/>
      <c r="IMQ3001" s="449"/>
      <c r="IMR3001" s="462"/>
      <c r="IMS3001" s="299"/>
      <c r="IMT3001" s="81"/>
      <c r="IMU3001" s="160"/>
      <c r="IMV3001" s="571"/>
      <c r="IMW3001" s="125"/>
      <c r="IMX3001" s="470"/>
      <c r="IMY3001" s="449"/>
      <c r="IMZ3001" s="462"/>
      <c r="INA3001" s="299"/>
      <c r="INB3001" s="81"/>
      <c r="INC3001" s="160"/>
      <c r="IND3001" s="571"/>
      <c r="INE3001" s="125"/>
      <c r="INF3001" s="470"/>
      <c r="ING3001" s="449"/>
      <c r="INH3001" s="462"/>
      <c r="INI3001" s="299"/>
      <c r="INJ3001" s="81"/>
      <c r="INK3001" s="160"/>
      <c r="INL3001" s="571"/>
      <c r="INM3001" s="125"/>
      <c r="INN3001" s="470"/>
      <c r="INO3001" s="449"/>
      <c r="INP3001" s="462"/>
      <c r="INQ3001" s="299"/>
      <c r="INR3001" s="81"/>
      <c r="INS3001" s="160"/>
      <c r="INT3001" s="571"/>
      <c r="INU3001" s="125"/>
      <c r="INV3001" s="470"/>
      <c r="INW3001" s="449"/>
      <c r="INX3001" s="462"/>
      <c r="INY3001" s="299"/>
      <c r="INZ3001" s="81"/>
      <c r="IOA3001" s="160"/>
      <c r="IOB3001" s="571"/>
      <c r="IOC3001" s="125"/>
      <c r="IOD3001" s="470"/>
      <c r="IOE3001" s="449"/>
      <c r="IOF3001" s="462"/>
      <c r="IOG3001" s="299"/>
      <c r="IOH3001" s="81"/>
      <c r="IOI3001" s="160"/>
      <c r="IOJ3001" s="571"/>
      <c r="IOK3001" s="125"/>
      <c r="IOL3001" s="470"/>
      <c r="IOM3001" s="449"/>
      <c r="ION3001" s="462"/>
      <c r="IOO3001" s="299"/>
      <c r="IOP3001" s="81"/>
      <c r="IOQ3001" s="160"/>
      <c r="IOR3001" s="571"/>
      <c r="IOS3001" s="125"/>
      <c r="IOT3001" s="470"/>
      <c r="IOU3001" s="449"/>
      <c r="IOV3001" s="462"/>
      <c r="IOW3001" s="299"/>
      <c r="IOX3001" s="81"/>
      <c r="IOY3001" s="160"/>
      <c r="IOZ3001" s="571"/>
      <c r="IPA3001" s="125"/>
      <c r="IPB3001" s="470"/>
      <c r="IPC3001" s="449"/>
      <c r="IPD3001" s="462"/>
      <c r="IPE3001" s="299"/>
      <c r="IPF3001" s="81"/>
      <c r="IPG3001" s="160"/>
      <c r="IPH3001" s="571"/>
      <c r="IPI3001" s="125"/>
      <c r="IPJ3001" s="470"/>
      <c r="IPK3001" s="449"/>
      <c r="IPL3001" s="462"/>
      <c r="IPM3001" s="299"/>
      <c r="IPN3001" s="81"/>
      <c r="IPO3001" s="160"/>
      <c r="IPP3001" s="571"/>
      <c r="IPQ3001" s="125"/>
      <c r="IPR3001" s="470"/>
      <c r="IPS3001" s="449"/>
      <c r="IPT3001" s="462"/>
      <c r="IPU3001" s="299"/>
      <c r="IPV3001" s="81"/>
      <c r="IPW3001" s="160"/>
      <c r="IPX3001" s="571"/>
      <c r="IPY3001" s="125"/>
      <c r="IPZ3001" s="470"/>
      <c r="IQA3001" s="449"/>
      <c r="IQB3001" s="462"/>
      <c r="IQC3001" s="299"/>
      <c r="IQD3001" s="81"/>
      <c r="IQE3001" s="160"/>
      <c r="IQF3001" s="571"/>
      <c r="IQG3001" s="125"/>
      <c r="IQH3001" s="470"/>
      <c r="IQI3001" s="449"/>
      <c r="IQJ3001" s="462"/>
      <c r="IQK3001" s="299"/>
      <c r="IQL3001" s="81"/>
      <c r="IQM3001" s="160"/>
      <c r="IQN3001" s="571"/>
      <c r="IQO3001" s="125"/>
      <c r="IQP3001" s="470"/>
      <c r="IQQ3001" s="449"/>
      <c r="IQR3001" s="462"/>
      <c r="IQS3001" s="299"/>
      <c r="IQT3001" s="81"/>
      <c r="IQU3001" s="160"/>
      <c r="IQV3001" s="571"/>
      <c r="IQW3001" s="125"/>
      <c r="IQX3001" s="470"/>
      <c r="IQY3001" s="449"/>
      <c r="IQZ3001" s="462"/>
      <c r="IRA3001" s="299"/>
      <c r="IRB3001" s="81"/>
      <c r="IRC3001" s="160"/>
      <c r="IRD3001" s="571"/>
      <c r="IRE3001" s="125"/>
      <c r="IRF3001" s="470"/>
      <c r="IRG3001" s="449"/>
      <c r="IRH3001" s="462"/>
      <c r="IRI3001" s="299"/>
      <c r="IRJ3001" s="81"/>
      <c r="IRK3001" s="160"/>
      <c r="IRL3001" s="571"/>
      <c r="IRM3001" s="125"/>
      <c r="IRN3001" s="470"/>
      <c r="IRO3001" s="449"/>
      <c r="IRP3001" s="462"/>
      <c r="IRQ3001" s="299"/>
      <c r="IRR3001" s="81"/>
      <c r="IRS3001" s="160"/>
      <c r="IRT3001" s="571"/>
      <c r="IRU3001" s="125"/>
      <c r="IRV3001" s="470"/>
      <c r="IRW3001" s="449"/>
      <c r="IRX3001" s="462"/>
      <c r="IRY3001" s="299"/>
      <c r="IRZ3001" s="81"/>
      <c r="ISA3001" s="160"/>
      <c r="ISB3001" s="571"/>
      <c r="ISC3001" s="125"/>
      <c r="ISD3001" s="470"/>
      <c r="ISE3001" s="449"/>
      <c r="ISF3001" s="462"/>
      <c r="ISG3001" s="299"/>
      <c r="ISH3001" s="81"/>
      <c r="ISI3001" s="160"/>
      <c r="ISJ3001" s="571"/>
      <c r="ISK3001" s="125"/>
      <c r="ISL3001" s="470"/>
      <c r="ISM3001" s="449"/>
      <c r="ISN3001" s="462"/>
      <c r="ISO3001" s="299"/>
      <c r="ISP3001" s="81"/>
      <c r="ISQ3001" s="160"/>
      <c r="ISR3001" s="571"/>
      <c r="ISS3001" s="125"/>
      <c r="IST3001" s="470"/>
      <c r="ISU3001" s="449"/>
      <c r="ISV3001" s="462"/>
      <c r="ISW3001" s="299"/>
      <c r="ISX3001" s="81"/>
      <c r="ISY3001" s="160"/>
      <c r="ISZ3001" s="571"/>
      <c r="ITA3001" s="125"/>
      <c r="ITB3001" s="470"/>
      <c r="ITC3001" s="449"/>
      <c r="ITD3001" s="462"/>
      <c r="ITE3001" s="299"/>
      <c r="ITF3001" s="81"/>
      <c r="ITG3001" s="160"/>
      <c r="ITH3001" s="571"/>
      <c r="ITI3001" s="125"/>
      <c r="ITJ3001" s="470"/>
      <c r="ITK3001" s="449"/>
      <c r="ITL3001" s="462"/>
      <c r="ITM3001" s="299"/>
      <c r="ITN3001" s="81"/>
      <c r="ITO3001" s="160"/>
      <c r="ITP3001" s="571"/>
      <c r="ITQ3001" s="125"/>
      <c r="ITR3001" s="470"/>
      <c r="ITS3001" s="449"/>
      <c r="ITT3001" s="462"/>
      <c r="ITU3001" s="299"/>
      <c r="ITV3001" s="81"/>
      <c r="ITW3001" s="160"/>
      <c r="ITX3001" s="571"/>
      <c r="ITY3001" s="125"/>
      <c r="ITZ3001" s="470"/>
      <c r="IUA3001" s="449"/>
      <c r="IUB3001" s="462"/>
      <c r="IUC3001" s="299"/>
      <c r="IUD3001" s="81"/>
      <c r="IUE3001" s="160"/>
      <c r="IUF3001" s="571"/>
      <c r="IUG3001" s="125"/>
      <c r="IUH3001" s="470"/>
      <c r="IUI3001" s="449"/>
      <c r="IUJ3001" s="462"/>
      <c r="IUK3001" s="299"/>
      <c r="IUL3001" s="81"/>
      <c r="IUM3001" s="160"/>
      <c r="IUN3001" s="571"/>
      <c r="IUO3001" s="125"/>
      <c r="IUP3001" s="470"/>
      <c r="IUQ3001" s="449"/>
      <c r="IUR3001" s="462"/>
      <c r="IUS3001" s="299"/>
      <c r="IUT3001" s="81"/>
      <c r="IUU3001" s="160"/>
      <c r="IUV3001" s="571"/>
      <c r="IUW3001" s="125"/>
      <c r="IUX3001" s="470"/>
      <c r="IUY3001" s="449"/>
      <c r="IUZ3001" s="462"/>
      <c r="IVA3001" s="299"/>
      <c r="IVB3001" s="81"/>
      <c r="IVC3001" s="160"/>
      <c r="IVD3001" s="571"/>
      <c r="IVE3001" s="125"/>
      <c r="IVF3001" s="470"/>
      <c r="IVG3001" s="449"/>
      <c r="IVH3001" s="462"/>
      <c r="IVI3001" s="299"/>
      <c r="IVJ3001" s="81"/>
      <c r="IVK3001" s="160"/>
      <c r="IVL3001" s="571"/>
      <c r="IVM3001" s="125"/>
      <c r="IVN3001" s="470"/>
      <c r="IVO3001" s="449"/>
      <c r="IVP3001" s="462"/>
      <c r="IVQ3001" s="299"/>
      <c r="IVR3001" s="81"/>
      <c r="IVS3001" s="160"/>
      <c r="IVT3001" s="571"/>
      <c r="IVU3001" s="125"/>
      <c r="IVV3001" s="470"/>
      <c r="IVW3001" s="449"/>
      <c r="IVX3001" s="462"/>
      <c r="IVY3001" s="299"/>
      <c r="IVZ3001" s="81"/>
      <c r="IWA3001" s="160"/>
      <c r="IWB3001" s="571"/>
      <c r="IWC3001" s="125"/>
      <c r="IWD3001" s="470"/>
      <c r="IWE3001" s="449"/>
      <c r="IWF3001" s="462"/>
      <c r="IWG3001" s="299"/>
      <c r="IWH3001" s="81"/>
      <c r="IWI3001" s="160"/>
      <c r="IWJ3001" s="571"/>
      <c r="IWK3001" s="125"/>
      <c r="IWL3001" s="470"/>
      <c r="IWM3001" s="449"/>
      <c r="IWN3001" s="462"/>
      <c r="IWO3001" s="299"/>
      <c r="IWP3001" s="81"/>
      <c r="IWQ3001" s="160"/>
      <c r="IWR3001" s="571"/>
      <c r="IWS3001" s="125"/>
      <c r="IWT3001" s="470"/>
      <c r="IWU3001" s="449"/>
      <c r="IWV3001" s="462"/>
      <c r="IWW3001" s="299"/>
      <c r="IWX3001" s="81"/>
      <c r="IWY3001" s="160"/>
      <c r="IWZ3001" s="571"/>
      <c r="IXA3001" s="125"/>
      <c r="IXB3001" s="470"/>
      <c r="IXC3001" s="449"/>
      <c r="IXD3001" s="462"/>
      <c r="IXE3001" s="299"/>
      <c r="IXF3001" s="81"/>
      <c r="IXG3001" s="160"/>
      <c r="IXH3001" s="571"/>
      <c r="IXI3001" s="125"/>
      <c r="IXJ3001" s="470"/>
      <c r="IXK3001" s="449"/>
      <c r="IXL3001" s="462"/>
      <c r="IXM3001" s="299"/>
      <c r="IXN3001" s="81"/>
      <c r="IXO3001" s="160"/>
      <c r="IXP3001" s="571"/>
      <c r="IXQ3001" s="125"/>
      <c r="IXR3001" s="470"/>
      <c r="IXS3001" s="449"/>
      <c r="IXT3001" s="462"/>
      <c r="IXU3001" s="299"/>
      <c r="IXV3001" s="81"/>
      <c r="IXW3001" s="160"/>
      <c r="IXX3001" s="571"/>
      <c r="IXY3001" s="125"/>
      <c r="IXZ3001" s="470"/>
      <c r="IYA3001" s="449"/>
      <c r="IYB3001" s="462"/>
      <c r="IYC3001" s="299"/>
      <c r="IYD3001" s="81"/>
      <c r="IYE3001" s="160"/>
      <c r="IYF3001" s="571"/>
      <c r="IYG3001" s="125"/>
      <c r="IYH3001" s="470"/>
      <c r="IYI3001" s="449"/>
      <c r="IYJ3001" s="462"/>
      <c r="IYK3001" s="299"/>
      <c r="IYL3001" s="81"/>
      <c r="IYM3001" s="160"/>
      <c r="IYN3001" s="571"/>
      <c r="IYO3001" s="125"/>
      <c r="IYP3001" s="470"/>
      <c r="IYQ3001" s="449"/>
      <c r="IYR3001" s="462"/>
      <c r="IYS3001" s="299"/>
      <c r="IYT3001" s="81"/>
      <c r="IYU3001" s="160"/>
      <c r="IYV3001" s="571"/>
      <c r="IYW3001" s="125"/>
      <c r="IYX3001" s="470"/>
      <c r="IYY3001" s="449"/>
      <c r="IYZ3001" s="462"/>
      <c r="IZA3001" s="299"/>
      <c r="IZB3001" s="81"/>
      <c r="IZC3001" s="160"/>
      <c r="IZD3001" s="571"/>
      <c r="IZE3001" s="125"/>
      <c r="IZF3001" s="470"/>
      <c r="IZG3001" s="449"/>
      <c r="IZH3001" s="462"/>
      <c r="IZI3001" s="299"/>
      <c r="IZJ3001" s="81"/>
      <c r="IZK3001" s="160"/>
      <c r="IZL3001" s="571"/>
      <c r="IZM3001" s="125"/>
      <c r="IZN3001" s="470"/>
      <c r="IZO3001" s="449"/>
      <c r="IZP3001" s="462"/>
      <c r="IZQ3001" s="299"/>
      <c r="IZR3001" s="81"/>
      <c r="IZS3001" s="160"/>
      <c r="IZT3001" s="571"/>
      <c r="IZU3001" s="125"/>
      <c r="IZV3001" s="470"/>
      <c r="IZW3001" s="449"/>
      <c r="IZX3001" s="462"/>
      <c r="IZY3001" s="299"/>
      <c r="IZZ3001" s="81"/>
      <c r="JAA3001" s="160"/>
      <c r="JAB3001" s="571"/>
      <c r="JAC3001" s="125"/>
      <c r="JAD3001" s="470"/>
      <c r="JAE3001" s="449"/>
      <c r="JAF3001" s="462"/>
      <c r="JAG3001" s="299"/>
      <c r="JAH3001" s="81"/>
      <c r="JAI3001" s="160"/>
      <c r="JAJ3001" s="571"/>
      <c r="JAK3001" s="125"/>
      <c r="JAL3001" s="470"/>
      <c r="JAM3001" s="449"/>
      <c r="JAN3001" s="462"/>
      <c r="JAO3001" s="299"/>
      <c r="JAP3001" s="81"/>
      <c r="JAQ3001" s="160"/>
      <c r="JAR3001" s="571"/>
      <c r="JAS3001" s="125"/>
      <c r="JAT3001" s="470"/>
      <c r="JAU3001" s="449"/>
      <c r="JAV3001" s="462"/>
      <c r="JAW3001" s="299"/>
      <c r="JAX3001" s="81"/>
      <c r="JAY3001" s="160"/>
      <c r="JAZ3001" s="571"/>
      <c r="JBA3001" s="125"/>
      <c r="JBB3001" s="470"/>
      <c r="JBC3001" s="449"/>
      <c r="JBD3001" s="462"/>
      <c r="JBE3001" s="299"/>
      <c r="JBF3001" s="81"/>
      <c r="JBG3001" s="160"/>
      <c r="JBH3001" s="571"/>
      <c r="JBI3001" s="125"/>
      <c r="JBJ3001" s="470"/>
      <c r="JBK3001" s="449"/>
      <c r="JBL3001" s="462"/>
      <c r="JBM3001" s="299"/>
      <c r="JBN3001" s="81"/>
      <c r="JBO3001" s="160"/>
      <c r="JBP3001" s="571"/>
      <c r="JBQ3001" s="125"/>
      <c r="JBR3001" s="470"/>
      <c r="JBS3001" s="449"/>
      <c r="JBT3001" s="462"/>
      <c r="JBU3001" s="299"/>
      <c r="JBV3001" s="81"/>
      <c r="JBW3001" s="160"/>
      <c r="JBX3001" s="571"/>
      <c r="JBY3001" s="125"/>
      <c r="JBZ3001" s="470"/>
      <c r="JCA3001" s="449"/>
      <c r="JCB3001" s="462"/>
      <c r="JCC3001" s="299"/>
      <c r="JCD3001" s="81"/>
      <c r="JCE3001" s="160"/>
      <c r="JCF3001" s="571"/>
      <c r="JCG3001" s="125"/>
      <c r="JCH3001" s="470"/>
      <c r="JCI3001" s="449"/>
      <c r="JCJ3001" s="462"/>
      <c r="JCK3001" s="299"/>
      <c r="JCL3001" s="81"/>
      <c r="JCM3001" s="160"/>
      <c r="JCN3001" s="571"/>
      <c r="JCO3001" s="125"/>
      <c r="JCP3001" s="470"/>
      <c r="JCQ3001" s="449"/>
      <c r="JCR3001" s="462"/>
      <c r="JCS3001" s="299"/>
      <c r="JCT3001" s="81"/>
      <c r="JCU3001" s="160"/>
      <c r="JCV3001" s="571"/>
      <c r="JCW3001" s="125"/>
      <c r="JCX3001" s="470"/>
      <c r="JCY3001" s="449"/>
      <c r="JCZ3001" s="462"/>
      <c r="JDA3001" s="299"/>
      <c r="JDB3001" s="81"/>
      <c r="JDC3001" s="160"/>
      <c r="JDD3001" s="571"/>
      <c r="JDE3001" s="125"/>
      <c r="JDF3001" s="470"/>
      <c r="JDG3001" s="449"/>
      <c r="JDH3001" s="462"/>
      <c r="JDI3001" s="299"/>
      <c r="JDJ3001" s="81"/>
      <c r="JDK3001" s="160"/>
      <c r="JDL3001" s="571"/>
      <c r="JDM3001" s="125"/>
      <c r="JDN3001" s="470"/>
      <c r="JDO3001" s="449"/>
      <c r="JDP3001" s="462"/>
      <c r="JDQ3001" s="299"/>
      <c r="JDR3001" s="81"/>
      <c r="JDS3001" s="160"/>
      <c r="JDT3001" s="571"/>
      <c r="JDU3001" s="125"/>
      <c r="JDV3001" s="470"/>
      <c r="JDW3001" s="449"/>
      <c r="JDX3001" s="462"/>
      <c r="JDY3001" s="299"/>
      <c r="JDZ3001" s="81"/>
      <c r="JEA3001" s="160"/>
      <c r="JEB3001" s="571"/>
      <c r="JEC3001" s="125"/>
      <c r="JED3001" s="470"/>
      <c r="JEE3001" s="449"/>
      <c r="JEF3001" s="462"/>
      <c r="JEG3001" s="299"/>
      <c r="JEH3001" s="81"/>
      <c r="JEI3001" s="160"/>
      <c r="JEJ3001" s="571"/>
      <c r="JEK3001" s="125"/>
      <c r="JEL3001" s="470"/>
      <c r="JEM3001" s="449"/>
      <c r="JEN3001" s="462"/>
      <c r="JEO3001" s="299"/>
      <c r="JEP3001" s="81"/>
      <c r="JEQ3001" s="160"/>
      <c r="JER3001" s="571"/>
      <c r="JES3001" s="125"/>
      <c r="JET3001" s="470"/>
      <c r="JEU3001" s="449"/>
      <c r="JEV3001" s="462"/>
      <c r="JEW3001" s="299"/>
      <c r="JEX3001" s="81"/>
      <c r="JEY3001" s="160"/>
      <c r="JEZ3001" s="571"/>
      <c r="JFA3001" s="125"/>
      <c r="JFB3001" s="470"/>
      <c r="JFC3001" s="449"/>
      <c r="JFD3001" s="462"/>
      <c r="JFE3001" s="299"/>
      <c r="JFF3001" s="81"/>
      <c r="JFG3001" s="160"/>
      <c r="JFH3001" s="571"/>
      <c r="JFI3001" s="125"/>
      <c r="JFJ3001" s="470"/>
      <c r="JFK3001" s="449"/>
      <c r="JFL3001" s="462"/>
      <c r="JFM3001" s="299"/>
      <c r="JFN3001" s="81"/>
      <c r="JFO3001" s="160"/>
      <c r="JFP3001" s="571"/>
      <c r="JFQ3001" s="125"/>
      <c r="JFR3001" s="470"/>
      <c r="JFS3001" s="449"/>
      <c r="JFT3001" s="462"/>
      <c r="JFU3001" s="299"/>
      <c r="JFV3001" s="81"/>
      <c r="JFW3001" s="160"/>
      <c r="JFX3001" s="571"/>
      <c r="JFY3001" s="125"/>
      <c r="JFZ3001" s="470"/>
      <c r="JGA3001" s="449"/>
      <c r="JGB3001" s="462"/>
      <c r="JGC3001" s="299"/>
      <c r="JGD3001" s="81"/>
      <c r="JGE3001" s="160"/>
      <c r="JGF3001" s="571"/>
      <c r="JGG3001" s="125"/>
      <c r="JGH3001" s="470"/>
      <c r="JGI3001" s="449"/>
      <c r="JGJ3001" s="462"/>
      <c r="JGK3001" s="299"/>
      <c r="JGL3001" s="81"/>
      <c r="JGM3001" s="160"/>
      <c r="JGN3001" s="571"/>
      <c r="JGO3001" s="125"/>
      <c r="JGP3001" s="470"/>
      <c r="JGQ3001" s="449"/>
      <c r="JGR3001" s="462"/>
      <c r="JGS3001" s="299"/>
      <c r="JGT3001" s="81"/>
      <c r="JGU3001" s="160"/>
      <c r="JGV3001" s="571"/>
      <c r="JGW3001" s="125"/>
      <c r="JGX3001" s="470"/>
      <c r="JGY3001" s="449"/>
      <c r="JGZ3001" s="462"/>
      <c r="JHA3001" s="299"/>
      <c r="JHB3001" s="81"/>
      <c r="JHC3001" s="160"/>
      <c r="JHD3001" s="571"/>
      <c r="JHE3001" s="125"/>
      <c r="JHF3001" s="470"/>
      <c r="JHG3001" s="449"/>
      <c r="JHH3001" s="462"/>
      <c r="JHI3001" s="299"/>
      <c r="JHJ3001" s="81"/>
      <c r="JHK3001" s="160"/>
      <c r="JHL3001" s="571"/>
      <c r="JHM3001" s="125"/>
      <c r="JHN3001" s="470"/>
      <c r="JHO3001" s="449"/>
      <c r="JHP3001" s="462"/>
      <c r="JHQ3001" s="299"/>
      <c r="JHR3001" s="81"/>
      <c r="JHS3001" s="160"/>
      <c r="JHT3001" s="571"/>
      <c r="JHU3001" s="125"/>
      <c r="JHV3001" s="470"/>
      <c r="JHW3001" s="449"/>
      <c r="JHX3001" s="462"/>
      <c r="JHY3001" s="299"/>
      <c r="JHZ3001" s="81"/>
      <c r="JIA3001" s="160"/>
      <c r="JIB3001" s="571"/>
      <c r="JIC3001" s="125"/>
      <c r="JID3001" s="470"/>
      <c r="JIE3001" s="449"/>
      <c r="JIF3001" s="462"/>
      <c r="JIG3001" s="299"/>
      <c r="JIH3001" s="81"/>
      <c r="JII3001" s="160"/>
      <c r="JIJ3001" s="571"/>
      <c r="JIK3001" s="125"/>
      <c r="JIL3001" s="470"/>
      <c r="JIM3001" s="449"/>
      <c r="JIN3001" s="462"/>
      <c r="JIO3001" s="299"/>
      <c r="JIP3001" s="81"/>
      <c r="JIQ3001" s="160"/>
      <c r="JIR3001" s="571"/>
      <c r="JIS3001" s="125"/>
      <c r="JIT3001" s="470"/>
      <c r="JIU3001" s="449"/>
      <c r="JIV3001" s="462"/>
      <c r="JIW3001" s="299"/>
      <c r="JIX3001" s="81"/>
      <c r="JIY3001" s="160"/>
      <c r="JIZ3001" s="571"/>
      <c r="JJA3001" s="125"/>
      <c r="JJB3001" s="470"/>
      <c r="JJC3001" s="449"/>
      <c r="JJD3001" s="462"/>
      <c r="JJE3001" s="299"/>
      <c r="JJF3001" s="81"/>
      <c r="JJG3001" s="160"/>
      <c r="JJH3001" s="571"/>
      <c r="JJI3001" s="125"/>
      <c r="JJJ3001" s="470"/>
      <c r="JJK3001" s="449"/>
      <c r="JJL3001" s="462"/>
      <c r="JJM3001" s="299"/>
      <c r="JJN3001" s="81"/>
      <c r="JJO3001" s="160"/>
      <c r="JJP3001" s="571"/>
      <c r="JJQ3001" s="125"/>
      <c r="JJR3001" s="470"/>
      <c r="JJS3001" s="449"/>
      <c r="JJT3001" s="462"/>
      <c r="JJU3001" s="299"/>
      <c r="JJV3001" s="81"/>
      <c r="JJW3001" s="160"/>
      <c r="JJX3001" s="571"/>
      <c r="JJY3001" s="125"/>
      <c r="JJZ3001" s="470"/>
      <c r="JKA3001" s="449"/>
      <c r="JKB3001" s="462"/>
      <c r="JKC3001" s="299"/>
      <c r="JKD3001" s="81"/>
      <c r="JKE3001" s="160"/>
      <c r="JKF3001" s="571"/>
      <c r="JKG3001" s="125"/>
      <c r="JKH3001" s="470"/>
      <c r="JKI3001" s="449"/>
      <c r="JKJ3001" s="462"/>
      <c r="JKK3001" s="299"/>
      <c r="JKL3001" s="81"/>
      <c r="JKM3001" s="160"/>
      <c r="JKN3001" s="571"/>
      <c r="JKO3001" s="125"/>
      <c r="JKP3001" s="470"/>
      <c r="JKQ3001" s="449"/>
      <c r="JKR3001" s="462"/>
      <c r="JKS3001" s="299"/>
      <c r="JKT3001" s="81"/>
      <c r="JKU3001" s="160"/>
      <c r="JKV3001" s="571"/>
      <c r="JKW3001" s="125"/>
      <c r="JKX3001" s="470"/>
      <c r="JKY3001" s="449"/>
      <c r="JKZ3001" s="462"/>
      <c r="JLA3001" s="299"/>
      <c r="JLB3001" s="81"/>
      <c r="JLC3001" s="160"/>
      <c r="JLD3001" s="571"/>
      <c r="JLE3001" s="125"/>
      <c r="JLF3001" s="470"/>
      <c r="JLG3001" s="449"/>
      <c r="JLH3001" s="462"/>
      <c r="JLI3001" s="299"/>
      <c r="JLJ3001" s="81"/>
      <c r="JLK3001" s="160"/>
      <c r="JLL3001" s="571"/>
      <c r="JLM3001" s="125"/>
      <c r="JLN3001" s="470"/>
      <c r="JLO3001" s="449"/>
      <c r="JLP3001" s="462"/>
      <c r="JLQ3001" s="299"/>
      <c r="JLR3001" s="81"/>
      <c r="JLS3001" s="160"/>
      <c r="JLT3001" s="571"/>
      <c r="JLU3001" s="125"/>
      <c r="JLV3001" s="470"/>
      <c r="JLW3001" s="449"/>
      <c r="JLX3001" s="462"/>
      <c r="JLY3001" s="299"/>
      <c r="JLZ3001" s="81"/>
      <c r="JMA3001" s="160"/>
      <c r="JMB3001" s="571"/>
      <c r="JMC3001" s="125"/>
      <c r="JMD3001" s="470"/>
      <c r="JME3001" s="449"/>
      <c r="JMF3001" s="462"/>
      <c r="JMG3001" s="299"/>
      <c r="JMH3001" s="81"/>
      <c r="JMI3001" s="160"/>
      <c r="JMJ3001" s="571"/>
      <c r="JMK3001" s="125"/>
      <c r="JML3001" s="470"/>
      <c r="JMM3001" s="449"/>
      <c r="JMN3001" s="462"/>
      <c r="JMO3001" s="299"/>
      <c r="JMP3001" s="81"/>
      <c r="JMQ3001" s="160"/>
      <c r="JMR3001" s="571"/>
      <c r="JMS3001" s="125"/>
      <c r="JMT3001" s="470"/>
      <c r="JMU3001" s="449"/>
      <c r="JMV3001" s="462"/>
      <c r="JMW3001" s="299"/>
      <c r="JMX3001" s="81"/>
      <c r="JMY3001" s="160"/>
      <c r="JMZ3001" s="571"/>
      <c r="JNA3001" s="125"/>
      <c r="JNB3001" s="470"/>
      <c r="JNC3001" s="449"/>
      <c r="JND3001" s="462"/>
      <c r="JNE3001" s="299"/>
      <c r="JNF3001" s="81"/>
      <c r="JNG3001" s="160"/>
      <c r="JNH3001" s="571"/>
      <c r="JNI3001" s="125"/>
      <c r="JNJ3001" s="470"/>
      <c r="JNK3001" s="449"/>
      <c r="JNL3001" s="462"/>
      <c r="JNM3001" s="299"/>
      <c r="JNN3001" s="81"/>
      <c r="JNO3001" s="160"/>
      <c r="JNP3001" s="571"/>
      <c r="JNQ3001" s="125"/>
      <c r="JNR3001" s="470"/>
      <c r="JNS3001" s="449"/>
      <c r="JNT3001" s="462"/>
      <c r="JNU3001" s="299"/>
      <c r="JNV3001" s="81"/>
      <c r="JNW3001" s="160"/>
      <c r="JNX3001" s="571"/>
      <c r="JNY3001" s="125"/>
      <c r="JNZ3001" s="470"/>
      <c r="JOA3001" s="449"/>
      <c r="JOB3001" s="462"/>
      <c r="JOC3001" s="299"/>
      <c r="JOD3001" s="81"/>
      <c r="JOE3001" s="160"/>
      <c r="JOF3001" s="571"/>
      <c r="JOG3001" s="125"/>
      <c r="JOH3001" s="470"/>
      <c r="JOI3001" s="449"/>
      <c r="JOJ3001" s="462"/>
      <c r="JOK3001" s="299"/>
      <c r="JOL3001" s="81"/>
      <c r="JOM3001" s="160"/>
      <c r="JON3001" s="571"/>
      <c r="JOO3001" s="125"/>
      <c r="JOP3001" s="470"/>
      <c r="JOQ3001" s="449"/>
      <c r="JOR3001" s="462"/>
      <c r="JOS3001" s="299"/>
      <c r="JOT3001" s="81"/>
      <c r="JOU3001" s="160"/>
      <c r="JOV3001" s="571"/>
      <c r="JOW3001" s="125"/>
      <c r="JOX3001" s="470"/>
      <c r="JOY3001" s="449"/>
      <c r="JOZ3001" s="462"/>
      <c r="JPA3001" s="299"/>
      <c r="JPB3001" s="81"/>
      <c r="JPC3001" s="160"/>
      <c r="JPD3001" s="571"/>
      <c r="JPE3001" s="125"/>
      <c r="JPF3001" s="470"/>
      <c r="JPG3001" s="449"/>
      <c r="JPH3001" s="462"/>
      <c r="JPI3001" s="299"/>
      <c r="JPJ3001" s="81"/>
      <c r="JPK3001" s="160"/>
      <c r="JPL3001" s="571"/>
      <c r="JPM3001" s="125"/>
      <c r="JPN3001" s="470"/>
      <c r="JPO3001" s="449"/>
      <c r="JPP3001" s="462"/>
      <c r="JPQ3001" s="299"/>
      <c r="JPR3001" s="81"/>
      <c r="JPS3001" s="160"/>
      <c r="JPT3001" s="571"/>
      <c r="JPU3001" s="125"/>
      <c r="JPV3001" s="470"/>
      <c r="JPW3001" s="449"/>
      <c r="JPX3001" s="462"/>
      <c r="JPY3001" s="299"/>
      <c r="JPZ3001" s="81"/>
      <c r="JQA3001" s="160"/>
      <c r="JQB3001" s="571"/>
      <c r="JQC3001" s="125"/>
      <c r="JQD3001" s="470"/>
      <c r="JQE3001" s="449"/>
      <c r="JQF3001" s="462"/>
      <c r="JQG3001" s="299"/>
      <c r="JQH3001" s="81"/>
      <c r="JQI3001" s="160"/>
      <c r="JQJ3001" s="571"/>
      <c r="JQK3001" s="125"/>
      <c r="JQL3001" s="470"/>
      <c r="JQM3001" s="449"/>
      <c r="JQN3001" s="462"/>
      <c r="JQO3001" s="299"/>
      <c r="JQP3001" s="81"/>
      <c r="JQQ3001" s="160"/>
      <c r="JQR3001" s="571"/>
      <c r="JQS3001" s="125"/>
      <c r="JQT3001" s="470"/>
      <c r="JQU3001" s="449"/>
      <c r="JQV3001" s="462"/>
      <c r="JQW3001" s="299"/>
      <c r="JQX3001" s="81"/>
      <c r="JQY3001" s="160"/>
      <c r="JQZ3001" s="571"/>
      <c r="JRA3001" s="125"/>
      <c r="JRB3001" s="470"/>
      <c r="JRC3001" s="449"/>
      <c r="JRD3001" s="462"/>
      <c r="JRE3001" s="299"/>
      <c r="JRF3001" s="81"/>
      <c r="JRG3001" s="160"/>
      <c r="JRH3001" s="571"/>
      <c r="JRI3001" s="125"/>
      <c r="JRJ3001" s="470"/>
      <c r="JRK3001" s="449"/>
      <c r="JRL3001" s="462"/>
      <c r="JRM3001" s="299"/>
      <c r="JRN3001" s="81"/>
      <c r="JRO3001" s="160"/>
      <c r="JRP3001" s="571"/>
      <c r="JRQ3001" s="125"/>
      <c r="JRR3001" s="470"/>
      <c r="JRS3001" s="449"/>
      <c r="JRT3001" s="462"/>
      <c r="JRU3001" s="299"/>
      <c r="JRV3001" s="81"/>
      <c r="JRW3001" s="160"/>
      <c r="JRX3001" s="571"/>
      <c r="JRY3001" s="125"/>
      <c r="JRZ3001" s="470"/>
      <c r="JSA3001" s="449"/>
      <c r="JSB3001" s="462"/>
      <c r="JSC3001" s="299"/>
      <c r="JSD3001" s="81"/>
      <c r="JSE3001" s="160"/>
      <c r="JSF3001" s="571"/>
      <c r="JSG3001" s="125"/>
      <c r="JSH3001" s="470"/>
      <c r="JSI3001" s="449"/>
      <c r="JSJ3001" s="462"/>
      <c r="JSK3001" s="299"/>
      <c r="JSL3001" s="81"/>
      <c r="JSM3001" s="160"/>
      <c r="JSN3001" s="571"/>
      <c r="JSO3001" s="125"/>
      <c r="JSP3001" s="470"/>
      <c r="JSQ3001" s="449"/>
      <c r="JSR3001" s="462"/>
      <c r="JSS3001" s="299"/>
      <c r="JST3001" s="81"/>
      <c r="JSU3001" s="160"/>
      <c r="JSV3001" s="571"/>
      <c r="JSW3001" s="125"/>
      <c r="JSX3001" s="470"/>
      <c r="JSY3001" s="449"/>
      <c r="JSZ3001" s="462"/>
      <c r="JTA3001" s="299"/>
      <c r="JTB3001" s="81"/>
      <c r="JTC3001" s="160"/>
      <c r="JTD3001" s="571"/>
      <c r="JTE3001" s="125"/>
      <c r="JTF3001" s="470"/>
      <c r="JTG3001" s="449"/>
      <c r="JTH3001" s="462"/>
      <c r="JTI3001" s="299"/>
      <c r="JTJ3001" s="81"/>
      <c r="JTK3001" s="160"/>
      <c r="JTL3001" s="571"/>
      <c r="JTM3001" s="125"/>
      <c r="JTN3001" s="470"/>
      <c r="JTO3001" s="449"/>
      <c r="JTP3001" s="462"/>
      <c r="JTQ3001" s="299"/>
      <c r="JTR3001" s="81"/>
      <c r="JTS3001" s="160"/>
      <c r="JTT3001" s="571"/>
      <c r="JTU3001" s="125"/>
      <c r="JTV3001" s="470"/>
      <c r="JTW3001" s="449"/>
      <c r="JTX3001" s="462"/>
      <c r="JTY3001" s="299"/>
      <c r="JTZ3001" s="81"/>
      <c r="JUA3001" s="160"/>
      <c r="JUB3001" s="571"/>
      <c r="JUC3001" s="125"/>
      <c r="JUD3001" s="470"/>
      <c r="JUE3001" s="449"/>
      <c r="JUF3001" s="462"/>
      <c r="JUG3001" s="299"/>
      <c r="JUH3001" s="81"/>
      <c r="JUI3001" s="160"/>
      <c r="JUJ3001" s="571"/>
      <c r="JUK3001" s="125"/>
      <c r="JUL3001" s="470"/>
      <c r="JUM3001" s="449"/>
      <c r="JUN3001" s="462"/>
      <c r="JUO3001" s="299"/>
      <c r="JUP3001" s="81"/>
      <c r="JUQ3001" s="160"/>
      <c r="JUR3001" s="571"/>
      <c r="JUS3001" s="125"/>
      <c r="JUT3001" s="470"/>
      <c r="JUU3001" s="449"/>
      <c r="JUV3001" s="462"/>
      <c r="JUW3001" s="299"/>
      <c r="JUX3001" s="81"/>
      <c r="JUY3001" s="160"/>
      <c r="JUZ3001" s="571"/>
      <c r="JVA3001" s="125"/>
      <c r="JVB3001" s="470"/>
      <c r="JVC3001" s="449"/>
      <c r="JVD3001" s="462"/>
      <c r="JVE3001" s="299"/>
      <c r="JVF3001" s="81"/>
      <c r="JVG3001" s="160"/>
      <c r="JVH3001" s="571"/>
      <c r="JVI3001" s="125"/>
      <c r="JVJ3001" s="470"/>
      <c r="JVK3001" s="449"/>
      <c r="JVL3001" s="462"/>
      <c r="JVM3001" s="299"/>
      <c r="JVN3001" s="81"/>
      <c r="JVO3001" s="160"/>
      <c r="JVP3001" s="571"/>
      <c r="JVQ3001" s="125"/>
      <c r="JVR3001" s="470"/>
      <c r="JVS3001" s="449"/>
      <c r="JVT3001" s="462"/>
      <c r="JVU3001" s="299"/>
      <c r="JVV3001" s="81"/>
      <c r="JVW3001" s="160"/>
      <c r="JVX3001" s="571"/>
      <c r="JVY3001" s="125"/>
      <c r="JVZ3001" s="470"/>
      <c r="JWA3001" s="449"/>
      <c r="JWB3001" s="462"/>
      <c r="JWC3001" s="299"/>
      <c r="JWD3001" s="81"/>
      <c r="JWE3001" s="160"/>
      <c r="JWF3001" s="571"/>
      <c r="JWG3001" s="125"/>
      <c r="JWH3001" s="470"/>
      <c r="JWI3001" s="449"/>
      <c r="JWJ3001" s="462"/>
      <c r="JWK3001" s="299"/>
      <c r="JWL3001" s="81"/>
      <c r="JWM3001" s="160"/>
      <c r="JWN3001" s="571"/>
      <c r="JWO3001" s="125"/>
      <c r="JWP3001" s="470"/>
      <c r="JWQ3001" s="449"/>
      <c r="JWR3001" s="462"/>
      <c r="JWS3001" s="299"/>
      <c r="JWT3001" s="81"/>
      <c r="JWU3001" s="160"/>
      <c r="JWV3001" s="571"/>
      <c r="JWW3001" s="125"/>
      <c r="JWX3001" s="470"/>
      <c r="JWY3001" s="449"/>
      <c r="JWZ3001" s="462"/>
      <c r="JXA3001" s="299"/>
      <c r="JXB3001" s="81"/>
      <c r="JXC3001" s="160"/>
      <c r="JXD3001" s="571"/>
      <c r="JXE3001" s="125"/>
      <c r="JXF3001" s="470"/>
      <c r="JXG3001" s="449"/>
      <c r="JXH3001" s="462"/>
      <c r="JXI3001" s="299"/>
      <c r="JXJ3001" s="81"/>
      <c r="JXK3001" s="160"/>
      <c r="JXL3001" s="571"/>
      <c r="JXM3001" s="125"/>
      <c r="JXN3001" s="470"/>
      <c r="JXO3001" s="449"/>
      <c r="JXP3001" s="462"/>
      <c r="JXQ3001" s="299"/>
      <c r="JXR3001" s="81"/>
      <c r="JXS3001" s="160"/>
      <c r="JXT3001" s="571"/>
      <c r="JXU3001" s="125"/>
      <c r="JXV3001" s="470"/>
      <c r="JXW3001" s="449"/>
      <c r="JXX3001" s="462"/>
      <c r="JXY3001" s="299"/>
      <c r="JXZ3001" s="81"/>
      <c r="JYA3001" s="160"/>
      <c r="JYB3001" s="571"/>
      <c r="JYC3001" s="125"/>
      <c r="JYD3001" s="470"/>
      <c r="JYE3001" s="449"/>
      <c r="JYF3001" s="462"/>
      <c r="JYG3001" s="299"/>
      <c r="JYH3001" s="81"/>
      <c r="JYI3001" s="160"/>
      <c r="JYJ3001" s="571"/>
      <c r="JYK3001" s="125"/>
      <c r="JYL3001" s="470"/>
      <c r="JYM3001" s="449"/>
      <c r="JYN3001" s="462"/>
      <c r="JYO3001" s="299"/>
      <c r="JYP3001" s="81"/>
      <c r="JYQ3001" s="160"/>
      <c r="JYR3001" s="571"/>
      <c r="JYS3001" s="125"/>
      <c r="JYT3001" s="470"/>
      <c r="JYU3001" s="449"/>
      <c r="JYV3001" s="462"/>
      <c r="JYW3001" s="299"/>
      <c r="JYX3001" s="81"/>
      <c r="JYY3001" s="160"/>
      <c r="JYZ3001" s="571"/>
      <c r="JZA3001" s="125"/>
      <c r="JZB3001" s="470"/>
      <c r="JZC3001" s="449"/>
      <c r="JZD3001" s="462"/>
      <c r="JZE3001" s="299"/>
      <c r="JZF3001" s="81"/>
      <c r="JZG3001" s="160"/>
      <c r="JZH3001" s="571"/>
      <c r="JZI3001" s="125"/>
      <c r="JZJ3001" s="470"/>
      <c r="JZK3001" s="449"/>
      <c r="JZL3001" s="462"/>
      <c r="JZM3001" s="299"/>
      <c r="JZN3001" s="81"/>
      <c r="JZO3001" s="160"/>
      <c r="JZP3001" s="571"/>
      <c r="JZQ3001" s="125"/>
      <c r="JZR3001" s="470"/>
      <c r="JZS3001" s="449"/>
      <c r="JZT3001" s="462"/>
      <c r="JZU3001" s="299"/>
      <c r="JZV3001" s="81"/>
      <c r="JZW3001" s="160"/>
      <c r="JZX3001" s="571"/>
      <c r="JZY3001" s="125"/>
      <c r="JZZ3001" s="470"/>
      <c r="KAA3001" s="449"/>
      <c r="KAB3001" s="462"/>
      <c r="KAC3001" s="299"/>
      <c r="KAD3001" s="81"/>
      <c r="KAE3001" s="160"/>
      <c r="KAF3001" s="571"/>
      <c r="KAG3001" s="125"/>
      <c r="KAH3001" s="470"/>
      <c r="KAI3001" s="449"/>
      <c r="KAJ3001" s="462"/>
      <c r="KAK3001" s="299"/>
      <c r="KAL3001" s="81"/>
      <c r="KAM3001" s="160"/>
      <c r="KAN3001" s="571"/>
      <c r="KAO3001" s="125"/>
      <c r="KAP3001" s="470"/>
      <c r="KAQ3001" s="449"/>
      <c r="KAR3001" s="462"/>
      <c r="KAS3001" s="299"/>
      <c r="KAT3001" s="81"/>
      <c r="KAU3001" s="160"/>
      <c r="KAV3001" s="571"/>
      <c r="KAW3001" s="125"/>
      <c r="KAX3001" s="470"/>
      <c r="KAY3001" s="449"/>
      <c r="KAZ3001" s="462"/>
      <c r="KBA3001" s="299"/>
      <c r="KBB3001" s="81"/>
      <c r="KBC3001" s="160"/>
      <c r="KBD3001" s="571"/>
      <c r="KBE3001" s="125"/>
      <c r="KBF3001" s="470"/>
      <c r="KBG3001" s="449"/>
      <c r="KBH3001" s="462"/>
      <c r="KBI3001" s="299"/>
      <c r="KBJ3001" s="81"/>
      <c r="KBK3001" s="160"/>
      <c r="KBL3001" s="571"/>
      <c r="KBM3001" s="125"/>
      <c r="KBN3001" s="470"/>
      <c r="KBO3001" s="449"/>
      <c r="KBP3001" s="462"/>
      <c r="KBQ3001" s="299"/>
      <c r="KBR3001" s="81"/>
      <c r="KBS3001" s="160"/>
      <c r="KBT3001" s="571"/>
      <c r="KBU3001" s="125"/>
      <c r="KBV3001" s="470"/>
      <c r="KBW3001" s="449"/>
      <c r="KBX3001" s="462"/>
      <c r="KBY3001" s="299"/>
      <c r="KBZ3001" s="81"/>
      <c r="KCA3001" s="160"/>
      <c r="KCB3001" s="571"/>
      <c r="KCC3001" s="125"/>
      <c r="KCD3001" s="470"/>
      <c r="KCE3001" s="449"/>
      <c r="KCF3001" s="462"/>
      <c r="KCG3001" s="299"/>
      <c r="KCH3001" s="81"/>
      <c r="KCI3001" s="160"/>
      <c r="KCJ3001" s="571"/>
      <c r="KCK3001" s="125"/>
      <c r="KCL3001" s="470"/>
      <c r="KCM3001" s="449"/>
      <c r="KCN3001" s="462"/>
      <c r="KCO3001" s="299"/>
      <c r="KCP3001" s="81"/>
      <c r="KCQ3001" s="160"/>
      <c r="KCR3001" s="571"/>
      <c r="KCS3001" s="125"/>
      <c r="KCT3001" s="470"/>
      <c r="KCU3001" s="449"/>
      <c r="KCV3001" s="462"/>
      <c r="KCW3001" s="299"/>
      <c r="KCX3001" s="81"/>
      <c r="KCY3001" s="160"/>
      <c r="KCZ3001" s="571"/>
      <c r="KDA3001" s="125"/>
      <c r="KDB3001" s="470"/>
      <c r="KDC3001" s="449"/>
      <c r="KDD3001" s="462"/>
      <c r="KDE3001" s="299"/>
      <c r="KDF3001" s="81"/>
      <c r="KDG3001" s="160"/>
      <c r="KDH3001" s="571"/>
      <c r="KDI3001" s="125"/>
      <c r="KDJ3001" s="470"/>
      <c r="KDK3001" s="449"/>
      <c r="KDL3001" s="462"/>
      <c r="KDM3001" s="299"/>
      <c r="KDN3001" s="81"/>
      <c r="KDO3001" s="160"/>
      <c r="KDP3001" s="571"/>
      <c r="KDQ3001" s="125"/>
      <c r="KDR3001" s="470"/>
      <c r="KDS3001" s="449"/>
      <c r="KDT3001" s="462"/>
      <c r="KDU3001" s="299"/>
      <c r="KDV3001" s="81"/>
      <c r="KDW3001" s="160"/>
      <c r="KDX3001" s="571"/>
      <c r="KDY3001" s="125"/>
      <c r="KDZ3001" s="470"/>
      <c r="KEA3001" s="449"/>
      <c r="KEB3001" s="462"/>
      <c r="KEC3001" s="299"/>
      <c r="KED3001" s="81"/>
      <c r="KEE3001" s="160"/>
      <c r="KEF3001" s="571"/>
      <c r="KEG3001" s="125"/>
      <c r="KEH3001" s="470"/>
      <c r="KEI3001" s="449"/>
      <c r="KEJ3001" s="462"/>
      <c r="KEK3001" s="299"/>
      <c r="KEL3001" s="81"/>
      <c r="KEM3001" s="160"/>
      <c r="KEN3001" s="571"/>
      <c r="KEO3001" s="125"/>
      <c r="KEP3001" s="470"/>
      <c r="KEQ3001" s="449"/>
      <c r="KER3001" s="462"/>
      <c r="KES3001" s="299"/>
      <c r="KET3001" s="81"/>
      <c r="KEU3001" s="160"/>
      <c r="KEV3001" s="571"/>
      <c r="KEW3001" s="125"/>
      <c r="KEX3001" s="470"/>
      <c r="KEY3001" s="449"/>
      <c r="KEZ3001" s="462"/>
      <c r="KFA3001" s="299"/>
      <c r="KFB3001" s="81"/>
      <c r="KFC3001" s="160"/>
      <c r="KFD3001" s="571"/>
      <c r="KFE3001" s="125"/>
      <c r="KFF3001" s="470"/>
      <c r="KFG3001" s="449"/>
      <c r="KFH3001" s="462"/>
      <c r="KFI3001" s="299"/>
      <c r="KFJ3001" s="81"/>
      <c r="KFK3001" s="160"/>
      <c r="KFL3001" s="571"/>
      <c r="KFM3001" s="125"/>
      <c r="KFN3001" s="470"/>
      <c r="KFO3001" s="449"/>
      <c r="KFP3001" s="462"/>
      <c r="KFQ3001" s="299"/>
      <c r="KFR3001" s="81"/>
      <c r="KFS3001" s="160"/>
      <c r="KFT3001" s="571"/>
      <c r="KFU3001" s="125"/>
      <c r="KFV3001" s="470"/>
      <c r="KFW3001" s="449"/>
      <c r="KFX3001" s="462"/>
      <c r="KFY3001" s="299"/>
      <c r="KFZ3001" s="81"/>
      <c r="KGA3001" s="160"/>
      <c r="KGB3001" s="571"/>
      <c r="KGC3001" s="125"/>
      <c r="KGD3001" s="470"/>
      <c r="KGE3001" s="449"/>
      <c r="KGF3001" s="462"/>
      <c r="KGG3001" s="299"/>
      <c r="KGH3001" s="81"/>
      <c r="KGI3001" s="160"/>
      <c r="KGJ3001" s="571"/>
      <c r="KGK3001" s="125"/>
      <c r="KGL3001" s="470"/>
      <c r="KGM3001" s="449"/>
      <c r="KGN3001" s="462"/>
      <c r="KGO3001" s="299"/>
      <c r="KGP3001" s="81"/>
      <c r="KGQ3001" s="160"/>
      <c r="KGR3001" s="571"/>
      <c r="KGS3001" s="125"/>
      <c r="KGT3001" s="470"/>
      <c r="KGU3001" s="449"/>
      <c r="KGV3001" s="462"/>
      <c r="KGW3001" s="299"/>
      <c r="KGX3001" s="81"/>
      <c r="KGY3001" s="160"/>
      <c r="KGZ3001" s="571"/>
      <c r="KHA3001" s="125"/>
      <c r="KHB3001" s="470"/>
      <c r="KHC3001" s="449"/>
      <c r="KHD3001" s="462"/>
      <c r="KHE3001" s="299"/>
      <c r="KHF3001" s="81"/>
      <c r="KHG3001" s="160"/>
      <c r="KHH3001" s="571"/>
      <c r="KHI3001" s="125"/>
      <c r="KHJ3001" s="470"/>
      <c r="KHK3001" s="449"/>
      <c r="KHL3001" s="462"/>
      <c r="KHM3001" s="299"/>
      <c r="KHN3001" s="81"/>
      <c r="KHO3001" s="160"/>
      <c r="KHP3001" s="571"/>
      <c r="KHQ3001" s="125"/>
      <c r="KHR3001" s="470"/>
      <c r="KHS3001" s="449"/>
      <c r="KHT3001" s="462"/>
      <c r="KHU3001" s="299"/>
      <c r="KHV3001" s="81"/>
      <c r="KHW3001" s="160"/>
      <c r="KHX3001" s="571"/>
      <c r="KHY3001" s="125"/>
      <c r="KHZ3001" s="470"/>
      <c r="KIA3001" s="449"/>
      <c r="KIB3001" s="462"/>
      <c r="KIC3001" s="299"/>
      <c r="KID3001" s="81"/>
      <c r="KIE3001" s="160"/>
      <c r="KIF3001" s="571"/>
      <c r="KIG3001" s="125"/>
      <c r="KIH3001" s="470"/>
      <c r="KII3001" s="449"/>
      <c r="KIJ3001" s="462"/>
      <c r="KIK3001" s="299"/>
      <c r="KIL3001" s="81"/>
      <c r="KIM3001" s="160"/>
      <c r="KIN3001" s="571"/>
      <c r="KIO3001" s="125"/>
      <c r="KIP3001" s="470"/>
      <c r="KIQ3001" s="449"/>
      <c r="KIR3001" s="462"/>
      <c r="KIS3001" s="299"/>
      <c r="KIT3001" s="81"/>
      <c r="KIU3001" s="160"/>
      <c r="KIV3001" s="571"/>
      <c r="KIW3001" s="125"/>
      <c r="KIX3001" s="470"/>
      <c r="KIY3001" s="449"/>
      <c r="KIZ3001" s="462"/>
      <c r="KJA3001" s="299"/>
      <c r="KJB3001" s="81"/>
      <c r="KJC3001" s="160"/>
      <c r="KJD3001" s="571"/>
      <c r="KJE3001" s="125"/>
      <c r="KJF3001" s="470"/>
      <c r="KJG3001" s="449"/>
      <c r="KJH3001" s="462"/>
      <c r="KJI3001" s="299"/>
      <c r="KJJ3001" s="81"/>
      <c r="KJK3001" s="160"/>
      <c r="KJL3001" s="571"/>
      <c r="KJM3001" s="125"/>
      <c r="KJN3001" s="470"/>
      <c r="KJO3001" s="449"/>
      <c r="KJP3001" s="462"/>
      <c r="KJQ3001" s="299"/>
      <c r="KJR3001" s="81"/>
      <c r="KJS3001" s="160"/>
      <c r="KJT3001" s="571"/>
      <c r="KJU3001" s="125"/>
      <c r="KJV3001" s="470"/>
      <c r="KJW3001" s="449"/>
      <c r="KJX3001" s="462"/>
      <c r="KJY3001" s="299"/>
      <c r="KJZ3001" s="81"/>
      <c r="KKA3001" s="160"/>
      <c r="KKB3001" s="571"/>
      <c r="KKC3001" s="125"/>
      <c r="KKD3001" s="470"/>
      <c r="KKE3001" s="449"/>
      <c r="KKF3001" s="462"/>
      <c r="KKG3001" s="299"/>
      <c r="KKH3001" s="81"/>
      <c r="KKI3001" s="160"/>
      <c r="KKJ3001" s="571"/>
      <c r="KKK3001" s="125"/>
      <c r="KKL3001" s="470"/>
      <c r="KKM3001" s="449"/>
      <c r="KKN3001" s="462"/>
      <c r="KKO3001" s="299"/>
      <c r="KKP3001" s="81"/>
      <c r="KKQ3001" s="160"/>
      <c r="KKR3001" s="571"/>
      <c r="KKS3001" s="125"/>
      <c r="KKT3001" s="470"/>
      <c r="KKU3001" s="449"/>
      <c r="KKV3001" s="462"/>
      <c r="KKW3001" s="299"/>
      <c r="KKX3001" s="81"/>
      <c r="KKY3001" s="160"/>
      <c r="KKZ3001" s="571"/>
      <c r="KLA3001" s="125"/>
      <c r="KLB3001" s="470"/>
      <c r="KLC3001" s="449"/>
      <c r="KLD3001" s="462"/>
      <c r="KLE3001" s="299"/>
      <c r="KLF3001" s="81"/>
      <c r="KLG3001" s="160"/>
      <c r="KLH3001" s="571"/>
      <c r="KLI3001" s="125"/>
      <c r="KLJ3001" s="470"/>
      <c r="KLK3001" s="449"/>
      <c r="KLL3001" s="462"/>
      <c r="KLM3001" s="299"/>
      <c r="KLN3001" s="81"/>
      <c r="KLO3001" s="160"/>
      <c r="KLP3001" s="571"/>
      <c r="KLQ3001" s="125"/>
      <c r="KLR3001" s="470"/>
      <c r="KLS3001" s="449"/>
      <c r="KLT3001" s="462"/>
      <c r="KLU3001" s="299"/>
      <c r="KLV3001" s="81"/>
      <c r="KLW3001" s="160"/>
      <c r="KLX3001" s="571"/>
      <c r="KLY3001" s="125"/>
      <c r="KLZ3001" s="470"/>
      <c r="KMA3001" s="449"/>
      <c r="KMB3001" s="462"/>
      <c r="KMC3001" s="299"/>
      <c r="KMD3001" s="81"/>
      <c r="KME3001" s="160"/>
      <c r="KMF3001" s="571"/>
      <c r="KMG3001" s="125"/>
      <c r="KMH3001" s="470"/>
      <c r="KMI3001" s="449"/>
      <c r="KMJ3001" s="462"/>
      <c r="KMK3001" s="299"/>
      <c r="KML3001" s="81"/>
      <c r="KMM3001" s="160"/>
      <c r="KMN3001" s="571"/>
      <c r="KMO3001" s="125"/>
      <c r="KMP3001" s="470"/>
      <c r="KMQ3001" s="449"/>
      <c r="KMR3001" s="462"/>
      <c r="KMS3001" s="299"/>
      <c r="KMT3001" s="81"/>
      <c r="KMU3001" s="160"/>
      <c r="KMV3001" s="571"/>
      <c r="KMW3001" s="125"/>
      <c r="KMX3001" s="470"/>
      <c r="KMY3001" s="449"/>
      <c r="KMZ3001" s="462"/>
      <c r="KNA3001" s="299"/>
      <c r="KNB3001" s="81"/>
      <c r="KNC3001" s="160"/>
      <c r="KND3001" s="571"/>
      <c r="KNE3001" s="125"/>
      <c r="KNF3001" s="470"/>
      <c r="KNG3001" s="449"/>
      <c r="KNH3001" s="462"/>
      <c r="KNI3001" s="299"/>
      <c r="KNJ3001" s="81"/>
      <c r="KNK3001" s="160"/>
      <c r="KNL3001" s="571"/>
      <c r="KNM3001" s="125"/>
      <c r="KNN3001" s="470"/>
      <c r="KNO3001" s="449"/>
      <c r="KNP3001" s="462"/>
      <c r="KNQ3001" s="299"/>
      <c r="KNR3001" s="81"/>
      <c r="KNS3001" s="160"/>
      <c r="KNT3001" s="571"/>
      <c r="KNU3001" s="125"/>
      <c r="KNV3001" s="470"/>
      <c r="KNW3001" s="449"/>
      <c r="KNX3001" s="462"/>
      <c r="KNY3001" s="299"/>
      <c r="KNZ3001" s="81"/>
      <c r="KOA3001" s="160"/>
      <c r="KOB3001" s="571"/>
      <c r="KOC3001" s="125"/>
      <c r="KOD3001" s="470"/>
      <c r="KOE3001" s="449"/>
      <c r="KOF3001" s="462"/>
      <c r="KOG3001" s="299"/>
      <c r="KOH3001" s="81"/>
      <c r="KOI3001" s="160"/>
      <c r="KOJ3001" s="571"/>
      <c r="KOK3001" s="125"/>
      <c r="KOL3001" s="470"/>
      <c r="KOM3001" s="449"/>
      <c r="KON3001" s="462"/>
      <c r="KOO3001" s="299"/>
      <c r="KOP3001" s="81"/>
      <c r="KOQ3001" s="160"/>
      <c r="KOR3001" s="571"/>
      <c r="KOS3001" s="125"/>
      <c r="KOT3001" s="470"/>
      <c r="KOU3001" s="449"/>
      <c r="KOV3001" s="462"/>
      <c r="KOW3001" s="299"/>
      <c r="KOX3001" s="81"/>
      <c r="KOY3001" s="160"/>
      <c r="KOZ3001" s="571"/>
      <c r="KPA3001" s="125"/>
      <c r="KPB3001" s="470"/>
      <c r="KPC3001" s="449"/>
      <c r="KPD3001" s="462"/>
      <c r="KPE3001" s="299"/>
      <c r="KPF3001" s="81"/>
      <c r="KPG3001" s="160"/>
      <c r="KPH3001" s="571"/>
      <c r="KPI3001" s="125"/>
      <c r="KPJ3001" s="470"/>
      <c r="KPK3001" s="449"/>
      <c r="KPL3001" s="462"/>
      <c r="KPM3001" s="299"/>
      <c r="KPN3001" s="81"/>
      <c r="KPO3001" s="160"/>
      <c r="KPP3001" s="571"/>
      <c r="KPQ3001" s="125"/>
      <c r="KPR3001" s="470"/>
      <c r="KPS3001" s="449"/>
      <c r="KPT3001" s="462"/>
      <c r="KPU3001" s="299"/>
      <c r="KPV3001" s="81"/>
      <c r="KPW3001" s="160"/>
      <c r="KPX3001" s="571"/>
      <c r="KPY3001" s="125"/>
      <c r="KPZ3001" s="470"/>
      <c r="KQA3001" s="449"/>
      <c r="KQB3001" s="462"/>
      <c r="KQC3001" s="299"/>
      <c r="KQD3001" s="81"/>
      <c r="KQE3001" s="160"/>
      <c r="KQF3001" s="571"/>
      <c r="KQG3001" s="125"/>
      <c r="KQH3001" s="470"/>
      <c r="KQI3001" s="449"/>
      <c r="KQJ3001" s="462"/>
      <c r="KQK3001" s="299"/>
      <c r="KQL3001" s="81"/>
      <c r="KQM3001" s="160"/>
      <c r="KQN3001" s="571"/>
      <c r="KQO3001" s="125"/>
      <c r="KQP3001" s="470"/>
      <c r="KQQ3001" s="449"/>
      <c r="KQR3001" s="462"/>
      <c r="KQS3001" s="299"/>
      <c r="KQT3001" s="81"/>
      <c r="KQU3001" s="160"/>
      <c r="KQV3001" s="571"/>
      <c r="KQW3001" s="125"/>
      <c r="KQX3001" s="470"/>
      <c r="KQY3001" s="449"/>
      <c r="KQZ3001" s="462"/>
      <c r="KRA3001" s="299"/>
      <c r="KRB3001" s="81"/>
      <c r="KRC3001" s="160"/>
      <c r="KRD3001" s="571"/>
      <c r="KRE3001" s="125"/>
      <c r="KRF3001" s="470"/>
      <c r="KRG3001" s="449"/>
      <c r="KRH3001" s="462"/>
      <c r="KRI3001" s="299"/>
      <c r="KRJ3001" s="81"/>
      <c r="KRK3001" s="160"/>
      <c r="KRL3001" s="571"/>
      <c r="KRM3001" s="125"/>
      <c r="KRN3001" s="470"/>
      <c r="KRO3001" s="449"/>
      <c r="KRP3001" s="462"/>
      <c r="KRQ3001" s="299"/>
      <c r="KRR3001" s="81"/>
      <c r="KRS3001" s="160"/>
      <c r="KRT3001" s="571"/>
      <c r="KRU3001" s="125"/>
      <c r="KRV3001" s="470"/>
      <c r="KRW3001" s="449"/>
      <c r="KRX3001" s="462"/>
      <c r="KRY3001" s="299"/>
      <c r="KRZ3001" s="81"/>
      <c r="KSA3001" s="160"/>
      <c r="KSB3001" s="571"/>
      <c r="KSC3001" s="125"/>
      <c r="KSD3001" s="470"/>
      <c r="KSE3001" s="449"/>
      <c r="KSF3001" s="462"/>
      <c r="KSG3001" s="299"/>
      <c r="KSH3001" s="81"/>
      <c r="KSI3001" s="160"/>
      <c r="KSJ3001" s="571"/>
      <c r="KSK3001" s="125"/>
      <c r="KSL3001" s="470"/>
      <c r="KSM3001" s="449"/>
      <c r="KSN3001" s="462"/>
      <c r="KSO3001" s="299"/>
      <c r="KSP3001" s="81"/>
      <c r="KSQ3001" s="160"/>
      <c r="KSR3001" s="571"/>
      <c r="KSS3001" s="125"/>
      <c r="KST3001" s="470"/>
      <c r="KSU3001" s="449"/>
      <c r="KSV3001" s="462"/>
      <c r="KSW3001" s="299"/>
      <c r="KSX3001" s="81"/>
      <c r="KSY3001" s="160"/>
      <c r="KSZ3001" s="571"/>
      <c r="KTA3001" s="125"/>
      <c r="KTB3001" s="470"/>
      <c r="KTC3001" s="449"/>
      <c r="KTD3001" s="462"/>
      <c r="KTE3001" s="299"/>
      <c r="KTF3001" s="81"/>
      <c r="KTG3001" s="160"/>
      <c r="KTH3001" s="571"/>
      <c r="KTI3001" s="125"/>
      <c r="KTJ3001" s="470"/>
      <c r="KTK3001" s="449"/>
      <c r="KTL3001" s="462"/>
      <c r="KTM3001" s="299"/>
      <c r="KTN3001" s="81"/>
      <c r="KTO3001" s="160"/>
      <c r="KTP3001" s="571"/>
      <c r="KTQ3001" s="125"/>
      <c r="KTR3001" s="470"/>
      <c r="KTS3001" s="449"/>
      <c r="KTT3001" s="462"/>
      <c r="KTU3001" s="299"/>
      <c r="KTV3001" s="81"/>
      <c r="KTW3001" s="160"/>
      <c r="KTX3001" s="571"/>
      <c r="KTY3001" s="125"/>
      <c r="KTZ3001" s="470"/>
      <c r="KUA3001" s="449"/>
      <c r="KUB3001" s="462"/>
      <c r="KUC3001" s="299"/>
      <c r="KUD3001" s="81"/>
      <c r="KUE3001" s="160"/>
      <c r="KUF3001" s="571"/>
      <c r="KUG3001" s="125"/>
      <c r="KUH3001" s="470"/>
      <c r="KUI3001" s="449"/>
      <c r="KUJ3001" s="462"/>
      <c r="KUK3001" s="299"/>
      <c r="KUL3001" s="81"/>
      <c r="KUM3001" s="160"/>
      <c r="KUN3001" s="571"/>
      <c r="KUO3001" s="125"/>
      <c r="KUP3001" s="470"/>
      <c r="KUQ3001" s="449"/>
      <c r="KUR3001" s="462"/>
      <c r="KUS3001" s="299"/>
      <c r="KUT3001" s="81"/>
      <c r="KUU3001" s="160"/>
      <c r="KUV3001" s="571"/>
      <c r="KUW3001" s="125"/>
      <c r="KUX3001" s="470"/>
      <c r="KUY3001" s="449"/>
      <c r="KUZ3001" s="462"/>
      <c r="KVA3001" s="299"/>
      <c r="KVB3001" s="81"/>
      <c r="KVC3001" s="160"/>
      <c r="KVD3001" s="571"/>
      <c r="KVE3001" s="125"/>
      <c r="KVF3001" s="470"/>
      <c r="KVG3001" s="449"/>
      <c r="KVH3001" s="462"/>
      <c r="KVI3001" s="299"/>
      <c r="KVJ3001" s="81"/>
      <c r="KVK3001" s="160"/>
      <c r="KVL3001" s="571"/>
      <c r="KVM3001" s="125"/>
      <c r="KVN3001" s="470"/>
      <c r="KVO3001" s="449"/>
      <c r="KVP3001" s="462"/>
      <c r="KVQ3001" s="299"/>
      <c r="KVR3001" s="81"/>
      <c r="KVS3001" s="160"/>
      <c r="KVT3001" s="571"/>
      <c r="KVU3001" s="125"/>
      <c r="KVV3001" s="470"/>
      <c r="KVW3001" s="449"/>
      <c r="KVX3001" s="462"/>
      <c r="KVY3001" s="299"/>
      <c r="KVZ3001" s="81"/>
      <c r="KWA3001" s="160"/>
      <c r="KWB3001" s="571"/>
      <c r="KWC3001" s="125"/>
      <c r="KWD3001" s="470"/>
      <c r="KWE3001" s="449"/>
      <c r="KWF3001" s="462"/>
      <c r="KWG3001" s="299"/>
      <c r="KWH3001" s="81"/>
      <c r="KWI3001" s="160"/>
      <c r="KWJ3001" s="571"/>
      <c r="KWK3001" s="125"/>
      <c r="KWL3001" s="470"/>
      <c r="KWM3001" s="449"/>
      <c r="KWN3001" s="462"/>
      <c r="KWO3001" s="299"/>
      <c r="KWP3001" s="81"/>
      <c r="KWQ3001" s="160"/>
      <c r="KWR3001" s="571"/>
      <c r="KWS3001" s="125"/>
      <c r="KWT3001" s="470"/>
      <c r="KWU3001" s="449"/>
      <c r="KWV3001" s="462"/>
      <c r="KWW3001" s="299"/>
      <c r="KWX3001" s="81"/>
      <c r="KWY3001" s="160"/>
      <c r="KWZ3001" s="571"/>
      <c r="KXA3001" s="125"/>
      <c r="KXB3001" s="470"/>
      <c r="KXC3001" s="449"/>
      <c r="KXD3001" s="462"/>
      <c r="KXE3001" s="299"/>
      <c r="KXF3001" s="81"/>
      <c r="KXG3001" s="160"/>
      <c r="KXH3001" s="571"/>
      <c r="KXI3001" s="125"/>
      <c r="KXJ3001" s="470"/>
      <c r="KXK3001" s="449"/>
      <c r="KXL3001" s="462"/>
      <c r="KXM3001" s="299"/>
      <c r="KXN3001" s="81"/>
      <c r="KXO3001" s="160"/>
      <c r="KXP3001" s="571"/>
      <c r="KXQ3001" s="125"/>
      <c r="KXR3001" s="470"/>
      <c r="KXS3001" s="449"/>
      <c r="KXT3001" s="462"/>
      <c r="KXU3001" s="299"/>
      <c r="KXV3001" s="81"/>
      <c r="KXW3001" s="160"/>
      <c r="KXX3001" s="571"/>
      <c r="KXY3001" s="125"/>
      <c r="KXZ3001" s="470"/>
      <c r="KYA3001" s="449"/>
      <c r="KYB3001" s="462"/>
      <c r="KYC3001" s="299"/>
      <c r="KYD3001" s="81"/>
      <c r="KYE3001" s="160"/>
      <c r="KYF3001" s="571"/>
      <c r="KYG3001" s="125"/>
      <c r="KYH3001" s="470"/>
      <c r="KYI3001" s="449"/>
      <c r="KYJ3001" s="462"/>
      <c r="KYK3001" s="299"/>
      <c r="KYL3001" s="81"/>
      <c r="KYM3001" s="160"/>
      <c r="KYN3001" s="571"/>
      <c r="KYO3001" s="125"/>
      <c r="KYP3001" s="470"/>
      <c r="KYQ3001" s="449"/>
      <c r="KYR3001" s="462"/>
      <c r="KYS3001" s="299"/>
      <c r="KYT3001" s="81"/>
      <c r="KYU3001" s="160"/>
      <c r="KYV3001" s="571"/>
      <c r="KYW3001" s="125"/>
      <c r="KYX3001" s="470"/>
      <c r="KYY3001" s="449"/>
      <c r="KYZ3001" s="462"/>
      <c r="KZA3001" s="299"/>
      <c r="KZB3001" s="81"/>
      <c r="KZC3001" s="160"/>
      <c r="KZD3001" s="571"/>
      <c r="KZE3001" s="125"/>
      <c r="KZF3001" s="470"/>
      <c r="KZG3001" s="449"/>
      <c r="KZH3001" s="462"/>
      <c r="KZI3001" s="299"/>
      <c r="KZJ3001" s="81"/>
      <c r="KZK3001" s="160"/>
      <c r="KZL3001" s="571"/>
      <c r="KZM3001" s="125"/>
      <c r="KZN3001" s="470"/>
      <c r="KZO3001" s="449"/>
      <c r="KZP3001" s="462"/>
      <c r="KZQ3001" s="299"/>
      <c r="KZR3001" s="81"/>
      <c r="KZS3001" s="160"/>
      <c r="KZT3001" s="571"/>
      <c r="KZU3001" s="125"/>
      <c r="KZV3001" s="470"/>
      <c r="KZW3001" s="449"/>
      <c r="KZX3001" s="462"/>
      <c r="KZY3001" s="299"/>
      <c r="KZZ3001" s="81"/>
      <c r="LAA3001" s="160"/>
      <c r="LAB3001" s="571"/>
      <c r="LAC3001" s="125"/>
      <c r="LAD3001" s="470"/>
      <c r="LAE3001" s="449"/>
      <c r="LAF3001" s="462"/>
      <c r="LAG3001" s="299"/>
      <c r="LAH3001" s="81"/>
      <c r="LAI3001" s="160"/>
      <c r="LAJ3001" s="571"/>
      <c r="LAK3001" s="125"/>
      <c r="LAL3001" s="470"/>
      <c r="LAM3001" s="449"/>
      <c r="LAN3001" s="462"/>
      <c r="LAO3001" s="299"/>
      <c r="LAP3001" s="81"/>
      <c r="LAQ3001" s="160"/>
      <c r="LAR3001" s="571"/>
      <c r="LAS3001" s="125"/>
      <c r="LAT3001" s="470"/>
      <c r="LAU3001" s="449"/>
      <c r="LAV3001" s="462"/>
      <c r="LAW3001" s="299"/>
      <c r="LAX3001" s="81"/>
      <c r="LAY3001" s="160"/>
      <c r="LAZ3001" s="571"/>
      <c r="LBA3001" s="125"/>
      <c r="LBB3001" s="470"/>
      <c r="LBC3001" s="449"/>
      <c r="LBD3001" s="462"/>
      <c r="LBE3001" s="299"/>
      <c r="LBF3001" s="81"/>
      <c r="LBG3001" s="160"/>
      <c r="LBH3001" s="571"/>
      <c r="LBI3001" s="125"/>
      <c r="LBJ3001" s="470"/>
      <c r="LBK3001" s="449"/>
      <c r="LBL3001" s="462"/>
      <c r="LBM3001" s="299"/>
      <c r="LBN3001" s="81"/>
      <c r="LBO3001" s="160"/>
      <c r="LBP3001" s="571"/>
      <c r="LBQ3001" s="125"/>
      <c r="LBR3001" s="470"/>
      <c r="LBS3001" s="449"/>
      <c r="LBT3001" s="462"/>
      <c r="LBU3001" s="299"/>
      <c r="LBV3001" s="81"/>
      <c r="LBW3001" s="160"/>
      <c r="LBX3001" s="571"/>
      <c r="LBY3001" s="125"/>
      <c r="LBZ3001" s="470"/>
      <c r="LCA3001" s="449"/>
      <c r="LCB3001" s="462"/>
      <c r="LCC3001" s="299"/>
      <c r="LCD3001" s="81"/>
      <c r="LCE3001" s="160"/>
      <c r="LCF3001" s="571"/>
      <c r="LCG3001" s="125"/>
      <c r="LCH3001" s="470"/>
      <c r="LCI3001" s="449"/>
      <c r="LCJ3001" s="462"/>
      <c r="LCK3001" s="299"/>
      <c r="LCL3001" s="81"/>
      <c r="LCM3001" s="160"/>
      <c r="LCN3001" s="571"/>
      <c r="LCO3001" s="125"/>
      <c r="LCP3001" s="470"/>
      <c r="LCQ3001" s="449"/>
      <c r="LCR3001" s="462"/>
      <c r="LCS3001" s="299"/>
      <c r="LCT3001" s="81"/>
      <c r="LCU3001" s="160"/>
      <c r="LCV3001" s="571"/>
      <c r="LCW3001" s="125"/>
      <c r="LCX3001" s="470"/>
      <c r="LCY3001" s="449"/>
      <c r="LCZ3001" s="462"/>
      <c r="LDA3001" s="299"/>
      <c r="LDB3001" s="81"/>
      <c r="LDC3001" s="160"/>
      <c r="LDD3001" s="571"/>
      <c r="LDE3001" s="125"/>
      <c r="LDF3001" s="470"/>
      <c r="LDG3001" s="449"/>
      <c r="LDH3001" s="462"/>
      <c r="LDI3001" s="299"/>
      <c r="LDJ3001" s="81"/>
      <c r="LDK3001" s="160"/>
      <c r="LDL3001" s="571"/>
      <c r="LDM3001" s="125"/>
      <c r="LDN3001" s="470"/>
      <c r="LDO3001" s="449"/>
      <c r="LDP3001" s="462"/>
      <c r="LDQ3001" s="299"/>
      <c r="LDR3001" s="81"/>
      <c r="LDS3001" s="160"/>
      <c r="LDT3001" s="571"/>
      <c r="LDU3001" s="125"/>
      <c r="LDV3001" s="470"/>
      <c r="LDW3001" s="449"/>
      <c r="LDX3001" s="462"/>
      <c r="LDY3001" s="299"/>
      <c r="LDZ3001" s="81"/>
      <c r="LEA3001" s="160"/>
      <c r="LEB3001" s="571"/>
      <c r="LEC3001" s="125"/>
      <c r="LED3001" s="470"/>
      <c r="LEE3001" s="449"/>
      <c r="LEF3001" s="462"/>
      <c r="LEG3001" s="299"/>
      <c r="LEH3001" s="81"/>
      <c r="LEI3001" s="160"/>
      <c r="LEJ3001" s="571"/>
      <c r="LEK3001" s="125"/>
      <c r="LEL3001" s="470"/>
      <c r="LEM3001" s="449"/>
      <c r="LEN3001" s="462"/>
      <c r="LEO3001" s="299"/>
      <c r="LEP3001" s="81"/>
      <c r="LEQ3001" s="160"/>
      <c r="LER3001" s="571"/>
      <c r="LES3001" s="125"/>
      <c r="LET3001" s="470"/>
      <c r="LEU3001" s="449"/>
      <c r="LEV3001" s="462"/>
      <c r="LEW3001" s="299"/>
      <c r="LEX3001" s="81"/>
      <c r="LEY3001" s="160"/>
      <c r="LEZ3001" s="571"/>
      <c r="LFA3001" s="125"/>
      <c r="LFB3001" s="470"/>
      <c r="LFC3001" s="449"/>
      <c r="LFD3001" s="462"/>
      <c r="LFE3001" s="299"/>
      <c r="LFF3001" s="81"/>
      <c r="LFG3001" s="160"/>
      <c r="LFH3001" s="571"/>
      <c r="LFI3001" s="125"/>
      <c r="LFJ3001" s="470"/>
      <c r="LFK3001" s="449"/>
      <c r="LFL3001" s="462"/>
      <c r="LFM3001" s="299"/>
      <c r="LFN3001" s="81"/>
      <c r="LFO3001" s="160"/>
      <c r="LFP3001" s="571"/>
      <c r="LFQ3001" s="125"/>
      <c r="LFR3001" s="470"/>
      <c r="LFS3001" s="449"/>
      <c r="LFT3001" s="462"/>
      <c r="LFU3001" s="299"/>
      <c r="LFV3001" s="81"/>
      <c r="LFW3001" s="160"/>
      <c r="LFX3001" s="571"/>
      <c r="LFY3001" s="125"/>
      <c r="LFZ3001" s="470"/>
      <c r="LGA3001" s="449"/>
      <c r="LGB3001" s="462"/>
      <c r="LGC3001" s="299"/>
      <c r="LGD3001" s="81"/>
      <c r="LGE3001" s="160"/>
      <c r="LGF3001" s="571"/>
      <c r="LGG3001" s="125"/>
      <c r="LGH3001" s="470"/>
      <c r="LGI3001" s="449"/>
      <c r="LGJ3001" s="462"/>
      <c r="LGK3001" s="299"/>
      <c r="LGL3001" s="81"/>
      <c r="LGM3001" s="160"/>
      <c r="LGN3001" s="571"/>
      <c r="LGO3001" s="125"/>
      <c r="LGP3001" s="470"/>
      <c r="LGQ3001" s="449"/>
      <c r="LGR3001" s="462"/>
      <c r="LGS3001" s="299"/>
      <c r="LGT3001" s="81"/>
      <c r="LGU3001" s="160"/>
      <c r="LGV3001" s="571"/>
      <c r="LGW3001" s="125"/>
      <c r="LGX3001" s="470"/>
      <c r="LGY3001" s="449"/>
      <c r="LGZ3001" s="462"/>
      <c r="LHA3001" s="299"/>
      <c r="LHB3001" s="81"/>
      <c r="LHC3001" s="160"/>
      <c r="LHD3001" s="571"/>
      <c r="LHE3001" s="125"/>
      <c r="LHF3001" s="470"/>
      <c r="LHG3001" s="449"/>
      <c r="LHH3001" s="462"/>
      <c r="LHI3001" s="299"/>
      <c r="LHJ3001" s="81"/>
      <c r="LHK3001" s="160"/>
      <c r="LHL3001" s="571"/>
      <c r="LHM3001" s="125"/>
      <c r="LHN3001" s="470"/>
      <c r="LHO3001" s="449"/>
      <c r="LHP3001" s="462"/>
      <c r="LHQ3001" s="299"/>
      <c r="LHR3001" s="81"/>
      <c r="LHS3001" s="160"/>
      <c r="LHT3001" s="571"/>
      <c r="LHU3001" s="125"/>
      <c r="LHV3001" s="470"/>
      <c r="LHW3001" s="449"/>
      <c r="LHX3001" s="462"/>
      <c r="LHY3001" s="299"/>
      <c r="LHZ3001" s="81"/>
      <c r="LIA3001" s="160"/>
      <c r="LIB3001" s="571"/>
      <c r="LIC3001" s="125"/>
      <c r="LID3001" s="470"/>
      <c r="LIE3001" s="449"/>
      <c r="LIF3001" s="462"/>
      <c r="LIG3001" s="299"/>
      <c r="LIH3001" s="81"/>
      <c r="LII3001" s="160"/>
      <c r="LIJ3001" s="571"/>
      <c r="LIK3001" s="125"/>
      <c r="LIL3001" s="470"/>
      <c r="LIM3001" s="449"/>
      <c r="LIN3001" s="462"/>
      <c r="LIO3001" s="299"/>
      <c r="LIP3001" s="81"/>
      <c r="LIQ3001" s="160"/>
      <c r="LIR3001" s="571"/>
      <c r="LIS3001" s="125"/>
      <c r="LIT3001" s="470"/>
      <c r="LIU3001" s="449"/>
      <c r="LIV3001" s="462"/>
      <c r="LIW3001" s="299"/>
      <c r="LIX3001" s="81"/>
      <c r="LIY3001" s="160"/>
      <c r="LIZ3001" s="571"/>
      <c r="LJA3001" s="125"/>
      <c r="LJB3001" s="470"/>
      <c r="LJC3001" s="449"/>
      <c r="LJD3001" s="462"/>
      <c r="LJE3001" s="299"/>
      <c r="LJF3001" s="81"/>
      <c r="LJG3001" s="160"/>
      <c r="LJH3001" s="571"/>
      <c r="LJI3001" s="125"/>
      <c r="LJJ3001" s="470"/>
      <c r="LJK3001" s="449"/>
      <c r="LJL3001" s="462"/>
      <c r="LJM3001" s="299"/>
      <c r="LJN3001" s="81"/>
      <c r="LJO3001" s="160"/>
      <c r="LJP3001" s="571"/>
      <c r="LJQ3001" s="125"/>
      <c r="LJR3001" s="470"/>
      <c r="LJS3001" s="449"/>
      <c r="LJT3001" s="462"/>
      <c r="LJU3001" s="299"/>
      <c r="LJV3001" s="81"/>
      <c r="LJW3001" s="160"/>
      <c r="LJX3001" s="571"/>
      <c r="LJY3001" s="125"/>
      <c r="LJZ3001" s="470"/>
      <c r="LKA3001" s="449"/>
      <c r="LKB3001" s="462"/>
      <c r="LKC3001" s="299"/>
      <c r="LKD3001" s="81"/>
      <c r="LKE3001" s="160"/>
      <c r="LKF3001" s="571"/>
      <c r="LKG3001" s="125"/>
      <c r="LKH3001" s="470"/>
      <c r="LKI3001" s="449"/>
      <c r="LKJ3001" s="462"/>
      <c r="LKK3001" s="299"/>
      <c r="LKL3001" s="81"/>
      <c r="LKM3001" s="160"/>
      <c r="LKN3001" s="571"/>
      <c r="LKO3001" s="125"/>
      <c r="LKP3001" s="470"/>
      <c r="LKQ3001" s="449"/>
      <c r="LKR3001" s="462"/>
      <c r="LKS3001" s="299"/>
      <c r="LKT3001" s="81"/>
      <c r="LKU3001" s="160"/>
      <c r="LKV3001" s="571"/>
      <c r="LKW3001" s="125"/>
      <c r="LKX3001" s="470"/>
      <c r="LKY3001" s="449"/>
      <c r="LKZ3001" s="462"/>
      <c r="LLA3001" s="299"/>
      <c r="LLB3001" s="81"/>
      <c r="LLC3001" s="160"/>
      <c r="LLD3001" s="571"/>
      <c r="LLE3001" s="125"/>
      <c r="LLF3001" s="470"/>
      <c r="LLG3001" s="449"/>
      <c r="LLH3001" s="462"/>
      <c r="LLI3001" s="299"/>
      <c r="LLJ3001" s="81"/>
      <c r="LLK3001" s="160"/>
      <c r="LLL3001" s="571"/>
      <c r="LLM3001" s="125"/>
      <c r="LLN3001" s="470"/>
      <c r="LLO3001" s="449"/>
      <c r="LLP3001" s="462"/>
      <c r="LLQ3001" s="299"/>
      <c r="LLR3001" s="81"/>
      <c r="LLS3001" s="160"/>
      <c r="LLT3001" s="571"/>
      <c r="LLU3001" s="125"/>
      <c r="LLV3001" s="470"/>
      <c r="LLW3001" s="449"/>
      <c r="LLX3001" s="462"/>
      <c r="LLY3001" s="299"/>
      <c r="LLZ3001" s="81"/>
      <c r="LMA3001" s="160"/>
      <c r="LMB3001" s="571"/>
      <c r="LMC3001" s="125"/>
      <c r="LMD3001" s="470"/>
      <c r="LME3001" s="449"/>
      <c r="LMF3001" s="462"/>
      <c r="LMG3001" s="299"/>
      <c r="LMH3001" s="81"/>
      <c r="LMI3001" s="160"/>
      <c r="LMJ3001" s="571"/>
      <c r="LMK3001" s="125"/>
      <c r="LML3001" s="470"/>
      <c r="LMM3001" s="449"/>
      <c r="LMN3001" s="462"/>
      <c r="LMO3001" s="299"/>
      <c r="LMP3001" s="81"/>
      <c r="LMQ3001" s="160"/>
      <c r="LMR3001" s="571"/>
      <c r="LMS3001" s="125"/>
      <c r="LMT3001" s="470"/>
      <c r="LMU3001" s="449"/>
      <c r="LMV3001" s="462"/>
      <c r="LMW3001" s="299"/>
      <c r="LMX3001" s="81"/>
      <c r="LMY3001" s="160"/>
      <c r="LMZ3001" s="571"/>
      <c r="LNA3001" s="125"/>
      <c r="LNB3001" s="470"/>
      <c r="LNC3001" s="449"/>
      <c r="LND3001" s="462"/>
      <c r="LNE3001" s="299"/>
      <c r="LNF3001" s="81"/>
      <c r="LNG3001" s="160"/>
      <c r="LNH3001" s="571"/>
      <c r="LNI3001" s="125"/>
      <c r="LNJ3001" s="470"/>
      <c r="LNK3001" s="449"/>
      <c r="LNL3001" s="462"/>
      <c r="LNM3001" s="299"/>
      <c r="LNN3001" s="81"/>
      <c r="LNO3001" s="160"/>
      <c r="LNP3001" s="571"/>
      <c r="LNQ3001" s="125"/>
      <c r="LNR3001" s="470"/>
      <c r="LNS3001" s="449"/>
      <c r="LNT3001" s="462"/>
      <c r="LNU3001" s="299"/>
      <c r="LNV3001" s="81"/>
      <c r="LNW3001" s="160"/>
      <c r="LNX3001" s="571"/>
      <c r="LNY3001" s="125"/>
      <c r="LNZ3001" s="470"/>
      <c r="LOA3001" s="449"/>
      <c r="LOB3001" s="462"/>
      <c r="LOC3001" s="299"/>
      <c r="LOD3001" s="81"/>
      <c r="LOE3001" s="160"/>
      <c r="LOF3001" s="571"/>
      <c r="LOG3001" s="125"/>
      <c r="LOH3001" s="470"/>
      <c r="LOI3001" s="449"/>
      <c r="LOJ3001" s="462"/>
      <c r="LOK3001" s="299"/>
      <c r="LOL3001" s="81"/>
      <c r="LOM3001" s="160"/>
      <c r="LON3001" s="571"/>
      <c r="LOO3001" s="125"/>
      <c r="LOP3001" s="470"/>
      <c r="LOQ3001" s="449"/>
      <c r="LOR3001" s="462"/>
      <c r="LOS3001" s="299"/>
      <c r="LOT3001" s="81"/>
      <c r="LOU3001" s="160"/>
      <c r="LOV3001" s="571"/>
      <c r="LOW3001" s="125"/>
      <c r="LOX3001" s="470"/>
      <c r="LOY3001" s="449"/>
      <c r="LOZ3001" s="462"/>
      <c r="LPA3001" s="299"/>
      <c r="LPB3001" s="81"/>
      <c r="LPC3001" s="160"/>
      <c r="LPD3001" s="571"/>
      <c r="LPE3001" s="125"/>
      <c r="LPF3001" s="470"/>
      <c r="LPG3001" s="449"/>
      <c r="LPH3001" s="462"/>
      <c r="LPI3001" s="299"/>
      <c r="LPJ3001" s="81"/>
      <c r="LPK3001" s="160"/>
      <c r="LPL3001" s="571"/>
      <c r="LPM3001" s="125"/>
      <c r="LPN3001" s="470"/>
      <c r="LPO3001" s="449"/>
      <c r="LPP3001" s="462"/>
      <c r="LPQ3001" s="299"/>
      <c r="LPR3001" s="81"/>
      <c r="LPS3001" s="160"/>
      <c r="LPT3001" s="571"/>
      <c r="LPU3001" s="125"/>
      <c r="LPV3001" s="470"/>
      <c r="LPW3001" s="449"/>
      <c r="LPX3001" s="462"/>
      <c r="LPY3001" s="299"/>
      <c r="LPZ3001" s="81"/>
      <c r="LQA3001" s="160"/>
      <c r="LQB3001" s="571"/>
      <c r="LQC3001" s="125"/>
      <c r="LQD3001" s="470"/>
      <c r="LQE3001" s="449"/>
      <c r="LQF3001" s="462"/>
      <c r="LQG3001" s="299"/>
      <c r="LQH3001" s="81"/>
      <c r="LQI3001" s="160"/>
      <c r="LQJ3001" s="571"/>
      <c r="LQK3001" s="125"/>
      <c r="LQL3001" s="470"/>
      <c r="LQM3001" s="449"/>
      <c r="LQN3001" s="462"/>
      <c r="LQO3001" s="299"/>
      <c r="LQP3001" s="81"/>
      <c r="LQQ3001" s="160"/>
      <c r="LQR3001" s="571"/>
      <c r="LQS3001" s="125"/>
      <c r="LQT3001" s="470"/>
      <c r="LQU3001" s="449"/>
      <c r="LQV3001" s="462"/>
      <c r="LQW3001" s="299"/>
      <c r="LQX3001" s="81"/>
      <c r="LQY3001" s="160"/>
      <c r="LQZ3001" s="571"/>
      <c r="LRA3001" s="125"/>
      <c r="LRB3001" s="470"/>
      <c r="LRC3001" s="449"/>
      <c r="LRD3001" s="462"/>
      <c r="LRE3001" s="299"/>
      <c r="LRF3001" s="81"/>
      <c r="LRG3001" s="160"/>
      <c r="LRH3001" s="571"/>
      <c r="LRI3001" s="125"/>
      <c r="LRJ3001" s="470"/>
      <c r="LRK3001" s="449"/>
      <c r="LRL3001" s="462"/>
      <c r="LRM3001" s="299"/>
      <c r="LRN3001" s="81"/>
      <c r="LRO3001" s="160"/>
      <c r="LRP3001" s="571"/>
      <c r="LRQ3001" s="125"/>
      <c r="LRR3001" s="470"/>
      <c r="LRS3001" s="449"/>
      <c r="LRT3001" s="462"/>
      <c r="LRU3001" s="299"/>
      <c r="LRV3001" s="81"/>
      <c r="LRW3001" s="160"/>
      <c r="LRX3001" s="571"/>
      <c r="LRY3001" s="125"/>
      <c r="LRZ3001" s="470"/>
      <c r="LSA3001" s="449"/>
      <c r="LSB3001" s="462"/>
      <c r="LSC3001" s="299"/>
      <c r="LSD3001" s="81"/>
      <c r="LSE3001" s="160"/>
      <c r="LSF3001" s="571"/>
      <c r="LSG3001" s="125"/>
      <c r="LSH3001" s="470"/>
      <c r="LSI3001" s="449"/>
      <c r="LSJ3001" s="462"/>
      <c r="LSK3001" s="299"/>
      <c r="LSL3001" s="81"/>
      <c r="LSM3001" s="160"/>
      <c r="LSN3001" s="571"/>
      <c r="LSO3001" s="125"/>
      <c r="LSP3001" s="470"/>
      <c r="LSQ3001" s="449"/>
      <c r="LSR3001" s="462"/>
      <c r="LSS3001" s="299"/>
      <c r="LST3001" s="81"/>
      <c r="LSU3001" s="160"/>
      <c r="LSV3001" s="571"/>
      <c r="LSW3001" s="125"/>
      <c r="LSX3001" s="470"/>
      <c r="LSY3001" s="449"/>
      <c r="LSZ3001" s="462"/>
      <c r="LTA3001" s="299"/>
      <c r="LTB3001" s="81"/>
      <c r="LTC3001" s="160"/>
      <c r="LTD3001" s="571"/>
      <c r="LTE3001" s="125"/>
      <c r="LTF3001" s="470"/>
      <c r="LTG3001" s="449"/>
      <c r="LTH3001" s="462"/>
      <c r="LTI3001" s="299"/>
      <c r="LTJ3001" s="81"/>
      <c r="LTK3001" s="160"/>
      <c r="LTL3001" s="571"/>
      <c r="LTM3001" s="125"/>
      <c r="LTN3001" s="470"/>
      <c r="LTO3001" s="449"/>
      <c r="LTP3001" s="462"/>
      <c r="LTQ3001" s="299"/>
      <c r="LTR3001" s="81"/>
      <c r="LTS3001" s="160"/>
      <c r="LTT3001" s="571"/>
      <c r="LTU3001" s="125"/>
      <c r="LTV3001" s="470"/>
      <c r="LTW3001" s="449"/>
      <c r="LTX3001" s="462"/>
      <c r="LTY3001" s="299"/>
      <c r="LTZ3001" s="81"/>
      <c r="LUA3001" s="160"/>
      <c r="LUB3001" s="571"/>
      <c r="LUC3001" s="125"/>
      <c r="LUD3001" s="470"/>
      <c r="LUE3001" s="449"/>
      <c r="LUF3001" s="462"/>
      <c r="LUG3001" s="299"/>
      <c r="LUH3001" s="81"/>
      <c r="LUI3001" s="160"/>
      <c r="LUJ3001" s="571"/>
      <c r="LUK3001" s="125"/>
      <c r="LUL3001" s="470"/>
      <c r="LUM3001" s="449"/>
      <c r="LUN3001" s="462"/>
      <c r="LUO3001" s="299"/>
      <c r="LUP3001" s="81"/>
      <c r="LUQ3001" s="160"/>
      <c r="LUR3001" s="571"/>
      <c r="LUS3001" s="125"/>
      <c r="LUT3001" s="470"/>
      <c r="LUU3001" s="449"/>
      <c r="LUV3001" s="462"/>
      <c r="LUW3001" s="299"/>
      <c r="LUX3001" s="81"/>
      <c r="LUY3001" s="160"/>
      <c r="LUZ3001" s="571"/>
      <c r="LVA3001" s="125"/>
      <c r="LVB3001" s="470"/>
      <c r="LVC3001" s="449"/>
      <c r="LVD3001" s="462"/>
      <c r="LVE3001" s="299"/>
      <c r="LVF3001" s="81"/>
      <c r="LVG3001" s="160"/>
      <c r="LVH3001" s="571"/>
      <c r="LVI3001" s="125"/>
      <c r="LVJ3001" s="470"/>
      <c r="LVK3001" s="449"/>
      <c r="LVL3001" s="462"/>
      <c r="LVM3001" s="299"/>
      <c r="LVN3001" s="81"/>
      <c r="LVO3001" s="160"/>
      <c r="LVP3001" s="571"/>
      <c r="LVQ3001" s="125"/>
      <c r="LVR3001" s="470"/>
      <c r="LVS3001" s="449"/>
      <c r="LVT3001" s="462"/>
      <c r="LVU3001" s="299"/>
      <c r="LVV3001" s="81"/>
      <c r="LVW3001" s="160"/>
      <c r="LVX3001" s="571"/>
      <c r="LVY3001" s="125"/>
      <c r="LVZ3001" s="470"/>
      <c r="LWA3001" s="449"/>
      <c r="LWB3001" s="462"/>
      <c r="LWC3001" s="299"/>
      <c r="LWD3001" s="81"/>
      <c r="LWE3001" s="160"/>
      <c r="LWF3001" s="571"/>
      <c r="LWG3001" s="125"/>
      <c r="LWH3001" s="470"/>
      <c r="LWI3001" s="449"/>
      <c r="LWJ3001" s="462"/>
      <c r="LWK3001" s="299"/>
      <c r="LWL3001" s="81"/>
      <c r="LWM3001" s="160"/>
      <c r="LWN3001" s="571"/>
      <c r="LWO3001" s="125"/>
      <c r="LWP3001" s="470"/>
      <c r="LWQ3001" s="449"/>
      <c r="LWR3001" s="462"/>
      <c r="LWS3001" s="299"/>
      <c r="LWT3001" s="81"/>
      <c r="LWU3001" s="160"/>
      <c r="LWV3001" s="571"/>
      <c r="LWW3001" s="125"/>
      <c r="LWX3001" s="470"/>
      <c r="LWY3001" s="449"/>
      <c r="LWZ3001" s="462"/>
      <c r="LXA3001" s="299"/>
      <c r="LXB3001" s="81"/>
      <c r="LXC3001" s="160"/>
      <c r="LXD3001" s="571"/>
      <c r="LXE3001" s="125"/>
      <c r="LXF3001" s="470"/>
      <c r="LXG3001" s="449"/>
      <c r="LXH3001" s="462"/>
      <c r="LXI3001" s="299"/>
      <c r="LXJ3001" s="81"/>
      <c r="LXK3001" s="160"/>
      <c r="LXL3001" s="571"/>
      <c r="LXM3001" s="125"/>
      <c r="LXN3001" s="470"/>
      <c r="LXO3001" s="449"/>
      <c r="LXP3001" s="462"/>
      <c r="LXQ3001" s="299"/>
      <c r="LXR3001" s="81"/>
      <c r="LXS3001" s="160"/>
      <c r="LXT3001" s="571"/>
      <c r="LXU3001" s="125"/>
      <c r="LXV3001" s="470"/>
      <c r="LXW3001" s="449"/>
      <c r="LXX3001" s="462"/>
      <c r="LXY3001" s="299"/>
      <c r="LXZ3001" s="81"/>
      <c r="LYA3001" s="160"/>
      <c r="LYB3001" s="571"/>
      <c r="LYC3001" s="125"/>
      <c r="LYD3001" s="470"/>
      <c r="LYE3001" s="449"/>
      <c r="LYF3001" s="462"/>
      <c r="LYG3001" s="299"/>
      <c r="LYH3001" s="81"/>
      <c r="LYI3001" s="160"/>
      <c r="LYJ3001" s="571"/>
      <c r="LYK3001" s="125"/>
      <c r="LYL3001" s="470"/>
      <c r="LYM3001" s="449"/>
      <c r="LYN3001" s="462"/>
      <c r="LYO3001" s="299"/>
      <c r="LYP3001" s="81"/>
      <c r="LYQ3001" s="160"/>
      <c r="LYR3001" s="571"/>
      <c r="LYS3001" s="125"/>
      <c r="LYT3001" s="470"/>
      <c r="LYU3001" s="449"/>
      <c r="LYV3001" s="462"/>
      <c r="LYW3001" s="299"/>
      <c r="LYX3001" s="81"/>
      <c r="LYY3001" s="160"/>
      <c r="LYZ3001" s="571"/>
      <c r="LZA3001" s="125"/>
      <c r="LZB3001" s="470"/>
      <c r="LZC3001" s="449"/>
      <c r="LZD3001" s="462"/>
      <c r="LZE3001" s="299"/>
      <c r="LZF3001" s="81"/>
      <c r="LZG3001" s="160"/>
      <c r="LZH3001" s="571"/>
      <c r="LZI3001" s="125"/>
      <c r="LZJ3001" s="470"/>
      <c r="LZK3001" s="449"/>
      <c r="LZL3001" s="462"/>
      <c r="LZM3001" s="299"/>
      <c r="LZN3001" s="81"/>
      <c r="LZO3001" s="160"/>
      <c r="LZP3001" s="571"/>
      <c r="LZQ3001" s="125"/>
      <c r="LZR3001" s="470"/>
      <c r="LZS3001" s="449"/>
      <c r="LZT3001" s="462"/>
      <c r="LZU3001" s="299"/>
      <c r="LZV3001" s="81"/>
      <c r="LZW3001" s="160"/>
      <c r="LZX3001" s="571"/>
      <c r="LZY3001" s="125"/>
      <c r="LZZ3001" s="470"/>
      <c r="MAA3001" s="449"/>
      <c r="MAB3001" s="462"/>
      <c r="MAC3001" s="299"/>
      <c r="MAD3001" s="81"/>
      <c r="MAE3001" s="160"/>
      <c r="MAF3001" s="571"/>
      <c r="MAG3001" s="125"/>
      <c r="MAH3001" s="470"/>
      <c r="MAI3001" s="449"/>
      <c r="MAJ3001" s="462"/>
      <c r="MAK3001" s="299"/>
      <c r="MAL3001" s="81"/>
      <c r="MAM3001" s="160"/>
      <c r="MAN3001" s="571"/>
      <c r="MAO3001" s="125"/>
      <c r="MAP3001" s="470"/>
      <c r="MAQ3001" s="449"/>
      <c r="MAR3001" s="462"/>
      <c r="MAS3001" s="299"/>
      <c r="MAT3001" s="81"/>
      <c r="MAU3001" s="160"/>
      <c r="MAV3001" s="571"/>
      <c r="MAW3001" s="125"/>
      <c r="MAX3001" s="470"/>
      <c r="MAY3001" s="449"/>
      <c r="MAZ3001" s="462"/>
      <c r="MBA3001" s="299"/>
      <c r="MBB3001" s="81"/>
      <c r="MBC3001" s="160"/>
      <c r="MBD3001" s="571"/>
      <c r="MBE3001" s="125"/>
      <c r="MBF3001" s="470"/>
      <c r="MBG3001" s="449"/>
      <c r="MBH3001" s="462"/>
      <c r="MBI3001" s="299"/>
      <c r="MBJ3001" s="81"/>
      <c r="MBK3001" s="160"/>
      <c r="MBL3001" s="571"/>
      <c r="MBM3001" s="125"/>
      <c r="MBN3001" s="470"/>
      <c r="MBO3001" s="449"/>
      <c r="MBP3001" s="462"/>
      <c r="MBQ3001" s="299"/>
      <c r="MBR3001" s="81"/>
      <c r="MBS3001" s="160"/>
      <c r="MBT3001" s="571"/>
      <c r="MBU3001" s="125"/>
      <c r="MBV3001" s="470"/>
      <c r="MBW3001" s="449"/>
      <c r="MBX3001" s="462"/>
      <c r="MBY3001" s="299"/>
      <c r="MBZ3001" s="81"/>
      <c r="MCA3001" s="160"/>
      <c r="MCB3001" s="571"/>
      <c r="MCC3001" s="125"/>
      <c r="MCD3001" s="470"/>
      <c r="MCE3001" s="449"/>
      <c r="MCF3001" s="462"/>
      <c r="MCG3001" s="299"/>
      <c r="MCH3001" s="81"/>
      <c r="MCI3001" s="160"/>
      <c r="MCJ3001" s="571"/>
      <c r="MCK3001" s="125"/>
      <c r="MCL3001" s="470"/>
      <c r="MCM3001" s="449"/>
      <c r="MCN3001" s="462"/>
      <c r="MCO3001" s="299"/>
      <c r="MCP3001" s="81"/>
      <c r="MCQ3001" s="160"/>
      <c r="MCR3001" s="571"/>
      <c r="MCS3001" s="125"/>
      <c r="MCT3001" s="470"/>
      <c r="MCU3001" s="449"/>
      <c r="MCV3001" s="462"/>
      <c r="MCW3001" s="299"/>
      <c r="MCX3001" s="81"/>
      <c r="MCY3001" s="160"/>
      <c r="MCZ3001" s="571"/>
      <c r="MDA3001" s="125"/>
      <c r="MDB3001" s="470"/>
      <c r="MDC3001" s="449"/>
      <c r="MDD3001" s="462"/>
      <c r="MDE3001" s="299"/>
      <c r="MDF3001" s="81"/>
      <c r="MDG3001" s="160"/>
      <c r="MDH3001" s="571"/>
      <c r="MDI3001" s="125"/>
      <c r="MDJ3001" s="470"/>
      <c r="MDK3001" s="449"/>
      <c r="MDL3001" s="462"/>
      <c r="MDM3001" s="299"/>
      <c r="MDN3001" s="81"/>
      <c r="MDO3001" s="160"/>
      <c r="MDP3001" s="571"/>
      <c r="MDQ3001" s="125"/>
      <c r="MDR3001" s="470"/>
      <c r="MDS3001" s="449"/>
      <c r="MDT3001" s="462"/>
      <c r="MDU3001" s="299"/>
      <c r="MDV3001" s="81"/>
      <c r="MDW3001" s="160"/>
      <c r="MDX3001" s="571"/>
      <c r="MDY3001" s="125"/>
      <c r="MDZ3001" s="470"/>
      <c r="MEA3001" s="449"/>
      <c r="MEB3001" s="462"/>
      <c r="MEC3001" s="299"/>
      <c r="MED3001" s="81"/>
      <c r="MEE3001" s="160"/>
      <c r="MEF3001" s="571"/>
      <c r="MEG3001" s="125"/>
      <c r="MEH3001" s="470"/>
      <c r="MEI3001" s="449"/>
      <c r="MEJ3001" s="462"/>
      <c r="MEK3001" s="299"/>
      <c r="MEL3001" s="81"/>
      <c r="MEM3001" s="160"/>
      <c r="MEN3001" s="571"/>
      <c r="MEO3001" s="125"/>
      <c r="MEP3001" s="470"/>
      <c r="MEQ3001" s="449"/>
      <c r="MER3001" s="462"/>
      <c r="MES3001" s="299"/>
      <c r="MET3001" s="81"/>
      <c r="MEU3001" s="160"/>
      <c r="MEV3001" s="571"/>
      <c r="MEW3001" s="125"/>
      <c r="MEX3001" s="470"/>
      <c r="MEY3001" s="449"/>
      <c r="MEZ3001" s="462"/>
      <c r="MFA3001" s="299"/>
      <c r="MFB3001" s="81"/>
      <c r="MFC3001" s="160"/>
      <c r="MFD3001" s="571"/>
      <c r="MFE3001" s="125"/>
      <c r="MFF3001" s="470"/>
      <c r="MFG3001" s="449"/>
      <c r="MFH3001" s="462"/>
      <c r="MFI3001" s="299"/>
      <c r="MFJ3001" s="81"/>
      <c r="MFK3001" s="160"/>
      <c r="MFL3001" s="571"/>
      <c r="MFM3001" s="125"/>
      <c r="MFN3001" s="470"/>
      <c r="MFO3001" s="449"/>
      <c r="MFP3001" s="462"/>
      <c r="MFQ3001" s="299"/>
      <c r="MFR3001" s="81"/>
      <c r="MFS3001" s="160"/>
      <c r="MFT3001" s="571"/>
      <c r="MFU3001" s="125"/>
      <c r="MFV3001" s="470"/>
      <c r="MFW3001" s="449"/>
      <c r="MFX3001" s="462"/>
      <c r="MFY3001" s="299"/>
      <c r="MFZ3001" s="81"/>
      <c r="MGA3001" s="160"/>
      <c r="MGB3001" s="571"/>
      <c r="MGC3001" s="125"/>
      <c r="MGD3001" s="470"/>
      <c r="MGE3001" s="449"/>
      <c r="MGF3001" s="462"/>
      <c r="MGG3001" s="299"/>
      <c r="MGH3001" s="81"/>
      <c r="MGI3001" s="160"/>
      <c r="MGJ3001" s="571"/>
      <c r="MGK3001" s="125"/>
      <c r="MGL3001" s="470"/>
      <c r="MGM3001" s="449"/>
      <c r="MGN3001" s="462"/>
      <c r="MGO3001" s="299"/>
      <c r="MGP3001" s="81"/>
      <c r="MGQ3001" s="160"/>
      <c r="MGR3001" s="571"/>
      <c r="MGS3001" s="125"/>
      <c r="MGT3001" s="470"/>
      <c r="MGU3001" s="449"/>
      <c r="MGV3001" s="462"/>
      <c r="MGW3001" s="299"/>
      <c r="MGX3001" s="81"/>
      <c r="MGY3001" s="160"/>
      <c r="MGZ3001" s="571"/>
      <c r="MHA3001" s="125"/>
      <c r="MHB3001" s="470"/>
      <c r="MHC3001" s="449"/>
      <c r="MHD3001" s="462"/>
      <c r="MHE3001" s="299"/>
      <c r="MHF3001" s="81"/>
      <c r="MHG3001" s="160"/>
      <c r="MHH3001" s="571"/>
      <c r="MHI3001" s="125"/>
      <c r="MHJ3001" s="470"/>
      <c r="MHK3001" s="449"/>
      <c r="MHL3001" s="462"/>
      <c r="MHM3001" s="299"/>
      <c r="MHN3001" s="81"/>
      <c r="MHO3001" s="160"/>
      <c r="MHP3001" s="571"/>
      <c r="MHQ3001" s="125"/>
      <c r="MHR3001" s="470"/>
      <c r="MHS3001" s="449"/>
      <c r="MHT3001" s="462"/>
      <c r="MHU3001" s="299"/>
      <c r="MHV3001" s="81"/>
      <c r="MHW3001" s="160"/>
      <c r="MHX3001" s="571"/>
      <c r="MHY3001" s="125"/>
      <c r="MHZ3001" s="470"/>
      <c r="MIA3001" s="449"/>
      <c r="MIB3001" s="462"/>
      <c r="MIC3001" s="299"/>
      <c r="MID3001" s="81"/>
      <c r="MIE3001" s="160"/>
      <c r="MIF3001" s="571"/>
      <c r="MIG3001" s="125"/>
      <c r="MIH3001" s="470"/>
      <c r="MII3001" s="449"/>
      <c r="MIJ3001" s="462"/>
      <c r="MIK3001" s="299"/>
      <c r="MIL3001" s="81"/>
      <c r="MIM3001" s="160"/>
      <c r="MIN3001" s="571"/>
      <c r="MIO3001" s="125"/>
      <c r="MIP3001" s="470"/>
      <c r="MIQ3001" s="449"/>
      <c r="MIR3001" s="462"/>
      <c r="MIS3001" s="299"/>
      <c r="MIT3001" s="81"/>
      <c r="MIU3001" s="160"/>
      <c r="MIV3001" s="571"/>
      <c r="MIW3001" s="125"/>
      <c r="MIX3001" s="470"/>
      <c r="MIY3001" s="449"/>
      <c r="MIZ3001" s="462"/>
      <c r="MJA3001" s="299"/>
      <c r="MJB3001" s="81"/>
      <c r="MJC3001" s="160"/>
      <c r="MJD3001" s="571"/>
      <c r="MJE3001" s="125"/>
      <c r="MJF3001" s="470"/>
      <c r="MJG3001" s="449"/>
      <c r="MJH3001" s="462"/>
      <c r="MJI3001" s="299"/>
      <c r="MJJ3001" s="81"/>
      <c r="MJK3001" s="160"/>
      <c r="MJL3001" s="571"/>
      <c r="MJM3001" s="125"/>
      <c r="MJN3001" s="470"/>
      <c r="MJO3001" s="449"/>
      <c r="MJP3001" s="462"/>
      <c r="MJQ3001" s="299"/>
      <c r="MJR3001" s="81"/>
      <c r="MJS3001" s="160"/>
      <c r="MJT3001" s="571"/>
      <c r="MJU3001" s="125"/>
      <c r="MJV3001" s="470"/>
      <c r="MJW3001" s="449"/>
      <c r="MJX3001" s="462"/>
      <c r="MJY3001" s="299"/>
      <c r="MJZ3001" s="81"/>
      <c r="MKA3001" s="160"/>
      <c r="MKB3001" s="571"/>
      <c r="MKC3001" s="125"/>
      <c r="MKD3001" s="470"/>
      <c r="MKE3001" s="449"/>
      <c r="MKF3001" s="462"/>
      <c r="MKG3001" s="299"/>
      <c r="MKH3001" s="81"/>
      <c r="MKI3001" s="160"/>
      <c r="MKJ3001" s="571"/>
      <c r="MKK3001" s="125"/>
      <c r="MKL3001" s="470"/>
      <c r="MKM3001" s="449"/>
      <c r="MKN3001" s="462"/>
      <c r="MKO3001" s="299"/>
      <c r="MKP3001" s="81"/>
      <c r="MKQ3001" s="160"/>
      <c r="MKR3001" s="571"/>
      <c r="MKS3001" s="125"/>
      <c r="MKT3001" s="470"/>
      <c r="MKU3001" s="449"/>
      <c r="MKV3001" s="462"/>
      <c r="MKW3001" s="299"/>
      <c r="MKX3001" s="81"/>
      <c r="MKY3001" s="160"/>
      <c r="MKZ3001" s="571"/>
      <c r="MLA3001" s="125"/>
      <c r="MLB3001" s="470"/>
      <c r="MLC3001" s="449"/>
      <c r="MLD3001" s="462"/>
      <c r="MLE3001" s="299"/>
      <c r="MLF3001" s="81"/>
      <c r="MLG3001" s="160"/>
      <c r="MLH3001" s="571"/>
      <c r="MLI3001" s="125"/>
      <c r="MLJ3001" s="470"/>
      <c r="MLK3001" s="449"/>
      <c r="MLL3001" s="462"/>
      <c r="MLM3001" s="299"/>
      <c r="MLN3001" s="81"/>
      <c r="MLO3001" s="160"/>
      <c r="MLP3001" s="571"/>
      <c r="MLQ3001" s="125"/>
      <c r="MLR3001" s="470"/>
      <c r="MLS3001" s="449"/>
      <c r="MLT3001" s="462"/>
      <c r="MLU3001" s="299"/>
      <c r="MLV3001" s="81"/>
      <c r="MLW3001" s="160"/>
      <c r="MLX3001" s="571"/>
      <c r="MLY3001" s="125"/>
      <c r="MLZ3001" s="470"/>
      <c r="MMA3001" s="449"/>
      <c r="MMB3001" s="462"/>
      <c r="MMC3001" s="299"/>
      <c r="MMD3001" s="81"/>
      <c r="MME3001" s="160"/>
      <c r="MMF3001" s="571"/>
      <c r="MMG3001" s="125"/>
      <c r="MMH3001" s="470"/>
      <c r="MMI3001" s="449"/>
      <c r="MMJ3001" s="462"/>
      <c r="MMK3001" s="299"/>
      <c r="MML3001" s="81"/>
      <c r="MMM3001" s="160"/>
      <c r="MMN3001" s="571"/>
      <c r="MMO3001" s="125"/>
      <c r="MMP3001" s="470"/>
      <c r="MMQ3001" s="449"/>
      <c r="MMR3001" s="462"/>
      <c r="MMS3001" s="299"/>
      <c r="MMT3001" s="81"/>
      <c r="MMU3001" s="160"/>
      <c r="MMV3001" s="571"/>
      <c r="MMW3001" s="125"/>
      <c r="MMX3001" s="470"/>
      <c r="MMY3001" s="449"/>
      <c r="MMZ3001" s="462"/>
      <c r="MNA3001" s="299"/>
      <c r="MNB3001" s="81"/>
      <c r="MNC3001" s="160"/>
      <c r="MND3001" s="571"/>
      <c r="MNE3001" s="125"/>
      <c r="MNF3001" s="470"/>
      <c r="MNG3001" s="449"/>
      <c r="MNH3001" s="462"/>
      <c r="MNI3001" s="299"/>
      <c r="MNJ3001" s="81"/>
      <c r="MNK3001" s="160"/>
      <c r="MNL3001" s="571"/>
      <c r="MNM3001" s="125"/>
      <c r="MNN3001" s="470"/>
      <c r="MNO3001" s="449"/>
      <c r="MNP3001" s="462"/>
      <c r="MNQ3001" s="299"/>
      <c r="MNR3001" s="81"/>
      <c r="MNS3001" s="160"/>
      <c r="MNT3001" s="571"/>
      <c r="MNU3001" s="125"/>
      <c r="MNV3001" s="470"/>
      <c r="MNW3001" s="449"/>
      <c r="MNX3001" s="462"/>
      <c r="MNY3001" s="299"/>
      <c r="MNZ3001" s="81"/>
      <c r="MOA3001" s="160"/>
      <c r="MOB3001" s="571"/>
      <c r="MOC3001" s="125"/>
      <c r="MOD3001" s="470"/>
      <c r="MOE3001" s="449"/>
      <c r="MOF3001" s="462"/>
      <c r="MOG3001" s="299"/>
      <c r="MOH3001" s="81"/>
      <c r="MOI3001" s="160"/>
      <c r="MOJ3001" s="571"/>
      <c r="MOK3001" s="125"/>
      <c r="MOL3001" s="470"/>
      <c r="MOM3001" s="449"/>
      <c r="MON3001" s="462"/>
      <c r="MOO3001" s="299"/>
      <c r="MOP3001" s="81"/>
      <c r="MOQ3001" s="160"/>
      <c r="MOR3001" s="571"/>
      <c r="MOS3001" s="125"/>
      <c r="MOT3001" s="470"/>
      <c r="MOU3001" s="449"/>
      <c r="MOV3001" s="462"/>
      <c r="MOW3001" s="299"/>
      <c r="MOX3001" s="81"/>
      <c r="MOY3001" s="160"/>
      <c r="MOZ3001" s="571"/>
      <c r="MPA3001" s="125"/>
      <c r="MPB3001" s="470"/>
      <c r="MPC3001" s="449"/>
      <c r="MPD3001" s="462"/>
      <c r="MPE3001" s="299"/>
      <c r="MPF3001" s="81"/>
      <c r="MPG3001" s="160"/>
      <c r="MPH3001" s="571"/>
      <c r="MPI3001" s="125"/>
      <c r="MPJ3001" s="470"/>
      <c r="MPK3001" s="449"/>
      <c r="MPL3001" s="462"/>
      <c r="MPM3001" s="299"/>
      <c r="MPN3001" s="81"/>
      <c r="MPO3001" s="160"/>
      <c r="MPP3001" s="571"/>
      <c r="MPQ3001" s="125"/>
      <c r="MPR3001" s="470"/>
      <c r="MPS3001" s="449"/>
      <c r="MPT3001" s="462"/>
      <c r="MPU3001" s="299"/>
      <c r="MPV3001" s="81"/>
      <c r="MPW3001" s="160"/>
      <c r="MPX3001" s="571"/>
      <c r="MPY3001" s="125"/>
      <c r="MPZ3001" s="470"/>
      <c r="MQA3001" s="449"/>
      <c r="MQB3001" s="462"/>
      <c r="MQC3001" s="299"/>
      <c r="MQD3001" s="81"/>
      <c r="MQE3001" s="160"/>
      <c r="MQF3001" s="571"/>
      <c r="MQG3001" s="125"/>
      <c r="MQH3001" s="470"/>
      <c r="MQI3001" s="449"/>
      <c r="MQJ3001" s="462"/>
      <c r="MQK3001" s="299"/>
      <c r="MQL3001" s="81"/>
      <c r="MQM3001" s="160"/>
      <c r="MQN3001" s="571"/>
      <c r="MQO3001" s="125"/>
      <c r="MQP3001" s="470"/>
      <c r="MQQ3001" s="449"/>
      <c r="MQR3001" s="462"/>
      <c r="MQS3001" s="299"/>
      <c r="MQT3001" s="81"/>
      <c r="MQU3001" s="160"/>
      <c r="MQV3001" s="571"/>
      <c r="MQW3001" s="125"/>
      <c r="MQX3001" s="470"/>
      <c r="MQY3001" s="449"/>
      <c r="MQZ3001" s="462"/>
      <c r="MRA3001" s="299"/>
      <c r="MRB3001" s="81"/>
      <c r="MRC3001" s="160"/>
      <c r="MRD3001" s="571"/>
      <c r="MRE3001" s="125"/>
      <c r="MRF3001" s="470"/>
      <c r="MRG3001" s="449"/>
      <c r="MRH3001" s="462"/>
      <c r="MRI3001" s="299"/>
      <c r="MRJ3001" s="81"/>
      <c r="MRK3001" s="160"/>
      <c r="MRL3001" s="571"/>
      <c r="MRM3001" s="125"/>
      <c r="MRN3001" s="470"/>
      <c r="MRO3001" s="449"/>
      <c r="MRP3001" s="462"/>
      <c r="MRQ3001" s="299"/>
      <c r="MRR3001" s="81"/>
      <c r="MRS3001" s="160"/>
      <c r="MRT3001" s="571"/>
      <c r="MRU3001" s="125"/>
      <c r="MRV3001" s="470"/>
      <c r="MRW3001" s="449"/>
      <c r="MRX3001" s="462"/>
      <c r="MRY3001" s="299"/>
      <c r="MRZ3001" s="81"/>
      <c r="MSA3001" s="160"/>
      <c r="MSB3001" s="571"/>
      <c r="MSC3001" s="125"/>
      <c r="MSD3001" s="470"/>
      <c r="MSE3001" s="449"/>
      <c r="MSF3001" s="462"/>
      <c r="MSG3001" s="299"/>
      <c r="MSH3001" s="81"/>
      <c r="MSI3001" s="160"/>
      <c r="MSJ3001" s="571"/>
      <c r="MSK3001" s="125"/>
      <c r="MSL3001" s="470"/>
      <c r="MSM3001" s="449"/>
      <c r="MSN3001" s="462"/>
      <c r="MSO3001" s="299"/>
      <c r="MSP3001" s="81"/>
      <c r="MSQ3001" s="160"/>
      <c r="MSR3001" s="571"/>
      <c r="MSS3001" s="125"/>
      <c r="MST3001" s="470"/>
      <c r="MSU3001" s="449"/>
      <c r="MSV3001" s="462"/>
      <c r="MSW3001" s="299"/>
      <c r="MSX3001" s="81"/>
      <c r="MSY3001" s="160"/>
      <c r="MSZ3001" s="571"/>
      <c r="MTA3001" s="125"/>
      <c r="MTB3001" s="470"/>
      <c r="MTC3001" s="449"/>
      <c r="MTD3001" s="462"/>
      <c r="MTE3001" s="299"/>
      <c r="MTF3001" s="81"/>
      <c r="MTG3001" s="160"/>
      <c r="MTH3001" s="571"/>
      <c r="MTI3001" s="125"/>
      <c r="MTJ3001" s="470"/>
      <c r="MTK3001" s="449"/>
      <c r="MTL3001" s="462"/>
      <c r="MTM3001" s="299"/>
      <c r="MTN3001" s="81"/>
      <c r="MTO3001" s="160"/>
      <c r="MTP3001" s="571"/>
      <c r="MTQ3001" s="125"/>
      <c r="MTR3001" s="470"/>
      <c r="MTS3001" s="449"/>
      <c r="MTT3001" s="462"/>
      <c r="MTU3001" s="299"/>
      <c r="MTV3001" s="81"/>
      <c r="MTW3001" s="160"/>
      <c r="MTX3001" s="571"/>
      <c r="MTY3001" s="125"/>
      <c r="MTZ3001" s="470"/>
      <c r="MUA3001" s="449"/>
      <c r="MUB3001" s="462"/>
      <c r="MUC3001" s="299"/>
      <c r="MUD3001" s="81"/>
      <c r="MUE3001" s="160"/>
      <c r="MUF3001" s="571"/>
      <c r="MUG3001" s="125"/>
      <c r="MUH3001" s="470"/>
      <c r="MUI3001" s="449"/>
      <c r="MUJ3001" s="462"/>
      <c r="MUK3001" s="299"/>
      <c r="MUL3001" s="81"/>
      <c r="MUM3001" s="160"/>
      <c r="MUN3001" s="571"/>
      <c r="MUO3001" s="125"/>
      <c r="MUP3001" s="470"/>
      <c r="MUQ3001" s="449"/>
      <c r="MUR3001" s="462"/>
      <c r="MUS3001" s="299"/>
      <c r="MUT3001" s="81"/>
      <c r="MUU3001" s="160"/>
      <c r="MUV3001" s="571"/>
      <c r="MUW3001" s="125"/>
      <c r="MUX3001" s="470"/>
      <c r="MUY3001" s="449"/>
      <c r="MUZ3001" s="462"/>
      <c r="MVA3001" s="299"/>
      <c r="MVB3001" s="81"/>
      <c r="MVC3001" s="160"/>
      <c r="MVD3001" s="571"/>
      <c r="MVE3001" s="125"/>
      <c r="MVF3001" s="470"/>
      <c r="MVG3001" s="449"/>
      <c r="MVH3001" s="462"/>
      <c r="MVI3001" s="299"/>
      <c r="MVJ3001" s="81"/>
      <c r="MVK3001" s="160"/>
      <c r="MVL3001" s="571"/>
      <c r="MVM3001" s="125"/>
      <c r="MVN3001" s="470"/>
      <c r="MVO3001" s="449"/>
      <c r="MVP3001" s="462"/>
      <c r="MVQ3001" s="299"/>
      <c r="MVR3001" s="81"/>
      <c r="MVS3001" s="160"/>
      <c r="MVT3001" s="571"/>
      <c r="MVU3001" s="125"/>
      <c r="MVV3001" s="470"/>
      <c r="MVW3001" s="449"/>
      <c r="MVX3001" s="462"/>
      <c r="MVY3001" s="299"/>
      <c r="MVZ3001" s="81"/>
      <c r="MWA3001" s="160"/>
      <c r="MWB3001" s="571"/>
      <c r="MWC3001" s="125"/>
      <c r="MWD3001" s="470"/>
      <c r="MWE3001" s="449"/>
      <c r="MWF3001" s="462"/>
      <c r="MWG3001" s="299"/>
      <c r="MWH3001" s="81"/>
      <c r="MWI3001" s="160"/>
      <c r="MWJ3001" s="571"/>
      <c r="MWK3001" s="125"/>
      <c r="MWL3001" s="470"/>
      <c r="MWM3001" s="449"/>
      <c r="MWN3001" s="462"/>
      <c r="MWO3001" s="299"/>
      <c r="MWP3001" s="81"/>
      <c r="MWQ3001" s="160"/>
      <c r="MWR3001" s="571"/>
      <c r="MWS3001" s="125"/>
      <c r="MWT3001" s="470"/>
      <c r="MWU3001" s="449"/>
      <c r="MWV3001" s="462"/>
      <c r="MWW3001" s="299"/>
      <c r="MWX3001" s="81"/>
      <c r="MWY3001" s="160"/>
      <c r="MWZ3001" s="571"/>
      <c r="MXA3001" s="125"/>
      <c r="MXB3001" s="470"/>
      <c r="MXC3001" s="449"/>
      <c r="MXD3001" s="462"/>
      <c r="MXE3001" s="299"/>
      <c r="MXF3001" s="81"/>
      <c r="MXG3001" s="160"/>
      <c r="MXH3001" s="571"/>
      <c r="MXI3001" s="125"/>
      <c r="MXJ3001" s="470"/>
      <c r="MXK3001" s="449"/>
      <c r="MXL3001" s="462"/>
      <c r="MXM3001" s="299"/>
      <c r="MXN3001" s="81"/>
      <c r="MXO3001" s="160"/>
      <c r="MXP3001" s="571"/>
      <c r="MXQ3001" s="125"/>
      <c r="MXR3001" s="470"/>
      <c r="MXS3001" s="449"/>
      <c r="MXT3001" s="462"/>
      <c r="MXU3001" s="299"/>
      <c r="MXV3001" s="81"/>
      <c r="MXW3001" s="160"/>
      <c r="MXX3001" s="571"/>
      <c r="MXY3001" s="125"/>
      <c r="MXZ3001" s="470"/>
      <c r="MYA3001" s="449"/>
      <c r="MYB3001" s="462"/>
      <c r="MYC3001" s="299"/>
      <c r="MYD3001" s="81"/>
      <c r="MYE3001" s="160"/>
      <c r="MYF3001" s="571"/>
      <c r="MYG3001" s="125"/>
      <c r="MYH3001" s="470"/>
      <c r="MYI3001" s="449"/>
      <c r="MYJ3001" s="462"/>
      <c r="MYK3001" s="299"/>
      <c r="MYL3001" s="81"/>
      <c r="MYM3001" s="160"/>
      <c r="MYN3001" s="571"/>
      <c r="MYO3001" s="125"/>
      <c r="MYP3001" s="470"/>
      <c r="MYQ3001" s="449"/>
      <c r="MYR3001" s="462"/>
      <c r="MYS3001" s="299"/>
      <c r="MYT3001" s="81"/>
      <c r="MYU3001" s="160"/>
      <c r="MYV3001" s="571"/>
      <c r="MYW3001" s="125"/>
      <c r="MYX3001" s="470"/>
      <c r="MYY3001" s="449"/>
      <c r="MYZ3001" s="462"/>
      <c r="MZA3001" s="299"/>
      <c r="MZB3001" s="81"/>
      <c r="MZC3001" s="160"/>
      <c r="MZD3001" s="571"/>
      <c r="MZE3001" s="125"/>
      <c r="MZF3001" s="470"/>
      <c r="MZG3001" s="449"/>
      <c r="MZH3001" s="462"/>
      <c r="MZI3001" s="299"/>
      <c r="MZJ3001" s="81"/>
      <c r="MZK3001" s="160"/>
      <c r="MZL3001" s="571"/>
      <c r="MZM3001" s="125"/>
      <c r="MZN3001" s="470"/>
      <c r="MZO3001" s="449"/>
      <c r="MZP3001" s="462"/>
      <c r="MZQ3001" s="299"/>
      <c r="MZR3001" s="81"/>
      <c r="MZS3001" s="160"/>
      <c r="MZT3001" s="571"/>
      <c r="MZU3001" s="125"/>
      <c r="MZV3001" s="470"/>
      <c r="MZW3001" s="449"/>
      <c r="MZX3001" s="462"/>
      <c r="MZY3001" s="299"/>
      <c r="MZZ3001" s="81"/>
      <c r="NAA3001" s="160"/>
      <c r="NAB3001" s="571"/>
      <c r="NAC3001" s="125"/>
      <c r="NAD3001" s="470"/>
      <c r="NAE3001" s="449"/>
      <c r="NAF3001" s="462"/>
      <c r="NAG3001" s="299"/>
      <c r="NAH3001" s="81"/>
      <c r="NAI3001" s="160"/>
      <c r="NAJ3001" s="571"/>
      <c r="NAK3001" s="125"/>
      <c r="NAL3001" s="470"/>
      <c r="NAM3001" s="449"/>
      <c r="NAN3001" s="462"/>
      <c r="NAO3001" s="299"/>
      <c r="NAP3001" s="81"/>
      <c r="NAQ3001" s="160"/>
      <c r="NAR3001" s="571"/>
      <c r="NAS3001" s="125"/>
      <c r="NAT3001" s="470"/>
      <c r="NAU3001" s="449"/>
      <c r="NAV3001" s="462"/>
      <c r="NAW3001" s="299"/>
      <c r="NAX3001" s="81"/>
      <c r="NAY3001" s="160"/>
      <c r="NAZ3001" s="571"/>
      <c r="NBA3001" s="125"/>
      <c r="NBB3001" s="470"/>
      <c r="NBC3001" s="449"/>
      <c r="NBD3001" s="462"/>
      <c r="NBE3001" s="299"/>
      <c r="NBF3001" s="81"/>
      <c r="NBG3001" s="160"/>
      <c r="NBH3001" s="571"/>
      <c r="NBI3001" s="125"/>
      <c r="NBJ3001" s="470"/>
      <c r="NBK3001" s="449"/>
      <c r="NBL3001" s="462"/>
      <c r="NBM3001" s="299"/>
      <c r="NBN3001" s="81"/>
      <c r="NBO3001" s="160"/>
      <c r="NBP3001" s="571"/>
      <c r="NBQ3001" s="125"/>
      <c r="NBR3001" s="470"/>
      <c r="NBS3001" s="449"/>
      <c r="NBT3001" s="462"/>
      <c r="NBU3001" s="299"/>
      <c r="NBV3001" s="81"/>
      <c r="NBW3001" s="160"/>
      <c r="NBX3001" s="571"/>
      <c r="NBY3001" s="125"/>
      <c r="NBZ3001" s="470"/>
      <c r="NCA3001" s="449"/>
      <c r="NCB3001" s="462"/>
      <c r="NCC3001" s="299"/>
      <c r="NCD3001" s="81"/>
      <c r="NCE3001" s="160"/>
      <c r="NCF3001" s="571"/>
      <c r="NCG3001" s="125"/>
      <c r="NCH3001" s="470"/>
      <c r="NCI3001" s="449"/>
      <c r="NCJ3001" s="462"/>
      <c r="NCK3001" s="299"/>
      <c r="NCL3001" s="81"/>
      <c r="NCM3001" s="160"/>
      <c r="NCN3001" s="571"/>
      <c r="NCO3001" s="125"/>
      <c r="NCP3001" s="470"/>
      <c r="NCQ3001" s="449"/>
      <c r="NCR3001" s="462"/>
      <c r="NCS3001" s="299"/>
      <c r="NCT3001" s="81"/>
      <c r="NCU3001" s="160"/>
      <c r="NCV3001" s="571"/>
      <c r="NCW3001" s="125"/>
      <c r="NCX3001" s="470"/>
      <c r="NCY3001" s="449"/>
      <c r="NCZ3001" s="462"/>
      <c r="NDA3001" s="299"/>
      <c r="NDB3001" s="81"/>
      <c r="NDC3001" s="160"/>
      <c r="NDD3001" s="571"/>
      <c r="NDE3001" s="125"/>
      <c r="NDF3001" s="470"/>
      <c r="NDG3001" s="449"/>
      <c r="NDH3001" s="462"/>
      <c r="NDI3001" s="299"/>
      <c r="NDJ3001" s="81"/>
      <c r="NDK3001" s="160"/>
      <c r="NDL3001" s="571"/>
      <c r="NDM3001" s="125"/>
      <c r="NDN3001" s="470"/>
      <c r="NDO3001" s="449"/>
      <c r="NDP3001" s="462"/>
      <c r="NDQ3001" s="299"/>
      <c r="NDR3001" s="81"/>
      <c r="NDS3001" s="160"/>
      <c r="NDT3001" s="571"/>
      <c r="NDU3001" s="125"/>
      <c r="NDV3001" s="470"/>
      <c r="NDW3001" s="449"/>
      <c r="NDX3001" s="462"/>
      <c r="NDY3001" s="299"/>
      <c r="NDZ3001" s="81"/>
      <c r="NEA3001" s="160"/>
      <c r="NEB3001" s="571"/>
      <c r="NEC3001" s="125"/>
      <c r="NED3001" s="470"/>
      <c r="NEE3001" s="449"/>
      <c r="NEF3001" s="462"/>
      <c r="NEG3001" s="299"/>
      <c r="NEH3001" s="81"/>
      <c r="NEI3001" s="160"/>
      <c r="NEJ3001" s="571"/>
      <c r="NEK3001" s="125"/>
      <c r="NEL3001" s="470"/>
      <c r="NEM3001" s="449"/>
      <c r="NEN3001" s="462"/>
      <c r="NEO3001" s="299"/>
      <c r="NEP3001" s="81"/>
      <c r="NEQ3001" s="160"/>
      <c r="NER3001" s="571"/>
      <c r="NES3001" s="125"/>
      <c r="NET3001" s="470"/>
      <c r="NEU3001" s="449"/>
      <c r="NEV3001" s="462"/>
      <c r="NEW3001" s="299"/>
      <c r="NEX3001" s="81"/>
      <c r="NEY3001" s="160"/>
      <c r="NEZ3001" s="571"/>
      <c r="NFA3001" s="125"/>
      <c r="NFB3001" s="470"/>
      <c r="NFC3001" s="449"/>
      <c r="NFD3001" s="462"/>
      <c r="NFE3001" s="299"/>
      <c r="NFF3001" s="81"/>
      <c r="NFG3001" s="160"/>
      <c r="NFH3001" s="571"/>
      <c r="NFI3001" s="125"/>
      <c r="NFJ3001" s="470"/>
      <c r="NFK3001" s="449"/>
      <c r="NFL3001" s="462"/>
      <c r="NFM3001" s="299"/>
      <c r="NFN3001" s="81"/>
      <c r="NFO3001" s="160"/>
      <c r="NFP3001" s="571"/>
      <c r="NFQ3001" s="125"/>
      <c r="NFR3001" s="470"/>
      <c r="NFS3001" s="449"/>
      <c r="NFT3001" s="462"/>
      <c r="NFU3001" s="299"/>
      <c r="NFV3001" s="81"/>
      <c r="NFW3001" s="160"/>
      <c r="NFX3001" s="571"/>
      <c r="NFY3001" s="125"/>
      <c r="NFZ3001" s="470"/>
      <c r="NGA3001" s="449"/>
      <c r="NGB3001" s="462"/>
      <c r="NGC3001" s="299"/>
      <c r="NGD3001" s="81"/>
      <c r="NGE3001" s="160"/>
      <c r="NGF3001" s="571"/>
      <c r="NGG3001" s="125"/>
      <c r="NGH3001" s="470"/>
      <c r="NGI3001" s="449"/>
      <c r="NGJ3001" s="462"/>
      <c r="NGK3001" s="299"/>
      <c r="NGL3001" s="81"/>
      <c r="NGM3001" s="160"/>
      <c r="NGN3001" s="571"/>
      <c r="NGO3001" s="125"/>
      <c r="NGP3001" s="470"/>
      <c r="NGQ3001" s="449"/>
      <c r="NGR3001" s="462"/>
      <c r="NGS3001" s="299"/>
      <c r="NGT3001" s="81"/>
      <c r="NGU3001" s="160"/>
      <c r="NGV3001" s="571"/>
      <c r="NGW3001" s="125"/>
      <c r="NGX3001" s="470"/>
      <c r="NGY3001" s="449"/>
      <c r="NGZ3001" s="462"/>
      <c r="NHA3001" s="299"/>
      <c r="NHB3001" s="81"/>
      <c r="NHC3001" s="160"/>
      <c r="NHD3001" s="571"/>
      <c r="NHE3001" s="125"/>
      <c r="NHF3001" s="470"/>
      <c r="NHG3001" s="449"/>
      <c r="NHH3001" s="462"/>
      <c r="NHI3001" s="299"/>
      <c r="NHJ3001" s="81"/>
      <c r="NHK3001" s="160"/>
      <c r="NHL3001" s="571"/>
      <c r="NHM3001" s="125"/>
      <c r="NHN3001" s="470"/>
      <c r="NHO3001" s="449"/>
      <c r="NHP3001" s="462"/>
      <c r="NHQ3001" s="299"/>
      <c r="NHR3001" s="81"/>
      <c r="NHS3001" s="160"/>
      <c r="NHT3001" s="571"/>
      <c r="NHU3001" s="125"/>
      <c r="NHV3001" s="470"/>
      <c r="NHW3001" s="449"/>
      <c r="NHX3001" s="462"/>
      <c r="NHY3001" s="299"/>
      <c r="NHZ3001" s="81"/>
      <c r="NIA3001" s="160"/>
      <c r="NIB3001" s="571"/>
      <c r="NIC3001" s="125"/>
      <c r="NID3001" s="470"/>
      <c r="NIE3001" s="449"/>
      <c r="NIF3001" s="462"/>
      <c r="NIG3001" s="299"/>
      <c r="NIH3001" s="81"/>
      <c r="NII3001" s="160"/>
      <c r="NIJ3001" s="571"/>
      <c r="NIK3001" s="125"/>
      <c r="NIL3001" s="470"/>
      <c r="NIM3001" s="449"/>
      <c r="NIN3001" s="462"/>
      <c r="NIO3001" s="299"/>
      <c r="NIP3001" s="81"/>
      <c r="NIQ3001" s="160"/>
      <c r="NIR3001" s="571"/>
      <c r="NIS3001" s="125"/>
      <c r="NIT3001" s="470"/>
      <c r="NIU3001" s="449"/>
      <c r="NIV3001" s="462"/>
      <c r="NIW3001" s="299"/>
      <c r="NIX3001" s="81"/>
      <c r="NIY3001" s="160"/>
      <c r="NIZ3001" s="571"/>
      <c r="NJA3001" s="125"/>
      <c r="NJB3001" s="470"/>
      <c r="NJC3001" s="449"/>
      <c r="NJD3001" s="462"/>
      <c r="NJE3001" s="299"/>
      <c r="NJF3001" s="81"/>
      <c r="NJG3001" s="160"/>
      <c r="NJH3001" s="571"/>
      <c r="NJI3001" s="125"/>
      <c r="NJJ3001" s="470"/>
      <c r="NJK3001" s="449"/>
      <c r="NJL3001" s="462"/>
      <c r="NJM3001" s="299"/>
      <c r="NJN3001" s="81"/>
      <c r="NJO3001" s="160"/>
      <c r="NJP3001" s="571"/>
      <c r="NJQ3001" s="125"/>
      <c r="NJR3001" s="470"/>
      <c r="NJS3001" s="449"/>
      <c r="NJT3001" s="462"/>
      <c r="NJU3001" s="299"/>
      <c r="NJV3001" s="81"/>
      <c r="NJW3001" s="160"/>
      <c r="NJX3001" s="571"/>
      <c r="NJY3001" s="125"/>
      <c r="NJZ3001" s="470"/>
      <c r="NKA3001" s="449"/>
      <c r="NKB3001" s="462"/>
      <c r="NKC3001" s="299"/>
      <c r="NKD3001" s="81"/>
      <c r="NKE3001" s="160"/>
      <c r="NKF3001" s="571"/>
      <c r="NKG3001" s="125"/>
      <c r="NKH3001" s="470"/>
      <c r="NKI3001" s="449"/>
      <c r="NKJ3001" s="462"/>
      <c r="NKK3001" s="299"/>
      <c r="NKL3001" s="81"/>
      <c r="NKM3001" s="160"/>
      <c r="NKN3001" s="571"/>
      <c r="NKO3001" s="125"/>
      <c r="NKP3001" s="470"/>
      <c r="NKQ3001" s="449"/>
      <c r="NKR3001" s="462"/>
      <c r="NKS3001" s="299"/>
      <c r="NKT3001" s="81"/>
      <c r="NKU3001" s="160"/>
      <c r="NKV3001" s="571"/>
      <c r="NKW3001" s="125"/>
      <c r="NKX3001" s="470"/>
      <c r="NKY3001" s="449"/>
      <c r="NKZ3001" s="462"/>
      <c r="NLA3001" s="299"/>
      <c r="NLB3001" s="81"/>
      <c r="NLC3001" s="160"/>
      <c r="NLD3001" s="571"/>
      <c r="NLE3001" s="125"/>
      <c r="NLF3001" s="470"/>
      <c r="NLG3001" s="449"/>
      <c r="NLH3001" s="462"/>
      <c r="NLI3001" s="299"/>
      <c r="NLJ3001" s="81"/>
      <c r="NLK3001" s="160"/>
      <c r="NLL3001" s="571"/>
      <c r="NLM3001" s="125"/>
      <c r="NLN3001" s="470"/>
      <c r="NLO3001" s="449"/>
      <c r="NLP3001" s="462"/>
      <c r="NLQ3001" s="299"/>
      <c r="NLR3001" s="81"/>
      <c r="NLS3001" s="160"/>
      <c r="NLT3001" s="571"/>
      <c r="NLU3001" s="125"/>
      <c r="NLV3001" s="470"/>
      <c r="NLW3001" s="449"/>
      <c r="NLX3001" s="462"/>
      <c r="NLY3001" s="299"/>
      <c r="NLZ3001" s="81"/>
      <c r="NMA3001" s="160"/>
      <c r="NMB3001" s="571"/>
      <c r="NMC3001" s="125"/>
      <c r="NMD3001" s="470"/>
      <c r="NME3001" s="449"/>
      <c r="NMF3001" s="462"/>
      <c r="NMG3001" s="299"/>
      <c r="NMH3001" s="81"/>
      <c r="NMI3001" s="160"/>
      <c r="NMJ3001" s="571"/>
      <c r="NMK3001" s="125"/>
      <c r="NML3001" s="470"/>
      <c r="NMM3001" s="449"/>
      <c r="NMN3001" s="462"/>
      <c r="NMO3001" s="299"/>
      <c r="NMP3001" s="81"/>
      <c r="NMQ3001" s="160"/>
      <c r="NMR3001" s="571"/>
      <c r="NMS3001" s="125"/>
      <c r="NMT3001" s="470"/>
      <c r="NMU3001" s="449"/>
      <c r="NMV3001" s="462"/>
      <c r="NMW3001" s="299"/>
      <c r="NMX3001" s="81"/>
      <c r="NMY3001" s="160"/>
      <c r="NMZ3001" s="571"/>
      <c r="NNA3001" s="125"/>
      <c r="NNB3001" s="470"/>
      <c r="NNC3001" s="449"/>
      <c r="NND3001" s="462"/>
      <c r="NNE3001" s="299"/>
      <c r="NNF3001" s="81"/>
      <c r="NNG3001" s="160"/>
      <c r="NNH3001" s="571"/>
      <c r="NNI3001" s="125"/>
      <c r="NNJ3001" s="470"/>
      <c r="NNK3001" s="449"/>
      <c r="NNL3001" s="462"/>
      <c r="NNM3001" s="299"/>
      <c r="NNN3001" s="81"/>
      <c r="NNO3001" s="160"/>
      <c r="NNP3001" s="571"/>
      <c r="NNQ3001" s="125"/>
      <c r="NNR3001" s="470"/>
      <c r="NNS3001" s="449"/>
      <c r="NNT3001" s="462"/>
      <c r="NNU3001" s="299"/>
      <c r="NNV3001" s="81"/>
      <c r="NNW3001" s="160"/>
      <c r="NNX3001" s="571"/>
      <c r="NNY3001" s="125"/>
      <c r="NNZ3001" s="470"/>
      <c r="NOA3001" s="449"/>
      <c r="NOB3001" s="462"/>
      <c r="NOC3001" s="299"/>
      <c r="NOD3001" s="81"/>
      <c r="NOE3001" s="160"/>
      <c r="NOF3001" s="571"/>
      <c r="NOG3001" s="125"/>
      <c r="NOH3001" s="470"/>
      <c r="NOI3001" s="449"/>
      <c r="NOJ3001" s="462"/>
      <c r="NOK3001" s="299"/>
      <c r="NOL3001" s="81"/>
      <c r="NOM3001" s="160"/>
      <c r="NON3001" s="571"/>
      <c r="NOO3001" s="125"/>
      <c r="NOP3001" s="470"/>
      <c r="NOQ3001" s="449"/>
      <c r="NOR3001" s="462"/>
      <c r="NOS3001" s="299"/>
      <c r="NOT3001" s="81"/>
      <c r="NOU3001" s="160"/>
      <c r="NOV3001" s="571"/>
      <c r="NOW3001" s="125"/>
      <c r="NOX3001" s="470"/>
      <c r="NOY3001" s="449"/>
      <c r="NOZ3001" s="462"/>
      <c r="NPA3001" s="299"/>
      <c r="NPB3001" s="81"/>
      <c r="NPC3001" s="160"/>
      <c r="NPD3001" s="571"/>
      <c r="NPE3001" s="125"/>
      <c r="NPF3001" s="470"/>
      <c r="NPG3001" s="449"/>
      <c r="NPH3001" s="462"/>
      <c r="NPI3001" s="299"/>
      <c r="NPJ3001" s="81"/>
      <c r="NPK3001" s="160"/>
      <c r="NPL3001" s="571"/>
      <c r="NPM3001" s="125"/>
      <c r="NPN3001" s="470"/>
      <c r="NPO3001" s="449"/>
      <c r="NPP3001" s="462"/>
      <c r="NPQ3001" s="299"/>
      <c r="NPR3001" s="81"/>
      <c r="NPS3001" s="160"/>
      <c r="NPT3001" s="571"/>
      <c r="NPU3001" s="125"/>
      <c r="NPV3001" s="470"/>
      <c r="NPW3001" s="449"/>
      <c r="NPX3001" s="462"/>
      <c r="NPY3001" s="299"/>
      <c r="NPZ3001" s="81"/>
      <c r="NQA3001" s="160"/>
      <c r="NQB3001" s="571"/>
      <c r="NQC3001" s="125"/>
      <c r="NQD3001" s="470"/>
      <c r="NQE3001" s="449"/>
      <c r="NQF3001" s="462"/>
      <c r="NQG3001" s="299"/>
      <c r="NQH3001" s="81"/>
      <c r="NQI3001" s="160"/>
      <c r="NQJ3001" s="571"/>
      <c r="NQK3001" s="125"/>
      <c r="NQL3001" s="470"/>
      <c r="NQM3001" s="449"/>
      <c r="NQN3001" s="462"/>
      <c r="NQO3001" s="299"/>
      <c r="NQP3001" s="81"/>
      <c r="NQQ3001" s="160"/>
      <c r="NQR3001" s="571"/>
      <c r="NQS3001" s="125"/>
      <c r="NQT3001" s="470"/>
      <c r="NQU3001" s="449"/>
      <c r="NQV3001" s="462"/>
      <c r="NQW3001" s="299"/>
      <c r="NQX3001" s="81"/>
      <c r="NQY3001" s="160"/>
      <c r="NQZ3001" s="571"/>
      <c r="NRA3001" s="125"/>
      <c r="NRB3001" s="470"/>
      <c r="NRC3001" s="449"/>
      <c r="NRD3001" s="462"/>
      <c r="NRE3001" s="299"/>
      <c r="NRF3001" s="81"/>
      <c r="NRG3001" s="160"/>
      <c r="NRH3001" s="571"/>
      <c r="NRI3001" s="125"/>
      <c r="NRJ3001" s="470"/>
      <c r="NRK3001" s="449"/>
      <c r="NRL3001" s="462"/>
      <c r="NRM3001" s="299"/>
      <c r="NRN3001" s="81"/>
      <c r="NRO3001" s="160"/>
      <c r="NRP3001" s="571"/>
      <c r="NRQ3001" s="125"/>
      <c r="NRR3001" s="470"/>
      <c r="NRS3001" s="449"/>
      <c r="NRT3001" s="462"/>
      <c r="NRU3001" s="299"/>
      <c r="NRV3001" s="81"/>
      <c r="NRW3001" s="160"/>
      <c r="NRX3001" s="571"/>
      <c r="NRY3001" s="125"/>
      <c r="NRZ3001" s="470"/>
      <c r="NSA3001" s="449"/>
      <c r="NSB3001" s="462"/>
      <c r="NSC3001" s="299"/>
      <c r="NSD3001" s="81"/>
      <c r="NSE3001" s="160"/>
      <c r="NSF3001" s="571"/>
      <c r="NSG3001" s="125"/>
      <c r="NSH3001" s="470"/>
      <c r="NSI3001" s="449"/>
      <c r="NSJ3001" s="462"/>
      <c r="NSK3001" s="299"/>
      <c r="NSL3001" s="81"/>
      <c r="NSM3001" s="160"/>
      <c r="NSN3001" s="571"/>
      <c r="NSO3001" s="125"/>
      <c r="NSP3001" s="470"/>
      <c r="NSQ3001" s="449"/>
      <c r="NSR3001" s="462"/>
      <c r="NSS3001" s="299"/>
      <c r="NST3001" s="81"/>
      <c r="NSU3001" s="160"/>
      <c r="NSV3001" s="571"/>
      <c r="NSW3001" s="125"/>
      <c r="NSX3001" s="470"/>
      <c r="NSY3001" s="449"/>
      <c r="NSZ3001" s="462"/>
      <c r="NTA3001" s="299"/>
      <c r="NTB3001" s="81"/>
      <c r="NTC3001" s="160"/>
      <c r="NTD3001" s="571"/>
      <c r="NTE3001" s="125"/>
      <c r="NTF3001" s="470"/>
      <c r="NTG3001" s="449"/>
      <c r="NTH3001" s="462"/>
      <c r="NTI3001" s="299"/>
      <c r="NTJ3001" s="81"/>
      <c r="NTK3001" s="160"/>
      <c r="NTL3001" s="571"/>
      <c r="NTM3001" s="125"/>
      <c r="NTN3001" s="470"/>
      <c r="NTO3001" s="449"/>
      <c r="NTP3001" s="462"/>
      <c r="NTQ3001" s="299"/>
      <c r="NTR3001" s="81"/>
      <c r="NTS3001" s="160"/>
      <c r="NTT3001" s="571"/>
      <c r="NTU3001" s="125"/>
      <c r="NTV3001" s="470"/>
      <c r="NTW3001" s="449"/>
      <c r="NTX3001" s="462"/>
      <c r="NTY3001" s="299"/>
      <c r="NTZ3001" s="81"/>
      <c r="NUA3001" s="160"/>
      <c r="NUB3001" s="571"/>
      <c r="NUC3001" s="125"/>
      <c r="NUD3001" s="470"/>
      <c r="NUE3001" s="449"/>
      <c r="NUF3001" s="462"/>
      <c r="NUG3001" s="299"/>
      <c r="NUH3001" s="81"/>
      <c r="NUI3001" s="160"/>
      <c r="NUJ3001" s="571"/>
      <c r="NUK3001" s="125"/>
      <c r="NUL3001" s="470"/>
      <c r="NUM3001" s="449"/>
      <c r="NUN3001" s="462"/>
      <c r="NUO3001" s="299"/>
      <c r="NUP3001" s="81"/>
      <c r="NUQ3001" s="160"/>
      <c r="NUR3001" s="571"/>
      <c r="NUS3001" s="125"/>
      <c r="NUT3001" s="470"/>
      <c r="NUU3001" s="449"/>
      <c r="NUV3001" s="462"/>
      <c r="NUW3001" s="299"/>
      <c r="NUX3001" s="81"/>
      <c r="NUY3001" s="160"/>
      <c r="NUZ3001" s="571"/>
      <c r="NVA3001" s="125"/>
      <c r="NVB3001" s="470"/>
      <c r="NVC3001" s="449"/>
      <c r="NVD3001" s="462"/>
      <c r="NVE3001" s="299"/>
      <c r="NVF3001" s="81"/>
      <c r="NVG3001" s="160"/>
      <c r="NVH3001" s="571"/>
      <c r="NVI3001" s="125"/>
      <c r="NVJ3001" s="470"/>
      <c r="NVK3001" s="449"/>
      <c r="NVL3001" s="462"/>
      <c r="NVM3001" s="299"/>
      <c r="NVN3001" s="81"/>
      <c r="NVO3001" s="160"/>
      <c r="NVP3001" s="571"/>
      <c r="NVQ3001" s="125"/>
      <c r="NVR3001" s="470"/>
      <c r="NVS3001" s="449"/>
      <c r="NVT3001" s="462"/>
      <c r="NVU3001" s="299"/>
      <c r="NVV3001" s="81"/>
      <c r="NVW3001" s="160"/>
      <c r="NVX3001" s="571"/>
      <c r="NVY3001" s="125"/>
      <c r="NVZ3001" s="470"/>
      <c r="NWA3001" s="449"/>
      <c r="NWB3001" s="462"/>
      <c r="NWC3001" s="299"/>
      <c r="NWD3001" s="81"/>
      <c r="NWE3001" s="160"/>
      <c r="NWF3001" s="571"/>
      <c r="NWG3001" s="125"/>
      <c r="NWH3001" s="470"/>
      <c r="NWI3001" s="449"/>
      <c r="NWJ3001" s="462"/>
      <c r="NWK3001" s="299"/>
      <c r="NWL3001" s="81"/>
      <c r="NWM3001" s="160"/>
      <c r="NWN3001" s="571"/>
      <c r="NWO3001" s="125"/>
      <c r="NWP3001" s="470"/>
      <c r="NWQ3001" s="449"/>
      <c r="NWR3001" s="462"/>
      <c r="NWS3001" s="299"/>
      <c r="NWT3001" s="81"/>
      <c r="NWU3001" s="160"/>
      <c r="NWV3001" s="571"/>
      <c r="NWW3001" s="125"/>
      <c r="NWX3001" s="470"/>
      <c r="NWY3001" s="449"/>
      <c r="NWZ3001" s="462"/>
      <c r="NXA3001" s="299"/>
      <c r="NXB3001" s="81"/>
      <c r="NXC3001" s="160"/>
      <c r="NXD3001" s="571"/>
      <c r="NXE3001" s="125"/>
      <c r="NXF3001" s="470"/>
      <c r="NXG3001" s="449"/>
      <c r="NXH3001" s="462"/>
      <c r="NXI3001" s="299"/>
      <c r="NXJ3001" s="81"/>
      <c r="NXK3001" s="160"/>
      <c r="NXL3001" s="571"/>
      <c r="NXM3001" s="125"/>
      <c r="NXN3001" s="470"/>
      <c r="NXO3001" s="449"/>
      <c r="NXP3001" s="462"/>
      <c r="NXQ3001" s="299"/>
      <c r="NXR3001" s="81"/>
      <c r="NXS3001" s="160"/>
      <c r="NXT3001" s="571"/>
      <c r="NXU3001" s="125"/>
      <c r="NXV3001" s="470"/>
      <c r="NXW3001" s="449"/>
      <c r="NXX3001" s="462"/>
      <c r="NXY3001" s="299"/>
      <c r="NXZ3001" s="81"/>
      <c r="NYA3001" s="160"/>
      <c r="NYB3001" s="571"/>
      <c r="NYC3001" s="125"/>
      <c r="NYD3001" s="470"/>
      <c r="NYE3001" s="449"/>
      <c r="NYF3001" s="462"/>
      <c r="NYG3001" s="299"/>
      <c r="NYH3001" s="81"/>
      <c r="NYI3001" s="160"/>
      <c r="NYJ3001" s="571"/>
      <c r="NYK3001" s="125"/>
      <c r="NYL3001" s="470"/>
      <c r="NYM3001" s="449"/>
      <c r="NYN3001" s="462"/>
      <c r="NYO3001" s="299"/>
      <c r="NYP3001" s="81"/>
      <c r="NYQ3001" s="160"/>
      <c r="NYR3001" s="571"/>
      <c r="NYS3001" s="125"/>
      <c r="NYT3001" s="470"/>
      <c r="NYU3001" s="449"/>
      <c r="NYV3001" s="462"/>
      <c r="NYW3001" s="299"/>
      <c r="NYX3001" s="81"/>
      <c r="NYY3001" s="160"/>
      <c r="NYZ3001" s="571"/>
      <c r="NZA3001" s="125"/>
      <c r="NZB3001" s="470"/>
      <c r="NZC3001" s="449"/>
      <c r="NZD3001" s="462"/>
      <c r="NZE3001" s="299"/>
      <c r="NZF3001" s="81"/>
      <c r="NZG3001" s="160"/>
      <c r="NZH3001" s="571"/>
      <c r="NZI3001" s="125"/>
      <c r="NZJ3001" s="470"/>
      <c r="NZK3001" s="449"/>
      <c r="NZL3001" s="462"/>
      <c r="NZM3001" s="299"/>
      <c r="NZN3001" s="81"/>
      <c r="NZO3001" s="160"/>
      <c r="NZP3001" s="571"/>
      <c r="NZQ3001" s="125"/>
      <c r="NZR3001" s="470"/>
      <c r="NZS3001" s="449"/>
      <c r="NZT3001" s="462"/>
      <c r="NZU3001" s="299"/>
      <c r="NZV3001" s="81"/>
      <c r="NZW3001" s="160"/>
      <c r="NZX3001" s="571"/>
      <c r="NZY3001" s="125"/>
      <c r="NZZ3001" s="470"/>
      <c r="OAA3001" s="449"/>
      <c r="OAB3001" s="462"/>
      <c r="OAC3001" s="299"/>
      <c r="OAD3001" s="81"/>
      <c r="OAE3001" s="160"/>
      <c r="OAF3001" s="571"/>
      <c r="OAG3001" s="125"/>
      <c r="OAH3001" s="470"/>
      <c r="OAI3001" s="449"/>
      <c r="OAJ3001" s="462"/>
      <c r="OAK3001" s="299"/>
      <c r="OAL3001" s="81"/>
      <c r="OAM3001" s="160"/>
      <c r="OAN3001" s="571"/>
      <c r="OAO3001" s="125"/>
      <c r="OAP3001" s="470"/>
      <c r="OAQ3001" s="449"/>
      <c r="OAR3001" s="462"/>
      <c r="OAS3001" s="299"/>
      <c r="OAT3001" s="81"/>
      <c r="OAU3001" s="160"/>
      <c r="OAV3001" s="571"/>
      <c r="OAW3001" s="125"/>
      <c r="OAX3001" s="470"/>
      <c r="OAY3001" s="449"/>
      <c r="OAZ3001" s="462"/>
      <c r="OBA3001" s="299"/>
      <c r="OBB3001" s="81"/>
      <c r="OBC3001" s="160"/>
      <c r="OBD3001" s="571"/>
      <c r="OBE3001" s="125"/>
      <c r="OBF3001" s="470"/>
      <c r="OBG3001" s="449"/>
      <c r="OBH3001" s="462"/>
      <c r="OBI3001" s="299"/>
      <c r="OBJ3001" s="81"/>
      <c r="OBK3001" s="160"/>
      <c r="OBL3001" s="571"/>
      <c r="OBM3001" s="125"/>
      <c r="OBN3001" s="470"/>
      <c r="OBO3001" s="449"/>
      <c r="OBP3001" s="462"/>
      <c r="OBQ3001" s="299"/>
      <c r="OBR3001" s="81"/>
      <c r="OBS3001" s="160"/>
      <c r="OBT3001" s="571"/>
      <c r="OBU3001" s="125"/>
      <c r="OBV3001" s="470"/>
      <c r="OBW3001" s="449"/>
      <c r="OBX3001" s="462"/>
      <c r="OBY3001" s="299"/>
      <c r="OBZ3001" s="81"/>
      <c r="OCA3001" s="160"/>
      <c r="OCB3001" s="571"/>
      <c r="OCC3001" s="125"/>
      <c r="OCD3001" s="470"/>
      <c r="OCE3001" s="449"/>
      <c r="OCF3001" s="462"/>
      <c r="OCG3001" s="299"/>
      <c r="OCH3001" s="81"/>
      <c r="OCI3001" s="160"/>
      <c r="OCJ3001" s="571"/>
      <c r="OCK3001" s="125"/>
      <c r="OCL3001" s="470"/>
      <c r="OCM3001" s="449"/>
      <c r="OCN3001" s="462"/>
      <c r="OCO3001" s="299"/>
      <c r="OCP3001" s="81"/>
      <c r="OCQ3001" s="160"/>
      <c r="OCR3001" s="571"/>
      <c r="OCS3001" s="125"/>
      <c r="OCT3001" s="470"/>
      <c r="OCU3001" s="449"/>
      <c r="OCV3001" s="462"/>
      <c r="OCW3001" s="299"/>
      <c r="OCX3001" s="81"/>
      <c r="OCY3001" s="160"/>
      <c r="OCZ3001" s="571"/>
      <c r="ODA3001" s="125"/>
      <c r="ODB3001" s="470"/>
      <c r="ODC3001" s="449"/>
      <c r="ODD3001" s="462"/>
      <c r="ODE3001" s="299"/>
      <c r="ODF3001" s="81"/>
      <c r="ODG3001" s="160"/>
      <c r="ODH3001" s="571"/>
      <c r="ODI3001" s="125"/>
      <c r="ODJ3001" s="470"/>
      <c r="ODK3001" s="449"/>
      <c r="ODL3001" s="462"/>
      <c r="ODM3001" s="299"/>
      <c r="ODN3001" s="81"/>
      <c r="ODO3001" s="160"/>
      <c r="ODP3001" s="571"/>
      <c r="ODQ3001" s="125"/>
      <c r="ODR3001" s="470"/>
      <c r="ODS3001" s="449"/>
      <c r="ODT3001" s="462"/>
      <c r="ODU3001" s="299"/>
      <c r="ODV3001" s="81"/>
      <c r="ODW3001" s="160"/>
      <c r="ODX3001" s="571"/>
      <c r="ODY3001" s="125"/>
      <c r="ODZ3001" s="470"/>
      <c r="OEA3001" s="449"/>
      <c r="OEB3001" s="462"/>
      <c r="OEC3001" s="299"/>
      <c r="OED3001" s="81"/>
      <c r="OEE3001" s="160"/>
      <c r="OEF3001" s="571"/>
      <c r="OEG3001" s="125"/>
      <c r="OEH3001" s="470"/>
      <c r="OEI3001" s="449"/>
      <c r="OEJ3001" s="462"/>
      <c r="OEK3001" s="299"/>
      <c r="OEL3001" s="81"/>
      <c r="OEM3001" s="160"/>
      <c r="OEN3001" s="571"/>
      <c r="OEO3001" s="125"/>
      <c r="OEP3001" s="470"/>
      <c r="OEQ3001" s="449"/>
      <c r="OER3001" s="462"/>
      <c r="OES3001" s="299"/>
      <c r="OET3001" s="81"/>
      <c r="OEU3001" s="160"/>
      <c r="OEV3001" s="571"/>
      <c r="OEW3001" s="125"/>
      <c r="OEX3001" s="470"/>
      <c r="OEY3001" s="449"/>
      <c r="OEZ3001" s="462"/>
      <c r="OFA3001" s="299"/>
      <c r="OFB3001" s="81"/>
      <c r="OFC3001" s="160"/>
      <c r="OFD3001" s="571"/>
      <c r="OFE3001" s="125"/>
      <c r="OFF3001" s="470"/>
      <c r="OFG3001" s="449"/>
      <c r="OFH3001" s="462"/>
      <c r="OFI3001" s="299"/>
      <c r="OFJ3001" s="81"/>
      <c r="OFK3001" s="160"/>
      <c r="OFL3001" s="571"/>
      <c r="OFM3001" s="125"/>
      <c r="OFN3001" s="470"/>
      <c r="OFO3001" s="449"/>
      <c r="OFP3001" s="462"/>
      <c r="OFQ3001" s="299"/>
      <c r="OFR3001" s="81"/>
      <c r="OFS3001" s="160"/>
      <c r="OFT3001" s="571"/>
      <c r="OFU3001" s="125"/>
      <c r="OFV3001" s="470"/>
      <c r="OFW3001" s="449"/>
      <c r="OFX3001" s="462"/>
      <c r="OFY3001" s="299"/>
      <c r="OFZ3001" s="81"/>
      <c r="OGA3001" s="160"/>
      <c r="OGB3001" s="571"/>
      <c r="OGC3001" s="125"/>
      <c r="OGD3001" s="470"/>
      <c r="OGE3001" s="449"/>
      <c r="OGF3001" s="462"/>
      <c r="OGG3001" s="299"/>
      <c r="OGH3001" s="81"/>
      <c r="OGI3001" s="160"/>
      <c r="OGJ3001" s="571"/>
      <c r="OGK3001" s="125"/>
      <c r="OGL3001" s="470"/>
      <c r="OGM3001" s="449"/>
      <c r="OGN3001" s="462"/>
      <c r="OGO3001" s="299"/>
      <c r="OGP3001" s="81"/>
      <c r="OGQ3001" s="160"/>
      <c r="OGR3001" s="571"/>
      <c r="OGS3001" s="125"/>
      <c r="OGT3001" s="470"/>
      <c r="OGU3001" s="449"/>
      <c r="OGV3001" s="462"/>
      <c r="OGW3001" s="299"/>
      <c r="OGX3001" s="81"/>
      <c r="OGY3001" s="160"/>
      <c r="OGZ3001" s="571"/>
      <c r="OHA3001" s="125"/>
      <c r="OHB3001" s="470"/>
      <c r="OHC3001" s="449"/>
      <c r="OHD3001" s="462"/>
      <c r="OHE3001" s="299"/>
      <c r="OHF3001" s="81"/>
      <c r="OHG3001" s="160"/>
      <c r="OHH3001" s="571"/>
      <c r="OHI3001" s="125"/>
      <c r="OHJ3001" s="470"/>
      <c r="OHK3001" s="449"/>
      <c r="OHL3001" s="462"/>
      <c r="OHM3001" s="299"/>
      <c r="OHN3001" s="81"/>
      <c r="OHO3001" s="160"/>
      <c r="OHP3001" s="571"/>
      <c r="OHQ3001" s="125"/>
      <c r="OHR3001" s="470"/>
      <c r="OHS3001" s="449"/>
      <c r="OHT3001" s="462"/>
      <c r="OHU3001" s="299"/>
      <c r="OHV3001" s="81"/>
      <c r="OHW3001" s="160"/>
      <c r="OHX3001" s="571"/>
      <c r="OHY3001" s="125"/>
      <c r="OHZ3001" s="470"/>
      <c r="OIA3001" s="449"/>
      <c r="OIB3001" s="462"/>
      <c r="OIC3001" s="299"/>
      <c r="OID3001" s="81"/>
      <c r="OIE3001" s="160"/>
      <c r="OIF3001" s="571"/>
      <c r="OIG3001" s="125"/>
      <c r="OIH3001" s="470"/>
      <c r="OII3001" s="449"/>
      <c r="OIJ3001" s="462"/>
      <c r="OIK3001" s="299"/>
      <c r="OIL3001" s="81"/>
      <c r="OIM3001" s="160"/>
      <c r="OIN3001" s="571"/>
      <c r="OIO3001" s="125"/>
      <c r="OIP3001" s="470"/>
      <c r="OIQ3001" s="449"/>
      <c r="OIR3001" s="462"/>
      <c r="OIS3001" s="299"/>
      <c r="OIT3001" s="81"/>
      <c r="OIU3001" s="160"/>
      <c r="OIV3001" s="571"/>
      <c r="OIW3001" s="125"/>
      <c r="OIX3001" s="470"/>
      <c r="OIY3001" s="449"/>
      <c r="OIZ3001" s="462"/>
      <c r="OJA3001" s="299"/>
      <c r="OJB3001" s="81"/>
      <c r="OJC3001" s="160"/>
      <c r="OJD3001" s="571"/>
      <c r="OJE3001" s="125"/>
      <c r="OJF3001" s="470"/>
      <c r="OJG3001" s="449"/>
      <c r="OJH3001" s="462"/>
      <c r="OJI3001" s="299"/>
      <c r="OJJ3001" s="81"/>
      <c r="OJK3001" s="160"/>
      <c r="OJL3001" s="571"/>
      <c r="OJM3001" s="125"/>
      <c r="OJN3001" s="470"/>
      <c r="OJO3001" s="449"/>
      <c r="OJP3001" s="462"/>
      <c r="OJQ3001" s="299"/>
      <c r="OJR3001" s="81"/>
      <c r="OJS3001" s="160"/>
      <c r="OJT3001" s="571"/>
      <c r="OJU3001" s="125"/>
      <c r="OJV3001" s="470"/>
      <c r="OJW3001" s="449"/>
      <c r="OJX3001" s="462"/>
      <c r="OJY3001" s="299"/>
      <c r="OJZ3001" s="81"/>
      <c r="OKA3001" s="160"/>
      <c r="OKB3001" s="571"/>
      <c r="OKC3001" s="125"/>
      <c r="OKD3001" s="470"/>
      <c r="OKE3001" s="449"/>
      <c r="OKF3001" s="462"/>
      <c r="OKG3001" s="299"/>
      <c r="OKH3001" s="81"/>
      <c r="OKI3001" s="160"/>
      <c r="OKJ3001" s="571"/>
      <c r="OKK3001" s="125"/>
      <c r="OKL3001" s="470"/>
      <c r="OKM3001" s="449"/>
      <c r="OKN3001" s="462"/>
      <c r="OKO3001" s="299"/>
      <c r="OKP3001" s="81"/>
      <c r="OKQ3001" s="160"/>
      <c r="OKR3001" s="571"/>
      <c r="OKS3001" s="125"/>
      <c r="OKT3001" s="470"/>
      <c r="OKU3001" s="449"/>
      <c r="OKV3001" s="462"/>
      <c r="OKW3001" s="299"/>
      <c r="OKX3001" s="81"/>
      <c r="OKY3001" s="160"/>
      <c r="OKZ3001" s="571"/>
      <c r="OLA3001" s="125"/>
      <c r="OLB3001" s="470"/>
      <c r="OLC3001" s="449"/>
      <c r="OLD3001" s="462"/>
      <c r="OLE3001" s="299"/>
      <c r="OLF3001" s="81"/>
      <c r="OLG3001" s="160"/>
      <c r="OLH3001" s="571"/>
      <c r="OLI3001" s="125"/>
      <c r="OLJ3001" s="470"/>
      <c r="OLK3001" s="449"/>
      <c r="OLL3001" s="462"/>
      <c r="OLM3001" s="299"/>
      <c r="OLN3001" s="81"/>
      <c r="OLO3001" s="160"/>
      <c r="OLP3001" s="571"/>
      <c r="OLQ3001" s="125"/>
      <c r="OLR3001" s="470"/>
      <c r="OLS3001" s="449"/>
      <c r="OLT3001" s="462"/>
      <c r="OLU3001" s="299"/>
      <c r="OLV3001" s="81"/>
      <c r="OLW3001" s="160"/>
      <c r="OLX3001" s="571"/>
      <c r="OLY3001" s="125"/>
      <c r="OLZ3001" s="470"/>
      <c r="OMA3001" s="449"/>
      <c r="OMB3001" s="462"/>
      <c r="OMC3001" s="299"/>
      <c r="OMD3001" s="81"/>
      <c r="OME3001" s="160"/>
      <c r="OMF3001" s="571"/>
      <c r="OMG3001" s="125"/>
      <c r="OMH3001" s="470"/>
      <c r="OMI3001" s="449"/>
      <c r="OMJ3001" s="462"/>
      <c r="OMK3001" s="299"/>
      <c r="OML3001" s="81"/>
      <c r="OMM3001" s="160"/>
      <c r="OMN3001" s="571"/>
      <c r="OMO3001" s="125"/>
      <c r="OMP3001" s="470"/>
      <c r="OMQ3001" s="449"/>
      <c r="OMR3001" s="462"/>
      <c r="OMS3001" s="299"/>
      <c r="OMT3001" s="81"/>
      <c r="OMU3001" s="160"/>
      <c r="OMV3001" s="571"/>
      <c r="OMW3001" s="125"/>
      <c r="OMX3001" s="470"/>
      <c r="OMY3001" s="449"/>
      <c r="OMZ3001" s="462"/>
      <c r="ONA3001" s="299"/>
      <c r="ONB3001" s="81"/>
      <c r="ONC3001" s="160"/>
      <c r="OND3001" s="571"/>
      <c r="ONE3001" s="125"/>
      <c r="ONF3001" s="470"/>
      <c r="ONG3001" s="449"/>
      <c r="ONH3001" s="462"/>
      <c r="ONI3001" s="299"/>
      <c r="ONJ3001" s="81"/>
      <c r="ONK3001" s="160"/>
      <c r="ONL3001" s="571"/>
      <c r="ONM3001" s="125"/>
      <c r="ONN3001" s="470"/>
      <c r="ONO3001" s="449"/>
      <c r="ONP3001" s="462"/>
      <c r="ONQ3001" s="299"/>
      <c r="ONR3001" s="81"/>
      <c r="ONS3001" s="160"/>
      <c r="ONT3001" s="571"/>
      <c r="ONU3001" s="125"/>
      <c r="ONV3001" s="470"/>
      <c r="ONW3001" s="449"/>
      <c r="ONX3001" s="462"/>
      <c r="ONY3001" s="299"/>
      <c r="ONZ3001" s="81"/>
      <c r="OOA3001" s="160"/>
      <c r="OOB3001" s="571"/>
      <c r="OOC3001" s="125"/>
      <c r="OOD3001" s="470"/>
      <c r="OOE3001" s="449"/>
      <c r="OOF3001" s="462"/>
      <c r="OOG3001" s="299"/>
      <c r="OOH3001" s="81"/>
      <c r="OOI3001" s="160"/>
      <c r="OOJ3001" s="571"/>
      <c r="OOK3001" s="125"/>
      <c r="OOL3001" s="470"/>
      <c r="OOM3001" s="449"/>
      <c r="OON3001" s="462"/>
      <c r="OOO3001" s="299"/>
      <c r="OOP3001" s="81"/>
      <c r="OOQ3001" s="160"/>
      <c r="OOR3001" s="571"/>
      <c r="OOS3001" s="125"/>
      <c r="OOT3001" s="470"/>
      <c r="OOU3001" s="449"/>
      <c r="OOV3001" s="462"/>
      <c r="OOW3001" s="299"/>
      <c r="OOX3001" s="81"/>
      <c r="OOY3001" s="160"/>
      <c r="OOZ3001" s="571"/>
      <c r="OPA3001" s="125"/>
      <c r="OPB3001" s="470"/>
      <c r="OPC3001" s="449"/>
      <c r="OPD3001" s="462"/>
      <c r="OPE3001" s="299"/>
      <c r="OPF3001" s="81"/>
      <c r="OPG3001" s="160"/>
      <c r="OPH3001" s="571"/>
      <c r="OPI3001" s="125"/>
      <c r="OPJ3001" s="470"/>
      <c r="OPK3001" s="449"/>
      <c r="OPL3001" s="462"/>
      <c r="OPM3001" s="299"/>
      <c r="OPN3001" s="81"/>
      <c r="OPO3001" s="160"/>
      <c r="OPP3001" s="571"/>
      <c r="OPQ3001" s="125"/>
      <c r="OPR3001" s="470"/>
      <c r="OPS3001" s="449"/>
      <c r="OPT3001" s="462"/>
      <c r="OPU3001" s="299"/>
      <c r="OPV3001" s="81"/>
      <c r="OPW3001" s="160"/>
      <c r="OPX3001" s="571"/>
      <c r="OPY3001" s="125"/>
      <c r="OPZ3001" s="470"/>
      <c r="OQA3001" s="449"/>
      <c r="OQB3001" s="462"/>
      <c r="OQC3001" s="299"/>
      <c r="OQD3001" s="81"/>
      <c r="OQE3001" s="160"/>
      <c r="OQF3001" s="571"/>
      <c r="OQG3001" s="125"/>
      <c r="OQH3001" s="470"/>
      <c r="OQI3001" s="449"/>
      <c r="OQJ3001" s="462"/>
      <c r="OQK3001" s="299"/>
      <c r="OQL3001" s="81"/>
      <c r="OQM3001" s="160"/>
      <c r="OQN3001" s="571"/>
      <c r="OQO3001" s="125"/>
      <c r="OQP3001" s="470"/>
      <c r="OQQ3001" s="449"/>
      <c r="OQR3001" s="462"/>
      <c r="OQS3001" s="299"/>
      <c r="OQT3001" s="81"/>
      <c r="OQU3001" s="160"/>
      <c r="OQV3001" s="571"/>
      <c r="OQW3001" s="125"/>
      <c r="OQX3001" s="470"/>
      <c r="OQY3001" s="449"/>
      <c r="OQZ3001" s="462"/>
      <c r="ORA3001" s="299"/>
      <c r="ORB3001" s="81"/>
      <c r="ORC3001" s="160"/>
      <c r="ORD3001" s="571"/>
      <c r="ORE3001" s="125"/>
      <c r="ORF3001" s="470"/>
      <c r="ORG3001" s="449"/>
      <c r="ORH3001" s="462"/>
      <c r="ORI3001" s="299"/>
      <c r="ORJ3001" s="81"/>
      <c r="ORK3001" s="160"/>
      <c r="ORL3001" s="571"/>
      <c r="ORM3001" s="125"/>
      <c r="ORN3001" s="470"/>
      <c r="ORO3001" s="449"/>
      <c r="ORP3001" s="462"/>
      <c r="ORQ3001" s="299"/>
      <c r="ORR3001" s="81"/>
      <c r="ORS3001" s="160"/>
      <c r="ORT3001" s="571"/>
      <c r="ORU3001" s="125"/>
      <c r="ORV3001" s="470"/>
      <c r="ORW3001" s="449"/>
      <c r="ORX3001" s="462"/>
      <c r="ORY3001" s="299"/>
      <c r="ORZ3001" s="81"/>
      <c r="OSA3001" s="160"/>
      <c r="OSB3001" s="571"/>
      <c r="OSC3001" s="125"/>
      <c r="OSD3001" s="470"/>
      <c r="OSE3001" s="449"/>
      <c r="OSF3001" s="462"/>
      <c r="OSG3001" s="299"/>
      <c r="OSH3001" s="81"/>
      <c r="OSI3001" s="160"/>
      <c r="OSJ3001" s="571"/>
      <c r="OSK3001" s="125"/>
      <c r="OSL3001" s="470"/>
      <c r="OSM3001" s="449"/>
      <c r="OSN3001" s="462"/>
      <c r="OSO3001" s="299"/>
      <c r="OSP3001" s="81"/>
      <c r="OSQ3001" s="160"/>
      <c r="OSR3001" s="571"/>
      <c r="OSS3001" s="125"/>
      <c r="OST3001" s="470"/>
      <c r="OSU3001" s="449"/>
      <c r="OSV3001" s="462"/>
      <c r="OSW3001" s="299"/>
      <c r="OSX3001" s="81"/>
      <c r="OSY3001" s="160"/>
      <c r="OSZ3001" s="571"/>
      <c r="OTA3001" s="125"/>
      <c r="OTB3001" s="470"/>
      <c r="OTC3001" s="449"/>
      <c r="OTD3001" s="462"/>
      <c r="OTE3001" s="299"/>
      <c r="OTF3001" s="81"/>
      <c r="OTG3001" s="160"/>
      <c r="OTH3001" s="571"/>
      <c r="OTI3001" s="125"/>
      <c r="OTJ3001" s="470"/>
      <c r="OTK3001" s="449"/>
      <c r="OTL3001" s="462"/>
      <c r="OTM3001" s="299"/>
      <c r="OTN3001" s="81"/>
      <c r="OTO3001" s="160"/>
      <c r="OTP3001" s="571"/>
      <c r="OTQ3001" s="125"/>
      <c r="OTR3001" s="470"/>
      <c r="OTS3001" s="449"/>
      <c r="OTT3001" s="462"/>
      <c r="OTU3001" s="299"/>
      <c r="OTV3001" s="81"/>
      <c r="OTW3001" s="160"/>
      <c r="OTX3001" s="571"/>
      <c r="OTY3001" s="125"/>
      <c r="OTZ3001" s="470"/>
      <c r="OUA3001" s="449"/>
      <c r="OUB3001" s="462"/>
      <c r="OUC3001" s="299"/>
      <c r="OUD3001" s="81"/>
      <c r="OUE3001" s="160"/>
      <c r="OUF3001" s="571"/>
      <c r="OUG3001" s="125"/>
      <c r="OUH3001" s="470"/>
      <c r="OUI3001" s="449"/>
      <c r="OUJ3001" s="462"/>
      <c r="OUK3001" s="299"/>
      <c r="OUL3001" s="81"/>
      <c r="OUM3001" s="160"/>
      <c r="OUN3001" s="571"/>
      <c r="OUO3001" s="125"/>
      <c r="OUP3001" s="470"/>
      <c r="OUQ3001" s="449"/>
      <c r="OUR3001" s="462"/>
      <c r="OUS3001" s="299"/>
      <c r="OUT3001" s="81"/>
      <c r="OUU3001" s="160"/>
      <c r="OUV3001" s="571"/>
      <c r="OUW3001" s="125"/>
      <c r="OUX3001" s="470"/>
      <c r="OUY3001" s="449"/>
      <c r="OUZ3001" s="462"/>
      <c r="OVA3001" s="299"/>
      <c r="OVB3001" s="81"/>
      <c r="OVC3001" s="160"/>
      <c r="OVD3001" s="571"/>
      <c r="OVE3001" s="125"/>
      <c r="OVF3001" s="470"/>
      <c r="OVG3001" s="449"/>
      <c r="OVH3001" s="462"/>
      <c r="OVI3001" s="299"/>
      <c r="OVJ3001" s="81"/>
      <c r="OVK3001" s="160"/>
      <c r="OVL3001" s="571"/>
      <c r="OVM3001" s="125"/>
      <c r="OVN3001" s="470"/>
      <c r="OVO3001" s="449"/>
      <c r="OVP3001" s="462"/>
      <c r="OVQ3001" s="299"/>
      <c r="OVR3001" s="81"/>
      <c r="OVS3001" s="160"/>
      <c r="OVT3001" s="571"/>
      <c r="OVU3001" s="125"/>
      <c r="OVV3001" s="470"/>
      <c r="OVW3001" s="449"/>
      <c r="OVX3001" s="462"/>
      <c r="OVY3001" s="299"/>
      <c r="OVZ3001" s="81"/>
      <c r="OWA3001" s="160"/>
      <c r="OWB3001" s="571"/>
      <c r="OWC3001" s="125"/>
      <c r="OWD3001" s="470"/>
      <c r="OWE3001" s="449"/>
      <c r="OWF3001" s="462"/>
      <c r="OWG3001" s="299"/>
      <c r="OWH3001" s="81"/>
      <c r="OWI3001" s="160"/>
      <c r="OWJ3001" s="571"/>
      <c r="OWK3001" s="125"/>
      <c r="OWL3001" s="470"/>
      <c r="OWM3001" s="449"/>
      <c r="OWN3001" s="462"/>
      <c r="OWO3001" s="299"/>
      <c r="OWP3001" s="81"/>
      <c r="OWQ3001" s="160"/>
      <c r="OWR3001" s="571"/>
      <c r="OWS3001" s="125"/>
      <c r="OWT3001" s="470"/>
      <c r="OWU3001" s="449"/>
      <c r="OWV3001" s="462"/>
      <c r="OWW3001" s="299"/>
      <c r="OWX3001" s="81"/>
      <c r="OWY3001" s="160"/>
      <c r="OWZ3001" s="571"/>
      <c r="OXA3001" s="125"/>
      <c r="OXB3001" s="470"/>
      <c r="OXC3001" s="449"/>
      <c r="OXD3001" s="462"/>
      <c r="OXE3001" s="299"/>
      <c r="OXF3001" s="81"/>
      <c r="OXG3001" s="160"/>
      <c r="OXH3001" s="571"/>
      <c r="OXI3001" s="125"/>
      <c r="OXJ3001" s="470"/>
      <c r="OXK3001" s="449"/>
      <c r="OXL3001" s="462"/>
      <c r="OXM3001" s="299"/>
      <c r="OXN3001" s="81"/>
      <c r="OXO3001" s="160"/>
      <c r="OXP3001" s="571"/>
      <c r="OXQ3001" s="125"/>
      <c r="OXR3001" s="470"/>
      <c r="OXS3001" s="449"/>
      <c r="OXT3001" s="462"/>
      <c r="OXU3001" s="299"/>
      <c r="OXV3001" s="81"/>
      <c r="OXW3001" s="160"/>
      <c r="OXX3001" s="571"/>
      <c r="OXY3001" s="125"/>
      <c r="OXZ3001" s="470"/>
      <c r="OYA3001" s="449"/>
      <c r="OYB3001" s="462"/>
      <c r="OYC3001" s="299"/>
      <c r="OYD3001" s="81"/>
      <c r="OYE3001" s="160"/>
      <c r="OYF3001" s="571"/>
      <c r="OYG3001" s="125"/>
      <c r="OYH3001" s="470"/>
      <c r="OYI3001" s="449"/>
      <c r="OYJ3001" s="462"/>
      <c r="OYK3001" s="299"/>
      <c r="OYL3001" s="81"/>
      <c r="OYM3001" s="160"/>
      <c r="OYN3001" s="571"/>
      <c r="OYO3001" s="125"/>
      <c r="OYP3001" s="470"/>
      <c r="OYQ3001" s="449"/>
      <c r="OYR3001" s="462"/>
      <c r="OYS3001" s="299"/>
      <c r="OYT3001" s="81"/>
      <c r="OYU3001" s="160"/>
      <c r="OYV3001" s="571"/>
      <c r="OYW3001" s="125"/>
      <c r="OYX3001" s="470"/>
      <c r="OYY3001" s="449"/>
      <c r="OYZ3001" s="462"/>
      <c r="OZA3001" s="299"/>
      <c r="OZB3001" s="81"/>
      <c r="OZC3001" s="160"/>
      <c r="OZD3001" s="571"/>
      <c r="OZE3001" s="125"/>
      <c r="OZF3001" s="470"/>
      <c r="OZG3001" s="449"/>
      <c r="OZH3001" s="462"/>
      <c r="OZI3001" s="299"/>
      <c r="OZJ3001" s="81"/>
      <c r="OZK3001" s="160"/>
      <c r="OZL3001" s="571"/>
      <c r="OZM3001" s="125"/>
      <c r="OZN3001" s="470"/>
      <c r="OZO3001" s="449"/>
      <c r="OZP3001" s="462"/>
      <c r="OZQ3001" s="299"/>
      <c r="OZR3001" s="81"/>
      <c r="OZS3001" s="160"/>
      <c r="OZT3001" s="571"/>
      <c r="OZU3001" s="125"/>
      <c r="OZV3001" s="470"/>
      <c r="OZW3001" s="449"/>
      <c r="OZX3001" s="462"/>
      <c r="OZY3001" s="299"/>
      <c r="OZZ3001" s="81"/>
      <c r="PAA3001" s="160"/>
      <c r="PAB3001" s="571"/>
      <c r="PAC3001" s="125"/>
      <c r="PAD3001" s="470"/>
      <c r="PAE3001" s="449"/>
      <c r="PAF3001" s="462"/>
      <c r="PAG3001" s="299"/>
      <c r="PAH3001" s="81"/>
      <c r="PAI3001" s="160"/>
      <c r="PAJ3001" s="571"/>
      <c r="PAK3001" s="125"/>
      <c r="PAL3001" s="470"/>
      <c r="PAM3001" s="449"/>
      <c r="PAN3001" s="462"/>
      <c r="PAO3001" s="299"/>
      <c r="PAP3001" s="81"/>
      <c r="PAQ3001" s="160"/>
      <c r="PAR3001" s="571"/>
      <c r="PAS3001" s="125"/>
      <c r="PAT3001" s="470"/>
      <c r="PAU3001" s="449"/>
      <c r="PAV3001" s="462"/>
      <c r="PAW3001" s="299"/>
      <c r="PAX3001" s="81"/>
      <c r="PAY3001" s="160"/>
      <c r="PAZ3001" s="571"/>
      <c r="PBA3001" s="125"/>
      <c r="PBB3001" s="470"/>
      <c r="PBC3001" s="449"/>
      <c r="PBD3001" s="462"/>
      <c r="PBE3001" s="299"/>
      <c r="PBF3001" s="81"/>
      <c r="PBG3001" s="160"/>
      <c r="PBH3001" s="571"/>
      <c r="PBI3001" s="125"/>
      <c r="PBJ3001" s="470"/>
      <c r="PBK3001" s="449"/>
      <c r="PBL3001" s="462"/>
      <c r="PBM3001" s="299"/>
      <c r="PBN3001" s="81"/>
      <c r="PBO3001" s="160"/>
      <c r="PBP3001" s="571"/>
      <c r="PBQ3001" s="125"/>
      <c r="PBR3001" s="470"/>
      <c r="PBS3001" s="449"/>
      <c r="PBT3001" s="462"/>
      <c r="PBU3001" s="299"/>
      <c r="PBV3001" s="81"/>
      <c r="PBW3001" s="160"/>
      <c r="PBX3001" s="571"/>
      <c r="PBY3001" s="125"/>
      <c r="PBZ3001" s="470"/>
      <c r="PCA3001" s="449"/>
      <c r="PCB3001" s="462"/>
      <c r="PCC3001" s="299"/>
      <c r="PCD3001" s="81"/>
      <c r="PCE3001" s="160"/>
      <c r="PCF3001" s="571"/>
      <c r="PCG3001" s="125"/>
      <c r="PCH3001" s="470"/>
      <c r="PCI3001" s="449"/>
      <c r="PCJ3001" s="462"/>
      <c r="PCK3001" s="299"/>
      <c r="PCL3001" s="81"/>
      <c r="PCM3001" s="160"/>
      <c r="PCN3001" s="571"/>
      <c r="PCO3001" s="125"/>
      <c r="PCP3001" s="470"/>
      <c r="PCQ3001" s="449"/>
      <c r="PCR3001" s="462"/>
      <c r="PCS3001" s="299"/>
      <c r="PCT3001" s="81"/>
      <c r="PCU3001" s="160"/>
      <c r="PCV3001" s="571"/>
      <c r="PCW3001" s="125"/>
      <c r="PCX3001" s="470"/>
      <c r="PCY3001" s="449"/>
      <c r="PCZ3001" s="462"/>
      <c r="PDA3001" s="299"/>
      <c r="PDB3001" s="81"/>
      <c r="PDC3001" s="160"/>
      <c r="PDD3001" s="571"/>
      <c r="PDE3001" s="125"/>
      <c r="PDF3001" s="470"/>
      <c r="PDG3001" s="449"/>
      <c r="PDH3001" s="462"/>
      <c r="PDI3001" s="299"/>
      <c r="PDJ3001" s="81"/>
      <c r="PDK3001" s="160"/>
      <c r="PDL3001" s="571"/>
      <c r="PDM3001" s="125"/>
      <c r="PDN3001" s="470"/>
      <c r="PDO3001" s="449"/>
      <c r="PDP3001" s="462"/>
      <c r="PDQ3001" s="299"/>
      <c r="PDR3001" s="81"/>
      <c r="PDS3001" s="160"/>
      <c r="PDT3001" s="571"/>
      <c r="PDU3001" s="125"/>
      <c r="PDV3001" s="470"/>
      <c r="PDW3001" s="449"/>
      <c r="PDX3001" s="462"/>
      <c r="PDY3001" s="299"/>
      <c r="PDZ3001" s="81"/>
      <c r="PEA3001" s="160"/>
      <c r="PEB3001" s="571"/>
      <c r="PEC3001" s="125"/>
      <c r="PED3001" s="470"/>
      <c r="PEE3001" s="449"/>
      <c r="PEF3001" s="462"/>
      <c r="PEG3001" s="299"/>
      <c r="PEH3001" s="81"/>
      <c r="PEI3001" s="160"/>
      <c r="PEJ3001" s="571"/>
      <c r="PEK3001" s="125"/>
      <c r="PEL3001" s="470"/>
      <c r="PEM3001" s="449"/>
      <c r="PEN3001" s="462"/>
      <c r="PEO3001" s="299"/>
      <c r="PEP3001" s="81"/>
      <c r="PEQ3001" s="160"/>
      <c r="PER3001" s="571"/>
      <c r="PES3001" s="125"/>
      <c r="PET3001" s="470"/>
      <c r="PEU3001" s="449"/>
      <c r="PEV3001" s="462"/>
      <c r="PEW3001" s="299"/>
      <c r="PEX3001" s="81"/>
      <c r="PEY3001" s="160"/>
      <c r="PEZ3001" s="571"/>
      <c r="PFA3001" s="125"/>
      <c r="PFB3001" s="470"/>
      <c r="PFC3001" s="449"/>
      <c r="PFD3001" s="462"/>
      <c r="PFE3001" s="299"/>
      <c r="PFF3001" s="81"/>
      <c r="PFG3001" s="160"/>
      <c r="PFH3001" s="571"/>
      <c r="PFI3001" s="125"/>
      <c r="PFJ3001" s="470"/>
      <c r="PFK3001" s="449"/>
      <c r="PFL3001" s="462"/>
      <c r="PFM3001" s="299"/>
      <c r="PFN3001" s="81"/>
      <c r="PFO3001" s="160"/>
      <c r="PFP3001" s="571"/>
      <c r="PFQ3001" s="125"/>
      <c r="PFR3001" s="470"/>
      <c r="PFS3001" s="449"/>
      <c r="PFT3001" s="462"/>
      <c r="PFU3001" s="299"/>
      <c r="PFV3001" s="81"/>
      <c r="PFW3001" s="160"/>
      <c r="PFX3001" s="571"/>
      <c r="PFY3001" s="125"/>
      <c r="PFZ3001" s="470"/>
      <c r="PGA3001" s="449"/>
      <c r="PGB3001" s="462"/>
      <c r="PGC3001" s="299"/>
      <c r="PGD3001" s="81"/>
      <c r="PGE3001" s="160"/>
      <c r="PGF3001" s="571"/>
      <c r="PGG3001" s="125"/>
      <c r="PGH3001" s="470"/>
      <c r="PGI3001" s="449"/>
      <c r="PGJ3001" s="462"/>
      <c r="PGK3001" s="299"/>
      <c r="PGL3001" s="81"/>
      <c r="PGM3001" s="160"/>
      <c r="PGN3001" s="571"/>
      <c r="PGO3001" s="125"/>
      <c r="PGP3001" s="470"/>
      <c r="PGQ3001" s="449"/>
      <c r="PGR3001" s="462"/>
      <c r="PGS3001" s="299"/>
      <c r="PGT3001" s="81"/>
      <c r="PGU3001" s="160"/>
      <c r="PGV3001" s="571"/>
      <c r="PGW3001" s="125"/>
      <c r="PGX3001" s="470"/>
      <c r="PGY3001" s="449"/>
      <c r="PGZ3001" s="462"/>
      <c r="PHA3001" s="299"/>
      <c r="PHB3001" s="81"/>
      <c r="PHC3001" s="160"/>
      <c r="PHD3001" s="571"/>
      <c r="PHE3001" s="125"/>
      <c r="PHF3001" s="470"/>
      <c r="PHG3001" s="449"/>
      <c r="PHH3001" s="462"/>
      <c r="PHI3001" s="299"/>
      <c r="PHJ3001" s="81"/>
      <c r="PHK3001" s="160"/>
      <c r="PHL3001" s="571"/>
      <c r="PHM3001" s="125"/>
      <c r="PHN3001" s="470"/>
      <c r="PHO3001" s="449"/>
      <c r="PHP3001" s="462"/>
      <c r="PHQ3001" s="299"/>
      <c r="PHR3001" s="81"/>
      <c r="PHS3001" s="160"/>
      <c r="PHT3001" s="571"/>
      <c r="PHU3001" s="125"/>
      <c r="PHV3001" s="470"/>
      <c r="PHW3001" s="449"/>
      <c r="PHX3001" s="462"/>
      <c r="PHY3001" s="299"/>
      <c r="PHZ3001" s="81"/>
      <c r="PIA3001" s="160"/>
      <c r="PIB3001" s="571"/>
      <c r="PIC3001" s="125"/>
      <c r="PID3001" s="470"/>
      <c r="PIE3001" s="449"/>
      <c r="PIF3001" s="462"/>
      <c r="PIG3001" s="299"/>
      <c r="PIH3001" s="81"/>
      <c r="PII3001" s="160"/>
      <c r="PIJ3001" s="571"/>
      <c r="PIK3001" s="125"/>
      <c r="PIL3001" s="470"/>
      <c r="PIM3001" s="449"/>
      <c r="PIN3001" s="462"/>
      <c r="PIO3001" s="299"/>
      <c r="PIP3001" s="81"/>
      <c r="PIQ3001" s="160"/>
      <c r="PIR3001" s="571"/>
      <c r="PIS3001" s="125"/>
      <c r="PIT3001" s="470"/>
      <c r="PIU3001" s="449"/>
      <c r="PIV3001" s="462"/>
      <c r="PIW3001" s="299"/>
      <c r="PIX3001" s="81"/>
      <c r="PIY3001" s="160"/>
      <c r="PIZ3001" s="571"/>
      <c r="PJA3001" s="125"/>
      <c r="PJB3001" s="470"/>
      <c r="PJC3001" s="449"/>
      <c r="PJD3001" s="462"/>
      <c r="PJE3001" s="299"/>
      <c r="PJF3001" s="81"/>
      <c r="PJG3001" s="160"/>
      <c r="PJH3001" s="571"/>
      <c r="PJI3001" s="125"/>
      <c r="PJJ3001" s="470"/>
      <c r="PJK3001" s="449"/>
      <c r="PJL3001" s="462"/>
      <c r="PJM3001" s="299"/>
      <c r="PJN3001" s="81"/>
      <c r="PJO3001" s="160"/>
      <c r="PJP3001" s="571"/>
      <c r="PJQ3001" s="125"/>
      <c r="PJR3001" s="470"/>
      <c r="PJS3001" s="449"/>
      <c r="PJT3001" s="462"/>
      <c r="PJU3001" s="299"/>
      <c r="PJV3001" s="81"/>
      <c r="PJW3001" s="160"/>
      <c r="PJX3001" s="571"/>
      <c r="PJY3001" s="125"/>
      <c r="PJZ3001" s="470"/>
      <c r="PKA3001" s="449"/>
      <c r="PKB3001" s="462"/>
      <c r="PKC3001" s="299"/>
      <c r="PKD3001" s="81"/>
      <c r="PKE3001" s="160"/>
      <c r="PKF3001" s="571"/>
      <c r="PKG3001" s="125"/>
      <c r="PKH3001" s="470"/>
      <c r="PKI3001" s="449"/>
      <c r="PKJ3001" s="462"/>
      <c r="PKK3001" s="299"/>
      <c r="PKL3001" s="81"/>
      <c r="PKM3001" s="160"/>
      <c r="PKN3001" s="571"/>
      <c r="PKO3001" s="125"/>
      <c r="PKP3001" s="470"/>
      <c r="PKQ3001" s="449"/>
      <c r="PKR3001" s="462"/>
      <c r="PKS3001" s="299"/>
      <c r="PKT3001" s="81"/>
      <c r="PKU3001" s="160"/>
      <c r="PKV3001" s="571"/>
      <c r="PKW3001" s="125"/>
      <c r="PKX3001" s="470"/>
      <c r="PKY3001" s="449"/>
      <c r="PKZ3001" s="462"/>
      <c r="PLA3001" s="299"/>
      <c r="PLB3001" s="81"/>
      <c r="PLC3001" s="160"/>
      <c r="PLD3001" s="571"/>
      <c r="PLE3001" s="125"/>
      <c r="PLF3001" s="470"/>
      <c r="PLG3001" s="449"/>
      <c r="PLH3001" s="462"/>
      <c r="PLI3001" s="299"/>
      <c r="PLJ3001" s="81"/>
      <c r="PLK3001" s="160"/>
      <c r="PLL3001" s="571"/>
      <c r="PLM3001" s="125"/>
      <c r="PLN3001" s="470"/>
      <c r="PLO3001" s="449"/>
      <c r="PLP3001" s="462"/>
      <c r="PLQ3001" s="299"/>
      <c r="PLR3001" s="81"/>
      <c r="PLS3001" s="160"/>
      <c r="PLT3001" s="571"/>
      <c r="PLU3001" s="125"/>
      <c r="PLV3001" s="470"/>
      <c r="PLW3001" s="449"/>
      <c r="PLX3001" s="462"/>
      <c r="PLY3001" s="299"/>
      <c r="PLZ3001" s="81"/>
      <c r="PMA3001" s="160"/>
      <c r="PMB3001" s="571"/>
      <c r="PMC3001" s="125"/>
      <c r="PMD3001" s="470"/>
      <c r="PME3001" s="449"/>
      <c r="PMF3001" s="462"/>
      <c r="PMG3001" s="299"/>
      <c r="PMH3001" s="81"/>
      <c r="PMI3001" s="160"/>
      <c r="PMJ3001" s="571"/>
      <c r="PMK3001" s="125"/>
      <c r="PML3001" s="470"/>
      <c r="PMM3001" s="449"/>
      <c r="PMN3001" s="462"/>
      <c r="PMO3001" s="299"/>
      <c r="PMP3001" s="81"/>
      <c r="PMQ3001" s="160"/>
      <c r="PMR3001" s="571"/>
      <c r="PMS3001" s="125"/>
      <c r="PMT3001" s="470"/>
      <c r="PMU3001" s="449"/>
      <c r="PMV3001" s="462"/>
      <c r="PMW3001" s="299"/>
      <c r="PMX3001" s="81"/>
      <c r="PMY3001" s="160"/>
      <c r="PMZ3001" s="571"/>
      <c r="PNA3001" s="125"/>
      <c r="PNB3001" s="470"/>
      <c r="PNC3001" s="449"/>
      <c r="PND3001" s="462"/>
      <c r="PNE3001" s="299"/>
      <c r="PNF3001" s="81"/>
      <c r="PNG3001" s="160"/>
      <c r="PNH3001" s="571"/>
      <c r="PNI3001" s="125"/>
      <c r="PNJ3001" s="470"/>
      <c r="PNK3001" s="449"/>
      <c r="PNL3001" s="462"/>
      <c r="PNM3001" s="299"/>
      <c r="PNN3001" s="81"/>
      <c r="PNO3001" s="160"/>
      <c r="PNP3001" s="571"/>
      <c r="PNQ3001" s="125"/>
      <c r="PNR3001" s="470"/>
      <c r="PNS3001" s="449"/>
      <c r="PNT3001" s="462"/>
      <c r="PNU3001" s="299"/>
      <c r="PNV3001" s="81"/>
      <c r="PNW3001" s="160"/>
      <c r="PNX3001" s="571"/>
      <c r="PNY3001" s="125"/>
      <c r="PNZ3001" s="470"/>
      <c r="POA3001" s="449"/>
      <c r="POB3001" s="462"/>
      <c r="POC3001" s="299"/>
      <c r="POD3001" s="81"/>
      <c r="POE3001" s="160"/>
      <c r="POF3001" s="571"/>
      <c r="POG3001" s="125"/>
      <c r="POH3001" s="470"/>
      <c r="POI3001" s="449"/>
      <c r="POJ3001" s="462"/>
      <c r="POK3001" s="299"/>
      <c r="POL3001" s="81"/>
      <c r="POM3001" s="160"/>
      <c r="PON3001" s="571"/>
      <c r="POO3001" s="125"/>
      <c r="POP3001" s="470"/>
      <c r="POQ3001" s="449"/>
      <c r="POR3001" s="462"/>
      <c r="POS3001" s="299"/>
      <c r="POT3001" s="81"/>
      <c r="POU3001" s="160"/>
      <c r="POV3001" s="571"/>
      <c r="POW3001" s="125"/>
      <c r="POX3001" s="470"/>
      <c r="POY3001" s="449"/>
      <c r="POZ3001" s="462"/>
      <c r="PPA3001" s="299"/>
      <c r="PPB3001" s="81"/>
      <c r="PPC3001" s="160"/>
      <c r="PPD3001" s="571"/>
      <c r="PPE3001" s="125"/>
      <c r="PPF3001" s="470"/>
      <c r="PPG3001" s="449"/>
      <c r="PPH3001" s="462"/>
      <c r="PPI3001" s="299"/>
      <c r="PPJ3001" s="81"/>
      <c r="PPK3001" s="160"/>
      <c r="PPL3001" s="571"/>
      <c r="PPM3001" s="125"/>
      <c r="PPN3001" s="470"/>
      <c r="PPO3001" s="449"/>
      <c r="PPP3001" s="462"/>
      <c r="PPQ3001" s="299"/>
      <c r="PPR3001" s="81"/>
      <c r="PPS3001" s="160"/>
      <c r="PPT3001" s="571"/>
      <c r="PPU3001" s="125"/>
      <c r="PPV3001" s="470"/>
      <c r="PPW3001" s="449"/>
      <c r="PPX3001" s="462"/>
      <c r="PPY3001" s="299"/>
      <c r="PPZ3001" s="81"/>
      <c r="PQA3001" s="160"/>
      <c r="PQB3001" s="571"/>
      <c r="PQC3001" s="125"/>
      <c r="PQD3001" s="470"/>
      <c r="PQE3001" s="449"/>
      <c r="PQF3001" s="462"/>
      <c r="PQG3001" s="299"/>
      <c r="PQH3001" s="81"/>
      <c r="PQI3001" s="160"/>
      <c r="PQJ3001" s="571"/>
      <c r="PQK3001" s="125"/>
      <c r="PQL3001" s="470"/>
      <c r="PQM3001" s="449"/>
      <c r="PQN3001" s="462"/>
      <c r="PQO3001" s="299"/>
      <c r="PQP3001" s="81"/>
      <c r="PQQ3001" s="160"/>
      <c r="PQR3001" s="571"/>
      <c r="PQS3001" s="125"/>
      <c r="PQT3001" s="470"/>
      <c r="PQU3001" s="449"/>
      <c r="PQV3001" s="462"/>
      <c r="PQW3001" s="299"/>
      <c r="PQX3001" s="81"/>
      <c r="PQY3001" s="160"/>
      <c r="PQZ3001" s="571"/>
      <c r="PRA3001" s="125"/>
      <c r="PRB3001" s="470"/>
      <c r="PRC3001" s="449"/>
      <c r="PRD3001" s="462"/>
      <c r="PRE3001" s="299"/>
      <c r="PRF3001" s="81"/>
      <c r="PRG3001" s="160"/>
      <c r="PRH3001" s="571"/>
      <c r="PRI3001" s="125"/>
      <c r="PRJ3001" s="470"/>
      <c r="PRK3001" s="449"/>
      <c r="PRL3001" s="462"/>
      <c r="PRM3001" s="299"/>
      <c r="PRN3001" s="81"/>
      <c r="PRO3001" s="160"/>
      <c r="PRP3001" s="571"/>
      <c r="PRQ3001" s="125"/>
      <c r="PRR3001" s="470"/>
      <c r="PRS3001" s="449"/>
      <c r="PRT3001" s="462"/>
      <c r="PRU3001" s="299"/>
      <c r="PRV3001" s="81"/>
      <c r="PRW3001" s="160"/>
      <c r="PRX3001" s="571"/>
      <c r="PRY3001" s="125"/>
      <c r="PRZ3001" s="470"/>
      <c r="PSA3001" s="449"/>
      <c r="PSB3001" s="462"/>
      <c r="PSC3001" s="299"/>
      <c r="PSD3001" s="81"/>
      <c r="PSE3001" s="160"/>
      <c r="PSF3001" s="571"/>
      <c r="PSG3001" s="125"/>
      <c r="PSH3001" s="470"/>
      <c r="PSI3001" s="449"/>
      <c r="PSJ3001" s="462"/>
      <c r="PSK3001" s="299"/>
      <c r="PSL3001" s="81"/>
      <c r="PSM3001" s="160"/>
      <c r="PSN3001" s="571"/>
      <c r="PSO3001" s="125"/>
      <c r="PSP3001" s="470"/>
      <c r="PSQ3001" s="449"/>
      <c r="PSR3001" s="462"/>
      <c r="PSS3001" s="299"/>
      <c r="PST3001" s="81"/>
      <c r="PSU3001" s="160"/>
      <c r="PSV3001" s="571"/>
      <c r="PSW3001" s="125"/>
      <c r="PSX3001" s="470"/>
      <c r="PSY3001" s="449"/>
      <c r="PSZ3001" s="462"/>
      <c r="PTA3001" s="299"/>
      <c r="PTB3001" s="81"/>
      <c r="PTC3001" s="160"/>
      <c r="PTD3001" s="571"/>
      <c r="PTE3001" s="125"/>
      <c r="PTF3001" s="470"/>
      <c r="PTG3001" s="449"/>
      <c r="PTH3001" s="462"/>
      <c r="PTI3001" s="299"/>
      <c r="PTJ3001" s="81"/>
      <c r="PTK3001" s="160"/>
      <c r="PTL3001" s="571"/>
      <c r="PTM3001" s="125"/>
      <c r="PTN3001" s="470"/>
      <c r="PTO3001" s="449"/>
      <c r="PTP3001" s="462"/>
      <c r="PTQ3001" s="299"/>
      <c r="PTR3001" s="81"/>
      <c r="PTS3001" s="160"/>
      <c r="PTT3001" s="571"/>
      <c r="PTU3001" s="125"/>
      <c r="PTV3001" s="470"/>
      <c r="PTW3001" s="449"/>
      <c r="PTX3001" s="462"/>
      <c r="PTY3001" s="299"/>
      <c r="PTZ3001" s="81"/>
      <c r="PUA3001" s="160"/>
      <c r="PUB3001" s="571"/>
      <c r="PUC3001" s="125"/>
      <c r="PUD3001" s="470"/>
      <c r="PUE3001" s="449"/>
      <c r="PUF3001" s="462"/>
      <c r="PUG3001" s="299"/>
      <c r="PUH3001" s="81"/>
      <c r="PUI3001" s="160"/>
      <c r="PUJ3001" s="571"/>
      <c r="PUK3001" s="125"/>
      <c r="PUL3001" s="470"/>
      <c r="PUM3001" s="449"/>
      <c r="PUN3001" s="462"/>
      <c r="PUO3001" s="299"/>
      <c r="PUP3001" s="81"/>
      <c r="PUQ3001" s="160"/>
      <c r="PUR3001" s="571"/>
      <c r="PUS3001" s="125"/>
      <c r="PUT3001" s="470"/>
      <c r="PUU3001" s="449"/>
      <c r="PUV3001" s="462"/>
      <c r="PUW3001" s="299"/>
      <c r="PUX3001" s="81"/>
      <c r="PUY3001" s="160"/>
      <c r="PUZ3001" s="571"/>
      <c r="PVA3001" s="125"/>
      <c r="PVB3001" s="470"/>
      <c r="PVC3001" s="449"/>
      <c r="PVD3001" s="462"/>
      <c r="PVE3001" s="299"/>
      <c r="PVF3001" s="81"/>
      <c r="PVG3001" s="160"/>
      <c r="PVH3001" s="571"/>
      <c r="PVI3001" s="125"/>
      <c r="PVJ3001" s="470"/>
      <c r="PVK3001" s="449"/>
      <c r="PVL3001" s="462"/>
      <c r="PVM3001" s="299"/>
      <c r="PVN3001" s="81"/>
      <c r="PVO3001" s="160"/>
      <c r="PVP3001" s="571"/>
      <c r="PVQ3001" s="125"/>
      <c r="PVR3001" s="470"/>
      <c r="PVS3001" s="449"/>
      <c r="PVT3001" s="462"/>
      <c r="PVU3001" s="299"/>
      <c r="PVV3001" s="81"/>
      <c r="PVW3001" s="160"/>
      <c r="PVX3001" s="571"/>
      <c r="PVY3001" s="125"/>
      <c r="PVZ3001" s="470"/>
      <c r="PWA3001" s="449"/>
      <c r="PWB3001" s="462"/>
      <c r="PWC3001" s="299"/>
      <c r="PWD3001" s="81"/>
      <c r="PWE3001" s="160"/>
      <c r="PWF3001" s="571"/>
      <c r="PWG3001" s="125"/>
      <c r="PWH3001" s="470"/>
      <c r="PWI3001" s="449"/>
      <c r="PWJ3001" s="462"/>
      <c r="PWK3001" s="299"/>
      <c r="PWL3001" s="81"/>
      <c r="PWM3001" s="160"/>
      <c r="PWN3001" s="571"/>
      <c r="PWO3001" s="125"/>
      <c r="PWP3001" s="470"/>
      <c r="PWQ3001" s="449"/>
      <c r="PWR3001" s="462"/>
      <c r="PWS3001" s="299"/>
      <c r="PWT3001" s="81"/>
      <c r="PWU3001" s="160"/>
      <c r="PWV3001" s="571"/>
      <c r="PWW3001" s="125"/>
      <c r="PWX3001" s="470"/>
      <c r="PWY3001" s="449"/>
      <c r="PWZ3001" s="462"/>
      <c r="PXA3001" s="299"/>
      <c r="PXB3001" s="81"/>
      <c r="PXC3001" s="160"/>
      <c r="PXD3001" s="571"/>
      <c r="PXE3001" s="125"/>
      <c r="PXF3001" s="470"/>
      <c r="PXG3001" s="449"/>
      <c r="PXH3001" s="462"/>
      <c r="PXI3001" s="299"/>
      <c r="PXJ3001" s="81"/>
      <c r="PXK3001" s="160"/>
      <c r="PXL3001" s="571"/>
      <c r="PXM3001" s="125"/>
      <c r="PXN3001" s="470"/>
      <c r="PXO3001" s="449"/>
      <c r="PXP3001" s="462"/>
      <c r="PXQ3001" s="299"/>
      <c r="PXR3001" s="81"/>
      <c r="PXS3001" s="160"/>
      <c r="PXT3001" s="571"/>
      <c r="PXU3001" s="125"/>
      <c r="PXV3001" s="470"/>
      <c r="PXW3001" s="449"/>
      <c r="PXX3001" s="462"/>
      <c r="PXY3001" s="299"/>
      <c r="PXZ3001" s="81"/>
      <c r="PYA3001" s="160"/>
      <c r="PYB3001" s="571"/>
      <c r="PYC3001" s="125"/>
      <c r="PYD3001" s="470"/>
      <c r="PYE3001" s="449"/>
      <c r="PYF3001" s="462"/>
      <c r="PYG3001" s="299"/>
      <c r="PYH3001" s="81"/>
      <c r="PYI3001" s="160"/>
      <c r="PYJ3001" s="571"/>
      <c r="PYK3001" s="125"/>
      <c r="PYL3001" s="470"/>
      <c r="PYM3001" s="449"/>
      <c r="PYN3001" s="462"/>
      <c r="PYO3001" s="299"/>
      <c r="PYP3001" s="81"/>
      <c r="PYQ3001" s="160"/>
      <c r="PYR3001" s="571"/>
      <c r="PYS3001" s="125"/>
      <c r="PYT3001" s="470"/>
      <c r="PYU3001" s="449"/>
      <c r="PYV3001" s="462"/>
      <c r="PYW3001" s="299"/>
      <c r="PYX3001" s="81"/>
      <c r="PYY3001" s="160"/>
      <c r="PYZ3001" s="571"/>
      <c r="PZA3001" s="125"/>
      <c r="PZB3001" s="470"/>
      <c r="PZC3001" s="449"/>
      <c r="PZD3001" s="462"/>
      <c r="PZE3001" s="299"/>
      <c r="PZF3001" s="81"/>
      <c r="PZG3001" s="160"/>
      <c r="PZH3001" s="571"/>
      <c r="PZI3001" s="125"/>
      <c r="PZJ3001" s="470"/>
      <c r="PZK3001" s="449"/>
      <c r="PZL3001" s="462"/>
      <c r="PZM3001" s="299"/>
      <c r="PZN3001" s="81"/>
      <c r="PZO3001" s="160"/>
      <c r="PZP3001" s="571"/>
      <c r="PZQ3001" s="125"/>
      <c r="PZR3001" s="470"/>
      <c r="PZS3001" s="449"/>
      <c r="PZT3001" s="462"/>
      <c r="PZU3001" s="299"/>
      <c r="PZV3001" s="81"/>
      <c r="PZW3001" s="160"/>
      <c r="PZX3001" s="571"/>
      <c r="PZY3001" s="125"/>
      <c r="PZZ3001" s="470"/>
      <c r="QAA3001" s="449"/>
      <c r="QAB3001" s="462"/>
      <c r="QAC3001" s="299"/>
      <c r="QAD3001" s="81"/>
      <c r="QAE3001" s="160"/>
      <c r="QAF3001" s="571"/>
      <c r="QAG3001" s="125"/>
      <c r="QAH3001" s="470"/>
      <c r="QAI3001" s="449"/>
      <c r="QAJ3001" s="462"/>
      <c r="QAK3001" s="299"/>
      <c r="QAL3001" s="81"/>
      <c r="QAM3001" s="160"/>
      <c r="QAN3001" s="571"/>
      <c r="QAO3001" s="125"/>
      <c r="QAP3001" s="470"/>
      <c r="QAQ3001" s="449"/>
      <c r="QAR3001" s="462"/>
      <c r="QAS3001" s="299"/>
      <c r="QAT3001" s="81"/>
      <c r="QAU3001" s="160"/>
      <c r="QAV3001" s="571"/>
      <c r="QAW3001" s="125"/>
      <c r="QAX3001" s="470"/>
      <c r="QAY3001" s="449"/>
      <c r="QAZ3001" s="462"/>
      <c r="QBA3001" s="299"/>
      <c r="QBB3001" s="81"/>
      <c r="QBC3001" s="160"/>
      <c r="QBD3001" s="571"/>
      <c r="QBE3001" s="125"/>
      <c r="QBF3001" s="470"/>
      <c r="QBG3001" s="449"/>
      <c r="QBH3001" s="462"/>
      <c r="QBI3001" s="299"/>
      <c r="QBJ3001" s="81"/>
      <c r="QBK3001" s="160"/>
      <c r="QBL3001" s="571"/>
      <c r="QBM3001" s="125"/>
      <c r="QBN3001" s="470"/>
      <c r="QBO3001" s="449"/>
      <c r="QBP3001" s="462"/>
      <c r="QBQ3001" s="299"/>
      <c r="QBR3001" s="81"/>
      <c r="QBS3001" s="160"/>
      <c r="QBT3001" s="571"/>
      <c r="QBU3001" s="125"/>
      <c r="QBV3001" s="470"/>
      <c r="QBW3001" s="449"/>
      <c r="QBX3001" s="462"/>
      <c r="QBY3001" s="299"/>
      <c r="QBZ3001" s="81"/>
      <c r="QCA3001" s="160"/>
      <c r="QCB3001" s="571"/>
      <c r="QCC3001" s="125"/>
      <c r="QCD3001" s="470"/>
      <c r="QCE3001" s="449"/>
      <c r="QCF3001" s="462"/>
      <c r="QCG3001" s="299"/>
      <c r="QCH3001" s="81"/>
      <c r="QCI3001" s="160"/>
      <c r="QCJ3001" s="571"/>
      <c r="QCK3001" s="125"/>
      <c r="QCL3001" s="470"/>
      <c r="QCM3001" s="449"/>
      <c r="QCN3001" s="462"/>
      <c r="QCO3001" s="299"/>
      <c r="QCP3001" s="81"/>
      <c r="QCQ3001" s="160"/>
      <c r="QCR3001" s="571"/>
      <c r="QCS3001" s="125"/>
      <c r="QCT3001" s="470"/>
      <c r="QCU3001" s="449"/>
      <c r="QCV3001" s="462"/>
      <c r="QCW3001" s="299"/>
      <c r="QCX3001" s="81"/>
      <c r="QCY3001" s="160"/>
      <c r="QCZ3001" s="571"/>
      <c r="QDA3001" s="125"/>
      <c r="QDB3001" s="470"/>
      <c r="QDC3001" s="449"/>
      <c r="QDD3001" s="462"/>
      <c r="QDE3001" s="299"/>
      <c r="QDF3001" s="81"/>
      <c r="QDG3001" s="160"/>
      <c r="QDH3001" s="571"/>
      <c r="QDI3001" s="125"/>
      <c r="QDJ3001" s="470"/>
      <c r="QDK3001" s="449"/>
      <c r="QDL3001" s="462"/>
      <c r="QDM3001" s="299"/>
      <c r="QDN3001" s="81"/>
      <c r="QDO3001" s="160"/>
      <c r="QDP3001" s="571"/>
      <c r="QDQ3001" s="125"/>
      <c r="QDR3001" s="470"/>
      <c r="QDS3001" s="449"/>
      <c r="QDT3001" s="462"/>
      <c r="QDU3001" s="299"/>
      <c r="QDV3001" s="81"/>
      <c r="QDW3001" s="160"/>
      <c r="QDX3001" s="571"/>
      <c r="QDY3001" s="125"/>
      <c r="QDZ3001" s="470"/>
      <c r="QEA3001" s="449"/>
      <c r="QEB3001" s="462"/>
      <c r="QEC3001" s="299"/>
      <c r="QED3001" s="81"/>
      <c r="QEE3001" s="160"/>
      <c r="QEF3001" s="571"/>
      <c r="QEG3001" s="125"/>
      <c r="QEH3001" s="470"/>
      <c r="QEI3001" s="449"/>
      <c r="QEJ3001" s="462"/>
      <c r="QEK3001" s="299"/>
      <c r="QEL3001" s="81"/>
      <c r="QEM3001" s="160"/>
      <c r="QEN3001" s="571"/>
      <c r="QEO3001" s="125"/>
      <c r="QEP3001" s="470"/>
      <c r="QEQ3001" s="449"/>
      <c r="QER3001" s="462"/>
      <c r="QES3001" s="299"/>
      <c r="QET3001" s="81"/>
      <c r="QEU3001" s="160"/>
      <c r="QEV3001" s="571"/>
      <c r="QEW3001" s="125"/>
      <c r="QEX3001" s="470"/>
      <c r="QEY3001" s="449"/>
      <c r="QEZ3001" s="462"/>
      <c r="QFA3001" s="299"/>
      <c r="QFB3001" s="81"/>
      <c r="QFC3001" s="160"/>
      <c r="QFD3001" s="571"/>
      <c r="QFE3001" s="125"/>
      <c r="QFF3001" s="470"/>
      <c r="QFG3001" s="449"/>
      <c r="QFH3001" s="462"/>
      <c r="QFI3001" s="299"/>
      <c r="QFJ3001" s="81"/>
      <c r="QFK3001" s="160"/>
      <c r="QFL3001" s="571"/>
      <c r="QFM3001" s="125"/>
      <c r="QFN3001" s="470"/>
      <c r="QFO3001" s="449"/>
      <c r="QFP3001" s="462"/>
      <c r="QFQ3001" s="299"/>
      <c r="QFR3001" s="81"/>
      <c r="QFS3001" s="160"/>
      <c r="QFT3001" s="571"/>
      <c r="QFU3001" s="125"/>
      <c r="QFV3001" s="470"/>
      <c r="QFW3001" s="449"/>
      <c r="QFX3001" s="462"/>
      <c r="QFY3001" s="299"/>
      <c r="QFZ3001" s="81"/>
      <c r="QGA3001" s="160"/>
      <c r="QGB3001" s="571"/>
      <c r="QGC3001" s="125"/>
      <c r="QGD3001" s="470"/>
      <c r="QGE3001" s="449"/>
      <c r="QGF3001" s="462"/>
      <c r="QGG3001" s="299"/>
      <c r="QGH3001" s="81"/>
      <c r="QGI3001" s="160"/>
      <c r="QGJ3001" s="571"/>
      <c r="QGK3001" s="125"/>
      <c r="QGL3001" s="470"/>
      <c r="QGM3001" s="449"/>
      <c r="QGN3001" s="462"/>
      <c r="QGO3001" s="299"/>
      <c r="QGP3001" s="81"/>
      <c r="QGQ3001" s="160"/>
      <c r="QGR3001" s="571"/>
      <c r="QGS3001" s="125"/>
      <c r="QGT3001" s="470"/>
      <c r="QGU3001" s="449"/>
      <c r="QGV3001" s="462"/>
      <c r="QGW3001" s="299"/>
      <c r="QGX3001" s="81"/>
      <c r="QGY3001" s="160"/>
      <c r="QGZ3001" s="571"/>
      <c r="QHA3001" s="125"/>
      <c r="QHB3001" s="470"/>
      <c r="QHC3001" s="449"/>
      <c r="QHD3001" s="462"/>
      <c r="QHE3001" s="299"/>
      <c r="QHF3001" s="81"/>
      <c r="QHG3001" s="160"/>
      <c r="QHH3001" s="571"/>
      <c r="QHI3001" s="125"/>
      <c r="QHJ3001" s="470"/>
      <c r="QHK3001" s="449"/>
      <c r="QHL3001" s="462"/>
      <c r="QHM3001" s="299"/>
      <c r="QHN3001" s="81"/>
      <c r="QHO3001" s="160"/>
      <c r="QHP3001" s="571"/>
      <c r="QHQ3001" s="125"/>
      <c r="QHR3001" s="470"/>
      <c r="QHS3001" s="449"/>
      <c r="QHT3001" s="462"/>
      <c r="QHU3001" s="299"/>
      <c r="QHV3001" s="81"/>
      <c r="QHW3001" s="160"/>
      <c r="QHX3001" s="571"/>
      <c r="QHY3001" s="125"/>
      <c r="QHZ3001" s="470"/>
      <c r="QIA3001" s="449"/>
      <c r="QIB3001" s="462"/>
      <c r="QIC3001" s="299"/>
      <c r="QID3001" s="81"/>
      <c r="QIE3001" s="160"/>
      <c r="QIF3001" s="571"/>
      <c r="QIG3001" s="125"/>
      <c r="QIH3001" s="470"/>
      <c r="QII3001" s="449"/>
      <c r="QIJ3001" s="462"/>
      <c r="QIK3001" s="299"/>
      <c r="QIL3001" s="81"/>
      <c r="QIM3001" s="160"/>
      <c r="QIN3001" s="571"/>
      <c r="QIO3001" s="125"/>
      <c r="QIP3001" s="470"/>
      <c r="QIQ3001" s="449"/>
      <c r="QIR3001" s="462"/>
      <c r="QIS3001" s="299"/>
      <c r="QIT3001" s="81"/>
      <c r="QIU3001" s="160"/>
      <c r="QIV3001" s="571"/>
      <c r="QIW3001" s="125"/>
      <c r="QIX3001" s="470"/>
      <c r="QIY3001" s="449"/>
      <c r="QIZ3001" s="462"/>
      <c r="QJA3001" s="299"/>
      <c r="QJB3001" s="81"/>
      <c r="QJC3001" s="160"/>
      <c r="QJD3001" s="571"/>
      <c r="QJE3001" s="125"/>
      <c r="QJF3001" s="470"/>
      <c r="QJG3001" s="449"/>
      <c r="QJH3001" s="462"/>
      <c r="QJI3001" s="299"/>
      <c r="QJJ3001" s="81"/>
      <c r="QJK3001" s="160"/>
      <c r="QJL3001" s="571"/>
      <c r="QJM3001" s="125"/>
      <c r="QJN3001" s="470"/>
      <c r="QJO3001" s="449"/>
      <c r="QJP3001" s="462"/>
      <c r="QJQ3001" s="299"/>
      <c r="QJR3001" s="81"/>
      <c r="QJS3001" s="160"/>
      <c r="QJT3001" s="571"/>
      <c r="QJU3001" s="125"/>
      <c r="QJV3001" s="470"/>
      <c r="QJW3001" s="449"/>
      <c r="QJX3001" s="462"/>
      <c r="QJY3001" s="299"/>
      <c r="QJZ3001" s="81"/>
      <c r="QKA3001" s="160"/>
      <c r="QKB3001" s="571"/>
      <c r="QKC3001" s="125"/>
      <c r="QKD3001" s="470"/>
      <c r="QKE3001" s="449"/>
      <c r="QKF3001" s="462"/>
      <c r="QKG3001" s="299"/>
      <c r="QKH3001" s="81"/>
      <c r="QKI3001" s="160"/>
      <c r="QKJ3001" s="571"/>
      <c r="QKK3001" s="125"/>
      <c r="QKL3001" s="470"/>
      <c r="QKM3001" s="449"/>
      <c r="QKN3001" s="462"/>
      <c r="QKO3001" s="299"/>
      <c r="QKP3001" s="81"/>
      <c r="QKQ3001" s="160"/>
      <c r="QKR3001" s="571"/>
      <c r="QKS3001" s="125"/>
      <c r="QKT3001" s="470"/>
      <c r="QKU3001" s="449"/>
      <c r="QKV3001" s="462"/>
      <c r="QKW3001" s="299"/>
      <c r="QKX3001" s="81"/>
      <c r="QKY3001" s="160"/>
      <c r="QKZ3001" s="571"/>
      <c r="QLA3001" s="125"/>
      <c r="QLB3001" s="470"/>
      <c r="QLC3001" s="449"/>
      <c r="QLD3001" s="462"/>
      <c r="QLE3001" s="299"/>
      <c r="QLF3001" s="81"/>
      <c r="QLG3001" s="160"/>
      <c r="QLH3001" s="571"/>
      <c r="QLI3001" s="125"/>
      <c r="QLJ3001" s="470"/>
      <c r="QLK3001" s="449"/>
      <c r="QLL3001" s="462"/>
      <c r="QLM3001" s="299"/>
      <c r="QLN3001" s="81"/>
      <c r="QLO3001" s="160"/>
      <c r="QLP3001" s="571"/>
      <c r="QLQ3001" s="125"/>
      <c r="QLR3001" s="470"/>
      <c r="QLS3001" s="449"/>
      <c r="QLT3001" s="462"/>
      <c r="QLU3001" s="299"/>
      <c r="QLV3001" s="81"/>
      <c r="QLW3001" s="160"/>
      <c r="QLX3001" s="571"/>
      <c r="QLY3001" s="125"/>
      <c r="QLZ3001" s="470"/>
      <c r="QMA3001" s="449"/>
      <c r="QMB3001" s="462"/>
      <c r="QMC3001" s="299"/>
      <c r="QMD3001" s="81"/>
      <c r="QME3001" s="160"/>
      <c r="QMF3001" s="571"/>
      <c r="QMG3001" s="125"/>
      <c r="QMH3001" s="470"/>
      <c r="QMI3001" s="449"/>
      <c r="QMJ3001" s="462"/>
      <c r="QMK3001" s="299"/>
      <c r="QML3001" s="81"/>
      <c r="QMM3001" s="160"/>
      <c r="QMN3001" s="571"/>
      <c r="QMO3001" s="125"/>
      <c r="QMP3001" s="470"/>
      <c r="QMQ3001" s="449"/>
      <c r="QMR3001" s="462"/>
      <c r="QMS3001" s="299"/>
      <c r="QMT3001" s="81"/>
      <c r="QMU3001" s="160"/>
      <c r="QMV3001" s="571"/>
      <c r="QMW3001" s="125"/>
      <c r="QMX3001" s="470"/>
      <c r="QMY3001" s="449"/>
      <c r="QMZ3001" s="462"/>
      <c r="QNA3001" s="299"/>
      <c r="QNB3001" s="81"/>
      <c r="QNC3001" s="160"/>
      <c r="QND3001" s="571"/>
      <c r="QNE3001" s="125"/>
      <c r="QNF3001" s="470"/>
      <c r="QNG3001" s="449"/>
      <c r="QNH3001" s="462"/>
      <c r="QNI3001" s="299"/>
      <c r="QNJ3001" s="81"/>
      <c r="QNK3001" s="160"/>
      <c r="QNL3001" s="571"/>
      <c r="QNM3001" s="125"/>
      <c r="QNN3001" s="470"/>
      <c r="QNO3001" s="449"/>
      <c r="QNP3001" s="462"/>
      <c r="QNQ3001" s="299"/>
      <c r="QNR3001" s="81"/>
      <c r="QNS3001" s="160"/>
      <c r="QNT3001" s="571"/>
      <c r="QNU3001" s="125"/>
      <c r="QNV3001" s="470"/>
      <c r="QNW3001" s="449"/>
      <c r="QNX3001" s="462"/>
      <c r="QNY3001" s="299"/>
      <c r="QNZ3001" s="81"/>
      <c r="QOA3001" s="160"/>
      <c r="QOB3001" s="571"/>
      <c r="QOC3001" s="125"/>
      <c r="QOD3001" s="470"/>
      <c r="QOE3001" s="449"/>
      <c r="QOF3001" s="462"/>
      <c r="QOG3001" s="299"/>
      <c r="QOH3001" s="81"/>
      <c r="QOI3001" s="160"/>
      <c r="QOJ3001" s="571"/>
      <c r="QOK3001" s="125"/>
      <c r="QOL3001" s="470"/>
      <c r="QOM3001" s="449"/>
      <c r="QON3001" s="462"/>
      <c r="QOO3001" s="299"/>
      <c r="QOP3001" s="81"/>
      <c r="QOQ3001" s="160"/>
      <c r="QOR3001" s="571"/>
      <c r="QOS3001" s="125"/>
      <c r="QOT3001" s="470"/>
      <c r="QOU3001" s="449"/>
      <c r="QOV3001" s="462"/>
      <c r="QOW3001" s="299"/>
      <c r="QOX3001" s="81"/>
      <c r="QOY3001" s="160"/>
      <c r="QOZ3001" s="571"/>
      <c r="QPA3001" s="125"/>
      <c r="QPB3001" s="470"/>
      <c r="QPC3001" s="449"/>
      <c r="QPD3001" s="462"/>
      <c r="QPE3001" s="299"/>
      <c r="QPF3001" s="81"/>
      <c r="QPG3001" s="160"/>
      <c r="QPH3001" s="571"/>
      <c r="QPI3001" s="125"/>
      <c r="QPJ3001" s="470"/>
      <c r="QPK3001" s="449"/>
      <c r="QPL3001" s="462"/>
      <c r="QPM3001" s="299"/>
      <c r="QPN3001" s="81"/>
      <c r="QPO3001" s="160"/>
      <c r="QPP3001" s="571"/>
      <c r="QPQ3001" s="125"/>
      <c r="QPR3001" s="470"/>
      <c r="QPS3001" s="449"/>
      <c r="QPT3001" s="462"/>
      <c r="QPU3001" s="299"/>
      <c r="QPV3001" s="81"/>
      <c r="QPW3001" s="160"/>
      <c r="QPX3001" s="571"/>
      <c r="QPY3001" s="125"/>
      <c r="QPZ3001" s="470"/>
      <c r="QQA3001" s="449"/>
      <c r="QQB3001" s="462"/>
      <c r="QQC3001" s="299"/>
      <c r="QQD3001" s="81"/>
      <c r="QQE3001" s="160"/>
      <c r="QQF3001" s="571"/>
      <c r="QQG3001" s="125"/>
      <c r="QQH3001" s="470"/>
      <c r="QQI3001" s="449"/>
      <c r="QQJ3001" s="462"/>
      <c r="QQK3001" s="299"/>
      <c r="QQL3001" s="81"/>
      <c r="QQM3001" s="160"/>
      <c r="QQN3001" s="571"/>
      <c r="QQO3001" s="125"/>
      <c r="QQP3001" s="470"/>
      <c r="QQQ3001" s="449"/>
      <c r="QQR3001" s="462"/>
      <c r="QQS3001" s="299"/>
      <c r="QQT3001" s="81"/>
      <c r="QQU3001" s="160"/>
      <c r="QQV3001" s="571"/>
      <c r="QQW3001" s="125"/>
      <c r="QQX3001" s="470"/>
      <c r="QQY3001" s="449"/>
      <c r="QQZ3001" s="462"/>
      <c r="QRA3001" s="299"/>
      <c r="QRB3001" s="81"/>
      <c r="QRC3001" s="160"/>
      <c r="QRD3001" s="571"/>
      <c r="QRE3001" s="125"/>
      <c r="QRF3001" s="470"/>
      <c r="QRG3001" s="449"/>
      <c r="QRH3001" s="462"/>
      <c r="QRI3001" s="299"/>
      <c r="QRJ3001" s="81"/>
      <c r="QRK3001" s="160"/>
      <c r="QRL3001" s="571"/>
      <c r="QRM3001" s="125"/>
      <c r="QRN3001" s="470"/>
      <c r="QRO3001" s="449"/>
      <c r="QRP3001" s="462"/>
      <c r="QRQ3001" s="299"/>
      <c r="QRR3001" s="81"/>
      <c r="QRS3001" s="160"/>
      <c r="QRT3001" s="571"/>
      <c r="QRU3001" s="125"/>
      <c r="QRV3001" s="470"/>
      <c r="QRW3001" s="449"/>
      <c r="QRX3001" s="462"/>
      <c r="QRY3001" s="299"/>
      <c r="QRZ3001" s="81"/>
      <c r="QSA3001" s="160"/>
      <c r="QSB3001" s="571"/>
      <c r="QSC3001" s="125"/>
      <c r="QSD3001" s="470"/>
      <c r="QSE3001" s="449"/>
      <c r="QSF3001" s="462"/>
      <c r="QSG3001" s="299"/>
      <c r="QSH3001" s="81"/>
      <c r="QSI3001" s="160"/>
      <c r="QSJ3001" s="571"/>
      <c r="QSK3001" s="125"/>
      <c r="QSL3001" s="470"/>
      <c r="QSM3001" s="449"/>
      <c r="QSN3001" s="462"/>
      <c r="QSO3001" s="299"/>
      <c r="QSP3001" s="81"/>
      <c r="QSQ3001" s="160"/>
      <c r="QSR3001" s="571"/>
      <c r="QSS3001" s="125"/>
      <c r="QST3001" s="470"/>
      <c r="QSU3001" s="449"/>
      <c r="QSV3001" s="462"/>
      <c r="QSW3001" s="299"/>
      <c r="QSX3001" s="81"/>
      <c r="QSY3001" s="160"/>
      <c r="QSZ3001" s="571"/>
      <c r="QTA3001" s="125"/>
      <c r="QTB3001" s="470"/>
      <c r="QTC3001" s="449"/>
      <c r="QTD3001" s="462"/>
      <c r="QTE3001" s="299"/>
      <c r="QTF3001" s="81"/>
      <c r="QTG3001" s="160"/>
      <c r="QTH3001" s="571"/>
      <c r="QTI3001" s="125"/>
      <c r="QTJ3001" s="470"/>
      <c r="QTK3001" s="449"/>
      <c r="QTL3001" s="462"/>
      <c r="QTM3001" s="299"/>
      <c r="QTN3001" s="81"/>
      <c r="QTO3001" s="160"/>
      <c r="QTP3001" s="571"/>
      <c r="QTQ3001" s="125"/>
      <c r="QTR3001" s="470"/>
      <c r="QTS3001" s="449"/>
      <c r="QTT3001" s="462"/>
      <c r="QTU3001" s="299"/>
      <c r="QTV3001" s="81"/>
      <c r="QTW3001" s="160"/>
      <c r="QTX3001" s="571"/>
      <c r="QTY3001" s="125"/>
      <c r="QTZ3001" s="470"/>
      <c r="QUA3001" s="449"/>
      <c r="QUB3001" s="462"/>
      <c r="QUC3001" s="299"/>
      <c r="QUD3001" s="81"/>
      <c r="QUE3001" s="160"/>
      <c r="QUF3001" s="571"/>
      <c r="QUG3001" s="125"/>
      <c r="QUH3001" s="470"/>
      <c r="QUI3001" s="449"/>
      <c r="QUJ3001" s="462"/>
      <c r="QUK3001" s="299"/>
      <c r="QUL3001" s="81"/>
      <c r="QUM3001" s="160"/>
      <c r="QUN3001" s="571"/>
      <c r="QUO3001" s="125"/>
      <c r="QUP3001" s="470"/>
      <c r="QUQ3001" s="449"/>
      <c r="QUR3001" s="462"/>
      <c r="QUS3001" s="299"/>
      <c r="QUT3001" s="81"/>
      <c r="QUU3001" s="160"/>
      <c r="QUV3001" s="571"/>
      <c r="QUW3001" s="125"/>
      <c r="QUX3001" s="470"/>
      <c r="QUY3001" s="449"/>
      <c r="QUZ3001" s="462"/>
      <c r="QVA3001" s="299"/>
      <c r="QVB3001" s="81"/>
      <c r="QVC3001" s="160"/>
      <c r="QVD3001" s="571"/>
      <c r="QVE3001" s="125"/>
      <c r="QVF3001" s="470"/>
      <c r="QVG3001" s="449"/>
      <c r="QVH3001" s="462"/>
      <c r="QVI3001" s="299"/>
      <c r="QVJ3001" s="81"/>
      <c r="QVK3001" s="160"/>
      <c r="QVL3001" s="571"/>
      <c r="QVM3001" s="125"/>
      <c r="QVN3001" s="470"/>
      <c r="QVO3001" s="449"/>
      <c r="QVP3001" s="462"/>
      <c r="QVQ3001" s="299"/>
      <c r="QVR3001" s="81"/>
      <c r="QVS3001" s="160"/>
      <c r="QVT3001" s="571"/>
      <c r="QVU3001" s="125"/>
      <c r="QVV3001" s="470"/>
      <c r="QVW3001" s="449"/>
      <c r="QVX3001" s="462"/>
      <c r="QVY3001" s="299"/>
      <c r="QVZ3001" s="81"/>
      <c r="QWA3001" s="160"/>
      <c r="QWB3001" s="571"/>
      <c r="QWC3001" s="125"/>
      <c r="QWD3001" s="470"/>
      <c r="QWE3001" s="449"/>
      <c r="QWF3001" s="462"/>
      <c r="QWG3001" s="299"/>
      <c r="QWH3001" s="81"/>
      <c r="QWI3001" s="160"/>
      <c r="QWJ3001" s="571"/>
      <c r="QWK3001" s="125"/>
      <c r="QWL3001" s="470"/>
      <c r="QWM3001" s="449"/>
      <c r="QWN3001" s="462"/>
      <c r="QWO3001" s="299"/>
      <c r="QWP3001" s="81"/>
      <c r="QWQ3001" s="160"/>
      <c r="QWR3001" s="571"/>
      <c r="QWS3001" s="125"/>
      <c r="QWT3001" s="470"/>
      <c r="QWU3001" s="449"/>
      <c r="QWV3001" s="462"/>
      <c r="QWW3001" s="299"/>
      <c r="QWX3001" s="81"/>
      <c r="QWY3001" s="160"/>
      <c r="QWZ3001" s="571"/>
      <c r="QXA3001" s="125"/>
      <c r="QXB3001" s="470"/>
      <c r="QXC3001" s="449"/>
      <c r="QXD3001" s="462"/>
      <c r="QXE3001" s="299"/>
      <c r="QXF3001" s="81"/>
      <c r="QXG3001" s="160"/>
      <c r="QXH3001" s="571"/>
      <c r="QXI3001" s="125"/>
      <c r="QXJ3001" s="470"/>
      <c r="QXK3001" s="449"/>
      <c r="QXL3001" s="462"/>
      <c r="QXM3001" s="299"/>
      <c r="QXN3001" s="81"/>
      <c r="QXO3001" s="160"/>
      <c r="QXP3001" s="571"/>
      <c r="QXQ3001" s="125"/>
      <c r="QXR3001" s="470"/>
      <c r="QXS3001" s="449"/>
      <c r="QXT3001" s="462"/>
      <c r="QXU3001" s="299"/>
      <c r="QXV3001" s="81"/>
      <c r="QXW3001" s="160"/>
      <c r="QXX3001" s="571"/>
      <c r="QXY3001" s="125"/>
      <c r="QXZ3001" s="470"/>
      <c r="QYA3001" s="449"/>
      <c r="QYB3001" s="462"/>
      <c r="QYC3001" s="299"/>
      <c r="QYD3001" s="81"/>
      <c r="QYE3001" s="160"/>
      <c r="QYF3001" s="571"/>
      <c r="QYG3001" s="125"/>
      <c r="QYH3001" s="470"/>
      <c r="QYI3001" s="449"/>
      <c r="QYJ3001" s="462"/>
      <c r="QYK3001" s="299"/>
      <c r="QYL3001" s="81"/>
      <c r="QYM3001" s="160"/>
      <c r="QYN3001" s="571"/>
      <c r="QYO3001" s="125"/>
      <c r="QYP3001" s="470"/>
      <c r="QYQ3001" s="449"/>
      <c r="QYR3001" s="462"/>
      <c r="QYS3001" s="299"/>
      <c r="QYT3001" s="81"/>
      <c r="QYU3001" s="160"/>
      <c r="QYV3001" s="571"/>
      <c r="QYW3001" s="125"/>
      <c r="QYX3001" s="470"/>
      <c r="QYY3001" s="449"/>
      <c r="QYZ3001" s="462"/>
      <c r="QZA3001" s="299"/>
      <c r="QZB3001" s="81"/>
      <c r="QZC3001" s="160"/>
      <c r="QZD3001" s="571"/>
      <c r="QZE3001" s="125"/>
      <c r="QZF3001" s="470"/>
      <c r="QZG3001" s="449"/>
      <c r="QZH3001" s="462"/>
      <c r="QZI3001" s="299"/>
      <c r="QZJ3001" s="81"/>
      <c r="QZK3001" s="160"/>
      <c r="QZL3001" s="571"/>
      <c r="QZM3001" s="125"/>
      <c r="QZN3001" s="470"/>
      <c r="QZO3001" s="449"/>
      <c r="QZP3001" s="462"/>
      <c r="QZQ3001" s="299"/>
      <c r="QZR3001" s="81"/>
      <c r="QZS3001" s="160"/>
      <c r="QZT3001" s="571"/>
      <c r="QZU3001" s="125"/>
      <c r="QZV3001" s="470"/>
      <c r="QZW3001" s="449"/>
      <c r="QZX3001" s="462"/>
      <c r="QZY3001" s="299"/>
      <c r="QZZ3001" s="81"/>
      <c r="RAA3001" s="160"/>
      <c r="RAB3001" s="571"/>
      <c r="RAC3001" s="125"/>
      <c r="RAD3001" s="470"/>
      <c r="RAE3001" s="449"/>
      <c r="RAF3001" s="462"/>
      <c r="RAG3001" s="299"/>
      <c r="RAH3001" s="81"/>
      <c r="RAI3001" s="160"/>
      <c r="RAJ3001" s="571"/>
      <c r="RAK3001" s="125"/>
      <c r="RAL3001" s="470"/>
      <c r="RAM3001" s="449"/>
      <c r="RAN3001" s="462"/>
      <c r="RAO3001" s="299"/>
      <c r="RAP3001" s="81"/>
      <c r="RAQ3001" s="160"/>
      <c r="RAR3001" s="571"/>
      <c r="RAS3001" s="125"/>
      <c r="RAT3001" s="470"/>
      <c r="RAU3001" s="449"/>
      <c r="RAV3001" s="462"/>
      <c r="RAW3001" s="299"/>
      <c r="RAX3001" s="81"/>
      <c r="RAY3001" s="160"/>
      <c r="RAZ3001" s="571"/>
      <c r="RBA3001" s="125"/>
      <c r="RBB3001" s="470"/>
      <c r="RBC3001" s="449"/>
      <c r="RBD3001" s="462"/>
      <c r="RBE3001" s="299"/>
      <c r="RBF3001" s="81"/>
      <c r="RBG3001" s="160"/>
      <c r="RBH3001" s="571"/>
      <c r="RBI3001" s="125"/>
      <c r="RBJ3001" s="470"/>
      <c r="RBK3001" s="449"/>
      <c r="RBL3001" s="462"/>
      <c r="RBM3001" s="299"/>
      <c r="RBN3001" s="81"/>
      <c r="RBO3001" s="160"/>
      <c r="RBP3001" s="571"/>
      <c r="RBQ3001" s="125"/>
      <c r="RBR3001" s="470"/>
      <c r="RBS3001" s="449"/>
      <c r="RBT3001" s="462"/>
      <c r="RBU3001" s="299"/>
      <c r="RBV3001" s="81"/>
      <c r="RBW3001" s="160"/>
      <c r="RBX3001" s="571"/>
      <c r="RBY3001" s="125"/>
      <c r="RBZ3001" s="470"/>
      <c r="RCA3001" s="449"/>
      <c r="RCB3001" s="462"/>
      <c r="RCC3001" s="299"/>
      <c r="RCD3001" s="81"/>
      <c r="RCE3001" s="160"/>
      <c r="RCF3001" s="571"/>
      <c r="RCG3001" s="125"/>
      <c r="RCH3001" s="470"/>
      <c r="RCI3001" s="449"/>
      <c r="RCJ3001" s="462"/>
      <c r="RCK3001" s="299"/>
      <c r="RCL3001" s="81"/>
      <c r="RCM3001" s="160"/>
      <c r="RCN3001" s="571"/>
      <c r="RCO3001" s="125"/>
      <c r="RCP3001" s="470"/>
      <c r="RCQ3001" s="449"/>
      <c r="RCR3001" s="462"/>
      <c r="RCS3001" s="299"/>
      <c r="RCT3001" s="81"/>
      <c r="RCU3001" s="160"/>
      <c r="RCV3001" s="571"/>
      <c r="RCW3001" s="125"/>
      <c r="RCX3001" s="470"/>
      <c r="RCY3001" s="449"/>
      <c r="RCZ3001" s="462"/>
      <c r="RDA3001" s="299"/>
      <c r="RDB3001" s="81"/>
      <c r="RDC3001" s="160"/>
      <c r="RDD3001" s="571"/>
      <c r="RDE3001" s="125"/>
      <c r="RDF3001" s="470"/>
      <c r="RDG3001" s="449"/>
      <c r="RDH3001" s="462"/>
      <c r="RDI3001" s="299"/>
      <c r="RDJ3001" s="81"/>
      <c r="RDK3001" s="160"/>
      <c r="RDL3001" s="571"/>
      <c r="RDM3001" s="125"/>
      <c r="RDN3001" s="470"/>
      <c r="RDO3001" s="449"/>
      <c r="RDP3001" s="462"/>
      <c r="RDQ3001" s="299"/>
      <c r="RDR3001" s="81"/>
      <c r="RDS3001" s="160"/>
      <c r="RDT3001" s="571"/>
      <c r="RDU3001" s="125"/>
      <c r="RDV3001" s="470"/>
      <c r="RDW3001" s="449"/>
      <c r="RDX3001" s="462"/>
      <c r="RDY3001" s="299"/>
      <c r="RDZ3001" s="81"/>
      <c r="REA3001" s="160"/>
      <c r="REB3001" s="571"/>
      <c r="REC3001" s="125"/>
      <c r="RED3001" s="470"/>
      <c r="REE3001" s="449"/>
      <c r="REF3001" s="462"/>
      <c r="REG3001" s="299"/>
      <c r="REH3001" s="81"/>
      <c r="REI3001" s="160"/>
      <c r="REJ3001" s="571"/>
      <c r="REK3001" s="125"/>
      <c r="REL3001" s="470"/>
      <c r="REM3001" s="449"/>
      <c r="REN3001" s="462"/>
      <c r="REO3001" s="299"/>
      <c r="REP3001" s="81"/>
      <c r="REQ3001" s="160"/>
      <c r="RER3001" s="571"/>
      <c r="RES3001" s="125"/>
      <c r="RET3001" s="470"/>
      <c r="REU3001" s="449"/>
      <c r="REV3001" s="462"/>
      <c r="REW3001" s="299"/>
      <c r="REX3001" s="81"/>
      <c r="REY3001" s="160"/>
      <c r="REZ3001" s="571"/>
      <c r="RFA3001" s="125"/>
      <c r="RFB3001" s="470"/>
      <c r="RFC3001" s="449"/>
      <c r="RFD3001" s="462"/>
      <c r="RFE3001" s="299"/>
      <c r="RFF3001" s="81"/>
      <c r="RFG3001" s="160"/>
      <c r="RFH3001" s="571"/>
      <c r="RFI3001" s="125"/>
      <c r="RFJ3001" s="470"/>
      <c r="RFK3001" s="449"/>
      <c r="RFL3001" s="462"/>
      <c r="RFM3001" s="299"/>
      <c r="RFN3001" s="81"/>
      <c r="RFO3001" s="160"/>
      <c r="RFP3001" s="571"/>
      <c r="RFQ3001" s="125"/>
      <c r="RFR3001" s="470"/>
      <c r="RFS3001" s="449"/>
      <c r="RFT3001" s="462"/>
      <c r="RFU3001" s="299"/>
      <c r="RFV3001" s="81"/>
      <c r="RFW3001" s="160"/>
      <c r="RFX3001" s="571"/>
      <c r="RFY3001" s="125"/>
      <c r="RFZ3001" s="470"/>
      <c r="RGA3001" s="449"/>
      <c r="RGB3001" s="462"/>
      <c r="RGC3001" s="299"/>
      <c r="RGD3001" s="81"/>
      <c r="RGE3001" s="160"/>
      <c r="RGF3001" s="571"/>
      <c r="RGG3001" s="125"/>
      <c r="RGH3001" s="470"/>
      <c r="RGI3001" s="449"/>
      <c r="RGJ3001" s="462"/>
      <c r="RGK3001" s="299"/>
      <c r="RGL3001" s="81"/>
      <c r="RGM3001" s="160"/>
      <c r="RGN3001" s="571"/>
      <c r="RGO3001" s="125"/>
      <c r="RGP3001" s="470"/>
      <c r="RGQ3001" s="449"/>
      <c r="RGR3001" s="462"/>
      <c r="RGS3001" s="299"/>
      <c r="RGT3001" s="81"/>
      <c r="RGU3001" s="160"/>
      <c r="RGV3001" s="571"/>
      <c r="RGW3001" s="125"/>
      <c r="RGX3001" s="470"/>
      <c r="RGY3001" s="449"/>
      <c r="RGZ3001" s="462"/>
      <c r="RHA3001" s="299"/>
      <c r="RHB3001" s="81"/>
      <c r="RHC3001" s="160"/>
      <c r="RHD3001" s="571"/>
      <c r="RHE3001" s="125"/>
      <c r="RHF3001" s="470"/>
      <c r="RHG3001" s="449"/>
      <c r="RHH3001" s="462"/>
      <c r="RHI3001" s="299"/>
      <c r="RHJ3001" s="81"/>
      <c r="RHK3001" s="160"/>
      <c r="RHL3001" s="571"/>
      <c r="RHM3001" s="125"/>
      <c r="RHN3001" s="470"/>
      <c r="RHO3001" s="449"/>
      <c r="RHP3001" s="462"/>
      <c r="RHQ3001" s="299"/>
      <c r="RHR3001" s="81"/>
      <c r="RHS3001" s="160"/>
      <c r="RHT3001" s="571"/>
      <c r="RHU3001" s="125"/>
      <c r="RHV3001" s="470"/>
      <c r="RHW3001" s="449"/>
      <c r="RHX3001" s="462"/>
      <c r="RHY3001" s="299"/>
      <c r="RHZ3001" s="81"/>
      <c r="RIA3001" s="160"/>
      <c r="RIB3001" s="571"/>
      <c r="RIC3001" s="125"/>
      <c r="RID3001" s="470"/>
      <c r="RIE3001" s="449"/>
      <c r="RIF3001" s="462"/>
      <c r="RIG3001" s="299"/>
      <c r="RIH3001" s="81"/>
      <c r="RII3001" s="160"/>
      <c r="RIJ3001" s="571"/>
      <c r="RIK3001" s="125"/>
      <c r="RIL3001" s="470"/>
      <c r="RIM3001" s="449"/>
      <c r="RIN3001" s="462"/>
      <c r="RIO3001" s="299"/>
      <c r="RIP3001" s="81"/>
      <c r="RIQ3001" s="160"/>
      <c r="RIR3001" s="571"/>
      <c r="RIS3001" s="125"/>
      <c r="RIT3001" s="470"/>
      <c r="RIU3001" s="449"/>
      <c r="RIV3001" s="462"/>
      <c r="RIW3001" s="299"/>
      <c r="RIX3001" s="81"/>
      <c r="RIY3001" s="160"/>
      <c r="RIZ3001" s="571"/>
      <c r="RJA3001" s="125"/>
      <c r="RJB3001" s="470"/>
      <c r="RJC3001" s="449"/>
      <c r="RJD3001" s="462"/>
      <c r="RJE3001" s="299"/>
      <c r="RJF3001" s="81"/>
      <c r="RJG3001" s="160"/>
      <c r="RJH3001" s="571"/>
      <c r="RJI3001" s="125"/>
      <c r="RJJ3001" s="470"/>
      <c r="RJK3001" s="449"/>
      <c r="RJL3001" s="462"/>
      <c r="RJM3001" s="299"/>
      <c r="RJN3001" s="81"/>
      <c r="RJO3001" s="160"/>
      <c r="RJP3001" s="571"/>
      <c r="RJQ3001" s="125"/>
      <c r="RJR3001" s="470"/>
      <c r="RJS3001" s="449"/>
      <c r="RJT3001" s="462"/>
      <c r="RJU3001" s="299"/>
      <c r="RJV3001" s="81"/>
      <c r="RJW3001" s="160"/>
      <c r="RJX3001" s="571"/>
      <c r="RJY3001" s="125"/>
      <c r="RJZ3001" s="470"/>
      <c r="RKA3001" s="449"/>
      <c r="RKB3001" s="462"/>
      <c r="RKC3001" s="299"/>
      <c r="RKD3001" s="81"/>
      <c r="RKE3001" s="160"/>
      <c r="RKF3001" s="571"/>
      <c r="RKG3001" s="125"/>
      <c r="RKH3001" s="470"/>
      <c r="RKI3001" s="449"/>
      <c r="RKJ3001" s="462"/>
      <c r="RKK3001" s="299"/>
      <c r="RKL3001" s="81"/>
      <c r="RKM3001" s="160"/>
      <c r="RKN3001" s="571"/>
      <c r="RKO3001" s="125"/>
      <c r="RKP3001" s="470"/>
      <c r="RKQ3001" s="449"/>
      <c r="RKR3001" s="462"/>
      <c r="RKS3001" s="299"/>
      <c r="RKT3001" s="81"/>
      <c r="RKU3001" s="160"/>
      <c r="RKV3001" s="571"/>
      <c r="RKW3001" s="125"/>
      <c r="RKX3001" s="470"/>
      <c r="RKY3001" s="449"/>
      <c r="RKZ3001" s="462"/>
      <c r="RLA3001" s="299"/>
      <c r="RLB3001" s="81"/>
      <c r="RLC3001" s="160"/>
      <c r="RLD3001" s="571"/>
      <c r="RLE3001" s="125"/>
      <c r="RLF3001" s="470"/>
      <c r="RLG3001" s="449"/>
      <c r="RLH3001" s="462"/>
      <c r="RLI3001" s="299"/>
      <c r="RLJ3001" s="81"/>
      <c r="RLK3001" s="160"/>
      <c r="RLL3001" s="571"/>
      <c r="RLM3001" s="125"/>
      <c r="RLN3001" s="470"/>
      <c r="RLO3001" s="449"/>
      <c r="RLP3001" s="462"/>
      <c r="RLQ3001" s="299"/>
      <c r="RLR3001" s="81"/>
      <c r="RLS3001" s="160"/>
      <c r="RLT3001" s="571"/>
      <c r="RLU3001" s="125"/>
      <c r="RLV3001" s="470"/>
      <c r="RLW3001" s="449"/>
      <c r="RLX3001" s="462"/>
      <c r="RLY3001" s="299"/>
      <c r="RLZ3001" s="81"/>
      <c r="RMA3001" s="160"/>
      <c r="RMB3001" s="571"/>
      <c r="RMC3001" s="125"/>
      <c r="RMD3001" s="470"/>
      <c r="RME3001" s="449"/>
      <c r="RMF3001" s="462"/>
      <c r="RMG3001" s="299"/>
      <c r="RMH3001" s="81"/>
      <c r="RMI3001" s="160"/>
      <c r="RMJ3001" s="571"/>
      <c r="RMK3001" s="125"/>
      <c r="RML3001" s="470"/>
      <c r="RMM3001" s="449"/>
      <c r="RMN3001" s="462"/>
      <c r="RMO3001" s="299"/>
      <c r="RMP3001" s="81"/>
      <c r="RMQ3001" s="160"/>
      <c r="RMR3001" s="571"/>
      <c r="RMS3001" s="125"/>
      <c r="RMT3001" s="470"/>
      <c r="RMU3001" s="449"/>
      <c r="RMV3001" s="462"/>
      <c r="RMW3001" s="299"/>
      <c r="RMX3001" s="81"/>
      <c r="RMY3001" s="160"/>
      <c r="RMZ3001" s="571"/>
      <c r="RNA3001" s="125"/>
      <c r="RNB3001" s="470"/>
      <c r="RNC3001" s="449"/>
      <c r="RND3001" s="462"/>
      <c r="RNE3001" s="299"/>
      <c r="RNF3001" s="81"/>
      <c r="RNG3001" s="160"/>
      <c r="RNH3001" s="571"/>
      <c r="RNI3001" s="125"/>
      <c r="RNJ3001" s="470"/>
      <c r="RNK3001" s="449"/>
      <c r="RNL3001" s="462"/>
      <c r="RNM3001" s="299"/>
      <c r="RNN3001" s="81"/>
      <c r="RNO3001" s="160"/>
      <c r="RNP3001" s="571"/>
      <c r="RNQ3001" s="125"/>
      <c r="RNR3001" s="470"/>
      <c r="RNS3001" s="449"/>
      <c r="RNT3001" s="462"/>
      <c r="RNU3001" s="299"/>
      <c r="RNV3001" s="81"/>
      <c r="RNW3001" s="160"/>
      <c r="RNX3001" s="571"/>
      <c r="RNY3001" s="125"/>
      <c r="RNZ3001" s="470"/>
      <c r="ROA3001" s="449"/>
      <c r="ROB3001" s="462"/>
      <c r="ROC3001" s="299"/>
      <c r="ROD3001" s="81"/>
      <c r="ROE3001" s="160"/>
      <c r="ROF3001" s="571"/>
      <c r="ROG3001" s="125"/>
      <c r="ROH3001" s="470"/>
      <c r="ROI3001" s="449"/>
      <c r="ROJ3001" s="462"/>
      <c r="ROK3001" s="299"/>
      <c r="ROL3001" s="81"/>
      <c r="ROM3001" s="160"/>
      <c r="RON3001" s="571"/>
      <c r="ROO3001" s="125"/>
      <c r="ROP3001" s="470"/>
      <c r="ROQ3001" s="449"/>
      <c r="ROR3001" s="462"/>
      <c r="ROS3001" s="299"/>
      <c r="ROT3001" s="81"/>
      <c r="ROU3001" s="160"/>
      <c r="ROV3001" s="571"/>
      <c r="ROW3001" s="125"/>
      <c r="ROX3001" s="470"/>
      <c r="ROY3001" s="449"/>
      <c r="ROZ3001" s="462"/>
      <c r="RPA3001" s="299"/>
      <c r="RPB3001" s="81"/>
      <c r="RPC3001" s="160"/>
      <c r="RPD3001" s="571"/>
      <c r="RPE3001" s="125"/>
      <c r="RPF3001" s="470"/>
      <c r="RPG3001" s="449"/>
      <c r="RPH3001" s="462"/>
      <c r="RPI3001" s="299"/>
      <c r="RPJ3001" s="81"/>
      <c r="RPK3001" s="160"/>
      <c r="RPL3001" s="571"/>
      <c r="RPM3001" s="125"/>
      <c r="RPN3001" s="470"/>
      <c r="RPO3001" s="449"/>
      <c r="RPP3001" s="462"/>
      <c r="RPQ3001" s="299"/>
      <c r="RPR3001" s="81"/>
      <c r="RPS3001" s="160"/>
      <c r="RPT3001" s="571"/>
      <c r="RPU3001" s="125"/>
      <c r="RPV3001" s="470"/>
      <c r="RPW3001" s="449"/>
      <c r="RPX3001" s="462"/>
      <c r="RPY3001" s="299"/>
      <c r="RPZ3001" s="81"/>
      <c r="RQA3001" s="160"/>
      <c r="RQB3001" s="571"/>
      <c r="RQC3001" s="125"/>
      <c r="RQD3001" s="470"/>
      <c r="RQE3001" s="449"/>
      <c r="RQF3001" s="462"/>
      <c r="RQG3001" s="299"/>
      <c r="RQH3001" s="81"/>
      <c r="RQI3001" s="160"/>
      <c r="RQJ3001" s="571"/>
      <c r="RQK3001" s="125"/>
      <c r="RQL3001" s="470"/>
      <c r="RQM3001" s="449"/>
      <c r="RQN3001" s="462"/>
      <c r="RQO3001" s="299"/>
      <c r="RQP3001" s="81"/>
      <c r="RQQ3001" s="160"/>
      <c r="RQR3001" s="571"/>
      <c r="RQS3001" s="125"/>
      <c r="RQT3001" s="470"/>
      <c r="RQU3001" s="449"/>
      <c r="RQV3001" s="462"/>
      <c r="RQW3001" s="299"/>
      <c r="RQX3001" s="81"/>
      <c r="RQY3001" s="160"/>
      <c r="RQZ3001" s="571"/>
      <c r="RRA3001" s="125"/>
      <c r="RRB3001" s="470"/>
      <c r="RRC3001" s="449"/>
      <c r="RRD3001" s="462"/>
      <c r="RRE3001" s="299"/>
      <c r="RRF3001" s="81"/>
      <c r="RRG3001" s="160"/>
      <c r="RRH3001" s="571"/>
      <c r="RRI3001" s="125"/>
      <c r="RRJ3001" s="470"/>
      <c r="RRK3001" s="449"/>
      <c r="RRL3001" s="462"/>
      <c r="RRM3001" s="299"/>
      <c r="RRN3001" s="81"/>
      <c r="RRO3001" s="160"/>
      <c r="RRP3001" s="571"/>
      <c r="RRQ3001" s="125"/>
      <c r="RRR3001" s="470"/>
      <c r="RRS3001" s="449"/>
      <c r="RRT3001" s="462"/>
      <c r="RRU3001" s="299"/>
      <c r="RRV3001" s="81"/>
      <c r="RRW3001" s="160"/>
      <c r="RRX3001" s="571"/>
      <c r="RRY3001" s="125"/>
      <c r="RRZ3001" s="470"/>
      <c r="RSA3001" s="449"/>
      <c r="RSB3001" s="462"/>
      <c r="RSC3001" s="299"/>
      <c r="RSD3001" s="81"/>
      <c r="RSE3001" s="160"/>
      <c r="RSF3001" s="571"/>
      <c r="RSG3001" s="125"/>
      <c r="RSH3001" s="470"/>
      <c r="RSI3001" s="449"/>
      <c r="RSJ3001" s="462"/>
      <c r="RSK3001" s="299"/>
      <c r="RSL3001" s="81"/>
      <c r="RSM3001" s="160"/>
      <c r="RSN3001" s="571"/>
      <c r="RSO3001" s="125"/>
      <c r="RSP3001" s="470"/>
      <c r="RSQ3001" s="449"/>
      <c r="RSR3001" s="462"/>
      <c r="RSS3001" s="299"/>
      <c r="RST3001" s="81"/>
      <c r="RSU3001" s="160"/>
      <c r="RSV3001" s="571"/>
      <c r="RSW3001" s="125"/>
      <c r="RSX3001" s="470"/>
      <c r="RSY3001" s="449"/>
      <c r="RSZ3001" s="462"/>
      <c r="RTA3001" s="299"/>
      <c r="RTB3001" s="81"/>
      <c r="RTC3001" s="160"/>
      <c r="RTD3001" s="571"/>
      <c r="RTE3001" s="125"/>
      <c r="RTF3001" s="470"/>
      <c r="RTG3001" s="449"/>
      <c r="RTH3001" s="462"/>
      <c r="RTI3001" s="299"/>
      <c r="RTJ3001" s="81"/>
      <c r="RTK3001" s="160"/>
      <c r="RTL3001" s="571"/>
      <c r="RTM3001" s="125"/>
      <c r="RTN3001" s="470"/>
      <c r="RTO3001" s="449"/>
      <c r="RTP3001" s="462"/>
      <c r="RTQ3001" s="299"/>
      <c r="RTR3001" s="81"/>
      <c r="RTS3001" s="160"/>
      <c r="RTT3001" s="571"/>
      <c r="RTU3001" s="125"/>
      <c r="RTV3001" s="470"/>
      <c r="RTW3001" s="449"/>
      <c r="RTX3001" s="462"/>
      <c r="RTY3001" s="299"/>
      <c r="RTZ3001" s="81"/>
      <c r="RUA3001" s="160"/>
      <c r="RUB3001" s="571"/>
      <c r="RUC3001" s="125"/>
      <c r="RUD3001" s="470"/>
      <c r="RUE3001" s="449"/>
      <c r="RUF3001" s="462"/>
      <c r="RUG3001" s="299"/>
      <c r="RUH3001" s="81"/>
      <c r="RUI3001" s="160"/>
      <c r="RUJ3001" s="571"/>
      <c r="RUK3001" s="125"/>
      <c r="RUL3001" s="470"/>
      <c r="RUM3001" s="449"/>
      <c r="RUN3001" s="462"/>
      <c r="RUO3001" s="299"/>
      <c r="RUP3001" s="81"/>
      <c r="RUQ3001" s="160"/>
      <c r="RUR3001" s="571"/>
      <c r="RUS3001" s="125"/>
      <c r="RUT3001" s="470"/>
      <c r="RUU3001" s="449"/>
      <c r="RUV3001" s="462"/>
      <c r="RUW3001" s="299"/>
      <c r="RUX3001" s="81"/>
      <c r="RUY3001" s="160"/>
      <c r="RUZ3001" s="571"/>
      <c r="RVA3001" s="125"/>
      <c r="RVB3001" s="470"/>
      <c r="RVC3001" s="449"/>
      <c r="RVD3001" s="462"/>
      <c r="RVE3001" s="299"/>
      <c r="RVF3001" s="81"/>
      <c r="RVG3001" s="160"/>
      <c r="RVH3001" s="571"/>
      <c r="RVI3001" s="125"/>
      <c r="RVJ3001" s="470"/>
      <c r="RVK3001" s="449"/>
      <c r="RVL3001" s="462"/>
      <c r="RVM3001" s="299"/>
      <c r="RVN3001" s="81"/>
      <c r="RVO3001" s="160"/>
      <c r="RVP3001" s="571"/>
      <c r="RVQ3001" s="125"/>
      <c r="RVR3001" s="470"/>
      <c r="RVS3001" s="449"/>
      <c r="RVT3001" s="462"/>
      <c r="RVU3001" s="299"/>
      <c r="RVV3001" s="81"/>
      <c r="RVW3001" s="160"/>
      <c r="RVX3001" s="571"/>
      <c r="RVY3001" s="125"/>
      <c r="RVZ3001" s="470"/>
      <c r="RWA3001" s="449"/>
      <c r="RWB3001" s="462"/>
      <c r="RWC3001" s="299"/>
      <c r="RWD3001" s="81"/>
      <c r="RWE3001" s="160"/>
      <c r="RWF3001" s="571"/>
      <c r="RWG3001" s="125"/>
      <c r="RWH3001" s="470"/>
      <c r="RWI3001" s="449"/>
      <c r="RWJ3001" s="462"/>
      <c r="RWK3001" s="299"/>
      <c r="RWL3001" s="81"/>
      <c r="RWM3001" s="160"/>
      <c r="RWN3001" s="571"/>
      <c r="RWO3001" s="125"/>
      <c r="RWP3001" s="470"/>
      <c r="RWQ3001" s="449"/>
      <c r="RWR3001" s="462"/>
      <c r="RWS3001" s="299"/>
      <c r="RWT3001" s="81"/>
      <c r="RWU3001" s="160"/>
      <c r="RWV3001" s="571"/>
      <c r="RWW3001" s="125"/>
      <c r="RWX3001" s="470"/>
      <c r="RWY3001" s="449"/>
      <c r="RWZ3001" s="462"/>
      <c r="RXA3001" s="299"/>
      <c r="RXB3001" s="81"/>
      <c r="RXC3001" s="160"/>
      <c r="RXD3001" s="571"/>
      <c r="RXE3001" s="125"/>
      <c r="RXF3001" s="470"/>
      <c r="RXG3001" s="449"/>
      <c r="RXH3001" s="462"/>
      <c r="RXI3001" s="299"/>
      <c r="RXJ3001" s="81"/>
      <c r="RXK3001" s="160"/>
      <c r="RXL3001" s="571"/>
      <c r="RXM3001" s="125"/>
      <c r="RXN3001" s="470"/>
      <c r="RXO3001" s="449"/>
      <c r="RXP3001" s="462"/>
      <c r="RXQ3001" s="299"/>
      <c r="RXR3001" s="81"/>
      <c r="RXS3001" s="160"/>
      <c r="RXT3001" s="571"/>
      <c r="RXU3001" s="125"/>
      <c r="RXV3001" s="470"/>
      <c r="RXW3001" s="449"/>
      <c r="RXX3001" s="462"/>
      <c r="RXY3001" s="299"/>
      <c r="RXZ3001" s="81"/>
      <c r="RYA3001" s="160"/>
      <c r="RYB3001" s="571"/>
      <c r="RYC3001" s="125"/>
      <c r="RYD3001" s="470"/>
      <c r="RYE3001" s="449"/>
      <c r="RYF3001" s="462"/>
      <c r="RYG3001" s="299"/>
      <c r="RYH3001" s="81"/>
      <c r="RYI3001" s="160"/>
      <c r="RYJ3001" s="571"/>
      <c r="RYK3001" s="125"/>
      <c r="RYL3001" s="470"/>
      <c r="RYM3001" s="449"/>
      <c r="RYN3001" s="462"/>
      <c r="RYO3001" s="299"/>
      <c r="RYP3001" s="81"/>
      <c r="RYQ3001" s="160"/>
      <c r="RYR3001" s="571"/>
      <c r="RYS3001" s="125"/>
      <c r="RYT3001" s="470"/>
      <c r="RYU3001" s="449"/>
      <c r="RYV3001" s="462"/>
      <c r="RYW3001" s="299"/>
      <c r="RYX3001" s="81"/>
      <c r="RYY3001" s="160"/>
      <c r="RYZ3001" s="571"/>
      <c r="RZA3001" s="125"/>
      <c r="RZB3001" s="470"/>
      <c r="RZC3001" s="449"/>
      <c r="RZD3001" s="462"/>
      <c r="RZE3001" s="299"/>
      <c r="RZF3001" s="81"/>
      <c r="RZG3001" s="160"/>
      <c r="RZH3001" s="571"/>
      <c r="RZI3001" s="125"/>
      <c r="RZJ3001" s="470"/>
      <c r="RZK3001" s="449"/>
      <c r="RZL3001" s="462"/>
      <c r="RZM3001" s="299"/>
      <c r="RZN3001" s="81"/>
      <c r="RZO3001" s="160"/>
      <c r="RZP3001" s="571"/>
      <c r="RZQ3001" s="125"/>
      <c r="RZR3001" s="470"/>
      <c r="RZS3001" s="449"/>
      <c r="RZT3001" s="462"/>
      <c r="RZU3001" s="299"/>
      <c r="RZV3001" s="81"/>
      <c r="RZW3001" s="160"/>
      <c r="RZX3001" s="571"/>
      <c r="RZY3001" s="125"/>
      <c r="RZZ3001" s="470"/>
      <c r="SAA3001" s="449"/>
      <c r="SAB3001" s="462"/>
      <c r="SAC3001" s="299"/>
      <c r="SAD3001" s="81"/>
      <c r="SAE3001" s="160"/>
      <c r="SAF3001" s="571"/>
      <c r="SAG3001" s="125"/>
      <c r="SAH3001" s="470"/>
      <c r="SAI3001" s="449"/>
      <c r="SAJ3001" s="462"/>
      <c r="SAK3001" s="299"/>
      <c r="SAL3001" s="81"/>
      <c r="SAM3001" s="160"/>
      <c r="SAN3001" s="571"/>
      <c r="SAO3001" s="125"/>
      <c r="SAP3001" s="470"/>
      <c r="SAQ3001" s="449"/>
      <c r="SAR3001" s="462"/>
      <c r="SAS3001" s="299"/>
      <c r="SAT3001" s="81"/>
      <c r="SAU3001" s="160"/>
      <c r="SAV3001" s="571"/>
      <c r="SAW3001" s="125"/>
      <c r="SAX3001" s="470"/>
      <c r="SAY3001" s="449"/>
      <c r="SAZ3001" s="462"/>
      <c r="SBA3001" s="299"/>
      <c r="SBB3001" s="81"/>
      <c r="SBC3001" s="160"/>
      <c r="SBD3001" s="571"/>
      <c r="SBE3001" s="125"/>
      <c r="SBF3001" s="470"/>
      <c r="SBG3001" s="449"/>
      <c r="SBH3001" s="462"/>
      <c r="SBI3001" s="299"/>
      <c r="SBJ3001" s="81"/>
      <c r="SBK3001" s="160"/>
      <c r="SBL3001" s="571"/>
      <c r="SBM3001" s="125"/>
      <c r="SBN3001" s="470"/>
      <c r="SBO3001" s="449"/>
      <c r="SBP3001" s="462"/>
      <c r="SBQ3001" s="299"/>
      <c r="SBR3001" s="81"/>
      <c r="SBS3001" s="160"/>
      <c r="SBT3001" s="571"/>
      <c r="SBU3001" s="125"/>
      <c r="SBV3001" s="470"/>
      <c r="SBW3001" s="449"/>
      <c r="SBX3001" s="462"/>
      <c r="SBY3001" s="299"/>
      <c r="SBZ3001" s="81"/>
      <c r="SCA3001" s="160"/>
      <c r="SCB3001" s="571"/>
      <c r="SCC3001" s="125"/>
      <c r="SCD3001" s="470"/>
      <c r="SCE3001" s="449"/>
      <c r="SCF3001" s="462"/>
      <c r="SCG3001" s="299"/>
      <c r="SCH3001" s="81"/>
      <c r="SCI3001" s="160"/>
      <c r="SCJ3001" s="571"/>
      <c r="SCK3001" s="125"/>
      <c r="SCL3001" s="470"/>
      <c r="SCM3001" s="449"/>
      <c r="SCN3001" s="462"/>
      <c r="SCO3001" s="299"/>
      <c r="SCP3001" s="81"/>
      <c r="SCQ3001" s="160"/>
      <c r="SCR3001" s="571"/>
      <c r="SCS3001" s="125"/>
      <c r="SCT3001" s="470"/>
      <c r="SCU3001" s="449"/>
      <c r="SCV3001" s="462"/>
      <c r="SCW3001" s="299"/>
      <c r="SCX3001" s="81"/>
      <c r="SCY3001" s="160"/>
      <c r="SCZ3001" s="571"/>
      <c r="SDA3001" s="125"/>
      <c r="SDB3001" s="470"/>
      <c r="SDC3001" s="449"/>
      <c r="SDD3001" s="462"/>
      <c r="SDE3001" s="299"/>
      <c r="SDF3001" s="81"/>
      <c r="SDG3001" s="160"/>
      <c r="SDH3001" s="571"/>
      <c r="SDI3001" s="125"/>
      <c r="SDJ3001" s="470"/>
      <c r="SDK3001" s="449"/>
      <c r="SDL3001" s="462"/>
      <c r="SDM3001" s="299"/>
      <c r="SDN3001" s="81"/>
      <c r="SDO3001" s="160"/>
      <c r="SDP3001" s="571"/>
      <c r="SDQ3001" s="125"/>
      <c r="SDR3001" s="470"/>
      <c r="SDS3001" s="449"/>
      <c r="SDT3001" s="462"/>
      <c r="SDU3001" s="299"/>
      <c r="SDV3001" s="81"/>
      <c r="SDW3001" s="160"/>
      <c r="SDX3001" s="571"/>
      <c r="SDY3001" s="125"/>
      <c r="SDZ3001" s="470"/>
      <c r="SEA3001" s="449"/>
      <c r="SEB3001" s="462"/>
      <c r="SEC3001" s="299"/>
      <c r="SED3001" s="81"/>
      <c r="SEE3001" s="160"/>
      <c r="SEF3001" s="571"/>
      <c r="SEG3001" s="125"/>
      <c r="SEH3001" s="470"/>
      <c r="SEI3001" s="449"/>
      <c r="SEJ3001" s="462"/>
      <c r="SEK3001" s="299"/>
      <c r="SEL3001" s="81"/>
      <c r="SEM3001" s="160"/>
      <c r="SEN3001" s="571"/>
      <c r="SEO3001" s="125"/>
      <c r="SEP3001" s="470"/>
      <c r="SEQ3001" s="449"/>
      <c r="SER3001" s="462"/>
      <c r="SES3001" s="299"/>
      <c r="SET3001" s="81"/>
      <c r="SEU3001" s="160"/>
      <c r="SEV3001" s="571"/>
      <c r="SEW3001" s="125"/>
      <c r="SEX3001" s="470"/>
      <c r="SEY3001" s="449"/>
      <c r="SEZ3001" s="462"/>
      <c r="SFA3001" s="299"/>
      <c r="SFB3001" s="81"/>
      <c r="SFC3001" s="160"/>
      <c r="SFD3001" s="571"/>
      <c r="SFE3001" s="125"/>
      <c r="SFF3001" s="470"/>
      <c r="SFG3001" s="449"/>
      <c r="SFH3001" s="462"/>
      <c r="SFI3001" s="299"/>
      <c r="SFJ3001" s="81"/>
      <c r="SFK3001" s="160"/>
      <c r="SFL3001" s="571"/>
      <c r="SFM3001" s="125"/>
      <c r="SFN3001" s="470"/>
      <c r="SFO3001" s="449"/>
      <c r="SFP3001" s="462"/>
      <c r="SFQ3001" s="299"/>
      <c r="SFR3001" s="81"/>
      <c r="SFS3001" s="160"/>
      <c r="SFT3001" s="571"/>
      <c r="SFU3001" s="125"/>
      <c r="SFV3001" s="470"/>
      <c r="SFW3001" s="449"/>
      <c r="SFX3001" s="462"/>
      <c r="SFY3001" s="299"/>
      <c r="SFZ3001" s="81"/>
      <c r="SGA3001" s="160"/>
      <c r="SGB3001" s="571"/>
      <c r="SGC3001" s="125"/>
      <c r="SGD3001" s="470"/>
      <c r="SGE3001" s="449"/>
      <c r="SGF3001" s="462"/>
      <c r="SGG3001" s="299"/>
      <c r="SGH3001" s="81"/>
      <c r="SGI3001" s="160"/>
      <c r="SGJ3001" s="571"/>
      <c r="SGK3001" s="125"/>
      <c r="SGL3001" s="470"/>
      <c r="SGM3001" s="449"/>
      <c r="SGN3001" s="462"/>
      <c r="SGO3001" s="299"/>
      <c r="SGP3001" s="81"/>
      <c r="SGQ3001" s="160"/>
      <c r="SGR3001" s="571"/>
      <c r="SGS3001" s="125"/>
      <c r="SGT3001" s="470"/>
      <c r="SGU3001" s="449"/>
      <c r="SGV3001" s="462"/>
      <c r="SGW3001" s="299"/>
      <c r="SGX3001" s="81"/>
      <c r="SGY3001" s="160"/>
      <c r="SGZ3001" s="571"/>
      <c r="SHA3001" s="125"/>
      <c r="SHB3001" s="470"/>
      <c r="SHC3001" s="449"/>
      <c r="SHD3001" s="462"/>
      <c r="SHE3001" s="299"/>
      <c r="SHF3001" s="81"/>
      <c r="SHG3001" s="160"/>
      <c r="SHH3001" s="571"/>
      <c r="SHI3001" s="125"/>
      <c r="SHJ3001" s="470"/>
      <c r="SHK3001" s="449"/>
      <c r="SHL3001" s="462"/>
      <c r="SHM3001" s="299"/>
      <c r="SHN3001" s="81"/>
      <c r="SHO3001" s="160"/>
      <c r="SHP3001" s="571"/>
      <c r="SHQ3001" s="125"/>
      <c r="SHR3001" s="470"/>
      <c r="SHS3001" s="449"/>
      <c r="SHT3001" s="462"/>
      <c r="SHU3001" s="299"/>
      <c r="SHV3001" s="81"/>
      <c r="SHW3001" s="160"/>
      <c r="SHX3001" s="571"/>
      <c r="SHY3001" s="125"/>
      <c r="SHZ3001" s="470"/>
      <c r="SIA3001" s="449"/>
      <c r="SIB3001" s="462"/>
      <c r="SIC3001" s="299"/>
      <c r="SID3001" s="81"/>
      <c r="SIE3001" s="160"/>
      <c r="SIF3001" s="571"/>
      <c r="SIG3001" s="125"/>
      <c r="SIH3001" s="470"/>
      <c r="SII3001" s="449"/>
      <c r="SIJ3001" s="462"/>
      <c r="SIK3001" s="299"/>
      <c r="SIL3001" s="81"/>
      <c r="SIM3001" s="160"/>
      <c r="SIN3001" s="571"/>
      <c r="SIO3001" s="125"/>
      <c r="SIP3001" s="470"/>
      <c r="SIQ3001" s="449"/>
      <c r="SIR3001" s="462"/>
      <c r="SIS3001" s="299"/>
      <c r="SIT3001" s="81"/>
      <c r="SIU3001" s="160"/>
      <c r="SIV3001" s="571"/>
      <c r="SIW3001" s="125"/>
      <c r="SIX3001" s="470"/>
      <c r="SIY3001" s="449"/>
      <c r="SIZ3001" s="462"/>
      <c r="SJA3001" s="299"/>
      <c r="SJB3001" s="81"/>
      <c r="SJC3001" s="160"/>
      <c r="SJD3001" s="571"/>
      <c r="SJE3001" s="125"/>
      <c r="SJF3001" s="470"/>
      <c r="SJG3001" s="449"/>
      <c r="SJH3001" s="462"/>
      <c r="SJI3001" s="299"/>
      <c r="SJJ3001" s="81"/>
      <c r="SJK3001" s="160"/>
      <c r="SJL3001" s="571"/>
      <c r="SJM3001" s="125"/>
      <c r="SJN3001" s="470"/>
      <c r="SJO3001" s="449"/>
      <c r="SJP3001" s="462"/>
      <c r="SJQ3001" s="299"/>
      <c r="SJR3001" s="81"/>
      <c r="SJS3001" s="160"/>
      <c r="SJT3001" s="571"/>
      <c r="SJU3001" s="125"/>
      <c r="SJV3001" s="470"/>
      <c r="SJW3001" s="449"/>
      <c r="SJX3001" s="462"/>
      <c r="SJY3001" s="299"/>
      <c r="SJZ3001" s="81"/>
      <c r="SKA3001" s="160"/>
      <c r="SKB3001" s="571"/>
      <c r="SKC3001" s="125"/>
      <c r="SKD3001" s="470"/>
      <c r="SKE3001" s="449"/>
      <c r="SKF3001" s="462"/>
      <c r="SKG3001" s="299"/>
      <c r="SKH3001" s="81"/>
      <c r="SKI3001" s="160"/>
      <c r="SKJ3001" s="571"/>
      <c r="SKK3001" s="125"/>
      <c r="SKL3001" s="470"/>
      <c r="SKM3001" s="449"/>
      <c r="SKN3001" s="462"/>
      <c r="SKO3001" s="299"/>
      <c r="SKP3001" s="81"/>
      <c r="SKQ3001" s="160"/>
      <c r="SKR3001" s="571"/>
      <c r="SKS3001" s="125"/>
      <c r="SKT3001" s="470"/>
      <c r="SKU3001" s="449"/>
      <c r="SKV3001" s="462"/>
      <c r="SKW3001" s="299"/>
      <c r="SKX3001" s="81"/>
      <c r="SKY3001" s="160"/>
      <c r="SKZ3001" s="571"/>
      <c r="SLA3001" s="125"/>
      <c r="SLB3001" s="470"/>
      <c r="SLC3001" s="449"/>
      <c r="SLD3001" s="462"/>
      <c r="SLE3001" s="299"/>
      <c r="SLF3001" s="81"/>
      <c r="SLG3001" s="160"/>
      <c r="SLH3001" s="571"/>
      <c r="SLI3001" s="125"/>
      <c r="SLJ3001" s="470"/>
      <c r="SLK3001" s="449"/>
      <c r="SLL3001" s="462"/>
      <c r="SLM3001" s="299"/>
      <c r="SLN3001" s="81"/>
      <c r="SLO3001" s="160"/>
      <c r="SLP3001" s="571"/>
      <c r="SLQ3001" s="125"/>
      <c r="SLR3001" s="470"/>
      <c r="SLS3001" s="449"/>
      <c r="SLT3001" s="462"/>
      <c r="SLU3001" s="299"/>
      <c r="SLV3001" s="81"/>
      <c r="SLW3001" s="160"/>
      <c r="SLX3001" s="571"/>
      <c r="SLY3001" s="125"/>
      <c r="SLZ3001" s="470"/>
      <c r="SMA3001" s="449"/>
      <c r="SMB3001" s="462"/>
      <c r="SMC3001" s="299"/>
      <c r="SMD3001" s="81"/>
      <c r="SME3001" s="160"/>
      <c r="SMF3001" s="571"/>
      <c r="SMG3001" s="125"/>
      <c r="SMH3001" s="470"/>
      <c r="SMI3001" s="449"/>
      <c r="SMJ3001" s="462"/>
      <c r="SMK3001" s="299"/>
      <c r="SML3001" s="81"/>
      <c r="SMM3001" s="160"/>
      <c r="SMN3001" s="571"/>
      <c r="SMO3001" s="125"/>
      <c r="SMP3001" s="470"/>
      <c r="SMQ3001" s="449"/>
      <c r="SMR3001" s="462"/>
      <c r="SMS3001" s="299"/>
      <c r="SMT3001" s="81"/>
      <c r="SMU3001" s="160"/>
      <c r="SMV3001" s="571"/>
      <c r="SMW3001" s="125"/>
      <c r="SMX3001" s="470"/>
      <c r="SMY3001" s="449"/>
      <c r="SMZ3001" s="462"/>
      <c r="SNA3001" s="299"/>
      <c r="SNB3001" s="81"/>
      <c r="SNC3001" s="160"/>
      <c r="SND3001" s="571"/>
      <c r="SNE3001" s="125"/>
      <c r="SNF3001" s="470"/>
      <c r="SNG3001" s="449"/>
      <c r="SNH3001" s="462"/>
      <c r="SNI3001" s="299"/>
      <c r="SNJ3001" s="81"/>
      <c r="SNK3001" s="160"/>
      <c r="SNL3001" s="571"/>
      <c r="SNM3001" s="125"/>
      <c r="SNN3001" s="470"/>
      <c r="SNO3001" s="449"/>
      <c r="SNP3001" s="462"/>
      <c r="SNQ3001" s="299"/>
      <c r="SNR3001" s="81"/>
      <c r="SNS3001" s="160"/>
      <c r="SNT3001" s="571"/>
      <c r="SNU3001" s="125"/>
      <c r="SNV3001" s="470"/>
      <c r="SNW3001" s="449"/>
      <c r="SNX3001" s="462"/>
      <c r="SNY3001" s="299"/>
      <c r="SNZ3001" s="81"/>
      <c r="SOA3001" s="160"/>
      <c r="SOB3001" s="571"/>
      <c r="SOC3001" s="125"/>
      <c r="SOD3001" s="470"/>
      <c r="SOE3001" s="449"/>
      <c r="SOF3001" s="462"/>
      <c r="SOG3001" s="299"/>
      <c r="SOH3001" s="81"/>
      <c r="SOI3001" s="160"/>
      <c r="SOJ3001" s="571"/>
      <c r="SOK3001" s="125"/>
      <c r="SOL3001" s="470"/>
      <c r="SOM3001" s="449"/>
      <c r="SON3001" s="462"/>
      <c r="SOO3001" s="299"/>
      <c r="SOP3001" s="81"/>
      <c r="SOQ3001" s="160"/>
      <c r="SOR3001" s="571"/>
      <c r="SOS3001" s="125"/>
      <c r="SOT3001" s="470"/>
      <c r="SOU3001" s="449"/>
      <c r="SOV3001" s="462"/>
      <c r="SOW3001" s="299"/>
      <c r="SOX3001" s="81"/>
      <c r="SOY3001" s="160"/>
      <c r="SOZ3001" s="571"/>
      <c r="SPA3001" s="125"/>
      <c r="SPB3001" s="470"/>
      <c r="SPC3001" s="449"/>
      <c r="SPD3001" s="462"/>
      <c r="SPE3001" s="299"/>
      <c r="SPF3001" s="81"/>
      <c r="SPG3001" s="160"/>
      <c r="SPH3001" s="571"/>
      <c r="SPI3001" s="125"/>
      <c r="SPJ3001" s="470"/>
      <c r="SPK3001" s="449"/>
      <c r="SPL3001" s="462"/>
      <c r="SPM3001" s="299"/>
      <c r="SPN3001" s="81"/>
      <c r="SPO3001" s="160"/>
      <c r="SPP3001" s="571"/>
      <c r="SPQ3001" s="125"/>
      <c r="SPR3001" s="470"/>
      <c r="SPS3001" s="449"/>
      <c r="SPT3001" s="462"/>
      <c r="SPU3001" s="299"/>
      <c r="SPV3001" s="81"/>
      <c r="SPW3001" s="160"/>
      <c r="SPX3001" s="571"/>
      <c r="SPY3001" s="125"/>
      <c r="SPZ3001" s="470"/>
      <c r="SQA3001" s="449"/>
      <c r="SQB3001" s="462"/>
      <c r="SQC3001" s="299"/>
      <c r="SQD3001" s="81"/>
      <c r="SQE3001" s="160"/>
      <c r="SQF3001" s="571"/>
      <c r="SQG3001" s="125"/>
      <c r="SQH3001" s="470"/>
      <c r="SQI3001" s="449"/>
      <c r="SQJ3001" s="462"/>
      <c r="SQK3001" s="299"/>
      <c r="SQL3001" s="81"/>
      <c r="SQM3001" s="160"/>
      <c r="SQN3001" s="571"/>
      <c r="SQO3001" s="125"/>
      <c r="SQP3001" s="470"/>
      <c r="SQQ3001" s="449"/>
      <c r="SQR3001" s="462"/>
      <c r="SQS3001" s="299"/>
      <c r="SQT3001" s="81"/>
      <c r="SQU3001" s="160"/>
      <c r="SQV3001" s="571"/>
      <c r="SQW3001" s="125"/>
      <c r="SQX3001" s="470"/>
      <c r="SQY3001" s="449"/>
      <c r="SQZ3001" s="462"/>
      <c r="SRA3001" s="299"/>
      <c r="SRB3001" s="81"/>
      <c r="SRC3001" s="160"/>
      <c r="SRD3001" s="571"/>
      <c r="SRE3001" s="125"/>
      <c r="SRF3001" s="470"/>
      <c r="SRG3001" s="449"/>
      <c r="SRH3001" s="462"/>
      <c r="SRI3001" s="299"/>
      <c r="SRJ3001" s="81"/>
      <c r="SRK3001" s="160"/>
      <c r="SRL3001" s="571"/>
      <c r="SRM3001" s="125"/>
      <c r="SRN3001" s="470"/>
      <c r="SRO3001" s="449"/>
      <c r="SRP3001" s="462"/>
      <c r="SRQ3001" s="299"/>
      <c r="SRR3001" s="81"/>
      <c r="SRS3001" s="160"/>
      <c r="SRT3001" s="571"/>
      <c r="SRU3001" s="125"/>
      <c r="SRV3001" s="470"/>
      <c r="SRW3001" s="449"/>
      <c r="SRX3001" s="462"/>
      <c r="SRY3001" s="299"/>
      <c r="SRZ3001" s="81"/>
      <c r="SSA3001" s="160"/>
      <c r="SSB3001" s="571"/>
      <c r="SSC3001" s="125"/>
      <c r="SSD3001" s="470"/>
      <c r="SSE3001" s="449"/>
      <c r="SSF3001" s="462"/>
      <c r="SSG3001" s="299"/>
      <c r="SSH3001" s="81"/>
      <c r="SSI3001" s="160"/>
      <c r="SSJ3001" s="571"/>
      <c r="SSK3001" s="125"/>
      <c r="SSL3001" s="470"/>
      <c r="SSM3001" s="449"/>
      <c r="SSN3001" s="462"/>
      <c r="SSO3001" s="299"/>
      <c r="SSP3001" s="81"/>
      <c r="SSQ3001" s="160"/>
      <c r="SSR3001" s="571"/>
      <c r="SSS3001" s="125"/>
      <c r="SST3001" s="470"/>
      <c r="SSU3001" s="449"/>
      <c r="SSV3001" s="462"/>
      <c r="SSW3001" s="299"/>
      <c r="SSX3001" s="81"/>
      <c r="SSY3001" s="160"/>
      <c r="SSZ3001" s="571"/>
      <c r="STA3001" s="125"/>
      <c r="STB3001" s="470"/>
      <c r="STC3001" s="449"/>
      <c r="STD3001" s="462"/>
      <c r="STE3001" s="299"/>
      <c r="STF3001" s="81"/>
      <c r="STG3001" s="160"/>
      <c r="STH3001" s="571"/>
      <c r="STI3001" s="125"/>
      <c r="STJ3001" s="470"/>
      <c r="STK3001" s="449"/>
      <c r="STL3001" s="462"/>
      <c r="STM3001" s="299"/>
      <c r="STN3001" s="81"/>
      <c r="STO3001" s="160"/>
      <c r="STP3001" s="571"/>
      <c r="STQ3001" s="125"/>
      <c r="STR3001" s="470"/>
      <c r="STS3001" s="449"/>
      <c r="STT3001" s="462"/>
      <c r="STU3001" s="299"/>
      <c r="STV3001" s="81"/>
      <c r="STW3001" s="160"/>
      <c r="STX3001" s="571"/>
      <c r="STY3001" s="125"/>
      <c r="STZ3001" s="470"/>
      <c r="SUA3001" s="449"/>
      <c r="SUB3001" s="462"/>
      <c r="SUC3001" s="299"/>
      <c r="SUD3001" s="81"/>
      <c r="SUE3001" s="160"/>
      <c r="SUF3001" s="571"/>
      <c r="SUG3001" s="125"/>
      <c r="SUH3001" s="470"/>
      <c r="SUI3001" s="449"/>
      <c r="SUJ3001" s="462"/>
      <c r="SUK3001" s="299"/>
      <c r="SUL3001" s="81"/>
      <c r="SUM3001" s="160"/>
      <c r="SUN3001" s="571"/>
      <c r="SUO3001" s="125"/>
      <c r="SUP3001" s="470"/>
      <c r="SUQ3001" s="449"/>
      <c r="SUR3001" s="462"/>
      <c r="SUS3001" s="299"/>
      <c r="SUT3001" s="81"/>
      <c r="SUU3001" s="160"/>
      <c r="SUV3001" s="571"/>
      <c r="SUW3001" s="125"/>
      <c r="SUX3001" s="470"/>
      <c r="SUY3001" s="449"/>
      <c r="SUZ3001" s="462"/>
      <c r="SVA3001" s="299"/>
      <c r="SVB3001" s="81"/>
      <c r="SVC3001" s="160"/>
      <c r="SVD3001" s="571"/>
      <c r="SVE3001" s="125"/>
      <c r="SVF3001" s="470"/>
      <c r="SVG3001" s="449"/>
      <c r="SVH3001" s="462"/>
      <c r="SVI3001" s="299"/>
      <c r="SVJ3001" s="81"/>
      <c r="SVK3001" s="160"/>
      <c r="SVL3001" s="571"/>
      <c r="SVM3001" s="125"/>
      <c r="SVN3001" s="470"/>
      <c r="SVO3001" s="449"/>
      <c r="SVP3001" s="462"/>
      <c r="SVQ3001" s="299"/>
      <c r="SVR3001" s="81"/>
      <c r="SVS3001" s="160"/>
      <c r="SVT3001" s="571"/>
      <c r="SVU3001" s="125"/>
      <c r="SVV3001" s="470"/>
      <c r="SVW3001" s="449"/>
      <c r="SVX3001" s="462"/>
      <c r="SVY3001" s="299"/>
      <c r="SVZ3001" s="81"/>
      <c r="SWA3001" s="160"/>
      <c r="SWB3001" s="571"/>
      <c r="SWC3001" s="125"/>
      <c r="SWD3001" s="470"/>
      <c r="SWE3001" s="449"/>
      <c r="SWF3001" s="462"/>
      <c r="SWG3001" s="299"/>
      <c r="SWH3001" s="81"/>
      <c r="SWI3001" s="160"/>
      <c r="SWJ3001" s="571"/>
      <c r="SWK3001" s="125"/>
      <c r="SWL3001" s="470"/>
      <c r="SWM3001" s="449"/>
      <c r="SWN3001" s="462"/>
      <c r="SWO3001" s="299"/>
      <c r="SWP3001" s="81"/>
      <c r="SWQ3001" s="160"/>
      <c r="SWR3001" s="571"/>
      <c r="SWS3001" s="125"/>
      <c r="SWT3001" s="470"/>
      <c r="SWU3001" s="449"/>
      <c r="SWV3001" s="462"/>
      <c r="SWW3001" s="299"/>
      <c r="SWX3001" s="81"/>
      <c r="SWY3001" s="160"/>
      <c r="SWZ3001" s="571"/>
      <c r="SXA3001" s="125"/>
      <c r="SXB3001" s="470"/>
      <c r="SXC3001" s="449"/>
      <c r="SXD3001" s="462"/>
      <c r="SXE3001" s="299"/>
      <c r="SXF3001" s="81"/>
      <c r="SXG3001" s="160"/>
      <c r="SXH3001" s="571"/>
      <c r="SXI3001" s="125"/>
      <c r="SXJ3001" s="470"/>
      <c r="SXK3001" s="449"/>
      <c r="SXL3001" s="462"/>
      <c r="SXM3001" s="299"/>
      <c r="SXN3001" s="81"/>
      <c r="SXO3001" s="160"/>
      <c r="SXP3001" s="571"/>
      <c r="SXQ3001" s="125"/>
      <c r="SXR3001" s="470"/>
      <c r="SXS3001" s="449"/>
      <c r="SXT3001" s="462"/>
      <c r="SXU3001" s="299"/>
      <c r="SXV3001" s="81"/>
      <c r="SXW3001" s="160"/>
      <c r="SXX3001" s="571"/>
      <c r="SXY3001" s="125"/>
      <c r="SXZ3001" s="470"/>
      <c r="SYA3001" s="449"/>
      <c r="SYB3001" s="462"/>
      <c r="SYC3001" s="299"/>
      <c r="SYD3001" s="81"/>
      <c r="SYE3001" s="160"/>
      <c r="SYF3001" s="571"/>
      <c r="SYG3001" s="125"/>
      <c r="SYH3001" s="470"/>
      <c r="SYI3001" s="449"/>
      <c r="SYJ3001" s="462"/>
      <c r="SYK3001" s="299"/>
      <c r="SYL3001" s="81"/>
      <c r="SYM3001" s="160"/>
      <c r="SYN3001" s="571"/>
      <c r="SYO3001" s="125"/>
      <c r="SYP3001" s="470"/>
      <c r="SYQ3001" s="449"/>
      <c r="SYR3001" s="462"/>
      <c r="SYS3001" s="299"/>
      <c r="SYT3001" s="81"/>
      <c r="SYU3001" s="160"/>
      <c r="SYV3001" s="571"/>
      <c r="SYW3001" s="125"/>
      <c r="SYX3001" s="470"/>
      <c r="SYY3001" s="449"/>
      <c r="SYZ3001" s="462"/>
      <c r="SZA3001" s="299"/>
      <c r="SZB3001" s="81"/>
      <c r="SZC3001" s="160"/>
      <c r="SZD3001" s="571"/>
      <c r="SZE3001" s="125"/>
      <c r="SZF3001" s="470"/>
      <c r="SZG3001" s="449"/>
      <c r="SZH3001" s="462"/>
      <c r="SZI3001" s="299"/>
      <c r="SZJ3001" s="81"/>
      <c r="SZK3001" s="160"/>
      <c r="SZL3001" s="571"/>
      <c r="SZM3001" s="125"/>
      <c r="SZN3001" s="470"/>
      <c r="SZO3001" s="449"/>
      <c r="SZP3001" s="462"/>
      <c r="SZQ3001" s="299"/>
      <c r="SZR3001" s="81"/>
      <c r="SZS3001" s="160"/>
      <c r="SZT3001" s="571"/>
      <c r="SZU3001" s="125"/>
      <c r="SZV3001" s="470"/>
      <c r="SZW3001" s="449"/>
      <c r="SZX3001" s="462"/>
      <c r="SZY3001" s="299"/>
      <c r="SZZ3001" s="81"/>
      <c r="TAA3001" s="160"/>
      <c r="TAB3001" s="571"/>
      <c r="TAC3001" s="125"/>
      <c r="TAD3001" s="470"/>
      <c r="TAE3001" s="449"/>
      <c r="TAF3001" s="462"/>
      <c r="TAG3001" s="299"/>
      <c r="TAH3001" s="81"/>
      <c r="TAI3001" s="160"/>
      <c r="TAJ3001" s="571"/>
      <c r="TAK3001" s="125"/>
      <c r="TAL3001" s="470"/>
      <c r="TAM3001" s="449"/>
      <c r="TAN3001" s="462"/>
      <c r="TAO3001" s="299"/>
      <c r="TAP3001" s="81"/>
      <c r="TAQ3001" s="160"/>
      <c r="TAR3001" s="571"/>
      <c r="TAS3001" s="125"/>
      <c r="TAT3001" s="470"/>
      <c r="TAU3001" s="449"/>
      <c r="TAV3001" s="462"/>
      <c r="TAW3001" s="299"/>
      <c r="TAX3001" s="81"/>
      <c r="TAY3001" s="160"/>
      <c r="TAZ3001" s="571"/>
      <c r="TBA3001" s="125"/>
      <c r="TBB3001" s="470"/>
      <c r="TBC3001" s="449"/>
      <c r="TBD3001" s="462"/>
      <c r="TBE3001" s="299"/>
      <c r="TBF3001" s="81"/>
      <c r="TBG3001" s="160"/>
      <c r="TBH3001" s="571"/>
      <c r="TBI3001" s="125"/>
      <c r="TBJ3001" s="470"/>
      <c r="TBK3001" s="449"/>
      <c r="TBL3001" s="462"/>
      <c r="TBM3001" s="299"/>
      <c r="TBN3001" s="81"/>
      <c r="TBO3001" s="160"/>
      <c r="TBP3001" s="571"/>
      <c r="TBQ3001" s="125"/>
      <c r="TBR3001" s="470"/>
      <c r="TBS3001" s="449"/>
      <c r="TBT3001" s="462"/>
      <c r="TBU3001" s="299"/>
      <c r="TBV3001" s="81"/>
      <c r="TBW3001" s="160"/>
      <c r="TBX3001" s="571"/>
      <c r="TBY3001" s="125"/>
      <c r="TBZ3001" s="470"/>
      <c r="TCA3001" s="449"/>
      <c r="TCB3001" s="462"/>
      <c r="TCC3001" s="299"/>
      <c r="TCD3001" s="81"/>
      <c r="TCE3001" s="160"/>
      <c r="TCF3001" s="571"/>
      <c r="TCG3001" s="125"/>
      <c r="TCH3001" s="470"/>
      <c r="TCI3001" s="449"/>
      <c r="TCJ3001" s="462"/>
      <c r="TCK3001" s="299"/>
      <c r="TCL3001" s="81"/>
      <c r="TCM3001" s="160"/>
      <c r="TCN3001" s="571"/>
      <c r="TCO3001" s="125"/>
      <c r="TCP3001" s="470"/>
      <c r="TCQ3001" s="449"/>
      <c r="TCR3001" s="462"/>
      <c r="TCS3001" s="299"/>
      <c r="TCT3001" s="81"/>
      <c r="TCU3001" s="160"/>
      <c r="TCV3001" s="571"/>
      <c r="TCW3001" s="125"/>
      <c r="TCX3001" s="470"/>
      <c r="TCY3001" s="449"/>
      <c r="TCZ3001" s="462"/>
      <c r="TDA3001" s="299"/>
      <c r="TDB3001" s="81"/>
      <c r="TDC3001" s="160"/>
      <c r="TDD3001" s="571"/>
      <c r="TDE3001" s="125"/>
      <c r="TDF3001" s="470"/>
      <c r="TDG3001" s="449"/>
      <c r="TDH3001" s="462"/>
      <c r="TDI3001" s="299"/>
      <c r="TDJ3001" s="81"/>
      <c r="TDK3001" s="160"/>
      <c r="TDL3001" s="571"/>
      <c r="TDM3001" s="125"/>
      <c r="TDN3001" s="470"/>
      <c r="TDO3001" s="449"/>
      <c r="TDP3001" s="462"/>
      <c r="TDQ3001" s="299"/>
      <c r="TDR3001" s="81"/>
      <c r="TDS3001" s="160"/>
      <c r="TDT3001" s="571"/>
      <c r="TDU3001" s="125"/>
      <c r="TDV3001" s="470"/>
      <c r="TDW3001" s="449"/>
      <c r="TDX3001" s="462"/>
      <c r="TDY3001" s="299"/>
      <c r="TDZ3001" s="81"/>
      <c r="TEA3001" s="160"/>
      <c r="TEB3001" s="571"/>
      <c r="TEC3001" s="125"/>
      <c r="TED3001" s="470"/>
      <c r="TEE3001" s="449"/>
      <c r="TEF3001" s="462"/>
      <c r="TEG3001" s="299"/>
      <c r="TEH3001" s="81"/>
      <c r="TEI3001" s="160"/>
      <c r="TEJ3001" s="571"/>
      <c r="TEK3001" s="125"/>
      <c r="TEL3001" s="470"/>
      <c r="TEM3001" s="449"/>
      <c r="TEN3001" s="462"/>
      <c r="TEO3001" s="299"/>
      <c r="TEP3001" s="81"/>
      <c r="TEQ3001" s="160"/>
      <c r="TER3001" s="571"/>
      <c r="TES3001" s="125"/>
      <c r="TET3001" s="470"/>
      <c r="TEU3001" s="449"/>
      <c r="TEV3001" s="462"/>
      <c r="TEW3001" s="299"/>
      <c r="TEX3001" s="81"/>
      <c r="TEY3001" s="160"/>
      <c r="TEZ3001" s="571"/>
      <c r="TFA3001" s="125"/>
      <c r="TFB3001" s="470"/>
      <c r="TFC3001" s="449"/>
      <c r="TFD3001" s="462"/>
      <c r="TFE3001" s="299"/>
      <c r="TFF3001" s="81"/>
      <c r="TFG3001" s="160"/>
      <c r="TFH3001" s="571"/>
      <c r="TFI3001" s="125"/>
      <c r="TFJ3001" s="470"/>
      <c r="TFK3001" s="449"/>
      <c r="TFL3001" s="462"/>
      <c r="TFM3001" s="299"/>
      <c r="TFN3001" s="81"/>
      <c r="TFO3001" s="160"/>
      <c r="TFP3001" s="571"/>
      <c r="TFQ3001" s="125"/>
      <c r="TFR3001" s="470"/>
      <c r="TFS3001" s="449"/>
      <c r="TFT3001" s="462"/>
      <c r="TFU3001" s="299"/>
      <c r="TFV3001" s="81"/>
      <c r="TFW3001" s="160"/>
      <c r="TFX3001" s="571"/>
      <c r="TFY3001" s="125"/>
      <c r="TFZ3001" s="470"/>
      <c r="TGA3001" s="449"/>
      <c r="TGB3001" s="462"/>
      <c r="TGC3001" s="299"/>
      <c r="TGD3001" s="81"/>
      <c r="TGE3001" s="160"/>
      <c r="TGF3001" s="571"/>
      <c r="TGG3001" s="125"/>
      <c r="TGH3001" s="470"/>
      <c r="TGI3001" s="449"/>
      <c r="TGJ3001" s="462"/>
      <c r="TGK3001" s="299"/>
      <c r="TGL3001" s="81"/>
      <c r="TGM3001" s="160"/>
      <c r="TGN3001" s="571"/>
      <c r="TGO3001" s="125"/>
      <c r="TGP3001" s="470"/>
      <c r="TGQ3001" s="449"/>
      <c r="TGR3001" s="462"/>
      <c r="TGS3001" s="299"/>
      <c r="TGT3001" s="81"/>
      <c r="TGU3001" s="160"/>
      <c r="TGV3001" s="571"/>
      <c r="TGW3001" s="125"/>
      <c r="TGX3001" s="470"/>
      <c r="TGY3001" s="449"/>
      <c r="TGZ3001" s="462"/>
      <c r="THA3001" s="299"/>
      <c r="THB3001" s="81"/>
      <c r="THC3001" s="160"/>
      <c r="THD3001" s="571"/>
      <c r="THE3001" s="125"/>
      <c r="THF3001" s="470"/>
      <c r="THG3001" s="449"/>
      <c r="THH3001" s="462"/>
      <c r="THI3001" s="299"/>
      <c r="THJ3001" s="81"/>
      <c r="THK3001" s="160"/>
      <c r="THL3001" s="571"/>
      <c r="THM3001" s="125"/>
      <c r="THN3001" s="470"/>
      <c r="THO3001" s="449"/>
      <c r="THP3001" s="462"/>
      <c r="THQ3001" s="299"/>
      <c r="THR3001" s="81"/>
      <c r="THS3001" s="160"/>
      <c r="THT3001" s="571"/>
      <c r="THU3001" s="125"/>
      <c r="THV3001" s="470"/>
      <c r="THW3001" s="449"/>
      <c r="THX3001" s="462"/>
      <c r="THY3001" s="299"/>
      <c r="THZ3001" s="81"/>
      <c r="TIA3001" s="160"/>
      <c r="TIB3001" s="571"/>
      <c r="TIC3001" s="125"/>
      <c r="TID3001" s="470"/>
      <c r="TIE3001" s="449"/>
      <c r="TIF3001" s="462"/>
      <c r="TIG3001" s="299"/>
      <c r="TIH3001" s="81"/>
      <c r="TII3001" s="160"/>
      <c r="TIJ3001" s="571"/>
      <c r="TIK3001" s="125"/>
      <c r="TIL3001" s="470"/>
      <c r="TIM3001" s="449"/>
      <c r="TIN3001" s="462"/>
      <c r="TIO3001" s="299"/>
      <c r="TIP3001" s="81"/>
      <c r="TIQ3001" s="160"/>
      <c r="TIR3001" s="571"/>
      <c r="TIS3001" s="125"/>
      <c r="TIT3001" s="470"/>
      <c r="TIU3001" s="449"/>
      <c r="TIV3001" s="462"/>
      <c r="TIW3001" s="299"/>
      <c r="TIX3001" s="81"/>
      <c r="TIY3001" s="160"/>
      <c r="TIZ3001" s="571"/>
      <c r="TJA3001" s="125"/>
      <c r="TJB3001" s="470"/>
      <c r="TJC3001" s="449"/>
      <c r="TJD3001" s="462"/>
      <c r="TJE3001" s="299"/>
      <c r="TJF3001" s="81"/>
      <c r="TJG3001" s="160"/>
      <c r="TJH3001" s="571"/>
      <c r="TJI3001" s="125"/>
      <c r="TJJ3001" s="470"/>
      <c r="TJK3001" s="449"/>
      <c r="TJL3001" s="462"/>
      <c r="TJM3001" s="299"/>
      <c r="TJN3001" s="81"/>
      <c r="TJO3001" s="160"/>
      <c r="TJP3001" s="571"/>
      <c r="TJQ3001" s="125"/>
      <c r="TJR3001" s="470"/>
      <c r="TJS3001" s="449"/>
      <c r="TJT3001" s="462"/>
      <c r="TJU3001" s="299"/>
      <c r="TJV3001" s="81"/>
      <c r="TJW3001" s="160"/>
      <c r="TJX3001" s="571"/>
      <c r="TJY3001" s="125"/>
      <c r="TJZ3001" s="470"/>
      <c r="TKA3001" s="449"/>
      <c r="TKB3001" s="462"/>
      <c r="TKC3001" s="299"/>
      <c r="TKD3001" s="81"/>
      <c r="TKE3001" s="160"/>
      <c r="TKF3001" s="571"/>
      <c r="TKG3001" s="125"/>
      <c r="TKH3001" s="470"/>
      <c r="TKI3001" s="449"/>
      <c r="TKJ3001" s="462"/>
      <c r="TKK3001" s="299"/>
      <c r="TKL3001" s="81"/>
      <c r="TKM3001" s="160"/>
      <c r="TKN3001" s="571"/>
      <c r="TKO3001" s="125"/>
      <c r="TKP3001" s="470"/>
      <c r="TKQ3001" s="449"/>
      <c r="TKR3001" s="462"/>
      <c r="TKS3001" s="299"/>
      <c r="TKT3001" s="81"/>
      <c r="TKU3001" s="160"/>
      <c r="TKV3001" s="571"/>
      <c r="TKW3001" s="125"/>
      <c r="TKX3001" s="470"/>
      <c r="TKY3001" s="449"/>
      <c r="TKZ3001" s="462"/>
      <c r="TLA3001" s="299"/>
      <c r="TLB3001" s="81"/>
      <c r="TLC3001" s="160"/>
      <c r="TLD3001" s="571"/>
      <c r="TLE3001" s="125"/>
      <c r="TLF3001" s="470"/>
      <c r="TLG3001" s="449"/>
      <c r="TLH3001" s="462"/>
      <c r="TLI3001" s="299"/>
      <c r="TLJ3001" s="81"/>
      <c r="TLK3001" s="160"/>
      <c r="TLL3001" s="571"/>
      <c r="TLM3001" s="125"/>
      <c r="TLN3001" s="470"/>
      <c r="TLO3001" s="449"/>
      <c r="TLP3001" s="462"/>
      <c r="TLQ3001" s="299"/>
      <c r="TLR3001" s="81"/>
      <c r="TLS3001" s="160"/>
      <c r="TLT3001" s="571"/>
      <c r="TLU3001" s="125"/>
      <c r="TLV3001" s="470"/>
      <c r="TLW3001" s="449"/>
      <c r="TLX3001" s="462"/>
      <c r="TLY3001" s="299"/>
      <c r="TLZ3001" s="81"/>
      <c r="TMA3001" s="160"/>
      <c r="TMB3001" s="571"/>
      <c r="TMC3001" s="125"/>
      <c r="TMD3001" s="470"/>
      <c r="TME3001" s="449"/>
      <c r="TMF3001" s="462"/>
      <c r="TMG3001" s="299"/>
      <c r="TMH3001" s="81"/>
      <c r="TMI3001" s="160"/>
      <c r="TMJ3001" s="571"/>
      <c r="TMK3001" s="125"/>
      <c r="TML3001" s="470"/>
      <c r="TMM3001" s="449"/>
      <c r="TMN3001" s="462"/>
      <c r="TMO3001" s="299"/>
      <c r="TMP3001" s="81"/>
      <c r="TMQ3001" s="160"/>
      <c r="TMR3001" s="571"/>
      <c r="TMS3001" s="125"/>
      <c r="TMT3001" s="470"/>
      <c r="TMU3001" s="449"/>
      <c r="TMV3001" s="462"/>
      <c r="TMW3001" s="299"/>
      <c r="TMX3001" s="81"/>
      <c r="TMY3001" s="160"/>
      <c r="TMZ3001" s="571"/>
      <c r="TNA3001" s="125"/>
      <c r="TNB3001" s="470"/>
      <c r="TNC3001" s="449"/>
      <c r="TND3001" s="462"/>
      <c r="TNE3001" s="299"/>
      <c r="TNF3001" s="81"/>
      <c r="TNG3001" s="160"/>
      <c r="TNH3001" s="571"/>
      <c r="TNI3001" s="125"/>
      <c r="TNJ3001" s="470"/>
      <c r="TNK3001" s="449"/>
      <c r="TNL3001" s="462"/>
      <c r="TNM3001" s="299"/>
      <c r="TNN3001" s="81"/>
      <c r="TNO3001" s="160"/>
      <c r="TNP3001" s="571"/>
      <c r="TNQ3001" s="125"/>
      <c r="TNR3001" s="470"/>
      <c r="TNS3001" s="449"/>
      <c r="TNT3001" s="462"/>
      <c r="TNU3001" s="299"/>
      <c r="TNV3001" s="81"/>
      <c r="TNW3001" s="160"/>
      <c r="TNX3001" s="571"/>
      <c r="TNY3001" s="125"/>
      <c r="TNZ3001" s="470"/>
      <c r="TOA3001" s="449"/>
      <c r="TOB3001" s="462"/>
      <c r="TOC3001" s="299"/>
      <c r="TOD3001" s="81"/>
      <c r="TOE3001" s="160"/>
      <c r="TOF3001" s="571"/>
      <c r="TOG3001" s="125"/>
      <c r="TOH3001" s="470"/>
      <c r="TOI3001" s="449"/>
      <c r="TOJ3001" s="462"/>
      <c r="TOK3001" s="299"/>
      <c r="TOL3001" s="81"/>
      <c r="TOM3001" s="160"/>
      <c r="TON3001" s="571"/>
      <c r="TOO3001" s="125"/>
      <c r="TOP3001" s="470"/>
      <c r="TOQ3001" s="449"/>
      <c r="TOR3001" s="462"/>
      <c r="TOS3001" s="299"/>
      <c r="TOT3001" s="81"/>
      <c r="TOU3001" s="160"/>
      <c r="TOV3001" s="571"/>
      <c r="TOW3001" s="125"/>
      <c r="TOX3001" s="470"/>
      <c r="TOY3001" s="449"/>
      <c r="TOZ3001" s="462"/>
      <c r="TPA3001" s="299"/>
      <c r="TPB3001" s="81"/>
      <c r="TPC3001" s="160"/>
      <c r="TPD3001" s="571"/>
      <c r="TPE3001" s="125"/>
      <c r="TPF3001" s="470"/>
      <c r="TPG3001" s="449"/>
      <c r="TPH3001" s="462"/>
      <c r="TPI3001" s="299"/>
      <c r="TPJ3001" s="81"/>
      <c r="TPK3001" s="160"/>
      <c r="TPL3001" s="571"/>
      <c r="TPM3001" s="125"/>
      <c r="TPN3001" s="470"/>
      <c r="TPO3001" s="449"/>
      <c r="TPP3001" s="462"/>
      <c r="TPQ3001" s="299"/>
      <c r="TPR3001" s="81"/>
      <c r="TPS3001" s="160"/>
      <c r="TPT3001" s="571"/>
      <c r="TPU3001" s="125"/>
      <c r="TPV3001" s="470"/>
      <c r="TPW3001" s="449"/>
      <c r="TPX3001" s="462"/>
      <c r="TPY3001" s="299"/>
      <c r="TPZ3001" s="81"/>
      <c r="TQA3001" s="160"/>
      <c r="TQB3001" s="571"/>
      <c r="TQC3001" s="125"/>
      <c r="TQD3001" s="470"/>
      <c r="TQE3001" s="449"/>
      <c r="TQF3001" s="462"/>
      <c r="TQG3001" s="299"/>
      <c r="TQH3001" s="81"/>
      <c r="TQI3001" s="160"/>
      <c r="TQJ3001" s="571"/>
      <c r="TQK3001" s="125"/>
      <c r="TQL3001" s="470"/>
      <c r="TQM3001" s="449"/>
      <c r="TQN3001" s="462"/>
      <c r="TQO3001" s="299"/>
      <c r="TQP3001" s="81"/>
      <c r="TQQ3001" s="160"/>
      <c r="TQR3001" s="571"/>
      <c r="TQS3001" s="125"/>
      <c r="TQT3001" s="470"/>
      <c r="TQU3001" s="449"/>
      <c r="TQV3001" s="462"/>
      <c r="TQW3001" s="299"/>
      <c r="TQX3001" s="81"/>
      <c r="TQY3001" s="160"/>
      <c r="TQZ3001" s="571"/>
      <c r="TRA3001" s="125"/>
      <c r="TRB3001" s="470"/>
      <c r="TRC3001" s="449"/>
      <c r="TRD3001" s="462"/>
      <c r="TRE3001" s="299"/>
      <c r="TRF3001" s="81"/>
      <c r="TRG3001" s="160"/>
      <c r="TRH3001" s="571"/>
      <c r="TRI3001" s="125"/>
      <c r="TRJ3001" s="470"/>
      <c r="TRK3001" s="449"/>
      <c r="TRL3001" s="462"/>
      <c r="TRM3001" s="299"/>
      <c r="TRN3001" s="81"/>
      <c r="TRO3001" s="160"/>
      <c r="TRP3001" s="571"/>
      <c r="TRQ3001" s="125"/>
      <c r="TRR3001" s="470"/>
      <c r="TRS3001" s="449"/>
      <c r="TRT3001" s="462"/>
      <c r="TRU3001" s="299"/>
      <c r="TRV3001" s="81"/>
      <c r="TRW3001" s="160"/>
      <c r="TRX3001" s="571"/>
      <c r="TRY3001" s="125"/>
      <c r="TRZ3001" s="470"/>
      <c r="TSA3001" s="449"/>
      <c r="TSB3001" s="462"/>
      <c r="TSC3001" s="299"/>
      <c r="TSD3001" s="81"/>
      <c r="TSE3001" s="160"/>
      <c r="TSF3001" s="571"/>
      <c r="TSG3001" s="125"/>
      <c r="TSH3001" s="470"/>
      <c r="TSI3001" s="449"/>
      <c r="TSJ3001" s="462"/>
      <c r="TSK3001" s="299"/>
      <c r="TSL3001" s="81"/>
      <c r="TSM3001" s="160"/>
      <c r="TSN3001" s="571"/>
      <c r="TSO3001" s="125"/>
      <c r="TSP3001" s="470"/>
      <c r="TSQ3001" s="449"/>
      <c r="TSR3001" s="462"/>
      <c r="TSS3001" s="299"/>
      <c r="TST3001" s="81"/>
      <c r="TSU3001" s="160"/>
      <c r="TSV3001" s="571"/>
      <c r="TSW3001" s="125"/>
      <c r="TSX3001" s="470"/>
      <c r="TSY3001" s="449"/>
      <c r="TSZ3001" s="462"/>
      <c r="TTA3001" s="299"/>
      <c r="TTB3001" s="81"/>
      <c r="TTC3001" s="160"/>
      <c r="TTD3001" s="571"/>
      <c r="TTE3001" s="125"/>
      <c r="TTF3001" s="470"/>
      <c r="TTG3001" s="449"/>
      <c r="TTH3001" s="462"/>
      <c r="TTI3001" s="299"/>
      <c r="TTJ3001" s="81"/>
      <c r="TTK3001" s="160"/>
      <c r="TTL3001" s="571"/>
      <c r="TTM3001" s="125"/>
      <c r="TTN3001" s="470"/>
      <c r="TTO3001" s="449"/>
      <c r="TTP3001" s="462"/>
      <c r="TTQ3001" s="299"/>
      <c r="TTR3001" s="81"/>
      <c r="TTS3001" s="160"/>
      <c r="TTT3001" s="571"/>
      <c r="TTU3001" s="125"/>
      <c r="TTV3001" s="470"/>
      <c r="TTW3001" s="449"/>
      <c r="TTX3001" s="462"/>
      <c r="TTY3001" s="299"/>
      <c r="TTZ3001" s="81"/>
      <c r="TUA3001" s="160"/>
      <c r="TUB3001" s="571"/>
      <c r="TUC3001" s="125"/>
      <c r="TUD3001" s="470"/>
      <c r="TUE3001" s="449"/>
      <c r="TUF3001" s="462"/>
      <c r="TUG3001" s="299"/>
      <c r="TUH3001" s="81"/>
      <c r="TUI3001" s="160"/>
      <c r="TUJ3001" s="571"/>
      <c r="TUK3001" s="125"/>
      <c r="TUL3001" s="470"/>
      <c r="TUM3001" s="449"/>
      <c r="TUN3001" s="462"/>
      <c r="TUO3001" s="299"/>
      <c r="TUP3001" s="81"/>
      <c r="TUQ3001" s="160"/>
      <c r="TUR3001" s="571"/>
      <c r="TUS3001" s="125"/>
      <c r="TUT3001" s="470"/>
      <c r="TUU3001" s="449"/>
      <c r="TUV3001" s="462"/>
      <c r="TUW3001" s="299"/>
      <c r="TUX3001" s="81"/>
      <c r="TUY3001" s="160"/>
      <c r="TUZ3001" s="571"/>
      <c r="TVA3001" s="125"/>
      <c r="TVB3001" s="470"/>
      <c r="TVC3001" s="449"/>
      <c r="TVD3001" s="462"/>
      <c r="TVE3001" s="299"/>
      <c r="TVF3001" s="81"/>
      <c r="TVG3001" s="160"/>
      <c r="TVH3001" s="571"/>
      <c r="TVI3001" s="125"/>
      <c r="TVJ3001" s="470"/>
      <c r="TVK3001" s="449"/>
      <c r="TVL3001" s="462"/>
      <c r="TVM3001" s="299"/>
      <c r="TVN3001" s="81"/>
      <c r="TVO3001" s="160"/>
      <c r="TVP3001" s="571"/>
      <c r="TVQ3001" s="125"/>
      <c r="TVR3001" s="470"/>
      <c r="TVS3001" s="449"/>
      <c r="TVT3001" s="462"/>
      <c r="TVU3001" s="299"/>
      <c r="TVV3001" s="81"/>
      <c r="TVW3001" s="160"/>
      <c r="TVX3001" s="571"/>
      <c r="TVY3001" s="125"/>
      <c r="TVZ3001" s="470"/>
      <c r="TWA3001" s="449"/>
      <c r="TWB3001" s="462"/>
      <c r="TWC3001" s="299"/>
      <c r="TWD3001" s="81"/>
      <c r="TWE3001" s="160"/>
      <c r="TWF3001" s="571"/>
      <c r="TWG3001" s="125"/>
      <c r="TWH3001" s="470"/>
      <c r="TWI3001" s="449"/>
      <c r="TWJ3001" s="462"/>
      <c r="TWK3001" s="299"/>
      <c r="TWL3001" s="81"/>
      <c r="TWM3001" s="160"/>
      <c r="TWN3001" s="571"/>
      <c r="TWO3001" s="125"/>
      <c r="TWP3001" s="470"/>
      <c r="TWQ3001" s="449"/>
      <c r="TWR3001" s="462"/>
      <c r="TWS3001" s="299"/>
      <c r="TWT3001" s="81"/>
      <c r="TWU3001" s="160"/>
      <c r="TWV3001" s="571"/>
      <c r="TWW3001" s="125"/>
      <c r="TWX3001" s="470"/>
      <c r="TWY3001" s="449"/>
      <c r="TWZ3001" s="462"/>
      <c r="TXA3001" s="299"/>
      <c r="TXB3001" s="81"/>
      <c r="TXC3001" s="160"/>
      <c r="TXD3001" s="571"/>
      <c r="TXE3001" s="125"/>
      <c r="TXF3001" s="470"/>
      <c r="TXG3001" s="449"/>
      <c r="TXH3001" s="462"/>
      <c r="TXI3001" s="299"/>
      <c r="TXJ3001" s="81"/>
      <c r="TXK3001" s="160"/>
      <c r="TXL3001" s="571"/>
      <c r="TXM3001" s="125"/>
      <c r="TXN3001" s="470"/>
      <c r="TXO3001" s="449"/>
      <c r="TXP3001" s="462"/>
      <c r="TXQ3001" s="299"/>
      <c r="TXR3001" s="81"/>
      <c r="TXS3001" s="160"/>
      <c r="TXT3001" s="571"/>
      <c r="TXU3001" s="125"/>
      <c r="TXV3001" s="470"/>
      <c r="TXW3001" s="449"/>
      <c r="TXX3001" s="462"/>
      <c r="TXY3001" s="299"/>
      <c r="TXZ3001" s="81"/>
      <c r="TYA3001" s="160"/>
      <c r="TYB3001" s="571"/>
      <c r="TYC3001" s="125"/>
      <c r="TYD3001" s="470"/>
      <c r="TYE3001" s="449"/>
      <c r="TYF3001" s="462"/>
      <c r="TYG3001" s="299"/>
      <c r="TYH3001" s="81"/>
      <c r="TYI3001" s="160"/>
      <c r="TYJ3001" s="571"/>
      <c r="TYK3001" s="125"/>
      <c r="TYL3001" s="470"/>
      <c r="TYM3001" s="449"/>
      <c r="TYN3001" s="462"/>
      <c r="TYO3001" s="299"/>
      <c r="TYP3001" s="81"/>
      <c r="TYQ3001" s="160"/>
      <c r="TYR3001" s="571"/>
      <c r="TYS3001" s="125"/>
      <c r="TYT3001" s="470"/>
      <c r="TYU3001" s="449"/>
      <c r="TYV3001" s="462"/>
      <c r="TYW3001" s="299"/>
      <c r="TYX3001" s="81"/>
      <c r="TYY3001" s="160"/>
      <c r="TYZ3001" s="571"/>
      <c r="TZA3001" s="125"/>
      <c r="TZB3001" s="470"/>
      <c r="TZC3001" s="449"/>
      <c r="TZD3001" s="462"/>
      <c r="TZE3001" s="299"/>
      <c r="TZF3001" s="81"/>
      <c r="TZG3001" s="160"/>
      <c r="TZH3001" s="571"/>
      <c r="TZI3001" s="125"/>
      <c r="TZJ3001" s="470"/>
      <c r="TZK3001" s="449"/>
      <c r="TZL3001" s="462"/>
      <c r="TZM3001" s="299"/>
      <c r="TZN3001" s="81"/>
      <c r="TZO3001" s="160"/>
      <c r="TZP3001" s="571"/>
      <c r="TZQ3001" s="125"/>
      <c r="TZR3001" s="470"/>
      <c r="TZS3001" s="449"/>
      <c r="TZT3001" s="462"/>
      <c r="TZU3001" s="299"/>
      <c r="TZV3001" s="81"/>
      <c r="TZW3001" s="160"/>
      <c r="TZX3001" s="571"/>
      <c r="TZY3001" s="125"/>
      <c r="TZZ3001" s="470"/>
      <c r="UAA3001" s="449"/>
      <c r="UAB3001" s="462"/>
      <c r="UAC3001" s="299"/>
      <c r="UAD3001" s="81"/>
      <c r="UAE3001" s="160"/>
      <c r="UAF3001" s="571"/>
      <c r="UAG3001" s="125"/>
      <c r="UAH3001" s="470"/>
      <c r="UAI3001" s="449"/>
      <c r="UAJ3001" s="462"/>
      <c r="UAK3001" s="299"/>
      <c r="UAL3001" s="81"/>
      <c r="UAM3001" s="160"/>
      <c r="UAN3001" s="571"/>
      <c r="UAO3001" s="125"/>
      <c r="UAP3001" s="470"/>
      <c r="UAQ3001" s="449"/>
      <c r="UAR3001" s="462"/>
      <c r="UAS3001" s="299"/>
      <c r="UAT3001" s="81"/>
      <c r="UAU3001" s="160"/>
      <c r="UAV3001" s="571"/>
      <c r="UAW3001" s="125"/>
      <c r="UAX3001" s="470"/>
      <c r="UAY3001" s="449"/>
      <c r="UAZ3001" s="462"/>
      <c r="UBA3001" s="299"/>
      <c r="UBB3001" s="81"/>
      <c r="UBC3001" s="160"/>
      <c r="UBD3001" s="571"/>
      <c r="UBE3001" s="125"/>
      <c r="UBF3001" s="470"/>
      <c r="UBG3001" s="449"/>
      <c r="UBH3001" s="462"/>
      <c r="UBI3001" s="299"/>
      <c r="UBJ3001" s="81"/>
      <c r="UBK3001" s="160"/>
      <c r="UBL3001" s="571"/>
      <c r="UBM3001" s="125"/>
      <c r="UBN3001" s="470"/>
      <c r="UBO3001" s="449"/>
      <c r="UBP3001" s="462"/>
      <c r="UBQ3001" s="299"/>
      <c r="UBR3001" s="81"/>
      <c r="UBS3001" s="160"/>
      <c r="UBT3001" s="571"/>
      <c r="UBU3001" s="125"/>
      <c r="UBV3001" s="470"/>
      <c r="UBW3001" s="449"/>
      <c r="UBX3001" s="462"/>
      <c r="UBY3001" s="299"/>
      <c r="UBZ3001" s="81"/>
      <c r="UCA3001" s="160"/>
      <c r="UCB3001" s="571"/>
      <c r="UCC3001" s="125"/>
      <c r="UCD3001" s="470"/>
      <c r="UCE3001" s="449"/>
      <c r="UCF3001" s="462"/>
      <c r="UCG3001" s="299"/>
      <c r="UCH3001" s="81"/>
      <c r="UCI3001" s="160"/>
      <c r="UCJ3001" s="571"/>
      <c r="UCK3001" s="125"/>
      <c r="UCL3001" s="470"/>
      <c r="UCM3001" s="449"/>
      <c r="UCN3001" s="462"/>
      <c r="UCO3001" s="299"/>
      <c r="UCP3001" s="81"/>
      <c r="UCQ3001" s="160"/>
      <c r="UCR3001" s="571"/>
      <c r="UCS3001" s="125"/>
      <c r="UCT3001" s="470"/>
      <c r="UCU3001" s="449"/>
      <c r="UCV3001" s="462"/>
      <c r="UCW3001" s="299"/>
      <c r="UCX3001" s="81"/>
      <c r="UCY3001" s="160"/>
      <c r="UCZ3001" s="571"/>
      <c r="UDA3001" s="125"/>
      <c r="UDB3001" s="470"/>
      <c r="UDC3001" s="449"/>
      <c r="UDD3001" s="462"/>
      <c r="UDE3001" s="299"/>
      <c r="UDF3001" s="81"/>
      <c r="UDG3001" s="160"/>
      <c r="UDH3001" s="571"/>
      <c r="UDI3001" s="125"/>
      <c r="UDJ3001" s="470"/>
      <c r="UDK3001" s="449"/>
      <c r="UDL3001" s="462"/>
      <c r="UDM3001" s="299"/>
      <c r="UDN3001" s="81"/>
      <c r="UDO3001" s="160"/>
      <c r="UDP3001" s="571"/>
      <c r="UDQ3001" s="125"/>
      <c r="UDR3001" s="470"/>
      <c r="UDS3001" s="449"/>
      <c r="UDT3001" s="462"/>
      <c r="UDU3001" s="299"/>
      <c r="UDV3001" s="81"/>
      <c r="UDW3001" s="160"/>
      <c r="UDX3001" s="571"/>
      <c r="UDY3001" s="125"/>
      <c r="UDZ3001" s="470"/>
      <c r="UEA3001" s="449"/>
      <c r="UEB3001" s="462"/>
      <c r="UEC3001" s="299"/>
      <c r="UED3001" s="81"/>
      <c r="UEE3001" s="160"/>
      <c r="UEF3001" s="571"/>
      <c r="UEG3001" s="125"/>
      <c r="UEH3001" s="470"/>
      <c r="UEI3001" s="449"/>
      <c r="UEJ3001" s="462"/>
      <c r="UEK3001" s="299"/>
      <c r="UEL3001" s="81"/>
      <c r="UEM3001" s="160"/>
      <c r="UEN3001" s="571"/>
      <c r="UEO3001" s="125"/>
      <c r="UEP3001" s="470"/>
      <c r="UEQ3001" s="449"/>
      <c r="UER3001" s="462"/>
      <c r="UES3001" s="299"/>
      <c r="UET3001" s="81"/>
      <c r="UEU3001" s="160"/>
      <c r="UEV3001" s="571"/>
      <c r="UEW3001" s="125"/>
      <c r="UEX3001" s="470"/>
      <c r="UEY3001" s="449"/>
      <c r="UEZ3001" s="462"/>
      <c r="UFA3001" s="299"/>
      <c r="UFB3001" s="81"/>
      <c r="UFC3001" s="160"/>
      <c r="UFD3001" s="571"/>
      <c r="UFE3001" s="125"/>
      <c r="UFF3001" s="470"/>
      <c r="UFG3001" s="449"/>
      <c r="UFH3001" s="462"/>
      <c r="UFI3001" s="299"/>
      <c r="UFJ3001" s="81"/>
      <c r="UFK3001" s="160"/>
      <c r="UFL3001" s="571"/>
      <c r="UFM3001" s="125"/>
      <c r="UFN3001" s="470"/>
      <c r="UFO3001" s="449"/>
      <c r="UFP3001" s="462"/>
      <c r="UFQ3001" s="299"/>
      <c r="UFR3001" s="81"/>
      <c r="UFS3001" s="160"/>
      <c r="UFT3001" s="571"/>
      <c r="UFU3001" s="125"/>
      <c r="UFV3001" s="470"/>
      <c r="UFW3001" s="449"/>
      <c r="UFX3001" s="462"/>
      <c r="UFY3001" s="299"/>
      <c r="UFZ3001" s="81"/>
      <c r="UGA3001" s="160"/>
      <c r="UGB3001" s="571"/>
      <c r="UGC3001" s="125"/>
      <c r="UGD3001" s="470"/>
      <c r="UGE3001" s="449"/>
      <c r="UGF3001" s="462"/>
      <c r="UGG3001" s="299"/>
      <c r="UGH3001" s="81"/>
      <c r="UGI3001" s="160"/>
      <c r="UGJ3001" s="571"/>
      <c r="UGK3001" s="125"/>
      <c r="UGL3001" s="470"/>
      <c r="UGM3001" s="449"/>
      <c r="UGN3001" s="462"/>
      <c r="UGO3001" s="299"/>
      <c r="UGP3001" s="81"/>
      <c r="UGQ3001" s="160"/>
      <c r="UGR3001" s="571"/>
      <c r="UGS3001" s="125"/>
      <c r="UGT3001" s="470"/>
      <c r="UGU3001" s="449"/>
      <c r="UGV3001" s="462"/>
      <c r="UGW3001" s="299"/>
      <c r="UGX3001" s="81"/>
      <c r="UGY3001" s="160"/>
      <c r="UGZ3001" s="571"/>
      <c r="UHA3001" s="125"/>
      <c r="UHB3001" s="470"/>
      <c r="UHC3001" s="449"/>
      <c r="UHD3001" s="462"/>
      <c r="UHE3001" s="299"/>
      <c r="UHF3001" s="81"/>
      <c r="UHG3001" s="160"/>
      <c r="UHH3001" s="571"/>
      <c r="UHI3001" s="125"/>
      <c r="UHJ3001" s="470"/>
      <c r="UHK3001" s="449"/>
      <c r="UHL3001" s="462"/>
      <c r="UHM3001" s="299"/>
      <c r="UHN3001" s="81"/>
      <c r="UHO3001" s="160"/>
      <c r="UHP3001" s="571"/>
      <c r="UHQ3001" s="125"/>
      <c r="UHR3001" s="470"/>
      <c r="UHS3001" s="449"/>
      <c r="UHT3001" s="462"/>
      <c r="UHU3001" s="299"/>
      <c r="UHV3001" s="81"/>
      <c r="UHW3001" s="160"/>
      <c r="UHX3001" s="571"/>
      <c r="UHY3001" s="125"/>
      <c r="UHZ3001" s="470"/>
      <c r="UIA3001" s="449"/>
      <c r="UIB3001" s="462"/>
      <c r="UIC3001" s="299"/>
      <c r="UID3001" s="81"/>
      <c r="UIE3001" s="160"/>
      <c r="UIF3001" s="571"/>
      <c r="UIG3001" s="125"/>
      <c r="UIH3001" s="470"/>
      <c r="UII3001" s="449"/>
      <c r="UIJ3001" s="462"/>
      <c r="UIK3001" s="299"/>
      <c r="UIL3001" s="81"/>
      <c r="UIM3001" s="160"/>
      <c r="UIN3001" s="571"/>
      <c r="UIO3001" s="125"/>
      <c r="UIP3001" s="470"/>
      <c r="UIQ3001" s="449"/>
      <c r="UIR3001" s="462"/>
      <c r="UIS3001" s="299"/>
      <c r="UIT3001" s="81"/>
      <c r="UIU3001" s="160"/>
      <c r="UIV3001" s="571"/>
      <c r="UIW3001" s="125"/>
      <c r="UIX3001" s="470"/>
      <c r="UIY3001" s="449"/>
      <c r="UIZ3001" s="462"/>
      <c r="UJA3001" s="299"/>
      <c r="UJB3001" s="81"/>
      <c r="UJC3001" s="160"/>
      <c r="UJD3001" s="571"/>
      <c r="UJE3001" s="125"/>
      <c r="UJF3001" s="470"/>
      <c r="UJG3001" s="449"/>
      <c r="UJH3001" s="462"/>
      <c r="UJI3001" s="299"/>
      <c r="UJJ3001" s="81"/>
      <c r="UJK3001" s="160"/>
      <c r="UJL3001" s="571"/>
      <c r="UJM3001" s="125"/>
      <c r="UJN3001" s="470"/>
      <c r="UJO3001" s="449"/>
      <c r="UJP3001" s="462"/>
      <c r="UJQ3001" s="299"/>
      <c r="UJR3001" s="81"/>
      <c r="UJS3001" s="160"/>
      <c r="UJT3001" s="571"/>
      <c r="UJU3001" s="125"/>
      <c r="UJV3001" s="470"/>
      <c r="UJW3001" s="449"/>
      <c r="UJX3001" s="462"/>
      <c r="UJY3001" s="299"/>
      <c r="UJZ3001" s="81"/>
      <c r="UKA3001" s="160"/>
      <c r="UKB3001" s="571"/>
      <c r="UKC3001" s="125"/>
      <c r="UKD3001" s="470"/>
      <c r="UKE3001" s="449"/>
      <c r="UKF3001" s="462"/>
      <c r="UKG3001" s="299"/>
      <c r="UKH3001" s="81"/>
      <c r="UKI3001" s="160"/>
      <c r="UKJ3001" s="571"/>
      <c r="UKK3001" s="125"/>
      <c r="UKL3001" s="470"/>
      <c r="UKM3001" s="449"/>
      <c r="UKN3001" s="462"/>
      <c r="UKO3001" s="299"/>
      <c r="UKP3001" s="81"/>
      <c r="UKQ3001" s="160"/>
      <c r="UKR3001" s="571"/>
      <c r="UKS3001" s="125"/>
      <c r="UKT3001" s="470"/>
      <c r="UKU3001" s="449"/>
      <c r="UKV3001" s="462"/>
      <c r="UKW3001" s="299"/>
      <c r="UKX3001" s="81"/>
      <c r="UKY3001" s="160"/>
      <c r="UKZ3001" s="571"/>
      <c r="ULA3001" s="125"/>
      <c r="ULB3001" s="470"/>
      <c r="ULC3001" s="449"/>
      <c r="ULD3001" s="462"/>
      <c r="ULE3001" s="299"/>
      <c r="ULF3001" s="81"/>
      <c r="ULG3001" s="160"/>
      <c r="ULH3001" s="571"/>
      <c r="ULI3001" s="125"/>
      <c r="ULJ3001" s="470"/>
      <c r="ULK3001" s="449"/>
      <c r="ULL3001" s="462"/>
      <c r="ULM3001" s="299"/>
      <c r="ULN3001" s="81"/>
      <c r="ULO3001" s="160"/>
      <c r="ULP3001" s="571"/>
      <c r="ULQ3001" s="125"/>
      <c r="ULR3001" s="470"/>
      <c r="ULS3001" s="449"/>
      <c r="ULT3001" s="462"/>
      <c r="ULU3001" s="299"/>
      <c r="ULV3001" s="81"/>
      <c r="ULW3001" s="160"/>
      <c r="ULX3001" s="571"/>
      <c r="ULY3001" s="125"/>
      <c r="ULZ3001" s="470"/>
      <c r="UMA3001" s="449"/>
      <c r="UMB3001" s="462"/>
      <c r="UMC3001" s="299"/>
      <c r="UMD3001" s="81"/>
      <c r="UME3001" s="160"/>
      <c r="UMF3001" s="571"/>
      <c r="UMG3001" s="125"/>
      <c r="UMH3001" s="470"/>
      <c r="UMI3001" s="449"/>
      <c r="UMJ3001" s="462"/>
      <c r="UMK3001" s="299"/>
      <c r="UML3001" s="81"/>
      <c r="UMM3001" s="160"/>
      <c r="UMN3001" s="571"/>
      <c r="UMO3001" s="125"/>
      <c r="UMP3001" s="470"/>
      <c r="UMQ3001" s="449"/>
      <c r="UMR3001" s="462"/>
      <c r="UMS3001" s="299"/>
      <c r="UMT3001" s="81"/>
      <c r="UMU3001" s="160"/>
      <c r="UMV3001" s="571"/>
      <c r="UMW3001" s="125"/>
      <c r="UMX3001" s="470"/>
      <c r="UMY3001" s="449"/>
      <c r="UMZ3001" s="462"/>
      <c r="UNA3001" s="299"/>
      <c r="UNB3001" s="81"/>
      <c r="UNC3001" s="160"/>
      <c r="UND3001" s="571"/>
      <c r="UNE3001" s="125"/>
      <c r="UNF3001" s="470"/>
      <c r="UNG3001" s="449"/>
      <c r="UNH3001" s="462"/>
      <c r="UNI3001" s="299"/>
      <c r="UNJ3001" s="81"/>
      <c r="UNK3001" s="160"/>
      <c r="UNL3001" s="571"/>
      <c r="UNM3001" s="125"/>
      <c r="UNN3001" s="470"/>
      <c r="UNO3001" s="449"/>
      <c r="UNP3001" s="462"/>
      <c r="UNQ3001" s="299"/>
      <c r="UNR3001" s="81"/>
      <c r="UNS3001" s="160"/>
      <c r="UNT3001" s="571"/>
      <c r="UNU3001" s="125"/>
      <c r="UNV3001" s="470"/>
      <c r="UNW3001" s="449"/>
      <c r="UNX3001" s="462"/>
      <c r="UNY3001" s="299"/>
      <c r="UNZ3001" s="81"/>
      <c r="UOA3001" s="160"/>
      <c r="UOB3001" s="571"/>
      <c r="UOC3001" s="125"/>
      <c r="UOD3001" s="470"/>
      <c r="UOE3001" s="449"/>
      <c r="UOF3001" s="462"/>
      <c r="UOG3001" s="299"/>
      <c r="UOH3001" s="81"/>
      <c r="UOI3001" s="160"/>
      <c r="UOJ3001" s="571"/>
      <c r="UOK3001" s="125"/>
      <c r="UOL3001" s="470"/>
      <c r="UOM3001" s="449"/>
      <c r="UON3001" s="462"/>
      <c r="UOO3001" s="299"/>
      <c r="UOP3001" s="81"/>
      <c r="UOQ3001" s="160"/>
      <c r="UOR3001" s="571"/>
      <c r="UOS3001" s="125"/>
      <c r="UOT3001" s="470"/>
      <c r="UOU3001" s="449"/>
      <c r="UOV3001" s="462"/>
      <c r="UOW3001" s="299"/>
      <c r="UOX3001" s="81"/>
      <c r="UOY3001" s="160"/>
      <c r="UOZ3001" s="571"/>
      <c r="UPA3001" s="125"/>
      <c r="UPB3001" s="470"/>
      <c r="UPC3001" s="449"/>
      <c r="UPD3001" s="462"/>
      <c r="UPE3001" s="299"/>
      <c r="UPF3001" s="81"/>
      <c r="UPG3001" s="160"/>
      <c r="UPH3001" s="571"/>
      <c r="UPI3001" s="125"/>
      <c r="UPJ3001" s="470"/>
      <c r="UPK3001" s="449"/>
      <c r="UPL3001" s="462"/>
      <c r="UPM3001" s="299"/>
      <c r="UPN3001" s="81"/>
      <c r="UPO3001" s="160"/>
      <c r="UPP3001" s="571"/>
      <c r="UPQ3001" s="125"/>
      <c r="UPR3001" s="470"/>
      <c r="UPS3001" s="449"/>
      <c r="UPT3001" s="462"/>
      <c r="UPU3001" s="299"/>
      <c r="UPV3001" s="81"/>
      <c r="UPW3001" s="160"/>
      <c r="UPX3001" s="571"/>
      <c r="UPY3001" s="125"/>
      <c r="UPZ3001" s="470"/>
      <c r="UQA3001" s="449"/>
      <c r="UQB3001" s="462"/>
      <c r="UQC3001" s="299"/>
      <c r="UQD3001" s="81"/>
      <c r="UQE3001" s="160"/>
      <c r="UQF3001" s="571"/>
      <c r="UQG3001" s="125"/>
      <c r="UQH3001" s="470"/>
      <c r="UQI3001" s="449"/>
      <c r="UQJ3001" s="462"/>
      <c r="UQK3001" s="299"/>
      <c r="UQL3001" s="81"/>
      <c r="UQM3001" s="160"/>
      <c r="UQN3001" s="571"/>
      <c r="UQO3001" s="125"/>
      <c r="UQP3001" s="470"/>
      <c r="UQQ3001" s="449"/>
      <c r="UQR3001" s="462"/>
      <c r="UQS3001" s="299"/>
      <c r="UQT3001" s="81"/>
      <c r="UQU3001" s="160"/>
      <c r="UQV3001" s="571"/>
      <c r="UQW3001" s="125"/>
      <c r="UQX3001" s="470"/>
      <c r="UQY3001" s="449"/>
      <c r="UQZ3001" s="462"/>
      <c r="URA3001" s="299"/>
      <c r="URB3001" s="81"/>
      <c r="URC3001" s="160"/>
      <c r="URD3001" s="571"/>
      <c r="URE3001" s="125"/>
      <c r="URF3001" s="470"/>
      <c r="URG3001" s="449"/>
      <c r="URH3001" s="462"/>
      <c r="URI3001" s="299"/>
      <c r="URJ3001" s="81"/>
      <c r="URK3001" s="160"/>
      <c r="URL3001" s="571"/>
      <c r="URM3001" s="125"/>
      <c r="URN3001" s="470"/>
      <c r="URO3001" s="449"/>
      <c r="URP3001" s="462"/>
      <c r="URQ3001" s="299"/>
      <c r="URR3001" s="81"/>
      <c r="URS3001" s="160"/>
      <c r="URT3001" s="571"/>
      <c r="URU3001" s="125"/>
      <c r="URV3001" s="470"/>
      <c r="URW3001" s="449"/>
      <c r="URX3001" s="462"/>
      <c r="URY3001" s="299"/>
      <c r="URZ3001" s="81"/>
      <c r="USA3001" s="160"/>
      <c r="USB3001" s="571"/>
      <c r="USC3001" s="125"/>
      <c r="USD3001" s="470"/>
      <c r="USE3001" s="449"/>
      <c r="USF3001" s="462"/>
      <c r="USG3001" s="299"/>
      <c r="USH3001" s="81"/>
      <c r="USI3001" s="160"/>
      <c r="USJ3001" s="571"/>
      <c r="USK3001" s="125"/>
      <c r="USL3001" s="470"/>
      <c r="USM3001" s="449"/>
      <c r="USN3001" s="462"/>
      <c r="USO3001" s="299"/>
      <c r="USP3001" s="81"/>
      <c r="USQ3001" s="160"/>
      <c r="USR3001" s="571"/>
      <c r="USS3001" s="125"/>
      <c r="UST3001" s="470"/>
      <c r="USU3001" s="449"/>
      <c r="USV3001" s="462"/>
      <c r="USW3001" s="299"/>
      <c r="USX3001" s="81"/>
      <c r="USY3001" s="160"/>
      <c r="USZ3001" s="571"/>
      <c r="UTA3001" s="125"/>
      <c r="UTB3001" s="470"/>
      <c r="UTC3001" s="449"/>
      <c r="UTD3001" s="462"/>
      <c r="UTE3001" s="299"/>
      <c r="UTF3001" s="81"/>
      <c r="UTG3001" s="160"/>
      <c r="UTH3001" s="571"/>
      <c r="UTI3001" s="125"/>
      <c r="UTJ3001" s="470"/>
      <c r="UTK3001" s="449"/>
      <c r="UTL3001" s="462"/>
      <c r="UTM3001" s="299"/>
      <c r="UTN3001" s="81"/>
      <c r="UTO3001" s="160"/>
      <c r="UTP3001" s="571"/>
      <c r="UTQ3001" s="125"/>
      <c r="UTR3001" s="470"/>
      <c r="UTS3001" s="449"/>
      <c r="UTT3001" s="462"/>
      <c r="UTU3001" s="299"/>
      <c r="UTV3001" s="81"/>
      <c r="UTW3001" s="160"/>
      <c r="UTX3001" s="571"/>
      <c r="UTY3001" s="125"/>
      <c r="UTZ3001" s="470"/>
      <c r="UUA3001" s="449"/>
      <c r="UUB3001" s="462"/>
      <c r="UUC3001" s="299"/>
      <c r="UUD3001" s="81"/>
      <c r="UUE3001" s="160"/>
      <c r="UUF3001" s="571"/>
      <c r="UUG3001" s="125"/>
      <c r="UUH3001" s="470"/>
      <c r="UUI3001" s="449"/>
      <c r="UUJ3001" s="462"/>
      <c r="UUK3001" s="299"/>
      <c r="UUL3001" s="81"/>
      <c r="UUM3001" s="160"/>
      <c r="UUN3001" s="571"/>
      <c r="UUO3001" s="125"/>
      <c r="UUP3001" s="470"/>
      <c r="UUQ3001" s="449"/>
      <c r="UUR3001" s="462"/>
      <c r="UUS3001" s="299"/>
      <c r="UUT3001" s="81"/>
      <c r="UUU3001" s="160"/>
      <c r="UUV3001" s="571"/>
      <c r="UUW3001" s="125"/>
      <c r="UUX3001" s="470"/>
      <c r="UUY3001" s="449"/>
      <c r="UUZ3001" s="462"/>
      <c r="UVA3001" s="299"/>
      <c r="UVB3001" s="81"/>
      <c r="UVC3001" s="160"/>
      <c r="UVD3001" s="571"/>
      <c r="UVE3001" s="125"/>
      <c r="UVF3001" s="470"/>
      <c r="UVG3001" s="449"/>
      <c r="UVH3001" s="462"/>
      <c r="UVI3001" s="299"/>
      <c r="UVJ3001" s="81"/>
      <c r="UVK3001" s="160"/>
      <c r="UVL3001" s="571"/>
      <c r="UVM3001" s="125"/>
      <c r="UVN3001" s="470"/>
      <c r="UVO3001" s="449"/>
      <c r="UVP3001" s="462"/>
      <c r="UVQ3001" s="299"/>
      <c r="UVR3001" s="81"/>
      <c r="UVS3001" s="160"/>
      <c r="UVT3001" s="571"/>
      <c r="UVU3001" s="125"/>
      <c r="UVV3001" s="470"/>
      <c r="UVW3001" s="449"/>
      <c r="UVX3001" s="462"/>
      <c r="UVY3001" s="299"/>
      <c r="UVZ3001" s="81"/>
      <c r="UWA3001" s="160"/>
      <c r="UWB3001" s="571"/>
      <c r="UWC3001" s="125"/>
      <c r="UWD3001" s="470"/>
      <c r="UWE3001" s="449"/>
      <c r="UWF3001" s="462"/>
      <c r="UWG3001" s="299"/>
      <c r="UWH3001" s="81"/>
      <c r="UWI3001" s="160"/>
      <c r="UWJ3001" s="571"/>
      <c r="UWK3001" s="125"/>
      <c r="UWL3001" s="470"/>
      <c r="UWM3001" s="449"/>
      <c r="UWN3001" s="462"/>
      <c r="UWO3001" s="299"/>
      <c r="UWP3001" s="81"/>
      <c r="UWQ3001" s="160"/>
      <c r="UWR3001" s="571"/>
      <c r="UWS3001" s="125"/>
      <c r="UWT3001" s="470"/>
      <c r="UWU3001" s="449"/>
      <c r="UWV3001" s="462"/>
      <c r="UWW3001" s="299"/>
      <c r="UWX3001" s="81"/>
      <c r="UWY3001" s="160"/>
      <c r="UWZ3001" s="571"/>
      <c r="UXA3001" s="125"/>
      <c r="UXB3001" s="470"/>
      <c r="UXC3001" s="449"/>
      <c r="UXD3001" s="462"/>
      <c r="UXE3001" s="299"/>
      <c r="UXF3001" s="81"/>
      <c r="UXG3001" s="160"/>
      <c r="UXH3001" s="571"/>
      <c r="UXI3001" s="125"/>
      <c r="UXJ3001" s="470"/>
      <c r="UXK3001" s="449"/>
      <c r="UXL3001" s="462"/>
      <c r="UXM3001" s="299"/>
      <c r="UXN3001" s="81"/>
      <c r="UXO3001" s="160"/>
      <c r="UXP3001" s="571"/>
      <c r="UXQ3001" s="125"/>
      <c r="UXR3001" s="470"/>
      <c r="UXS3001" s="449"/>
      <c r="UXT3001" s="462"/>
      <c r="UXU3001" s="299"/>
      <c r="UXV3001" s="81"/>
      <c r="UXW3001" s="160"/>
      <c r="UXX3001" s="571"/>
      <c r="UXY3001" s="125"/>
      <c r="UXZ3001" s="470"/>
      <c r="UYA3001" s="449"/>
      <c r="UYB3001" s="462"/>
      <c r="UYC3001" s="299"/>
      <c r="UYD3001" s="81"/>
      <c r="UYE3001" s="160"/>
      <c r="UYF3001" s="571"/>
      <c r="UYG3001" s="125"/>
      <c r="UYH3001" s="470"/>
      <c r="UYI3001" s="449"/>
      <c r="UYJ3001" s="462"/>
      <c r="UYK3001" s="299"/>
      <c r="UYL3001" s="81"/>
      <c r="UYM3001" s="160"/>
      <c r="UYN3001" s="571"/>
      <c r="UYO3001" s="125"/>
      <c r="UYP3001" s="470"/>
      <c r="UYQ3001" s="449"/>
      <c r="UYR3001" s="462"/>
      <c r="UYS3001" s="299"/>
      <c r="UYT3001" s="81"/>
      <c r="UYU3001" s="160"/>
      <c r="UYV3001" s="571"/>
      <c r="UYW3001" s="125"/>
      <c r="UYX3001" s="470"/>
      <c r="UYY3001" s="449"/>
      <c r="UYZ3001" s="462"/>
      <c r="UZA3001" s="299"/>
      <c r="UZB3001" s="81"/>
      <c r="UZC3001" s="160"/>
      <c r="UZD3001" s="571"/>
      <c r="UZE3001" s="125"/>
      <c r="UZF3001" s="470"/>
      <c r="UZG3001" s="449"/>
      <c r="UZH3001" s="462"/>
      <c r="UZI3001" s="299"/>
      <c r="UZJ3001" s="81"/>
      <c r="UZK3001" s="160"/>
      <c r="UZL3001" s="571"/>
      <c r="UZM3001" s="125"/>
      <c r="UZN3001" s="470"/>
      <c r="UZO3001" s="449"/>
      <c r="UZP3001" s="462"/>
      <c r="UZQ3001" s="299"/>
      <c r="UZR3001" s="81"/>
      <c r="UZS3001" s="160"/>
      <c r="UZT3001" s="571"/>
      <c r="UZU3001" s="125"/>
      <c r="UZV3001" s="470"/>
      <c r="UZW3001" s="449"/>
      <c r="UZX3001" s="462"/>
      <c r="UZY3001" s="299"/>
      <c r="UZZ3001" s="81"/>
      <c r="VAA3001" s="160"/>
      <c r="VAB3001" s="571"/>
      <c r="VAC3001" s="125"/>
      <c r="VAD3001" s="470"/>
      <c r="VAE3001" s="449"/>
      <c r="VAF3001" s="462"/>
      <c r="VAG3001" s="299"/>
      <c r="VAH3001" s="81"/>
      <c r="VAI3001" s="160"/>
      <c r="VAJ3001" s="571"/>
      <c r="VAK3001" s="125"/>
      <c r="VAL3001" s="470"/>
      <c r="VAM3001" s="449"/>
      <c r="VAN3001" s="462"/>
      <c r="VAO3001" s="299"/>
      <c r="VAP3001" s="81"/>
      <c r="VAQ3001" s="160"/>
      <c r="VAR3001" s="571"/>
      <c r="VAS3001" s="125"/>
      <c r="VAT3001" s="470"/>
      <c r="VAU3001" s="449"/>
      <c r="VAV3001" s="462"/>
      <c r="VAW3001" s="299"/>
      <c r="VAX3001" s="81"/>
      <c r="VAY3001" s="160"/>
      <c r="VAZ3001" s="571"/>
      <c r="VBA3001" s="125"/>
      <c r="VBB3001" s="470"/>
      <c r="VBC3001" s="449"/>
      <c r="VBD3001" s="462"/>
      <c r="VBE3001" s="299"/>
      <c r="VBF3001" s="81"/>
      <c r="VBG3001" s="160"/>
      <c r="VBH3001" s="571"/>
      <c r="VBI3001" s="125"/>
      <c r="VBJ3001" s="470"/>
      <c r="VBK3001" s="449"/>
      <c r="VBL3001" s="462"/>
      <c r="VBM3001" s="299"/>
      <c r="VBN3001" s="81"/>
      <c r="VBO3001" s="160"/>
      <c r="VBP3001" s="571"/>
      <c r="VBQ3001" s="125"/>
      <c r="VBR3001" s="470"/>
      <c r="VBS3001" s="449"/>
      <c r="VBT3001" s="462"/>
      <c r="VBU3001" s="299"/>
      <c r="VBV3001" s="81"/>
      <c r="VBW3001" s="160"/>
      <c r="VBX3001" s="571"/>
      <c r="VBY3001" s="125"/>
      <c r="VBZ3001" s="470"/>
      <c r="VCA3001" s="449"/>
      <c r="VCB3001" s="462"/>
      <c r="VCC3001" s="299"/>
      <c r="VCD3001" s="81"/>
      <c r="VCE3001" s="160"/>
      <c r="VCF3001" s="571"/>
      <c r="VCG3001" s="125"/>
      <c r="VCH3001" s="470"/>
      <c r="VCI3001" s="449"/>
      <c r="VCJ3001" s="462"/>
      <c r="VCK3001" s="299"/>
      <c r="VCL3001" s="81"/>
      <c r="VCM3001" s="160"/>
      <c r="VCN3001" s="571"/>
      <c r="VCO3001" s="125"/>
      <c r="VCP3001" s="470"/>
      <c r="VCQ3001" s="449"/>
      <c r="VCR3001" s="462"/>
      <c r="VCS3001" s="299"/>
      <c r="VCT3001" s="81"/>
      <c r="VCU3001" s="160"/>
      <c r="VCV3001" s="571"/>
      <c r="VCW3001" s="125"/>
      <c r="VCX3001" s="470"/>
      <c r="VCY3001" s="449"/>
      <c r="VCZ3001" s="462"/>
      <c r="VDA3001" s="299"/>
      <c r="VDB3001" s="81"/>
      <c r="VDC3001" s="160"/>
      <c r="VDD3001" s="571"/>
      <c r="VDE3001" s="125"/>
      <c r="VDF3001" s="470"/>
      <c r="VDG3001" s="449"/>
      <c r="VDH3001" s="462"/>
      <c r="VDI3001" s="299"/>
      <c r="VDJ3001" s="81"/>
      <c r="VDK3001" s="160"/>
      <c r="VDL3001" s="571"/>
      <c r="VDM3001" s="125"/>
      <c r="VDN3001" s="470"/>
      <c r="VDO3001" s="449"/>
      <c r="VDP3001" s="462"/>
      <c r="VDQ3001" s="299"/>
      <c r="VDR3001" s="81"/>
      <c r="VDS3001" s="160"/>
      <c r="VDT3001" s="571"/>
      <c r="VDU3001" s="125"/>
      <c r="VDV3001" s="470"/>
      <c r="VDW3001" s="449"/>
      <c r="VDX3001" s="462"/>
      <c r="VDY3001" s="299"/>
      <c r="VDZ3001" s="81"/>
      <c r="VEA3001" s="160"/>
      <c r="VEB3001" s="571"/>
      <c r="VEC3001" s="125"/>
      <c r="VED3001" s="470"/>
      <c r="VEE3001" s="449"/>
      <c r="VEF3001" s="462"/>
      <c r="VEG3001" s="299"/>
      <c r="VEH3001" s="81"/>
      <c r="VEI3001" s="160"/>
      <c r="VEJ3001" s="571"/>
      <c r="VEK3001" s="125"/>
      <c r="VEL3001" s="470"/>
      <c r="VEM3001" s="449"/>
      <c r="VEN3001" s="462"/>
      <c r="VEO3001" s="299"/>
      <c r="VEP3001" s="81"/>
      <c r="VEQ3001" s="160"/>
      <c r="VER3001" s="571"/>
      <c r="VES3001" s="125"/>
      <c r="VET3001" s="470"/>
      <c r="VEU3001" s="449"/>
      <c r="VEV3001" s="462"/>
      <c r="VEW3001" s="299"/>
      <c r="VEX3001" s="81"/>
      <c r="VEY3001" s="160"/>
      <c r="VEZ3001" s="571"/>
      <c r="VFA3001" s="125"/>
      <c r="VFB3001" s="470"/>
      <c r="VFC3001" s="449"/>
      <c r="VFD3001" s="462"/>
      <c r="VFE3001" s="299"/>
      <c r="VFF3001" s="81"/>
      <c r="VFG3001" s="160"/>
      <c r="VFH3001" s="571"/>
      <c r="VFI3001" s="125"/>
      <c r="VFJ3001" s="470"/>
      <c r="VFK3001" s="449"/>
      <c r="VFL3001" s="462"/>
      <c r="VFM3001" s="299"/>
      <c r="VFN3001" s="81"/>
      <c r="VFO3001" s="160"/>
      <c r="VFP3001" s="571"/>
      <c r="VFQ3001" s="125"/>
      <c r="VFR3001" s="470"/>
      <c r="VFS3001" s="449"/>
      <c r="VFT3001" s="462"/>
      <c r="VFU3001" s="299"/>
      <c r="VFV3001" s="81"/>
      <c r="VFW3001" s="160"/>
      <c r="VFX3001" s="571"/>
      <c r="VFY3001" s="125"/>
      <c r="VFZ3001" s="470"/>
      <c r="VGA3001" s="449"/>
      <c r="VGB3001" s="462"/>
      <c r="VGC3001" s="299"/>
      <c r="VGD3001" s="81"/>
      <c r="VGE3001" s="160"/>
      <c r="VGF3001" s="571"/>
      <c r="VGG3001" s="125"/>
      <c r="VGH3001" s="470"/>
      <c r="VGI3001" s="449"/>
      <c r="VGJ3001" s="462"/>
      <c r="VGK3001" s="299"/>
      <c r="VGL3001" s="81"/>
      <c r="VGM3001" s="160"/>
      <c r="VGN3001" s="571"/>
      <c r="VGO3001" s="125"/>
      <c r="VGP3001" s="470"/>
      <c r="VGQ3001" s="449"/>
      <c r="VGR3001" s="462"/>
      <c r="VGS3001" s="299"/>
      <c r="VGT3001" s="81"/>
      <c r="VGU3001" s="160"/>
      <c r="VGV3001" s="571"/>
      <c r="VGW3001" s="125"/>
      <c r="VGX3001" s="470"/>
      <c r="VGY3001" s="449"/>
      <c r="VGZ3001" s="462"/>
      <c r="VHA3001" s="299"/>
      <c r="VHB3001" s="81"/>
      <c r="VHC3001" s="160"/>
      <c r="VHD3001" s="571"/>
      <c r="VHE3001" s="125"/>
      <c r="VHF3001" s="470"/>
      <c r="VHG3001" s="449"/>
      <c r="VHH3001" s="462"/>
      <c r="VHI3001" s="299"/>
      <c r="VHJ3001" s="81"/>
      <c r="VHK3001" s="160"/>
      <c r="VHL3001" s="571"/>
      <c r="VHM3001" s="125"/>
      <c r="VHN3001" s="470"/>
      <c r="VHO3001" s="449"/>
      <c r="VHP3001" s="462"/>
      <c r="VHQ3001" s="299"/>
      <c r="VHR3001" s="81"/>
      <c r="VHS3001" s="160"/>
      <c r="VHT3001" s="571"/>
      <c r="VHU3001" s="125"/>
      <c r="VHV3001" s="470"/>
      <c r="VHW3001" s="449"/>
      <c r="VHX3001" s="462"/>
      <c r="VHY3001" s="299"/>
      <c r="VHZ3001" s="81"/>
      <c r="VIA3001" s="160"/>
      <c r="VIB3001" s="571"/>
      <c r="VIC3001" s="125"/>
      <c r="VID3001" s="470"/>
      <c r="VIE3001" s="449"/>
      <c r="VIF3001" s="462"/>
      <c r="VIG3001" s="299"/>
      <c r="VIH3001" s="81"/>
      <c r="VII3001" s="160"/>
      <c r="VIJ3001" s="571"/>
      <c r="VIK3001" s="125"/>
      <c r="VIL3001" s="470"/>
      <c r="VIM3001" s="449"/>
      <c r="VIN3001" s="462"/>
      <c r="VIO3001" s="299"/>
      <c r="VIP3001" s="81"/>
      <c r="VIQ3001" s="160"/>
      <c r="VIR3001" s="571"/>
      <c r="VIS3001" s="125"/>
      <c r="VIT3001" s="470"/>
      <c r="VIU3001" s="449"/>
      <c r="VIV3001" s="462"/>
      <c r="VIW3001" s="299"/>
      <c r="VIX3001" s="81"/>
      <c r="VIY3001" s="160"/>
      <c r="VIZ3001" s="571"/>
      <c r="VJA3001" s="125"/>
      <c r="VJB3001" s="470"/>
      <c r="VJC3001" s="449"/>
      <c r="VJD3001" s="462"/>
      <c r="VJE3001" s="299"/>
      <c r="VJF3001" s="81"/>
      <c r="VJG3001" s="160"/>
      <c r="VJH3001" s="571"/>
      <c r="VJI3001" s="125"/>
      <c r="VJJ3001" s="470"/>
      <c r="VJK3001" s="449"/>
      <c r="VJL3001" s="462"/>
      <c r="VJM3001" s="299"/>
      <c r="VJN3001" s="81"/>
      <c r="VJO3001" s="160"/>
      <c r="VJP3001" s="571"/>
      <c r="VJQ3001" s="125"/>
      <c r="VJR3001" s="470"/>
      <c r="VJS3001" s="449"/>
      <c r="VJT3001" s="462"/>
      <c r="VJU3001" s="299"/>
      <c r="VJV3001" s="81"/>
      <c r="VJW3001" s="160"/>
      <c r="VJX3001" s="571"/>
      <c r="VJY3001" s="125"/>
      <c r="VJZ3001" s="470"/>
      <c r="VKA3001" s="449"/>
      <c r="VKB3001" s="462"/>
      <c r="VKC3001" s="299"/>
      <c r="VKD3001" s="81"/>
      <c r="VKE3001" s="160"/>
      <c r="VKF3001" s="571"/>
      <c r="VKG3001" s="125"/>
      <c r="VKH3001" s="470"/>
      <c r="VKI3001" s="449"/>
      <c r="VKJ3001" s="462"/>
      <c r="VKK3001" s="299"/>
      <c r="VKL3001" s="81"/>
      <c r="VKM3001" s="160"/>
      <c r="VKN3001" s="571"/>
      <c r="VKO3001" s="125"/>
      <c r="VKP3001" s="470"/>
      <c r="VKQ3001" s="449"/>
      <c r="VKR3001" s="462"/>
      <c r="VKS3001" s="299"/>
      <c r="VKT3001" s="81"/>
      <c r="VKU3001" s="160"/>
      <c r="VKV3001" s="571"/>
      <c r="VKW3001" s="125"/>
      <c r="VKX3001" s="470"/>
      <c r="VKY3001" s="449"/>
      <c r="VKZ3001" s="462"/>
      <c r="VLA3001" s="299"/>
      <c r="VLB3001" s="81"/>
      <c r="VLC3001" s="160"/>
      <c r="VLD3001" s="571"/>
      <c r="VLE3001" s="125"/>
      <c r="VLF3001" s="470"/>
      <c r="VLG3001" s="449"/>
      <c r="VLH3001" s="462"/>
      <c r="VLI3001" s="299"/>
      <c r="VLJ3001" s="81"/>
      <c r="VLK3001" s="160"/>
      <c r="VLL3001" s="571"/>
      <c r="VLM3001" s="125"/>
      <c r="VLN3001" s="470"/>
      <c r="VLO3001" s="449"/>
      <c r="VLP3001" s="462"/>
      <c r="VLQ3001" s="299"/>
      <c r="VLR3001" s="81"/>
      <c r="VLS3001" s="160"/>
      <c r="VLT3001" s="571"/>
      <c r="VLU3001" s="125"/>
      <c r="VLV3001" s="470"/>
      <c r="VLW3001" s="449"/>
      <c r="VLX3001" s="462"/>
      <c r="VLY3001" s="299"/>
      <c r="VLZ3001" s="81"/>
      <c r="VMA3001" s="160"/>
      <c r="VMB3001" s="571"/>
      <c r="VMC3001" s="125"/>
      <c r="VMD3001" s="470"/>
      <c r="VME3001" s="449"/>
      <c r="VMF3001" s="462"/>
      <c r="VMG3001" s="299"/>
      <c r="VMH3001" s="81"/>
      <c r="VMI3001" s="160"/>
      <c r="VMJ3001" s="571"/>
      <c r="VMK3001" s="125"/>
      <c r="VML3001" s="470"/>
      <c r="VMM3001" s="449"/>
      <c r="VMN3001" s="462"/>
      <c r="VMO3001" s="299"/>
      <c r="VMP3001" s="81"/>
      <c r="VMQ3001" s="160"/>
      <c r="VMR3001" s="571"/>
      <c r="VMS3001" s="125"/>
      <c r="VMT3001" s="470"/>
      <c r="VMU3001" s="449"/>
      <c r="VMV3001" s="462"/>
      <c r="VMW3001" s="299"/>
      <c r="VMX3001" s="81"/>
      <c r="VMY3001" s="160"/>
      <c r="VMZ3001" s="571"/>
      <c r="VNA3001" s="125"/>
      <c r="VNB3001" s="470"/>
      <c r="VNC3001" s="449"/>
      <c r="VND3001" s="462"/>
      <c r="VNE3001" s="299"/>
      <c r="VNF3001" s="81"/>
      <c r="VNG3001" s="160"/>
      <c r="VNH3001" s="571"/>
      <c r="VNI3001" s="125"/>
      <c r="VNJ3001" s="470"/>
      <c r="VNK3001" s="449"/>
      <c r="VNL3001" s="462"/>
      <c r="VNM3001" s="299"/>
      <c r="VNN3001" s="81"/>
      <c r="VNO3001" s="160"/>
      <c r="VNP3001" s="571"/>
      <c r="VNQ3001" s="125"/>
      <c r="VNR3001" s="470"/>
      <c r="VNS3001" s="449"/>
      <c r="VNT3001" s="462"/>
      <c r="VNU3001" s="299"/>
      <c r="VNV3001" s="81"/>
      <c r="VNW3001" s="160"/>
      <c r="VNX3001" s="571"/>
      <c r="VNY3001" s="125"/>
      <c r="VNZ3001" s="470"/>
      <c r="VOA3001" s="449"/>
      <c r="VOB3001" s="462"/>
      <c r="VOC3001" s="299"/>
      <c r="VOD3001" s="81"/>
      <c r="VOE3001" s="160"/>
      <c r="VOF3001" s="571"/>
      <c r="VOG3001" s="125"/>
      <c r="VOH3001" s="470"/>
      <c r="VOI3001" s="449"/>
      <c r="VOJ3001" s="462"/>
      <c r="VOK3001" s="299"/>
      <c r="VOL3001" s="81"/>
      <c r="VOM3001" s="160"/>
      <c r="VON3001" s="571"/>
      <c r="VOO3001" s="125"/>
      <c r="VOP3001" s="470"/>
      <c r="VOQ3001" s="449"/>
      <c r="VOR3001" s="462"/>
      <c r="VOS3001" s="299"/>
      <c r="VOT3001" s="81"/>
      <c r="VOU3001" s="160"/>
      <c r="VOV3001" s="571"/>
      <c r="VOW3001" s="125"/>
      <c r="VOX3001" s="470"/>
      <c r="VOY3001" s="449"/>
      <c r="VOZ3001" s="462"/>
      <c r="VPA3001" s="299"/>
      <c r="VPB3001" s="81"/>
      <c r="VPC3001" s="160"/>
      <c r="VPD3001" s="571"/>
      <c r="VPE3001" s="125"/>
      <c r="VPF3001" s="470"/>
      <c r="VPG3001" s="449"/>
      <c r="VPH3001" s="462"/>
      <c r="VPI3001" s="299"/>
      <c r="VPJ3001" s="81"/>
      <c r="VPK3001" s="160"/>
      <c r="VPL3001" s="571"/>
      <c r="VPM3001" s="125"/>
      <c r="VPN3001" s="470"/>
      <c r="VPO3001" s="449"/>
      <c r="VPP3001" s="462"/>
      <c r="VPQ3001" s="299"/>
      <c r="VPR3001" s="81"/>
      <c r="VPS3001" s="160"/>
      <c r="VPT3001" s="571"/>
      <c r="VPU3001" s="125"/>
      <c r="VPV3001" s="470"/>
      <c r="VPW3001" s="449"/>
      <c r="VPX3001" s="462"/>
      <c r="VPY3001" s="299"/>
      <c r="VPZ3001" s="81"/>
      <c r="VQA3001" s="160"/>
      <c r="VQB3001" s="571"/>
      <c r="VQC3001" s="125"/>
      <c r="VQD3001" s="470"/>
      <c r="VQE3001" s="449"/>
      <c r="VQF3001" s="462"/>
      <c r="VQG3001" s="299"/>
      <c r="VQH3001" s="81"/>
      <c r="VQI3001" s="160"/>
      <c r="VQJ3001" s="571"/>
      <c r="VQK3001" s="125"/>
      <c r="VQL3001" s="470"/>
      <c r="VQM3001" s="449"/>
      <c r="VQN3001" s="462"/>
      <c r="VQO3001" s="299"/>
      <c r="VQP3001" s="81"/>
      <c r="VQQ3001" s="160"/>
      <c r="VQR3001" s="571"/>
      <c r="VQS3001" s="125"/>
      <c r="VQT3001" s="470"/>
      <c r="VQU3001" s="449"/>
      <c r="VQV3001" s="462"/>
      <c r="VQW3001" s="299"/>
      <c r="VQX3001" s="81"/>
      <c r="VQY3001" s="160"/>
      <c r="VQZ3001" s="571"/>
      <c r="VRA3001" s="125"/>
      <c r="VRB3001" s="470"/>
      <c r="VRC3001" s="449"/>
      <c r="VRD3001" s="462"/>
      <c r="VRE3001" s="299"/>
      <c r="VRF3001" s="81"/>
      <c r="VRG3001" s="160"/>
      <c r="VRH3001" s="571"/>
      <c r="VRI3001" s="125"/>
      <c r="VRJ3001" s="470"/>
      <c r="VRK3001" s="449"/>
      <c r="VRL3001" s="462"/>
      <c r="VRM3001" s="299"/>
      <c r="VRN3001" s="81"/>
      <c r="VRO3001" s="160"/>
      <c r="VRP3001" s="571"/>
      <c r="VRQ3001" s="125"/>
      <c r="VRR3001" s="470"/>
      <c r="VRS3001" s="449"/>
      <c r="VRT3001" s="462"/>
      <c r="VRU3001" s="299"/>
      <c r="VRV3001" s="81"/>
      <c r="VRW3001" s="160"/>
      <c r="VRX3001" s="571"/>
      <c r="VRY3001" s="125"/>
      <c r="VRZ3001" s="470"/>
      <c r="VSA3001" s="449"/>
      <c r="VSB3001" s="462"/>
      <c r="VSC3001" s="299"/>
      <c r="VSD3001" s="81"/>
      <c r="VSE3001" s="160"/>
      <c r="VSF3001" s="571"/>
      <c r="VSG3001" s="125"/>
      <c r="VSH3001" s="470"/>
      <c r="VSI3001" s="449"/>
      <c r="VSJ3001" s="462"/>
      <c r="VSK3001" s="299"/>
      <c r="VSL3001" s="81"/>
      <c r="VSM3001" s="160"/>
      <c r="VSN3001" s="571"/>
      <c r="VSO3001" s="125"/>
      <c r="VSP3001" s="470"/>
      <c r="VSQ3001" s="449"/>
      <c r="VSR3001" s="462"/>
      <c r="VSS3001" s="299"/>
      <c r="VST3001" s="81"/>
      <c r="VSU3001" s="160"/>
      <c r="VSV3001" s="571"/>
      <c r="VSW3001" s="125"/>
      <c r="VSX3001" s="470"/>
      <c r="VSY3001" s="449"/>
      <c r="VSZ3001" s="462"/>
      <c r="VTA3001" s="299"/>
      <c r="VTB3001" s="81"/>
      <c r="VTC3001" s="160"/>
      <c r="VTD3001" s="571"/>
      <c r="VTE3001" s="125"/>
      <c r="VTF3001" s="470"/>
      <c r="VTG3001" s="449"/>
      <c r="VTH3001" s="462"/>
      <c r="VTI3001" s="299"/>
      <c r="VTJ3001" s="81"/>
      <c r="VTK3001" s="160"/>
      <c r="VTL3001" s="571"/>
      <c r="VTM3001" s="125"/>
      <c r="VTN3001" s="470"/>
      <c r="VTO3001" s="449"/>
      <c r="VTP3001" s="462"/>
      <c r="VTQ3001" s="299"/>
      <c r="VTR3001" s="81"/>
      <c r="VTS3001" s="160"/>
      <c r="VTT3001" s="571"/>
      <c r="VTU3001" s="125"/>
      <c r="VTV3001" s="470"/>
      <c r="VTW3001" s="449"/>
      <c r="VTX3001" s="462"/>
      <c r="VTY3001" s="299"/>
      <c r="VTZ3001" s="81"/>
      <c r="VUA3001" s="160"/>
      <c r="VUB3001" s="571"/>
      <c r="VUC3001" s="125"/>
      <c r="VUD3001" s="470"/>
      <c r="VUE3001" s="449"/>
      <c r="VUF3001" s="462"/>
      <c r="VUG3001" s="299"/>
      <c r="VUH3001" s="81"/>
      <c r="VUI3001" s="160"/>
      <c r="VUJ3001" s="571"/>
      <c r="VUK3001" s="125"/>
      <c r="VUL3001" s="470"/>
      <c r="VUM3001" s="449"/>
      <c r="VUN3001" s="462"/>
      <c r="VUO3001" s="299"/>
      <c r="VUP3001" s="81"/>
      <c r="VUQ3001" s="160"/>
      <c r="VUR3001" s="571"/>
      <c r="VUS3001" s="125"/>
      <c r="VUT3001" s="470"/>
      <c r="VUU3001" s="449"/>
      <c r="VUV3001" s="462"/>
      <c r="VUW3001" s="299"/>
      <c r="VUX3001" s="81"/>
      <c r="VUY3001" s="160"/>
      <c r="VUZ3001" s="571"/>
      <c r="VVA3001" s="125"/>
      <c r="VVB3001" s="470"/>
      <c r="VVC3001" s="449"/>
      <c r="VVD3001" s="462"/>
      <c r="VVE3001" s="299"/>
      <c r="VVF3001" s="81"/>
      <c r="VVG3001" s="160"/>
      <c r="VVH3001" s="571"/>
      <c r="VVI3001" s="125"/>
      <c r="VVJ3001" s="470"/>
      <c r="VVK3001" s="449"/>
      <c r="VVL3001" s="462"/>
      <c r="VVM3001" s="299"/>
      <c r="VVN3001" s="81"/>
      <c r="VVO3001" s="160"/>
      <c r="VVP3001" s="571"/>
      <c r="VVQ3001" s="125"/>
      <c r="VVR3001" s="470"/>
      <c r="VVS3001" s="449"/>
      <c r="VVT3001" s="462"/>
      <c r="VVU3001" s="299"/>
      <c r="VVV3001" s="81"/>
      <c r="VVW3001" s="160"/>
      <c r="VVX3001" s="571"/>
      <c r="VVY3001" s="125"/>
      <c r="VVZ3001" s="470"/>
      <c r="VWA3001" s="449"/>
      <c r="VWB3001" s="462"/>
      <c r="VWC3001" s="299"/>
      <c r="VWD3001" s="81"/>
      <c r="VWE3001" s="160"/>
      <c r="VWF3001" s="571"/>
      <c r="VWG3001" s="125"/>
      <c r="VWH3001" s="470"/>
      <c r="VWI3001" s="449"/>
      <c r="VWJ3001" s="462"/>
      <c r="VWK3001" s="299"/>
      <c r="VWL3001" s="81"/>
      <c r="VWM3001" s="160"/>
      <c r="VWN3001" s="571"/>
      <c r="VWO3001" s="125"/>
      <c r="VWP3001" s="470"/>
      <c r="VWQ3001" s="449"/>
      <c r="VWR3001" s="462"/>
      <c r="VWS3001" s="299"/>
      <c r="VWT3001" s="81"/>
      <c r="VWU3001" s="160"/>
      <c r="VWV3001" s="571"/>
      <c r="VWW3001" s="125"/>
      <c r="VWX3001" s="470"/>
      <c r="VWY3001" s="449"/>
      <c r="VWZ3001" s="462"/>
      <c r="VXA3001" s="299"/>
      <c r="VXB3001" s="81"/>
      <c r="VXC3001" s="160"/>
      <c r="VXD3001" s="571"/>
      <c r="VXE3001" s="125"/>
      <c r="VXF3001" s="470"/>
      <c r="VXG3001" s="449"/>
      <c r="VXH3001" s="462"/>
      <c r="VXI3001" s="299"/>
      <c r="VXJ3001" s="81"/>
      <c r="VXK3001" s="160"/>
      <c r="VXL3001" s="571"/>
      <c r="VXM3001" s="125"/>
      <c r="VXN3001" s="470"/>
      <c r="VXO3001" s="449"/>
      <c r="VXP3001" s="462"/>
      <c r="VXQ3001" s="299"/>
      <c r="VXR3001" s="81"/>
      <c r="VXS3001" s="160"/>
      <c r="VXT3001" s="571"/>
      <c r="VXU3001" s="125"/>
      <c r="VXV3001" s="470"/>
      <c r="VXW3001" s="449"/>
      <c r="VXX3001" s="462"/>
      <c r="VXY3001" s="299"/>
      <c r="VXZ3001" s="81"/>
      <c r="VYA3001" s="160"/>
      <c r="VYB3001" s="571"/>
      <c r="VYC3001" s="125"/>
      <c r="VYD3001" s="470"/>
      <c r="VYE3001" s="449"/>
      <c r="VYF3001" s="462"/>
      <c r="VYG3001" s="299"/>
      <c r="VYH3001" s="81"/>
      <c r="VYI3001" s="160"/>
      <c r="VYJ3001" s="571"/>
      <c r="VYK3001" s="125"/>
      <c r="VYL3001" s="470"/>
      <c r="VYM3001" s="449"/>
      <c r="VYN3001" s="462"/>
      <c r="VYO3001" s="299"/>
      <c r="VYP3001" s="81"/>
      <c r="VYQ3001" s="160"/>
      <c r="VYR3001" s="571"/>
      <c r="VYS3001" s="125"/>
      <c r="VYT3001" s="470"/>
      <c r="VYU3001" s="449"/>
      <c r="VYV3001" s="462"/>
      <c r="VYW3001" s="299"/>
      <c r="VYX3001" s="81"/>
      <c r="VYY3001" s="160"/>
      <c r="VYZ3001" s="571"/>
      <c r="VZA3001" s="125"/>
      <c r="VZB3001" s="470"/>
      <c r="VZC3001" s="449"/>
      <c r="VZD3001" s="462"/>
      <c r="VZE3001" s="299"/>
      <c r="VZF3001" s="81"/>
      <c r="VZG3001" s="160"/>
      <c r="VZH3001" s="571"/>
      <c r="VZI3001" s="125"/>
      <c r="VZJ3001" s="470"/>
      <c r="VZK3001" s="449"/>
      <c r="VZL3001" s="462"/>
      <c r="VZM3001" s="299"/>
      <c r="VZN3001" s="81"/>
      <c r="VZO3001" s="160"/>
      <c r="VZP3001" s="571"/>
      <c r="VZQ3001" s="125"/>
      <c r="VZR3001" s="470"/>
      <c r="VZS3001" s="449"/>
      <c r="VZT3001" s="462"/>
      <c r="VZU3001" s="299"/>
      <c r="VZV3001" s="81"/>
      <c r="VZW3001" s="160"/>
      <c r="VZX3001" s="571"/>
      <c r="VZY3001" s="125"/>
      <c r="VZZ3001" s="470"/>
      <c r="WAA3001" s="449"/>
      <c r="WAB3001" s="462"/>
      <c r="WAC3001" s="299"/>
      <c r="WAD3001" s="81"/>
      <c r="WAE3001" s="160"/>
      <c r="WAF3001" s="571"/>
      <c r="WAG3001" s="125"/>
      <c r="WAH3001" s="470"/>
      <c r="WAI3001" s="449"/>
      <c r="WAJ3001" s="462"/>
      <c r="WAK3001" s="299"/>
      <c r="WAL3001" s="81"/>
      <c r="WAM3001" s="160"/>
      <c r="WAN3001" s="571"/>
      <c r="WAO3001" s="125"/>
      <c r="WAP3001" s="470"/>
      <c r="WAQ3001" s="449"/>
      <c r="WAR3001" s="462"/>
      <c r="WAS3001" s="299"/>
      <c r="WAT3001" s="81"/>
      <c r="WAU3001" s="160"/>
      <c r="WAV3001" s="571"/>
      <c r="WAW3001" s="125"/>
      <c r="WAX3001" s="470"/>
      <c r="WAY3001" s="449"/>
      <c r="WAZ3001" s="462"/>
      <c r="WBA3001" s="299"/>
      <c r="WBB3001" s="81"/>
      <c r="WBC3001" s="160"/>
      <c r="WBD3001" s="571"/>
      <c r="WBE3001" s="125"/>
      <c r="WBF3001" s="470"/>
      <c r="WBG3001" s="449"/>
      <c r="WBH3001" s="462"/>
      <c r="WBI3001" s="299"/>
      <c r="WBJ3001" s="81"/>
      <c r="WBK3001" s="160"/>
      <c r="WBL3001" s="571"/>
      <c r="WBM3001" s="125"/>
      <c r="WBN3001" s="470"/>
      <c r="WBO3001" s="449"/>
      <c r="WBP3001" s="462"/>
      <c r="WBQ3001" s="299"/>
      <c r="WBR3001" s="81"/>
      <c r="WBS3001" s="160"/>
      <c r="WBT3001" s="571"/>
      <c r="WBU3001" s="125"/>
      <c r="WBV3001" s="470"/>
      <c r="WBW3001" s="449"/>
      <c r="WBX3001" s="462"/>
      <c r="WBY3001" s="299"/>
      <c r="WBZ3001" s="81"/>
      <c r="WCA3001" s="160"/>
      <c r="WCB3001" s="571"/>
      <c r="WCC3001" s="125"/>
      <c r="WCD3001" s="470"/>
      <c r="WCE3001" s="449"/>
      <c r="WCF3001" s="462"/>
      <c r="WCG3001" s="299"/>
      <c r="WCH3001" s="81"/>
      <c r="WCI3001" s="160"/>
      <c r="WCJ3001" s="571"/>
      <c r="WCK3001" s="125"/>
      <c r="WCL3001" s="470"/>
      <c r="WCM3001" s="449"/>
      <c r="WCN3001" s="462"/>
      <c r="WCO3001" s="299"/>
      <c r="WCP3001" s="81"/>
      <c r="WCQ3001" s="160"/>
      <c r="WCR3001" s="571"/>
      <c r="WCS3001" s="125"/>
      <c r="WCT3001" s="470"/>
      <c r="WCU3001" s="449"/>
      <c r="WCV3001" s="462"/>
      <c r="WCW3001" s="299"/>
      <c r="WCX3001" s="81"/>
      <c r="WCY3001" s="160"/>
      <c r="WCZ3001" s="571"/>
      <c r="WDA3001" s="125"/>
      <c r="WDB3001" s="470"/>
      <c r="WDC3001" s="449"/>
      <c r="WDD3001" s="462"/>
      <c r="WDE3001" s="299"/>
      <c r="WDF3001" s="81"/>
      <c r="WDG3001" s="160"/>
      <c r="WDH3001" s="571"/>
      <c r="WDI3001" s="125"/>
      <c r="WDJ3001" s="470"/>
      <c r="WDK3001" s="449"/>
      <c r="WDL3001" s="462"/>
      <c r="WDM3001" s="299"/>
      <c r="WDN3001" s="81"/>
      <c r="WDO3001" s="160"/>
      <c r="WDP3001" s="571"/>
      <c r="WDQ3001" s="125"/>
      <c r="WDR3001" s="470"/>
      <c r="WDS3001" s="449"/>
      <c r="WDT3001" s="462"/>
      <c r="WDU3001" s="299"/>
      <c r="WDV3001" s="81"/>
      <c r="WDW3001" s="160"/>
      <c r="WDX3001" s="571"/>
      <c r="WDY3001" s="125"/>
      <c r="WDZ3001" s="470"/>
      <c r="WEA3001" s="449"/>
      <c r="WEB3001" s="462"/>
      <c r="WEC3001" s="299"/>
      <c r="WED3001" s="81"/>
      <c r="WEE3001" s="160"/>
      <c r="WEF3001" s="571"/>
      <c r="WEG3001" s="125"/>
      <c r="WEH3001" s="470"/>
      <c r="WEI3001" s="449"/>
      <c r="WEJ3001" s="462"/>
      <c r="WEK3001" s="299"/>
      <c r="WEL3001" s="81"/>
      <c r="WEM3001" s="160"/>
      <c r="WEN3001" s="571"/>
      <c r="WEO3001" s="125"/>
      <c r="WEP3001" s="470"/>
      <c r="WEQ3001" s="449"/>
      <c r="WER3001" s="462"/>
      <c r="WES3001" s="299"/>
      <c r="WET3001" s="81"/>
      <c r="WEU3001" s="160"/>
      <c r="WEV3001" s="571"/>
      <c r="WEW3001" s="125"/>
      <c r="WEX3001" s="470"/>
      <c r="WEY3001" s="449"/>
      <c r="WEZ3001" s="462"/>
      <c r="WFA3001" s="299"/>
      <c r="WFB3001" s="81"/>
      <c r="WFC3001" s="160"/>
      <c r="WFD3001" s="571"/>
      <c r="WFE3001" s="125"/>
      <c r="WFF3001" s="470"/>
      <c r="WFG3001" s="449"/>
      <c r="WFH3001" s="462"/>
      <c r="WFI3001" s="299"/>
      <c r="WFJ3001" s="81"/>
      <c r="WFK3001" s="160"/>
      <c r="WFL3001" s="571"/>
      <c r="WFM3001" s="125"/>
      <c r="WFN3001" s="470"/>
      <c r="WFO3001" s="449"/>
      <c r="WFP3001" s="462"/>
      <c r="WFQ3001" s="299"/>
      <c r="WFR3001" s="81"/>
      <c r="WFS3001" s="160"/>
      <c r="WFT3001" s="571"/>
      <c r="WFU3001" s="125"/>
      <c r="WFV3001" s="470"/>
      <c r="WFW3001" s="449"/>
      <c r="WFX3001" s="462"/>
      <c r="WFY3001" s="299"/>
      <c r="WFZ3001" s="81"/>
      <c r="WGA3001" s="160"/>
      <c r="WGB3001" s="571"/>
      <c r="WGC3001" s="125"/>
      <c r="WGD3001" s="470"/>
      <c r="WGE3001" s="449"/>
      <c r="WGF3001" s="462"/>
      <c r="WGG3001" s="299"/>
      <c r="WGH3001" s="81"/>
      <c r="WGI3001" s="160"/>
      <c r="WGJ3001" s="571"/>
      <c r="WGK3001" s="125"/>
      <c r="WGL3001" s="470"/>
      <c r="WGM3001" s="449"/>
      <c r="WGN3001" s="462"/>
      <c r="WGO3001" s="299"/>
      <c r="WGP3001" s="81"/>
      <c r="WGQ3001" s="160"/>
      <c r="WGR3001" s="571"/>
      <c r="WGS3001" s="125"/>
      <c r="WGT3001" s="470"/>
      <c r="WGU3001" s="449"/>
      <c r="WGV3001" s="462"/>
      <c r="WGW3001" s="299"/>
      <c r="WGX3001" s="81"/>
      <c r="WGY3001" s="160"/>
      <c r="WGZ3001" s="571"/>
      <c r="WHA3001" s="125"/>
      <c r="WHB3001" s="470"/>
      <c r="WHC3001" s="449"/>
      <c r="WHD3001" s="462"/>
      <c r="WHE3001" s="299"/>
      <c r="WHF3001" s="81"/>
      <c r="WHG3001" s="160"/>
      <c r="WHH3001" s="571"/>
      <c r="WHI3001" s="125"/>
      <c r="WHJ3001" s="470"/>
      <c r="WHK3001" s="449"/>
      <c r="WHL3001" s="462"/>
      <c r="WHM3001" s="299"/>
      <c r="WHN3001" s="81"/>
      <c r="WHO3001" s="160"/>
      <c r="WHP3001" s="571"/>
      <c r="WHQ3001" s="125"/>
      <c r="WHR3001" s="470"/>
      <c r="WHS3001" s="449"/>
      <c r="WHT3001" s="462"/>
      <c r="WHU3001" s="299"/>
      <c r="WHV3001" s="81"/>
      <c r="WHW3001" s="160"/>
      <c r="WHX3001" s="571"/>
      <c r="WHY3001" s="125"/>
      <c r="WHZ3001" s="470"/>
      <c r="WIA3001" s="449"/>
      <c r="WIB3001" s="462"/>
      <c r="WIC3001" s="299"/>
      <c r="WID3001" s="81"/>
      <c r="WIE3001" s="160"/>
      <c r="WIF3001" s="571"/>
      <c r="WIG3001" s="125"/>
      <c r="WIH3001" s="470"/>
      <c r="WII3001" s="449"/>
      <c r="WIJ3001" s="462"/>
      <c r="WIK3001" s="299"/>
      <c r="WIL3001" s="81"/>
      <c r="WIM3001" s="160"/>
      <c r="WIN3001" s="571"/>
      <c r="WIO3001" s="125"/>
      <c r="WIP3001" s="470"/>
      <c r="WIQ3001" s="449"/>
      <c r="WIR3001" s="462"/>
      <c r="WIS3001" s="299"/>
      <c r="WIT3001" s="81"/>
      <c r="WIU3001" s="160"/>
      <c r="WIV3001" s="571"/>
      <c r="WIW3001" s="125"/>
      <c r="WIX3001" s="470"/>
      <c r="WIY3001" s="449"/>
      <c r="WIZ3001" s="462"/>
      <c r="WJA3001" s="299"/>
      <c r="WJB3001" s="81"/>
      <c r="WJC3001" s="160"/>
      <c r="WJD3001" s="571"/>
      <c r="WJE3001" s="125"/>
      <c r="WJF3001" s="470"/>
      <c r="WJG3001" s="449"/>
      <c r="WJH3001" s="462"/>
      <c r="WJI3001" s="299"/>
      <c r="WJJ3001" s="81"/>
      <c r="WJK3001" s="160"/>
      <c r="WJL3001" s="571"/>
      <c r="WJM3001" s="125"/>
      <c r="WJN3001" s="470"/>
      <c r="WJO3001" s="449"/>
      <c r="WJP3001" s="462"/>
      <c r="WJQ3001" s="299"/>
      <c r="WJR3001" s="81"/>
      <c r="WJS3001" s="160"/>
      <c r="WJT3001" s="571"/>
      <c r="WJU3001" s="125"/>
      <c r="WJV3001" s="470"/>
      <c r="WJW3001" s="449"/>
      <c r="WJX3001" s="462"/>
      <c r="WJY3001" s="299"/>
      <c r="WJZ3001" s="81"/>
      <c r="WKA3001" s="160"/>
      <c r="WKB3001" s="571"/>
      <c r="WKC3001" s="125"/>
      <c r="WKD3001" s="470"/>
      <c r="WKE3001" s="449"/>
      <c r="WKF3001" s="462"/>
      <c r="WKG3001" s="299"/>
      <c r="WKH3001" s="81"/>
      <c r="WKI3001" s="160"/>
      <c r="WKJ3001" s="571"/>
      <c r="WKK3001" s="125"/>
      <c r="WKL3001" s="470"/>
      <c r="WKM3001" s="449"/>
      <c r="WKN3001" s="462"/>
      <c r="WKO3001" s="299"/>
      <c r="WKP3001" s="81"/>
      <c r="WKQ3001" s="160"/>
      <c r="WKR3001" s="571"/>
      <c r="WKS3001" s="125"/>
      <c r="WKT3001" s="470"/>
      <c r="WKU3001" s="449"/>
      <c r="WKV3001" s="462"/>
      <c r="WKW3001" s="299"/>
      <c r="WKX3001" s="81"/>
      <c r="WKY3001" s="160"/>
      <c r="WKZ3001" s="571"/>
      <c r="WLA3001" s="125"/>
      <c r="WLB3001" s="470"/>
      <c r="WLC3001" s="449"/>
      <c r="WLD3001" s="462"/>
      <c r="WLE3001" s="299"/>
      <c r="WLF3001" s="81"/>
      <c r="WLG3001" s="160"/>
      <c r="WLH3001" s="571"/>
      <c r="WLI3001" s="125"/>
      <c r="WLJ3001" s="470"/>
      <c r="WLK3001" s="449"/>
      <c r="WLL3001" s="462"/>
      <c r="WLM3001" s="299"/>
      <c r="WLN3001" s="81"/>
      <c r="WLO3001" s="160"/>
      <c r="WLP3001" s="571"/>
      <c r="WLQ3001" s="125"/>
      <c r="WLR3001" s="470"/>
      <c r="WLS3001" s="449"/>
      <c r="WLT3001" s="462"/>
      <c r="WLU3001" s="299"/>
      <c r="WLV3001" s="81"/>
      <c r="WLW3001" s="160"/>
      <c r="WLX3001" s="571"/>
      <c r="WLY3001" s="125"/>
      <c r="WLZ3001" s="470"/>
      <c r="WMA3001" s="449"/>
      <c r="WMB3001" s="462"/>
      <c r="WMC3001" s="299"/>
      <c r="WMD3001" s="81"/>
      <c r="WME3001" s="160"/>
      <c r="WMF3001" s="571"/>
      <c r="WMG3001" s="125"/>
      <c r="WMH3001" s="470"/>
      <c r="WMI3001" s="449"/>
      <c r="WMJ3001" s="462"/>
      <c r="WMK3001" s="299"/>
      <c r="WML3001" s="81"/>
      <c r="WMM3001" s="160"/>
      <c r="WMN3001" s="571"/>
      <c r="WMO3001" s="125"/>
      <c r="WMP3001" s="470"/>
      <c r="WMQ3001" s="449"/>
      <c r="WMR3001" s="462"/>
      <c r="WMS3001" s="299"/>
      <c r="WMT3001" s="81"/>
      <c r="WMU3001" s="160"/>
      <c r="WMV3001" s="571"/>
      <c r="WMW3001" s="125"/>
      <c r="WMX3001" s="470"/>
      <c r="WMY3001" s="449"/>
      <c r="WMZ3001" s="462"/>
      <c r="WNA3001" s="299"/>
      <c r="WNB3001" s="81"/>
      <c r="WNC3001" s="160"/>
      <c r="WND3001" s="571"/>
      <c r="WNE3001" s="125"/>
      <c r="WNF3001" s="470"/>
      <c r="WNG3001" s="449"/>
      <c r="WNH3001" s="462"/>
      <c r="WNI3001" s="299"/>
      <c r="WNJ3001" s="81"/>
      <c r="WNK3001" s="160"/>
      <c r="WNL3001" s="571"/>
      <c r="WNM3001" s="125"/>
      <c r="WNN3001" s="470"/>
      <c r="WNO3001" s="449"/>
      <c r="WNP3001" s="462"/>
      <c r="WNQ3001" s="299"/>
      <c r="WNR3001" s="81"/>
      <c r="WNS3001" s="160"/>
      <c r="WNT3001" s="571"/>
      <c r="WNU3001" s="125"/>
      <c r="WNV3001" s="470"/>
      <c r="WNW3001" s="449"/>
      <c r="WNX3001" s="462"/>
      <c r="WNY3001" s="299"/>
      <c r="WNZ3001" s="81"/>
      <c r="WOA3001" s="160"/>
      <c r="WOB3001" s="571"/>
      <c r="WOC3001" s="125"/>
      <c r="WOD3001" s="470"/>
      <c r="WOE3001" s="449"/>
      <c r="WOF3001" s="462"/>
      <c r="WOG3001" s="299"/>
      <c r="WOH3001" s="81"/>
      <c r="WOI3001" s="160"/>
      <c r="WOJ3001" s="571"/>
      <c r="WOK3001" s="125"/>
      <c r="WOL3001" s="470"/>
      <c r="WOM3001" s="449"/>
      <c r="WON3001" s="462"/>
      <c r="WOO3001" s="299"/>
      <c r="WOP3001" s="81"/>
      <c r="WOQ3001" s="160"/>
      <c r="WOR3001" s="571"/>
      <c r="WOS3001" s="125"/>
      <c r="WOT3001" s="470"/>
      <c r="WOU3001" s="449"/>
      <c r="WOV3001" s="462"/>
      <c r="WOW3001" s="299"/>
      <c r="WOX3001" s="81"/>
      <c r="WOY3001" s="160"/>
      <c r="WOZ3001" s="571"/>
      <c r="WPA3001" s="125"/>
      <c r="WPB3001" s="470"/>
      <c r="WPC3001" s="449"/>
      <c r="WPD3001" s="462"/>
      <c r="WPE3001" s="299"/>
      <c r="WPF3001" s="81"/>
      <c r="WPG3001" s="160"/>
      <c r="WPH3001" s="571"/>
      <c r="WPI3001" s="125"/>
      <c r="WPJ3001" s="470"/>
      <c r="WPK3001" s="449"/>
      <c r="WPL3001" s="462"/>
      <c r="WPM3001" s="299"/>
      <c r="WPN3001" s="81"/>
      <c r="WPO3001" s="160"/>
      <c r="WPP3001" s="571"/>
      <c r="WPQ3001" s="125"/>
      <c r="WPR3001" s="470"/>
      <c r="WPS3001" s="449"/>
      <c r="WPT3001" s="462"/>
      <c r="WPU3001" s="299"/>
      <c r="WPV3001" s="81"/>
      <c r="WPW3001" s="160"/>
      <c r="WPX3001" s="571"/>
      <c r="WPY3001" s="125"/>
      <c r="WPZ3001" s="470"/>
      <c r="WQA3001" s="449"/>
      <c r="WQB3001" s="462"/>
      <c r="WQC3001" s="299"/>
      <c r="WQD3001" s="81"/>
      <c r="WQE3001" s="160"/>
      <c r="WQF3001" s="571"/>
      <c r="WQG3001" s="125"/>
      <c r="WQH3001" s="470"/>
      <c r="WQI3001" s="449"/>
      <c r="WQJ3001" s="462"/>
      <c r="WQK3001" s="299"/>
      <c r="WQL3001" s="81"/>
      <c r="WQM3001" s="160"/>
      <c r="WQN3001" s="571"/>
      <c r="WQO3001" s="125"/>
      <c r="WQP3001" s="470"/>
      <c r="WQQ3001" s="449"/>
      <c r="WQR3001" s="462"/>
      <c r="WQS3001" s="299"/>
      <c r="WQT3001" s="81"/>
      <c r="WQU3001" s="160"/>
      <c r="WQV3001" s="571"/>
      <c r="WQW3001" s="125"/>
      <c r="WQX3001" s="470"/>
      <c r="WQY3001" s="449"/>
      <c r="WQZ3001" s="462"/>
      <c r="WRA3001" s="299"/>
      <c r="WRB3001" s="81"/>
      <c r="WRC3001" s="160"/>
      <c r="WRD3001" s="571"/>
      <c r="WRE3001" s="125"/>
      <c r="WRF3001" s="470"/>
      <c r="WRG3001" s="449"/>
      <c r="WRH3001" s="462"/>
      <c r="WRI3001" s="299"/>
      <c r="WRJ3001" s="81"/>
      <c r="WRK3001" s="160"/>
      <c r="WRL3001" s="571"/>
      <c r="WRM3001" s="125"/>
      <c r="WRN3001" s="470"/>
      <c r="WRO3001" s="449"/>
      <c r="WRP3001" s="462"/>
      <c r="WRQ3001" s="299"/>
      <c r="WRR3001" s="81"/>
      <c r="WRS3001" s="160"/>
      <c r="WRT3001" s="571"/>
      <c r="WRU3001" s="125"/>
      <c r="WRV3001" s="470"/>
      <c r="WRW3001" s="449"/>
      <c r="WRX3001" s="462"/>
      <c r="WRY3001" s="299"/>
      <c r="WRZ3001" s="81"/>
      <c r="WSA3001" s="160"/>
      <c r="WSB3001" s="571"/>
      <c r="WSC3001" s="125"/>
      <c r="WSD3001" s="470"/>
      <c r="WSE3001" s="449"/>
      <c r="WSF3001" s="462"/>
      <c r="WSG3001" s="299"/>
      <c r="WSH3001" s="81"/>
      <c r="WSI3001" s="160"/>
      <c r="WSJ3001" s="571"/>
      <c r="WSK3001" s="125"/>
      <c r="WSL3001" s="470"/>
      <c r="WSM3001" s="449"/>
      <c r="WSN3001" s="462"/>
      <c r="WSO3001" s="299"/>
      <c r="WSP3001" s="81"/>
      <c r="WSQ3001" s="160"/>
      <c r="WSR3001" s="571"/>
      <c r="WSS3001" s="125"/>
      <c r="WST3001" s="470"/>
      <c r="WSU3001" s="449"/>
      <c r="WSV3001" s="462"/>
      <c r="WSW3001" s="299"/>
      <c r="WSX3001" s="81"/>
      <c r="WSY3001" s="160"/>
      <c r="WSZ3001" s="571"/>
      <c r="WTA3001" s="125"/>
      <c r="WTB3001" s="470"/>
      <c r="WTC3001" s="449"/>
      <c r="WTD3001" s="462"/>
      <c r="WTE3001" s="299"/>
      <c r="WTF3001" s="81"/>
      <c r="WTG3001" s="160"/>
      <c r="WTH3001" s="571"/>
      <c r="WTI3001" s="125"/>
      <c r="WTJ3001" s="470"/>
      <c r="WTK3001" s="449"/>
      <c r="WTL3001" s="462"/>
      <c r="WTM3001" s="299"/>
      <c r="WTN3001" s="81"/>
      <c r="WTO3001" s="160"/>
      <c r="WTP3001" s="571"/>
      <c r="WTQ3001" s="125"/>
      <c r="WTR3001" s="470"/>
      <c r="WTS3001" s="449"/>
      <c r="WTT3001" s="462"/>
      <c r="WTU3001" s="299"/>
      <c r="WTV3001" s="81"/>
      <c r="WTW3001" s="160"/>
      <c r="WTX3001" s="571"/>
      <c r="WTY3001" s="125"/>
      <c r="WTZ3001" s="470"/>
      <c r="WUA3001" s="449"/>
      <c r="WUB3001" s="462"/>
      <c r="WUC3001" s="299"/>
      <c r="WUD3001" s="81"/>
      <c r="WUE3001" s="160"/>
      <c r="WUF3001" s="571"/>
      <c r="WUG3001" s="125"/>
      <c r="WUH3001" s="470"/>
      <c r="WUI3001" s="449"/>
      <c r="WUJ3001" s="462"/>
      <c r="WUK3001" s="299"/>
      <c r="WUL3001" s="81"/>
      <c r="WUM3001" s="160"/>
      <c r="WUN3001" s="571"/>
      <c r="WUO3001" s="125"/>
      <c r="WUP3001" s="470"/>
      <c r="WUQ3001" s="449"/>
      <c r="WUR3001" s="462"/>
      <c r="WUS3001" s="299"/>
      <c r="WUT3001" s="81"/>
      <c r="WUU3001" s="160"/>
      <c r="WUV3001" s="571"/>
      <c r="WUW3001" s="125"/>
      <c r="WUX3001" s="470"/>
      <c r="WUY3001" s="449"/>
      <c r="WUZ3001" s="462"/>
      <c r="WVA3001" s="299"/>
      <c r="WVB3001" s="81"/>
      <c r="WVC3001" s="160"/>
      <c r="WVD3001" s="571"/>
      <c r="WVE3001" s="125"/>
      <c r="WVF3001" s="470"/>
      <c r="WVG3001" s="449"/>
      <c r="WVH3001" s="462"/>
      <c r="WVI3001" s="299"/>
      <c r="WVJ3001" s="81"/>
      <c r="WVK3001" s="160"/>
      <c r="WVL3001" s="571"/>
      <c r="WVM3001" s="125"/>
      <c r="WVN3001" s="470"/>
      <c r="WVO3001" s="449"/>
      <c r="WVP3001" s="462"/>
      <c r="WVQ3001" s="299"/>
      <c r="WVR3001" s="81"/>
      <c r="WVS3001" s="160"/>
      <c r="WVT3001" s="571"/>
      <c r="WVU3001" s="125"/>
      <c r="WVV3001" s="470"/>
      <c r="WVW3001" s="449"/>
      <c r="WVX3001" s="462"/>
      <c r="WVY3001" s="299"/>
      <c r="WVZ3001" s="81"/>
      <c r="WWA3001" s="160"/>
      <c r="WWB3001" s="571"/>
      <c r="WWC3001" s="125"/>
      <c r="WWD3001" s="470"/>
      <c r="WWE3001" s="449"/>
      <c r="WWF3001" s="462"/>
      <c r="WWG3001" s="299"/>
      <c r="WWH3001" s="81"/>
      <c r="WWI3001" s="160"/>
      <c r="WWJ3001" s="571"/>
      <c r="WWK3001" s="125"/>
      <c r="WWL3001" s="470"/>
      <c r="WWM3001" s="449"/>
      <c r="WWN3001" s="462"/>
      <c r="WWO3001" s="299"/>
      <c r="WWP3001" s="81"/>
      <c r="WWQ3001" s="160"/>
      <c r="WWR3001" s="571"/>
      <c r="WWS3001" s="125"/>
      <c r="WWT3001" s="470"/>
      <c r="WWU3001" s="449"/>
      <c r="WWV3001" s="462"/>
      <c r="WWW3001" s="299"/>
      <c r="WWX3001" s="81"/>
      <c r="WWY3001" s="160"/>
      <c r="WWZ3001" s="571"/>
      <c r="WXA3001" s="125"/>
      <c r="WXB3001" s="470"/>
      <c r="WXC3001" s="449"/>
      <c r="WXD3001" s="462"/>
      <c r="WXE3001" s="299"/>
      <c r="WXF3001" s="81"/>
      <c r="WXG3001" s="160"/>
      <c r="WXH3001" s="571"/>
      <c r="WXI3001" s="125"/>
      <c r="WXJ3001" s="470"/>
      <c r="WXK3001" s="449"/>
      <c r="WXL3001" s="462"/>
      <c r="WXM3001" s="299"/>
      <c r="WXN3001" s="81"/>
      <c r="WXO3001" s="160"/>
      <c r="WXP3001" s="571"/>
      <c r="WXQ3001" s="125"/>
      <c r="WXR3001" s="470"/>
      <c r="WXS3001" s="449"/>
      <c r="WXT3001" s="462"/>
      <c r="WXU3001" s="299"/>
      <c r="WXV3001" s="81"/>
      <c r="WXW3001" s="160"/>
      <c r="WXX3001" s="571"/>
      <c r="WXY3001" s="125"/>
      <c r="WXZ3001" s="470"/>
      <c r="WYA3001" s="449"/>
      <c r="WYB3001" s="462"/>
      <c r="WYC3001" s="299"/>
      <c r="WYD3001" s="81"/>
      <c r="WYE3001" s="160"/>
      <c r="WYF3001" s="571"/>
      <c r="WYG3001" s="125"/>
      <c r="WYH3001" s="470"/>
      <c r="WYI3001" s="449"/>
      <c r="WYJ3001" s="462"/>
      <c r="WYK3001" s="299"/>
      <c r="WYL3001" s="81"/>
      <c r="WYM3001" s="160"/>
      <c r="WYN3001" s="571"/>
      <c r="WYO3001" s="125"/>
      <c r="WYP3001" s="470"/>
      <c r="WYQ3001" s="449"/>
      <c r="WYR3001" s="462"/>
      <c r="WYS3001" s="299"/>
      <c r="WYT3001" s="81"/>
      <c r="WYU3001" s="160"/>
      <c r="WYV3001" s="571"/>
      <c r="WYW3001" s="125"/>
      <c r="WYX3001" s="470"/>
      <c r="WYY3001" s="449"/>
      <c r="WYZ3001" s="462"/>
      <c r="WZA3001" s="299"/>
      <c r="WZB3001" s="81"/>
      <c r="WZC3001" s="160"/>
      <c r="WZD3001" s="571"/>
      <c r="WZE3001" s="125"/>
      <c r="WZF3001" s="470"/>
      <c r="WZG3001" s="449"/>
      <c r="WZH3001" s="462"/>
      <c r="WZI3001" s="299"/>
      <c r="WZJ3001" s="81"/>
      <c r="WZK3001" s="160"/>
      <c r="WZL3001" s="571"/>
      <c r="WZM3001" s="125"/>
      <c r="WZN3001" s="470"/>
      <c r="WZO3001" s="449"/>
      <c r="WZP3001" s="462"/>
      <c r="WZQ3001" s="299"/>
      <c r="WZR3001" s="81"/>
      <c r="WZS3001" s="160"/>
      <c r="WZT3001" s="571"/>
      <c r="WZU3001" s="125"/>
      <c r="WZV3001" s="470"/>
      <c r="WZW3001" s="449"/>
      <c r="WZX3001" s="462"/>
      <c r="WZY3001" s="299"/>
      <c r="WZZ3001" s="81"/>
      <c r="XAA3001" s="160"/>
      <c r="XAB3001" s="571"/>
      <c r="XAC3001" s="125"/>
      <c r="XAD3001" s="470"/>
      <c r="XAE3001" s="449"/>
      <c r="XAF3001" s="462"/>
      <c r="XAG3001" s="299"/>
      <c r="XAH3001" s="81"/>
      <c r="XAI3001" s="160"/>
      <c r="XAJ3001" s="571"/>
      <c r="XAK3001" s="125"/>
      <c r="XAL3001" s="470"/>
      <c r="XAM3001" s="449"/>
      <c r="XAN3001" s="462"/>
      <c r="XAO3001" s="299"/>
      <c r="XAP3001" s="81"/>
      <c r="XAQ3001" s="160"/>
      <c r="XAR3001" s="571"/>
      <c r="XAS3001" s="125"/>
      <c r="XAT3001" s="470"/>
      <c r="XAU3001" s="449"/>
      <c r="XAV3001" s="462"/>
      <c r="XAW3001" s="299"/>
      <c r="XAX3001" s="81"/>
      <c r="XAY3001" s="160"/>
      <c r="XAZ3001" s="571"/>
      <c r="XBA3001" s="125"/>
      <c r="XBB3001" s="470"/>
      <c r="XBC3001" s="449"/>
      <c r="XBD3001" s="462"/>
      <c r="XBE3001" s="299"/>
      <c r="XBF3001" s="81"/>
      <c r="XBG3001" s="160"/>
      <c r="XBH3001" s="571"/>
      <c r="XBI3001" s="125"/>
      <c r="XBJ3001" s="470"/>
      <c r="XBK3001" s="449"/>
      <c r="XBL3001" s="462"/>
      <c r="XBM3001" s="299"/>
      <c r="XBN3001" s="81"/>
      <c r="XBO3001" s="160"/>
      <c r="XBP3001" s="571"/>
      <c r="XBQ3001" s="125"/>
      <c r="XBR3001" s="470"/>
      <c r="XBS3001" s="449"/>
      <c r="XBT3001" s="462"/>
      <c r="XBU3001" s="299"/>
      <c r="XBV3001" s="81"/>
      <c r="XBW3001" s="160"/>
      <c r="XBX3001" s="571"/>
      <c r="XBY3001" s="125"/>
      <c r="XBZ3001" s="470"/>
      <c r="XCA3001" s="449"/>
      <c r="XCB3001" s="462"/>
      <c r="XCC3001" s="299"/>
      <c r="XCD3001" s="81"/>
      <c r="XCE3001" s="160"/>
      <c r="XCF3001" s="571"/>
      <c r="XCG3001" s="125"/>
      <c r="XCH3001" s="470"/>
      <c r="XCI3001" s="449"/>
      <c r="XCJ3001" s="462"/>
      <c r="XCK3001" s="299"/>
      <c r="XCL3001" s="81"/>
      <c r="XCM3001" s="160"/>
      <c r="XCN3001" s="571"/>
      <c r="XCO3001" s="125"/>
      <c r="XCP3001" s="470"/>
      <c r="XCQ3001" s="449"/>
      <c r="XCR3001" s="462"/>
      <c r="XCS3001" s="299"/>
      <c r="XCT3001" s="81"/>
      <c r="XCU3001" s="160"/>
      <c r="XCV3001" s="571"/>
      <c r="XCW3001" s="125"/>
      <c r="XCX3001" s="470"/>
      <c r="XCY3001" s="449"/>
      <c r="XCZ3001" s="462"/>
      <c r="XDA3001" s="299"/>
      <c r="XDB3001" s="81"/>
      <c r="XDC3001" s="160"/>
      <c r="XDD3001" s="571"/>
      <c r="XDE3001" s="125"/>
      <c r="XDF3001" s="470"/>
      <c r="XDG3001" s="449"/>
      <c r="XDH3001" s="462"/>
      <c r="XDI3001" s="299"/>
      <c r="XDJ3001" s="81"/>
      <c r="XDK3001" s="160"/>
      <c r="XDL3001" s="571"/>
      <c r="XDM3001" s="125"/>
      <c r="XDN3001" s="470"/>
      <c r="XDO3001" s="449"/>
      <c r="XDP3001" s="462"/>
      <c r="XDQ3001" s="299"/>
      <c r="XDR3001" s="81"/>
      <c r="XDS3001" s="160"/>
      <c r="XDT3001" s="571"/>
      <c r="XDU3001" s="125"/>
      <c r="XDV3001" s="470"/>
      <c r="XDW3001" s="449"/>
      <c r="XDX3001" s="462"/>
      <c r="XDY3001" s="299"/>
      <c r="XDZ3001" s="81"/>
      <c r="XEA3001" s="160"/>
      <c r="XEB3001" s="571"/>
      <c r="XEC3001" s="125"/>
      <c r="XED3001" s="470"/>
      <c r="XEE3001" s="449"/>
      <c r="XEF3001" s="462"/>
      <c r="XEG3001" s="299"/>
      <c r="XEH3001" s="81"/>
      <c r="XEI3001" s="160"/>
      <c r="XEJ3001" s="571"/>
      <c r="XEK3001" s="125"/>
      <c r="XEL3001" s="470"/>
      <c r="XEM3001" s="449"/>
      <c r="XEN3001" s="462"/>
      <c r="XEO3001" s="299"/>
      <c r="XEP3001" s="81"/>
      <c r="XEQ3001" s="160"/>
      <c r="XER3001" s="571"/>
      <c r="XES3001" s="125"/>
      <c r="XET3001" s="470"/>
      <c r="XEU3001" s="449"/>
      <c r="XEV3001" s="462"/>
      <c r="XEW3001" s="299"/>
      <c r="XEX3001" s="81"/>
      <c r="XEY3001" s="160"/>
      <c r="XEZ3001" s="571"/>
      <c r="XFA3001" s="125"/>
      <c r="XFB3001" s="470"/>
      <c r="XFC3001" s="449"/>
      <c r="XFD3001" s="462"/>
    </row>
    <row r="3002" spans="1:16384" ht="15" customHeight="1">
      <c r="A3002" s="1253">
        <v>45119</v>
      </c>
      <c r="B3002" s="1209">
        <v>4305</v>
      </c>
      <c r="C3002" s="1210">
        <v>28500</v>
      </c>
      <c r="D3002" s="1230">
        <v>28105</v>
      </c>
      <c r="E3002" s="1212">
        <f t="shared" ref="E3002" si="1145">D3002-C3002</f>
        <v>-395</v>
      </c>
      <c r="F3002" s="1211">
        <f t="shared" ref="F3002" si="1146">C3002-C3001</f>
        <v>-250</v>
      </c>
      <c r="G3002" s="1236"/>
      <c r="H3002" s="1280"/>
      <c r="I3002" s="1291">
        <v>232500</v>
      </c>
      <c r="J3002" s="81"/>
      <c r="K3002" s="160"/>
      <c r="L3002" s="574"/>
      <c r="M3002" s="125"/>
      <c r="N3002" s="470"/>
      <c r="R3002" s="81"/>
      <c r="S3002" s="160"/>
      <c r="T3002" s="574"/>
      <c r="U3002" s="125"/>
      <c r="V3002" s="470"/>
      <c r="W3002" s="449"/>
      <c r="X3002" s="462"/>
      <c r="Y3002" s="299"/>
      <c r="Z3002" s="81"/>
      <c r="AA3002" s="160"/>
      <c r="AB3002" s="574"/>
      <c r="AC3002" s="125"/>
      <c r="AD3002" s="470"/>
      <c r="AE3002" s="449"/>
      <c r="AF3002" s="462"/>
      <c r="AG3002" s="299"/>
      <c r="AH3002" s="81"/>
      <c r="AI3002" s="160"/>
      <c r="AJ3002" s="574"/>
      <c r="AK3002" s="125"/>
      <c r="AL3002" s="470"/>
      <c r="AM3002" s="449"/>
      <c r="AN3002" s="462"/>
      <c r="AO3002" s="299"/>
      <c r="AP3002" s="81"/>
      <c r="AQ3002" s="160"/>
      <c r="AR3002" s="574"/>
      <c r="AS3002" s="125"/>
      <c r="AT3002" s="470"/>
      <c r="AU3002" s="449"/>
      <c r="AV3002" s="462"/>
      <c r="AW3002" s="299"/>
      <c r="AX3002" s="81"/>
      <c r="AY3002" s="160"/>
      <c r="AZ3002" s="574"/>
      <c r="BA3002" s="125"/>
      <c r="BB3002" s="470"/>
      <c r="BC3002" s="449"/>
      <c r="BD3002" s="462"/>
      <c r="BE3002" s="299"/>
      <c r="BF3002" s="81"/>
      <c r="BG3002" s="160"/>
      <c r="BH3002" s="574"/>
      <c r="BI3002" s="125"/>
      <c r="BJ3002" s="470"/>
      <c r="BK3002" s="449"/>
      <c r="BL3002" s="462"/>
      <c r="BM3002" s="299"/>
      <c r="BN3002" s="81"/>
      <c r="BO3002" s="160"/>
      <c r="BP3002" s="574"/>
      <c r="BQ3002" s="125"/>
      <c r="BR3002" s="470"/>
      <c r="BS3002" s="449"/>
      <c r="BT3002" s="462"/>
      <c r="BU3002" s="299"/>
      <c r="BV3002" s="81"/>
      <c r="BW3002" s="160"/>
      <c r="BX3002" s="574"/>
      <c r="BY3002" s="125"/>
      <c r="BZ3002" s="470"/>
      <c r="CA3002" s="449"/>
      <c r="CB3002" s="462"/>
      <c r="CC3002" s="299"/>
      <c r="CD3002" s="81"/>
      <c r="CE3002" s="160"/>
      <c r="CF3002" s="574"/>
      <c r="CG3002" s="125"/>
      <c r="CH3002" s="470"/>
      <c r="CI3002" s="449"/>
      <c r="CJ3002" s="462"/>
      <c r="CK3002" s="299"/>
      <c r="CL3002" s="81"/>
      <c r="CM3002" s="160"/>
      <c r="CN3002" s="574"/>
      <c r="CO3002" s="125"/>
      <c r="CP3002" s="470"/>
      <c r="CQ3002" s="449"/>
      <c r="CR3002" s="462"/>
      <c r="CS3002" s="299"/>
      <c r="CT3002" s="81"/>
      <c r="CU3002" s="160"/>
      <c r="CV3002" s="574"/>
      <c r="CW3002" s="125"/>
      <c r="CX3002" s="470"/>
      <c r="CY3002" s="449"/>
      <c r="CZ3002" s="462"/>
      <c r="DA3002" s="299"/>
      <c r="DB3002" s="81"/>
      <c r="DC3002" s="160"/>
      <c r="DD3002" s="574"/>
      <c r="DE3002" s="125"/>
      <c r="DF3002" s="470"/>
      <c r="DG3002" s="449"/>
      <c r="DH3002" s="462"/>
      <c r="DI3002" s="299"/>
      <c r="DJ3002" s="81"/>
      <c r="DK3002" s="160"/>
      <c r="DL3002" s="574"/>
      <c r="DM3002" s="125"/>
      <c r="DN3002" s="470"/>
      <c r="DO3002" s="449"/>
      <c r="DP3002" s="462"/>
      <c r="DQ3002" s="299"/>
      <c r="DR3002" s="81"/>
      <c r="DS3002" s="160"/>
      <c r="DT3002" s="574"/>
      <c r="DU3002" s="125"/>
      <c r="DV3002" s="470"/>
      <c r="DW3002" s="449"/>
      <c r="DX3002" s="462"/>
      <c r="DY3002" s="299"/>
      <c r="DZ3002" s="81"/>
      <c r="EA3002" s="160"/>
      <c r="EB3002" s="574"/>
      <c r="EC3002" s="125"/>
      <c r="ED3002" s="470"/>
      <c r="EE3002" s="449"/>
      <c r="EF3002" s="462"/>
      <c r="EG3002" s="299"/>
      <c r="EH3002" s="81"/>
      <c r="EI3002" s="160"/>
      <c r="EJ3002" s="574"/>
      <c r="EK3002" s="125"/>
      <c r="EL3002" s="470"/>
      <c r="EM3002" s="449"/>
      <c r="EN3002" s="462"/>
      <c r="EO3002" s="299"/>
      <c r="EP3002" s="81"/>
      <c r="EQ3002" s="160"/>
      <c r="ER3002" s="574"/>
      <c r="ES3002" s="125"/>
      <c r="ET3002" s="470"/>
      <c r="EU3002" s="449"/>
      <c r="EV3002" s="462"/>
      <c r="EW3002" s="299"/>
      <c r="EX3002" s="81"/>
      <c r="EY3002" s="160"/>
      <c r="EZ3002" s="574"/>
      <c r="FA3002" s="125"/>
      <c r="FB3002" s="470"/>
      <c r="FC3002" s="449"/>
      <c r="FD3002" s="462"/>
      <c r="FE3002" s="299"/>
      <c r="FF3002" s="81"/>
      <c r="FG3002" s="160"/>
      <c r="FH3002" s="574"/>
      <c r="FI3002" s="125"/>
      <c r="FJ3002" s="470"/>
      <c r="FK3002" s="449"/>
      <c r="FL3002" s="462"/>
      <c r="FM3002" s="299"/>
      <c r="FN3002" s="81"/>
      <c r="FO3002" s="160"/>
      <c r="FP3002" s="574"/>
      <c r="FQ3002" s="125"/>
      <c r="FR3002" s="470"/>
      <c r="FS3002" s="449"/>
      <c r="FT3002" s="462"/>
      <c r="FU3002" s="299"/>
      <c r="FV3002" s="81"/>
      <c r="FW3002" s="160"/>
      <c r="FX3002" s="574"/>
      <c r="FY3002" s="125"/>
      <c r="FZ3002" s="470"/>
      <c r="GA3002" s="449"/>
      <c r="GB3002" s="462"/>
      <c r="GC3002" s="299"/>
      <c r="GD3002" s="81"/>
      <c r="GE3002" s="160"/>
      <c r="GF3002" s="574"/>
      <c r="GG3002" s="125"/>
      <c r="GH3002" s="470"/>
      <c r="GI3002" s="449"/>
      <c r="GJ3002" s="462"/>
      <c r="GK3002" s="299"/>
      <c r="GL3002" s="81"/>
      <c r="GM3002" s="160"/>
      <c r="GN3002" s="574"/>
      <c r="GO3002" s="125"/>
      <c r="GP3002" s="470"/>
      <c r="GQ3002" s="449"/>
      <c r="GR3002" s="462"/>
      <c r="GS3002" s="299"/>
      <c r="GT3002" s="81"/>
      <c r="GU3002" s="160"/>
      <c r="GV3002" s="574"/>
      <c r="GW3002" s="125"/>
      <c r="GX3002" s="470"/>
      <c r="GY3002" s="449"/>
      <c r="GZ3002" s="462"/>
      <c r="HA3002" s="299"/>
      <c r="HB3002" s="81"/>
      <c r="HC3002" s="160"/>
      <c r="HD3002" s="574"/>
      <c r="HE3002" s="125"/>
      <c r="HF3002" s="470"/>
      <c r="HG3002" s="449"/>
      <c r="HH3002" s="462"/>
      <c r="HI3002" s="299"/>
      <c r="HJ3002" s="81"/>
      <c r="HK3002" s="160"/>
      <c r="HL3002" s="574"/>
      <c r="HM3002" s="125"/>
      <c r="HN3002" s="470"/>
      <c r="HO3002" s="449"/>
      <c r="HP3002" s="462"/>
      <c r="HQ3002" s="299"/>
      <c r="HR3002" s="81"/>
      <c r="HS3002" s="160"/>
      <c r="HT3002" s="574"/>
      <c r="HU3002" s="125"/>
      <c r="HV3002" s="470"/>
      <c r="HW3002" s="449"/>
      <c r="HX3002" s="462"/>
      <c r="HY3002" s="299"/>
      <c r="HZ3002" s="81"/>
      <c r="IA3002" s="160"/>
      <c r="IB3002" s="574"/>
      <c r="IC3002" s="125"/>
      <c r="ID3002" s="470"/>
      <c r="IE3002" s="449"/>
      <c r="IF3002" s="462"/>
      <c r="IG3002" s="299"/>
      <c r="IH3002" s="81"/>
      <c r="II3002" s="160"/>
      <c r="IJ3002" s="574"/>
      <c r="IK3002" s="125"/>
      <c r="IL3002" s="470"/>
      <c r="IM3002" s="449"/>
      <c r="IN3002" s="462"/>
      <c r="IO3002" s="299"/>
      <c r="IP3002" s="81"/>
      <c r="IQ3002" s="160"/>
      <c r="IR3002" s="574"/>
      <c r="IS3002" s="125"/>
      <c r="IT3002" s="470"/>
      <c r="IU3002" s="449"/>
      <c r="IV3002" s="462"/>
      <c r="IW3002" s="299"/>
      <c r="IX3002" s="81"/>
      <c r="IY3002" s="160"/>
      <c r="IZ3002" s="574"/>
      <c r="JA3002" s="125"/>
      <c r="JB3002" s="470"/>
      <c r="JC3002" s="449"/>
      <c r="JD3002" s="462"/>
      <c r="JE3002" s="299"/>
      <c r="JF3002" s="81"/>
      <c r="JG3002" s="160"/>
      <c r="JH3002" s="574"/>
      <c r="JI3002" s="125"/>
      <c r="JJ3002" s="470"/>
      <c r="JK3002" s="449"/>
      <c r="JL3002" s="462"/>
      <c r="JM3002" s="299"/>
      <c r="JN3002" s="81"/>
      <c r="JO3002" s="160"/>
      <c r="JP3002" s="574"/>
      <c r="JQ3002" s="125"/>
      <c r="JR3002" s="470"/>
      <c r="JS3002" s="449"/>
      <c r="JT3002" s="462"/>
      <c r="JU3002" s="299"/>
      <c r="JV3002" s="81"/>
      <c r="JW3002" s="160"/>
      <c r="JX3002" s="574"/>
      <c r="JY3002" s="125"/>
      <c r="JZ3002" s="470"/>
      <c r="KA3002" s="449"/>
      <c r="KB3002" s="462"/>
      <c r="KC3002" s="299"/>
      <c r="KD3002" s="81"/>
      <c r="KE3002" s="160"/>
      <c r="KF3002" s="574"/>
      <c r="KG3002" s="125"/>
      <c r="KH3002" s="470"/>
      <c r="KI3002" s="449"/>
      <c r="KJ3002" s="462"/>
      <c r="KK3002" s="299"/>
      <c r="KL3002" s="81"/>
      <c r="KM3002" s="160"/>
      <c r="KN3002" s="574"/>
      <c r="KO3002" s="125"/>
      <c r="KP3002" s="470"/>
      <c r="KQ3002" s="449"/>
      <c r="KR3002" s="462"/>
      <c r="KS3002" s="299"/>
      <c r="KT3002" s="81"/>
      <c r="KU3002" s="160"/>
      <c r="KV3002" s="574"/>
      <c r="KW3002" s="125"/>
      <c r="KX3002" s="470"/>
      <c r="KY3002" s="449"/>
      <c r="KZ3002" s="462"/>
      <c r="LA3002" s="299"/>
      <c r="LB3002" s="81"/>
      <c r="LC3002" s="160"/>
      <c r="LD3002" s="574"/>
      <c r="LE3002" s="125"/>
      <c r="LF3002" s="470"/>
      <c r="LG3002" s="449"/>
      <c r="LH3002" s="462"/>
      <c r="LI3002" s="299"/>
      <c r="LJ3002" s="81"/>
      <c r="LK3002" s="160"/>
      <c r="LL3002" s="574"/>
      <c r="LM3002" s="125"/>
      <c r="LN3002" s="470"/>
      <c r="LO3002" s="449"/>
      <c r="LP3002" s="462"/>
      <c r="LQ3002" s="299"/>
      <c r="LR3002" s="81"/>
      <c r="LS3002" s="160"/>
      <c r="LT3002" s="574"/>
      <c r="LU3002" s="125"/>
      <c r="LV3002" s="470"/>
      <c r="LW3002" s="449"/>
      <c r="LX3002" s="462"/>
      <c r="LY3002" s="299"/>
      <c r="LZ3002" s="81"/>
      <c r="MA3002" s="160"/>
      <c r="MB3002" s="574"/>
      <c r="MC3002" s="125"/>
      <c r="MD3002" s="470"/>
      <c r="ME3002" s="449"/>
      <c r="MF3002" s="462"/>
      <c r="MG3002" s="299"/>
      <c r="MH3002" s="81"/>
      <c r="MI3002" s="160"/>
      <c r="MJ3002" s="574"/>
      <c r="MK3002" s="125"/>
      <c r="ML3002" s="470"/>
      <c r="MM3002" s="449"/>
      <c r="MN3002" s="462"/>
      <c r="MO3002" s="299"/>
      <c r="MP3002" s="81"/>
      <c r="MQ3002" s="160"/>
      <c r="MR3002" s="574"/>
      <c r="MS3002" s="125"/>
      <c r="MT3002" s="470"/>
      <c r="MU3002" s="449"/>
      <c r="MV3002" s="462"/>
      <c r="MW3002" s="299"/>
      <c r="MX3002" s="81"/>
      <c r="MY3002" s="160"/>
      <c r="MZ3002" s="574"/>
      <c r="NA3002" s="125"/>
      <c r="NB3002" s="470"/>
      <c r="NC3002" s="449"/>
      <c r="ND3002" s="462"/>
      <c r="NE3002" s="299"/>
      <c r="NF3002" s="81"/>
      <c r="NG3002" s="160"/>
      <c r="NH3002" s="574"/>
      <c r="NI3002" s="125"/>
      <c r="NJ3002" s="470"/>
      <c r="NK3002" s="449"/>
      <c r="NL3002" s="462"/>
      <c r="NM3002" s="299"/>
      <c r="NN3002" s="81"/>
      <c r="NO3002" s="160"/>
      <c r="NP3002" s="574"/>
      <c r="NQ3002" s="125"/>
      <c r="NR3002" s="470"/>
      <c r="NS3002" s="449"/>
      <c r="NT3002" s="462"/>
      <c r="NU3002" s="299"/>
      <c r="NV3002" s="81"/>
      <c r="NW3002" s="160"/>
      <c r="NX3002" s="574"/>
      <c r="NY3002" s="125"/>
      <c r="NZ3002" s="470"/>
      <c r="OA3002" s="449"/>
      <c r="OB3002" s="462"/>
      <c r="OC3002" s="299"/>
      <c r="OD3002" s="81"/>
      <c r="OE3002" s="160"/>
      <c r="OF3002" s="574"/>
      <c r="OG3002" s="125"/>
      <c r="OH3002" s="470"/>
      <c r="OI3002" s="449"/>
      <c r="OJ3002" s="462"/>
      <c r="OK3002" s="299"/>
      <c r="OL3002" s="81"/>
      <c r="OM3002" s="160"/>
      <c r="ON3002" s="574"/>
      <c r="OO3002" s="125"/>
      <c r="OP3002" s="470"/>
      <c r="OQ3002" s="449"/>
      <c r="OR3002" s="462"/>
      <c r="OS3002" s="299"/>
      <c r="OT3002" s="81"/>
      <c r="OU3002" s="160"/>
      <c r="OV3002" s="574"/>
      <c r="OW3002" s="125"/>
      <c r="OX3002" s="470"/>
      <c r="OY3002" s="449"/>
      <c r="OZ3002" s="462"/>
      <c r="PA3002" s="299"/>
      <c r="PB3002" s="81"/>
      <c r="PC3002" s="160"/>
      <c r="PD3002" s="574"/>
      <c r="PE3002" s="125"/>
      <c r="PF3002" s="470"/>
      <c r="PG3002" s="449"/>
      <c r="PH3002" s="462"/>
      <c r="PI3002" s="299"/>
      <c r="PJ3002" s="81"/>
      <c r="PK3002" s="160"/>
      <c r="PL3002" s="574"/>
      <c r="PM3002" s="125"/>
      <c r="PN3002" s="470"/>
      <c r="PO3002" s="449"/>
      <c r="PP3002" s="462"/>
      <c r="PQ3002" s="299"/>
      <c r="PR3002" s="81"/>
      <c r="PS3002" s="160"/>
      <c r="PT3002" s="574"/>
      <c r="PU3002" s="125"/>
      <c r="PV3002" s="470"/>
      <c r="PW3002" s="449"/>
      <c r="PX3002" s="462"/>
      <c r="PY3002" s="299"/>
      <c r="PZ3002" s="81"/>
      <c r="QA3002" s="160"/>
      <c r="QB3002" s="574"/>
      <c r="QC3002" s="125"/>
      <c r="QD3002" s="470"/>
      <c r="QE3002" s="449"/>
      <c r="QF3002" s="462"/>
      <c r="QG3002" s="299"/>
      <c r="QH3002" s="81"/>
      <c r="QI3002" s="160"/>
      <c r="QJ3002" s="574"/>
      <c r="QK3002" s="125"/>
      <c r="QL3002" s="470"/>
      <c r="QM3002" s="449"/>
      <c r="QN3002" s="462"/>
      <c r="QO3002" s="299"/>
      <c r="QP3002" s="81"/>
      <c r="QQ3002" s="160"/>
      <c r="QR3002" s="574"/>
      <c r="QS3002" s="125"/>
      <c r="QT3002" s="470"/>
      <c r="QU3002" s="449"/>
      <c r="QV3002" s="462"/>
      <c r="QW3002" s="299"/>
      <c r="QX3002" s="81"/>
      <c r="QY3002" s="160"/>
      <c r="QZ3002" s="574"/>
      <c r="RA3002" s="125"/>
      <c r="RB3002" s="470"/>
      <c r="RC3002" s="449"/>
      <c r="RD3002" s="462"/>
      <c r="RE3002" s="299"/>
      <c r="RF3002" s="81"/>
      <c r="RG3002" s="160"/>
      <c r="RH3002" s="574"/>
      <c r="RI3002" s="125"/>
      <c r="RJ3002" s="470"/>
      <c r="RK3002" s="449"/>
      <c r="RL3002" s="462"/>
      <c r="RM3002" s="299"/>
      <c r="RN3002" s="81"/>
      <c r="RO3002" s="160"/>
      <c r="RP3002" s="574"/>
      <c r="RQ3002" s="125"/>
      <c r="RR3002" s="470"/>
      <c r="RS3002" s="449"/>
      <c r="RT3002" s="462"/>
      <c r="RU3002" s="299"/>
      <c r="RV3002" s="81"/>
      <c r="RW3002" s="160"/>
      <c r="RX3002" s="574"/>
      <c r="RY3002" s="125"/>
      <c r="RZ3002" s="470"/>
      <c r="SA3002" s="449"/>
      <c r="SB3002" s="462"/>
      <c r="SC3002" s="299"/>
      <c r="SD3002" s="81"/>
      <c r="SE3002" s="160"/>
      <c r="SF3002" s="574"/>
      <c r="SG3002" s="125"/>
      <c r="SH3002" s="470"/>
      <c r="SI3002" s="449"/>
      <c r="SJ3002" s="462"/>
      <c r="SK3002" s="299"/>
      <c r="SL3002" s="81"/>
      <c r="SM3002" s="160"/>
      <c r="SN3002" s="574"/>
      <c r="SO3002" s="125"/>
      <c r="SP3002" s="470"/>
      <c r="SQ3002" s="449"/>
      <c r="SR3002" s="462"/>
      <c r="SS3002" s="299"/>
      <c r="ST3002" s="81"/>
      <c r="SU3002" s="160"/>
      <c r="SV3002" s="574"/>
      <c r="SW3002" s="125"/>
      <c r="SX3002" s="470"/>
      <c r="SY3002" s="449"/>
      <c r="SZ3002" s="462"/>
      <c r="TA3002" s="299"/>
      <c r="TB3002" s="81"/>
      <c r="TC3002" s="160"/>
      <c r="TD3002" s="574"/>
      <c r="TE3002" s="125"/>
      <c r="TF3002" s="470"/>
      <c r="TG3002" s="449"/>
      <c r="TH3002" s="462"/>
      <c r="TI3002" s="299"/>
      <c r="TJ3002" s="81"/>
      <c r="TK3002" s="160"/>
      <c r="TL3002" s="574"/>
      <c r="TM3002" s="125"/>
      <c r="TN3002" s="470"/>
      <c r="TO3002" s="449"/>
      <c r="TP3002" s="462"/>
      <c r="TQ3002" s="299"/>
      <c r="TR3002" s="81"/>
      <c r="TS3002" s="160"/>
      <c r="TT3002" s="574"/>
      <c r="TU3002" s="125"/>
      <c r="TV3002" s="470"/>
      <c r="TW3002" s="449"/>
      <c r="TX3002" s="462"/>
      <c r="TY3002" s="299"/>
      <c r="TZ3002" s="81"/>
      <c r="UA3002" s="160"/>
      <c r="UB3002" s="574"/>
      <c r="UC3002" s="125"/>
      <c r="UD3002" s="470"/>
      <c r="UE3002" s="449"/>
      <c r="UF3002" s="462"/>
      <c r="UG3002" s="299"/>
      <c r="UH3002" s="81"/>
      <c r="UI3002" s="160"/>
      <c r="UJ3002" s="574"/>
      <c r="UK3002" s="125"/>
      <c r="UL3002" s="470"/>
      <c r="UM3002" s="449"/>
      <c r="UN3002" s="462"/>
      <c r="UO3002" s="299"/>
      <c r="UP3002" s="81"/>
      <c r="UQ3002" s="160"/>
      <c r="UR3002" s="574"/>
      <c r="US3002" s="125"/>
      <c r="UT3002" s="470"/>
      <c r="UU3002" s="449"/>
      <c r="UV3002" s="462"/>
      <c r="UW3002" s="299"/>
      <c r="UX3002" s="81"/>
      <c r="UY3002" s="160"/>
      <c r="UZ3002" s="574"/>
      <c r="VA3002" s="125"/>
      <c r="VB3002" s="470"/>
      <c r="VC3002" s="449"/>
      <c r="VD3002" s="462"/>
      <c r="VE3002" s="299"/>
      <c r="VF3002" s="81"/>
      <c r="VG3002" s="160"/>
      <c r="VH3002" s="574"/>
      <c r="VI3002" s="125"/>
      <c r="VJ3002" s="470"/>
      <c r="VK3002" s="449"/>
      <c r="VL3002" s="462"/>
      <c r="VM3002" s="299"/>
      <c r="VN3002" s="81"/>
      <c r="VO3002" s="160"/>
      <c r="VP3002" s="574"/>
      <c r="VQ3002" s="125"/>
      <c r="VR3002" s="470"/>
      <c r="VS3002" s="449"/>
      <c r="VT3002" s="462"/>
      <c r="VU3002" s="299"/>
      <c r="VV3002" s="81"/>
      <c r="VW3002" s="160"/>
      <c r="VX3002" s="574"/>
      <c r="VY3002" s="125"/>
      <c r="VZ3002" s="470"/>
      <c r="WA3002" s="449"/>
      <c r="WB3002" s="462"/>
      <c r="WC3002" s="299"/>
      <c r="WD3002" s="81"/>
      <c r="WE3002" s="160"/>
      <c r="WF3002" s="574"/>
      <c r="WG3002" s="125"/>
      <c r="WH3002" s="470"/>
      <c r="WI3002" s="449"/>
      <c r="WJ3002" s="462"/>
      <c r="WK3002" s="299"/>
      <c r="WL3002" s="81"/>
      <c r="WM3002" s="160"/>
      <c r="WN3002" s="574"/>
      <c r="WO3002" s="125"/>
      <c r="WP3002" s="470"/>
      <c r="WQ3002" s="449"/>
      <c r="WR3002" s="462"/>
      <c r="WS3002" s="299"/>
      <c r="WT3002" s="81"/>
      <c r="WU3002" s="160"/>
      <c r="WV3002" s="574"/>
      <c r="WW3002" s="125"/>
      <c r="WX3002" s="470"/>
      <c r="WY3002" s="449"/>
      <c r="WZ3002" s="462"/>
      <c r="XA3002" s="299"/>
      <c r="XB3002" s="81"/>
      <c r="XC3002" s="160"/>
      <c r="XD3002" s="574"/>
      <c r="XE3002" s="125"/>
      <c r="XF3002" s="470"/>
      <c r="XG3002" s="449"/>
      <c r="XH3002" s="462"/>
      <c r="XI3002" s="299"/>
      <c r="XJ3002" s="81"/>
      <c r="XK3002" s="160"/>
      <c r="XL3002" s="574"/>
      <c r="XM3002" s="125"/>
      <c r="XN3002" s="470"/>
      <c r="XO3002" s="449"/>
      <c r="XP3002" s="462"/>
      <c r="XQ3002" s="299"/>
      <c r="XR3002" s="81"/>
      <c r="XS3002" s="160"/>
      <c r="XT3002" s="574"/>
      <c r="XU3002" s="125"/>
      <c r="XV3002" s="470"/>
      <c r="XW3002" s="449"/>
      <c r="XX3002" s="462"/>
      <c r="XY3002" s="299"/>
      <c r="XZ3002" s="81"/>
      <c r="YA3002" s="160"/>
      <c r="YB3002" s="574"/>
      <c r="YC3002" s="125"/>
      <c r="YD3002" s="470"/>
      <c r="YE3002" s="449"/>
      <c r="YF3002" s="462"/>
      <c r="YG3002" s="299"/>
      <c r="YH3002" s="81"/>
      <c r="YI3002" s="160"/>
      <c r="YJ3002" s="574"/>
      <c r="YK3002" s="125"/>
      <c r="YL3002" s="470"/>
      <c r="YM3002" s="449"/>
      <c r="YN3002" s="462"/>
      <c r="YO3002" s="299"/>
      <c r="YP3002" s="81"/>
      <c r="YQ3002" s="160"/>
      <c r="YR3002" s="574"/>
      <c r="YS3002" s="125"/>
      <c r="YT3002" s="470"/>
      <c r="YU3002" s="449"/>
      <c r="YV3002" s="462"/>
      <c r="YW3002" s="299"/>
      <c r="YX3002" s="81"/>
      <c r="YY3002" s="160"/>
      <c r="YZ3002" s="574"/>
      <c r="ZA3002" s="125"/>
      <c r="ZB3002" s="470"/>
      <c r="ZC3002" s="449"/>
      <c r="ZD3002" s="462"/>
      <c r="ZE3002" s="299"/>
      <c r="ZF3002" s="81"/>
      <c r="ZG3002" s="160"/>
      <c r="ZH3002" s="574"/>
      <c r="ZI3002" s="125"/>
      <c r="ZJ3002" s="470"/>
      <c r="ZK3002" s="449"/>
      <c r="ZL3002" s="462"/>
      <c r="ZM3002" s="299"/>
      <c r="ZN3002" s="81"/>
      <c r="ZO3002" s="160"/>
      <c r="ZP3002" s="574"/>
      <c r="ZQ3002" s="125"/>
      <c r="ZR3002" s="470"/>
      <c r="ZS3002" s="449"/>
      <c r="ZT3002" s="462"/>
      <c r="ZU3002" s="299"/>
      <c r="ZV3002" s="81"/>
      <c r="ZW3002" s="160"/>
      <c r="ZX3002" s="574"/>
      <c r="ZY3002" s="125"/>
      <c r="ZZ3002" s="470"/>
      <c r="AAA3002" s="449"/>
      <c r="AAB3002" s="462"/>
      <c r="AAC3002" s="299"/>
      <c r="AAD3002" s="81"/>
      <c r="AAE3002" s="160"/>
      <c r="AAF3002" s="574"/>
      <c r="AAG3002" s="125"/>
      <c r="AAH3002" s="470"/>
      <c r="AAI3002" s="449"/>
      <c r="AAJ3002" s="462"/>
      <c r="AAK3002" s="299"/>
      <c r="AAL3002" s="81"/>
      <c r="AAM3002" s="160"/>
      <c r="AAN3002" s="574"/>
      <c r="AAO3002" s="125"/>
      <c r="AAP3002" s="470"/>
      <c r="AAQ3002" s="449"/>
      <c r="AAR3002" s="462"/>
      <c r="AAS3002" s="299"/>
      <c r="AAT3002" s="81"/>
      <c r="AAU3002" s="160"/>
      <c r="AAV3002" s="574"/>
      <c r="AAW3002" s="125"/>
      <c r="AAX3002" s="470"/>
      <c r="AAY3002" s="449"/>
      <c r="AAZ3002" s="462"/>
      <c r="ABA3002" s="299"/>
      <c r="ABB3002" s="81"/>
      <c r="ABC3002" s="160"/>
      <c r="ABD3002" s="574"/>
      <c r="ABE3002" s="125"/>
      <c r="ABF3002" s="470"/>
      <c r="ABG3002" s="449"/>
      <c r="ABH3002" s="462"/>
      <c r="ABI3002" s="299"/>
      <c r="ABJ3002" s="81"/>
      <c r="ABK3002" s="160"/>
      <c r="ABL3002" s="574"/>
      <c r="ABM3002" s="125"/>
      <c r="ABN3002" s="470"/>
      <c r="ABO3002" s="449"/>
      <c r="ABP3002" s="462"/>
      <c r="ABQ3002" s="299"/>
      <c r="ABR3002" s="81"/>
      <c r="ABS3002" s="160"/>
      <c r="ABT3002" s="574"/>
      <c r="ABU3002" s="125"/>
      <c r="ABV3002" s="470"/>
      <c r="ABW3002" s="449"/>
      <c r="ABX3002" s="462"/>
      <c r="ABY3002" s="299"/>
      <c r="ABZ3002" s="81"/>
      <c r="ACA3002" s="160"/>
      <c r="ACB3002" s="574"/>
      <c r="ACC3002" s="125"/>
      <c r="ACD3002" s="470"/>
      <c r="ACE3002" s="449"/>
      <c r="ACF3002" s="462"/>
      <c r="ACG3002" s="299"/>
      <c r="ACH3002" s="81"/>
      <c r="ACI3002" s="160"/>
      <c r="ACJ3002" s="574"/>
      <c r="ACK3002" s="125"/>
      <c r="ACL3002" s="470"/>
      <c r="ACM3002" s="449"/>
      <c r="ACN3002" s="462"/>
      <c r="ACO3002" s="299"/>
      <c r="ACP3002" s="81"/>
      <c r="ACQ3002" s="160"/>
      <c r="ACR3002" s="574"/>
      <c r="ACS3002" s="125"/>
      <c r="ACT3002" s="470"/>
      <c r="ACU3002" s="449"/>
      <c r="ACV3002" s="462"/>
      <c r="ACW3002" s="299"/>
      <c r="ACX3002" s="81"/>
      <c r="ACY3002" s="160"/>
      <c r="ACZ3002" s="574"/>
      <c r="ADA3002" s="125"/>
      <c r="ADB3002" s="470"/>
      <c r="ADC3002" s="449"/>
      <c r="ADD3002" s="462"/>
      <c r="ADE3002" s="299"/>
      <c r="ADF3002" s="81"/>
      <c r="ADG3002" s="160"/>
      <c r="ADH3002" s="574"/>
      <c r="ADI3002" s="125"/>
      <c r="ADJ3002" s="470"/>
      <c r="ADK3002" s="449"/>
      <c r="ADL3002" s="462"/>
      <c r="ADM3002" s="299"/>
      <c r="ADN3002" s="81"/>
      <c r="ADO3002" s="160"/>
      <c r="ADP3002" s="574"/>
      <c r="ADQ3002" s="125"/>
      <c r="ADR3002" s="470"/>
      <c r="ADS3002" s="449"/>
      <c r="ADT3002" s="462"/>
      <c r="ADU3002" s="299"/>
      <c r="ADV3002" s="81"/>
      <c r="ADW3002" s="160"/>
      <c r="ADX3002" s="574"/>
      <c r="ADY3002" s="125"/>
      <c r="ADZ3002" s="470"/>
      <c r="AEA3002" s="449"/>
      <c r="AEB3002" s="462"/>
      <c r="AEC3002" s="299"/>
      <c r="AED3002" s="81"/>
      <c r="AEE3002" s="160"/>
      <c r="AEF3002" s="574"/>
      <c r="AEG3002" s="125"/>
      <c r="AEH3002" s="470"/>
      <c r="AEI3002" s="449"/>
      <c r="AEJ3002" s="462"/>
      <c r="AEK3002" s="299"/>
      <c r="AEL3002" s="81"/>
      <c r="AEM3002" s="160"/>
      <c r="AEN3002" s="574"/>
      <c r="AEO3002" s="125"/>
      <c r="AEP3002" s="470"/>
      <c r="AEQ3002" s="449"/>
      <c r="AER3002" s="462"/>
      <c r="AES3002" s="299"/>
      <c r="AET3002" s="81"/>
      <c r="AEU3002" s="160"/>
      <c r="AEV3002" s="574"/>
      <c r="AEW3002" s="125"/>
      <c r="AEX3002" s="470"/>
      <c r="AEY3002" s="449"/>
      <c r="AEZ3002" s="462"/>
      <c r="AFA3002" s="299"/>
      <c r="AFB3002" s="81"/>
      <c r="AFC3002" s="160"/>
      <c r="AFD3002" s="574"/>
      <c r="AFE3002" s="125"/>
      <c r="AFF3002" s="470"/>
      <c r="AFG3002" s="449"/>
      <c r="AFH3002" s="462"/>
      <c r="AFI3002" s="299"/>
      <c r="AFJ3002" s="81"/>
      <c r="AFK3002" s="160"/>
      <c r="AFL3002" s="574"/>
      <c r="AFM3002" s="125"/>
      <c r="AFN3002" s="470"/>
      <c r="AFO3002" s="449"/>
      <c r="AFP3002" s="462"/>
      <c r="AFQ3002" s="299"/>
      <c r="AFR3002" s="81"/>
      <c r="AFS3002" s="160"/>
      <c r="AFT3002" s="574"/>
      <c r="AFU3002" s="125"/>
      <c r="AFV3002" s="470"/>
      <c r="AFW3002" s="449"/>
      <c r="AFX3002" s="462"/>
      <c r="AFY3002" s="299"/>
      <c r="AFZ3002" s="81"/>
      <c r="AGA3002" s="160"/>
      <c r="AGB3002" s="574"/>
      <c r="AGC3002" s="125"/>
      <c r="AGD3002" s="470"/>
      <c r="AGE3002" s="449"/>
      <c r="AGF3002" s="462"/>
      <c r="AGG3002" s="299"/>
      <c r="AGH3002" s="81"/>
      <c r="AGI3002" s="160"/>
      <c r="AGJ3002" s="574"/>
      <c r="AGK3002" s="125"/>
      <c r="AGL3002" s="470"/>
      <c r="AGM3002" s="449"/>
      <c r="AGN3002" s="462"/>
      <c r="AGO3002" s="299"/>
      <c r="AGP3002" s="81"/>
      <c r="AGQ3002" s="160"/>
      <c r="AGR3002" s="574"/>
      <c r="AGS3002" s="125"/>
      <c r="AGT3002" s="470"/>
      <c r="AGU3002" s="449"/>
      <c r="AGV3002" s="462"/>
      <c r="AGW3002" s="299"/>
      <c r="AGX3002" s="81"/>
      <c r="AGY3002" s="160"/>
      <c r="AGZ3002" s="574"/>
      <c r="AHA3002" s="125"/>
      <c r="AHB3002" s="470"/>
      <c r="AHC3002" s="449"/>
      <c r="AHD3002" s="462"/>
      <c r="AHE3002" s="299"/>
      <c r="AHF3002" s="81"/>
      <c r="AHG3002" s="160"/>
      <c r="AHH3002" s="574"/>
      <c r="AHI3002" s="125"/>
      <c r="AHJ3002" s="470"/>
      <c r="AHK3002" s="449"/>
      <c r="AHL3002" s="462"/>
      <c r="AHM3002" s="299"/>
      <c r="AHN3002" s="81"/>
      <c r="AHO3002" s="160"/>
      <c r="AHP3002" s="574"/>
      <c r="AHQ3002" s="125"/>
      <c r="AHR3002" s="470"/>
      <c r="AHS3002" s="449"/>
      <c r="AHT3002" s="462"/>
      <c r="AHU3002" s="299"/>
      <c r="AHV3002" s="81"/>
      <c r="AHW3002" s="160"/>
      <c r="AHX3002" s="574"/>
      <c r="AHY3002" s="125"/>
      <c r="AHZ3002" s="470"/>
      <c r="AIA3002" s="449"/>
      <c r="AIB3002" s="462"/>
      <c r="AIC3002" s="299"/>
      <c r="AID3002" s="81"/>
      <c r="AIE3002" s="160"/>
      <c r="AIF3002" s="574"/>
      <c r="AIG3002" s="125"/>
      <c r="AIH3002" s="470"/>
      <c r="AII3002" s="449"/>
      <c r="AIJ3002" s="462"/>
      <c r="AIK3002" s="299"/>
      <c r="AIL3002" s="81"/>
      <c r="AIM3002" s="160"/>
      <c r="AIN3002" s="574"/>
      <c r="AIO3002" s="125"/>
      <c r="AIP3002" s="470"/>
      <c r="AIQ3002" s="449"/>
      <c r="AIR3002" s="462"/>
      <c r="AIS3002" s="299"/>
      <c r="AIT3002" s="81"/>
      <c r="AIU3002" s="160"/>
      <c r="AIV3002" s="574"/>
      <c r="AIW3002" s="125"/>
      <c r="AIX3002" s="470"/>
      <c r="AIY3002" s="449"/>
      <c r="AIZ3002" s="462"/>
      <c r="AJA3002" s="299"/>
      <c r="AJB3002" s="81"/>
      <c r="AJC3002" s="160"/>
      <c r="AJD3002" s="574"/>
      <c r="AJE3002" s="125"/>
      <c r="AJF3002" s="470"/>
      <c r="AJG3002" s="449"/>
      <c r="AJH3002" s="462"/>
      <c r="AJI3002" s="299"/>
      <c r="AJJ3002" s="81"/>
      <c r="AJK3002" s="160"/>
      <c r="AJL3002" s="574"/>
      <c r="AJM3002" s="125"/>
      <c r="AJN3002" s="470"/>
      <c r="AJO3002" s="449"/>
      <c r="AJP3002" s="462"/>
      <c r="AJQ3002" s="299"/>
      <c r="AJR3002" s="81"/>
      <c r="AJS3002" s="160"/>
      <c r="AJT3002" s="574"/>
      <c r="AJU3002" s="125"/>
      <c r="AJV3002" s="470"/>
      <c r="AJW3002" s="449"/>
      <c r="AJX3002" s="462"/>
      <c r="AJY3002" s="299"/>
      <c r="AJZ3002" s="81"/>
      <c r="AKA3002" s="160"/>
      <c r="AKB3002" s="574"/>
      <c r="AKC3002" s="125"/>
      <c r="AKD3002" s="470"/>
      <c r="AKE3002" s="449"/>
      <c r="AKF3002" s="462"/>
      <c r="AKG3002" s="299"/>
      <c r="AKH3002" s="81"/>
      <c r="AKI3002" s="160"/>
      <c r="AKJ3002" s="574"/>
      <c r="AKK3002" s="125"/>
      <c r="AKL3002" s="470"/>
      <c r="AKM3002" s="449"/>
      <c r="AKN3002" s="462"/>
      <c r="AKO3002" s="299"/>
      <c r="AKP3002" s="81"/>
      <c r="AKQ3002" s="160"/>
      <c r="AKR3002" s="574"/>
      <c r="AKS3002" s="125"/>
      <c r="AKT3002" s="470"/>
      <c r="AKU3002" s="449"/>
      <c r="AKV3002" s="462"/>
      <c r="AKW3002" s="299"/>
      <c r="AKX3002" s="81"/>
      <c r="AKY3002" s="160"/>
      <c r="AKZ3002" s="574"/>
      <c r="ALA3002" s="125"/>
      <c r="ALB3002" s="470"/>
      <c r="ALC3002" s="449"/>
      <c r="ALD3002" s="462"/>
      <c r="ALE3002" s="299"/>
      <c r="ALF3002" s="81"/>
      <c r="ALG3002" s="160"/>
      <c r="ALH3002" s="574"/>
      <c r="ALI3002" s="125"/>
      <c r="ALJ3002" s="470"/>
      <c r="ALK3002" s="449"/>
      <c r="ALL3002" s="462"/>
      <c r="ALM3002" s="299"/>
      <c r="ALN3002" s="81"/>
      <c r="ALO3002" s="160"/>
      <c r="ALP3002" s="574"/>
      <c r="ALQ3002" s="125"/>
      <c r="ALR3002" s="470"/>
      <c r="ALS3002" s="449"/>
      <c r="ALT3002" s="462"/>
      <c r="ALU3002" s="299"/>
      <c r="ALV3002" s="81"/>
      <c r="ALW3002" s="160"/>
      <c r="ALX3002" s="574"/>
      <c r="ALY3002" s="125"/>
      <c r="ALZ3002" s="470"/>
      <c r="AMA3002" s="449"/>
      <c r="AMB3002" s="462"/>
      <c r="AMC3002" s="299"/>
      <c r="AMD3002" s="81"/>
      <c r="AME3002" s="160"/>
      <c r="AMF3002" s="574"/>
      <c r="AMG3002" s="125"/>
      <c r="AMH3002" s="470"/>
      <c r="AMI3002" s="449"/>
      <c r="AMJ3002" s="462"/>
      <c r="AMK3002" s="299"/>
      <c r="AML3002" s="81"/>
      <c r="AMM3002" s="160"/>
      <c r="AMN3002" s="574"/>
      <c r="AMO3002" s="125"/>
      <c r="AMP3002" s="470"/>
      <c r="AMQ3002" s="449"/>
      <c r="AMR3002" s="462"/>
      <c r="AMS3002" s="299"/>
      <c r="AMT3002" s="81"/>
      <c r="AMU3002" s="160"/>
      <c r="AMV3002" s="574"/>
      <c r="AMW3002" s="125"/>
      <c r="AMX3002" s="470"/>
      <c r="AMY3002" s="449"/>
      <c r="AMZ3002" s="462"/>
      <c r="ANA3002" s="299"/>
      <c r="ANB3002" s="81"/>
      <c r="ANC3002" s="160"/>
      <c r="AND3002" s="574"/>
      <c r="ANE3002" s="125"/>
      <c r="ANF3002" s="470"/>
      <c r="ANG3002" s="449"/>
      <c r="ANH3002" s="462"/>
      <c r="ANI3002" s="299"/>
      <c r="ANJ3002" s="81"/>
      <c r="ANK3002" s="160"/>
      <c r="ANL3002" s="574"/>
      <c r="ANM3002" s="125"/>
      <c r="ANN3002" s="470"/>
      <c r="ANO3002" s="449"/>
      <c r="ANP3002" s="462"/>
      <c r="ANQ3002" s="299"/>
      <c r="ANR3002" s="81"/>
      <c r="ANS3002" s="160"/>
      <c r="ANT3002" s="574"/>
      <c r="ANU3002" s="125"/>
      <c r="ANV3002" s="470"/>
      <c r="ANW3002" s="449"/>
      <c r="ANX3002" s="462"/>
      <c r="ANY3002" s="299"/>
      <c r="ANZ3002" s="81"/>
      <c r="AOA3002" s="160"/>
      <c r="AOB3002" s="574"/>
      <c r="AOC3002" s="125"/>
      <c r="AOD3002" s="470"/>
      <c r="AOE3002" s="449"/>
      <c r="AOF3002" s="462"/>
      <c r="AOG3002" s="299"/>
      <c r="AOH3002" s="81"/>
      <c r="AOI3002" s="160"/>
      <c r="AOJ3002" s="574"/>
      <c r="AOK3002" s="125"/>
      <c r="AOL3002" s="470"/>
      <c r="AOM3002" s="449"/>
      <c r="AON3002" s="462"/>
      <c r="AOO3002" s="299"/>
      <c r="AOP3002" s="81"/>
      <c r="AOQ3002" s="160"/>
      <c r="AOR3002" s="574"/>
      <c r="AOS3002" s="125"/>
      <c r="AOT3002" s="470"/>
      <c r="AOU3002" s="449"/>
      <c r="AOV3002" s="462"/>
      <c r="AOW3002" s="299"/>
      <c r="AOX3002" s="81"/>
      <c r="AOY3002" s="160"/>
      <c r="AOZ3002" s="574"/>
      <c r="APA3002" s="125"/>
      <c r="APB3002" s="470"/>
      <c r="APC3002" s="449"/>
      <c r="APD3002" s="462"/>
      <c r="APE3002" s="299"/>
      <c r="APF3002" s="81"/>
      <c r="APG3002" s="160"/>
      <c r="APH3002" s="574"/>
      <c r="API3002" s="125"/>
      <c r="APJ3002" s="470"/>
      <c r="APK3002" s="449"/>
      <c r="APL3002" s="462"/>
      <c r="APM3002" s="299"/>
      <c r="APN3002" s="81"/>
      <c r="APO3002" s="160"/>
      <c r="APP3002" s="574"/>
      <c r="APQ3002" s="125"/>
      <c r="APR3002" s="470"/>
      <c r="APS3002" s="449"/>
      <c r="APT3002" s="462"/>
      <c r="APU3002" s="299"/>
      <c r="APV3002" s="81"/>
      <c r="APW3002" s="160"/>
      <c r="APX3002" s="574"/>
      <c r="APY3002" s="125"/>
      <c r="APZ3002" s="470"/>
      <c r="AQA3002" s="449"/>
      <c r="AQB3002" s="462"/>
      <c r="AQC3002" s="299"/>
      <c r="AQD3002" s="81"/>
      <c r="AQE3002" s="160"/>
      <c r="AQF3002" s="574"/>
      <c r="AQG3002" s="125"/>
      <c r="AQH3002" s="470"/>
      <c r="AQI3002" s="449"/>
      <c r="AQJ3002" s="462"/>
      <c r="AQK3002" s="299"/>
      <c r="AQL3002" s="81"/>
      <c r="AQM3002" s="160"/>
      <c r="AQN3002" s="574"/>
      <c r="AQO3002" s="125"/>
      <c r="AQP3002" s="470"/>
      <c r="AQQ3002" s="449"/>
      <c r="AQR3002" s="462"/>
      <c r="AQS3002" s="299"/>
      <c r="AQT3002" s="81"/>
      <c r="AQU3002" s="160"/>
      <c r="AQV3002" s="574"/>
      <c r="AQW3002" s="125"/>
      <c r="AQX3002" s="470"/>
      <c r="AQY3002" s="449"/>
      <c r="AQZ3002" s="462"/>
      <c r="ARA3002" s="299"/>
      <c r="ARB3002" s="81"/>
      <c r="ARC3002" s="160"/>
      <c r="ARD3002" s="574"/>
      <c r="ARE3002" s="125"/>
      <c r="ARF3002" s="470"/>
      <c r="ARG3002" s="449"/>
      <c r="ARH3002" s="462"/>
      <c r="ARI3002" s="299"/>
      <c r="ARJ3002" s="81"/>
      <c r="ARK3002" s="160"/>
      <c r="ARL3002" s="574"/>
      <c r="ARM3002" s="125"/>
      <c r="ARN3002" s="470"/>
      <c r="ARO3002" s="449"/>
      <c r="ARP3002" s="462"/>
      <c r="ARQ3002" s="299"/>
      <c r="ARR3002" s="81"/>
      <c r="ARS3002" s="160"/>
      <c r="ART3002" s="574"/>
      <c r="ARU3002" s="125"/>
      <c r="ARV3002" s="470"/>
      <c r="ARW3002" s="449"/>
      <c r="ARX3002" s="462"/>
      <c r="ARY3002" s="299"/>
      <c r="ARZ3002" s="81"/>
      <c r="ASA3002" s="160"/>
      <c r="ASB3002" s="574"/>
      <c r="ASC3002" s="125"/>
      <c r="ASD3002" s="470"/>
      <c r="ASE3002" s="449"/>
      <c r="ASF3002" s="462"/>
      <c r="ASG3002" s="299"/>
      <c r="ASH3002" s="81"/>
      <c r="ASI3002" s="160"/>
      <c r="ASJ3002" s="574"/>
      <c r="ASK3002" s="125"/>
      <c r="ASL3002" s="470"/>
      <c r="ASM3002" s="449"/>
      <c r="ASN3002" s="462"/>
      <c r="ASO3002" s="299"/>
      <c r="ASP3002" s="81"/>
      <c r="ASQ3002" s="160"/>
      <c r="ASR3002" s="574"/>
      <c r="ASS3002" s="125"/>
      <c r="AST3002" s="470"/>
      <c r="ASU3002" s="449"/>
      <c r="ASV3002" s="462"/>
      <c r="ASW3002" s="299"/>
      <c r="ASX3002" s="81"/>
      <c r="ASY3002" s="160"/>
      <c r="ASZ3002" s="574"/>
      <c r="ATA3002" s="125"/>
      <c r="ATB3002" s="470"/>
      <c r="ATC3002" s="449"/>
      <c r="ATD3002" s="462"/>
      <c r="ATE3002" s="299"/>
      <c r="ATF3002" s="81"/>
      <c r="ATG3002" s="160"/>
      <c r="ATH3002" s="574"/>
      <c r="ATI3002" s="125"/>
      <c r="ATJ3002" s="470"/>
      <c r="ATK3002" s="449"/>
      <c r="ATL3002" s="462"/>
      <c r="ATM3002" s="299"/>
      <c r="ATN3002" s="81"/>
      <c r="ATO3002" s="160"/>
      <c r="ATP3002" s="574"/>
      <c r="ATQ3002" s="125"/>
      <c r="ATR3002" s="470"/>
      <c r="ATS3002" s="449"/>
      <c r="ATT3002" s="462"/>
      <c r="ATU3002" s="299"/>
      <c r="ATV3002" s="81"/>
      <c r="ATW3002" s="160"/>
      <c r="ATX3002" s="574"/>
      <c r="ATY3002" s="125"/>
      <c r="ATZ3002" s="470"/>
      <c r="AUA3002" s="449"/>
      <c r="AUB3002" s="462"/>
      <c r="AUC3002" s="299"/>
      <c r="AUD3002" s="81"/>
      <c r="AUE3002" s="160"/>
      <c r="AUF3002" s="574"/>
      <c r="AUG3002" s="125"/>
      <c r="AUH3002" s="470"/>
      <c r="AUI3002" s="449"/>
      <c r="AUJ3002" s="462"/>
      <c r="AUK3002" s="299"/>
      <c r="AUL3002" s="81"/>
      <c r="AUM3002" s="160"/>
      <c r="AUN3002" s="574"/>
      <c r="AUO3002" s="125"/>
      <c r="AUP3002" s="470"/>
      <c r="AUQ3002" s="449"/>
      <c r="AUR3002" s="462"/>
      <c r="AUS3002" s="299"/>
      <c r="AUT3002" s="81"/>
      <c r="AUU3002" s="160"/>
      <c r="AUV3002" s="574"/>
      <c r="AUW3002" s="125"/>
      <c r="AUX3002" s="470"/>
      <c r="AUY3002" s="449"/>
      <c r="AUZ3002" s="462"/>
      <c r="AVA3002" s="299"/>
      <c r="AVB3002" s="81"/>
      <c r="AVC3002" s="160"/>
      <c r="AVD3002" s="574"/>
      <c r="AVE3002" s="125"/>
      <c r="AVF3002" s="470"/>
      <c r="AVG3002" s="449"/>
      <c r="AVH3002" s="462"/>
      <c r="AVI3002" s="299"/>
      <c r="AVJ3002" s="81"/>
      <c r="AVK3002" s="160"/>
      <c r="AVL3002" s="574"/>
      <c r="AVM3002" s="125"/>
      <c r="AVN3002" s="470"/>
      <c r="AVO3002" s="449"/>
      <c r="AVP3002" s="462"/>
      <c r="AVQ3002" s="299"/>
      <c r="AVR3002" s="81"/>
      <c r="AVS3002" s="160"/>
      <c r="AVT3002" s="574"/>
      <c r="AVU3002" s="125"/>
      <c r="AVV3002" s="470"/>
      <c r="AVW3002" s="449"/>
      <c r="AVX3002" s="462"/>
      <c r="AVY3002" s="299"/>
      <c r="AVZ3002" s="81"/>
      <c r="AWA3002" s="160"/>
      <c r="AWB3002" s="574"/>
      <c r="AWC3002" s="125"/>
      <c r="AWD3002" s="470"/>
      <c r="AWE3002" s="449"/>
      <c r="AWF3002" s="462"/>
      <c r="AWG3002" s="299"/>
      <c r="AWH3002" s="81"/>
      <c r="AWI3002" s="160"/>
      <c r="AWJ3002" s="574"/>
      <c r="AWK3002" s="125"/>
      <c r="AWL3002" s="470"/>
      <c r="AWM3002" s="449"/>
      <c r="AWN3002" s="462"/>
      <c r="AWO3002" s="299"/>
      <c r="AWP3002" s="81"/>
      <c r="AWQ3002" s="160"/>
      <c r="AWR3002" s="574"/>
      <c r="AWS3002" s="125"/>
      <c r="AWT3002" s="470"/>
      <c r="AWU3002" s="449"/>
      <c r="AWV3002" s="462"/>
      <c r="AWW3002" s="299"/>
      <c r="AWX3002" s="81"/>
      <c r="AWY3002" s="160"/>
      <c r="AWZ3002" s="574"/>
      <c r="AXA3002" s="125"/>
      <c r="AXB3002" s="470"/>
      <c r="AXC3002" s="449"/>
      <c r="AXD3002" s="462"/>
      <c r="AXE3002" s="299"/>
      <c r="AXF3002" s="81"/>
      <c r="AXG3002" s="160"/>
      <c r="AXH3002" s="574"/>
      <c r="AXI3002" s="125"/>
      <c r="AXJ3002" s="470"/>
      <c r="AXK3002" s="449"/>
      <c r="AXL3002" s="462"/>
      <c r="AXM3002" s="299"/>
      <c r="AXN3002" s="81"/>
      <c r="AXO3002" s="160"/>
      <c r="AXP3002" s="574"/>
      <c r="AXQ3002" s="125"/>
      <c r="AXR3002" s="470"/>
      <c r="AXS3002" s="449"/>
      <c r="AXT3002" s="462"/>
      <c r="AXU3002" s="299"/>
      <c r="AXV3002" s="81"/>
      <c r="AXW3002" s="160"/>
      <c r="AXX3002" s="574"/>
      <c r="AXY3002" s="125"/>
      <c r="AXZ3002" s="470"/>
      <c r="AYA3002" s="449"/>
      <c r="AYB3002" s="462"/>
      <c r="AYC3002" s="299"/>
      <c r="AYD3002" s="81"/>
      <c r="AYE3002" s="160"/>
      <c r="AYF3002" s="574"/>
      <c r="AYG3002" s="125"/>
      <c r="AYH3002" s="470"/>
      <c r="AYI3002" s="449"/>
      <c r="AYJ3002" s="462"/>
      <c r="AYK3002" s="299"/>
      <c r="AYL3002" s="81"/>
      <c r="AYM3002" s="160"/>
      <c r="AYN3002" s="574"/>
      <c r="AYO3002" s="125"/>
      <c r="AYP3002" s="470"/>
      <c r="AYQ3002" s="449"/>
      <c r="AYR3002" s="462"/>
      <c r="AYS3002" s="299"/>
      <c r="AYT3002" s="81"/>
      <c r="AYU3002" s="160"/>
      <c r="AYV3002" s="574"/>
      <c r="AYW3002" s="125"/>
      <c r="AYX3002" s="470"/>
      <c r="AYY3002" s="449"/>
      <c r="AYZ3002" s="462"/>
      <c r="AZA3002" s="299"/>
      <c r="AZB3002" s="81"/>
      <c r="AZC3002" s="160"/>
      <c r="AZD3002" s="574"/>
      <c r="AZE3002" s="125"/>
      <c r="AZF3002" s="470"/>
      <c r="AZG3002" s="449"/>
      <c r="AZH3002" s="462"/>
      <c r="AZI3002" s="299"/>
      <c r="AZJ3002" s="81"/>
      <c r="AZK3002" s="160"/>
      <c r="AZL3002" s="574"/>
      <c r="AZM3002" s="125"/>
      <c r="AZN3002" s="470"/>
      <c r="AZO3002" s="449"/>
      <c r="AZP3002" s="462"/>
      <c r="AZQ3002" s="299"/>
      <c r="AZR3002" s="81"/>
      <c r="AZS3002" s="160"/>
      <c r="AZT3002" s="574"/>
      <c r="AZU3002" s="125"/>
      <c r="AZV3002" s="470"/>
      <c r="AZW3002" s="449"/>
      <c r="AZX3002" s="462"/>
      <c r="AZY3002" s="299"/>
      <c r="AZZ3002" s="81"/>
      <c r="BAA3002" s="160"/>
      <c r="BAB3002" s="574"/>
      <c r="BAC3002" s="125"/>
      <c r="BAD3002" s="470"/>
      <c r="BAE3002" s="449"/>
      <c r="BAF3002" s="462"/>
      <c r="BAG3002" s="299"/>
      <c r="BAH3002" s="81"/>
      <c r="BAI3002" s="160"/>
      <c r="BAJ3002" s="574"/>
      <c r="BAK3002" s="125"/>
      <c r="BAL3002" s="470"/>
      <c r="BAM3002" s="449"/>
      <c r="BAN3002" s="462"/>
      <c r="BAO3002" s="299"/>
      <c r="BAP3002" s="81"/>
      <c r="BAQ3002" s="160"/>
      <c r="BAR3002" s="574"/>
      <c r="BAS3002" s="125"/>
      <c r="BAT3002" s="470"/>
      <c r="BAU3002" s="449"/>
      <c r="BAV3002" s="462"/>
      <c r="BAW3002" s="299"/>
      <c r="BAX3002" s="81"/>
      <c r="BAY3002" s="160"/>
      <c r="BAZ3002" s="574"/>
      <c r="BBA3002" s="125"/>
      <c r="BBB3002" s="470"/>
      <c r="BBC3002" s="449"/>
      <c r="BBD3002" s="462"/>
      <c r="BBE3002" s="299"/>
      <c r="BBF3002" s="81"/>
      <c r="BBG3002" s="160"/>
      <c r="BBH3002" s="574"/>
      <c r="BBI3002" s="125"/>
      <c r="BBJ3002" s="470"/>
      <c r="BBK3002" s="449"/>
      <c r="BBL3002" s="462"/>
      <c r="BBM3002" s="299"/>
      <c r="BBN3002" s="81"/>
      <c r="BBO3002" s="160"/>
      <c r="BBP3002" s="574"/>
      <c r="BBQ3002" s="125"/>
      <c r="BBR3002" s="470"/>
      <c r="BBS3002" s="449"/>
      <c r="BBT3002" s="462"/>
      <c r="BBU3002" s="299"/>
      <c r="BBV3002" s="81"/>
      <c r="BBW3002" s="160"/>
      <c r="BBX3002" s="574"/>
      <c r="BBY3002" s="125"/>
      <c r="BBZ3002" s="470"/>
      <c r="BCA3002" s="449"/>
      <c r="BCB3002" s="462"/>
      <c r="BCC3002" s="299"/>
      <c r="BCD3002" s="81"/>
      <c r="BCE3002" s="160"/>
      <c r="BCF3002" s="574"/>
      <c r="BCG3002" s="125"/>
      <c r="BCH3002" s="470"/>
      <c r="BCI3002" s="449"/>
      <c r="BCJ3002" s="462"/>
      <c r="BCK3002" s="299"/>
      <c r="BCL3002" s="81"/>
      <c r="BCM3002" s="160"/>
      <c r="BCN3002" s="574"/>
      <c r="BCO3002" s="125"/>
      <c r="BCP3002" s="470"/>
      <c r="BCQ3002" s="449"/>
      <c r="BCR3002" s="462"/>
      <c r="BCS3002" s="299"/>
      <c r="BCT3002" s="81"/>
      <c r="BCU3002" s="160"/>
      <c r="BCV3002" s="574"/>
      <c r="BCW3002" s="125"/>
      <c r="BCX3002" s="470"/>
      <c r="BCY3002" s="449"/>
      <c r="BCZ3002" s="462"/>
      <c r="BDA3002" s="299"/>
      <c r="BDB3002" s="81"/>
      <c r="BDC3002" s="160"/>
      <c r="BDD3002" s="574"/>
      <c r="BDE3002" s="125"/>
      <c r="BDF3002" s="470"/>
      <c r="BDG3002" s="449"/>
      <c r="BDH3002" s="462"/>
      <c r="BDI3002" s="299"/>
      <c r="BDJ3002" s="81"/>
      <c r="BDK3002" s="160"/>
      <c r="BDL3002" s="574"/>
      <c r="BDM3002" s="125"/>
      <c r="BDN3002" s="470"/>
      <c r="BDO3002" s="449"/>
      <c r="BDP3002" s="462"/>
      <c r="BDQ3002" s="299"/>
      <c r="BDR3002" s="81"/>
      <c r="BDS3002" s="160"/>
      <c r="BDT3002" s="574"/>
      <c r="BDU3002" s="125"/>
      <c r="BDV3002" s="470"/>
      <c r="BDW3002" s="449"/>
      <c r="BDX3002" s="462"/>
      <c r="BDY3002" s="299"/>
      <c r="BDZ3002" s="81"/>
      <c r="BEA3002" s="160"/>
      <c r="BEB3002" s="574"/>
      <c r="BEC3002" s="125"/>
      <c r="BED3002" s="470"/>
      <c r="BEE3002" s="449"/>
      <c r="BEF3002" s="462"/>
      <c r="BEG3002" s="299"/>
      <c r="BEH3002" s="81"/>
      <c r="BEI3002" s="160"/>
      <c r="BEJ3002" s="574"/>
      <c r="BEK3002" s="125"/>
      <c r="BEL3002" s="470"/>
      <c r="BEM3002" s="449"/>
      <c r="BEN3002" s="462"/>
      <c r="BEO3002" s="299"/>
      <c r="BEP3002" s="81"/>
      <c r="BEQ3002" s="160"/>
      <c r="BER3002" s="574"/>
      <c r="BES3002" s="125"/>
      <c r="BET3002" s="470"/>
      <c r="BEU3002" s="449"/>
      <c r="BEV3002" s="462"/>
      <c r="BEW3002" s="299"/>
      <c r="BEX3002" s="81"/>
      <c r="BEY3002" s="160"/>
      <c r="BEZ3002" s="574"/>
      <c r="BFA3002" s="125"/>
      <c r="BFB3002" s="470"/>
      <c r="BFC3002" s="449"/>
      <c r="BFD3002" s="462"/>
      <c r="BFE3002" s="299"/>
      <c r="BFF3002" s="81"/>
      <c r="BFG3002" s="160"/>
      <c r="BFH3002" s="574"/>
      <c r="BFI3002" s="125"/>
      <c r="BFJ3002" s="470"/>
      <c r="BFK3002" s="449"/>
      <c r="BFL3002" s="462"/>
      <c r="BFM3002" s="299"/>
      <c r="BFN3002" s="81"/>
      <c r="BFO3002" s="160"/>
      <c r="BFP3002" s="574"/>
      <c r="BFQ3002" s="125"/>
      <c r="BFR3002" s="470"/>
      <c r="BFS3002" s="449"/>
      <c r="BFT3002" s="462"/>
      <c r="BFU3002" s="299"/>
      <c r="BFV3002" s="81"/>
      <c r="BFW3002" s="160"/>
      <c r="BFX3002" s="574"/>
      <c r="BFY3002" s="125"/>
      <c r="BFZ3002" s="470"/>
      <c r="BGA3002" s="449"/>
      <c r="BGB3002" s="462"/>
      <c r="BGC3002" s="299"/>
      <c r="BGD3002" s="81"/>
      <c r="BGE3002" s="160"/>
      <c r="BGF3002" s="574"/>
      <c r="BGG3002" s="125"/>
      <c r="BGH3002" s="470"/>
      <c r="BGI3002" s="449"/>
      <c r="BGJ3002" s="462"/>
      <c r="BGK3002" s="299"/>
      <c r="BGL3002" s="81"/>
      <c r="BGM3002" s="160"/>
      <c r="BGN3002" s="574"/>
      <c r="BGO3002" s="125"/>
      <c r="BGP3002" s="470"/>
      <c r="BGQ3002" s="449"/>
      <c r="BGR3002" s="462"/>
      <c r="BGS3002" s="299"/>
      <c r="BGT3002" s="81"/>
      <c r="BGU3002" s="160"/>
      <c r="BGV3002" s="574"/>
      <c r="BGW3002" s="125"/>
      <c r="BGX3002" s="470"/>
      <c r="BGY3002" s="449"/>
      <c r="BGZ3002" s="462"/>
      <c r="BHA3002" s="299"/>
      <c r="BHB3002" s="81"/>
      <c r="BHC3002" s="160"/>
      <c r="BHD3002" s="574"/>
      <c r="BHE3002" s="125"/>
      <c r="BHF3002" s="470"/>
      <c r="BHG3002" s="449"/>
      <c r="BHH3002" s="462"/>
      <c r="BHI3002" s="299"/>
      <c r="BHJ3002" s="81"/>
      <c r="BHK3002" s="160"/>
      <c r="BHL3002" s="574"/>
      <c r="BHM3002" s="125"/>
      <c r="BHN3002" s="470"/>
      <c r="BHO3002" s="449"/>
      <c r="BHP3002" s="462"/>
      <c r="BHQ3002" s="299"/>
      <c r="BHR3002" s="81"/>
      <c r="BHS3002" s="160"/>
      <c r="BHT3002" s="574"/>
      <c r="BHU3002" s="125"/>
      <c r="BHV3002" s="470"/>
      <c r="BHW3002" s="449"/>
      <c r="BHX3002" s="462"/>
      <c r="BHY3002" s="299"/>
      <c r="BHZ3002" s="81"/>
      <c r="BIA3002" s="160"/>
      <c r="BIB3002" s="574"/>
      <c r="BIC3002" s="125"/>
      <c r="BID3002" s="470"/>
      <c r="BIE3002" s="449"/>
      <c r="BIF3002" s="462"/>
      <c r="BIG3002" s="299"/>
      <c r="BIH3002" s="81"/>
      <c r="BII3002" s="160"/>
      <c r="BIJ3002" s="574"/>
      <c r="BIK3002" s="125"/>
      <c r="BIL3002" s="470"/>
      <c r="BIM3002" s="449"/>
      <c r="BIN3002" s="462"/>
      <c r="BIO3002" s="299"/>
      <c r="BIP3002" s="81"/>
      <c r="BIQ3002" s="160"/>
      <c r="BIR3002" s="574"/>
      <c r="BIS3002" s="125"/>
      <c r="BIT3002" s="470"/>
      <c r="BIU3002" s="449"/>
      <c r="BIV3002" s="462"/>
      <c r="BIW3002" s="299"/>
      <c r="BIX3002" s="81"/>
      <c r="BIY3002" s="160"/>
      <c r="BIZ3002" s="574"/>
      <c r="BJA3002" s="125"/>
      <c r="BJB3002" s="470"/>
      <c r="BJC3002" s="449"/>
      <c r="BJD3002" s="462"/>
      <c r="BJE3002" s="299"/>
      <c r="BJF3002" s="81"/>
      <c r="BJG3002" s="160"/>
      <c r="BJH3002" s="574"/>
      <c r="BJI3002" s="125"/>
      <c r="BJJ3002" s="470"/>
      <c r="BJK3002" s="449"/>
      <c r="BJL3002" s="462"/>
      <c r="BJM3002" s="299"/>
      <c r="BJN3002" s="81"/>
      <c r="BJO3002" s="160"/>
      <c r="BJP3002" s="574"/>
      <c r="BJQ3002" s="125"/>
      <c r="BJR3002" s="470"/>
      <c r="BJS3002" s="449"/>
      <c r="BJT3002" s="462"/>
      <c r="BJU3002" s="299"/>
      <c r="BJV3002" s="81"/>
      <c r="BJW3002" s="160"/>
      <c r="BJX3002" s="574"/>
      <c r="BJY3002" s="125"/>
      <c r="BJZ3002" s="470"/>
      <c r="BKA3002" s="449"/>
      <c r="BKB3002" s="462"/>
      <c r="BKC3002" s="299"/>
      <c r="BKD3002" s="81"/>
      <c r="BKE3002" s="160"/>
      <c r="BKF3002" s="574"/>
      <c r="BKG3002" s="125"/>
      <c r="BKH3002" s="470"/>
      <c r="BKI3002" s="449"/>
      <c r="BKJ3002" s="462"/>
      <c r="BKK3002" s="299"/>
      <c r="BKL3002" s="81"/>
      <c r="BKM3002" s="160"/>
      <c r="BKN3002" s="574"/>
      <c r="BKO3002" s="125"/>
      <c r="BKP3002" s="470"/>
      <c r="BKQ3002" s="449"/>
      <c r="BKR3002" s="462"/>
      <c r="BKS3002" s="299"/>
      <c r="BKT3002" s="81"/>
      <c r="BKU3002" s="160"/>
      <c r="BKV3002" s="574"/>
      <c r="BKW3002" s="125"/>
      <c r="BKX3002" s="470"/>
      <c r="BKY3002" s="449"/>
      <c r="BKZ3002" s="462"/>
      <c r="BLA3002" s="299"/>
      <c r="BLB3002" s="81"/>
      <c r="BLC3002" s="160"/>
      <c r="BLD3002" s="574"/>
      <c r="BLE3002" s="125"/>
      <c r="BLF3002" s="470"/>
      <c r="BLG3002" s="449"/>
      <c r="BLH3002" s="462"/>
      <c r="BLI3002" s="299"/>
      <c r="BLJ3002" s="81"/>
      <c r="BLK3002" s="160"/>
      <c r="BLL3002" s="574"/>
      <c r="BLM3002" s="125"/>
      <c r="BLN3002" s="470"/>
      <c r="BLO3002" s="449"/>
      <c r="BLP3002" s="462"/>
      <c r="BLQ3002" s="299"/>
      <c r="BLR3002" s="81"/>
      <c r="BLS3002" s="160"/>
      <c r="BLT3002" s="574"/>
      <c r="BLU3002" s="125"/>
      <c r="BLV3002" s="470"/>
      <c r="BLW3002" s="449"/>
      <c r="BLX3002" s="462"/>
      <c r="BLY3002" s="299"/>
      <c r="BLZ3002" s="81"/>
      <c r="BMA3002" s="160"/>
      <c r="BMB3002" s="574"/>
      <c r="BMC3002" s="125"/>
      <c r="BMD3002" s="470"/>
      <c r="BME3002" s="449"/>
      <c r="BMF3002" s="462"/>
      <c r="BMG3002" s="299"/>
      <c r="BMH3002" s="81"/>
      <c r="BMI3002" s="160"/>
      <c r="BMJ3002" s="574"/>
      <c r="BMK3002" s="125"/>
      <c r="BML3002" s="470"/>
      <c r="BMM3002" s="449"/>
      <c r="BMN3002" s="462"/>
      <c r="BMO3002" s="299"/>
      <c r="BMP3002" s="81"/>
      <c r="BMQ3002" s="160"/>
      <c r="BMR3002" s="574"/>
      <c r="BMS3002" s="125"/>
      <c r="BMT3002" s="470"/>
      <c r="BMU3002" s="449"/>
      <c r="BMV3002" s="462"/>
      <c r="BMW3002" s="299"/>
      <c r="BMX3002" s="81"/>
      <c r="BMY3002" s="160"/>
      <c r="BMZ3002" s="574"/>
      <c r="BNA3002" s="125"/>
      <c r="BNB3002" s="470"/>
      <c r="BNC3002" s="449"/>
      <c r="BND3002" s="462"/>
      <c r="BNE3002" s="299"/>
      <c r="BNF3002" s="81"/>
      <c r="BNG3002" s="160"/>
      <c r="BNH3002" s="574"/>
      <c r="BNI3002" s="125"/>
      <c r="BNJ3002" s="470"/>
      <c r="BNK3002" s="449"/>
      <c r="BNL3002" s="462"/>
      <c r="BNM3002" s="299"/>
      <c r="BNN3002" s="81"/>
      <c r="BNO3002" s="160"/>
      <c r="BNP3002" s="574"/>
      <c r="BNQ3002" s="125"/>
      <c r="BNR3002" s="470"/>
      <c r="BNS3002" s="449"/>
      <c r="BNT3002" s="462"/>
      <c r="BNU3002" s="299"/>
      <c r="BNV3002" s="81"/>
      <c r="BNW3002" s="160"/>
      <c r="BNX3002" s="574"/>
      <c r="BNY3002" s="125"/>
      <c r="BNZ3002" s="470"/>
      <c r="BOA3002" s="449"/>
      <c r="BOB3002" s="462"/>
      <c r="BOC3002" s="299"/>
      <c r="BOD3002" s="81"/>
      <c r="BOE3002" s="160"/>
      <c r="BOF3002" s="574"/>
      <c r="BOG3002" s="125"/>
      <c r="BOH3002" s="470"/>
      <c r="BOI3002" s="449"/>
      <c r="BOJ3002" s="462"/>
      <c r="BOK3002" s="299"/>
      <c r="BOL3002" s="81"/>
      <c r="BOM3002" s="160"/>
      <c r="BON3002" s="574"/>
      <c r="BOO3002" s="125"/>
      <c r="BOP3002" s="470"/>
      <c r="BOQ3002" s="449"/>
      <c r="BOR3002" s="462"/>
      <c r="BOS3002" s="299"/>
      <c r="BOT3002" s="81"/>
      <c r="BOU3002" s="160"/>
      <c r="BOV3002" s="574"/>
      <c r="BOW3002" s="125"/>
      <c r="BOX3002" s="470"/>
      <c r="BOY3002" s="449"/>
      <c r="BOZ3002" s="462"/>
      <c r="BPA3002" s="299"/>
      <c r="BPB3002" s="81"/>
      <c r="BPC3002" s="160"/>
      <c r="BPD3002" s="574"/>
      <c r="BPE3002" s="125"/>
      <c r="BPF3002" s="470"/>
      <c r="BPG3002" s="449"/>
      <c r="BPH3002" s="462"/>
      <c r="BPI3002" s="299"/>
      <c r="BPJ3002" s="81"/>
      <c r="BPK3002" s="160"/>
      <c r="BPL3002" s="574"/>
      <c r="BPM3002" s="125"/>
      <c r="BPN3002" s="470"/>
      <c r="BPO3002" s="449"/>
      <c r="BPP3002" s="462"/>
      <c r="BPQ3002" s="299"/>
      <c r="BPR3002" s="81"/>
      <c r="BPS3002" s="160"/>
      <c r="BPT3002" s="574"/>
      <c r="BPU3002" s="125"/>
      <c r="BPV3002" s="470"/>
      <c r="BPW3002" s="449"/>
      <c r="BPX3002" s="462"/>
      <c r="BPY3002" s="299"/>
      <c r="BPZ3002" s="81"/>
      <c r="BQA3002" s="160"/>
      <c r="BQB3002" s="574"/>
      <c r="BQC3002" s="125"/>
      <c r="BQD3002" s="470"/>
      <c r="BQE3002" s="449"/>
      <c r="BQF3002" s="462"/>
      <c r="BQG3002" s="299"/>
      <c r="BQH3002" s="81"/>
      <c r="BQI3002" s="160"/>
      <c r="BQJ3002" s="574"/>
      <c r="BQK3002" s="125"/>
      <c r="BQL3002" s="470"/>
      <c r="BQM3002" s="449"/>
      <c r="BQN3002" s="462"/>
      <c r="BQO3002" s="299"/>
      <c r="BQP3002" s="81"/>
      <c r="BQQ3002" s="160"/>
      <c r="BQR3002" s="574"/>
      <c r="BQS3002" s="125"/>
      <c r="BQT3002" s="470"/>
      <c r="BQU3002" s="449"/>
      <c r="BQV3002" s="462"/>
      <c r="BQW3002" s="299"/>
      <c r="BQX3002" s="81"/>
      <c r="BQY3002" s="160"/>
      <c r="BQZ3002" s="574"/>
      <c r="BRA3002" s="125"/>
      <c r="BRB3002" s="470"/>
      <c r="BRC3002" s="449"/>
      <c r="BRD3002" s="462"/>
      <c r="BRE3002" s="299"/>
      <c r="BRF3002" s="81"/>
      <c r="BRG3002" s="160"/>
      <c r="BRH3002" s="574"/>
      <c r="BRI3002" s="125"/>
      <c r="BRJ3002" s="470"/>
      <c r="BRK3002" s="449"/>
      <c r="BRL3002" s="462"/>
      <c r="BRM3002" s="299"/>
      <c r="BRN3002" s="81"/>
      <c r="BRO3002" s="160"/>
      <c r="BRP3002" s="574"/>
      <c r="BRQ3002" s="125"/>
      <c r="BRR3002" s="470"/>
      <c r="BRS3002" s="449"/>
      <c r="BRT3002" s="462"/>
      <c r="BRU3002" s="299"/>
      <c r="BRV3002" s="81"/>
      <c r="BRW3002" s="160"/>
      <c r="BRX3002" s="574"/>
      <c r="BRY3002" s="125"/>
      <c r="BRZ3002" s="470"/>
      <c r="BSA3002" s="449"/>
      <c r="BSB3002" s="462"/>
      <c r="BSC3002" s="299"/>
      <c r="BSD3002" s="81"/>
      <c r="BSE3002" s="160"/>
      <c r="BSF3002" s="574"/>
      <c r="BSG3002" s="125"/>
      <c r="BSH3002" s="470"/>
      <c r="BSI3002" s="449"/>
      <c r="BSJ3002" s="462"/>
      <c r="BSK3002" s="299"/>
      <c r="BSL3002" s="81"/>
      <c r="BSM3002" s="160"/>
      <c r="BSN3002" s="574"/>
      <c r="BSO3002" s="125"/>
      <c r="BSP3002" s="470"/>
      <c r="BSQ3002" s="449"/>
      <c r="BSR3002" s="462"/>
      <c r="BSS3002" s="299"/>
      <c r="BST3002" s="81"/>
      <c r="BSU3002" s="160"/>
      <c r="BSV3002" s="574"/>
      <c r="BSW3002" s="125"/>
      <c r="BSX3002" s="470"/>
      <c r="BSY3002" s="449"/>
      <c r="BSZ3002" s="462"/>
      <c r="BTA3002" s="299"/>
      <c r="BTB3002" s="81"/>
      <c r="BTC3002" s="160"/>
      <c r="BTD3002" s="574"/>
      <c r="BTE3002" s="125"/>
      <c r="BTF3002" s="470"/>
      <c r="BTG3002" s="449"/>
      <c r="BTH3002" s="462"/>
      <c r="BTI3002" s="299"/>
      <c r="BTJ3002" s="81"/>
      <c r="BTK3002" s="160"/>
      <c r="BTL3002" s="574"/>
      <c r="BTM3002" s="125"/>
      <c r="BTN3002" s="470"/>
      <c r="BTO3002" s="449"/>
      <c r="BTP3002" s="462"/>
      <c r="BTQ3002" s="299"/>
      <c r="BTR3002" s="81"/>
      <c r="BTS3002" s="160"/>
      <c r="BTT3002" s="574"/>
      <c r="BTU3002" s="125"/>
      <c r="BTV3002" s="470"/>
      <c r="BTW3002" s="449"/>
      <c r="BTX3002" s="462"/>
      <c r="BTY3002" s="299"/>
      <c r="BTZ3002" s="81"/>
      <c r="BUA3002" s="160"/>
      <c r="BUB3002" s="574"/>
      <c r="BUC3002" s="125"/>
      <c r="BUD3002" s="470"/>
      <c r="BUE3002" s="449"/>
      <c r="BUF3002" s="462"/>
      <c r="BUG3002" s="299"/>
      <c r="BUH3002" s="81"/>
      <c r="BUI3002" s="160"/>
      <c r="BUJ3002" s="574"/>
      <c r="BUK3002" s="125"/>
      <c r="BUL3002" s="470"/>
      <c r="BUM3002" s="449"/>
      <c r="BUN3002" s="462"/>
      <c r="BUO3002" s="299"/>
      <c r="BUP3002" s="81"/>
      <c r="BUQ3002" s="160"/>
      <c r="BUR3002" s="574"/>
      <c r="BUS3002" s="125"/>
      <c r="BUT3002" s="470"/>
      <c r="BUU3002" s="449"/>
      <c r="BUV3002" s="462"/>
      <c r="BUW3002" s="299"/>
      <c r="BUX3002" s="81"/>
      <c r="BUY3002" s="160"/>
      <c r="BUZ3002" s="574"/>
      <c r="BVA3002" s="125"/>
      <c r="BVB3002" s="470"/>
      <c r="BVC3002" s="449"/>
      <c r="BVD3002" s="462"/>
      <c r="BVE3002" s="299"/>
      <c r="BVF3002" s="81"/>
      <c r="BVG3002" s="160"/>
      <c r="BVH3002" s="574"/>
      <c r="BVI3002" s="125"/>
      <c r="BVJ3002" s="470"/>
      <c r="BVK3002" s="449"/>
      <c r="BVL3002" s="462"/>
      <c r="BVM3002" s="299"/>
      <c r="BVN3002" s="81"/>
      <c r="BVO3002" s="160"/>
      <c r="BVP3002" s="574"/>
      <c r="BVQ3002" s="125"/>
      <c r="BVR3002" s="470"/>
      <c r="BVS3002" s="449"/>
      <c r="BVT3002" s="462"/>
      <c r="BVU3002" s="299"/>
      <c r="BVV3002" s="81"/>
      <c r="BVW3002" s="160"/>
      <c r="BVX3002" s="574"/>
      <c r="BVY3002" s="125"/>
      <c r="BVZ3002" s="470"/>
      <c r="BWA3002" s="449"/>
      <c r="BWB3002" s="462"/>
      <c r="BWC3002" s="299"/>
      <c r="BWD3002" s="81"/>
      <c r="BWE3002" s="160"/>
      <c r="BWF3002" s="574"/>
      <c r="BWG3002" s="125"/>
      <c r="BWH3002" s="470"/>
      <c r="BWI3002" s="449"/>
      <c r="BWJ3002" s="462"/>
      <c r="BWK3002" s="299"/>
      <c r="BWL3002" s="81"/>
      <c r="BWM3002" s="160"/>
      <c r="BWN3002" s="574"/>
      <c r="BWO3002" s="125"/>
      <c r="BWP3002" s="470"/>
      <c r="BWQ3002" s="449"/>
      <c r="BWR3002" s="462"/>
      <c r="BWS3002" s="299"/>
      <c r="BWT3002" s="81"/>
      <c r="BWU3002" s="160"/>
      <c r="BWV3002" s="574"/>
      <c r="BWW3002" s="125"/>
      <c r="BWX3002" s="470"/>
      <c r="BWY3002" s="449"/>
      <c r="BWZ3002" s="462"/>
      <c r="BXA3002" s="299"/>
      <c r="BXB3002" s="81"/>
      <c r="BXC3002" s="160"/>
      <c r="BXD3002" s="574"/>
      <c r="BXE3002" s="125"/>
      <c r="BXF3002" s="470"/>
      <c r="BXG3002" s="449"/>
      <c r="BXH3002" s="462"/>
      <c r="BXI3002" s="299"/>
      <c r="BXJ3002" s="81"/>
      <c r="BXK3002" s="160"/>
      <c r="BXL3002" s="574"/>
      <c r="BXM3002" s="125"/>
      <c r="BXN3002" s="470"/>
      <c r="BXO3002" s="449"/>
      <c r="BXP3002" s="462"/>
      <c r="BXQ3002" s="299"/>
      <c r="BXR3002" s="81"/>
      <c r="BXS3002" s="160"/>
      <c r="BXT3002" s="574"/>
      <c r="BXU3002" s="125"/>
      <c r="BXV3002" s="470"/>
      <c r="BXW3002" s="449"/>
      <c r="BXX3002" s="462"/>
      <c r="BXY3002" s="299"/>
      <c r="BXZ3002" s="81"/>
      <c r="BYA3002" s="160"/>
      <c r="BYB3002" s="574"/>
      <c r="BYC3002" s="125"/>
      <c r="BYD3002" s="470"/>
      <c r="BYE3002" s="449"/>
      <c r="BYF3002" s="462"/>
      <c r="BYG3002" s="299"/>
      <c r="BYH3002" s="81"/>
      <c r="BYI3002" s="160"/>
      <c r="BYJ3002" s="574"/>
      <c r="BYK3002" s="125"/>
      <c r="BYL3002" s="470"/>
      <c r="BYM3002" s="449"/>
      <c r="BYN3002" s="462"/>
      <c r="BYO3002" s="299"/>
      <c r="BYP3002" s="81"/>
      <c r="BYQ3002" s="160"/>
      <c r="BYR3002" s="574"/>
      <c r="BYS3002" s="125"/>
      <c r="BYT3002" s="470"/>
      <c r="BYU3002" s="449"/>
      <c r="BYV3002" s="462"/>
      <c r="BYW3002" s="299"/>
      <c r="BYX3002" s="81"/>
      <c r="BYY3002" s="160"/>
      <c r="BYZ3002" s="574"/>
      <c r="BZA3002" s="125"/>
      <c r="BZB3002" s="470"/>
      <c r="BZC3002" s="449"/>
      <c r="BZD3002" s="462"/>
      <c r="BZE3002" s="299"/>
      <c r="BZF3002" s="81"/>
      <c r="BZG3002" s="160"/>
      <c r="BZH3002" s="574"/>
      <c r="BZI3002" s="125"/>
      <c r="BZJ3002" s="470"/>
      <c r="BZK3002" s="449"/>
      <c r="BZL3002" s="462"/>
      <c r="BZM3002" s="299"/>
      <c r="BZN3002" s="81"/>
      <c r="BZO3002" s="160"/>
      <c r="BZP3002" s="574"/>
      <c r="BZQ3002" s="125"/>
      <c r="BZR3002" s="470"/>
      <c r="BZS3002" s="449"/>
      <c r="BZT3002" s="462"/>
      <c r="BZU3002" s="299"/>
      <c r="BZV3002" s="81"/>
      <c r="BZW3002" s="160"/>
      <c r="BZX3002" s="574"/>
      <c r="BZY3002" s="125"/>
      <c r="BZZ3002" s="470"/>
      <c r="CAA3002" s="449"/>
      <c r="CAB3002" s="462"/>
      <c r="CAC3002" s="299"/>
      <c r="CAD3002" s="81"/>
      <c r="CAE3002" s="160"/>
      <c r="CAF3002" s="574"/>
      <c r="CAG3002" s="125"/>
      <c r="CAH3002" s="470"/>
      <c r="CAI3002" s="449"/>
      <c r="CAJ3002" s="462"/>
      <c r="CAK3002" s="299"/>
      <c r="CAL3002" s="81"/>
      <c r="CAM3002" s="160"/>
      <c r="CAN3002" s="574"/>
      <c r="CAO3002" s="125"/>
      <c r="CAP3002" s="470"/>
      <c r="CAQ3002" s="449"/>
      <c r="CAR3002" s="462"/>
      <c r="CAS3002" s="299"/>
      <c r="CAT3002" s="81"/>
      <c r="CAU3002" s="160"/>
      <c r="CAV3002" s="574"/>
      <c r="CAW3002" s="125"/>
      <c r="CAX3002" s="470"/>
      <c r="CAY3002" s="449"/>
      <c r="CAZ3002" s="462"/>
      <c r="CBA3002" s="299"/>
      <c r="CBB3002" s="81"/>
      <c r="CBC3002" s="160"/>
      <c r="CBD3002" s="574"/>
      <c r="CBE3002" s="125"/>
      <c r="CBF3002" s="470"/>
      <c r="CBG3002" s="449"/>
      <c r="CBH3002" s="462"/>
      <c r="CBI3002" s="299"/>
      <c r="CBJ3002" s="81"/>
      <c r="CBK3002" s="160"/>
      <c r="CBL3002" s="574"/>
      <c r="CBM3002" s="125"/>
      <c r="CBN3002" s="470"/>
      <c r="CBO3002" s="449"/>
      <c r="CBP3002" s="462"/>
      <c r="CBQ3002" s="299"/>
      <c r="CBR3002" s="81"/>
      <c r="CBS3002" s="160"/>
      <c r="CBT3002" s="574"/>
      <c r="CBU3002" s="125"/>
      <c r="CBV3002" s="470"/>
      <c r="CBW3002" s="449"/>
      <c r="CBX3002" s="462"/>
      <c r="CBY3002" s="299"/>
      <c r="CBZ3002" s="81"/>
      <c r="CCA3002" s="160"/>
      <c r="CCB3002" s="574"/>
      <c r="CCC3002" s="125"/>
      <c r="CCD3002" s="470"/>
      <c r="CCE3002" s="449"/>
      <c r="CCF3002" s="462"/>
      <c r="CCG3002" s="299"/>
      <c r="CCH3002" s="81"/>
      <c r="CCI3002" s="160"/>
      <c r="CCJ3002" s="574"/>
      <c r="CCK3002" s="125"/>
      <c r="CCL3002" s="470"/>
      <c r="CCM3002" s="449"/>
      <c r="CCN3002" s="462"/>
      <c r="CCO3002" s="299"/>
      <c r="CCP3002" s="81"/>
      <c r="CCQ3002" s="160"/>
      <c r="CCR3002" s="574"/>
      <c r="CCS3002" s="125"/>
      <c r="CCT3002" s="470"/>
      <c r="CCU3002" s="449"/>
      <c r="CCV3002" s="462"/>
      <c r="CCW3002" s="299"/>
      <c r="CCX3002" s="81"/>
      <c r="CCY3002" s="160"/>
      <c r="CCZ3002" s="574"/>
      <c r="CDA3002" s="125"/>
      <c r="CDB3002" s="470"/>
      <c r="CDC3002" s="449"/>
      <c r="CDD3002" s="462"/>
      <c r="CDE3002" s="299"/>
      <c r="CDF3002" s="81"/>
      <c r="CDG3002" s="160"/>
      <c r="CDH3002" s="574"/>
      <c r="CDI3002" s="125"/>
      <c r="CDJ3002" s="470"/>
      <c r="CDK3002" s="449"/>
      <c r="CDL3002" s="462"/>
      <c r="CDM3002" s="299"/>
      <c r="CDN3002" s="81"/>
      <c r="CDO3002" s="160"/>
      <c r="CDP3002" s="574"/>
      <c r="CDQ3002" s="125"/>
      <c r="CDR3002" s="470"/>
      <c r="CDS3002" s="449"/>
      <c r="CDT3002" s="462"/>
      <c r="CDU3002" s="299"/>
      <c r="CDV3002" s="81"/>
      <c r="CDW3002" s="160"/>
      <c r="CDX3002" s="574"/>
      <c r="CDY3002" s="125"/>
      <c r="CDZ3002" s="470"/>
      <c r="CEA3002" s="449"/>
      <c r="CEB3002" s="462"/>
      <c r="CEC3002" s="299"/>
      <c r="CED3002" s="81"/>
      <c r="CEE3002" s="160"/>
      <c r="CEF3002" s="574"/>
      <c r="CEG3002" s="125"/>
      <c r="CEH3002" s="470"/>
      <c r="CEI3002" s="449"/>
      <c r="CEJ3002" s="462"/>
      <c r="CEK3002" s="299"/>
      <c r="CEL3002" s="81"/>
      <c r="CEM3002" s="160"/>
      <c r="CEN3002" s="574"/>
      <c r="CEO3002" s="125"/>
      <c r="CEP3002" s="470"/>
      <c r="CEQ3002" s="449"/>
      <c r="CER3002" s="462"/>
      <c r="CES3002" s="299"/>
      <c r="CET3002" s="81"/>
      <c r="CEU3002" s="160"/>
      <c r="CEV3002" s="574"/>
      <c r="CEW3002" s="125"/>
      <c r="CEX3002" s="470"/>
      <c r="CEY3002" s="449"/>
      <c r="CEZ3002" s="462"/>
      <c r="CFA3002" s="299"/>
      <c r="CFB3002" s="81"/>
      <c r="CFC3002" s="160"/>
      <c r="CFD3002" s="574"/>
      <c r="CFE3002" s="125"/>
      <c r="CFF3002" s="470"/>
      <c r="CFG3002" s="449"/>
      <c r="CFH3002" s="462"/>
      <c r="CFI3002" s="299"/>
      <c r="CFJ3002" s="81"/>
      <c r="CFK3002" s="160"/>
      <c r="CFL3002" s="574"/>
      <c r="CFM3002" s="125"/>
      <c r="CFN3002" s="470"/>
      <c r="CFO3002" s="449"/>
      <c r="CFP3002" s="462"/>
      <c r="CFQ3002" s="299"/>
      <c r="CFR3002" s="81"/>
      <c r="CFS3002" s="160"/>
      <c r="CFT3002" s="574"/>
      <c r="CFU3002" s="125"/>
      <c r="CFV3002" s="470"/>
      <c r="CFW3002" s="449"/>
      <c r="CFX3002" s="462"/>
      <c r="CFY3002" s="299"/>
      <c r="CFZ3002" s="81"/>
      <c r="CGA3002" s="160"/>
      <c r="CGB3002" s="574"/>
      <c r="CGC3002" s="125"/>
      <c r="CGD3002" s="470"/>
      <c r="CGE3002" s="449"/>
      <c r="CGF3002" s="462"/>
      <c r="CGG3002" s="299"/>
      <c r="CGH3002" s="81"/>
      <c r="CGI3002" s="160"/>
      <c r="CGJ3002" s="574"/>
      <c r="CGK3002" s="125"/>
      <c r="CGL3002" s="470"/>
      <c r="CGM3002" s="449"/>
      <c r="CGN3002" s="462"/>
      <c r="CGO3002" s="299"/>
      <c r="CGP3002" s="81"/>
      <c r="CGQ3002" s="160"/>
      <c r="CGR3002" s="574"/>
      <c r="CGS3002" s="125"/>
      <c r="CGT3002" s="470"/>
      <c r="CGU3002" s="449"/>
      <c r="CGV3002" s="462"/>
      <c r="CGW3002" s="299"/>
      <c r="CGX3002" s="81"/>
      <c r="CGY3002" s="160"/>
      <c r="CGZ3002" s="574"/>
      <c r="CHA3002" s="125"/>
      <c r="CHB3002" s="470"/>
      <c r="CHC3002" s="449"/>
      <c r="CHD3002" s="462"/>
      <c r="CHE3002" s="299"/>
      <c r="CHF3002" s="81"/>
      <c r="CHG3002" s="160"/>
      <c r="CHH3002" s="574"/>
      <c r="CHI3002" s="125"/>
      <c r="CHJ3002" s="470"/>
      <c r="CHK3002" s="449"/>
      <c r="CHL3002" s="462"/>
      <c r="CHM3002" s="299"/>
      <c r="CHN3002" s="81"/>
      <c r="CHO3002" s="160"/>
      <c r="CHP3002" s="574"/>
      <c r="CHQ3002" s="125"/>
      <c r="CHR3002" s="470"/>
      <c r="CHS3002" s="449"/>
      <c r="CHT3002" s="462"/>
      <c r="CHU3002" s="299"/>
      <c r="CHV3002" s="81"/>
      <c r="CHW3002" s="160"/>
      <c r="CHX3002" s="574"/>
      <c r="CHY3002" s="125"/>
      <c r="CHZ3002" s="470"/>
      <c r="CIA3002" s="449"/>
      <c r="CIB3002" s="462"/>
      <c r="CIC3002" s="299"/>
      <c r="CID3002" s="81"/>
      <c r="CIE3002" s="160"/>
      <c r="CIF3002" s="574"/>
      <c r="CIG3002" s="125"/>
      <c r="CIH3002" s="470"/>
      <c r="CII3002" s="449"/>
      <c r="CIJ3002" s="462"/>
      <c r="CIK3002" s="299"/>
      <c r="CIL3002" s="81"/>
      <c r="CIM3002" s="160"/>
      <c r="CIN3002" s="574"/>
      <c r="CIO3002" s="125"/>
      <c r="CIP3002" s="470"/>
      <c r="CIQ3002" s="449"/>
      <c r="CIR3002" s="462"/>
      <c r="CIS3002" s="299"/>
      <c r="CIT3002" s="81"/>
      <c r="CIU3002" s="160"/>
      <c r="CIV3002" s="574"/>
      <c r="CIW3002" s="125"/>
      <c r="CIX3002" s="470"/>
      <c r="CIY3002" s="449"/>
      <c r="CIZ3002" s="462"/>
      <c r="CJA3002" s="299"/>
      <c r="CJB3002" s="81"/>
      <c r="CJC3002" s="160"/>
      <c r="CJD3002" s="574"/>
      <c r="CJE3002" s="125"/>
      <c r="CJF3002" s="470"/>
      <c r="CJG3002" s="449"/>
      <c r="CJH3002" s="462"/>
      <c r="CJI3002" s="299"/>
      <c r="CJJ3002" s="81"/>
      <c r="CJK3002" s="160"/>
      <c r="CJL3002" s="574"/>
      <c r="CJM3002" s="125"/>
      <c r="CJN3002" s="470"/>
      <c r="CJO3002" s="449"/>
      <c r="CJP3002" s="462"/>
      <c r="CJQ3002" s="299"/>
      <c r="CJR3002" s="81"/>
      <c r="CJS3002" s="160"/>
      <c r="CJT3002" s="574"/>
      <c r="CJU3002" s="125"/>
      <c r="CJV3002" s="470"/>
      <c r="CJW3002" s="449"/>
      <c r="CJX3002" s="462"/>
      <c r="CJY3002" s="299"/>
      <c r="CJZ3002" s="81"/>
      <c r="CKA3002" s="160"/>
      <c r="CKB3002" s="574"/>
      <c r="CKC3002" s="125"/>
      <c r="CKD3002" s="470"/>
      <c r="CKE3002" s="449"/>
      <c r="CKF3002" s="462"/>
      <c r="CKG3002" s="299"/>
      <c r="CKH3002" s="81"/>
      <c r="CKI3002" s="160"/>
      <c r="CKJ3002" s="574"/>
      <c r="CKK3002" s="125"/>
      <c r="CKL3002" s="470"/>
      <c r="CKM3002" s="449"/>
      <c r="CKN3002" s="462"/>
      <c r="CKO3002" s="299"/>
      <c r="CKP3002" s="81"/>
      <c r="CKQ3002" s="160"/>
      <c r="CKR3002" s="574"/>
      <c r="CKS3002" s="125"/>
      <c r="CKT3002" s="470"/>
      <c r="CKU3002" s="449"/>
      <c r="CKV3002" s="462"/>
      <c r="CKW3002" s="299"/>
      <c r="CKX3002" s="81"/>
      <c r="CKY3002" s="160"/>
      <c r="CKZ3002" s="574"/>
      <c r="CLA3002" s="125"/>
      <c r="CLB3002" s="470"/>
      <c r="CLC3002" s="449"/>
      <c r="CLD3002" s="462"/>
      <c r="CLE3002" s="299"/>
      <c r="CLF3002" s="81"/>
      <c r="CLG3002" s="160"/>
      <c r="CLH3002" s="574"/>
      <c r="CLI3002" s="125"/>
      <c r="CLJ3002" s="470"/>
      <c r="CLK3002" s="449"/>
      <c r="CLL3002" s="462"/>
      <c r="CLM3002" s="299"/>
      <c r="CLN3002" s="81"/>
      <c r="CLO3002" s="160"/>
      <c r="CLP3002" s="574"/>
      <c r="CLQ3002" s="125"/>
      <c r="CLR3002" s="470"/>
      <c r="CLS3002" s="449"/>
      <c r="CLT3002" s="462"/>
      <c r="CLU3002" s="299"/>
      <c r="CLV3002" s="81"/>
      <c r="CLW3002" s="160"/>
      <c r="CLX3002" s="574"/>
      <c r="CLY3002" s="125"/>
      <c r="CLZ3002" s="470"/>
      <c r="CMA3002" s="449"/>
      <c r="CMB3002" s="462"/>
      <c r="CMC3002" s="299"/>
      <c r="CMD3002" s="81"/>
      <c r="CME3002" s="160"/>
      <c r="CMF3002" s="574"/>
      <c r="CMG3002" s="125"/>
      <c r="CMH3002" s="470"/>
      <c r="CMI3002" s="449"/>
      <c r="CMJ3002" s="462"/>
      <c r="CMK3002" s="299"/>
      <c r="CML3002" s="81"/>
      <c r="CMM3002" s="160"/>
      <c r="CMN3002" s="574"/>
      <c r="CMO3002" s="125"/>
      <c r="CMP3002" s="470"/>
      <c r="CMQ3002" s="449"/>
      <c r="CMR3002" s="462"/>
      <c r="CMS3002" s="299"/>
      <c r="CMT3002" s="81"/>
      <c r="CMU3002" s="160"/>
      <c r="CMV3002" s="574"/>
      <c r="CMW3002" s="125"/>
      <c r="CMX3002" s="470"/>
      <c r="CMY3002" s="449"/>
      <c r="CMZ3002" s="462"/>
      <c r="CNA3002" s="299"/>
      <c r="CNB3002" s="81"/>
      <c r="CNC3002" s="160"/>
      <c r="CND3002" s="574"/>
      <c r="CNE3002" s="125"/>
      <c r="CNF3002" s="470"/>
      <c r="CNG3002" s="449"/>
      <c r="CNH3002" s="462"/>
      <c r="CNI3002" s="299"/>
      <c r="CNJ3002" s="81"/>
      <c r="CNK3002" s="160"/>
      <c r="CNL3002" s="574"/>
      <c r="CNM3002" s="125"/>
      <c r="CNN3002" s="470"/>
      <c r="CNO3002" s="449"/>
      <c r="CNP3002" s="462"/>
      <c r="CNQ3002" s="299"/>
      <c r="CNR3002" s="81"/>
      <c r="CNS3002" s="160"/>
      <c r="CNT3002" s="574"/>
      <c r="CNU3002" s="125"/>
      <c r="CNV3002" s="470"/>
      <c r="CNW3002" s="449"/>
      <c r="CNX3002" s="462"/>
      <c r="CNY3002" s="299"/>
      <c r="CNZ3002" s="81"/>
      <c r="COA3002" s="160"/>
      <c r="COB3002" s="574"/>
      <c r="COC3002" s="125"/>
      <c r="COD3002" s="470"/>
      <c r="COE3002" s="449"/>
      <c r="COF3002" s="462"/>
      <c r="COG3002" s="299"/>
      <c r="COH3002" s="81"/>
      <c r="COI3002" s="160"/>
      <c r="COJ3002" s="574"/>
      <c r="COK3002" s="125"/>
      <c r="COL3002" s="470"/>
      <c r="COM3002" s="449"/>
      <c r="CON3002" s="462"/>
      <c r="COO3002" s="299"/>
      <c r="COP3002" s="81"/>
      <c r="COQ3002" s="160"/>
      <c r="COR3002" s="574"/>
      <c r="COS3002" s="125"/>
      <c r="COT3002" s="470"/>
      <c r="COU3002" s="449"/>
      <c r="COV3002" s="462"/>
      <c r="COW3002" s="299"/>
      <c r="COX3002" s="81"/>
      <c r="COY3002" s="160"/>
      <c r="COZ3002" s="574"/>
      <c r="CPA3002" s="125"/>
      <c r="CPB3002" s="470"/>
      <c r="CPC3002" s="449"/>
      <c r="CPD3002" s="462"/>
      <c r="CPE3002" s="299"/>
      <c r="CPF3002" s="81"/>
      <c r="CPG3002" s="160"/>
      <c r="CPH3002" s="574"/>
      <c r="CPI3002" s="125"/>
      <c r="CPJ3002" s="470"/>
      <c r="CPK3002" s="449"/>
      <c r="CPL3002" s="462"/>
      <c r="CPM3002" s="299"/>
      <c r="CPN3002" s="81"/>
      <c r="CPO3002" s="160"/>
      <c r="CPP3002" s="574"/>
      <c r="CPQ3002" s="125"/>
      <c r="CPR3002" s="470"/>
      <c r="CPS3002" s="449"/>
      <c r="CPT3002" s="462"/>
      <c r="CPU3002" s="299"/>
      <c r="CPV3002" s="81"/>
      <c r="CPW3002" s="160"/>
      <c r="CPX3002" s="574"/>
      <c r="CPY3002" s="125"/>
      <c r="CPZ3002" s="470"/>
      <c r="CQA3002" s="449"/>
      <c r="CQB3002" s="462"/>
      <c r="CQC3002" s="299"/>
      <c r="CQD3002" s="81"/>
      <c r="CQE3002" s="160"/>
      <c r="CQF3002" s="574"/>
      <c r="CQG3002" s="125"/>
      <c r="CQH3002" s="470"/>
      <c r="CQI3002" s="449"/>
      <c r="CQJ3002" s="462"/>
      <c r="CQK3002" s="299"/>
      <c r="CQL3002" s="81"/>
      <c r="CQM3002" s="160"/>
      <c r="CQN3002" s="574"/>
      <c r="CQO3002" s="125"/>
      <c r="CQP3002" s="470"/>
      <c r="CQQ3002" s="449"/>
      <c r="CQR3002" s="462"/>
      <c r="CQS3002" s="299"/>
      <c r="CQT3002" s="81"/>
      <c r="CQU3002" s="160"/>
      <c r="CQV3002" s="574"/>
      <c r="CQW3002" s="125"/>
      <c r="CQX3002" s="470"/>
      <c r="CQY3002" s="449"/>
      <c r="CQZ3002" s="462"/>
      <c r="CRA3002" s="299"/>
      <c r="CRB3002" s="81"/>
      <c r="CRC3002" s="160"/>
      <c r="CRD3002" s="574"/>
      <c r="CRE3002" s="125"/>
      <c r="CRF3002" s="470"/>
      <c r="CRG3002" s="449"/>
      <c r="CRH3002" s="462"/>
      <c r="CRI3002" s="299"/>
      <c r="CRJ3002" s="81"/>
      <c r="CRK3002" s="160"/>
      <c r="CRL3002" s="574"/>
      <c r="CRM3002" s="125"/>
      <c r="CRN3002" s="470"/>
      <c r="CRO3002" s="449"/>
      <c r="CRP3002" s="462"/>
      <c r="CRQ3002" s="299"/>
      <c r="CRR3002" s="81"/>
      <c r="CRS3002" s="160"/>
      <c r="CRT3002" s="574"/>
      <c r="CRU3002" s="125"/>
      <c r="CRV3002" s="470"/>
      <c r="CRW3002" s="449"/>
      <c r="CRX3002" s="462"/>
      <c r="CRY3002" s="299"/>
      <c r="CRZ3002" s="81"/>
      <c r="CSA3002" s="160"/>
      <c r="CSB3002" s="574"/>
      <c r="CSC3002" s="125"/>
      <c r="CSD3002" s="470"/>
      <c r="CSE3002" s="449"/>
      <c r="CSF3002" s="462"/>
      <c r="CSG3002" s="299"/>
      <c r="CSH3002" s="81"/>
      <c r="CSI3002" s="160"/>
      <c r="CSJ3002" s="574"/>
      <c r="CSK3002" s="125"/>
      <c r="CSL3002" s="470"/>
      <c r="CSM3002" s="449"/>
      <c r="CSN3002" s="462"/>
      <c r="CSO3002" s="299"/>
      <c r="CSP3002" s="81"/>
      <c r="CSQ3002" s="160"/>
      <c r="CSR3002" s="574"/>
      <c r="CSS3002" s="125"/>
      <c r="CST3002" s="470"/>
      <c r="CSU3002" s="449"/>
      <c r="CSV3002" s="462"/>
      <c r="CSW3002" s="299"/>
      <c r="CSX3002" s="81"/>
      <c r="CSY3002" s="160"/>
      <c r="CSZ3002" s="574"/>
      <c r="CTA3002" s="125"/>
      <c r="CTB3002" s="470"/>
      <c r="CTC3002" s="449"/>
      <c r="CTD3002" s="462"/>
      <c r="CTE3002" s="299"/>
      <c r="CTF3002" s="81"/>
      <c r="CTG3002" s="160"/>
      <c r="CTH3002" s="574"/>
      <c r="CTI3002" s="125"/>
      <c r="CTJ3002" s="470"/>
      <c r="CTK3002" s="449"/>
      <c r="CTL3002" s="462"/>
      <c r="CTM3002" s="299"/>
      <c r="CTN3002" s="81"/>
      <c r="CTO3002" s="160"/>
      <c r="CTP3002" s="574"/>
      <c r="CTQ3002" s="125"/>
      <c r="CTR3002" s="470"/>
      <c r="CTS3002" s="449"/>
      <c r="CTT3002" s="462"/>
      <c r="CTU3002" s="299"/>
      <c r="CTV3002" s="81"/>
      <c r="CTW3002" s="160"/>
      <c r="CTX3002" s="574"/>
      <c r="CTY3002" s="125"/>
      <c r="CTZ3002" s="470"/>
      <c r="CUA3002" s="449"/>
      <c r="CUB3002" s="462"/>
      <c r="CUC3002" s="299"/>
      <c r="CUD3002" s="81"/>
      <c r="CUE3002" s="160"/>
      <c r="CUF3002" s="574"/>
      <c r="CUG3002" s="125"/>
      <c r="CUH3002" s="470"/>
      <c r="CUI3002" s="449"/>
      <c r="CUJ3002" s="462"/>
      <c r="CUK3002" s="299"/>
      <c r="CUL3002" s="81"/>
      <c r="CUM3002" s="160"/>
      <c r="CUN3002" s="574"/>
      <c r="CUO3002" s="125"/>
      <c r="CUP3002" s="470"/>
      <c r="CUQ3002" s="449"/>
      <c r="CUR3002" s="462"/>
      <c r="CUS3002" s="299"/>
      <c r="CUT3002" s="81"/>
      <c r="CUU3002" s="160"/>
      <c r="CUV3002" s="574"/>
      <c r="CUW3002" s="125"/>
      <c r="CUX3002" s="470"/>
      <c r="CUY3002" s="449"/>
      <c r="CUZ3002" s="462"/>
      <c r="CVA3002" s="299"/>
      <c r="CVB3002" s="81"/>
      <c r="CVC3002" s="160"/>
      <c r="CVD3002" s="574"/>
      <c r="CVE3002" s="125"/>
      <c r="CVF3002" s="470"/>
      <c r="CVG3002" s="449"/>
      <c r="CVH3002" s="462"/>
      <c r="CVI3002" s="299"/>
      <c r="CVJ3002" s="81"/>
      <c r="CVK3002" s="160"/>
      <c r="CVL3002" s="574"/>
      <c r="CVM3002" s="125"/>
      <c r="CVN3002" s="470"/>
      <c r="CVO3002" s="449"/>
      <c r="CVP3002" s="462"/>
      <c r="CVQ3002" s="299"/>
      <c r="CVR3002" s="81"/>
      <c r="CVS3002" s="160"/>
      <c r="CVT3002" s="574"/>
      <c r="CVU3002" s="125"/>
      <c r="CVV3002" s="470"/>
      <c r="CVW3002" s="449"/>
      <c r="CVX3002" s="462"/>
      <c r="CVY3002" s="299"/>
      <c r="CVZ3002" s="81"/>
      <c r="CWA3002" s="160"/>
      <c r="CWB3002" s="574"/>
      <c r="CWC3002" s="125"/>
      <c r="CWD3002" s="470"/>
      <c r="CWE3002" s="449"/>
      <c r="CWF3002" s="462"/>
      <c r="CWG3002" s="299"/>
      <c r="CWH3002" s="81"/>
      <c r="CWI3002" s="160"/>
      <c r="CWJ3002" s="574"/>
      <c r="CWK3002" s="125"/>
      <c r="CWL3002" s="470"/>
      <c r="CWM3002" s="449"/>
      <c r="CWN3002" s="462"/>
      <c r="CWO3002" s="299"/>
      <c r="CWP3002" s="81"/>
      <c r="CWQ3002" s="160"/>
      <c r="CWR3002" s="574"/>
      <c r="CWS3002" s="125"/>
      <c r="CWT3002" s="470"/>
      <c r="CWU3002" s="449"/>
      <c r="CWV3002" s="462"/>
      <c r="CWW3002" s="299"/>
      <c r="CWX3002" s="81"/>
      <c r="CWY3002" s="160"/>
      <c r="CWZ3002" s="574"/>
      <c r="CXA3002" s="125"/>
      <c r="CXB3002" s="470"/>
      <c r="CXC3002" s="449"/>
      <c r="CXD3002" s="462"/>
      <c r="CXE3002" s="299"/>
      <c r="CXF3002" s="81"/>
      <c r="CXG3002" s="160"/>
      <c r="CXH3002" s="574"/>
      <c r="CXI3002" s="125"/>
      <c r="CXJ3002" s="470"/>
      <c r="CXK3002" s="449"/>
      <c r="CXL3002" s="462"/>
      <c r="CXM3002" s="299"/>
      <c r="CXN3002" s="81"/>
      <c r="CXO3002" s="160"/>
      <c r="CXP3002" s="574"/>
      <c r="CXQ3002" s="125"/>
      <c r="CXR3002" s="470"/>
      <c r="CXS3002" s="449"/>
      <c r="CXT3002" s="462"/>
      <c r="CXU3002" s="299"/>
      <c r="CXV3002" s="81"/>
      <c r="CXW3002" s="160"/>
      <c r="CXX3002" s="574"/>
      <c r="CXY3002" s="125"/>
      <c r="CXZ3002" s="470"/>
      <c r="CYA3002" s="449"/>
      <c r="CYB3002" s="462"/>
      <c r="CYC3002" s="299"/>
      <c r="CYD3002" s="81"/>
      <c r="CYE3002" s="160"/>
      <c r="CYF3002" s="574"/>
      <c r="CYG3002" s="125"/>
      <c r="CYH3002" s="470"/>
      <c r="CYI3002" s="449"/>
      <c r="CYJ3002" s="462"/>
      <c r="CYK3002" s="299"/>
      <c r="CYL3002" s="81"/>
      <c r="CYM3002" s="160"/>
      <c r="CYN3002" s="574"/>
      <c r="CYO3002" s="125"/>
      <c r="CYP3002" s="470"/>
      <c r="CYQ3002" s="449"/>
      <c r="CYR3002" s="462"/>
      <c r="CYS3002" s="299"/>
      <c r="CYT3002" s="81"/>
      <c r="CYU3002" s="160"/>
      <c r="CYV3002" s="574"/>
      <c r="CYW3002" s="125"/>
      <c r="CYX3002" s="470"/>
      <c r="CYY3002" s="449"/>
      <c r="CYZ3002" s="462"/>
      <c r="CZA3002" s="299"/>
      <c r="CZB3002" s="81"/>
      <c r="CZC3002" s="160"/>
      <c r="CZD3002" s="574"/>
      <c r="CZE3002" s="125"/>
      <c r="CZF3002" s="470"/>
      <c r="CZG3002" s="449"/>
      <c r="CZH3002" s="462"/>
      <c r="CZI3002" s="299"/>
      <c r="CZJ3002" s="81"/>
      <c r="CZK3002" s="160"/>
      <c r="CZL3002" s="574"/>
      <c r="CZM3002" s="125"/>
      <c r="CZN3002" s="470"/>
      <c r="CZO3002" s="449"/>
      <c r="CZP3002" s="462"/>
      <c r="CZQ3002" s="299"/>
      <c r="CZR3002" s="81"/>
      <c r="CZS3002" s="160"/>
      <c r="CZT3002" s="574"/>
      <c r="CZU3002" s="125"/>
      <c r="CZV3002" s="470"/>
      <c r="CZW3002" s="449"/>
      <c r="CZX3002" s="462"/>
      <c r="CZY3002" s="299"/>
      <c r="CZZ3002" s="81"/>
      <c r="DAA3002" s="160"/>
      <c r="DAB3002" s="574"/>
      <c r="DAC3002" s="125"/>
      <c r="DAD3002" s="470"/>
      <c r="DAE3002" s="449"/>
      <c r="DAF3002" s="462"/>
      <c r="DAG3002" s="299"/>
      <c r="DAH3002" s="81"/>
      <c r="DAI3002" s="160"/>
      <c r="DAJ3002" s="574"/>
      <c r="DAK3002" s="125"/>
      <c r="DAL3002" s="470"/>
      <c r="DAM3002" s="449"/>
      <c r="DAN3002" s="462"/>
      <c r="DAO3002" s="299"/>
      <c r="DAP3002" s="81"/>
      <c r="DAQ3002" s="160"/>
      <c r="DAR3002" s="574"/>
      <c r="DAS3002" s="125"/>
      <c r="DAT3002" s="470"/>
      <c r="DAU3002" s="449"/>
      <c r="DAV3002" s="462"/>
      <c r="DAW3002" s="299"/>
      <c r="DAX3002" s="81"/>
      <c r="DAY3002" s="160"/>
      <c r="DAZ3002" s="574"/>
      <c r="DBA3002" s="125"/>
      <c r="DBB3002" s="470"/>
      <c r="DBC3002" s="449"/>
      <c r="DBD3002" s="462"/>
      <c r="DBE3002" s="299"/>
      <c r="DBF3002" s="81"/>
      <c r="DBG3002" s="160"/>
      <c r="DBH3002" s="574"/>
      <c r="DBI3002" s="125"/>
      <c r="DBJ3002" s="470"/>
      <c r="DBK3002" s="449"/>
      <c r="DBL3002" s="462"/>
      <c r="DBM3002" s="299"/>
      <c r="DBN3002" s="81"/>
      <c r="DBO3002" s="160"/>
      <c r="DBP3002" s="574"/>
      <c r="DBQ3002" s="125"/>
      <c r="DBR3002" s="470"/>
      <c r="DBS3002" s="449"/>
      <c r="DBT3002" s="462"/>
      <c r="DBU3002" s="299"/>
      <c r="DBV3002" s="81"/>
      <c r="DBW3002" s="160"/>
      <c r="DBX3002" s="574"/>
      <c r="DBY3002" s="125"/>
      <c r="DBZ3002" s="470"/>
      <c r="DCA3002" s="449"/>
      <c r="DCB3002" s="462"/>
      <c r="DCC3002" s="299"/>
      <c r="DCD3002" s="81"/>
      <c r="DCE3002" s="160"/>
      <c r="DCF3002" s="574"/>
      <c r="DCG3002" s="125"/>
      <c r="DCH3002" s="470"/>
      <c r="DCI3002" s="449"/>
      <c r="DCJ3002" s="462"/>
      <c r="DCK3002" s="299"/>
      <c r="DCL3002" s="81"/>
      <c r="DCM3002" s="160"/>
      <c r="DCN3002" s="574"/>
      <c r="DCO3002" s="125"/>
      <c r="DCP3002" s="470"/>
      <c r="DCQ3002" s="449"/>
      <c r="DCR3002" s="462"/>
      <c r="DCS3002" s="299"/>
      <c r="DCT3002" s="81"/>
      <c r="DCU3002" s="160"/>
      <c r="DCV3002" s="574"/>
      <c r="DCW3002" s="125"/>
      <c r="DCX3002" s="470"/>
      <c r="DCY3002" s="449"/>
      <c r="DCZ3002" s="462"/>
      <c r="DDA3002" s="299"/>
      <c r="DDB3002" s="81"/>
      <c r="DDC3002" s="160"/>
      <c r="DDD3002" s="574"/>
      <c r="DDE3002" s="125"/>
      <c r="DDF3002" s="470"/>
      <c r="DDG3002" s="449"/>
      <c r="DDH3002" s="462"/>
      <c r="DDI3002" s="299"/>
      <c r="DDJ3002" s="81"/>
      <c r="DDK3002" s="160"/>
      <c r="DDL3002" s="574"/>
      <c r="DDM3002" s="125"/>
      <c r="DDN3002" s="470"/>
      <c r="DDO3002" s="449"/>
      <c r="DDP3002" s="462"/>
      <c r="DDQ3002" s="299"/>
      <c r="DDR3002" s="81"/>
      <c r="DDS3002" s="160"/>
      <c r="DDT3002" s="574"/>
      <c r="DDU3002" s="125"/>
      <c r="DDV3002" s="470"/>
      <c r="DDW3002" s="449"/>
      <c r="DDX3002" s="462"/>
      <c r="DDY3002" s="299"/>
      <c r="DDZ3002" s="81"/>
      <c r="DEA3002" s="160"/>
      <c r="DEB3002" s="574"/>
      <c r="DEC3002" s="125"/>
      <c r="DED3002" s="470"/>
      <c r="DEE3002" s="449"/>
      <c r="DEF3002" s="462"/>
      <c r="DEG3002" s="299"/>
      <c r="DEH3002" s="81"/>
      <c r="DEI3002" s="160"/>
      <c r="DEJ3002" s="574"/>
      <c r="DEK3002" s="125"/>
      <c r="DEL3002" s="470"/>
      <c r="DEM3002" s="449"/>
      <c r="DEN3002" s="462"/>
      <c r="DEO3002" s="299"/>
      <c r="DEP3002" s="81"/>
      <c r="DEQ3002" s="160"/>
      <c r="DER3002" s="574"/>
      <c r="DES3002" s="125"/>
      <c r="DET3002" s="470"/>
      <c r="DEU3002" s="449"/>
      <c r="DEV3002" s="462"/>
      <c r="DEW3002" s="299"/>
      <c r="DEX3002" s="81"/>
      <c r="DEY3002" s="160"/>
      <c r="DEZ3002" s="574"/>
      <c r="DFA3002" s="125"/>
      <c r="DFB3002" s="470"/>
      <c r="DFC3002" s="449"/>
      <c r="DFD3002" s="462"/>
      <c r="DFE3002" s="299"/>
      <c r="DFF3002" s="81"/>
      <c r="DFG3002" s="160"/>
      <c r="DFH3002" s="574"/>
      <c r="DFI3002" s="125"/>
      <c r="DFJ3002" s="470"/>
      <c r="DFK3002" s="449"/>
      <c r="DFL3002" s="462"/>
      <c r="DFM3002" s="299"/>
      <c r="DFN3002" s="81"/>
      <c r="DFO3002" s="160"/>
      <c r="DFP3002" s="574"/>
      <c r="DFQ3002" s="125"/>
      <c r="DFR3002" s="470"/>
      <c r="DFS3002" s="449"/>
      <c r="DFT3002" s="462"/>
      <c r="DFU3002" s="299"/>
      <c r="DFV3002" s="81"/>
      <c r="DFW3002" s="160"/>
      <c r="DFX3002" s="574"/>
      <c r="DFY3002" s="125"/>
      <c r="DFZ3002" s="470"/>
      <c r="DGA3002" s="449"/>
      <c r="DGB3002" s="462"/>
      <c r="DGC3002" s="299"/>
      <c r="DGD3002" s="81"/>
      <c r="DGE3002" s="160"/>
      <c r="DGF3002" s="574"/>
      <c r="DGG3002" s="125"/>
      <c r="DGH3002" s="470"/>
      <c r="DGI3002" s="449"/>
      <c r="DGJ3002" s="462"/>
      <c r="DGK3002" s="299"/>
      <c r="DGL3002" s="81"/>
      <c r="DGM3002" s="160"/>
      <c r="DGN3002" s="574"/>
      <c r="DGO3002" s="125"/>
      <c r="DGP3002" s="470"/>
      <c r="DGQ3002" s="449"/>
      <c r="DGR3002" s="462"/>
      <c r="DGS3002" s="299"/>
      <c r="DGT3002" s="81"/>
      <c r="DGU3002" s="160"/>
      <c r="DGV3002" s="574"/>
      <c r="DGW3002" s="125"/>
      <c r="DGX3002" s="470"/>
      <c r="DGY3002" s="449"/>
      <c r="DGZ3002" s="462"/>
      <c r="DHA3002" s="299"/>
      <c r="DHB3002" s="81"/>
      <c r="DHC3002" s="160"/>
      <c r="DHD3002" s="574"/>
      <c r="DHE3002" s="125"/>
      <c r="DHF3002" s="470"/>
      <c r="DHG3002" s="449"/>
      <c r="DHH3002" s="462"/>
      <c r="DHI3002" s="299"/>
      <c r="DHJ3002" s="81"/>
      <c r="DHK3002" s="160"/>
      <c r="DHL3002" s="574"/>
      <c r="DHM3002" s="125"/>
      <c r="DHN3002" s="470"/>
      <c r="DHO3002" s="449"/>
      <c r="DHP3002" s="462"/>
      <c r="DHQ3002" s="299"/>
      <c r="DHR3002" s="81"/>
      <c r="DHS3002" s="160"/>
      <c r="DHT3002" s="574"/>
      <c r="DHU3002" s="125"/>
      <c r="DHV3002" s="470"/>
      <c r="DHW3002" s="449"/>
      <c r="DHX3002" s="462"/>
      <c r="DHY3002" s="299"/>
      <c r="DHZ3002" s="81"/>
      <c r="DIA3002" s="160"/>
      <c r="DIB3002" s="574"/>
      <c r="DIC3002" s="125"/>
      <c r="DID3002" s="470"/>
      <c r="DIE3002" s="449"/>
      <c r="DIF3002" s="462"/>
      <c r="DIG3002" s="299"/>
      <c r="DIH3002" s="81"/>
      <c r="DII3002" s="160"/>
      <c r="DIJ3002" s="574"/>
      <c r="DIK3002" s="125"/>
      <c r="DIL3002" s="470"/>
      <c r="DIM3002" s="449"/>
      <c r="DIN3002" s="462"/>
      <c r="DIO3002" s="299"/>
      <c r="DIP3002" s="81"/>
      <c r="DIQ3002" s="160"/>
      <c r="DIR3002" s="574"/>
      <c r="DIS3002" s="125"/>
      <c r="DIT3002" s="470"/>
      <c r="DIU3002" s="449"/>
      <c r="DIV3002" s="462"/>
      <c r="DIW3002" s="299"/>
      <c r="DIX3002" s="81"/>
      <c r="DIY3002" s="160"/>
      <c r="DIZ3002" s="574"/>
      <c r="DJA3002" s="125"/>
      <c r="DJB3002" s="470"/>
      <c r="DJC3002" s="449"/>
      <c r="DJD3002" s="462"/>
      <c r="DJE3002" s="299"/>
      <c r="DJF3002" s="81"/>
      <c r="DJG3002" s="160"/>
      <c r="DJH3002" s="574"/>
      <c r="DJI3002" s="125"/>
      <c r="DJJ3002" s="470"/>
      <c r="DJK3002" s="449"/>
      <c r="DJL3002" s="462"/>
      <c r="DJM3002" s="299"/>
      <c r="DJN3002" s="81"/>
      <c r="DJO3002" s="160"/>
      <c r="DJP3002" s="574"/>
      <c r="DJQ3002" s="125"/>
      <c r="DJR3002" s="470"/>
      <c r="DJS3002" s="449"/>
      <c r="DJT3002" s="462"/>
      <c r="DJU3002" s="299"/>
      <c r="DJV3002" s="81"/>
      <c r="DJW3002" s="160"/>
      <c r="DJX3002" s="574"/>
      <c r="DJY3002" s="125"/>
      <c r="DJZ3002" s="470"/>
      <c r="DKA3002" s="449"/>
      <c r="DKB3002" s="462"/>
      <c r="DKC3002" s="299"/>
      <c r="DKD3002" s="81"/>
      <c r="DKE3002" s="160"/>
      <c r="DKF3002" s="574"/>
      <c r="DKG3002" s="125"/>
      <c r="DKH3002" s="470"/>
      <c r="DKI3002" s="449"/>
      <c r="DKJ3002" s="462"/>
      <c r="DKK3002" s="299"/>
      <c r="DKL3002" s="81"/>
      <c r="DKM3002" s="160"/>
      <c r="DKN3002" s="574"/>
      <c r="DKO3002" s="125"/>
      <c r="DKP3002" s="470"/>
      <c r="DKQ3002" s="449"/>
      <c r="DKR3002" s="462"/>
      <c r="DKS3002" s="299"/>
      <c r="DKT3002" s="81"/>
      <c r="DKU3002" s="160"/>
      <c r="DKV3002" s="574"/>
      <c r="DKW3002" s="125"/>
      <c r="DKX3002" s="470"/>
      <c r="DKY3002" s="449"/>
      <c r="DKZ3002" s="462"/>
      <c r="DLA3002" s="299"/>
      <c r="DLB3002" s="81"/>
      <c r="DLC3002" s="160"/>
      <c r="DLD3002" s="574"/>
      <c r="DLE3002" s="125"/>
      <c r="DLF3002" s="470"/>
      <c r="DLG3002" s="449"/>
      <c r="DLH3002" s="462"/>
      <c r="DLI3002" s="299"/>
      <c r="DLJ3002" s="81"/>
      <c r="DLK3002" s="160"/>
      <c r="DLL3002" s="574"/>
      <c r="DLM3002" s="125"/>
      <c r="DLN3002" s="470"/>
      <c r="DLO3002" s="449"/>
      <c r="DLP3002" s="462"/>
      <c r="DLQ3002" s="299"/>
      <c r="DLR3002" s="81"/>
      <c r="DLS3002" s="160"/>
      <c r="DLT3002" s="574"/>
      <c r="DLU3002" s="125"/>
      <c r="DLV3002" s="470"/>
      <c r="DLW3002" s="449"/>
      <c r="DLX3002" s="462"/>
      <c r="DLY3002" s="299"/>
      <c r="DLZ3002" s="81"/>
      <c r="DMA3002" s="160"/>
      <c r="DMB3002" s="574"/>
      <c r="DMC3002" s="125"/>
      <c r="DMD3002" s="470"/>
      <c r="DME3002" s="449"/>
      <c r="DMF3002" s="462"/>
      <c r="DMG3002" s="299"/>
      <c r="DMH3002" s="81"/>
      <c r="DMI3002" s="160"/>
      <c r="DMJ3002" s="574"/>
      <c r="DMK3002" s="125"/>
      <c r="DML3002" s="470"/>
      <c r="DMM3002" s="449"/>
      <c r="DMN3002" s="462"/>
      <c r="DMO3002" s="299"/>
      <c r="DMP3002" s="81"/>
      <c r="DMQ3002" s="160"/>
      <c r="DMR3002" s="574"/>
      <c r="DMS3002" s="125"/>
      <c r="DMT3002" s="470"/>
      <c r="DMU3002" s="449"/>
      <c r="DMV3002" s="462"/>
      <c r="DMW3002" s="299"/>
      <c r="DMX3002" s="81"/>
      <c r="DMY3002" s="160"/>
      <c r="DMZ3002" s="574"/>
      <c r="DNA3002" s="125"/>
      <c r="DNB3002" s="470"/>
      <c r="DNC3002" s="449"/>
      <c r="DND3002" s="462"/>
      <c r="DNE3002" s="299"/>
      <c r="DNF3002" s="81"/>
      <c r="DNG3002" s="160"/>
      <c r="DNH3002" s="574"/>
      <c r="DNI3002" s="125"/>
      <c r="DNJ3002" s="470"/>
      <c r="DNK3002" s="449"/>
      <c r="DNL3002" s="462"/>
      <c r="DNM3002" s="299"/>
      <c r="DNN3002" s="81"/>
      <c r="DNO3002" s="160"/>
      <c r="DNP3002" s="574"/>
      <c r="DNQ3002" s="125"/>
      <c r="DNR3002" s="470"/>
      <c r="DNS3002" s="449"/>
      <c r="DNT3002" s="462"/>
      <c r="DNU3002" s="299"/>
      <c r="DNV3002" s="81"/>
      <c r="DNW3002" s="160"/>
      <c r="DNX3002" s="574"/>
      <c r="DNY3002" s="125"/>
      <c r="DNZ3002" s="470"/>
      <c r="DOA3002" s="449"/>
      <c r="DOB3002" s="462"/>
      <c r="DOC3002" s="299"/>
      <c r="DOD3002" s="81"/>
      <c r="DOE3002" s="160"/>
      <c r="DOF3002" s="574"/>
      <c r="DOG3002" s="125"/>
      <c r="DOH3002" s="470"/>
      <c r="DOI3002" s="449"/>
      <c r="DOJ3002" s="462"/>
      <c r="DOK3002" s="299"/>
      <c r="DOL3002" s="81"/>
      <c r="DOM3002" s="160"/>
      <c r="DON3002" s="574"/>
      <c r="DOO3002" s="125"/>
      <c r="DOP3002" s="470"/>
      <c r="DOQ3002" s="449"/>
      <c r="DOR3002" s="462"/>
      <c r="DOS3002" s="299"/>
      <c r="DOT3002" s="81"/>
      <c r="DOU3002" s="160"/>
      <c r="DOV3002" s="574"/>
      <c r="DOW3002" s="125"/>
      <c r="DOX3002" s="470"/>
      <c r="DOY3002" s="449"/>
      <c r="DOZ3002" s="462"/>
      <c r="DPA3002" s="299"/>
      <c r="DPB3002" s="81"/>
      <c r="DPC3002" s="160"/>
      <c r="DPD3002" s="574"/>
      <c r="DPE3002" s="125"/>
      <c r="DPF3002" s="470"/>
      <c r="DPG3002" s="449"/>
      <c r="DPH3002" s="462"/>
      <c r="DPI3002" s="299"/>
      <c r="DPJ3002" s="81"/>
      <c r="DPK3002" s="160"/>
      <c r="DPL3002" s="574"/>
      <c r="DPM3002" s="125"/>
      <c r="DPN3002" s="470"/>
      <c r="DPO3002" s="449"/>
      <c r="DPP3002" s="462"/>
      <c r="DPQ3002" s="299"/>
      <c r="DPR3002" s="81"/>
      <c r="DPS3002" s="160"/>
      <c r="DPT3002" s="574"/>
      <c r="DPU3002" s="125"/>
      <c r="DPV3002" s="470"/>
      <c r="DPW3002" s="449"/>
      <c r="DPX3002" s="462"/>
      <c r="DPY3002" s="299"/>
      <c r="DPZ3002" s="81"/>
      <c r="DQA3002" s="160"/>
      <c r="DQB3002" s="574"/>
      <c r="DQC3002" s="125"/>
      <c r="DQD3002" s="470"/>
      <c r="DQE3002" s="449"/>
      <c r="DQF3002" s="462"/>
      <c r="DQG3002" s="299"/>
      <c r="DQH3002" s="81"/>
      <c r="DQI3002" s="160"/>
      <c r="DQJ3002" s="574"/>
      <c r="DQK3002" s="125"/>
      <c r="DQL3002" s="470"/>
      <c r="DQM3002" s="449"/>
      <c r="DQN3002" s="462"/>
      <c r="DQO3002" s="299"/>
      <c r="DQP3002" s="81"/>
      <c r="DQQ3002" s="160"/>
      <c r="DQR3002" s="574"/>
      <c r="DQS3002" s="125"/>
      <c r="DQT3002" s="470"/>
      <c r="DQU3002" s="449"/>
      <c r="DQV3002" s="462"/>
      <c r="DQW3002" s="299"/>
      <c r="DQX3002" s="81"/>
      <c r="DQY3002" s="160"/>
      <c r="DQZ3002" s="574"/>
      <c r="DRA3002" s="125"/>
      <c r="DRB3002" s="470"/>
      <c r="DRC3002" s="449"/>
      <c r="DRD3002" s="462"/>
      <c r="DRE3002" s="299"/>
      <c r="DRF3002" s="81"/>
      <c r="DRG3002" s="160"/>
      <c r="DRH3002" s="574"/>
      <c r="DRI3002" s="125"/>
      <c r="DRJ3002" s="470"/>
      <c r="DRK3002" s="449"/>
      <c r="DRL3002" s="462"/>
      <c r="DRM3002" s="299"/>
      <c r="DRN3002" s="81"/>
      <c r="DRO3002" s="160"/>
      <c r="DRP3002" s="574"/>
      <c r="DRQ3002" s="125"/>
      <c r="DRR3002" s="470"/>
      <c r="DRS3002" s="449"/>
      <c r="DRT3002" s="462"/>
      <c r="DRU3002" s="299"/>
      <c r="DRV3002" s="81"/>
      <c r="DRW3002" s="160"/>
      <c r="DRX3002" s="574"/>
      <c r="DRY3002" s="125"/>
      <c r="DRZ3002" s="470"/>
      <c r="DSA3002" s="449"/>
      <c r="DSB3002" s="462"/>
      <c r="DSC3002" s="299"/>
      <c r="DSD3002" s="81"/>
      <c r="DSE3002" s="160"/>
      <c r="DSF3002" s="574"/>
      <c r="DSG3002" s="125"/>
      <c r="DSH3002" s="470"/>
      <c r="DSI3002" s="449"/>
      <c r="DSJ3002" s="462"/>
      <c r="DSK3002" s="299"/>
      <c r="DSL3002" s="81"/>
      <c r="DSM3002" s="160"/>
      <c r="DSN3002" s="574"/>
      <c r="DSO3002" s="125"/>
      <c r="DSP3002" s="470"/>
      <c r="DSQ3002" s="449"/>
      <c r="DSR3002" s="462"/>
      <c r="DSS3002" s="299"/>
      <c r="DST3002" s="81"/>
      <c r="DSU3002" s="160"/>
      <c r="DSV3002" s="574"/>
      <c r="DSW3002" s="125"/>
      <c r="DSX3002" s="470"/>
      <c r="DSY3002" s="449"/>
      <c r="DSZ3002" s="462"/>
      <c r="DTA3002" s="299"/>
      <c r="DTB3002" s="81"/>
      <c r="DTC3002" s="160"/>
      <c r="DTD3002" s="574"/>
      <c r="DTE3002" s="125"/>
      <c r="DTF3002" s="470"/>
      <c r="DTG3002" s="449"/>
      <c r="DTH3002" s="462"/>
      <c r="DTI3002" s="299"/>
      <c r="DTJ3002" s="81"/>
      <c r="DTK3002" s="160"/>
      <c r="DTL3002" s="574"/>
      <c r="DTM3002" s="125"/>
      <c r="DTN3002" s="470"/>
      <c r="DTO3002" s="449"/>
      <c r="DTP3002" s="462"/>
      <c r="DTQ3002" s="299"/>
      <c r="DTR3002" s="81"/>
      <c r="DTS3002" s="160"/>
      <c r="DTT3002" s="574"/>
      <c r="DTU3002" s="125"/>
      <c r="DTV3002" s="470"/>
      <c r="DTW3002" s="449"/>
      <c r="DTX3002" s="462"/>
      <c r="DTY3002" s="299"/>
      <c r="DTZ3002" s="81"/>
      <c r="DUA3002" s="160"/>
      <c r="DUB3002" s="574"/>
      <c r="DUC3002" s="125"/>
      <c r="DUD3002" s="470"/>
      <c r="DUE3002" s="449"/>
      <c r="DUF3002" s="462"/>
      <c r="DUG3002" s="299"/>
      <c r="DUH3002" s="81"/>
      <c r="DUI3002" s="160"/>
      <c r="DUJ3002" s="574"/>
      <c r="DUK3002" s="125"/>
      <c r="DUL3002" s="470"/>
      <c r="DUM3002" s="449"/>
      <c r="DUN3002" s="462"/>
      <c r="DUO3002" s="299"/>
      <c r="DUP3002" s="81"/>
      <c r="DUQ3002" s="160"/>
      <c r="DUR3002" s="574"/>
      <c r="DUS3002" s="125"/>
      <c r="DUT3002" s="470"/>
      <c r="DUU3002" s="449"/>
      <c r="DUV3002" s="462"/>
      <c r="DUW3002" s="299"/>
      <c r="DUX3002" s="81"/>
      <c r="DUY3002" s="160"/>
      <c r="DUZ3002" s="574"/>
      <c r="DVA3002" s="125"/>
      <c r="DVB3002" s="470"/>
      <c r="DVC3002" s="449"/>
      <c r="DVD3002" s="462"/>
      <c r="DVE3002" s="299"/>
      <c r="DVF3002" s="81"/>
      <c r="DVG3002" s="160"/>
      <c r="DVH3002" s="574"/>
      <c r="DVI3002" s="125"/>
      <c r="DVJ3002" s="470"/>
      <c r="DVK3002" s="449"/>
      <c r="DVL3002" s="462"/>
      <c r="DVM3002" s="299"/>
      <c r="DVN3002" s="81"/>
      <c r="DVO3002" s="160"/>
      <c r="DVP3002" s="574"/>
      <c r="DVQ3002" s="125"/>
      <c r="DVR3002" s="470"/>
      <c r="DVS3002" s="449"/>
      <c r="DVT3002" s="462"/>
      <c r="DVU3002" s="299"/>
      <c r="DVV3002" s="81"/>
      <c r="DVW3002" s="160"/>
      <c r="DVX3002" s="574"/>
      <c r="DVY3002" s="125"/>
      <c r="DVZ3002" s="470"/>
      <c r="DWA3002" s="449"/>
      <c r="DWB3002" s="462"/>
      <c r="DWC3002" s="299"/>
      <c r="DWD3002" s="81"/>
      <c r="DWE3002" s="160"/>
      <c r="DWF3002" s="574"/>
      <c r="DWG3002" s="125"/>
      <c r="DWH3002" s="470"/>
      <c r="DWI3002" s="449"/>
      <c r="DWJ3002" s="462"/>
      <c r="DWK3002" s="299"/>
      <c r="DWL3002" s="81"/>
      <c r="DWM3002" s="160"/>
      <c r="DWN3002" s="574"/>
      <c r="DWO3002" s="125"/>
      <c r="DWP3002" s="470"/>
      <c r="DWQ3002" s="449"/>
      <c r="DWR3002" s="462"/>
      <c r="DWS3002" s="299"/>
      <c r="DWT3002" s="81"/>
      <c r="DWU3002" s="160"/>
      <c r="DWV3002" s="574"/>
      <c r="DWW3002" s="125"/>
      <c r="DWX3002" s="470"/>
      <c r="DWY3002" s="449"/>
      <c r="DWZ3002" s="462"/>
      <c r="DXA3002" s="299"/>
      <c r="DXB3002" s="81"/>
      <c r="DXC3002" s="160"/>
      <c r="DXD3002" s="574"/>
      <c r="DXE3002" s="125"/>
      <c r="DXF3002" s="470"/>
      <c r="DXG3002" s="449"/>
      <c r="DXH3002" s="462"/>
      <c r="DXI3002" s="299"/>
      <c r="DXJ3002" s="81"/>
      <c r="DXK3002" s="160"/>
      <c r="DXL3002" s="574"/>
      <c r="DXM3002" s="125"/>
      <c r="DXN3002" s="470"/>
      <c r="DXO3002" s="449"/>
      <c r="DXP3002" s="462"/>
      <c r="DXQ3002" s="299"/>
      <c r="DXR3002" s="81"/>
      <c r="DXS3002" s="160"/>
      <c r="DXT3002" s="574"/>
      <c r="DXU3002" s="125"/>
      <c r="DXV3002" s="470"/>
      <c r="DXW3002" s="449"/>
      <c r="DXX3002" s="462"/>
      <c r="DXY3002" s="299"/>
      <c r="DXZ3002" s="81"/>
      <c r="DYA3002" s="160"/>
      <c r="DYB3002" s="574"/>
      <c r="DYC3002" s="125"/>
      <c r="DYD3002" s="470"/>
      <c r="DYE3002" s="449"/>
      <c r="DYF3002" s="462"/>
      <c r="DYG3002" s="299"/>
      <c r="DYH3002" s="81"/>
      <c r="DYI3002" s="160"/>
      <c r="DYJ3002" s="574"/>
      <c r="DYK3002" s="125"/>
      <c r="DYL3002" s="470"/>
      <c r="DYM3002" s="449"/>
      <c r="DYN3002" s="462"/>
      <c r="DYO3002" s="299"/>
      <c r="DYP3002" s="81"/>
      <c r="DYQ3002" s="160"/>
      <c r="DYR3002" s="574"/>
      <c r="DYS3002" s="125"/>
      <c r="DYT3002" s="470"/>
      <c r="DYU3002" s="449"/>
      <c r="DYV3002" s="462"/>
      <c r="DYW3002" s="299"/>
      <c r="DYX3002" s="81"/>
      <c r="DYY3002" s="160"/>
      <c r="DYZ3002" s="574"/>
      <c r="DZA3002" s="125"/>
      <c r="DZB3002" s="470"/>
      <c r="DZC3002" s="449"/>
      <c r="DZD3002" s="462"/>
      <c r="DZE3002" s="299"/>
      <c r="DZF3002" s="81"/>
      <c r="DZG3002" s="160"/>
      <c r="DZH3002" s="574"/>
      <c r="DZI3002" s="125"/>
      <c r="DZJ3002" s="470"/>
      <c r="DZK3002" s="449"/>
      <c r="DZL3002" s="462"/>
      <c r="DZM3002" s="299"/>
      <c r="DZN3002" s="81"/>
      <c r="DZO3002" s="160"/>
      <c r="DZP3002" s="574"/>
      <c r="DZQ3002" s="125"/>
      <c r="DZR3002" s="470"/>
      <c r="DZS3002" s="449"/>
      <c r="DZT3002" s="462"/>
      <c r="DZU3002" s="299"/>
      <c r="DZV3002" s="81"/>
      <c r="DZW3002" s="160"/>
      <c r="DZX3002" s="574"/>
      <c r="DZY3002" s="125"/>
      <c r="DZZ3002" s="470"/>
      <c r="EAA3002" s="449"/>
      <c r="EAB3002" s="462"/>
      <c r="EAC3002" s="299"/>
      <c r="EAD3002" s="81"/>
      <c r="EAE3002" s="160"/>
      <c r="EAF3002" s="574"/>
      <c r="EAG3002" s="125"/>
      <c r="EAH3002" s="470"/>
      <c r="EAI3002" s="449"/>
      <c r="EAJ3002" s="462"/>
      <c r="EAK3002" s="299"/>
      <c r="EAL3002" s="81"/>
      <c r="EAM3002" s="160"/>
      <c r="EAN3002" s="574"/>
      <c r="EAO3002" s="125"/>
      <c r="EAP3002" s="470"/>
      <c r="EAQ3002" s="449"/>
      <c r="EAR3002" s="462"/>
      <c r="EAS3002" s="299"/>
      <c r="EAT3002" s="81"/>
      <c r="EAU3002" s="160"/>
      <c r="EAV3002" s="574"/>
      <c r="EAW3002" s="125"/>
      <c r="EAX3002" s="470"/>
      <c r="EAY3002" s="449"/>
      <c r="EAZ3002" s="462"/>
      <c r="EBA3002" s="299"/>
      <c r="EBB3002" s="81"/>
      <c r="EBC3002" s="160"/>
      <c r="EBD3002" s="574"/>
      <c r="EBE3002" s="125"/>
      <c r="EBF3002" s="470"/>
      <c r="EBG3002" s="449"/>
      <c r="EBH3002" s="462"/>
      <c r="EBI3002" s="299"/>
      <c r="EBJ3002" s="81"/>
      <c r="EBK3002" s="160"/>
      <c r="EBL3002" s="574"/>
      <c r="EBM3002" s="125"/>
      <c r="EBN3002" s="470"/>
      <c r="EBO3002" s="449"/>
      <c r="EBP3002" s="462"/>
      <c r="EBQ3002" s="299"/>
      <c r="EBR3002" s="81"/>
      <c r="EBS3002" s="160"/>
      <c r="EBT3002" s="574"/>
      <c r="EBU3002" s="125"/>
      <c r="EBV3002" s="470"/>
      <c r="EBW3002" s="449"/>
      <c r="EBX3002" s="462"/>
      <c r="EBY3002" s="299"/>
      <c r="EBZ3002" s="81"/>
      <c r="ECA3002" s="160"/>
      <c r="ECB3002" s="574"/>
      <c r="ECC3002" s="125"/>
      <c r="ECD3002" s="470"/>
      <c r="ECE3002" s="449"/>
      <c r="ECF3002" s="462"/>
      <c r="ECG3002" s="299"/>
      <c r="ECH3002" s="81"/>
      <c r="ECI3002" s="160"/>
      <c r="ECJ3002" s="574"/>
      <c r="ECK3002" s="125"/>
      <c r="ECL3002" s="470"/>
      <c r="ECM3002" s="449"/>
      <c r="ECN3002" s="462"/>
      <c r="ECO3002" s="299"/>
      <c r="ECP3002" s="81"/>
      <c r="ECQ3002" s="160"/>
      <c r="ECR3002" s="574"/>
      <c r="ECS3002" s="125"/>
      <c r="ECT3002" s="470"/>
      <c r="ECU3002" s="449"/>
      <c r="ECV3002" s="462"/>
      <c r="ECW3002" s="299"/>
      <c r="ECX3002" s="81"/>
      <c r="ECY3002" s="160"/>
      <c r="ECZ3002" s="574"/>
      <c r="EDA3002" s="125"/>
      <c r="EDB3002" s="470"/>
      <c r="EDC3002" s="449"/>
      <c r="EDD3002" s="462"/>
      <c r="EDE3002" s="299"/>
      <c r="EDF3002" s="81"/>
      <c r="EDG3002" s="160"/>
      <c r="EDH3002" s="574"/>
      <c r="EDI3002" s="125"/>
      <c r="EDJ3002" s="470"/>
      <c r="EDK3002" s="449"/>
      <c r="EDL3002" s="462"/>
      <c r="EDM3002" s="299"/>
      <c r="EDN3002" s="81"/>
      <c r="EDO3002" s="160"/>
      <c r="EDP3002" s="574"/>
      <c r="EDQ3002" s="125"/>
      <c r="EDR3002" s="470"/>
      <c r="EDS3002" s="449"/>
      <c r="EDT3002" s="462"/>
      <c r="EDU3002" s="299"/>
      <c r="EDV3002" s="81"/>
      <c r="EDW3002" s="160"/>
      <c r="EDX3002" s="574"/>
      <c r="EDY3002" s="125"/>
      <c r="EDZ3002" s="470"/>
      <c r="EEA3002" s="449"/>
      <c r="EEB3002" s="462"/>
      <c r="EEC3002" s="299"/>
      <c r="EED3002" s="81"/>
      <c r="EEE3002" s="160"/>
      <c r="EEF3002" s="574"/>
      <c r="EEG3002" s="125"/>
      <c r="EEH3002" s="470"/>
      <c r="EEI3002" s="449"/>
      <c r="EEJ3002" s="462"/>
      <c r="EEK3002" s="299"/>
      <c r="EEL3002" s="81"/>
      <c r="EEM3002" s="160"/>
      <c r="EEN3002" s="574"/>
      <c r="EEO3002" s="125"/>
      <c r="EEP3002" s="470"/>
      <c r="EEQ3002" s="449"/>
      <c r="EER3002" s="462"/>
      <c r="EES3002" s="299"/>
      <c r="EET3002" s="81"/>
      <c r="EEU3002" s="160"/>
      <c r="EEV3002" s="574"/>
      <c r="EEW3002" s="125"/>
      <c r="EEX3002" s="470"/>
      <c r="EEY3002" s="449"/>
      <c r="EEZ3002" s="462"/>
      <c r="EFA3002" s="299"/>
      <c r="EFB3002" s="81"/>
      <c r="EFC3002" s="160"/>
      <c r="EFD3002" s="574"/>
      <c r="EFE3002" s="125"/>
      <c r="EFF3002" s="470"/>
      <c r="EFG3002" s="449"/>
      <c r="EFH3002" s="462"/>
      <c r="EFI3002" s="299"/>
      <c r="EFJ3002" s="81"/>
      <c r="EFK3002" s="160"/>
      <c r="EFL3002" s="574"/>
      <c r="EFM3002" s="125"/>
      <c r="EFN3002" s="470"/>
      <c r="EFO3002" s="449"/>
      <c r="EFP3002" s="462"/>
      <c r="EFQ3002" s="299"/>
      <c r="EFR3002" s="81"/>
      <c r="EFS3002" s="160"/>
      <c r="EFT3002" s="574"/>
      <c r="EFU3002" s="125"/>
      <c r="EFV3002" s="470"/>
      <c r="EFW3002" s="449"/>
      <c r="EFX3002" s="462"/>
      <c r="EFY3002" s="299"/>
      <c r="EFZ3002" s="81"/>
      <c r="EGA3002" s="160"/>
      <c r="EGB3002" s="574"/>
      <c r="EGC3002" s="125"/>
      <c r="EGD3002" s="470"/>
      <c r="EGE3002" s="449"/>
      <c r="EGF3002" s="462"/>
      <c r="EGG3002" s="299"/>
      <c r="EGH3002" s="81"/>
      <c r="EGI3002" s="160"/>
      <c r="EGJ3002" s="574"/>
      <c r="EGK3002" s="125"/>
      <c r="EGL3002" s="470"/>
      <c r="EGM3002" s="449"/>
      <c r="EGN3002" s="462"/>
      <c r="EGO3002" s="299"/>
      <c r="EGP3002" s="81"/>
      <c r="EGQ3002" s="160"/>
      <c r="EGR3002" s="574"/>
      <c r="EGS3002" s="125"/>
      <c r="EGT3002" s="470"/>
      <c r="EGU3002" s="449"/>
      <c r="EGV3002" s="462"/>
      <c r="EGW3002" s="299"/>
      <c r="EGX3002" s="81"/>
      <c r="EGY3002" s="160"/>
      <c r="EGZ3002" s="574"/>
      <c r="EHA3002" s="125"/>
      <c r="EHB3002" s="470"/>
      <c r="EHC3002" s="449"/>
      <c r="EHD3002" s="462"/>
      <c r="EHE3002" s="299"/>
      <c r="EHF3002" s="81"/>
      <c r="EHG3002" s="160"/>
      <c r="EHH3002" s="574"/>
      <c r="EHI3002" s="125"/>
      <c r="EHJ3002" s="470"/>
      <c r="EHK3002" s="449"/>
      <c r="EHL3002" s="462"/>
      <c r="EHM3002" s="299"/>
      <c r="EHN3002" s="81"/>
      <c r="EHO3002" s="160"/>
      <c r="EHP3002" s="574"/>
      <c r="EHQ3002" s="125"/>
      <c r="EHR3002" s="470"/>
      <c r="EHS3002" s="449"/>
      <c r="EHT3002" s="462"/>
      <c r="EHU3002" s="299"/>
      <c r="EHV3002" s="81"/>
      <c r="EHW3002" s="160"/>
      <c r="EHX3002" s="574"/>
      <c r="EHY3002" s="125"/>
      <c r="EHZ3002" s="470"/>
      <c r="EIA3002" s="449"/>
      <c r="EIB3002" s="462"/>
      <c r="EIC3002" s="299"/>
      <c r="EID3002" s="81"/>
      <c r="EIE3002" s="160"/>
      <c r="EIF3002" s="574"/>
      <c r="EIG3002" s="125"/>
      <c r="EIH3002" s="470"/>
      <c r="EII3002" s="449"/>
      <c r="EIJ3002" s="462"/>
      <c r="EIK3002" s="299"/>
      <c r="EIL3002" s="81"/>
      <c r="EIM3002" s="160"/>
      <c r="EIN3002" s="574"/>
      <c r="EIO3002" s="125"/>
      <c r="EIP3002" s="470"/>
      <c r="EIQ3002" s="449"/>
      <c r="EIR3002" s="462"/>
      <c r="EIS3002" s="299"/>
      <c r="EIT3002" s="81"/>
      <c r="EIU3002" s="160"/>
      <c r="EIV3002" s="574"/>
      <c r="EIW3002" s="125"/>
      <c r="EIX3002" s="470"/>
      <c r="EIY3002" s="449"/>
      <c r="EIZ3002" s="462"/>
      <c r="EJA3002" s="299"/>
      <c r="EJB3002" s="81"/>
      <c r="EJC3002" s="160"/>
      <c r="EJD3002" s="574"/>
      <c r="EJE3002" s="125"/>
      <c r="EJF3002" s="470"/>
      <c r="EJG3002" s="449"/>
      <c r="EJH3002" s="462"/>
      <c r="EJI3002" s="299"/>
      <c r="EJJ3002" s="81"/>
      <c r="EJK3002" s="160"/>
      <c r="EJL3002" s="574"/>
      <c r="EJM3002" s="125"/>
      <c r="EJN3002" s="470"/>
      <c r="EJO3002" s="449"/>
      <c r="EJP3002" s="462"/>
      <c r="EJQ3002" s="299"/>
      <c r="EJR3002" s="81"/>
      <c r="EJS3002" s="160"/>
      <c r="EJT3002" s="574"/>
      <c r="EJU3002" s="125"/>
      <c r="EJV3002" s="470"/>
      <c r="EJW3002" s="449"/>
      <c r="EJX3002" s="462"/>
      <c r="EJY3002" s="299"/>
      <c r="EJZ3002" s="81"/>
      <c r="EKA3002" s="160"/>
      <c r="EKB3002" s="574"/>
      <c r="EKC3002" s="125"/>
      <c r="EKD3002" s="470"/>
      <c r="EKE3002" s="449"/>
      <c r="EKF3002" s="462"/>
      <c r="EKG3002" s="299"/>
      <c r="EKH3002" s="81"/>
      <c r="EKI3002" s="160"/>
      <c r="EKJ3002" s="574"/>
      <c r="EKK3002" s="125"/>
      <c r="EKL3002" s="470"/>
      <c r="EKM3002" s="449"/>
      <c r="EKN3002" s="462"/>
      <c r="EKO3002" s="299"/>
      <c r="EKP3002" s="81"/>
      <c r="EKQ3002" s="160"/>
      <c r="EKR3002" s="574"/>
      <c r="EKS3002" s="125"/>
      <c r="EKT3002" s="470"/>
      <c r="EKU3002" s="449"/>
      <c r="EKV3002" s="462"/>
      <c r="EKW3002" s="299"/>
      <c r="EKX3002" s="81"/>
      <c r="EKY3002" s="160"/>
      <c r="EKZ3002" s="574"/>
      <c r="ELA3002" s="125"/>
      <c r="ELB3002" s="470"/>
      <c r="ELC3002" s="449"/>
      <c r="ELD3002" s="462"/>
      <c r="ELE3002" s="299"/>
      <c r="ELF3002" s="81"/>
      <c r="ELG3002" s="160"/>
      <c r="ELH3002" s="574"/>
      <c r="ELI3002" s="125"/>
      <c r="ELJ3002" s="470"/>
      <c r="ELK3002" s="449"/>
      <c r="ELL3002" s="462"/>
      <c r="ELM3002" s="299"/>
      <c r="ELN3002" s="81"/>
      <c r="ELO3002" s="160"/>
      <c r="ELP3002" s="574"/>
      <c r="ELQ3002" s="125"/>
      <c r="ELR3002" s="470"/>
      <c r="ELS3002" s="449"/>
      <c r="ELT3002" s="462"/>
      <c r="ELU3002" s="299"/>
      <c r="ELV3002" s="81"/>
      <c r="ELW3002" s="160"/>
      <c r="ELX3002" s="574"/>
      <c r="ELY3002" s="125"/>
      <c r="ELZ3002" s="470"/>
      <c r="EMA3002" s="449"/>
      <c r="EMB3002" s="462"/>
      <c r="EMC3002" s="299"/>
      <c r="EMD3002" s="81"/>
      <c r="EME3002" s="160"/>
      <c r="EMF3002" s="574"/>
      <c r="EMG3002" s="125"/>
      <c r="EMH3002" s="470"/>
      <c r="EMI3002" s="449"/>
      <c r="EMJ3002" s="462"/>
      <c r="EMK3002" s="299"/>
      <c r="EML3002" s="81"/>
      <c r="EMM3002" s="160"/>
      <c r="EMN3002" s="574"/>
      <c r="EMO3002" s="125"/>
      <c r="EMP3002" s="470"/>
      <c r="EMQ3002" s="449"/>
      <c r="EMR3002" s="462"/>
      <c r="EMS3002" s="299"/>
      <c r="EMT3002" s="81"/>
      <c r="EMU3002" s="160"/>
      <c r="EMV3002" s="574"/>
      <c r="EMW3002" s="125"/>
      <c r="EMX3002" s="470"/>
      <c r="EMY3002" s="449"/>
      <c r="EMZ3002" s="462"/>
      <c r="ENA3002" s="299"/>
      <c r="ENB3002" s="81"/>
      <c r="ENC3002" s="160"/>
      <c r="END3002" s="574"/>
      <c r="ENE3002" s="125"/>
      <c r="ENF3002" s="470"/>
      <c r="ENG3002" s="449"/>
      <c r="ENH3002" s="462"/>
      <c r="ENI3002" s="299"/>
      <c r="ENJ3002" s="81"/>
      <c r="ENK3002" s="160"/>
      <c r="ENL3002" s="574"/>
      <c r="ENM3002" s="125"/>
      <c r="ENN3002" s="470"/>
      <c r="ENO3002" s="449"/>
      <c r="ENP3002" s="462"/>
      <c r="ENQ3002" s="299"/>
      <c r="ENR3002" s="81"/>
      <c r="ENS3002" s="160"/>
      <c r="ENT3002" s="574"/>
      <c r="ENU3002" s="125"/>
      <c r="ENV3002" s="470"/>
      <c r="ENW3002" s="449"/>
      <c r="ENX3002" s="462"/>
      <c r="ENY3002" s="299"/>
      <c r="ENZ3002" s="81"/>
      <c r="EOA3002" s="160"/>
      <c r="EOB3002" s="574"/>
      <c r="EOC3002" s="125"/>
      <c r="EOD3002" s="470"/>
      <c r="EOE3002" s="449"/>
      <c r="EOF3002" s="462"/>
      <c r="EOG3002" s="299"/>
      <c r="EOH3002" s="81"/>
      <c r="EOI3002" s="160"/>
      <c r="EOJ3002" s="574"/>
      <c r="EOK3002" s="125"/>
      <c r="EOL3002" s="470"/>
      <c r="EOM3002" s="449"/>
      <c r="EON3002" s="462"/>
      <c r="EOO3002" s="299"/>
      <c r="EOP3002" s="81"/>
      <c r="EOQ3002" s="160"/>
      <c r="EOR3002" s="574"/>
      <c r="EOS3002" s="125"/>
      <c r="EOT3002" s="470"/>
      <c r="EOU3002" s="449"/>
      <c r="EOV3002" s="462"/>
      <c r="EOW3002" s="299"/>
      <c r="EOX3002" s="81"/>
      <c r="EOY3002" s="160"/>
      <c r="EOZ3002" s="574"/>
      <c r="EPA3002" s="125"/>
      <c r="EPB3002" s="470"/>
      <c r="EPC3002" s="449"/>
      <c r="EPD3002" s="462"/>
      <c r="EPE3002" s="299"/>
      <c r="EPF3002" s="81"/>
      <c r="EPG3002" s="160"/>
      <c r="EPH3002" s="574"/>
      <c r="EPI3002" s="125"/>
      <c r="EPJ3002" s="470"/>
      <c r="EPK3002" s="449"/>
      <c r="EPL3002" s="462"/>
      <c r="EPM3002" s="299"/>
      <c r="EPN3002" s="81"/>
      <c r="EPO3002" s="160"/>
      <c r="EPP3002" s="574"/>
      <c r="EPQ3002" s="125"/>
      <c r="EPR3002" s="470"/>
      <c r="EPS3002" s="449"/>
      <c r="EPT3002" s="462"/>
      <c r="EPU3002" s="299"/>
      <c r="EPV3002" s="81"/>
      <c r="EPW3002" s="160"/>
      <c r="EPX3002" s="574"/>
      <c r="EPY3002" s="125"/>
      <c r="EPZ3002" s="470"/>
      <c r="EQA3002" s="449"/>
      <c r="EQB3002" s="462"/>
      <c r="EQC3002" s="299"/>
      <c r="EQD3002" s="81"/>
      <c r="EQE3002" s="160"/>
      <c r="EQF3002" s="574"/>
      <c r="EQG3002" s="125"/>
      <c r="EQH3002" s="470"/>
      <c r="EQI3002" s="449"/>
      <c r="EQJ3002" s="462"/>
      <c r="EQK3002" s="299"/>
      <c r="EQL3002" s="81"/>
      <c r="EQM3002" s="160"/>
      <c r="EQN3002" s="574"/>
      <c r="EQO3002" s="125"/>
      <c r="EQP3002" s="470"/>
      <c r="EQQ3002" s="449"/>
      <c r="EQR3002" s="462"/>
      <c r="EQS3002" s="299"/>
      <c r="EQT3002" s="81"/>
      <c r="EQU3002" s="160"/>
      <c r="EQV3002" s="574"/>
      <c r="EQW3002" s="125"/>
      <c r="EQX3002" s="470"/>
      <c r="EQY3002" s="449"/>
      <c r="EQZ3002" s="462"/>
      <c r="ERA3002" s="299"/>
      <c r="ERB3002" s="81"/>
      <c r="ERC3002" s="160"/>
      <c r="ERD3002" s="574"/>
      <c r="ERE3002" s="125"/>
      <c r="ERF3002" s="470"/>
      <c r="ERG3002" s="449"/>
      <c r="ERH3002" s="462"/>
      <c r="ERI3002" s="299"/>
      <c r="ERJ3002" s="81"/>
      <c r="ERK3002" s="160"/>
      <c r="ERL3002" s="574"/>
      <c r="ERM3002" s="125"/>
      <c r="ERN3002" s="470"/>
      <c r="ERO3002" s="449"/>
      <c r="ERP3002" s="462"/>
      <c r="ERQ3002" s="299"/>
      <c r="ERR3002" s="81"/>
      <c r="ERS3002" s="160"/>
      <c r="ERT3002" s="574"/>
      <c r="ERU3002" s="125"/>
      <c r="ERV3002" s="470"/>
      <c r="ERW3002" s="449"/>
      <c r="ERX3002" s="462"/>
      <c r="ERY3002" s="299"/>
      <c r="ERZ3002" s="81"/>
      <c r="ESA3002" s="160"/>
      <c r="ESB3002" s="574"/>
      <c r="ESC3002" s="125"/>
      <c r="ESD3002" s="470"/>
      <c r="ESE3002" s="449"/>
      <c r="ESF3002" s="462"/>
      <c r="ESG3002" s="299"/>
      <c r="ESH3002" s="81"/>
      <c r="ESI3002" s="160"/>
      <c r="ESJ3002" s="574"/>
      <c r="ESK3002" s="125"/>
      <c r="ESL3002" s="470"/>
      <c r="ESM3002" s="449"/>
      <c r="ESN3002" s="462"/>
      <c r="ESO3002" s="299"/>
      <c r="ESP3002" s="81"/>
      <c r="ESQ3002" s="160"/>
      <c r="ESR3002" s="574"/>
      <c r="ESS3002" s="125"/>
      <c r="EST3002" s="470"/>
      <c r="ESU3002" s="449"/>
      <c r="ESV3002" s="462"/>
      <c r="ESW3002" s="299"/>
      <c r="ESX3002" s="81"/>
      <c r="ESY3002" s="160"/>
      <c r="ESZ3002" s="574"/>
      <c r="ETA3002" s="125"/>
      <c r="ETB3002" s="470"/>
      <c r="ETC3002" s="449"/>
      <c r="ETD3002" s="462"/>
      <c r="ETE3002" s="299"/>
      <c r="ETF3002" s="81"/>
      <c r="ETG3002" s="160"/>
      <c r="ETH3002" s="574"/>
      <c r="ETI3002" s="125"/>
      <c r="ETJ3002" s="470"/>
      <c r="ETK3002" s="449"/>
      <c r="ETL3002" s="462"/>
      <c r="ETM3002" s="299"/>
      <c r="ETN3002" s="81"/>
      <c r="ETO3002" s="160"/>
      <c r="ETP3002" s="574"/>
      <c r="ETQ3002" s="125"/>
      <c r="ETR3002" s="470"/>
      <c r="ETS3002" s="449"/>
      <c r="ETT3002" s="462"/>
      <c r="ETU3002" s="299"/>
      <c r="ETV3002" s="81"/>
      <c r="ETW3002" s="160"/>
      <c r="ETX3002" s="574"/>
      <c r="ETY3002" s="125"/>
      <c r="ETZ3002" s="470"/>
      <c r="EUA3002" s="449"/>
      <c r="EUB3002" s="462"/>
      <c r="EUC3002" s="299"/>
      <c r="EUD3002" s="81"/>
      <c r="EUE3002" s="160"/>
      <c r="EUF3002" s="574"/>
      <c r="EUG3002" s="125"/>
      <c r="EUH3002" s="470"/>
      <c r="EUI3002" s="449"/>
      <c r="EUJ3002" s="462"/>
      <c r="EUK3002" s="299"/>
      <c r="EUL3002" s="81"/>
      <c r="EUM3002" s="160"/>
      <c r="EUN3002" s="574"/>
      <c r="EUO3002" s="125"/>
      <c r="EUP3002" s="470"/>
      <c r="EUQ3002" s="449"/>
      <c r="EUR3002" s="462"/>
      <c r="EUS3002" s="299"/>
      <c r="EUT3002" s="81"/>
      <c r="EUU3002" s="160"/>
      <c r="EUV3002" s="574"/>
      <c r="EUW3002" s="125"/>
      <c r="EUX3002" s="470"/>
      <c r="EUY3002" s="449"/>
      <c r="EUZ3002" s="462"/>
      <c r="EVA3002" s="299"/>
      <c r="EVB3002" s="81"/>
      <c r="EVC3002" s="160"/>
      <c r="EVD3002" s="574"/>
      <c r="EVE3002" s="125"/>
      <c r="EVF3002" s="470"/>
      <c r="EVG3002" s="449"/>
      <c r="EVH3002" s="462"/>
      <c r="EVI3002" s="299"/>
      <c r="EVJ3002" s="81"/>
      <c r="EVK3002" s="160"/>
      <c r="EVL3002" s="574"/>
      <c r="EVM3002" s="125"/>
      <c r="EVN3002" s="470"/>
      <c r="EVO3002" s="449"/>
      <c r="EVP3002" s="462"/>
      <c r="EVQ3002" s="299"/>
      <c r="EVR3002" s="81"/>
      <c r="EVS3002" s="160"/>
      <c r="EVT3002" s="574"/>
      <c r="EVU3002" s="125"/>
      <c r="EVV3002" s="470"/>
      <c r="EVW3002" s="449"/>
      <c r="EVX3002" s="462"/>
      <c r="EVY3002" s="299"/>
      <c r="EVZ3002" s="81"/>
      <c r="EWA3002" s="160"/>
      <c r="EWB3002" s="574"/>
      <c r="EWC3002" s="125"/>
      <c r="EWD3002" s="470"/>
      <c r="EWE3002" s="449"/>
      <c r="EWF3002" s="462"/>
      <c r="EWG3002" s="299"/>
      <c r="EWH3002" s="81"/>
      <c r="EWI3002" s="160"/>
      <c r="EWJ3002" s="574"/>
      <c r="EWK3002" s="125"/>
      <c r="EWL3002" s="470"/>
      <c r="EWM3002" s="449"/>
      <c r="EWN3002" s="462"/>
      <c r="EWO3002" s="299"/>
      <c r="EWP3002" s="81"/>
      <c r="EWQ3002" s="160"/>
      <c r="EWR3002" s="574"/>
      <c r="EWS3002" s="125"/>
      <c r="EWT3002" s="470"/>
      <c r="EWU3002" s="449"/>
      <c r="EWV3002" s="462"/>
      <c r="EWW3002" s="299"/>
      <c r="EWX3002" s="81"/>
      <c r="EWY3002" s="160"/>
      <c r="EWZ3002" s="574"/>
      <c r="EXA3002" s="125"/>
      <c r="EXB3002" s="470"/>
      <c r="EXC3002" s="449"/>
      <c r="EXD3002" s="462"/>
      <c r="EXE3002" s="299"/>
      <c r="EXF3002" s="81"/>
      <c r="EXG3002" s="160"/>
      <c r="EXH3002" s="574"/>
      <c r="EXI3002" s="125"/>
      <c r="EXJ3002" s="470"/>
      <c r="EXK3002" s="449"/>
      <c r="EXL3002" s="462"/>
      <c r="EXM3002" s="299"/>
      <c r="EXN3002" s="81"/>
      <c r="EXO3002" s="160"/>
      <c r="EXP3002" s="574"/>
      <c r="EXQ3002" s="125"/>
      <c r="EXR3002" s="470"/>
      <c r="EXS3002" s="449"/>
      <c r="EXT3002" s="462"/>
      <c r="EXU3002" s="299"/>
      <c r="EXV3002" s="81"/>
      <c r="EXW3002" s="160"/>
      <c r="EXX3002" s="574"/>
      <c r="EXY3002" s="125"/>
      <c r="EXZ3002" s="470"/>
      <c r="EYA3002" s="449"/>
      <c r="EYB3002" s="462"/>
      <c r="EYC3002" s="299"/>
      <c r="EYD3002" s="81"/>
      <c r="EYE3002" s="160"/>
      <c r="EYF3002" s="574"/>
      <c r="EYG3002" s="125"/>
      <c r="EYH3002" s="470"/>
      <c r="EYI3002" s="449"/>
      <c r="EYJ3002" s="462"/>
      <c r="EYK3002" s="299"/>
      <c r="EYL3002" s="81"/>
      <c r="EYM3002" s="160"/>
      <c r="EYN3002" s="574"/>
      <c r="EYO3002" s="125"/>
      <c r="EYP3002" s="470"/>
      <c r="EYQ3002" s="449"/>
      <c r="EYR3002" s="462"/>
      <c r="EYS3002" s="299"/>
      <c r="EYT3002" s="81"/>
      <c r="EYU3002" s="160"/>
      <c r="EYV3002" s="574"/>
      <c r="EYW3002" s="125"/>
      <c r="EYX3002" s="470"/>
      <c r="EYY3002" s="449"/>
      <c r="EYZ3002" s="462"/>
      <c r="EZA3002" s="299"/>
      <c r="EZB3002" s="81"/>
      <c r="EZC3002" s="160"/>
      <c r="EZD3002" s="574"/>
      <c r="EZE3002" s="125"/>
      <c r="EZF3002" s="470"/>
      <c r="EZG3002" s="449"/>
      <c r="EZH3002" s="462"/>
      <c r="EZI3002" s="299"/>
      <c r="EZJ3002" s="81"/>
      <c r="EZK3002" s="160"/>
      <c r="EZL3002" s="574"/>
      <c r="EZM3002" s="125"/>
      <c r="EZN3002" s="470"/>
      <c r="EZO3002" s="449"/>
      <c r="EZP3002" s="462"/>
      <c r="EZQ3002" s="299"/>
      <c r="EZR3002" s="81"/>
      <c r="EZS3002" s="160"/>
      <c r="EZT3002" s="574"/>
      <c r="EZU3002" s="125"/>
      <c r="EZV3002" s="470"/>
      <c r="EZW3002" s="449"/>
      <c r="EZX3002" s="462"/>
      <c r="EZY3002" s="299"/>
      <c r="EZZ3002" s="81"/>
      <c r="FAA3002" s="160"/>
      <c r="FAB3002" s="574"/>
      <c r="FAC3002" s="125"/>
      <c r="FAD3002" s="470"/>
      <c r="FAE3002" s="449"/>
      <c r="FAF3002" s="462"/>
      <c r="FAG3002" s="299"/>
      <c r="FAH3002" s="81"/>
      <c r="FAI3002" s="160"/>
      <c r="FAJ3002" s="574"/>
      <c r="FAK3002" s="125"/>
      <c r="FAL3002" s="470"/>
      <c r="FAM3002" s="449"/>
      <c r="FAN3002" s="462"/>
      <c r="FAO3002" s="299"/>
      <c r="FAP3002" s="81"/>
      <c r="FAQ3002" s="160"/>
      <c r="FAR3002" s="574"/>
      <c r="FAS3002" s="125"/>
      <c r="FAT3002" s="470"/>
      <c r="FAU3002" s="449"/>
      <c r="FAV3002" s="462"/>
      <c r="FAW3002" s="299"/>
      <c r="FAX3002" s="81"/>
      <c r="FAY3002" s="160"/>
      <c r="FAZ3002" s="574"/>
      <c r="FBA3002" s="125"/>
      <c r="FBB3002" s="470"/>
      <c r="FBC3002" s="449"/>
      <c r="FBD3002" s="462"/>
      <c r="FBE3002" s="299"/>
      <c r="FBF3002" s="81"/>
      <c r="FBG3002" s="160"/>
      <c r="FBH3002" s="574"/>
      <c r="FBI3002" s="125"/>
      <c r="FBJ3002" s="470"/>
      <c r="FBK3002" s="449"/>
      <c r="FBL3002" s="462"/>
      <c r="FBM3002" s="299"/>
      <c r="FBN3002" s="81"/>
      <c r="FBO3002" s="160"/>
      <c r="FBP3002" s="574"/>
      <c r="FBQ3002" s="125"/>
      <c r="FBR3002" s="470"/>
      <c r="FBS3002" s="449"/>
      <c r="FBT3002" s="462"/>
      <c r="FBU3002" s="299"/>
      <c r="FBV3002" s="81"/>
      <c r="FBW3002" s="160"/>
      <c r="FBX3002" s="574"/>
      <c r="FBY3002" s="125"/>
      <c r="FBZ3002" s="470"/>
      <c r="FCA3002" s="449"/>
      <c r="FCB3002" s="462"/>
      <c r="FCC3002" s="299"/>
      <c r="FCD3002" s="81"/>
      <c r="FCE3002" s="160"/>
      <c r="FCF3002" s="574"/>
      <c r="FCG3002" s="125"/>
      <c r="FCH3002" s="470"/>
      <c r="FCI3002" s="449"/>
      <c r="FCJ3002" s="462"/>
      <c r="FCK3002" s="299"/>
      <c r="FCL3002" s="81"/>
      <c r="FCM3002" s="160"/>
      <c r="FCN3002" s="574"/>
      <c r="FCO3002" s="125"/>
      <c r="FCP3002" s="470"/>
      <c r="FCQ3002" s="449"/>
      <c r="FCR3002" s="462"/>
      <c r="FCS3002" s="299"/>
      <c r="FCT3002" s="81"/>
      <c r="FCU3002" s="160"/>
      <c r="FCV3002" s="574"/>
      <c r="FCW3002" s="125"/>
      <c r="FCX3002" s="470"/>
      <c r="FCY3002" s="449"/>
      <c r="FCZ3002" s="462"/>
      <c r="FDA3002" s="299"/>
      <c r="FDB3002" s="81"/>
      <c r="FDC3002" s="160"/>
      <c r="FDD3002" s="574"/>
      <c r="FDE3002" s="125"/>
      <c r="FDF3002" s="470"/>
      <c r="FDG3002" s="449"/>
      <c r="FDH3002" s="462"/>
      <c r="FDI3002" s="299"/>
      <c r="FDJ3002" s="81"/>
      <c r="FDK3002" s="160"/>
      <c r="FDL3002" s="574"/>
      <c r="FDM3002" s="125"/>
      <c r="FDN3002" s="470"/>
      <c r="FDO3002" s="449"/>
      <c r="FDP3002" s="462"/>
      <c r="FDQ3002" s="299"/>
      <c r="FDR3002" s="81"/>
      <c r="FDS3002" s="160"/>
      <c r="FDT3002" s="574"/>
      <c r="FDU3002" s="125"/>
      <c r="FDV3002" s="470"/>
      <c r="FDW3002" s="449"/>
      <c r="FDX3002" s="462"/>
      <c r="FDY3002" s="299"/>
      <c r="FDZ3002" s="81"/>
      <c r="FEA3002" s="160"/>
      <c r="FEB3002" s="574"/>
      <c r="FEC3002" s="125"/>
      <c r="FED3002" s="470"/>
      <c r="FEE3002" s="449"/>
      <c r="FEF3002" s="462"/>
      <c r="FEG3002" s="299"/>
      <c r="FEH3002" s="81"/>
      <c r="FEI3002" s="160"/>
      <c r="FEJ3002" s="574"/>
      <c r="FEK3002" s="125"/>
      <c r="FEL3002" s="470"/>
      <c r="FEM3002" s="449"/>
      <c r="FEN3002" s="462"/>
      <c r="FEO3002" s="299"/>
      <c r="FEP3002" s="81"/>
      <c r="FEQ3002" s="160"/>
      <c r="FER3002" s="574"/>
      <c r="FES3002" s="125"/>
      <c r="FET3002" s="470"/>
      <c r="FEU3002" s="449"/>
      <c r="FEV3002" s="462"/>
      <c r="FEW3002" s="299"/>
      <c r="FEX3002" s="81"/>
      <c r="FEY3002" s="160"/>
      <c r="FEZ3002" s="574"/>
      <c r="FFA3002" s="125"/>
      <c r="FFB3002" s="470"/>
      <c r="FFC3002" s="449"/>
      <c r="FFD3002" s="462"/>
      <c r="FFE3002" s="299"/>
      <c r="FFF3002" s="81"/>
      <c r="FFG3002" s="160"/>
      <c r="FFH3002" s="574"/>
      <c r="FFI3002" s="125"/>
      <c r="FFJ3002" s="470"/>
      <c r="FFK3002" s="449"/>
      <c r="FFL3002" s="462"/>
      <c r="FFM3002" s="299"/>
      <c r="FFN3002" s="81"/>
      <c r="FFO3002" s="160"/>
      <c r="FFP3002" s="574"/>
      <c r="FFQ3002" s="125"/>
      <c r="FFR3002" s="470"/>
      <c r="FFS3002" s="449"/>
      <c r="FFT3002" s="462"/>
      <c r="FFU3002" s="299"/>
      <c r="FFV3002" s="81"/>
      <c r="FFW3002" s="160"/>
      <c r="FFX3002" s="574"/>
      <c r="FFY3002" s="125"/>
      <c r="FFZ3002" s="470"/>
      <c r="FGA3002" s="449"/>
      <c r="FGB3002" s="462"/>
      <c r="FGC3002" s="299"/>
      <c r="FGD3002" s="81"/>
      <c r="FGE3002" s="160"/>
      <c r="FGF3002" s="574"/>
      <c r="FGG3002" s="125"/>
      <c r="FGH3002" s="470"/>
      <c r="FGI3002" s="449"/>
      <c r="FGJ3002" s="462"/>
      <c r="FGK3002" s="299"/>
      <c r="FGL3002" s="81"/>
      <c r="FGM3002" s="160"/>
      <c r="FGN3002" s="574"/>
      <c r="FGO3002" s="125"/>
      <c r="FGP3002" s="470"/>
      <c r="FGQ3002" s="449"/>
      <c r="FGR3002" s="462"/>
      <c r="FGS3002" s="299"/>
      <c r="FGT3002" s="81"/>
      <c r="FGU3002" s="160"/>
      <c r="FGV3002" s="574"/>
      <c r="FGW3002" s="125"/>
      <c r="FGX3002" s="470"/>
      <c r="FGY3002" s="449"/>
      <c r="FGZ3002" s="462"/>
      <c r="FHA3002" s="299"/>
      <c r="FHB3002" s="81"/>
      <c r="FHC3002" s="160"/>
      <c r="FHD3002" s="574"/>
      <c r="FHE3002" s="125"/>
      <c r="FHF3002" s="470"/>
      <c r="FHG3002" s="449"/>
      <c r="FHH3002" s="462"/>
      <c r="FHI3002" s="299"/>
      <c r="FHJ3002" s="81"/>
      <c r="FHK3002" s="160"/>
      <c r="FHL3002" s="574"/>
      <c r="FHM3002" s="125"/>
      <c r="FHN3002" s="470"/>
      <c r="FHO3002" s="449"/>
      <c r="FHP3002" s="462"/>
      <c r="FHQ3002" s="299"/>
      <c r="FHR3002" s="81"/>
      <c r="FHS3002" s="160"/>
      <c r="FHT3002" s="574"/>
      <c r="FHU3002" s="125"/>
      <c r="FHV3002" s="470"/>
      <c r="FHW3002" s="449"/>
      <c r="FHX3002" s="462"/>
      <c r="FHY3002" s="299"/>
      <c r="FHZ3002" s="81"/>
      <c r="FIA3002" s="160"/>
      <c r="FIB3002" s="574"/>
      <c r="FIC3002" s="125"/>
      <c r="FID3002" s="470"/>
      <c r="FIE3002" s="449"/>
      <c r="FIF3002" s="462"/>
      <c r="FIG3002" s="299"/>
      <c r="FIH3002" s="81"/>
      <c r="FII3002" s="160"/>
      <c r="FIJ3002" s="574"/>
      <c r="FIK3002" s="125"/>
      <c r="FIL3002" s="470"/>
      <c r="FIM3002" s="449"/>
      <c r="FIN3002" s="462"/>
      <c r="FIO3002" s="299"/>
      <c r="FIP3002" s="81"/>
      <c r="FIQ3002" s="160"/>
      <c r="FIR3002" s="574"/>
      <c r="FIS3002" s="125"/>
      <c r="FIT3002" s="470"/>
      <c r="FIU3002" s="449"/>
      <c r="FIV3002" s="462"/>
      <c r="FIW3002" s="299"/>
      <c r="FIX3002" s="81"/>
      <c r="FIY3002" s="160"/>
      <c r="FIZ3002" s="574"/>
      <c r="FJA3002" s="125"/>
      <c r="FJB3002" s="470"/>
      <c r="FJC3002" s="449"/>
      <c r="FJD3002" s="462"/>
      <c r="FJE3002" s="299"/>
      <c r="FJF3002" s="81"/>
      <c r="FJG3002" s="160"/>
      <c r="FJH3002" s="574"/>
      <c r="FJI3002" s="125"/>
      <c r="FJJ3002" s="470"/>
      <c r="FJK3002" s="449"/>
      <c r="FJL3002" s="462"/>
      <c r="FJM3002" s="299"/>
      <c r="FJN3002" s="81"/>
      <c r="FJO3002" s="160"/>
      <c r="FJP3002" s="574"/>
      <c r="FJQ3002" s="125"/>
      <c r="FJR3002" s="470"/>
      <c r="FJS3002" s="449"/>
      <c r="FJT3002" s="462"/>
      <c r="FJU3002" s="299"/>
      <c r="FJV3002" s="81"/>
      <c r="FJW3002" s="160"/>
      <c r="FJX3002" s="574"/>
      <c r="FJY3002" s="125"/>
      <c r="FJZ3002" s="470"/>
      <c r="FKA3002" s="449"/>
      <c r="FKB3002" s="462"/>
      <c r="FKC3002" s="299"/>
      <c r="FKD3002" s="81"/>
      <c r="FKE3002" s="160"/>
      <c r="FKF3002" s="574"/>
      <c r="FKG3002" s="125"/>
      <c r="FKH3002" s="470"/>
      <c r="FKI3002" s="449"/>
      <c r="FKJ3002" s="462"/>
      <c r="FKK3002" s="299"/>
      <c r="FKL3002" s="81"/>
      <c r="FKM3002" s="160"/>
      <c r="FKN3002" s="574"/>
      <c r="FKO3002" s="125"/>
      <c r="FKP3002" s="470"/>
      <c r="FKQ3002" s="449"/>
      <c r="FKR3002" s="462"/>
      <c r="FKS3002" s="299"/>
      <c r="FKT3002" s="81"/>
      <c r="FKU3002" s="160"/>
      <c r="FKV3002" s="574"/>
      <c r="FKW3002" s="125"/>
      <c r="FKX3002" s="470"/>
      <c r="FKY3002" s="449"/>
      <c r="FKZ3002" s="462"/>
      <c r="FLA3002" s="299"/>
      <c r="FLB3002" s="81"/>
      <c r="FLC3002" s="160"/>
      <c r="FLD3002" s="574"/>
      <c r="FLE3002" s="125"/>
      <c r="FLF3002" s="470"/>
      <c r="FLG3002" s="449"/>
      <c r="FLH3002" s="462"/>
      <c r="FLI3002" s="299"/>
      <c r="FLJ3002" s="81"/>
      <c r="FLK3002" s="160"/>
      <c r="FLL3002" s="574"/>
      <c r="FLM3002" s="125"/>
      <c r="FLN3002" s="470"/>
      <c r="FLO3002" s="449"/>
      <c r="FLP3002" s="462"/>
      <c r="FLQ3002" s="299"/>
      <c r="FLR3002" s="81"/>
      <c r="FLS3002" s="160"/>
      <c r="FLT3002" s="574"/>
      <c r="FLU3002" s="125"/>
      <c r="FLV3002" s="470"/>
      <c r="FLW3002" s="449"/>
      <c r="FLX3002" s="462"/>
      <c r="FLY3002" s="299"/>
      <c r="FLZ3002" s="81"/>
      <c r="FMA3002" s="160"/>
      <c r="FMB3002" s="574"/>
      <c r="FMC3002" s="125"/>
      <c r="FMD3002" s="470"/>
      <c r="FME3002" s="449"/>
      <c r="FMF3002" s="462"/>
      <c r="FMG3002" s="299"/>
      <c r="FMH3002" s="81"/>
      <c r="FMI3002" s="160"/>
      <c r="FMJ3002" s="574"/>
      <c r="FMK3002" s="125"/>
      <c r="FML3002" s="470"/>
      <c r="FMM3002" s="449"/>
      <c r="FMN3002" s="462"/>
      <c r="FMO3002" s="299"/>
      <c r="FMP3002" s="81"/>
      <c r="FMQ3002" s="160"/>
      <c r="FMR3002" s="574"/>
      <c r="FMS3002" s="125"/>
      <c r="FMT3002" s="470"/>
      <c r="FMU3002" s="449"/>
      <c r="FMV3002" s="462"/>
      <c r="FMW3002" s="299"/>
      <c r="FMX3002" s="81"/>
      <c r="FMY3002" s="160"/>
      <c r="FMZ3002" s="574"/>
      <c r="FNA3002" s="125"/>
      <c r="FNB3002" s="470"/>
      <c r="FNC3002" s="449"/>
      <c r="FND3002" s="462"/>
      <c r="FNE3002" s="299"/>
      <c r="FNF3002" s="81"/>
      <c r="FNG3002" s="160"/>
      <c r="FNH3002" s="574"/>
      <c r="FNI3002" s="125"/>
      <c r="FNJ3002" s="470"/>
      <c r="FNK3002" s="449"/>
      <c r="FNL3002" s="462"/>
      <c r="FNM3002" s="299"/>
      <c r="FNN3002" s="81"/>
      <c r="FNO3002" s="160"/>
      <c r="FNP3002" s="574"/>
      <c r="FNQ3002" s="125"/>
      <c r="FNR3002" s="470"/>
      <c r="FNS3002" s="449"/>
      <c r="FNT3002" s="462"/>
      <c r="FNU3002" s="299"/>
      <c r="FNV3002" s="81"/>
      <c r="FNW3002" s="160"/>
      <c r="FNX3002" s="574"/>
      <c r="FNY3002" s="125"/>
      <c r="FNZ3002" s="470"/>
      <c r="FOA3002" s="449"/>
      <c r="FOB3002" s="462"/>
      <c r="FOC3002" s="299"/>
      <c r="FOD3002" s="81"/>
      <c r="FOE3002" s="160"/>
      <c r="FOF3002" s="574"/>
      <c r="FOG3002" s="125"/>
      <c r="FOH3002" s="470"/>
      <c r="FOI3002" s="449"/>
      <c r="FOJ3002" s="462"/>
      <c r="FOK3002" s="299"/>
      <c r="FOL3002" s="81"/>
      <c r="FOM3002" s="160"/>
      <c r="FON3002" s="574"/>
      <c r="FOO3002" s="125"/>
      <c r="FOP3002" s="470"/>
      <c r="FOQ3002" s="449"/>
      <c r="FOR3002" s="462"/>
      <c r="FOS3002" s="299"/>
      <c r="FOT3002" s="81"/>
      <c r="FOU3002" s="160"/>
      <c r="FOV3002" s="574"/>
      <c r="FOW3002" s="125"/>
      <c r="FOX3002" s="470"/>
      <c r="FOY3002" s="449"/>
      <c r="FOZ3002" s="462"/>
      <c r="FPA3002" s="299"/>
      <c r="FPB3002" s="81"/>
      <c r="FPC3002" s="160"/>
      <c r="FPD3002" s="574"/>
      <c r="FPE3002" s="125"/>
      <c r="FPF3002" s="470"/>
      <c r="FPG3002" s="449"/>
      <c r="FPH3002" s="462"/>
      <c r="FPI3002" s="299"/>
      <c r="FPJ3002" s="81"/>
      <c r="FPK3002" s="160"/>
      <c r="FPL3002" s="574"/>
      <c r="FPM3002" s="125"/>
      <c r="FPN3002" s="470"/>
      <c r="FPO3002" s="449"/>
      <c r="FPP3002" s="462"/>
      <c r="FPQ3002" s="299"/>
      <c r="FPR3002" s="81"/>
      <c r="FPS3002" s="160"/>
      <c r="FPT3002" s="574"/>
      <c r="FPU3002" s="125"/>
      <c r="FPV3002" s="470"/>
      <c r="FPW3002" s="449"/>
      <c r="FPX3002" s="462"/>
      <c r="FPY3002" s="299"/>
      <c r="FPZ3002" s="81"/>
      <c r="FQA3002" s="160"/>
      <c r="FQB3002" s="574"/>
      <c r="FQC3002" s="125"/>
      <c r="FQD3002" s="470"/>
      <c r="FQE3002" s="449"/>
      <c r="FQF3002" s="462"/>
      <c r="FQG3002" s="299"/>
      <c r="FQH3002" s="81"/>
      <c r="FQI3002" s="160"/>
      <c r="FQJ3002" s="574"/>
      <c r="FQK3002" s="125"/>
      <c r="FQL3002" s="470"/>
      <c r="FQM3002" s="449"/>
      <c r="FQN3002" s="462"/>
      <c r="FQO3002" s="299"/>
      <c r="FQP3002" s="81"/>
      <c r="FQQ3002" s="160"/>
      <c r="FQR3002" s="574"/>
      <c r="FQS3002" s="125"/>
      <c r="FQT3002" s="470"/>
      <c r="FQU3002" s="449"/>
      <c r="FQV3002" s="462"/>
      <c r="FQW3002" s="299"/>
      <c r="FQX3002" s="81"/>
      <c r="FQY3002" s="160"/>
      <c r="FQZ3002" s="574"/>
      <c r="FRA3002" s="125"/>
      <c r="FRB3002" s="470"/>
      <c r="FRC3002" s="449"/>
      <c r="FRD3002" s="462"/>
      <c r="FRE3002" s="299"/>
      <c r="FRF3002" s="81"/>
      <c r="FRG3002" s="160"/>
      <c r="FRH3002" s="574"/>
      <c r="FRI3002" s="125"/>
      <c r="FRJ3002" s="470"/>
      <c r="FRK3002" s="449"/>
      <c r="FRL3002" s="462"/>
      <c r="FRM3002" s="299"/>
      <c r="FRN3002" s="81"/>
      <c r="FRO3002" s="160"/>
      <c r="FRP3002" s="574"/>
      <c r="FRQ3002" s="125"/>
      <c r="FRR3002" s="470"/>
      <c r="FRS3002" s="449"/>
      <c r="FRT3002" s="462"/>
      <c r="FRU3002" s="299"/>
      <c r="FRV3002" s="81"/>
      <c r="FRW3002" s="160"/>
      <c r="FRX3002" s="574"/>
      <c r="FRY3002" s="125"/>
      <c r="FRZ3002" s="470"/>
      <c r="FSA3002" s="449"/>
      <c r="FSB3002" s="462"/>
      <c r="FSC3002" s="299"/>
      <c r="FSD3002" s="81"/>
      <c r="FSE3002" s="160"/>
      <c r="FSF3002" s="574"/>
      <c r="FSG3002" s="125"/>
      <c r="FSH3002" s="470"/>
      <c r="FSI3002" s="449"/>
      <c r="FSJ3002" s="462"/>
      <c r="FSK3002" s="299"/>
      <c r="FSL3002" s="81"/>
      <c r="FSM3002" s="160"/>
      <c r="FSN3002" s="574"/>
      <c r="FSO3002" s="125"/>
      <c r="FSP3002" s="470"/>
      <c r="FSQ3002" s="449"/>
      <c r="FSR3002" s="462"/>
      <c r="FSS3002" s="299"/>
      <c r="FST3002" s="81"/>
      <c r="FSU3002" s="160"/>
      <c r="FSV3002" s="574"/>
      <c r="FSW3002" s="125"/>
      <c r="FSX3002" s="470"/>
      <c r="FSY3002" s="449"/>
      <c r="FSZ3002" s="462"/>
      <c r="FTA3002" s="299"/>
      <c r="FTB3002" s="81"/>
      <c r="FTC3002" s="160"/>
      <c r="FTD3002" s="574"/>
      <c r="FTE3002" s="125"/>
      <c r="FTF3002" s="470"/>
      <c r="FTG3002" s="449"/>
      <c r="FTH3002" s="462"/>
      <c r="FTI3002" s="299"/>
      <c r="FTJ3002" s="81"/>
      <c r="FTK3002" s="160"/>
      <c r="FTL3002" s="574"/>
      <c r="FTM3002" s="125"/>
      <c r="FTN3002" s="470"/>
      <c r="FTO3002" s="449"/>
      <c r="FTP3002" s="462"/>
      <c r="FTQ3002" s="299"/>
      <c r="FTR3002" s="81"/>
      <c r="FTS3002" s="160"/>
      <c r="FTT3002" s="574"/>
      <c r="FTU3002" s="125"/>
      <c r="FTV3002" s="470"/>
      <c r="FTW3002" s="449"/>
      <c r="FTX3002" s="462"/>
      <c r="FTY3002" s="299"/>
      <c r="FTZ3002" s="81"/>
      <c r="FUA3002" s="160"/>
      <c r="FUB3002" s="574"/>
      <c r="FUC3002" s="125"/>
      <c r="FUD3002" s="470"/>
      <c r="FUE3002" s="449"/>
      <c r="FUF3002" s="462"/>
      <c r="FUG3002" s="299"/>
      <c r="FUH3002" s="81"/>
      <c r="FUI3002" s="160"/>
      <c r="FUJ3002" s="574"/>
      <c r="FUK3002" s="125"/>
      <c r="FUL3002" s="470"/>
      <c r="FUM3002" s="449"/>
      <c r="FUN3002" s="462"/>
      <c r="FUO3002" s="299"/>
      <c r="FUP3002" s="81"/>
      <c r="FUQ3002" s="160"/>
      <c r="FUR3002" s="574"/>
      <c r="FUS3002" s="125"/>
      <c r="FUT3002" s="470"/>
      <c r="FUU3002" s="449"/>
      <c r="FUV3002" s="462"/>
      <c r="FUW3002" s="299"/>
      <c r="FUX3002" s="81"/>
      <c r="FUY3002" s="160"/>
      <c r="FUZ3002" s="574"/>
      <c r="FVA3002" s="125"/>
      <c r="FVB3002" s="470"/>
      <c r="FVC3002" s="449"/>
      <c r="FVD3002" s="462"/>
      <c r="FVE3002" s="299"/>
      <c r="FVF3002" s="81"/>
      <c r="FVG3002" s="160"/>
      <c r="FVH3002" s="574"/>
      <c r="FVI3002" s="125"/>
      <c r="FVJ3002" s="470"/>
      <c r="FVK3002" s="449"/>
      <c r="FVL3002" s="462"/>
      <c r="FVM3002" s="299"/>
      <c r="FVN3002" s="81"/>
      <c r="FVO3002" s="160"/>
      <c r="FVP3002" s="574"/>
      <c r="FVQ3002" s="125"/>
      <c r="FVR3002" s="470"/>
      <c r="FVS3002" s="449"/>
      <c r="FVT3002" s="462"/>
      <c r="FVU3002" s="299"/>
      <c r="FVV3002" s="81"/>
      <c r="FVW3002" s="160"/>
      <c r="FVX3002" s="574"/>
      <c r="FVY3002" s="125"/>
      <c r="FVZ3002" s="470"/>
      <c r="FWA3002" s="449"/>
      <c r="FWB3002" s="462"/>
      <c r="FWC3002" s="299"/>
      <c r="FWD3002" s="81"/>
      <c r="FWE3002" s="160"/>
      <c r="FWF3002" s="574"/>
      <c r="FWG3002" s="125"/>
      <c r="FWH3002" s="470"/>
      <c r="FWI3002" s="449"/>
      <c r="FWJ3002" s="462"/>
      <c r="FWK3002" s="299"/>
      <c r="FWL3002" s="81"/>
      <c r="FWM3002" s="160"/>
      <c r="FWN3002" s="574"/>
      <c r="FWO3002" s="125"/>
      <c r="FWP3002" s="470"/>
      <c r="FWQ3002" s="449"/>
      <c r="FWR3002" s="462"/>
      <c r="FWS3002" s="299"/>
      <c r="FWT3002" s="81"/>
      <c r="FWU3002" s="160"/>
      <c r="FWV3002" s="574"/>
      <c r="FWW3002" s="125"/>
      <c r="FWX3002" s="470"/>
      <c r="FWY3002" s="449"/>
      <c r="FWZ3002" s="462"/>
      <c r="FXA3002" s="299"/>
      <c r="FXB3002" s="81"/>
      <c r="FXC3002" s="160"/>
      <c r="FXD3002" s="574"/>
      <c r="FXE3002" s="125"/>
      <c r="FXF3002" s="470"/>
      <c r="FXG3002" s="449"/>
      <c r="FXH3002" s="462"/>
      <c r="FXI3002" s="299"/>
      <c r="FXJ3002" s="81"/>
      <c r="FXK3002" s="160"/>
      <c r="FXL3002" s="574"/>
      <c r="FXM3002" s="125"/>
      <c r="FXN3002" s="470"/>
      <c r="FXO3002" s="449"/>
      <c r="FXP3002" s="462"/>
      <c r="FXQ3002" s="299"/>
      <c r="FXR3002" s="81"/>
      <c r="FXS3002" s="160"/>
      <c r="FXT3002" s="574"/>
      <c r="FXU3002" s="125"/>
      <c r="FXV3002" s="470"/>
      <c r="FXW3002" s="449"/>
      <c r="FXX3002" s="462"/>
      <c r="FXY3002" s="299"/>
      <c r="FXZ3002" s="81"/>
      <c r="FYA3002" s="160"/>
      <c r="FYB3002" s="574"/>
      <c r="FYC3002" s="125"/>
      <c r="FYD3002" s="470"/>
      <c r="FYE3002" s="449"/>
      <c r="FYF3002" s="462"/>
      <c r="FYG3002" s="299"/>
      <c r="FYH3002" s="81"/>
      <c r="FYI3002" s="160"/>
      <c r="FYJ3002" s="574"/>
      <c r="FYK3002" s="125"/>
      <c r="FYL3002" s="470"/>
      <c r="FYM3002" s="449"/>
      <c r="FYN3002" s="462"/>
      <c r="FYO3002" s="299"/>
      <c r="FYP3002" s="81"/>
      <c r="FYQ3002" s="160"/>
      <c r="FYR3002" s="574"/>
      <c r="FYS3002" s="125"/>
      <c r="FYT3002" s="470"/>
      <c r="FYU3002" s="449"/>
      <c r="FYV3002" s="462"/>
      <c r="FYW3002" s="299"/>
      <c r="FYX3002" s="81"/>
      <c r="FYY3002" s="160"/>
      <c r="FYZ3002" s="574"/>
      <c r="FZA3002" s="125"/>
      <c r="FZB3002" s="470"/>
      <c r="FZC3002" s="449"/>
      <c r="FZD3002" s="462"/>
      <c r="FZE3002" s="299"/>
      <c r="FZF3002" s="81"/>
      <c r="FZG3002" s="160"/>
      <c r="FZH3002" s="574"/>
      <c r="FZI3002" s="125"/>
      <c r="FZJ3002" s="470"/>
      <c r="FZK3002" s="449"/>
      <c r="FZL3002" s="462"/>
      <c r="FZM3002" s="299"/>
      <c r="FZN3002" s="81"/>
      <c r="FZO3002" s="160"/>
      <c r="FZP3002" s="574"/>
      <c r="FZQ3002" s="125"/>
      <c r="FZR3002" s="470"/>
      <c r="FZS3002" s="449"/>
      <c r="FZT3002" s="462"/>
      <c r="FZU3002" s="299"/>
      <c r="FZV3002" s="81"/>
      <c r="FZW3002" s="160"/>
      <c r="FZX3002" s="574"/>
      <c r="FZY3002" s="125"/>
      <c r="FZZ3002" s="470"/>
      <c r="GAA3002" s="449"/>
      <c r="GAB3002" s="462"/>
      <c r="GAC3002" s="299"/>
      <c r="GAD3002" s="81"/>
      <c r="GAE3002" s="160"/>
      <c r="GAF3002" s="574"/>
      <c r="GAG3002" s="125"/>
      <c r="GAH3002" s="470"/>
      <c r="GAI3002" s="449"/>
      <c r="GAJ3002" s="462"/>
      <c r="GAK3002" s="299"/>
      <c r="GAL3002" s="81"/>
      <c r="GAM3002" s="160"/>
      <c r="GAN3002" s="574"/>
      <c r="GAO3002" s="125"/>
      <c r="GAP3002" s="470"/>
      <c r="GAQ3002" s="449"/>
      <c r="GAR3002" s="462"/>
      <c r="GAS3002" s="299"/>
      <c r="GAT3002" s="81"/>
      <c r="GAU3002" s="160"/>
      <c r="GAV3002" s="574"/>
      <c r="GAW3002" s="125"/>
      <c r="GAX3002" s="470"/>
      <c r="GAY3002" s="449"/>
      <c r="GAZ3002" s="462"/>
      <c r="GBA3002" s="299"/>
      <c r="GBB3002" s="81"/>
      <c r="GBC3002" s="160"/>
      <c r="GBD3002" s="574"/>
      <c r="GBE3002" s="125"/>
      <c r="GBF3002" s="470"/>
      <c r="GBG3002" s="449"/>
      <c r="GBH3002" s="462"/>
      <c r="GBI3002" s="299"/>
      <c r="GBJ3002" s="81"/>
      <c r="GBK3002" s="160"/>
      <c r="GBL3002" s="574"/>
      <c r="GBM3002" s="125"/>
      <c r="GBN3002" s="470"/>
      <c r="GBO3002" s="449"/>
      <c r="GBP3002" s="462"/>
      <c r="GBQ3002" s="299"/>
      <c r="GBR3002" s="81"/>
      <c r="GBS3002" s="160"/>
      <c r="GBT3002" s="574"/>
      <c r="GBU3002" s="125"/>
      <c r="GBV3002" s="470"/>
      <c r="GBW3002" s="449"/>
      <c r="GBX3002" s="462"/>
      <c r="GBY3002" s="299"/>
      <c r="GBZ3002" s="81"/>
      <c r="GCA3002" s="160"/>
      <c r="GCB3002" s="574"/>
      <c r="GCC3002" s="125"/>
      <c r="GCD3002" s="470"/>
      <c r="GCE3002" s="449"/>
      <c r="GCF3002" s="462"/>
      <c r="GCG3002" s="299"/>
      <c r="GCH3002" s="81"/>
      <c r="GCI3002" s="160"/>
      <c r="GCJ3002" s="574"/>
      <c r="GCK3002" s="125"/>
      <c r="GCL3002" s="470"/>
      <c r="GCM3002" s="449"/>
      <c r="GCN3002" s="462"/>
      <c r="GCO3002" s="299"/>
      <c r="GCP3002" s="81"/>
      <c r="GCQ3002" s="160"/>
      <c r="GCR3002" s="574"/>
      <c r="GCS3002" s="125"/>
      <c r="GCT3002" s="470"/>
      <c r="GCU3002" s="449"/>
      <c r="GCV3002" s="462"/>
      <c r="GCW3002" s="299"/>
      <c r="GCX3002" s="81"/>
      <c r="GCY3002" s="160"/>
      <c r="GCZ3002" s="574"/>
      <c r="GDA3002" s="125"/>
      <c r="GDB3002" s="470"/>
      <c r="GDC3002" s="449"/>
      <c r="GDD3002" s="462"/>
      <c r="GDE3002" s="299"/>
      <c r="GDF3002" s="81"/>
      <c r="GDG3002" s="160"/>
      <c r="GDH3002" s="574"/>
      <c r="GDI3002" s="125"/>
      <c r="GDJ3002" s="470"/>
      <c r="GDK3002" s="449"/>
      <c r="GDL3002" s="462"/>
      <c r="GDM3002" s="299"/>
      <c r="GDN3002" s="81"/>
      <c r="GDO3002" s="160"/>
      <c r="GDP3002" s="574"/>
      <c r="GDQ3002" s="125"/>
      <c r="GDR3002" s="470"/>
      <c r="GDS3002" s="449"/>
      <c r="GDT3002" s="462"/>
      <c r="GDU3002" s="299"/>
      <c r="GDV3002" s="81"/>
      <c r="GDW3002" s="160"/>
      <c r="GDX3002" s="574"/>
      <c r="GDY3002" s="125"/>
      <c r="GDZ3002" s="470"/>
      <c r="GEA3002" s="449"/>
      <c r="GEB3002" s="462"/>
      <c r="GEC3002" s="299"/>
      <c r="GED3002" s="81"/>
      <c r="GEE3002" s="160"/>
      <c r="GEF3002" s="574"/>
      <c r="GEG3002" s="125"/>
      <c r="GEH3002" s="470"/>
      <c r="GEI3002" s="449"/>
      <c r="GEJ3002" s="462"/>
      <c r="GEK3002" s="299"/>
      <c r="GEL3002" s="81"/>
      <c r="GEM3002" s="160"/>
      <c r="GEN3002" s="574"/>
      <c r="GEO3002" s="125"/>
      <c r="GEP3002" s="470"/>
      <c r="GEQ3002" s="449"/>
      <c r="GER3002" s="462"/>
      <c r="GES3002" s="299"/>
      <c r="GET3002" s="81"/>
      <c r="GEU3002" s="160"/>
      <c r="GEV3002" s="574"/>
      <c r="GEW3002" s="125"/>
      <c r="GEX3002" s="470"/>
      <c r="GEY3002" s="449"/>
      <c r="GEZ3002" s="462"/>
      <c r="GFA3002" s="299"/>
      <c r="GFB3002" s="81"/>
      <c r="GFC3002" s="160"/>
      <c r="GFD3002" s="574"/>
      <c r="GFE3002" s="125"/>
      <c r="GFF3002" s="470"/>
      <c r="GFG3002" s="449"/>
      <c r="GFH3002" s="462"/>
      <c r="GFI3002" s="299"/>
      <c r="GFJ3002" s="81"/>
      <c r="GFK3002" s="160"/>
      <c r="GFL3002" s="574"/>
      <c r="GFM3002" s="125"/>
      <c r="GFN3002" s="470"/>
      <c r="GFO3002" s="449"/>
      <c r="GFP3002" s="462"/>
      <c r="GFQ3002" s="299"/>
      <c r="GFR3002" s="81"/>
      <c r="GFS3002" s="160"/>
      <c r="GFT3002" s="574"/>
      <c r="GFU3002" s="125"/>
      <c r="GFV3002" s="470"/>
      <c r="GFW3002" s="449"/>
      <c r="GFX3002" s="462"/>
      <c r="GFY3002" s="299"/>
      <c r="GFZ3002" s="81"/>
      <c r="GGA3002" s="160"/>
      <c r="GGB3002" s="574"/>
      <c r="GGC3002" s="125"/>
      <c r="GGD3002" s="470"/>
      <c r="GGE3002" s="449"/>
      <c r="GGF3002" s="462"/>
      <c r="GGG3002" s="299"/>
      <c r="GGH3002" s="81"/>
      <c r="GGI3002" s="160"/>
      <c r="GGJ3002" s="574"/>
      <c r="GGK3002" s="125"/>
      <c r="GGL3002" s="470"/>
      <c r="GGM3002" s="449"/>
      <c r="GGN3002" s="462"/>
      <c r="GGO3002" s="299"/>
      <c r="GGP3002" s="81"/>
      <c r="GGQ3002" s="160"/>
      <c r="GGR3002" s="574"/>
      <c r="GGS3002" s="125"/>
      <c r="GGT3002" s="470"/>
      <c r="GGU3002" s="449"/>
      <c r="GGV3002" s="462"/>
      <c r="GGW3002" s="299"/>
      <c r="GGX3002" s="81"/>
      <c r="GGY3002" s="160"/>
      <c r="GGZ3002" s="574"/>
      <c r="GHA3002" s="125"/>
      <c r="GHB3002" s="470"/>
      <c r="GHC3002" s="449"/>
      <c r="GHD3002" s="462"/>
      <c r="GHE3002" s="299"/>
      <c r="GHF3002" s="81"/>
      <c r="GHG3002" s="160"/>
      <c r="GHH3002" s="574"/>
      <c r="GHI3002" s="125"/>
      <c r="GHJ3002" s="470"/>
      <c r="GHK3002" s="449"/>
      <c r="GHL3002" s="462"/>
      <c r="GHM3002" s="299"/>
      <c r="GHN3002" s="81"/>
      <c r="GHO3002" s="160"/>
      <c r="GHP3002" s="574"/>
      <c r="GHQ3002" s="125"/>
      <c r="GHR3002" s="470"/>
      <c r="GHS3002" s="449"/>
      <c r="GHT3002" s="462"/>
      <c r="GHU3002" s="299"/>
      <c r="GHV3002" s="81"/>
      <c r="GHW3002" s="160"/>
      <c r="GHX3002" s="574"/>
      <c r="GHY3002" s="125"/>
      <c r="GHZ3002" s="470"/>
      <c r="GIA3002" s="449"/>
      <c r="GIB3002" s="462"/>
      <c r="GIC3002" s="299"/>
      <c r="GID3002" s="81"/>
      <c r="GIE3002" s="160"/>
      <c r="GIF3002" s="574"/>
      <c r="GIG3002" s="125"/>
      <c r="GIH3002" s="470"/>
      <c r="GII3002" s="449"/>
      <c r="GIJ3002" s="462"/>
      <c r="GIK3002" s="299"/>
      <c r="GIL3002" s="81"/>
      <c r="GIM3002" s="160"/>
      <c r="GIN3002" s="574"/>
      <c r="GIO3002" s="125"/>
      <c r="GIP3002" s="470"/>
      <c r="GIQ3002" s="449"/>
      <c r="GIR3002" s="462"/>
      <c r="GIS3002" s="299"/>
      <c r="GIT3002" s="81"/>
      <c r="GIU3002" s="160"/>
      <c r="GIV3002" s="574"/>
      <c r="GIW3002" s="125"/>
      <c r="GIX3002" s="470"/>
      <c r="GIY3002" s="449"/>
      <c r="GIZ3002" s="462"/>
      <c r="GJA3002" s="299"/>
      <c r="GJB3002" s="81"/>
      <c r="GJC3002" s="160"/>
      <c r="GJD3002" s="574"/>
      <c r="GJE3002" s="125"/>
      <c r="GJF3002" s="470"/>
      <c r="GJG3002" s="449"/>
      <c r="GJH3002" s="462"/>
      <c r="GJI3002" s="299"/>
      <c r="GJJ3002" s="81"/>
      <c r="GJK3002" s="160"/>
      <c r="GJL3002" s="574"/>
      <c r="GJM3002" s="125"/>
      <c r="GJN3002" s="470"/>
      <c r="GJO3002" s="449"/>
      <c r="GJP3002" s="462"/>
      <c r="GJQ3002" s="299"/>
      <c r="GJR3002" s="81"/>
      <c r="GJS3002" s="160"/>
      <c r="GJT3002" s="574"/>
      <c r="GJU3002" s="125"/>
      <c r="GJV3002" s="470"/>
      <c r="GJW3002" s="449"/>
      <c r="GJX3002" s="462"/>
      <c r="GJY3002" s="299"/>
      <c r="GJZ3002" s="81"/>
      <c r="GKA3002" s="160"/>
      <c r="GKB3002" s="574"/>
      <c r="GKC3002" s="125"/>
      <c r="GKD3002" s="470"/>
      <c r="GKE3002" s="449"/>
      <c r="GKF3002" s="462"/>
      <c r="GKG3002" s="299"/>
      <c r="GKH3002" s="81"/>
      <c r="GKI3002" s="160"/>
      <c r="GKJ3002" s="574"/>
      <c r="GKK3002" s="125"/>
      <c r="GKL3002" s="470"/>
      <c r="GKM3002" s="449"/>
      <c r="GKN3002" s="462"/>
      <c r="GKO3002" s="299"/>
      <c r="GKP3002" s="81"/>
      <c r="GKQ3002" s="160"/>
      <c r="GKR3002" s="574"/>
      <c r="GKS3002" s="125"/>
      <c r="GKT3002" s="470"/>
      <c r="GKU3002" s="449"/>
      <c r="GKV3002" s="462"/>
      <c r="GKW3002" s="299"/>
      <c r="GKX3002" s="81"/>
      <c r="GKY3002" s="160"/>
      <c r="GKZ3002" s="574"/>
      <c r="GLA3002" s="125"/>
      <c r="GLB3002" s="470"/>
      <c r="GLC3002" s="449"/>
      <c r="GLD3002" s="462"/>
      <c r="GLE3002" s="299"/>
      <c r="GLF3002" s="81"/>
      <c r="GLG3002" s="160"/>
      <c r="GLH3002" s="574"/>
      <c r="GLI3002" s="125"/>
      <c r="GLJ3002" s="470"/>
      <c r="GLK3002" s="449"/>
      <c r="GLL3002" s="462"/>
      <c r="GLM3002" s="299"/>
      <c r="GLN3002" s="81"/>
      <c r="GLO3002" s="160"/>
      <c r="GLP3002" s="574"/>
      <c r="GLQ3002" s="125"/>
      <c r="GLR3002" s="470"/>
      <c r="GLS3002" s="449"/>
      <c r="GLT3002" s="462"/>
      <c r="GLU3002" s="299"/>
      <c r="GLV3002" s="81"/>
      <c r="GLW3002" s="160"/>
      <c r="GLX3002" s="574"/>
      <c r="GLY3002" s="125"/>
      <c r="GLZ3002" s="470"/>
      <c r="GMA3002" s="449"/>
      <c r="GMB3002" s="462"/>
      <c r="GMC3002" s="299"/>
      <c r="GMD3002" s="81"/>
      <c r="GME3002" s="160"/>
      <c r="GMF3002" s="574"/>
      <c r="GMG3002" s="125"/>
      <c r="GMH3002" s="470"/>
      <c r="GMI3002" s="449"/>
      <c r="GMJ3002" s="462"/>
      <c r="GMK3002" s="299"/>
      <c r="GML3002" s="81"/>
      <c r="GMM3002" s="160"/>
      <c r="GMN3002" s="574"/>
      <c r="GMO3002" s="125"/>
      <c r="GMP3002" s="470"/>
      <c r="GMQ3002" s="449"/>
      <c r="GMR3002" s="462"/>
      <c r="GMS3002" s="299"/>
      <c r="GMT3002" s="81"/>
      <c r="GMU3002" s="160"/>
      <c r="GMV3002" s="574"/>
      <c r="GMW3002" s="125"/>
      <c r="GMX3002" s="470"/>
      <c r="GMY3002" s="449"/>
      <c r="GMZ3002" s="462"/>
      <c r="GNA3002" s="299"/>
      <c r="GNB3002" s="81"/>
      <c r="GNC3002" s="160"/>
      <c r="GND3002" s="574"/>
      <c r="GNE3002" s="125"/>
      <c r="GNF3002" s="470"/>
      <c r="GNG3002" s="449"/>
      <c r="GNH3002" s="462"/>
      <c r="GNI3002" s="299"/>
      <c r="GNJ3002" s="81"/>
      <c r="GNK3002" s="160"/>
      <c r="GNL3002" s="574"/>
      <c r="GNM3002" s="125"/>
      <c r="GNN3002" s="470"/>
      <c r="GNO3002" s="449"/>
      <c r="GNP3002" s="462"/>
      <c r="GNQ3002" s="299"/>
      <c r="GNR3002" s="81"/>
      <c r="GNS3002" s="160"/>
      <c r="GNT3002" s="574"/>
      <c r="GNU3002" s="125"/>
      <c r="GNV3002" s="470"/>
      <c r="GNW3002" s="449"/>
      <c r="GNX3002" s="462"/>
      <c r="GNY3002" s="299"/>
      <c r="GNZ3002" s="81"/>
      <c r="GOA3002" s="160"/>
      <c r="GOB3002" s="574"/>
      <c r="GOC3002" s="125"/>
      <c r="GOD3002" s="470"/>
      <c r="GOE3002" s="449"/>
      <c r="GOF3002" s="462"/>
      <c r="GOG3002" s="299"/>
      <c r="GOH3002" s="81"/>
      <c r="GOI3002" s="160"/>
      <c r="GOJ3002" s="574"/>
      <c r="GOK3002" s="125"/>
      <c r="GOL3002" s="470"/>
      <c r="GOM3002" s="449"/>
      <c r="GON3002" s="462"/>
      <c r="GOO3002" s="299"/>
      <c r="GOP3002" s="81"/>
      <c r="GOQ3002" s="160"/>
      <c r="GOR3002" s="574"/>
      <c r="GOS3002" s="125"/>
      <c r="GOT3002" s="470"/>
      <c r="GOU3002" s="449"/>
      <c r="GOV3002" s="462"/>
      <c r="GOW3002" s="299"/>
      <c r="GOX3002" s="81"/>
      <c r="GOY3002" s="160"/>
      <c r="GOZ3002" s="574"/>
      <c r="GPA3002" s="125"/>
      <c r="GPB3002" s="470"/>
      <c r="GPC3002" s="449"/>
      <c r="GPD3002" s="462"/>
      <c r="GPE3002" s="299"/>
      <c r="GPF3002" s="81"/>
      <c r="GPG3002" s="160"/>
      <c r="GPH3002" s="574"/>
      <c r="GPI3002" s="125"/>
      <c r="GPJ3002" s="470"/>
      <c r="GPK3002" s="449"/>
      <c r="GPL3002" s="462"/>
      <c r="GPM3002" s="299"/>
      <c r="GPN3002" s="81"/>
      <c r="GPO3002" s="160"/>
      <c r="GPP3002" s="574"/>
      <c r="GPQ3002" s="125"/>
      <c r="GPR3002" s="470"/>
      <c r="GPS3002" s="449"/>
      <c r="GPT3002" s="462"/>
      <c r="GPU3002" s="299"/>
      <c r="GPV3002" s="81"/>
      <c r="GPW3002" s="160"/>
      <c r="GPX3002" s="574"/>
      <c r="GPY3002" s="125"/>
      <c r="GPZ3002" s="470"/>
      <c r="GQA3002" s="449"/>
      <c r="GQB3002" s="462"/>
      <c r="GQC3002" s="299"/>
      <c r="GQD3002" s="81"/>
      <c r="GQE3002" s="160"/>
      <c r="GQF3002" s="574"/>
      <c r="GQG3002" s="125"/>
      <c r="GQH3002" s="470"/>
      <c r="GQI3002" s="449"/>
      <c r="GQJ3002" s="462"/>
      <c r="GQK3002" s="299"/>
      <c r="GQL3002" s="81"/>
      <c r="GQM3002" s="160"/>
      <c r="GQN3002" s="574"/>
      <c r="GQO3002" s="125"/>
      <c r="GQP3002" s="470"/>
      <c r="GQQ3002" s="449"/>
      <c r="GQR3002" s="462"/>
      <c r="GQS3002" s="299"/>
      <c r="GQT3002" s="81"/>
      <c r="GQU3002" s="160"/>
      <c r="GQV3002" s="574"/>
      <c r="GQW3002" s="125"/>
      <c r="GQX3002" s="470"/>
      <c r="GQY3002" s="449"/>
      <c r="GQZ3002" s="462"/>
      <c r="GRA3002" s="299"/>
      <c r="GRB3002" s="81"/>
      <c r="GRC3002" s="160"/>
      <c r="GRD3002" s="574"/>
      <c r="GRE3002" s="125"/>
      <c r="GRF3002" s="470"/>
      <c r="GRG3002" s="449"/>
      <c r="GRH3002" s="462"/>
      <c r="GRI3002" s="299"/>
      <c r="GRJ3002" s="81"/>
      <c r="GRK3002" s="160"/>
      <c r="GRL3002" s="574"/>
      <c r="GRM3002" s="125"/>
      <c r="GRN3002" s="470"/>
      <c r="GRO3002" s="449"/>
      <c r="GRP3002" s="462"/>
      <c r="GRQ3002" s="299"/>
      <c r="GRR3002" s="81"/>
      <c r="GRS3002" s="160"/>
      <c r="GRT3002" s="574"/>
      <c r="GRU3002" s="125"/>
      <c r="GRV3002" s="470"/>
      <c r="GRW3002" s="449"/>
      <c r="GRX3002" s="462"/>
      <c r="GRY3002" s="299"/>
      <c r="GRZ3002" s="81"/>
      <c r="GSA3002" s="160"/>
      <c r="GSB3002" s="574"/>
      <c r="GSC3002" s="125"/>
      <c r="GSD3002" s="470"/>
      <c r="GSE3002" s="449"/>
      <c r="GSF3002" s="462"/>
      <c r="GSG3002" s="299"/>
      <c r="GSH3002" s="81"/>
      <c r="GSI3002" s="160"/>
      <c r="GSJ3002" s="574"/>
      <c r="GSK3002" s="125"/>
      <c r="GSL3002" s="470"/>
      <c r="GSM3002" s="449"/>
      <c r="GSN3002" s="462"/>
      <c r="GSO3002" s="299"/>
      <c r="GSP3002" s="81"/>
      <c r="GSQ3002" s="160"/>
      <c r="GSR3002" s="574"/>
      <c r="GSS3002" s="125"/>
      <c r="GST3002" s="470"/>
      <c r="GSU3002" s="449"/>
      <c r="GSV3002" s="462"/>
      <c r="GSW3002" s="299"/>
      <c r="GSX3002" s="81"/>
      <c r="GSY3002" s="160"/>
      <c r="GSZ3002" s="574"/>
      <c r="GTA3002" s="125"/>
      <c r="GTB3002" s="470"/>
      <c r="GTC3002" s="449"/>
      <c r="GTD3002" s="462"/>
      <c r="GTE3002" s="299"/>
      <c r="GTF3002" s="81"/>
      <c r="GTG3002" s="160"/>
      <c r="GTH3002" s="574"/>
      <c r="GTI3002" s="125"/>
      <c r="GTJ3002" s="470"/>
      <c r="GTK3002" s="449"/>
      <c r="GTL3002" s="462"/>
      <c r="GTM3002" s="299"/>
      <c r="GTN3002" s="81"/>
      <c r="GTO3002" s="160"/>
      <c r="GTP3002" s="574"/>
      <c r="GTQ3002" s="125"/>
      <c r="GTR3002" s="470"/>
      <c r="GTS3002" s="449"/>
      <c r="GTT3002" s="462"/>
      <c r="GTU3002" s="299"/>
      <c r="GTV3002" s="81"/>
      <c r="GTW3002" s="160"/>
      <c r="GTX3002" s="574"/>
      <c r="GTY3002" s="125"/>
      <c r="GTZ3002" s="470"/>
      <c r="GUA3002" s="449"/>
      <c r="GUB3002" s="462"/>
      <c r="GUC3002" s="299"/>
      <c r="GUD3002" s="81"/>
      <c r="GUE3002" s="160"/>
      <c r="GUF3002" s="574"/>
      <c r="GUG3002" s="125"/>
      <c r="GUH3002" s="470"/>
      <c r="GUI3002" s="449"/>
      <c r="GUJ3002" s="462"/>
      <c r="GUK3002" s="299"/>
      <c r="GUL3002" s="81"/>
      <c r="GUM3002" s="160"/>
      <c r="GUN3002" s="574"/>
      <c r="GUO3002" s="125"/>
      <c r="GUP3002" s="470"/>
      <c r="GUQ3002" s="449"/>
      <c r="GUR3002" s="462"/>
      <c r="GUS3002" s="299"/>
      <c r="GUT3002" s="81"/>
      <c r="GUU3002" s="160"/>
      <c r="GUV3002" s="574"/>
      <c r="GUW3002" s="125"/>
      <c r="GUX3002" s="470"/>
      <c r="GUY3002" s="449"/>
      <c r="GUZ3002" s="462"/>
      <c r="GVA3002" s="299"/>
      <c r="GVB3002" s="81"/>
      <c r="GVC3002" s="160"/>
      <c r="GVD3002" s="574"/>
      <c r="GVE3002" s="125"/>
      <c r="GVF3002" s="470"/>
      <c r="GVG3002" s="449"/>
      <c r="GVH3002" s="462"/>
      <c r="GVI3002" s="299"/>
      <c r="GVJ3002" s="81"/>
      <c r="GVK3002" s="160"/>
      <c r="GVL3002" s="574"/>
      <c r="GVM3002" s="125"/>
      <c r="GVN3002" s="470"/>
      <c r="GVO3002" s="449"/>
      <c r="GVP3002" s="462"/>
      <c r="GVQ3002" s="299"/>
      <c r="GVR3002" s="81"/>
      <c r="GVS3002" s="160"/>
      <c r="GVT3002" s="574"/>
      <c r="GVU3002" s="125"/>
      <c r="GVV3002" s="470"/>
      <c r="GVW3002" s="449"/>
      <c r="GVX3002" s="462"/>
      <c r="GVY3002" s="299"/>
      <c r="GVZ3002" s="81"/>
      <c r="GWA3002" s="160"/>
      <c r="GWB3002" s="574"/>
      <c r="GWC3002" s="125"/>
      <c r="GWD3002" s="470"/>
      <c r="GWE3002" s="449"/>
      <c r="GWF3002" s="462"/>
      <c r="GWG3002" s="299"/>
      <c r="GWH3002" s="81"/>
      <c r="GWI3002" s="160"/>
      <c r="GWJ3002" s="574"/>
      <c r="GWK3002" s="125"/>
      <c r="GWL3002" s="470"/>
      <c r="GWM3002" s="449"/>
      <c r="GWN3002" s="462"/>
      <c r="GWO3002" s="299"/>
      <c r="GWP3002" s="81"/>
      <c r="GWQ3002" s="160"/>
      <c r="GWR3002" s="574"/>
      <c r="GWS3002" s="125"/>
      <c r="GWT3002" s="470"/>
      <c r="GWU3002" s="449"/>
      <c r="GWV3002" s="462"/>
      <c r="GWW3002" s="299"/>
      <c r="GWX3002" s="81"/>
      <c r="GWY3002" s="160"/>
      <c r="GWZ3002" s="574"/>
      <c r="GXA3002" s="125"/>
      <c r="GXB3002" s="470"/>
      <c r="GXC3002" s="449"/>
      <c r="GXD3002" s="462"/>
      <c r="GXE3002" s="299"/>
      <c r="GXF3002" s="81"/>
      <c r="GXG3002" s="160"/>
      <c r="GXH3002" s="574"/>
      <c r="GXI3002" s="125"/>
      <c r="GXJ3002" s="470"/>
      <c r="GXK3002" s="449"/>
      <c r="GXL3002" s="462"/>
      <c r="GXM3002" s="299"/>
      <c r="GXN3002" s="81"/>
      <c r="GXO3002" s="160"/>
      <c r="GXP3002" s="574"/>
      <c r="GXQ3002" s="125"/>
      <c r="GXR3002" s="470"/>
      <c r="GXS3002" s="449"/>
      <c r="GXT3002" s="462"/>
      <c r="GXU3002" s="299"/>
      <c r="GXV3002" s="81"/>
      <c r="GXW3002" s="160"/>
      <c r="GXX3002" s="574"/>
      <c r="GXY3002" s="125"/>
      <c r="GXZ3002" s="470"/>
      <c r="GYA3002" s="449"/>
      <c r="GYB3002" s="462"/>
      <c r="GYC3002" s="299"/>
      <c r="GYD3002" s="81"/>
      <c r="GYE3002" s="160"/>
      <c r="GYF3002" s="574"/>
      <c r="GYG3002" s="125"/>
      <c r="GYH3002" s="470"/>
      <c r="GYI3002" s="449"/>
      <c r="GYJ3002" s="462"/>
      <c r="GYK3002" s="299"/>
      <c r="GYL3002" s="81"/>
      <c r="GYM3002" s="160"/>
      <c r="GYN3002" s="574"/>
      <c r="GYO3002" s="125"/>
      <c r="GYP3002" s="470"/>
      <c r="GYQ3002" s="449"/>
      <c r="GYR3002" s="462"/>
      <c r="GYS3002" s="299"/>
      <c r="GYT3002" s="81"/>
      <c r="GYU3002" s="160"/>
      <c r="GYV3002" s="574"/>
      <c r="GYW3002" s="125"/>
      <c r="GYX3002" s="470"/>
      <c r="GYY3002" s="449"/>
      <c r="GYZ3002" s="462"/>
      <c r="GZA3002" s="299"/>
      <c r="GZB3002" s="81"/>
      <c r="GZC3002" s="160"/>
      <c r="GZD3002" s="574"/>
      <c r="GZE3002" s="125"/>
      <c r="GZF3002" s="470"/>
      <c r="GZG3002" s="449"/>
      <c r="GZH3002" s="462"/>
      <c r="GZI3002" s="299"/>
      <c r="GZJ3002" s="81"/>
      <c r="GZK3002" s="160"/>
      <c r="GZL3002" s="574"/>
      <c r="GZM3002" s="125"/>
      <c r="GZN3002" s="470"/>
      <c r="GZO3002" s="449"/>
      <c r="GZP3002" s="462"/>
      <c r="GZQ3002" s="299"/>
      <c r="GZR3002" s="81"/>
      <c r="GZS3002" s="160"/>
      <c r="GZT3002" s="574"/>
      <c r="GZU3002" s="125"/>
      <c r="GZV3002" s="470"/>
      <c r="GZW3002" s="449"/>
      <c r="GZX3002" s="462"/>
      <c r="GZY3002" s="299"/>
      <c r="GZZ3002" s="81"/>
      <c r="HAA3002" s="160"/>
      <c r="HAB3002" s="574"/>
      <c r="HAC3002" s="125"/>
      <c r="HAD3002" s="470"/>
      <c r="HAE3002" s="449"/>
      <c r="HAF3002" s="462"/>
      <c r="HAG3002" s="299"/>
      <c r="HAH3002" s="81"/>
      <c r="HAI3002" s="160"/>
      <c r="HAJ3002" s="574"/>
      <c r="HAK3002" s="125"/>
      <c r="HAL3002" s="470"/>
      <c r="HAM3002" s="449"/>
      <c r="HAN3002" s="462"/>
      <c r="HAO3002" s="299"/>
      <c r="HAP3002" s="81"/>
      <c r="HAQ3002" s="160"/>
      <c r="HAR3002" s="574"/>
      <c r="HAS3002" s="125"/>
      <c r="HAT3002" s="470"/>
      <c r="HAU3002" s="449"/>
      <c r="HAV3002" s="462"/>
      <c r="HAW3002" s="299"/>
      <c r="HAX3002" s="81"/>
      <c r="HAY3002" s="160"/>
      <c r="HAZ3002" s="574"/>
      <c r="HBA3002" s="125"/>
      <c r="HBB3002" s="470"/>
      <c r="HBC3002" s="449"/>
      <c r="HBD3002" s="462"/>
      <c r="HBE3002" s="299"/>
      <c r="HBF3002" s="81"/>
      <c r="HBG3002" s="160"/>
      <c r="HBH3002" s="574"/>
      <c r="HBI3002" s="125"/>
      <c r="HBJ3002" s="470"/>
      <c r="HBK3002" s="449"/>
      <c r="HBL3002" s="462"/>
      <c r="HBM3002" s="299"/>
      <c r="HBN3002" s="81"/>
      <c r="HBO3002" s="160"/>
      <c r="HBP3002" s="574"/>
      <c r="HBQ3002" s="125"/>
      <c r="HBR3002" s="470"/>
      <c r="HBS3002" s="449"/>
      <c r="HBT3002" s="462"/>
      <c r="HBU3002" s="299"/>
      <c r="HBV3002" s="81"/>
      <c r="HBW3002" s="160"/>
      <c r="HBX3002" s="574"/>
      <c r="HBY3002" s="125"/>
      <c r="HBZ3002" s="470"/>
      <c r="HCA3002" s="449"/>
      <c r="HCB3002" s="462"/>
      <c r="HCC3002" s="299"/>
      <c r="HCD3002" s="81"/>
      <c r="HCE3002" s="160"/>
      <c r="HCF3002" s="574"/>
      <c r="HCG3002" s="125"/>
      <c r="HCH3002" s="470"/>
      <c r="HCI3002" s="449"/>
      <c r="HCJ3002" s="462"/>
      <c r="HCK3002" s="299"/>
      <c r="HCL3002" s="81"/>
      <c r="HCM3002" s="160"/>
      <c r="HCN3002" s="574"/>
      <c r="HCO3002" s="125"/>
      <c r="HCP3002" s="470"/>
      <c r="HCQ3002" s="449"/>
      <c r="HCR3002" s="462"/>
      <c r="HCS3002" s="299"/>
      <c r="HCT3002" s="81"/>
      <c r="HCU3002" s="160"/>
      <c r="HCV3002" s="574"/>
      <c r="HCW3002" s="125"/>
      <c r="HCX3002" s="470"/>
      <c r="HCY3002" s="449"/>
      <c r="HCZ3002" s="462"/>
      <c r="HDA3002" s="299"/>
      <c r="HDB3002" s="81"/>
      <c r="HDC3002" s="160"/>
      <c r="HDD3002" s="574"/>
      <c r="HDE3002" s="125"/>
      <c r="HDF3002" s="470"/>
      <c r="HDG3002" s="449"/>
      <c r="HDH3002" s="462"/>
      <c r="HDI3002" s="299"/>
      <c r="HDJ3002" s="81"/>
      <c r="HDK3002" s="160"/>
      <c r="HDL3002" s="574"/>
      <c r="HDM3002" s="125"/>
      <c r="HDN3002" s="470"/>
      <c r="HDO3002" s="449"/>
      <c r="HDP3002" s="462"/>
      <c r="HDQ3002" s="299"/>
      <c r="HDR3002" s="81"/>
      <c r="HDS3002" s="160"/>
      <c r="HDT3002" s="574"/>
      <c r="HDU3002" s="125"/>
      <c r="HDV3002" s="470"/>
      <c r="HDW3002" s="449"/>
      <c r="HDX3002" s="462"/>
      <c r="HDY3002" s="299"/>
      <c r="HDZ3002" s="81"/>
      <c r="HEA3002" s="160"/>
      <c r="HEB3002" s="574"/>
      <c r="HEC3002" s="125"/>
      <c r="HED3002" s="470"/>
      <c r="HEE3002" s="449"/>
      <c r="HEF3002" s="462"/>
      <c r="HEG3002" s="299"/>
      <c r="HEH3002" s="81"/>
      <c r="HEI3002" s="160"/>
      <c r="HEJ3002" s="574"/>
      <c r="HEK3002" s="125"/>
      <c r="HEL3002" s="470"/>
      <c r="HEM3002" s="449"/>
      <c r="HEN3002" s="462"/>
      <c r="HEO3002" s="299"/>
      <c r="HEP3002" s="81"/>
      <c r="HEQ3002" s="160"/>
      <c r="HER3002" s="574"/>
      <c r="HES3002" s="125"/>
      <c r="HET3002" s="470"/>
      <c r="HEU3002" s="449"/>
      <c r="HEV3002" s="462"/>
      <c r="HEW3002" s="299"/>
      <c r="HEX3002" s="81"/>
      <c r="HEY3002" s="160"/>
      <c r="HEZ3002" s="574"/>
      <c r="HFA3002" s="125"/>
      <c r="HFB3002" s="470"/>
      <c r="HFC3002" s="449"/>
      <c r="HFD3002" s="462"/>
      <c r="HFE3002" s="299"/>
      <c r="HFF3002" s="81"/>
      <c r="HFG3002" s="160"/>
      <c r="HFH3002" s="574"/>
      <c r="HFI3002" s="125"/>
      <c r="HFJ3002" s="470"/>
      <c r="HFK3002" s="449"/>
      <c r="HFL3002" s="462"/>
      <c r="HFM3002" s="299"/>
      <c r="HFN3002" s="81"/>
      <c r="HFO3002" s="160"/>
      <c r="HFP3002" s="574"/>
      <c r="HFQ3002" s="125"/>
      <c r="HFR3002" s="470"/>
      <c r="HFS3002" s="449"/>
      <c r="HFT3002" s="462"/>
      <c r="HFU3002" s="299"/>
      <c r="HFV3002" s="81"/>
      <c r="HFW3002" s="160"/>
      <c r="HFX3002" s="574"/>
      <c r="HFY3002" s="125"/>
      <c r="HFZ3002" s="470"/>
      <c r="HGA3002" s="449"/>
      <c r="HGB3002" s="462"/>
      <c r="HGC3002" s="299"/>
      <c r="HGD3002" s="81"/>
      <c r="HGE3002" s="160"/>
      <c r="HGF3002" s="574"/>
      <c r="HGG3002" s="125"/>
      <c r="HGH3002" s="470"/>
      <c r="HGI3002" s="449"/>
      <c r="HGJ3002" s="462"/>
      <c r="HGK3002" s="299"/>
      <c r="HGL3002" s="81"/>
      <c r="HGM3002" s="160"/>
      <c r="HGN3002" s="574"/>
      <c r="HGO3002" s="125"/>
      <c r="HGP3002" s="470"/>
      <c r="HGQ3002" s="449"/>
      <c r="HGR3002" s="462"/>
      <c r="HGS3002" s="299"/>
      <c r="HGT3002" s="81"/>
      <c r="HGU3002" s="160"/>
      <c r="HGV3002" s="574"/>
      <c r="HGW3002" s="125"/>
      <c r="HGX3002" s="470"/>
      <c r="HGY3002" s="449"/>
      <c r="HGZ3002" s="462"/>
      <c r="HHA3002" s="299"/>
      <c r="HHB3002" s="81"/>
      <c r="HHC3002" s="160"/>
      <c r="HHD3002" s="574"/>
      <c r="HHE3002" s="125"/>
      <c r="HHF3002" s="470"/>
      <c r="HHG3002" s="449"/>
      <c r="HHH3002" s="462"/>
      <c r="HHI3002" s="299"/>
      <c r="HHJ3002" s="81"/>
      <c r="HHK3002" s="160"/>
      <c r="HHL3002" s="574"/>
      <c r="HHM3002" s="125"/>
      <c r="HHN3002" s="470"/>
      <c r="HHO3002" s="449"/>
      <c r="HHP3002" s="462"/>
      <c r="HHQ3002" s="299"/>
      <c r="HHR3002" s="81"/>
      <c r="HHS3002" s="160"/>
      <c r="HHT3002" s="574"/>
      <c r="HHU3002" s="125"/>
      <c r="HHV3002" s="470"/>
      <c r="HHW3002" s="449"/>
      <c r="HHX3002" s="462"/>
      <c r="HHY3002" s="299"/>
      <c r="HHZ3002" s="81"/>
      <c r="HIA3002" s="160"/>
      <c r="HIB3002" s="574"/>
      <c r="HIC3002" s="125"/>
      <c r="HID3002" s="470"/>
      <c r="HIE3002" s="449"/>
      <c r="HIF3002" s="462"/>
      <c r="HIG3002" s="299"/>
      <c r="HIH3002" s="81"/>
      <c r="HII3002" s="160"/>
      <c r="HIJ3002" s="574"/>
      <c r="HIK3002" s="125"/>
      <c r="HIL3002" s="470"/>
      <c r="HIM3002" s="449"/>
      <c r="HIN3002" s="462"/>
      <c r="HIO3002" s="299"/>
      <c r="HIP3002" s="81"/>
      <c r="HIQ3002" s="160"/>
      <c r="HIR3002" s="574"/>
      <c r="HIS3002" s="125"/>
      <c r="HIT3002" s="470"/>
      <c r="HIU3002" s="449"/>
      <c r="HIV3002" s="462"/>
      <c r="HIW3002" s="299"/>
      <c r="HIX3002" s="81"/>
      <c r="HIY3002" s="160"/>
      <c r="HIZ3002" s="574"/>
      <c r="HJA3002" s="125"/>
      <c r="HJB3002" s="470"/>
      <c r="HJC3002" s="449"/>
      <c r="HJD3002" s="462"/>
      <c r="HJE3002" s="299"/>
      <c r="HJF3002" s="81"/>
      <c r="HJG3002" s="160"/>
      <c r="HJH3002" s="574"/>
      <c r="HJI3002" s="125"/>
      <c r="HJJ3002" s="470"/>
      <c r="HJK3002" s="449"/>
      <c r="HJL3002" s="462"/>
      <c r="HJM3002" s="299"/>
      <c r="HJN3002" s="81"/>
      <c r="HJO3002" s="160"/>
      <c r="HJP3002" s="574"/>
      <c r="HJQ3002" s="125"/>
      <c r="HJR3002" s="470"/>
      <c r="HJS3002" s="449"/>
      <c r="HJT3002" s="462"/>
      <c r="HJU3002" s="299"/>
      <c r="HJV3002" s="81"/>
      <c r="HJW3002" s="160"/>
      <c r="HJX3002" s="574"/>
      <c r="HJY3002" s="125"/>
      <c r="HJZ3002" s="470"/>
      <c r="HKA3002" s="449"/>
      <c r="HKB3002" s="462"/>
      <c r="HKC3002" s="299"/>
      <c r="HKD3002" s="81"/>
      <c r="HKE3002" s="160"/>
      <c r="HKF3002" s="574"/>
      <c r="HKG3002" s="125"/>
      <c r="HKH3002" s="470"/>
      <c r="HKI3002" s="449"/>
      <c r="HKJ3002" s="462"/>
      <c r="HKK3002" s="299"/>
      <c r="HKL3002" s="81"/>
      <c r="HKM3002" s="160"/>
      <c r="HKN3002" s="574"/>
      <c r="HKO3002" s="125"/>
      <c r="HKP3002" s="470"/>
      <c r="HKQ3002" s="449"/>
      <c r="HKR3002" s="462"/>
      <c r="HKS3002" s="299"/>
      <c r="HKT3002" s="81"/>
      <c r="HKU3002" s="160"/>
      <c r="HKV3002" s="574"/>
      <c r="HKW3002" s="125"/>
      <c r="HKX3002" s="470"/>
      <c r="HKY3002" s="449"/>
      <c r="HKZ3002" s="462"/>
      <c r="HLA3002" s="299"/>
      <c r="HLB3002" s="81"/>
      <c r="HLC3002" s="160"/>
      <c r="HLD3002" s="574"/>
      <c r="HLE3002" s="125"/>
      <c r="HLF3002" s="470"/>
      <c r="HLG3002" s="449"/>
      <c r="HLH3002" s="462"/>
      <c r="HLI3002" s="299"/>
      <c r="HLJ3002" s="81"/>
      <c r="HLK3002" s="160"/>
      <c r="HLL3002" s="574"/>
      <c r="HLM3002" s="125"/>
      <c r="HLN3002" s="470"/>
      <c r="HLO3002" s="449"/>
      <c r="HLP3002" s="462"/>
      <c r="HLQ3002" s="299"/>
      <c r="HLR3002" s="81"/>
      <c r="HLS3002" s="160"/>
      <c r="HLT3002" s="574"/>
      <c r="HLU3002" s="125"/>
      <c r="HLV3002" s="470"/>
      <c r="HLW3002" s="449"/>
      <c r="HLX3002" s="462"/>
      <c r="HLY3002" s="299"/>
      <c r="HLZ3002" s="81"/>
      <c r="HMA3002" s="160"/>
      <c r="HMB3002" s="574"/>
      <c r="HMC3002" s="125"/>
      <c r="HMD3002" s="470"/>
      <c r="HME3002" s="449"/>
      <c r="HMF3002" s="462"/>
      <c r="HMG3002" s="299"/>
      <c r="HMH3002" s="81"/>
      <c r="HMI3002" s="160"/>
      <c r="HMJ3002" s="574"/>
      <c r="HMK3002" s="125"/>
      <c r="HML3002" s="470"/>
      <c r="HMM3002" s="449"/>
      <c r="HMN3002" s="462"/>
      <c r="HMO3002" s="299"/>
      <c r="HMP3002" s="81"/>
      <c r="HMQ3002" s="160"/>
      <c r="HMR3002" s="574"/>
      <c r="HMS3002" s="125"/>
      <c r="HMT3002" s="470"/>
      <c r="HMU3002" s="449"/>
      <c r="HMV3002" s="462"/>
      <c r="HMW3002" s="299"/>
      <c r="HMX3002" s="81"/>
      <c r="HMY3002" s="160"/>
      <c r="HMZ3002" s="574"/>
      <c r="HNA3002" s="125"/>
      <c r="HNB3002" s="470"/>
      <c r="HNC3002" s="449"/>
      <c r="HND3002" s="462"/>
      <c r="HNE3002" s="299"/>
      <c r="HNF3002" s="81"/>
      <c r="HNG3002" s="160"/>
      <c r="HNH3002" s="574"/>
      <c r="HNI3002" s="125"/>
      <c r="HNJ3002" s="470"/>
      <c r="HNK3002" s="449"/>
      <c r="HNL3002" s="462"/>
      <c r="HNM3002" s="299"/>
      <c r="HNN3002" s="81"/>
      <c r="HNO3002" s="160"/>
      <c r="HNP3002" s="574"/>
      <c r="HNQ3002" s="125"/>
      <c r="HNR3002" s="470"/>
      <c r="HNS3002" s="449"/>
      <c r="HNT3002" s="462"/>
      <c r="HNU3002" s="299"/>
      <c r="HNV3002" s="81"/>
      <c r="HNW3002" s="160"/>
      <c r="HNX3002" s="574"/>
      <c r="HNY3002" s="125"/>
      <c r="HNZ3002" s="470"/>
      <c r="HOA3002" s="449"/>
      <c r="HOB3002" s="462"/>
      <c r="HOC3002" s="299"/>
      <c r="HOD3002" s="81"/>
      <c r="HOE3002" s="160"/>
      <c r="HOF3002" s="574"/>
      <c r="HOG3002" s="125"/>
      <c r="HOH3002" s="470"/>
      <c r="HOI3002" s="449"/>
      <c r="HOJ3002" s="462"/>
      <c r="HOK3002" s="299"/>
      <c r="HOL3002" s="81"/>
      <c r="HOM3002" s="160"/>
      <c r="HON3002" s="574"/>
      <c r="HOO3002" s="125"/>
      <c r="HOP3002" s="470"/>
      <c r="HOQ3002" s="449"/>
      <c r="HOR3002" s="462"/>
      <c r="HOS3002" s="299"/>
      <c r="HOT3002" s="81"/>
      <c r="HOU3002" s="160"/>
      <c r="HOV3002" s="574"/>
      <c r="HOW3002" s="125"/>
      <c r="HOX3002" s="470"/>
      <c r="HOY3002" s="449"/>
      <c r="HOZ3002" s="462"/>
      <c r="HPA3002" s="299"/>
      <c r="HPB3002" s="81"/>
      <c r="HPC3002" s="160"/>
      <c r="HPD3002" s="574"/>
      <c r="HPE3002" s="125"/>
      <c r="HPF3002" s="470"/>
      <c r="HPG3002" s="449"/>
      <c r="HPH3002" s="462"/>
      <c r="HPI3002" s="299"/>
      <c r="HPJ3002" s="81"/>
      <c r="HPK3002" s="160"/>
      <c r="HPL3002" s="574"/>
      <c r="HPM3002" s="125"/>
      <c r="HPN3002" s="470"/>
      <c r="HPO3002" s="449"/>
      <c r="HPP3002" s="462"/>
      <c r="HPQ3002" s="299"/>
      <c r="HPR3002" s="81"/>
      <c r="HPS3002" s="160"/>
      <c r="HPT3002" s="574"/>
      <c r="HPU3002" s="125"/>
      <c r="HPV3002" s="470"/>
      <c r="HPW3002" s="449"/>
      <c r="HPX3002" s="462"/>
      <c r="HPY3002" s="299"/>
      <c r="HPZ3002" s="81"/>
      <c r="HQA3002" s="160"/>
      <c r="HQB3002" s="574"/>
      <c r="HQC3002" s="125"/>
      <c r="HQD3002" s="470"/>
      <c r="HQE3002" s="449"/>
      <c r="HQF3002" s="462"/>
      <c r="HQG3002" s="299"/>
      <c r="HQH3002" s="81"/>
      <c r="HQI3002" s="160"/>
      <c r="HQJ3002" s="574"/>
      <c r="HQK3002" s="125"/>
      <c r="HQL3002" s="470"/>
      <c r="HQM3002" s="449"/>
      <c r="HQN3002" s="462"/>
      <c r="HQO3002" s="299"/>
      <c r="HQP3002" s="81"/>
      <c r="HQQ3002" s="160"/>
      <c r="HQR3002" s="574"/>
      <c r="HQS3002" s="125"/>
      <c r="HQT3002" s="470"/>
      <c r="HQU3002" s="449"/>
      <c r="HQV3002" s="462"/>
      <c r="HQW3002" s="299"/>
      <c r="HQX3002" s="81"/>
      <c r="HQY3002" s="160"/>
      <c r="HQZ3002" s="574"/>
      <c r="HRA3002" s="125"/>
      <c r="HRB3002" s="470"/>
      <c r="HRC3002" s="449"/>
      <c r="HRD3002" s="462"/>
      <c r="HRE3002" s="299"/>
      <c r="HRF3002" s="81"/>
      <c r="HRG3002" s="160"/>
      <c r="HRH3002" s="574"/>
      <c r="HRI3002" s="125"/>
      <c r="HRJ3002" s="470"/>
      <c r="HRK3002" s="449"/>
      <c r="HRL3002" s="462"/>
      <c r="HRM3002" s="299"/>
      <c r="HRN3002" s="81"/>
      <c r="HRO3002" s="160"/>
      <c r="HRP3002" s="574"/>
      <c r="HRQ3002" s="125"/>
      <c r="HRR3002" s="470"/>
      <c r="HRS3002" s="449"/>
      <c r="HRT3002" s="462"/>
      <c r="HRU3002" s="299"/>
      <c r="HRV3002" s="81"/>
      <c r="HRW3002" s="160"/>
      <c r="HRX3002" s="574"/>
      <c r="HRY3002" s="125"/>
      <c r="HRZ3002" s="470"/>
      <c r="HSA3002" s="449"/>
      <c r="HSB3002" s="462"/>
      <c r="HSC3002" s="299"/>
      <c r="HSD3002" s="81"/>
      <c r="HSE3002" s="160"/>
      <c r="HSF3002" s="574"/>
      <c r="HSG3002" s="125"/>
      <c r="HSH3002" s="470"/>
      <c r="HSI3002" s="449"/>
      <c r="HSJ3002" s="462"/>
      <c r="HSK3002" s="299"/>
      <c r="HSL3002" s="81"/>
      <c r="HSM3002" s="160"/>
      <c r="HSN3002" s="574"/>
      <c r="HSO3002" s="125"/>
      <c r="HSP3002" s="470"/>
      <c r="HSQ3002" s="449"/>
      <c r="HSR3002" s="462"/>
      <c r="HSS3002" s="299"/>
      <c r="HST3002" s="81"/>
      <c r="HSU3002" s="160"/>
      <c r="HSV3002" s="574"/>
      <c r="HSW3002" s="125"/>
      <c r="HSX3002" s="470"/>
      <c r="HSY3002" s="449"/>
      <c r="HSZ3002" s="462"/>
      <c r="HTA3002" s="299"/>
      <c r="HTB3002" s="81"/>
      <c r="HTC3002" s="160"/>
      <c r="HTD3002" s="574"/>
      <c r="HTE3002" s="125"/>
      <c r="HTF3002" s="470"/>
      <c r="HTG3002" s="449"/>
      <c r="HTH3002" s="462"/>
      <c r="HTI3002" s="299"/>
      <c r="HTJ3002" s="81"/>
      <c r="HTK3002" s="160"/>
      <c r="HTL3002" s="574"/>
      <c r="HTM3002" s="125"/>
      <c r="HTN3002" s="470"/>
      <c r="HTO3002" s="449"/>
      <c r="HTP3002" s="462"/>
      <c r="HTQ3002" s="299"/>
      <c r="HTR3002" s="81"/>
      <c r="HTS3002" s="160"/>
      <c r="HTT3002" s="574"/>
      <c r="HTU3002" s="125"/>
      <c r="HTV3002" s="470"/>
      <c r="HTW3002" s="449"/>
      <c r="HTX3002" s="462"/>
      <c r="HTY3002" s="299"/>
      <c r="HTZ3002" s="81"/>
      <c r="HUA3002" s="160"/>
      <c r="HUB3002" s="574"/>
      <c r="HUC3002" s="125"/>
      <c r="HUD3002" s="470"/>
      <c r="HUE3002" s="449"/>
      <c r="HUF3002" s="462"/>
      <c r="HUG3002" s="299"/>
      <c r="HUH3002" s="81"/>
      <c r="HUI3002" s="160"/>
      <c r="HUJ3002" s="574"/>
      <c r="HUK3002" s="125"/>
      <c r="HUL3002" s="470"/>
      <c r="HUM3002" s="449"/>
      <c r="HUN3002" s="462"/>
      <c r="HUO3002" s="299"/>
      <c r="HUP3002" s="81"/>
      <c r="HUQ3002" s="160"/>
      <c r="HUR3002" s="574"/>
      <c r="HUS3002" s="125"/>
      <c r="HUT3002" s="470"/>
      <c r="HUU3002" s="449"/>
      <c r="HUV3002" s="462"/>
      <c r="HUW3002" s="299"/>
      <c r="HUX3002" s="81"/>
      <c r="HUY3002" s="160"/>
      <c r="HUZ3002" s="574"/>
      <c r="HVA3002" s="125"/>
      <c r="HVB3002" s="470"/>
      <c r="HVC3002" s="449"/>
      <c r="HVD3002" s="462"/>
      <c r="HVE3002" s="299"/>
      <c r="HVF3002" s="81"/>
      <c r="HVG3002" s="160"/>
      <c r="HVH3002" s="574"/>
      <c r="HVI3002" s="125"/>
      <c r="HVJ3002" s="470"/>
      <c r="HVK3002" s="449"/>
      <c r="HVL3002" s="462"/>
      <c r="HVM3002" s="299"/>
      <c r="HVN3002" s="81"/>
      <c r="HVO3002" s="160"/>
      <c r="HVP3002" s="574"/>
      <c r="HVQ3002" s="125"/>
      <c r="HVR3002" s="470"/>
      <c r="HVS3002" s="449"/>
      <c r="HVT3002" s="462"/>
      <c r="HVU3002" s="299"/>
      <c r="HVV3002" s="81"/>
      <c r="HVW3002" s="160"/>
      <c r="HVX3002" s="574"/>
      <c r="HVY3002" s="125"/>
      <c r="HVZ3002" s="470"/>
      <c r="HWA3002" s="449"/>
      <c r="HWB3002" s="462"/>
      <c r="HWC3002" s="299"/>
      <c r="HWD3002" s="81"/>
      <c r="HWE3002" s="160"/>
      <c r="HWF3002" s="574"/>
      <c r="HWG3002" s="125"/>
      <c r="HWH3002" s="470"/>
      <c r="HWI3002" s="449"/>
      <c r="HWJ3002" s="462"/>
      <c r="HWK3002" s="299"/>
      <c r="HWL3002" s="81"/>
      <c r="HWM3002" s="160"/>
      <c r="HWN3002" s="574"/>
      <c r="HWO3002" s="125"/>
      <c r="HWP3002" s="470"/>
      <c r="HWQ3002" s="449"/>
      <c r="HWR3002" s="462"/>
      <c r="HWS3002" s="299"/>
      <c r="HWT3002" s="81"/>
      <c r="HWU3002" s="160"/>
      <c r="HWV3002" s="574"/>
      <c r="HWW3002" s="125"/>
      <c r="HWX3002" s="470"/>
      <c r="HWY3002" s="449"/>
      <c r="HWZ3002" s="462"/>
      <c r="HXA3002" s="299"/>
      <c r="HXB3002" s="81"/>
      <c r="HXC3002" s="160"/>
      <c r="HXD3002" s="574"/>
      <c r="HXE3002" s="125"/>
      <c r="HXF3002" s="470"/>
      <c r="HXG3002" s="449"/>
      <c r="HXH3002" s="462"/>
      <c r="HXI3002" s="299"/>
      <c r="HXJ3002" s="81"/>
      <c r="HXK3002" s="160"/>
      <c r="HXL3002" s="574"/>
      <c r="HXM3002" s="125"/>
      <c r="HXN3002" s="470"/>
      <c r="HXO3002" s="449"/>
      <c r="HXP3002" s="462"/>
      <c r="HXQ3002" s="299"/>
      <c r="HXR3002" s="81"/>
      <c r="HXS3002" s="160"/>
      <c r="HXT3002" s="574"/>
      <c r="HXU3002" s="125"/>
      <c r="HXV3002" s="470"/>
      <c r="HXW3002" s="449"/>
      <c r="HXX3002" s="462"/>
      <c r="HXY3002" s="299"/>
      <c r="HXZ3002" s="81"/>
      <c r="HYA3002" s="160"/>
      <c r="HYB3002" s="574"/>
      <c r="HYC3002" s="125"/>
      <c r="HYD3002" s="470"/>
      <c r="HYE3002" s="449"/>
      <c r="HYF3002" s="462"/>
      <c r="HYG3002" s="299"/>
      <c r="HYH3002" s="81"/>
      <c r="HYI3002" s="160"/>
      <c r="HYJ3002" s="574"/>
      <c r="HYK3002" s="125"/>
      <c r="HYL3002" s="470"/>
      <c r="HYM3002" s="449"/>
      <c r="HYN3002" s="462"/>
      <c r="HYO3002" s="299"/>
      <c r="HYP3002" s="81"/>
      <c r="HYQ3002" s="160"/>
      <c r="HYR3002" s="574"/>
      <c r="HYS3002" s="125"/>
      <c r="HYT3002" s="470"/>
      <c r="HYU3002" s="449"/>
      <c r="HYV3002" s="462"/>
      <c r="HYW3002" s="299"/>
      <c r="HYX3002" s="81"/>
      <c r="HYY3002" s="160"/>
      <c r="HYZ3002" s="574"/>
      <c r="HZA3002" s="125"/>
      <c r="HZB3002" s="470"/>
      <c r="HZC3002" s="449"/>
      <c r="HZD3002" s="462"/>
      <c r="HZE3002" s="299"/>
      <c r="HZF3002" s="81"/>
      <c r="HZG3002" s="160"/>
      <c r="HZH3002" s="574"/>
      <c r="HZI3002" s="125"/>
      <c r="HZJ3002" s="470"/>
      <c r="HZK3002" s="449"/>
      <c r="HZL3002" s="462"/>
      <c r="HZM3002" s="299"/>
      <c r="HZN3002" s="81"/>
      <c r="HZO3002" s="160"/>
      <c r="HZP3002" s="574"/>
      <c r="HZQ3002" s="125"/>
      <c r="HZR3002" s="470"/>
      <c r="HZS3002" s="449"/>
      <c r="HZT3002" s="462"/>
      <c r="HZU3002" s="299"/>
      <c r="HZV3002" s="81"/>
      <c r="HZW3002" s="160"/>
      <c r="HZX3002" s="574"/>
      <c r="HZY3002" s="125"/>
      <c r="HZZ3002" s="470"/>
      <c r="IAA3002" s="449"/>
      <c r="IAB3002" s="462"/>
      <c r="IAC3002" s="299"/>
      <c r="IAD3002" s="81"/>
      <c r="IAE3002" s="160"/>
      <c r="IAF3002" s="574"/>
      <c r="IAG3002" s="125"/>
      <c r="IAH3002" s="470"/>
      <c r="IAI3002" s="449"/>
      <c r="IAJ3002" s="462"/>
      <c r="IAK3002" s="299"/>
      <c r="IAL3002" s="81"/>
      <c r="IAM3002" s="160"/>
      <c r="IAN3002" s="574"/>
      <c r="IAO3002" s="125"/>
      <c r="IAP3002" s="470"/>
      <c r="IAQ3002" s="449"/>
      <c r="IAR3002" s="462"/>
      <c r="IAS3002" s="299"/>
      <c r="IAT3002" s="81"/>
      <c r="IAU3002" s="160"/>
      <c r="IAV3002" s="574"/>
      <c r="IAW3002" s="125"/>
      <c r="IAX3002" s="470"/>
      <c r="IAY3002" s="449"/>
      <c r="IAZ3002" s="462"/>
      <c r="IBA3002" s="299"/>
      <c r="IBB3002" s="81"/>
      <c r="IBC3002" s="160"/>
      <c r="IBD3002" s="574"/>
      <c r="IBE3002" s="125"/>
      <c r="IBF3002" s="470"/>
      <c r="IBG3002" s="449"/>
      <c r="IBH3002" s="462"/>
      <c r="IBI3002" s="299"/>
      <c r="IBJ3002" s="81"/>
      <c r="IBK3002" s="160"/>
      <c r="IBL3002" s="574"/>
      <c r="IBM3002" s="125"/>
      <c r="IBN3002" s="470"/>
      <c r="IBO3002" s="449"/>
      <c r="IBP3002" s="462"/>
      <c r="IBQ3002" s="299"/>
      <c r="IBR3002" s="81"/>
      <c r="IBS3002" s="160"/>
      <c r="IBT3002" s="574"/>
      <c r="IBU3002" s="125"/>
      <c r="IBV3002" s="470"/>
      <c r="IBW3002" s="449"/>
      <c r="IBX3002" s="462"/>
      <c r="IBY3002" s="299"/>
      <c r="IBZ3002" s="81"/>
      <c r="ICA3002" s="160"/>
      <c r="ICB3002" s="574"/>
      <c r="ICC3002" s="125"/>
      <c r="ICD3002" s="470"/>
      <c r="ICE3002" s="449"/>
      <c r="ICF3002" s="462"/>
      <c r="ICG3002" s="299"/>
      <c r="ICH3002" s="81"/>
      <c r="ICI3002" s="160"/>
      <c r="ICJ3002" s="574"/>
      <c r="ICK3002" s="125"/>
      <c r="ICL3002" s="470"/>
      <c r="ICM3002" s="449"/>
      <c r="ICN3002" s="462"/>
      <c r="ICO3002" s="299"/>
      <c r="ICP3002" s="81"/>
      <c r="ICQ3002" s="160"/>
      <c r="ICR3002" s="574"/>
      <c r="ICS3002" s="125"/>
      <c r="ICT3002" s="470"/>
      <c r="ICU3002" s="449"/>
      <c r="ICV3002" s="462"/>
      <c r="ICW3002" s="299"/>
      <c r="ICX3002" s="81"/>
      <c r="ICY3002" s="160"/>
      <c r="ICZ3002" s="574"/>
      <c r="IDA3002" s="125"/>
      <c r="IDB3002" s="470"/>
      <c r="IDC3002" s="449"/>
      <c r="IDD3002" s="462"/>
      <c r="IDE3002" s="299"/>
      <c r="IDF3002" s="81"/>
      <c r="IDG3002" s="160"/>
      <c r="IDH3002" s="574"/>
      <c r="IDI3002" s="125"/>
      <c r="IDJ3002" s="470"/>
      <c r="IDK3002" s="449"/>
      <c r="IDL3002" s="462"/>
      <c r="IDM3002" s="299"/>
      <c r="IDN3002" s="81"/>
      <c r="IDO3002" s="160"/>
      <c r="IDP3002" s="574"/>
      <c r="IDQ3002" s="125"/>
      <c r="IDR3002" s="470"/>
      <c r="IDS3002" s="449"/>
      <c r="IDT3002" s="462"/>
      <c r="IDU3002" s="299"/>
      <c r="IDV3002" s="81"/>
      <c r="IDW3002" s="160"/>
      <c r="IDX3002" s="574"/>
      <c r="IDY3002" s="125"/>
      <c r="IDZ3002" s="470"/>
      <c r="IEA3002" s="449"/>
      <c r="IEB3002" s="462"/>
      <c r="IEC3002" s="299"/>
      <c r="IED3002" s="81"/>
      <c r="IEE3002" s="160"/>
      <c r="IEF3002" s="574"/>
      <c r="IEG3002" s="125"/>
      <c r="IEH3002" s="470"/>
      <c r="IEI3002" s="449"/>
      <c r="IEJ3002" s="462"/>
      <c r="IEK3002" s="299"/>
      <c r="IEL3002" s="81"/>
      <c r="IEM3002" s="160"/>
      <c r="IEN3002" s="574"/>
      <c r="IEO3002" s="125"/>
      <c r="IEP3002" s="470"/>
      <c r="IEQ3002" s="449"/>
      <c r="IER3002" s="462"/>
      <c r="IES3002" s="299"/>
      <c r="IET3002" s="81"/>
      <c r="IEU3002" s="160"/>
      <c r="IEV3002" s="574"/>
      <c r="IEW3002" s="125"/>
      <c r="IEX3002" s="470"/>
      <c r="IEY3002" s="449"/>
      <c r="IEZ3002" s="462"/>
      <c r="IFA3002" s="299"/>
      <c r="IFB3002" s="81"/>
      <c r="IFC3002" s="160"/>
      <c r="IFD3002" s="574"/>
      <c r="IFE3002" s="125"/>
      <c r="IFF3002" s="470"/>
      <c r="IFG3002" s="449"/>
      <c r="IFH3002" s="462"/>
      <c r="IFI3002" s="299"/>
      <c r="IFJ3002" s="81"/>
      <c r="IFK3002" s="160"/>
      <c r="IFL3002" s="574"/>
      <c r="IFM3002" s="125"/>
      <c r="IFN3002" s="470"/>
      <c r="IFO3002" s="449"/>
      <c r="IFP3002" s="462"/>
      <c r="IFQ3002" s="299"/>
      <c r="IFR3002" s="81"/>
      <c r="IFS3002" s="160"/>
      <c r="IFT3002" s="574"/>
      <c r="IFU3002" s="125"/>
      <c r="IFV3002" s="470"/>
      <c r="IFW3002" s="449"/>
      <c r="IFX3002" s="462"/>
      <c r="IFY3002" s="299"/>
      <c r="IFZ3002" s="81"/>
      <c r="IGA3002" s="160"/>
      <c r="IGB3002" s="574"/>
      <c r="IGC3002" s="125"/>
      <c r="IGD3002" s="470"/>
      <c r="IGE3002" s="449"/>
      <c r="IGF3002" s="462"/>
      <c r="IGG3002" s="299"/>
      <c r="IGH3002" s="81"/>
      <c r="IGI3002" s="160"/>
      <c r="IGJ3002" s="574"/>
      <c r="IGK3002" s="125"/>
      <c r="IGL3002" s="470"/>
      <c r="IGM3002" s="449"/>
      <c r="IGN3002" s="462"/>
      <c r="IGO3002" s="299"/>
      <c r="IGP3002" s="81"/>
      <c r="IGQ3002" s="160"/>
      <c r="IGR3002" s="574"/>
      <c r="IGS3002" s="125"/>
      <c r="IGT3002" s="470"/>
      <c r="IGU3002" s="449"/>
      <c r="IGV3002" s="462"/>
      <c r="IGW3002" s="299"/>
      <c r="IGX3002" s="81"/>
      <c r="IGY3002" s="160"/>
      <c r="IGZ3002" s="574"/>
      <c r="IHA3002" s="125"/>
      <c r="IHB3002" s="470"/>
      <c r="IHC3002" s="449"/>
      <c r="IHD3002" s="462"/>
      <c r="IHE3002" s="299"/>
      <c r="IHF3002" s="81"/>
      <c r="IHG3002" s="160"/>
      <c r="IHH3002" s="574"/>
      <c r="IHI3002" s="125"/>
      <c r="IHJ3002" s="470"/>
      <c r="IHK3002" s="449"/>
      <c r="IHL3002" s="462"/>
      <c r="IHM3002" s="299"/>
      <c r="IHN3002" s="81"/>
      <c r="IHO3002" s="160"/>
      <c r="IHP3002" s="574"/>
      <c r="IHQ3002" s="125"/>
      <c r="IHR3002" s="470"/>
      <c r="IHS3002" s="449"/>
      <c r="IHT3002" s="462"/>
      <c r="IHU3002" s="299"/>
      <c r="IHV3002" s="81"/>
      <c r="IHW3002" s="160"/>
      <c r="IHX3002" s="574"/>
      <c r="IHY3002" s="125"/>
      <c r="IHZ3002" s="470"/>
      <c r="IIA3002" s="449"/>
      <c r="IIB3002" s="462"/>
      <c r="IIC3002" s="299"/>
      <c r="IID3002" s="81"/>
      <c r="IIE3002" s="160"/>
      <c r="IIF3002" s="574"/>
      <c r="IIG3002" s="125"/>
      <c r="IIH3002" s="470"/>
      <c r="III3002" s="449"/>
      <c r="IIJ3002" s="462"/>
      <c r="IIK3002" s="299"/>
      <c r="IIL3002" s="81"/>
      <c r="IIM3002" s="160"/>
      <c r="IIN3002" s="574"/>
      <c r="IIO3002" s="125"/>
      <c r="IIP3002" s="470"/>
      <c r="IIQ3002" s="449"/>
      <c r="IIR3002" s="462"/>
      <c r="IIS3002" s="299"/>
      <c r="IIT3002" s="81"/>
      <c r="IIU3002" s="160"/>
      <c r="IIV3002" s="574"/>
      <c r="IIW3002" s="125"/>
      <c r="IIX3002" s="470"/>
      <c r="IIY3002" s="449"/>
      <c r="IIZ3002" s="462"/>
      <c r="IJA3002" s="299"/>
      <c r="IJB3002" s="81"/>
      <c r="IJC3002" s="160"/>
      <c r="IJD3002" s="574"/>
      <c r="IJE3002" s="125"/>
      <c r="IJF3002" s="470"/>
      <c r="IJG3002" s="449"/>
      <c r="IJH3002" s="462"/>
      <c r="IJI3002" s="299"/>
      <c r="IJJ3002" s="81"/>
      <c r="IJK3002" s="160"/>
      <c r="IJL3002" s="574"/>
      <c r="IJM3002" s="125"/>
      <c r="IJN3002" s="470"/>
      <c r="IJO3002" s="449"/>
      <c r="IJP3002" s="462"/>
      <c r="IJQ3002" s="299"/>
      <c r="IJR3002" s="81"/>
      <c r="IJS3002" s="160"/>
      <c r="IJT3002" s="574"/>
      <c r="IJU3002" s="125"/>
      <c r="IJV3002" s="470"/>
      <c r="IJW3002" s="449"/>
      <c r="IJX3002" s="462"/>
      <c r="IJY3002" s="299"/>
      <c r="IJZ3002" s="81"/>
      <c r="IKA3002" s="160"/>
      <c r="IKB3002" s="574"/>
      <c r="IKC3002" s="125"/>
      <c r="IKD3002" s="470"/>
      <c r="IKE3002" s="449"/>
      <c r="IKF3002" s="462"/>
      <c r="IKG3002" s="299"/>
      <c r="IKH3002" s="81"/>
      <c r="IKI3002" s="160"/>
      <c r="IKJ3002" s="574"/>
      <c r="IKK3002" s="125"/>
      <c r="IKL3002" s="470"/>
      <c r="IKM3002" s="449"/>
      <c r="IKN3002" s="462"/>
      <c r="IKO3002" s="299"/>
      <c r="IKP3002" s="81"/>
      <c r="IKQ3002" s="160"/>
      <c r="IKR3002" s="574"/>
      <c r="IKS3002" s="125"/>
      <c r="IKT3002" s="470"/>
      <c r="IKU3002" s="449"/>
      <c r="IKV3002" s="462"/>
      <c r="IKW3002" s="299"/>
      <c r="IKX3002" s="81"/>
      <c r="IKY3002" s="160"/>
      <c r="IKZ3002" s="574"/>
      <c r="ILA3002" s="125"/>
      <c r="ILB3002" s="470"/>
      <c r="ILC3002" s="449"/>
      <c r="ILD3002" s="462"/>
      <c r="ILE3002" s="299"/>
      <c r="ILF3002" s="81"/>
      <c r="ILG3002" s="160"/>
      <c r="ILH3002" s="574"/>
      <c r="ILI3002" s="125"/>
      <c r="ILJ3002" s="470"/>
      <c r="ILK3002" s="449"/>
      <c r="ILL3002" s="462"/>
      <c r="ILM3002" s="299"/>
      <c r="ILN3002" s="81"/>
      <c r="ILO3002" s="160"/>
      <c r="ILP3002" s="574"/>
      <c r="ILQ3002" s="125"/>
      <c r="ILR3002" s="470"/>
      <c r="ILS3002" s="449"/>
      <c r="ILT3002" s="462"/>
      <c r="ILU3002" s="299"/>
      <c r="ILV3002" s="81"/>
      <c r="ILW3002" s="160"/>
      <c r="ILX3002" s="574"/>
      <c r="ILY3002" s="125"/>
      <c r="ILZ3002" s="470"/>
      <c r="IMA3002" s="449"/>
      <c r="IMB3002" s="462"/>
      <c r="IMC3002" s="299"/>
      <c r="IMD3002" s="81"/>
      <c r="IME3002" s="160"/>
      <c r="IMF3002" s="574"/>
      <c r="IMG3002" s="125"/>
      <c r="IMH3002" s="470"/>
      <c r="IMI3002" s="449"/>
      <c r="IMJ3002" s="462"/>
      <c r="IMK3002" s="299"/>
      <c r="IML3002" s="81"/>
      <c r="IMM3002" s="160"/>
      <c r="IMN3002" s="574"/>
      <c r="IMO3002" s="125"/>
      <c r="IMP3002" s="470"/>
      <c r="IMQ3002" s="449"/>
      <c r="IMR3002" s="462"/>
      <c r="IMS3002" s="299"/>
      <c r="IMT3002" s="81"/>
      <c r="IMU3002" s="160"/>
      <c r="IMV3002" s="574"/>
      <c r="IMW3002" s="125"/>
      <c r="IMX3002" s="470"/>
      <c r="IMY3002" s="449"/>
      <c r="IMZ3002" s="462"/>
      <c r="INA3002" s="299"/>
      <c r="INB3002" s="81"/>
      <c r="INC3002" s="160"/>
      <c r="IND3002" s="574"/>
      <c r="INE3002" s="125"/>
      <c r="INF3002" s="470"/>
      <c r="ING3002" s="449"/>
      <c r="INH3002" s="462"/>
      <c r="INI3002" s="299"/>
      <c r="INJ3002" s="81"/>
      <c r="INK3002" s="160"/>
      <c r="INL3002" s="574"/>
      <c r="INM3002" s="125"/>
      <c r="INN3002" s="470"/>
      <c r="INO3002" s="449"/>
      <c r="INP3002" s="462"/>
      <c r="INQ3002" s="299"/>
      <c r="INR3002" s="81"/>
      <c r="INS3002" s="160"/>
      <c r="INT3002" s="574"/>
      <c r="INU3002" s="125"/>
      <c r="INV3002" s="470"/>
      <c r="INW3002" s="449"/>
      <c r="INX3002" s="462"/>
      <c r="INY3002" s="299"/>
      <c r="INZ3002" s="81"/>
      <c r="IOA3002" s="160"/>
      <c r="IOB3002" s="574"/>
      <c r="IOC3002" s="125"/>
      <c r="IOD3002" s="470"/>
      <c r="IOE3002" s="449"/>
      <c r="IOF3002" s="462"/>
      <c r="IOG3002" s="299"/>
      <c r="IOH3002" s="81"/>
      <c r="IOI3002" s="160"/>
      <c r="IOJ3002" s="574"/>
      <c r="IOK3002" s="125"/>
      <c r="IOL3002" s="470"/>
      <c r="IOM3002" s="449"/>
      <c r="ION3002" s="462"/>
      <c r="IOO3002" s="299"/>
      <c r="IOP3002" s="81"/>
      <c r="IOQ3002" s="160"/>
      <c r="IOR3002" s="574"/>
      <c r="IOS3002" s="125"/>
      <c r="IOT3002" s="470"/>
      <c r="IOU3002" s="449"/>
      <c r="IOV3002" s="462"/>
      <c r="IOW3002" s="299"/>
      <c r="IOX3002" s="81"/>
      <c r="IOY3002" s="160"/>
      <c r="IOZ3002" s="574"/>
      <c r="IPA3002" s="125"/>
      <c r="IPB3002" s="470"/>
      <c r="IPC3002" s="449"/>
      <c r="IPD3002" s="462"/>
      <c r="IPE3002" s="299"/>
      <c r="IPF3002" s="81"/>
      <c r="IPG3002" s="160"/>
      <c r="IPH3002" s="574"/>
      <c r="IPI3002" s="125"/>
      <c r="IPJ3002" s="470"/>
      <c r="IPK3002" s="449"/>
      <c r="IPL3002" s="462"/>
      <c r="IPM3002" s="299"/>
      <c r="IPN3002" s="81"/>
      <c r="IPO3002" s="160"/>
      <c r="IPP3002" s="574"/>
      <c r="IPQ3002" s="125"/>
      <c r="IPR3002" s="470"/>
      <c r="IPS3002" s="449"/>
      <c r="IPT3002" s="462"/>
      <c r="IPU3002" s="299"/>
      <c r="IPV3002" s="81"/>
      <c r="IPW3002" s="160"/>
      <c r="IPX3002" s="574"/>
      <c r="IPY3002" s="125"/>
      <c r="IPZ3002" s="470"/>
      <c r="IQA3002" s="449"/>
      <c r="IQB3002" s="462"/>
      <c r="IQC3002" s="299"/>
      <c r="IQD3002" s="81"/>
      <c r="IQE3002" s="160"/>
      <c r="IQF3002" s="574"/>
      <c r="IQG3002" s="125"/>
      <c r="IQH3002" s="470"/>
      <c r="IQI3002" s="449"/>
      <c r="IQJ3002" s="462"/>
      <c r="IQK3002" s="299"/>
      <c r="IQL3002" s="81"/>
      <c r="IQM3002" s="160"/>
      <c r="IQN3002" s="574"/>
      <c r="IQO3002" s="125"/>
      <c r="IQP3002" s="470"/>
      <c r="IQQ3002" s="449"/>
      <c r="IQR3002" s="462"/>
      <c r="IQS3002" s="299"/>
      <c r="IQT3002" s="81"/>
      <c r="IQU3002" s="160"/>
      <c r="IQV3002" s="574"/>
      <c r="IQW3002" s="125"/>
      <c r="IQX3002" s="470"/>
      <c r="IQY3002" s="449"/>
      <c r="IQZ3002" s="462"/>
      <c r="IRA3002" s="299"/>
      <c r="IRB3002" s="81"/>
      <c r="IRC3002" s="160"/>
      <c r="IRD3002" s="574"/>
      <c r="IRE3002" s="125"/>
      <c r="IRF3002" s="470"/>
      <c r="IRG3002" s="449"/>
      <c r="IRH3002" s="462"/>
      <c r="IRI3002" s="299"/>
      <c r="IRJ3002" s="81"/>
      <c r="IRK3002" s="160"/>
      <c r="IRL3002" s="574"/>
      <c r="IRM3002" s="125"/>
      <c r="IRN3002" s="470"/>
      <c r="IRO3002" s="449"/>
      <c r="IRP3002" s="462"/>
      <c r="IRQ3002" s="299"/>
      <c r="IRR3002" s="81"/>
      <c r="IRS3002" s="160"/>
      <c r="IRT3002" s="574"/>
      <c r="IRU3002" s="125"/>
      <c r="IRV3002" s="470"/>
      <c r="IRW3002" s="449"/>
      <c r="IRX3002" s="462"/>
      <c r="IRY3002" s="299"/>
      <c r="IRZ3002" s="81"/>
      <c r="ISA3002" s="160"/>
      <c r="ISB3002" s="574"/>
      <c r="ISC3002" s="125"/>
      <c r="ISD3002" s="470"/>
      <c r="ISE3002" s="449"/>
      <c r="ISF3002" s="462"/>
      <c r="ISG3002" s="299"/>
      <c r="ISH3002" s="81"/>
      <c r="ISI3002" s="160"/>
      <c r="ISJ3002" s="574"/>
      <c r="ISK3002" s="125"/>
      <c r="ISL3002" s="470"/>
      <c r="ISM3002" s="449"/>
      <c r="ISN3002" s="462"/>
      <c r="ISO3002" s="299"/>
      <c r="ISP3002" s="81"/>
      <c r="ISQ3002" s="160"/>
      <c r="ISR3002" s="574"/>
      <c r="ISS3002" s="125"/>
      <c r="IST3002" s="470"/>
      <c r="ISU3002" s="449"/>
      <c r="ISV3002" s="462"/>
      <c r="ISW3002" s="299"/>
      <c r="ISX3002" s="81"/>
      <c r="ISY3002" s="160"/>
      <c r="ISZ3002" s="574"/>
      <c r="ITA3002" s="125"/>
      <c r="ITB3002" s="470"/>
      <c r="ITC3002" s="449"/>
      <c r="ITD3002" s="462"/>
      <c r="ITE3002" s="299"/>
      <c r="ITF3002" s="81"/>
      <c r="ITG3002" s="160"/>
      <c r="ITH3002" s="574"/>
      <c r="ITI3002" s="125"/>
      <c r="ITJ3002" s="470"/>
      <c r="ITK3002" s="449"/>
      <c r="ITL3002" s="462"/>
      <c r="ITM3002" s="299"/>
      <c r="ITN3002" s="81"/>
      <c r="ITO3002" s="160"/>
      <c r="ITP3002" s="574"/>
      <c r="ITQ3002" s="125"/>
      <c r="ITR3002" s="470"/>
      <c r="ITS3002" s="449"/>
      <c r="ITT3002" s="462"/>
      <c r="ITU3002" s="299"/>
      <c r="ITV3002" s="81"/>
      <c r="ITW3002" s="160"/>
      <c r="ITX3002" s="574"/>
      <c r="ITY3002" s="125"/>
      <c r="ITZ3002" s="470"/>
      <c r="IUA3002" s="449"/>
      <c r="IUB3002" s="462"/>
      <c r="IUC3002" s="299"/>
      <c r="IUD3002" s="81"/>
      <c r="IUE3002" s="160"/>
      <c r="IUF3002" s="574"/>
      <c r="IUG3002" s="125"/>
      <c r="IUH3002" s="470"/>
      <c r="IUI3002" s="449"/>
      <c r="IUJ3002" s="462"/>
      <c r="IUK3002" s="299"/>
      <c r="IUL3002" s="81"/>
      <c r="IUM3002" s="160"/>
      <c r="IUN3002" s="574"/>
      <c r="IUO3002" s="125"/>
      <c r="IUP3002" s="470"/>
      <c r="IUQ3002" s="449"/>
      <c r="IUR3002" s="462"/>
      <c r="IUS3002" s="299"/>
      <c r="IUT3002" s="81"/>
      <c r="IUU3002" s="160"/>
      <c r="IUV3002" s="574"/>
      <c r="IUW3002" s="125"/>
      <c r="IUX3002" s="470"/>
      <c r="IUY3002" s="449"/>
      <c r="IUZ3002" s="462"/>
      <c r="IVA3002" s="299"/>
      <c r="IVB3002" s="81"/>
      <c r="IVC3002" s="160"/>
      <c r="IVD3002" s="574"/>
      <c r="IVE3002" s="125"/>
      <c r="IVF3002" s="470"/>
      <c r="IVG3002" s="449"/>
      <c r="IVH3002" s="462"/>
      <c r="IVI3002" s="299"/>
      <c r="IVJ3002" s="81"/>
      <c r="IVK3002" s="160"/>
      <c r="IVL3002" s="574"/>
      <c r="IVM3002" s="125"/>
      <c r="IVN3002" s="470"/>
      <c r="IVO3002" s="449"/>
      <c r="IVP3002" s="462"/>
      <c r="IVQ3002" s="299"/>
      <c r="IVR3002" s="81"/>
      <c r="IVS3002" s="160"/>
      <c r="IVT3002" s="574"/>
      <c r="IVU3002" s="125"/>
      <c r="IVV3002" s="470"/>
      <c r="IVW3002" s="449"/>
      <c r="IVX3002" s="462"/>
      <c r="IVY3002" s="299"/>
      <c r="IVZ3002" s="81"/>
      <c r="IWA3002" s="160"/>
      <c r="IWB3002" s="574"/>
      <c r="IWC3002" s="125"/>
      <c r="IWD3002" s="470"/>
      <c r="IWE3002" s="449"/>
      <c r="IWF3002" s="462"/>
      <c r="IWG3002" s="299"/>
      <c r="IWH3002" s="81"/>
      <c r="IWI3002" s="160"/>
      <c r="IWJ3002" s="574"/>
      <c r="IWK3002" s="125"/>
      <c r="IWL3002" s="470"/>
      <c r="IWM3002" s="449"/>
      <c r="IWN3002" s="462"/>
      <c r="IWO3002" s="299"/>
      <c r="IWP3002" s="81"/>
      <c r="IWQ3002" s="160"/>
      <c r="IWR3002" s="574"/>
      <c r="IWS3002" s="125"/>
      <c r="IWT3002" s="470"/>
      <c r="IWU3002" s="449"/>
      <c r="IWV3002" s="462"/>
      <c r="IWW3002" s="299"/>
      <c r="IWX3002" s="81"/>
      <c r="IWY3002" s="160"/>
      <c r="IWZ3002" s="574"/>
      <c r="IXA3002" s="125"/>
      <c r="IXB3002" s="470"/>
      <c r="IXC3002" s="449"/>
      <c r="IXD3002" s="462"/>
      <c r="IXE3002" s="299"/>
      <c r="IXF3002" s="81"/>
      <c r="IXG3002" s="160"/>
      <c r="IXH3002" s="574"/>
      <c r="IXI3002" s="125"/>
      <c r="IXJ3002" s="470"/>
      <c r="IXK3002" s="449"/>
      <c r="IXL3002" s="462"/>
      <c r="IXM3002" s="299"/>
      <c r="IXN3002" s="81"/>
      <c r="IXO3002" s="160"/>
      <c r="IXP3002" s="574"/>
      <c r="IXQ3002" s="125"/>
      <c r="IXR3002" s="470"/>
      <c r="IXS3002" s="449"/>
      <c r="IXT3002" s="462"/>
      <c r="IXU3002" s="299"/>
      <c r="IXV3002" s="81"/>
      <c r="IXW3002" s="160"/>
      <c r="IXX3002" s="574"/>
      <c r="IXY3002" s="125"/>
      <c r="IXZ3002" s="470"/>
      <c r="IYA3002" s="449"/>
      <c r="IYB3002" s="462"/>
      <c r="IYC3002" s="299"/>
      <c r="IYD3002" s="81"/>
      <c r="IYE3002" s="160"/>
      <c r="IYF3002" s="574"/>
      <c r="IYG3002" s="125"/>
      <c r="IYH3002" s="470"/>
      <c r="IYI3002" s="449"/>
      <c r="IYJ3002" s="462"/>
      <c r="IYK3002" s="299"/>
      <c r="IYL3002" s="81"/>
      <c r="IYM3002" s="160"/>
      <c r="IYN3002" s="574"/>
      <c r="IYO3002" s="125"/>
      <c r="IYP3002" s="470"/>
      <c r="IYQ3002" s="449"/>
      <c r="IYR3002" s="462"/>
      <c r="IYS3002" s="299"/>
      <c r="IYT3002" s="81"/>
      <c r="IYU3002" s="160"/>
      <c r="IYV3002" s="574"/>
      <c r="IYW3002" s="125"/>
      <c r="IYX3002" s="470"/>
      <c r="IYY3002" s="449"/>
      <c r="IYZ3002" s="462"/>
      <c r="IZA3002" s="299"/>
      <c r="IZB3002" s="81"/>
      <c r="IZC3002" s="160"/>
      <c r="IZD3002" s="574"/>
      <c r="IZE3002" s="125"/>
      <c r="IZF3002" s="470"/>
      <c r="IZG3002" s="449"/>
      <c r="IZH3002" s="462"/>
      <c r="IZI3002" s="299"/>
      <c r="IZJ3002" s="81"/>
      <c r="IZK3002" s="160"/>
      <c r="IZL3002" s="574"/>
      <c r="IZM3002" s="125"/>
      <c r="IZN3002" s="470"/>
      <c r="IZO3002" s="449"/>
      <c r="IZP3002" s="462"/>
      <c r="IZQ3002" s="299"/>
      <c r="IZR3002" s="81"/>
      <c r="IZS3002" s="160"/>
      <c r="IZT3002" s="574"/>
      <c r="IZU3002" s="125"/>
      <c r="IZV3002" s="470"/>
      <c r="IZW3002" s="449"/>
      <c r="IZX3002" s="462"/>
      <c r="IZY3002" s="299"/>
      <c r="IZZ3002" s="81"/>
      <c r="JAA3002" s="160"/>
      <c r="JAB3002" s="574"/>
      <c r="JAC3002" s="125"/>
      <c r="JAD3002" s="470"/>
      <c r="JAE3002" s="449"/>
      <c r="JAF3002" s="462"/>
      <c r="JAG3002" s="299"/>
      <c r="JAH3002" s="81"/>
      <c r="JAI3002" s="160"/>
      <c r="JAJ3002" s="574"/>
      <c r="JAK3002" s="125"/>
      <c r="JAL3002" s="470"/>
      <c r="JAM3002" s="449"/>
      <c r="JAN3002" s="462"/>
      <c r="JAO3002" s="299"/>
      <c r="JAP3002" s="81"/>
      <c r="JAQ3002" s="160"/>
      <c r="JAR3002" s="574"/>
      <c r="JAS3002" s="125"/>
      <c r="JAT3002" s="470"/>
      <c r="JAU3002" s="449"/>
      <c r="JAV3002" s="462"/>
      <c r="JAW3002" s="299"/>
      <c r="JAX3002" s="81"/>
      <c r="JAY3002" s="160"/>
      <c r="JAZ3002" s="574"/>
      <c r="JBA3002" s="125"/>
      <c r="JBB3002" s="470"/>
      <c r="JBC3002" s="449"/>
      <c r="JBD3002" s="462"/>
      <c r="JBE3002" s="299"/>
      <c r="JBF3002" s="81"/>
      <c r="JBG3002" s="160"/>
      <c r="JBH3002" s="574"/>
      <c r="JBI3002" s="125"/>
      <c r="JBJ3002" s="470"/>
      <c r="JBK3002" s="449"/>
      <c r="JBL3002" s="462"/>
      <c r="JBM3002" s="299"/>
      <c r="JBN3002" s="81"/>
      <c r="JBO3002" s="160"/>
      <c r="JBP3002" s="574"/>
      <c r="JBQ3002" s="125"/>
      <c r="JBR3002" s="470"/>
      <c r="JBS3002" s="449"/>
      <c r="JBT3002" s="462"/>
      <c r="JBU3002" s="299"/>
      <c r="JBV3002" s="81"/>
      <c r="JBW3002" s="160"/>
      <c r="JBX3002" s="574"/>
      <c r="JBY3002" s="125"/>
      <c r="JBZ3002" s="470"/>
      <c r="JCA3002" s="449"/>
      <c r="JCB3002" s="462"/>
      <c r="JCC3002" s="299"/>
      <c r="JCD3002" s="81"/>
      <c r="JCE3002" s="160"/>
      <c r="JCF3002" s="574"/>
      <c r="JCG3002" s="125"/>
      <c r="JCH3002" s="470"/>
      <c r="JCI3002" s="449"/>
      <c r="JCJ3002" s="462"/>
      <c r="JCK3002" s="299"/>
      <c r="JCL3002" s="81"/>
      <c r="JCM3002" s="160"/>
      <c r="JCN3002" s="574"/>
      <c r="JCO3002" s="125"/>
      <c r="JCP3002" s="470"/>
      <c r="JCQ3002" s="449"/>
      <c r="JCR3002" s="462"/>
      <c r="JCS3002" s="299"/>
      <c r="JCT3002" s="81"/>
      <c r="JCU3002" s="160"/>
      <c r="JCV3002" s="574"/>
      <c r="JCW3002" s="125"/>
      <c r="JCX3002" s="470"/>
      <c r="JCY3002" s="449"/>
      <c r="JCZ3002" s="462"/>
      <c r="JDA3002" s="299"/>
      <c r="JDB3002" s="81"/>
      <c r="JDC3002" s="160"/>
      <c r="JDD3002" s="574"/>
      <c r="JDE3002" s="125"/>
      <c r="JDF3002" s="470"/>
      <c r="JDG3002" s="449"/>
      <c r="JDH3002" s="462"/>
      <c r="JDI3002" s="299"/>
      <c r="JDJ3002" s="81"/>
      <c r="JDK3002" s="160"/>
      <c r="JDL3002" s="574"/>
      <c r="JDM3002" s="125"/>
      <c r="JDN3002" s="470"/>
      <c r="JDO3002" s="449"/>
      <c r="JDP3002" s="462"/>
      <c r="JDQ3002" s="299"/>
      <c r="JDR3002" s="81"/>
      <c r="JDS3002" s="160"/>
      <c r="JDT3002" s="574"/>
      <c r="JDU3002" s="125"/>
      <c r="JDV3002" s="470"/>
      <c r="JDW3002" s="449"/>
      <c r="JDX3002" s="462"/>
      <c r="JDY3002" s="299"/>
      <c r="JDZ3002" s="81"/>
      <c r="JEA3002" s="160"/>
      <c r="JEB3002" s="574"/>
      <c r="JEC3002" s="125"/>
      <c r="JED3002" s="470"/>
      <c r="JEE3002" s="449"/>
      <c r="JEF3002" s="462"/>
      <c r="JEG3002" s="299"/>
      <c r="JEH3002" s="81"/>
      <c r="JEI3002" s="160"/>
      <c r="JEJ3002" s="574"/>
      <c r="JEK3002" s="125"/>
      <c r="JEL3002" s="470"/>
      <c r="JEM3002" s="449"/>
      <c r="JEN3002" s="462"/>
      <c r="JEO3002" s="299"/>
      <c r="JEP3002" s="81"/>
      <c r="JEQ3002" s="160"/>
      <c r="JER3002" s="574"/>
      <c r="JES3002" s="125"/>
      <c r="JET3002" s="470"/>
      <c r="JEU3002" s="449"/>
      <c r="JEV3002" s="462"/>
      <c r="JEW3002" s="299"/>
      <c r="JEX3002" s="81"/>
      <c r="JEY3002" s="160"/>
      <c r="JEZ3002" s="574"/>
      <c r="JFA3002" s="125"/>
      <c r="JFB3002" s="470"/>
      <c r="JFC3002" s="449"/>
      <c r="JFD3002" s="462"/>
      <c r="JFE3002" s="299"/>
      <c r="JFF3002" s="81"/>
      <c r="JFG3002" s="160"/>
      <c r="JFH3002" s="574"/>
      <c r="JFI3002" s="125"/>
      <c r="JFJ3002" s="470"/>
      <c r="JFK3002" s="449"/>
      <c r="JFL3002" s="462"/>
      <c r="JFM3002" s="299"/>
      <c r="JFN3002" s="81"/>
      <c r="JFO3002" s="160"/>
      <c r="JFP3002" s="574"/>
      <c r="JFQ3002" s="125"/>
      <c r="JFR3002" s="470"/>
      <c r="JFS3002" s="449"/>
      <c r="JFT3002" s="462"/>
      <c r="JFU3002" s="299"/>
      <c r="JFV3002" s="81"/>
      <c r="JFW3002" s="160"/>
      <c r="JFX3002" s="574"/>
      <c r="JFY3002" s="125"/>
      <c r="JFZ3002" s="470"/>
      <c r="JGA3002" s="449"/>
      <c r="JGB3002" s="462"/>
      <c r="JGC3002" s="299"/>
      <c r="JGD3002" s="81"/>
      <c r="JGE3002" s="160"/>
      <c r="JGF3002" s="574"/>
      <c r="JGG3002" s="125"/>
      <c r="JGH3002" s="470"/>
      <c r="JGI3002" s="449"/>
      <c r="JGJ3002" s="462"/>
      <c r="JGK3002" s="299"/>
      <c r="JGL3002" s="81"/>
      <c r="JGM3002" s="160"/>
      <c r="JGN3002" s="574"/>
      <c r="JGO3002" s="125"/>
      <c r="JGP3002" s="470"/>
      <c r="JGQ3002" s="449"/>
      <c r="JGR3002" s="462"/>
      <c r="JGS3002" s="299"/>
      <c r="JGT3002" s="81"/>
      <c r="JGU3002" s="160"/>
      <c r="JGV3002" s="574"/>
      <c r="JGW3002" s="125"/>
      <c r="JGX3002" s="470"/>
      <c r="JGY3002" s="449"/>
      <c r="JGZ3002" s="462"/>
      <c r="JHA3002" s="299"/>
      <c r="JHB3002" s="81"/>
      <c r="JHC3002" s="160"/>
      <c r="JHD3002" s="574"/>
      <c r="JHE3002" s="125"/>
      <c r="JHF3002" s="470"/>
      <c r="JHG3002" s="449"/>
      <c r="JHH3002" s="462"/>
      <c r="JHI3002" s="299"/>
      <c r="JHJ3002" s="81"/>
      <c r="JHK3002" s="160"/>
      <c r="JHL3002" s="574"/>
      <c r="JHM3002" s="125"/>
      <c r="JHN3002" s="470"/>
      <c r="JHO3002" s="449"/>
      <c r="JHP3002" s="462"/>
      <c r="JHQ3002" s="299"/>
      <c r="JHR3002" s="81"/>
      <c r="JHS3002" s="160"/>
      <c r="JHT3002" s="574"/>
      <c r="JHU3002" s="125"/>
      <c r="JHV3002" s="470"/>
      <c r="JHW3002" s="449"/>
      <c r="JHX3002" s="462"/>
      <c r="JHY3002" s="299"/>
      <c r="JHZ3002" s="81"/>
      <c r="JIA3002" s="160"/>
      <c r="JIB3002" s="574"/>
      <c r="JIC3002" s="125"/>
      <c r="JID3002" s="470"/>
      <c r="JIE3002" s="449"/>
      <c r="JIF3002" s="462"/>
      <c r="JIG3002" s="299"/>
      <c r="JIH3002" s="81"/>
      <c r="JII3002" s="160"/>
      <c r="JIJ3002" s="574"/>
      <c r="JIK3002" s="125"/>
      <c r="JIL3002" s="470"/>
      <c r="JIM3002" s="449"/>
      <c r="JIN3002" s="462"/>
      <c r="JIO3002" s="299"/>
      <c r="JIP3002" s="81"/>
      <c r="JIQ3002" s="160"/>
      <c r="JIR3002" s="574"/>
      <c r="JIS3002" s="125"/>
      <c r="JIT3002" s="470"/>
      <c r="JIU3002" s="449"/>
      <c r="JIV3002" s="462"/>
      <c r="JIW3002" s="299"/>
      <c r="JIX3002" s="81"/>
      <c r="JIY3002" s="160"/>
      <c r="JIZ3002" s="574"/>
      <c r="JJA3002" s="125"/>
      <c r="JJB3002" s="470"/>
      <c r="JJC3002" s="449"/>
      <c r="JJD3002" s="462"/>
      <c r="JJE3002" s="299"/>
      <c r="JJF3002" s="81"/>
      <c r="JJG3002" s="160"/>
      <c r="JJH3002" s="574"/>
      <c r="JJI3002" s="125"/>
      <c r="JJJ3002" s="470"/>
      <c r="JJK3002" s="449"/>
      <c r="JJL3002" s="462"/>
      <c r="JJM3002" s="299"/>
      <c r="JJN3002" s="81"/>
      <c r="JJO3002" s="160"/>
      <c r="JJP3002" s="574"/>
      <c r="JJQ3002" s="125"/>
      <c r="JJR3002" s="470"/>
      <c r="JJS3002" s="449"/>
      <c r="JJT3002" s="462"/>
      <c r="JJU3002" s="299"/>
      <c r="JJV3002" s="81"/>
      <c r="JJW3002" s="160"/>
      <c r="JJX3002" s="574"/>
      <c r="JJY3002" s="125"/>
      <c r="JJZ3002" s="470"/>
      <c r="JKA3002" s="449"/>
      <c r="JKB3002" s="462"/>
      <c r="JKC3002" s="299"/>
      <c r="JKD3002" s="81"/>
      <c r="JKE3002" s="160"/>
      <c r="JKF3002" s="574"/>
      <c r="JKG3002" s="125"/>
      <c r="JKH3002" s="470"/>
      <c r="JKI3002" s="449"/>
      <c r="JKJ3002" s="462"/>
      <c r="JKK3002" s="299"/>
      <c r="JKL3002" s="81"/>
      <c r="JKM3002" s="160"/>
      <c r="JKN3002" s="574"/>
      <c r="JKO3002" s="125"/>
      <c r="JKP3002" s="470"/>
      <c r="JKQ3002" s="449"/>
      <c r="JKR3002" s="462"/>
      <c r="JKS3002" s="299"/>
      <c r="JKT3002" s="81"/>
      <c r="JKU3002" s="160"/>
      <c r="JKV3002" s="574"/>
      <c r="JKW3002" s="125"/>
      <c r="JKX3002" s="470"/>
      <c r="JKY3002" s="449"/>
      <c r="JKZ3002" s="462"/>
      <c r="JLA3002" s="299"/>
      <c r="JLB3002" s="81"/>
      <c r="JLC3002" s="160"/>
      <c r="JLD3002" s="574"/>
      <c r="JLE3002" s="125"/>
      <c r="JLF3002" s="470"/>
      <c r="JLG3002" s="449"/>
      <c r="JLH3002" s="462"/>
      <c r="JLI3002" s="299"/>
      <c r="JLJ3002" s="81"/>
      <c r="JLK3002" s="160"/>
      <c r="JLL3002" s="574"/>
      <c r="JLM3002" s="125"/>
      <c r="JLN3002" s="470"/>
      <c r="JLO3002" s="449"/>
      <c r="JLP3002" s="462"/>
      <c r="JLQ3002" s="299"/>
      <c r="JLR3002" s="81"/>
      <c r="JLS3002" s="160"/>
      <c r="JLT3002" s="574"/>
      <c r="JLU3002" s="125"/>
      <c r="JLV3002" s="470"/>
      <c r="JLW3002" s="449"/>
      <c r="JLX3002" s="462"/>
      <c r="JLY3002" s="299"/>
      <c r="JLZ3002" s="81"/>
      <c r="JMA3002" s="160"/>
      <c r="JMB3002" s="574"/>
      <c r="JMC3002" s="125"/>
      <c r="JMD3002" s="470"/>
      <c r="JME3002" s="449"/>
      <c r="JMF3002" s="462"/>
      <c r="JMG3002" s="299"/>
      <c r="JMH3002" s="81"/>
      <c r="JMI3002" s="160"/>
      <c r="JMJ3002" s="574"/>
      <c r="JMK3002" s="125"/>
      <c r="JML3002" s="470"/>
      <c r="JMM3002" s="449"/>
      <c r="JMN3002" s="462"/>
      <c r="JMO3002" s="299"/>
      <c r="JMP3002" s="81"/>
      <c r="JMQ3002" s="160"/>
      <c r="JMR3002" s="574"/>
      <c r="JMS3002" s="125"/>
      <c r="JMT3002" s="470"/>
      <c r="JMU3002" s="449"/>
      <c r="JMV3002" s="462"/>
      <c r="JMW3002" s="299"/>
      <c r="JMX3002" s="81"/>
      <c r="JMY3002" s="160"/>
      <c r="JMZ3002" s="574"/>
      <c r="JNA3002" s="125"/>
      <c r="JNB3002" s="470"/>
      <c r="JNC3002" s="449"/>
      <c r="JND3002" s="462"/>
      <c r="JNE3002" s="299"/>
      <c r="JNF3002" s="81"/>
      <c r="JNG3002" s="160"/>
      <c r="JNH3002" s="574"/>
      <c r="JNI3002" s="125"/>
      <c r="JNJ3002" s="470"/>
      <c r="JNK3002" s="449"/>
      <c r="JNL3002" s="462"/>
      <c r="JNM3002" s="299"/>
      <c r="JNN3002" s="81"/>
      <c r="JNO3002" s="160"/>
      <c r="JNP3002" s="574"/>
      <c r="JNQ3002" s="125"/>
      <c r="JNR3002" s="470"/>
      <c r="JNS3002" s="449"/>
      <c r="JNT3002" s="462"/>
      <c r="JNU3002" s="299"/>
      <c r="JNV3002" s="81"/>
      <c r="JNW3002" s="160"/>
      <c r="JNX3002" s="574"/>
      <c r="JNY3002" s="125"/>
      <c r="JNZ3002" s="470"/>
      <c r="JOA3002" s="449"/>
      <c r="JOB3002" s="462"/>
      <c r="JOC3002" s="299"/>
      <c r="JOD3002" s="81"/>
      <c r="JOE3002" s="160"/>
      <c r="JOF3002" s="574"/>
      <c r="JOG3002" s="125"/>
      <c r="JOH3002" s="470"/>
      <c r="JOI3002" s="449"/>
      <c r="JOJ3002" s="462"/>
      <c r="JOK3002" s="299"/>
      <c r="JOL3002" s="81"/>
      <c r="JOM3002" s="160"/>
      <c r="JON3002" s="574"/>
      <c r="JOO3002" s="125"/>
      <c r="JOP3002" s="470"/>
      <c r="JOQ3002" s="449"/>
      <c r="JOR3002" s="462"/>
      <c r="JOS3002" s="299"/>
      <c r="JOT3002" s="81"/>
      <c r="JOU3002" s="160"/>
      <c r="JOV3002" s="574"/>
      <c r="JOW3002" s="125"/>
      <c r="JOX3002" s="470"/>
      <c r="JOY3002" s="449"/>
      <c r="JOZ3002" s="462"/>
      <c r="JPA3002" s="299"/>
      <c r="JPB3002" s="81"/>
      <c r="JPC3002" s="160"/>
      <c r="JPD3002" s="574"/>
      <c r="JPE3002" s="125"/>
      <c r="JPF3002" s="470"/>
      <c r="JPG3002" s="449"/>
      <c r="JPH3002" s="462"/>
      <c r="JPI3002" s="299"/>
      <c r="JPJ3002" s="81"/>
      <c r="JPK3002" s="160"/>
      <c r="JPL3002" s="574"/>
      <c r="JPM3002" s="125"/>
      <c r="JPN3002" s="470"/>
      <c r="JPO3002" s="449"/>
      <c r="JPP3002" s="462"/>
      <c r="JPQ3002" s="299"/>
      <c r="JPR3002" s="81"/>
      <c r="JPS3002" s="160"/>
      <c r="JPT3002" s="574"/>
      <c r="JPU3002" s="125"/>
      <c r="JPV3002" s="470"/>
      <c r="JPW3002" s="449"/>
      <c r="JPX3002" s="462"/>
      <c r="JPY3002" s="299"/>
      <c r="JPZ3002" s="81"/>
      <c r="JQA3002" s="160"/>
      <c r="JQB3002" s="574"/>
      <c r="JQC3002" s="125"/>
      <c r="JQD3002" s="470"/>
      <c r="JQE3002" s="449"/>
      <c r="JQF3002" s="462"/>
      <c r="JQG3002" s="299"/>
      <c r="JQH3002" s="81"/>
      <c r="JQI3002" s="160"/>
      <c r="JQJ3002" s="574"/>
      <c r="JQK3002" s="125"/>
      <c r="JQL3002" s="470"/>
      <c r="JQM3002" s="449"/>
      <c r="JQN3002" s="462"/>
      <c r="JQO3002" s="299"/>
      <c r="JQP3002" s="81"/>
      <c r="JQQ3002" s="160"/>
      <c r="JQR3002" s="574"/>
      <c r="JQS3002" s="125"/>
      <c r="JQT3002" s="470"/>
      <c r="JQU3002" s="449"/>
      <c r="JQV3002" s="462"/>
      <c r="JQW3002" s="299"/>
      <c r="JQX3002" s="81"/>
      <c r="JQY3002" s="160"/>
      <c r="JQZ3002" s="574"/>
      <c r="JRA3002" s="125"/>
      <c r="JRB3002" s="470"/>
      <c r="JRC3002" s="449"/>
      <c r="JRD3002" s="462"/>
      <c r="JRE3002" s="299"/>
      <c r="JRF3002" s="81"/>
      <c r="JRG3002" s="160"/>
      <c r="JRH3002" s="574"/>
      <c r="JRI3002" s="125"/>
      <c r="JRJ3002" s="470"/>
      <c r="JRK3002" s="449"/>
      <c r="JRL3002" s="462"/>
      <c r="JRM3002" s="299"/>
      <c r="JRN3002" s="81"/>
      <c r="JRO3002" s="160"/>
      <c r="JRP3002" s="574"/>
      <c r="JRQ3002" s="125"/>
      <c r="JRR3002" s="470"/>
      <c r="JRS3002" s="449"/>
      <c r="JRT3002" s="462"/>
      <c r="JRU3002" s="299"/>
      <c r="JRV3002" s="81"/>
      <c r="JRW3002" s="160"/>
      <c r="JRX3002" s="574"/>
      <c r="JRY3002" s="125"/>
      <c r="JRZ3002" s="470"/>
      <c r="JSA3002" s="449"/>
      <c r="JSB3002" s="462"/>
      <c r="JSC3002" s="299"/>
      <c r="JSD3002" s="81"/>
      <c r="JSE3002" s="160"/>
      <c r="JSF3002" s="574"/>
      <c r="JSG3002" s="125"/>
      <c r="JSH3002" s="470"/>
      <c r="JSI3002" s="449"/>
      <c r="JSJ3002" s="462"/>
      <c r="JSK3002" s="299"/>
      <c r="JSL3002" s="81"/>
      <c r="JSM3002" s="160"/>
      <c r="JSN3002" s="574"/>
      <c r="JSO3002" s="125"/>
      <c r="JSP3002" s="470"/>
      <c r="JSQ3002" s="449"/>
      <c r="JSR3002" s="462"/>
      <c r="JSS3002" s="299"/>
      <c r="JST3002" s="81"/>
      <c r="JSU3002" s="160"/>
      <c r="JSV3002" s="574"/>
      <c r="JSW3002" s="125"/>
      <c r="JSX3002" s="470"/>
      <c r="JSY3002" s="449"/>
      <c r="JSZ3002" s="462"/>
      <c r="JTA3002" s="299"/>
      <c r="JTB3002" s="81"/>
      <c r="JTC3002" s="160"/>
      <c r="JTD3002" s="574"/>
      <c r="JTE3002" s="125"/>
      <c r="JTF3002" s="470"/>
      <c r="JTG3002" s="449"/>
      <c r="JTH3002" s="462"/>
      <c r="JTI3002" s="299"/>
      <c r="JTJ3002" s="81"/>
      <c r="JTK3002" s="160"/>
      <c r="JTL3002" s="574"/>
      <c r="JTM3002" s="125"/>
      <c r="JTN3002" s="470"/>
      <c r="JTO3002" s="449"/>
      <c r="JTP3002" s="462"/>
      <c r="JTQ3002" s="299"/>
      <c r="JTR3002" s="81"/>
      <c r="JTS3002" s="160"/>
      <c r="JTT3002" s="574"/>
      <c r="JTU3002" s="125"/>
      <c r="JTV3002" s="470"/>
      <c r="JTW3002" s="449"/>
      <c r="JTX3002" s="462"/>
      <c r="JTY3002" s="299"/>
      <c r="JTZ3002" s="81"/>
      <c r="JUA3002" s="160"/>
      <c r="JUB3002" s="574"/>
      <c r="JUC3002" s="125"/>
      <c r="JUD3002" s="470"/>
      <c r="JUE3002" s="449"/>
      <c r="JUF3002" s="462"/>
      <c r="JUG3002" s="299"/>
      <c r="JUH3002" s="81"/>
      <c r="JUI3002" s="160"/>
      <c r="JUJ3002" s="574"/>
      <c r="JUK3002" s="125"/>
      <c r="JUL3002" s="470"/>
      <c r="JUM3002" s="449"/>
      <c r="JUN3002" s="462"/>
      <c r="JUO3002" s="299"/>
      <c r="JUP3002" s="81"/>
      <c r="JUQ3002" s="160"/>
      <c r="JUR3002" s="574"/>
      <c r="JUS3002" s="125"/>
      <c r="JUT3002" s="470"/>
      <c r="JUU3002" s="449"/>
      <c r="JUV3002" s="462"/>
      <c r="JUW3002" s="299"/>
      <c r="JUX3002" s="81"/>
      <c r="JUY3002" s="160"/>
      <c r="JUZ3002" s="574"/>
      <c r="JVA3002" s="125"/>
      <c r="JVB3002" s="470"/>
      <c r="JVC3002" s="449"/>
      <c r="JVD3002" s="462"/>
      <c r="JVE3002" s="299"/>
      <c r="JVF3002" s="81"/>
      <c r="JVG3002" s="160"/>
      <c r="JVH3002" s="574"/>
      <c r="JVI3002" s="125"/>
      <c r="JVJ3002" s="470"/>
      <c r="JVK3002" s="449"/>
      <c r="JVL3002" s="462"/>
      <c r="JVM3002" s="299"/>
      <c r="JVN3002" s="81"/>
      <c r="JVO3002" s="160"/>
      <c r="JVP3002" s="574"/>
      <c r="JVQ3002" s="125"/>
      <c r="JVR3002" s="470"/>
      <c r="JVS3002" s="449"/>
      <c r="JVT3002" s="462"/>
      <c r="JVU3002" s="299"/>
      <c r="JVV3002" s="81"/>
      <c r="JVW3002" s="160"/>
      <c r="JVX3002" s="574"/>
      <c r="JVY3002" s="125"/>
      <c r="JVZ3002" s="470"/>
      <c r="JWA3002" s="449"/>
      <c r="JWB3002" s="462"/>
      <c r="JWC3002" s="299"/>
      <c r="JWD3002" s="81"/>
      <c r="JWE3002" s="160"/>
      <c r="JWF3002" s="574"/>
      <c r="JWG3002" s="125"/>
      <c r="JWH3002" s="470"/>
      <c r="JWI3002" s="449"/>
      <c r="JWJ3002" s="462"/>
      <c r="JWK3002" s="299"/>
      <c r="JWL3002" s="81"/>
      <c r="JWM3002" s="160"/>
      <c r="JWN3002" s="574"/>
      <c r="JWO3002" s="125"/>
      <c r="JWP3002" s="470"/>
      <c r="JWQ3002" s="449"/>
      <c r="JWR3002" s="462"/>
      <c r="JWS3002" s="299"/>
      <c r="JWT3002" s="81"/>
      <c r="JWU3002" s="160"/>
      <c r="JWV3002" s="574"/>
      <c r="JWW3002" s="125"/>
      <c r="JWX3002" s="470"/>
      <c r="JWY3002" s="449"/>
      <c r="JWZ3002" s="462"/>
      <c r="JXA3002" s="299"/>
      <c r="JXB3002" s="81"/>
      <c r="JXC3002" s="160"/>
      <c r="JXD3002" s="574"/>
      <c r="JXE3002" s="125"/>
      <c r="JXF3002" s="470"/>
      <c r="JXG3002" s="449"/>
      <c r="JXH3002" s="462"/>
      <c r="JXI3002" s="299"/>
      <c r="JXJ3002" s="81"/>
      <c r="JXK3002" s="160"/>
      <c r="JXL3002" s="574"/>
      <c r="JXM3002" s="125"/>
      <c r="JXN3002" s="470"/>
      <c r="JXO3002" s="449"/>
      <c r="JXP3002" s="462"/>
      <c r="JXQ3002" s="299"/>
      <c r="JXR3002" s="81"/>
      <c r="JXS3002" s="160"/>
      <c r="JXT3002" s="574"/>
      <c r="JXU3002" s="125"/>
      <c r="JXV3002" s="470"/>
      <c r="JXW3002" s="449"/>
      <c r="JXX3002" s="462"/>
      <c r="JXY3002" s="299"/>
      <c r="JXZ3002" s="81"/>
      <c r="JYA3002" s="160"/>
      <c r="JYB3002" s="574"/>
      <c r="JYC3002" s="125"/>
      <c r="JYD3002" s="470"/>
      <c r="JYE3002" s="449"/>
      <c r="JYF3002" s="462"/>
      <c r="JYG3002" s="299"/>
      <c r="JYH3002" s="81"/>
      <c r="JYI3002" s="160"/>
      <c r="JYJ3002" s="574"/>
      <c r="JYK3002" s="125"/>
      <c r="JYL3002" s="470"/>
      <c r="JYM3002" s="449"/>
      <c r="JYN3002" s="462"/>
      <c r="JYO3002" s="299"/>
      <c r="JYP3002" s="81"/>
      <c r="JYQ3002" s="160"/>
      <c r="JYR3002" s="574"/>
      <c r="JYS3002" s="125"/>
      <c r="JYT3002" s="470"/>
      <c r="JYU3002" s="449"/>
      <c r="JYV3002" s="462"/>
      <c r="JYW3002" s="299"/>
      <c r="JYX3002" s="81"/>
      <c r="JYY3002" s="160"/>
      <c r="JYZ3002" s="574"/>
      <c r="JZA3002" s="125"/>
      <c r="JZB3002" s="470"/>
      <c r="JZC3002" s="449"/>
      <c r="JZD3002" s="462"/>
      <c r="JZE3002" s="299"/>
      <c r="JZF3002" s="81"/>
      <c r="JZG3002" s="160"/>
      <c r="JZH3002" s="574"/>
      <c r="JZI3002" s="125"/>
      <c r="JZJ3002" s="470"/>
      <c r="JZK3002" s="449"/>
      <c r="JZL3002" s="462"/>
      <c r="JZM3002" s="299"/>
      <c r="JZN3002" s="81"/>
      <c r="JZO3002" s="160"/>
      <c r="JZP3002" s="574"/>
      <c r="JZQ3002" s="125"/>
      <c r="JZR3002" s="470"/>
      <c r="JZS3002" s="449"/>
      <c r="JZT3002" s="462"/>
      <c r="JZU3002" s="299"/>
      <c r="JZV3002" s="81"/>
      <c r="JZW3002" s="160"/>
      <c r="JZX3002" s="574"/>
      <c r="JZY3002" s="125"/>
      <c r="JZZ3002" s="470"/>
      <c r="KAA3002" s="449"/>
      <c r="KAB3002" s="462"/>
      <c r="KAC3002" s="299"/>
      <c r="KAD3002" s="81"/>
      <c r="KAE3002" s="160"/>
      <c r="KAF3002" s="574"/>
      <c r="KAG3002" s="125"/>
      <c r="KAH3002" s="470"/>
      <c r="KAI3002" s="449"/>
      <c r="KAJ3002" s="462"/>
      <c r="KAK3002" s="299"/>
      <c r="KAL3002" s="81"/>
      <c r="KAM3002" s="160"/>
      <c r="KAN3002" s="574"/>
      <c r="KAO3002" s="125"/>
      <c r="KAP3002" s="470"/>
      <c r="KAQ3002" s="449"/>
      <c r="KAR3002" s="462"/>
      <c r="KAS3002" s="299"/>
      <c r="KAT3002" s="81"/>
      <c r="KAU3002" s="160"/>
      <c r="KAV3002" s="574"/>
      <c r="KAW3002" s="125"/>
      <c r="KAX3002" s="470"/>
      <c r="KAY3002" s="449"/>
      <c r="KAZ3002" s="462"/>
      <c r="KBA3002" s="299"/>
      <c r="KBB3002" s="81"/>
      <c r="KBC3002" s="160"/>
      <c r="KBD3002" s="574"/>
      <c r="KBE3002" s="125"/>
      <c r="KBF3002" s="470"/>
      <c r="KBG3002" s="449"/>
      <c r="KBH3002" s="462"/>
      <c r="KBI3002" s="299"/>
      <c r="KBJ3002" s="81"/>
      <c r="KBK3002" s="160"/>
      <c r="KBL3002" s="574"/>
      <c r="KBM3002" s="125"/>
      <c r="KBN3002" s="470"/>
      <c r="KBO3002" s="449"/>
      <c r="KBP3002" s="462"/>
      <c r="KBQ3002" s="299"/>
      <c r="KBR3002" s="81"/>
      <c r="KBS3002" s="160"/>
      <c r="KBT3002" s="574"/>
      <c r="KBU3002" s="125"/>
      <c r="KBV3002" s="470"/>
      <c r="KBW3002" s="449"/>
      <c r="KBX3002" s="462"/>
      <c r="KBY3002" s="299"/>
      <c r="KBZ3002" s="81"/>
      <c r="KCA3002" s="160"/>
      <c r="KCB3002" s="574"/>
      <c r="KCC3002" s="125"/>
      <c r="KCD3002" s="470"/>
      <c r="KCE3002" s="449"/>
      <c r="KCF3002" s="462"/>
      <c r="KCG3002" s="299"/>
      <c r="KCH3002" s="81"/>
      <c r="KCI3002" s="160"/>
      <c r="KCJ3002" s="574"/>
      <c r="KCK3002" s="125"/>
      <c r="KCL3002" s="470"/>
      <c r="KCM3002" s="449"/>
      <c r="KCN3002" s="462"/>
      <c r="KCO3002" s="299"/>
      <c r="KCP3002" s="81"/>
      <c r="KCQ3002" s="160"/>
      <c r="KCR3002" s="574"/>
      <c r="KCS3002" s="125"/>
      <c r="KCT3002" s="470"/>
      <c r="KCU3002" s="449"/>
      <c r="KCV3002" s="462"/>
      <c r="KCW3002" s="299"/>
      <c r="KCX3002" s="81"/>
      <c r="KCY3002" s="160"/>
      <c r="KCZ3002" s="574"/>
      <c r="KDA3002" s="125"/>
      <c r="KDB3002" s="470"/>
      <c r="KDC3002" s="449"/>
      <c r="KDD3002" s="462"/>
      <c r="KDE3002" s="299"/>
      <c r="KDF3002" s="81"/>
      <c r="KDG3002" s="160"/>
      <c r="KDH3002" s="574"/>
      <c r="KDI3002" s="125"/>
      <c r="KDJ3002" s="470"/>
      <c r="KDK3002" s="449"/>
      <c r="KDL3002" s="462"/>
      <c r="KDM3002" s="299"/>
      <c r="KDN3002" s="81"/>
      <c r="KDO3002" s="160"/>
      <c r="KDP3002" s="574"/>
      <c r="KDQ3002" s="125"/>
      <c r="KDR3002" s="470"/>
      <c r="KDS3002" s="449"/>
      <c r="KDT3002" s="462"/>
      <c r="KDU3002" s="299"/>
      <c r="KDV3002" s="81"/>
      <c r="KDW3002" s="160"/>
      <c r="KDX3002" s="574"/>
      <c r="KDY3002" s="125"/>
      <c r="KDZ3002" s="470"/>
      <c r="KEA3002" s="449"/>
      <c r="KEB3002" s="462"/>
      <c r="KEC3002" s="299"/>
      <c r="KED3002" s="81"/>
      <c r="KEE3002" s="160"/>
      <c r="KEF3002" s="574"/>
      <c r="KEG3002" s="125"/>
      <c r="KEH3002" s="470"/>
      <c r="KEI3002" s="449"/>
      <c r="KEJ3002" s="462"/>
      <c r="KEK3002" s="299"/>
      <c r="KEL3002" s="81"/>
      <c r="KEM3002" s="160"/>
      <c r="KEN3002" s="574"/>
      <c r="KEO3002" s="125"/>
      <c r="KEP3002" s="470"/>
      <c r="KEQ3002" s="449"/>
      <c r="KER3002" s="462"/>
      <c r="KES3002" s="299"/>
      <c r="KET3002" s="81"/>
      <c r="KEU3002" s="160"/>
      <c r="KEV3002" s="574"/>
      <c r="KEW3002" s="125"/>
      <c r="KEX3002" s="470"/>
      <c r="KEY3002" s="449"/>
      <c r="KEZ3002" s="462"/>
      <c r="KFA3002" s="299"/>
      <c r="KFB3002" s="81"/>
      <c r="KFC3002" s="160"/>
      <c r="KFD3002" s="574"/>
      <c r="KFE3002" s="125"/>
      <c r="KFF3002" s="470"/>
      <c r="KFG3002" s="449"/>
      <c r="KFH3002" s="462"/>
      <c r="KFI3002" s="299"/>
      <c r="KFJ3002" s="81"/>
      <c r="KFK3002" s="160"/>
      <c r="KFL3002" s="574"/>
      <c r="KFM3002" s="125"/>
      <c r="KFN3002" s="470"/>
      <c r="KFO3002" s="449"/>
      <c r="KFP3002" s="462"/>
      <c r="KFQ3002" s="299"/>
      <c r="KFR3002" s="81"/>
      <c r="KFS3002" s="160"/>
      <c r="KFT3002" s="574"/>
      <c r="KFU3002" s="125"/>
      <c r="KFV3002" s="470"/>
      <c r="KFW3002" s="449"/>
      <c r="KFX3002" s="462"/>
      <c r="KFY3002" s="299"/>
      <c r="KFZ3002" s="81"/>
      <c r="KGA3002" s="160"/>
      <c r="KGB3002" s="574"/>
      <c r="KGC3002" s="125"/>
      <c r="KGD3002" s="470"/>
      <c r="KGE3002" s="449"/>
      <c r="KGF3002" s="462"/>
      <c r="KGG3002" s="299"/>
      <c r="KGH3002" s="81"/>
      <c r="KGI3002" s="160"/>
      <c r="KGJ3002" s="574"/>
      <c r="KGK3002" s="125"/>
      <c r="KGL3002" s="470"/>
      <c r="KGM3002" s="449"/>
      <c r="KGN3002" s="462"/>
      <c r="KGO3002" s="299"/>
      <c r="KGP3002" s="81"/>
      <c r="KGQ3002" s="160"/>
      <c r="KGR3002" s="574"/>
      <c r="KGS3002" s="125"/>
      <c r="KGT3002" s="470"/>
      <c r="KGU3002" s="449"/>
      <c r="KGV3002" s="462"/>
      <c r="KGW3002" s="299"/>
      <c r="KGX3002" s="81"/>
      <c r="KGY3002" s="160"/>
      <c r="KGZ3002" s="574"/>
      <c r="KHA3002" s="125"/>
      <c r="KHB3002" s="470"/>
      <c r="KHC3002" s="449"/>
      <c r="KHD3002" s="462"/>
      <c r="KHE3002" s="299"/>
      <c r="KHF3002" s="81"/>
      <c r="KHG3002" s="160"/>
      <c r="KHH3002" s="574"/>
      <c r="KHI3002" s="125"/>
      <c r="KHJ3002" s="470"/>
      <c r="KHK3002" s="449"/>
      <c r="KHL3002" s="462"/>
      <c r="KHM3002" s="299"/>
      <c r="KHN3002" s="81"/>
      <c r="KHO3002" s="160"/>
      <c r="KHP3002" s="574"/>
      <c r="KHQ3002" s="125"/>
      <c r="KHR3002" s="470"/>
      <c r="KHS3002" s="449"/>
      <c r="KHT3002" s="462"/>
      <c r="KHU3002" s="299"/>
      <c r="KHV3002" s="81"/>
      <c r="KHW3002" s="160"/>
      <c r="KHX3002" s="574"/>
      <c r="KHY3002" s="125"/>
      <c r="KHZ3002" s="470"/>
      <c r="KIA3002" s="449"/>
      <c r="KIB3002" s="462"/>
      <c r="KIC3002" s="299"/>
      <c r="KID3002" s="81"/>
      <c r="KIE3002" s="160"/>
      <c r="KIF3002" s="574"/>
      <c r="KIG3002" s="125"/>
      <c r="KIH3002" s="470"/>
      <c r="KII3002" s="449"/>
      <c r="KIJ3002" s="462"/>
      <c r="KIK3002" s="299"/>
      <c r="KIL3002" s="81"/>
      <c r="KIM3002" s="160"/>
      <c r="KIN3002" s="574"/>
      <c r="KIO3002" s="125"/>
      <c r="KIP3002" s="470"/>
      <c r="KIQ3002" s="449"/>
      <c r="KIR3002" s="462"/>
      <c r="KIS3002" s="299"/>
      <c r="KIT3002" s="81"/>
      <c r="KIU3002" s="160"/>
      <c r="KIV3002" s="574"/>
      <c r="KIW3002" s="125"/>
      <c r="KIX3002" s="470"/>
      <c r="KIY3002" s="449"/>
      <c r="KIZ3002" s="462"/>
      <c r="KJA3002" s="299"/>
      <c r="KJB3002" s="81"/>
      <c r="KJC3002" s="160"/>
      <c r="KJD3002" s="574"/>
      <c r="KJE3002" s="125"/>
      <c r="KJF3002" s="470"/>
      <c r="KJG3002" s="449"/>
      <c r="KJH3002" s="462"/>
      <c r="KJI3002" s="299"/>
      <c r="KJJ3002" s="81"/>
      <c r="KJK3002" s="160"/>
      <c r="KJL3002" s="574"/>
      <c r="KJM3002" s="125"/>
      <c r="KJN3002" s="470"/>
      <c r="KJO3002" s="449"/>
      <c r="KJP3002" s="462"/>
      <c r="KJQ3002" s="299"/>
      <c r="KJR3002" s="81"/>
      <c r="KJS3002" s="160"/>
      <c r="KJT3002" s="574"/>
      <c r="KJU3002" s="125"/>
      <c r="KJV3002" s="470"/>
      <c r="KJW3002" s="449"/>
      <c r="KJX3002" s="462"/>
      <c r="KJY3002" s="299"/>
      <c r="KJZ3002" s="81"/>
      <c r="KKA3002" s="160"/>
      <c r="KKB3002" s="574"/>
      <c r="KKC3002" s="125"/>
      <c r="KKD3002" s="470"/>
      <c r="KKE3002" s="449"/>
      <c r="KKF3002" s="462"/>
      <c r="KKG3002" s="299"/>
      <c r="KKH3002" s="81"/>
      <c r="KKI3002" s="160"/>
      <c r="KKJ3002" s="574"/>
      <c r="KKK3002" s="125"/>
      <c r="KKL3002" s="470"/>
      <c r="KKM3002" s="449"/>
      <c r="KKN3002" s="462"/>
      <c r="KKO3002" s="299"/>
      <c r="KKP3002" s="81"/>
      <c r="KKQ3002" s="160"/>
      <c r="KKR3002" s="574"/>
      <c r="KKS3002" s="125"/>
      <c r="KKT3002" s="470"/>
      <c r="KKU3002" s="449"/>
      <c r="KKV3002" s="462"/>
      <c r="KKW3002" s="299"/>
      <c r="KKX3002" s="81"/>
      <c r="KKY3002" s="160"/>
      <c r="KKZ3002" s="574"/>
      <c r="KLA3002" s="125"/>
      <c r="KLB3002" s="470"/>
      <c r="KLC3002" s="449"/>
      <c r="KLD3002" s="462"/>
      <c r="KLE3002" s="299"/>
      <c r="KLF3002" s="81"/>
      <c r="KLG3002" s="160"/>
      <c r="KLH3002" s="574"/>
      <c r="KLI3002" s="125"/>
      <c r="KLJ3002" s="470"/>
      <c r="KLK3002" s="449"/>
      <c r="KLL3002" s="462"/>
      <c r="KLM3002" s="299"/>
      <c r="KLN3002" s="81"/>
      <c r="KLO3002" s="160"/>
      <c r="KLP3002" s="574"/>
      <c r="KLQ3002" s="125"/>
      <c r="KLR3002" s="470"/>
      <c r="KLS3002" s="449"/>
      <c r="KLT3002" s="462"/>
      <c r="KLU3002" s="299"/>
      <c r="KLV3002" s="81"/>
      <c r="KLW3002" s="160"/>
      <c r="KLX3002" s="574"/>
      <c r="KLY3002" s="125"/>
      <c r="KLZ3002" s="470"/>
      <c r="KMA3002" s="449"/>
      <c r="KMB3002" s="462"/>
      <c r="KMC3002" s="299"/>
      <c r="KMD3002" s="81"/>
      <c r="KME3002" s="160"/>
      <c r="KMF3002" s="574"/>
      <c r="KMG3002" s="125"/>
      <c r="KMH3002" s="470"/>
      <c r="KMI3002" s="449"/>
      <c r="KMJ3002" s="462"/>
      <c r="KMK3002" s="299"/>
      <c r="KML3002" s="81"/>
      <c r="KMM3002" s="160"/>
      <c r="KMN3002" s="574"/>
      <c r="KMO3002" s="125"/>
      <c r="KMP3002" s="470"/>
      <c r="KMQ3002" s="449"/>
      <c r="KMR3002" s="462"/>
      <c r="KMS3002" s="299"/>
      <c r="KMT3002" s="81"/>
      <c r="KMU3002" s="160"/>
      <c r="KMV3002" s="574"/>
      <c r="KMW3002" s="125"/>
      <c r="KMX3002" s="470"/>
      <c r="KMY3002" s="449"/>
      <c r="KMZ3002" s="462"/>
      <c r="KNA3002" s="299"/>
      <c r="KNB3002" s="81"/>
      <c r="KNC3002" s="160"/>
      <c r="KND3002" s="574"/>
      <c r="KNE3002" s="125"/>
      <c r="KNF3002" s="470"/>
      <c r="KNG3002" s="449"/>
      <c r="KNH3002" s="462"/>
      <c r="KNI3002" s="299"/>
      <c r="KNJ3002" s="81"/>
      <c r="KNK3002" s="160"/>
      <c r="KNL3002" s="574"/>
      <c r="KNM3002" s="125"/>
      <c r="KNN3002" s="470"/>
      <c r="KNO3002" s="449"/>
      <c r="KNP3002" s="462"/>
      <c r="KNQ3002" s="299"/>
      <c r="KNR3002" s="81"/>
      <c r="KNS3002" s="160"/>
      <c r="KNT3002" s="574"/>
      <c r="KNU3002" s="125"/>
      <c r="KNV3002" s="470"/>
      <c r="KNW3002" s="449"/>
      <c r="KNX3002" s="462"/>
      <c r="KNY3002" s="299"/>
      <c r="KNZ3002" s="81"/>
      <c r="KOA3002" s="160"/>
      <c r="KOB3002" s="574"/>
      <c r="KOC3002" s="125"/>
      <c r="KOD3002" s="470"/>
      <c r="KOE3002" s="449"/>
      <c r="KOF3002" s="462"/>
      <c r="KOG3002" s="299"/>
      <c r="KOH3002" s="81"/>
      <c r="KOI3002" s="160"/>
      <c r="KOJ3002" s="574"/>
      <c r="KOK3002" s="125"/>
      <c r="KOL3002" s="470"/>
      <c r="KOM3002" s="449"/>
      <c r="KON3002" s="462"/>
      <c r="KOO3002" s="299"/>
      <c r="KOP3002" s="81"/>
      <c r="KOQ3002" s="160"/>
      <c r="KOR3002" s="574"/>
      <c r="KOS3002" s="125"/>
      <c r="KOT3002" s="470"/>
      <c r="KOU3002" s="449"/>
      <c r="KOV3002" s="462"/>
      <c r="KOW3002" s="299"/>
      <c r="KOX3002" s="81"/>
      <c r="KOY3002" s="160"/>
      <c r="KOZ3002" s="574"/>
      <c r="KPA3002" s="125"/>
      <c r="KPB3002" s="470"/>
      <c r="KPC3002" s="449"/>
      <c r="KPD3002" s="462"/>
      <c r="KPE3002" s="299"/>
      <c r="KPF3002" s="81"/>
      <c r="KPG3002" s="160"/>
      <c r="KPH3002" s="574"/>
      <c r="KPI3002" s="125"/>
      <c r="KPJ3002" s="470"/>
      <c r="KPK3002" s="449"/>
      <c r="KPL3002" s="462"/>
      <c r="KPM3002" s="299"/>
      <c r="KPN3002" s="81"/>
      <c r="KPO3002" s="160"/>
      <c r="KPP3002" s="574"/>
      <c r="KPQ3002" s="125"/>
      <c r="KPR3002" s="470"/>
      <c r="KPS3002" s="449"/>
      <c r="KPT3002" s="462"/>
      <c r="KPU3002" s="299"/>
      <c r="KPV3002" s="81"/>
      <c r="KPW3002" s="160"/>
      <c r="KPX3002" s="574"/>
      <c r="KPY3002" s="125"/>
      <c r="KPZ3002" s="470"/>
      <c r="KQA3002" s="449"/>
      <c r="KQB3002" s="462"/>
      <c r="KQC3002" s="299"/>
      <c r="KQD3002" s="81"/>
      <c r="KQE3002" s="160"/>
      <c r="KQF3002" s="574"/>
      <c r="KQG3002" s="125"/>
      <c r="KQH3002" s="470"/>
      <c r="KQI3002" s="449"/>
      <c r="KQJ3002" s="462"/>
      <c r="KQK3002" s="299"/>
      <c r="KQL3002" s="81"/>
      <c r="KQM3002" s="160"/>
      <c r="KQN3002" s="574"/>
      <c r="KQO3002" s="125"/>
      <c r="KQP3002" s="470"/>
      <c r="KQQ3002" s="449"/>
      <c r="KQR3002" s="462"/>
      <c r="KQS3002" s="299"/>
      <c r="KQT3002" s="81"/>
      <c r="KQU3002" s="160"/>
      <c r="KQV3002" s="574"/>
      <c r="KQW3002" s="125"/>
      <c r="KQX3002" s="470"/>
      <c r="KQY3002" s="449"/>
      <c r="KQZ3002" s="462"/>
      <c r="KRA3002" s="299"/>
      <c r="KRB3002" s="81"/>
      <c r="KRC3002" s="160"/>
      <c r="KRD3002" s="574"/>
      <c r="KRE3002" s="125"/>
      <c r="KRF3002" s="470"/>
      <c r="KRG3002" s="449"/>
      <c r="KRH3002" s="462"/>
      <c r="KRI3002" s="299"/>
      <c r="KRJ3002" s="81"/>
      <c r="KRK3002" s="160"/>
      <c r="KRL3002" s="574"/>
      <c r="KRM3002" s="125"/>
      <c r="KRN3002" s="470"/>
      <c r="KRO3002" s="449"/>
      <c r="KRP3002" s="462"/>
      <c r="KRQ3002" s="299"/>
      <c r="KRR3002" s="81"/>
      <c r="KRS3002" s="160"/>
      <c r="KRT3002" s="574"/>
      <c r="KRU3002" s="125"/>
      <c r="KRV3002" s="470"/>
      <c r="KRW3002" s="449"/>
      <c r="KRX3002" s="462"/>
      <c r="KRY3002" s="299"/>
      <c r="KRZ3002" s="81"/>
      <c r="KSA3002" s="160"/>
      <c r="KSB3002" s="574"/>
      <c r="KSC3002" s="125"/>
      <c r="KSD3002" s="470"/>
      <c r="KSE3002" s="449"/>
      <c r="KSF3002" s="462"/>
      <c r="KSG3002" s="299"/>
      <c r="KSH3002" s="81"/>
      <c r="KSI3002" s="160"/>
      <c r="KSJ3002" s="574"/>
      <c r="KSK3002" s="125"/>
      <c r="KSL3002" s="470"/>
      <c r="KSM3002" s="449"/>
      <c r="KSN3002" s="462"/>
      <c r="KSO3002" s="299"/>
      <c r="KSP3002" s="81"/>
      <c r="KSQ3002" s="160"/>
      <c r="KSR3002" s="574"/>
      <c r="KSS3002" s="125"/>
      <c r="KST3002" s="470"/>
      <c r="KSU3002" s="449"/>
      <c r="KSV3002" s="462"/>
      <c r="KSW3002" s="299"/>
      <c r="KSX3002" s="81"/>
      <c r="KSY3002" s="160"/>
      <c r="KSZ3002" s="574"/>
      <c r="KTA3002" s="125"/>
      <c r="KTB3002" s="470"/>
      <c r="KTC3002" s="449"/>
      <c r="KTD3002" s="462"/>
      <c r="KTE3002" s="299"/>
      <c r="KTF3002" s="81"/>
      <c r="KTG3002" s="160"/>
      <c r="KTH3002" s="574"/>
      <c r="KTI3002" s="125"/>
      <c r="KTJ3002" s="470"/>
      <c r="KTK3002" s="449"/>
      <c r="KTL3002" s="462"/>
      <c r="KTM3002" s="299"/>
      <c r="KTN3002" s="81"/>
      <c r="KTO3002" s="160"/>
      <c r="KTP3002" s="574"/>
      <c r="KTQ3002" s="125"/>
      <c r="KTR3002" s="470"/>
      <c r="KTS3002" s="449"/>
      <c r="KTT3002" s="462"/>
      <c r="KTU3002" s="299"/>
      <c r="KTV3002" s="81"/>
      <c r="KTW3002" s="160"/>
      <c r="KTX3002" s="574"/>
      <c r="KTY3002" s="125"/>
      <c r="KTZ3002" s="470"/>
      <c r="KUA3002" s="449"/>
      <c r="KUB3002" s="462"/>
      <c r="KUC3002" s="299"/>
      <c r="KUD3002" s="81"/>
      <c r="KUE3002" s="160"/>
      <c r="KUF3002" s="574"/>
      <c r="KUG3002" s="125"/>
      <c r="KUH3002" s="470"/>
      <c r="KUI3002" s="449"/>
      <c r="KUJ3002" s="462"/>
      <c r="KUK3002" s="299"/>
      <c r="KUL3002" s="81"/>
      <c r="KUM3002" s="160"/>
      <c r="KUN3002" s="574"/>
      <c r="KUO3002" s="125"/>
      <c r="KUP3002" s="470"/>
      <c r="KUQ3002" s="449"/>
      <c r="KUR3002" s="462"/>
      <c r="KUS3002" s="299"/>
      <c r="KUT3002" s="81"/>
      <c r="KUU3002" s="160"/>
      <c r="KUV3002" s="574"/>
      <c r="KUW3002" s="125"/>
      <c r="KUX3002" s="470"/>
      <c r="KUY3002" s="449"/>
      <c r="KUZ3002" s="462"/>
      <c r="KVA3002" s="299"/>
      <c r="KVB3002" s="81"/>
      <c r="KVC3002" s="160"/>
      <c r="KVD3002" s="574"/>
      <c r="KVE3002" s="125"/>
      <c r="KVF3002" s="470"/>
      <c r="KVG3002" s="449"/>
      <c r="KVH3002" s="462"/>
      <c r="KVI3002" s="299"/>
      <c r="KVJ3002" s="81"/>
      <c r="KVK3002" s="160"/>
      <c r="KVL3002" s="574"/>
      <c r="KVM3002" s="125"/>
      <c r="KVN3002" s="470"/>
      <c r="KVO3002" s="449"/>
      <c r="KVP3002" s="462"/>
      <c r="KVQ3002" s="299"/>
      <c r="KVR3002" s="81"/>
      <c r="KVS3002" s="160"/>
      <c r="KVT3002" s="574"/>
      <c r="KVU3002" s="125"/>
      <c r="KVV3002" s="470"/>
      <c r="KVW3002" s="449"/>
      <c r="KVX3002" s="462"/>
      <c r="KVY3002" s="299"/>
      <c r="KVZ3002" s="81"/>
      <c r="KWA3002" s="160"/>
      <c r="KWB3002" s="574"/>
      <c r="KWC3002" s="125"/>
      <c r="KWD3002" s="470"/>
      <c r="KWE3002" s="449"/>
      <c r="KWF3002" s="462"/>
      <c r="KWG3002" s="299"/>
      <c r="KWH3002" s="81"/>
      <c r="KWI3002" s="160"/>
      <c r="KWJ3002" s="574"/>
      <c r="KWK3002" s="125"/>
      <c r="KWL3002" s="470"/>
      <c r="KWM3002" s="449"/>
      <c r="KWN3002" s="462"/>
      <c r="KWO3002" s="299"/>
      <c r="KWP3002" s="81"/>
      <c r="KWQ3002" s="160"/>
      <c r="KWR3002" s="574"/>
      <c r="KWS3002" s="125"/>
      <c r="KWT3002" s="470"/>
      <c r="KWU3002" s="449"/>
      <c r="KWV3002" s="462"/>
      <c r="KWW3002" s="299"/>
      <c r="KWX3002" s="81"/>
      <c r="KWY3002" s="160"/>
      <c r="KWZ3002" s="574"/>
      <c r="KXA3002" s="125"/>
      <c r="KXB3002" s="470"/>
      <c r="KXC3002" s="449"/>
      <c r="KXD3002" s="462"/>
      <c r="KXE3002" s="299"/>
      <c r="KXF3002" s="81"/>
      <c r="KXG3002" s="160"/>
      <c r="KXH3002" s="574"/>
      <c r="KXI3002" s="125"/>
      <c r="KXJ3002" s="470"/>
      <c r="KXK3002" s="449"/>
      <c r="KXL3002" s="462"/>
      <c r="KXM3002" s="299"/>
      <c r="KXN3002" s="81"/>
      <c r="KXO3002" s="160"/>
      <c r="KXP3002" s="574"/>
      <c r="KXQ3002" s="125"/>
      <c r="KXR3002" s="470"/>
      <c r="KXS3002" s="449"/>
      <c r="KXT3002" s="462"/>
      <c r="KXU3002" s="299"/>
      <c r="KXV3002" s="81"/>
      <c r="KXW3002" s="160"/>
      <c r="KXX3002" s="574"/>
      <c r="KXY3002" s="125"/>
      <c r="KXZ3002" s="470"/>
      <c r="KYA3002" s="449"/>
      <c r="KYB3002" s="462"/>
      <c r="KYC3002" s="299"/>
      <c r="KYD3002" s="81"/>
      <c r="KYE3002" s="160"/>
      <c r="KYF3002" s="574"/>
      <c r="KYG3002" s="125"/>
      <c r="KYH3002" s="470"/>
      <c r="KYI3002" s="449"/>
      <c r="KYJ3002" s="462"/>
      <c r="KYK3002" s="299"/>
      <c r="KYL3002" s="81"/>
      <c r="KYM3002" s="160"/>
      <c r="KYN3002" s="574"/>
      <c r="KYO3002" s="125"/>
      <c r="KYP3002" s="470"/>
      <c r="KYQ3002" s="449"/>
      <c r="KYR3002" s="462"/>
      <c r="KYS3002" s="299"/>
      <c r="KYT3002" s="81"/>
      <c r="KYU3002" s="160"/>
      <c r="KYV3002" s="574"/>
      <c r="KYW3002" s="125"/>
      <c r="KYX3002" s="470"/>
      <c r="KYY3002" s="449"/>
      <c r="KYZ3002" s="462"/>
      <c r="KZA3002" s="299"/>
      <c r="KZB3002" s="81"/>
      <c r="KZC3002" s="160"/>
      <c r="KZD3002" s="574"/>
      <c r="KZE3002" s="125"/>
      <c r="KZF3002" s="470"/>
      <c r="KZG3002" s="449"/>
      <c r="KZH3002" s="462"/>
      <c r="KZI3002" s="299"/>
      <c r="KZJ3002" s="81"/>
      <c r="KZK3002" s="160"/>
      <c r="KZL3002" s="574"/>
      <c r="KZM3002" s="125"/>
      <c r="KZN3002" s="470"/>
      <c r="KZO3002" s="449"/>
      <c r="KZP3002" s="462"/>
      <c r="KZQ3002" s="299"/>
      <c r="KZR3002" s="81"/>
      <c r="KZS3002" s="160"/>
      <c r="KZT3002" s="574"/>
      <c r="KZU3002" s="125"/>
      <c r="KZV3002" s="470"/>
      <c r="KZW3002" s="449"/>
      <c r="KZX3002" s="462"/>
      <c r="KZY3002" s="299"/>
      <c r="KZZ3002" s="81"/>
      <c r="LAA3002" s="160"/>
      <c r="LAB3002" s="574"/>
      <c r="LAC3002" s="125"/>
      <c r="LAD3002" s="470"/>
      <c r="LAE3002" s="449"/>
      <c r="LAF3002" s="462"/>
      <c r="LAG3002" s="299"/>
      <c r="LAH3002" s="81"/>
      <c r="LAI3002" s="160"/>
      <c r="LAJ3002" s="574"/>
      <c r="LAK3002" s="125"/>
      <c r="LAL3002" s="470"/>
      <c r="LAM3002" s="449"/>
      <c r="LAN3002" s="462"/>
      <c r="LAO3002" s="299"/>
      <c r="LAP3002" s="81"/>
      <c r="LAQ3002" s="160"/>
      <c r="LAR3002" s="574"/>
      <c r="LAS3002" s="125"/>
      <c r="LAT3002" s="470"/>
      <c r="LAU3002" s="449"/>
      <c r="LAV3002" s="462"/>
      <c r="LAW3002" s="299"/>
      <c r="LAX3002" s="81"/>
      <c r="LAY3002" s="160"/>
      <c r="LAZ3002" s="574"/>
      <c r="LBA3002" s="125"/>
      <c r="LBB3002" s="470"/>
      <c r="LBC3002" s="449"/>
      <c r="LBD3002" s="462"/>
      <c r="LBE3002" s="299"/>
      <c r="LBF3002" s="81"/>
      <c r="LBG3002" s="160"/>
      <c r="LBH3002" s="574"/>
      <c r="LBI3002" s="125"/>
      <c r="LBJ3002" s="470"/>
      <c r="LBK3002" s="449"/>
      <c r="LBL3002" s="462"/>
      <c r="LBM3002" s="299"/>
      <c r="LBN3002" s="81"/>
      <c r="LBO3002" s="160"/>
      <c r="LBP3002" s="574"/>
      <c r="LBQ3002" s="125"/>
      <c r="LBR3002" s="470"/>
      <c r="LBS3002" s="449"/>
      <c r="LBT3002" s="462"/>
      <c r="LBU3002" s="299"/>
      <c r="LBV3002" s="81"/>
      <c r="LBW3002" s="160"/>
      <c r="LBX3002" s="574"/>
      <c r="LBY3002" s="125"/>
      <c r="LBZ3002" s="470"/>
      <c r="LCA3002" s="449"/>
      <c r="LCB3002" s="462"/>
      <c r="LCC3002" s="299"/>
      <c r="LCD3002" s="81"/>
      <c r="LCE3002" s="160"/>
      <c r="LCF3002" s="574"/>
      <c r="LCG3002" s="125"/>
      <c r="LCH3002" s="470"/>
      <c r="LCI3002" s="449"/>
      <c r="LCJ3002" s="462"/>
      <c r="LCK3002" s="299"/>
      <c r="LCL3002" s="81"/>
      <c r="LCM3002" s="160"/>
      <c r="LCN3002" s="574"/>
      <c r="LCO3002" s="125"/>
      <c r="LCP3002" s="470"/>
      <c r="LCQ3002" s="449"/>
      <c r="LCR3002" s="462"/>
      <c r="LCS3002" s="299"/>
      <c r="LCT3002" s="81"/>
      <c r="LCU3002" s="160"/>
      <c r="LCV3002" s="574"/>
      <c r="LCW3002" s="125"/>
      <c r="LCX3002" s="470"/>
      <c r="LCY3002" s="449"/>
      <c r="LCZ3002" s="462"/>
      <c r="LDA3002" s="299"/>
      <c r="LDB3002" s="81"/>
      <c r="LDC3002" s="160"/>
      <c r="LDD3002" s="574"/>
      <c r="LDE3002" s="125"/>
      <c r="LDF3002" s="470"/>
      <c r="LDG3002" s="449"/>
      <c r="LDH3002" s="462"/>
      <c r="LDI3002" s="299"/>
      <c r="LDJ3002" s="81"/>
      <c r="LDK3002" s="160"/>
      <c r="LDL3002" s="574"/>
      <c r="LDM3002" s="125"/>
      <c r="LDN3002" s="470"/>
      <c r="LDO3002" s="449"/>
      <c r="LDP3002" s="462"/>
      <c r="LDQ3002" s="299"/>
      <c r="LDR3002" s="81"/>
      <c r="LDS3002" s="160"/>
      <c r="LDT3002" s="574"/>
      <c r="LDU3002" s="125"/>
      <c r="LDV3002" s="470"/>
      <c r="LDW3002" s="449"/>
      <c r="LDX3002" s="462"/>
      <c r="LDY3002" s="299"/>
      <c r="LDZ3002" s="81"/>
      <c r="LEA3002" s="160"/>
      <c r="LEB3002" s="574"/>
      <c r="LEC3002" s="125"/>
      <c r="LED3002" s="470"/>
      <c r="LEE3002" s="449"/>
      <c r="LEF3002" s="462"/>
      <c r="LEG3002" s="299"/>
      <c r="LEH3002" s="81"/>
      <c r="LEI3002" s="160"/>
      <c r="LEJ3002" s="574"/>
      <c r="LEK3002" s="125"/>
      <c r="LEL3002" s="470"/>
      <c r="LEM3002" s="449"/>
      <c r="LEN3002" s="462"/>
      <c r="LEO3002" s="299"/>
      <c r="LEP3002" s="81"/>
      <c r="LEQ3002" s="160"/>
      <c r="LER3002" s="574"/>
      <c r="LES3002" s="125"/>
      <c r="LET3002" s="470"/>
      <c r="LEU3002" s="449"/>
      <c r="LEV3002" s="462"/>
      <c r="LEW3002" s="299"/>
      <c r="LEX3002" s="81"/>
      <c r="LEY3002" s="160"/>
      <c r="LEZ3002" s="574"/>
      <c r="LFA3002" s="125"/>
      <c r="LFB3002" s="470"/>
      <c r="LFC3002" s="449"/>
      <c r="LFD3002" s="462"/>
      <c r="LFE3002" s="299"/>
      <c r="LFF3002" s="81"/>
      <c r="LFG3002" s="160"/>
      <c r="LFH3002" s="574"/>
      <c r="LFI3002" s="125"/>
      <c r="LFJ3002" s="470"/>
      <c r="LFK3002" s="449"/>
      <c r="LFL3002" s="462"/>
      <c r="LFM3002" s="299"/>
      <c r="LFN3002" s="81"/>
      <c r="LFO3002" s="160"/>
      <c r="LFP3002" s="574"/>
      <c r="LFQ3002" s="125"/>
      <c r="LFR3002" s="470"/>
      <c r="LFS3002" s="449"/>
      <c r="LFT3002" s="462"/>
      <c r="LFU3002" s="299"/>
      <c r="LFV3002" s="81"/>
      <c r="LFW3002" s="160"/>
      <c r="LFX3002" s="574"/>
      <c r="LFY3002" s="125"/>
      <c r="LFZ3002" s="470"/>
      <c r="LGA3002" s="449"/>
      <c r="LGB3002" s="462"/>
      <c r="LGC3002" s="299"/>
      <c r="LGD3002" s="81"/>
      <c r="LGE3002" s="160"/>
      <c r="LGF3002" s="574"/>
      <c r="LGG3002" s="125"/>
      <c r="LGH3002" s="470"/>
      <c r="LGI3002" s="449"/>
      <c r="LGJ3002" s="462"/>
      <c r="LGK3002" s="299"/>
      <c r="LGL3002" s="81"/>
      <c r="LGM3002" s="160"/>
      <c r="LGN3002" s="574"/>
      <c r="LGO3002" s="125"/>
      <c r="LGP3002" s="470"/>
      <c r="LGQ3002" s="449"/>
      <c r="LGR3002" s="462"/>
      <c r="LGS3002" s="299"/>
      <c r="LGT3002" s="81"/>
      <c r="LGU3002" s="160"/>
      <c r="LGV3002" s="574"/>
      <c r="LGW3002" s="125"/>
      <c r="LGX3002" s="470"/>
      <c r="LGY3002" s="449"/>
      <c r="LGZ3002" s="462"/>
      <c r="LHA3002" s="299"/>
      <c r="LHB3002" s="81"/>
      <c r="LHC3002" s="160"/>
      <c r="LHD3002" s="574"/>
      <c r="LHE3002" s="125"/>
      <c r="LHF3002" s="470"/>
      <c r="LHG3002" s="449"/>
      <c r="LHH3002" s="462"/>
      <c r="LHI3002" s="299"/>
      <c r="LHJ3002" s="81"/>
      <c r="LHK3002" s="160"/>
      <c r="LHL3002" s="574"/>
      <c r="LHM3002" s="125"/>
      <c r="LHN3002" s="470"/>
      <c r="LHO3002" s="449"/>
      <c r="LHP3002" s="462"/>
      <c r="LHQ3002" s="299"/>
      <c r="LHR3002" s="81"/>
      <c r="LHS3002" s="160"/>
      <c r="LHT3002" s="574"/>
      <c r="LHU3002" s="125"/>
      <c r="LHV3002" s="470"/>
      <c r="LHW3002" s="449"/>
      <c r="LHX3002" s="462"/>
      <c r="LHY3002" s="299"/>
      <c r="LHZ3002" s="81"/>
      <c r="LIA3002" s="160"/>
      <c r="LIB3002" s="574"/>
      <c r="LIC3002" s="125"/>
      <c r="LID3002" s="470"/>
      <c r="LIE3002" s="449"/>
      <c r="LIF3002" s="462"/>
      <c r="LIG3002" s="299"/>
      <c r="LIH3002" s="81"/>
      <c r="LII3002" s="160"/>
      <c r="LIJ3002" s="574"/>
      <c r="LIK3002" s="125"/>
      <c r="LIL3002" s="470"/>
      <c r="LIM3002" s="449"/>
      <c r="LIN3002" s="462"/>
      <c r="LIO3002" s="299"/>
      <c r="LIP3002" s="81"/>
      <c r="LIQ3002" s="160"/>
      <c r="LIR3002" s="574"/>
      <c r="LIS3002" s="125"/>
      <c r="LIT3002" s="470"/>
      <c r="LIU3002" s="449"/>
      <c r="LIV3002" s="462"/>
      <c r="LIW3002" s="299"/>
      <c r="LIX3002" s="81"/>
      <c r="LIY3002" s="160"/>
      <c r="LIZ3002" s="574"/>
      <c r="LJA3002" s="125"/>
      <c r="LJB3002" s="470"/>
      <c r="LJC3002" s="449"/>
      <c r="LJD3002" s="462"/>
      <c r="LJE3002" s="299"/>
      <c r="LJF3002" s="81"/>
      <c r="LJG3002" s="160"/>
      <c r="LJH3002" s="574"/>
      <c r="LJI3002" s="125"/>
      <c r="LJJ3002" s="470"/>
      <c r="LJK3002" s="449"/>
      <c r="LJL3002" s="462"/>
      <c r="LJM3002" s="299"/>
      <c r="LJN3002" s="81"/>
      <c r="LJO3002" s="160"/>
      <c r="LJP3002" s="574"/>
      <c r="LJQ3002" s="125"/>
      <c r="LJR3002" s="470"/>
      <c r="LJS3002" s="449"/>
      <c r="LJT3002" s="462"/>
      <c r="LJU3002" s="299"/>
      <c r="LJV3002" s="81"/>
      <c r="LJW3002" s="160"/>
      <c r="LJX3002" s="574"/>
      <c r="LJY3002" s="125"/>
      <c r="LJZ3002" s="470"/>
      <c r="LKA3002" s="449"/>
      <c r="LKB3002" s="462"/>
      <c r="LKC3002" s="299"/>
      <c r="LKD3002" s="81"/>
      <c r="LKE3002" s="160"/>
      <c r="LKF3002" s="574"/>
      <c r="LKG3002" s="125"/>
      <c r="LKH3002" s="470"/>
      <c r="LKI3002" s="449"/>
      <c r="LKJ3002" s="462"/>
      <c r="LKK3002" s="299"/>
      <c r="LKL3002" s="81"/>
      <c r="LKM3002" s="160"/>
      <c r="LKN3002" s="574"/>
      <c r="LKO3002" s="125"/>
      <c r="LKP3002" s="470"/>
      <c r="LKQ3002" s="449"/>
      <c r="LKR3002" s="462"/>
      <c r="LKS3002" s="299"/>
      <c r="LKT3002" s="81"/>
      <c r="LKU3002" s="160"/>
      <c r="LKV3002" s="574"/>
      <c r="LKW3002" s="125"/>
      <c r="LKX3002" s="470"/>
      <c r="LKY3002" s="449"/>
      <c r="LKZ3002" s="462"/>
      <c r="LLA3002" s="299"/>
      <c r="LLB3002" s="81"/>
      <c r="LLC3002" s="160"/>
      <c r="LLD3002" s="574"/>
      <c r="LLE3002" s="125"/>
      <c r="LLF3002" s="470"/>
      <c r="LLG3002" s="449"/>
      <c r="LLH3002" s="462"/>
      <c r="LLI3002" s="299"/>
      <c r="LLJ3002" s="81"/>
      <c r="LLK3002" s="160"/>
      <c r="LLL3002" s="574"/>
      <c r="LLM3002" s="125"/>
      <c r="LLN3002" s="470"/>
      <c r="LLO3002" s="449"/>
      <c r="LLP3002" s="462"/>
      <c r="LLQ3002" s="299"/>
      <c r="LLR3002" s="81"/>
      <c r="LLS3002" s="160"/>
      <c r="LLT3002" s="574"/>
      <c r="LLU3002" s="125"/>
      <c r="LLV3002" s="470"/>
      <c r="LLW3002" s="449"/>
      <c r="LLX3002" s="462"/>
      <c r="LLY3002" s="299"/>
      <c r="LLZ3002" s="81"/>
      <c r="LMA3002" s="160"/>
      <c r="LMB3002" s="574"/>
      <c r="LMC3002" s="125"/>
      <c r="LMD3002" s="470"/>
      <c r="LME3002" s="449"/>
      <c r="LMF3002" s="462"/>
      <c r="LMG3002" s="299"/>
      <c r="LMH3002" s="81"/>
      <c r="LMI3002" s="160"/>
      <c r="LMJ3002" s="574"/>
      <c r="LMK3002" s="125"/>
      <c r="LML3002" s="470"/>
      <c r="LMM3002" s="449"/>
      <c r="LMN3002" s="462"/>
      <c r="LMO3002" s="299"/>
      <c r="LMP3002" s="81"/>
      <c r="LMQ3002" s="160"/>
      <c r="LMR3002" s="574"/>
      <c r="LMS3002" s="125"/>
      <c r="LMT3002" s="470"/>
      <c r="LMU3002" s="449"/>
      <c r="LMV3002" s="462"/>
      <c r="LMW3002" s="299"/>
      <c r="LMX3002" s="81"/>
      <c r="LMY3002" s="160"/>
      <c r="LMZ3002" s="574"/>
      <c r="LNA3002" s="125"/>
      <c r="LNB3002" s="470"/>
      <c r="LNC3002" s="449"/>
      <c r="LND3002" s="462"/>
      <c r="LNE3002" s="299"/>
      <c r="LNF3002" s="81"/>
      <c r="LNG3002" s="160"/>
      <c r="LNH3002" s="574"/>
      <c r="LNI3002" s="125"/>
      <c r="LNJ3002" s="470"/>
      <c r="LNK3002" s="449"/>
      <c r="LNL3002" s="462"/>
      <c r="LNM3002" s="299"/>
      <c r="LNN3002" s="81"/>
      <c r="LNO3002" s="160"/>
      <c r="LNP3002" s="574"/>
      <c r="LNQ3002" s="125"/>
      <c r="LNR3002" s="470"/>
      <c r="LNS3002" s="449"/>
      <c r="LNT3002" s="462"/>
      <c r="LNU3002" s="299"/>
      <c r="LNV3002" s="81"/>
      <c r="LNW3002" s="160"/>
      <c r="LNX3002" s="574"/>
      <c r="LNY3002" s="125"/>
      <c r="LNZ3002" s="470"/>
      <c r="LOA3002" s="449"/>
      <c r="LOB3002" s="462"/>
      <c r="LOC3002" s="299"/>
      <c r="LOD3002" s="81"/>
      <c r="LOE3002" s="160"/>
      <c r="LOF3002" s="574"/>
      <c r="LOG3002" s="125"/>
      <c r="LOH3002" s="470"/>
      <c r="LOI3002" s="449"/>
      <c r="LOJ3002" s="462"/>
      <c r="LOK3002" s="299"/>
      <c r="LOL3002" s="81"/>
      <c r="LOM3002" s="160"/>
      <c r="LON3002" s="574"/>
      <c r="LOO3002" s="125"/>
      <c r="LOP3002" s="470"/>
      <c r="LOQ3002" s="449"/>
      <c r="LOR3002" s="462"/>
      <c r="LOS3002" s="299"/>
      <c r="LOT3002" s="81"/>
      <c r="LOU3002" s="160"/>
      <c r="LOV3002" s="574"/>
      <c r="LOW3002" s="125"/>
      <c r="LOX3002" s="470"/>
      <c r="LOY3002" s="449"/>
      <c r="LOZ3002" s="462"/>
      <c r="LPA3002" s="299"/>
      <c r="LPB3002" s="81"/>
      <c r="LPC3002" s="160"/>
      <c r="LPD3002" s="574"/>
      <c r="LPE3002" s="125"/>
      <c r="LPF3002" s="470"/>
      <c r="LPG3002" s="449"/>
      <c r="LPH3002" s="462"/>
      <c r="LPI3002" s="299"/>
      <c r="LPJ3002" s="81"/>
      <c r="LPK3002" s="160"/>
      <c r="LPL3002" s="574"/>
      <c r="LPM3002" s="125"/>
      <c r="LPN3002" s="470"/>
      <c r="LPO3002" s="449"/>
      <c r="LPP3002" s="462"/>
      <c r="LPQ3002" s="299"/>
      <c r="LPR3002" s="81"/>
      <c r="LPS3002" s="160"/>
      <c r="LPT3002" s="574"/>
      <c r="LPU3002" s="125"/>
      <c r="LPV3002" s="470"/>
      <c r="LPW3002" s="449"/>
      <c r="LPX3002" s="462"/>
      <c r="LPY3002" s="299"/>
      <c r="LPZ3002" s="81"/>
      <c r="LQA3002" s="160"/>
      <c r="LQB3002" s="574"/>
      <c r="LQC3002" s="125"/>
      <c r="LQD3002" s="470"/>
      <c r="LQE3002" s="449"/>
      <c r="LQF3002" s="462"/>
      <c r="LQG3002" s="299"/>
      <c r="LQH3002" s="81"/>
      <c r="LQI3002" s="160"/>
      <c r="LQJ3002" s="574"/>
      <c r="LQK3002" s="125"/>
      <c r="LQL3002" s="470"/>
      <c r="LQM3002" s="449"/>
      <c r="LQN3002" s="462"/>
      <c r="LQO3002" s="299"/>
      <c r="LQP3002" s="81"/>
      <c r="LQQ3002" s="160"/>
      <c r="LQR3002" s="574"/>
      <c r="LQS3002" s="125"/>
      <c r="LQT3002" s="470"/>
      <c r="LQU3002" s="449"/>
      <c r="LQV3002" s="462"/>
      <c r="LQW3002" s="299"/>
      <c r="LQX3002" s="81"/>
      <c r="LQY3002" s="160"/>
      <c r="LQZ3002" s="574"/>
      <c r="LRA3002" s="125"/>
      <c r="LRB3002" s="470"/>
      <c r="LRC3002" s="449"/>
      <c r="LRD3002" s="462"/>
      <c r="LRE3002" s="299"/>
      <c r="LRF3002" s="81"/>
      <c r="LRG3002" s="160"/>
      <c r="LRH3002" s="574"/>
      <c r="LRI3002" s="125"/>
      <c r="LRJ3002" s="470"/>
      <c r="LRK3002" s="449"/>
      <c r="LRL3002" s="462"/>
      <c r="LRM3002" s="299"/>
      <c r="LRN3002" s="81"/>
      <c r="LRO3002" s="160"/>
      <c r="LRP3002" s="574"/>
      <c r="LRQ3002" s="125"/>
      <c r="LRR3002" s="470"/>
      <c r="LRS3002" s="449"/>
      <c r="LRT3002" s="462"/>
      <c r="LRU3002" s="299"/>
      <c r="LRV3002" s="81"/>
      <c r="LRW3002" s="160"/>
      <c r="LRX3002" s="574"/>
      <c r="LRY3002" s="125"/>
      <c r="LRZ3002" s="470"/>
      <c r="LSA3002" s="449"/>
      <c r="LSB3002" s="462"/>
      <c r="LSC3002" s="299"/>
      <c r="LSD3002" s="81"/>
      <c r="LSE3002" s="160"/>
      <c r="LSF3002" s="574"/>
      <c r="LSG3002" s="125"/>
      <c r="LSH3002" s="470"/>
      <c r="LSI3002" s="449"/>
      <c r="LSJ3002" s="462"/>
      <c r="LSK3002" s="299"/>
      <c r="LSL3002" s="81"/>
      <c r="LSM3002" s="160"/>
      <c r="LSN3002" s="574"/>
      <c r="LSO3002" s="125"/>
      <c r="LSP3002" s="470"/>
      <c r="LSQ3002" s="449"/>
      <c r="LSR3002" s="462"/>
      <c r="LSS3002" s="299"/>
      <c r="LST3002" s="81"/>
      <c r="LSU3002" s="160"/>
      <c r="LSV3002" s="574"/>
      <c r="LSW3002" s="125"/>
      <c r="LSX3002" s="470"/>
      <c r="LSY3002" s="449"/>
      <c r="LSZ3002" s="462"/>
      <c r="LTA3002" s="299"/>
      <c r="LTB3002" s="81"/>
      <c r="LTC3002" s="160"/>
      <c r="LTD3002" s="574"/>
      <c r="LTE3002" s="125"/>
      <c r="LTF3002" s="470"/>
      <c r="LTG3002" s="449"/>
      <c r="LTH3002" s="462"/>
      <c r="LTI3002" s="299"/>
      <c r="LTJ3002" s="81"/>
      <c r="LTK3002" s="160"/>
      <c r="LTL3002" s="574"/>
      <c r="LTM3002" s="125"/>
      <c r="LTN3002" s="470"/>
      <c r="LTO3002" s="449"/>
      <c r="LTP3002" s="462"/>
      <c r="LTQ3002" s="299"/>
      <c r="LTR3002" s="81"/>
      <c r="LTS3002" s="160"/>
      <c r="LTT3002" s="574"/>
      <c r="LTU3002" s="125"/>
      <c r="LTV3002" s="470"/>
      <c r="LTW3002" s="449"/>
      <c r="LTX3002" s="462"/>
      <c r="LTY3002" s="299"/>
      <c r="LTZ3002" s="81"/>
      <c r="LUA3002" s="160"/>
      <c r="LUB3002" s="574"/>
      <c r="LUC3002" s="125"/>
      <c r="LUD3002" s="470"/>
      <c r="LUE3002" s="449"/>
      <c r="LUF3002" s="462"/>
      <c r="LUG3002" s="299"/>
      <c r="LUH3002" s="81"/>
      <c r="LUI3002" s="160"/>
      <c r="LUJ3002" s="574"/>
      <c r="LUK3002" s="125"/>
      <c r="LUL3002" s="470"/>
      <c r="LUM3002" s="449"/>
      <c r="LUN3002" s="462"/>
      <c r="LUO3002" s="299"/>
      <c r="LUP3002" s="81"/>
      <c r="LUQ3002" s="160"/>
      <c r="LUR3002" s="574"/>
      <c r="LUS3002" s="125"/>
      <c r="LUT3002" s="470"/>
      <c r="LUU3002" s="449"/>
      <c r="LUV3002" s="462"/>
      <c r="LUW3002" s="299"/>
      <c r="LUX3002" s="81"/>
      <c r="LUY3002" s="160"/>
      <c r="LUZ3002" s="574"/>
      <c r="LVA3002" s="125"/>
      <c r="LVB3002" s="470"/>
      <c r="LVC3002" s="449"/>
      <c r="LVD3002" s="462"/>
      <c r="LVE3002" s="299"/>
      <c r="LVF3002" s="81"/>
      <c r="LVG3002" s="160"/>
      <c r="LVH3002" s="574"/>
      <c r="LVI3002" s="125"/>
      <c r="LVJ3002" s="470"/>
      <c r="LVK3002" s="449"/>
      <c r="LVL3002" s="462"/>
      <c r="LVM3002" s="299"/>
      <c r="LVN3002" s="81"/>
      <c r="LVO3002" s="160"/>
      <c r="LVP3002" s="574"/>
      <c r="LVQ3002" s="125"/>
      <c r="LVR3002" s="470"/>
      <c r="LVS3002" s="449"/>
      <c r="LVT3002" s="462"/>
      <c r="LVU3002" s="299"/>
      <c r="LVV3002" s="81"/>
      <c r="LVW3002" s="160"/>
      <c r="LVX3002" s="574"/>
      <c r="LVY3002" s="125"/>
      <c r="LVZ3002" s="470"/>
      <c r="LWA3002" s="449"/>
      <c r="LWB3002" s="462"/>
      <c r="LWC3002" s="299"/>
      <c r="LWD3002" s="81"/>
      <c r="LWE3002" s="160"/>
      <c r="LWF3002" s="574"/>
      <c r="LWG3002" s="125"/>
      <c r="LWH3002" s="470"/>
      <c r="LWI3002" s="449"/>
      <c r="LWJ3002" s="462"/>
      <c r="LWK3002" s="299"/>
      <c r="LWL3002" s="81"/>
      <c r="LWM3002" s="160"/>
      <c r="LWN3002" s="574"/>
      <c r="LWO3002" s="125"/>
      <c r="LWP3002" s="470"/>
      <c r="LWQ3002" s="449"/>
      <c r="LWR3002" s="462"/>
      <c r="LWS3002" s="299"/>
      <c r="LWT3002" s="81"/>
      <c r="LWU3002" s="160"/>
      <c r="LWV3002" s="574"/>
      <c r="LWW3002" s="125"/>
      <c r="LWX3002" s="470"/>
      <c r="LWY3002" s="449"/>
      <c r="LWZ3002" s="462"/>
      <c r="LXA3002" s="299"/>
      <c r="LXB3002" s="81"/>
      <c r="LXC3002" s="160"/>
      <c r="LXD3002" s="574"/>
      <c r="LXE3002" s="125"/>
      <c r="LXF3002" s="470"/>
      <c r="LXG3002" s="449"/>
      <c r="LXH3002" s="462"/>
      <c r="LXI3002" s="299"/>
      <c r="LXJ3002" s="81"/>
      <c r="LXK3002" s="160"/>
      <c r="LXL3002" s="574"/>
      <c r="LXM3002" s="125"/>
      <c r="LXN3002" s="470"/>
      <c r="LXO3002" s="449"/>
      <c r="LXP3002" s="462"/>
      <c r="LXQ3002" s="299"/>
      <c r="LXR3002" s="81"/>
      <c r="LXS3002" s="160"/>
      <c r="LXT3002" s="574"/>
      <c r="LXU3002" s="125"/>
      <c r="LXV3002" s="470"/>
      <c r="LXW3002" s="449"/>
      <c r="LXX3002" s="462"/>
      <c r="LXY3002" s="299"/>
      <c r="LXZ3002" s="81"/>
      <c r="LYA3002" s="160"/>
      <c r="LYB3002" s="574"/>
      <c r="LYC3002" s="125"/>
      <c r="LYD3002" s="470"/>
      <c r="LYE3002" s="449"/>
      <c r="LYF3002" s="462"/>
      <c r="LYG3002" s="299"/>
      <c r="LYH3002" s="81"/>
      <c r="LYI3002" s="160"/>
      <c r="LYJ3002" s="574"/>
      <c r="LYK3002" s="125"/>
      <c r="LYL3002" s="470"/>
      <c r="LYM3002" s="449"/>
      <c r="LYN3002" s="462"/>
      <c r="LYO3002" s="299"/>
      <c r="LYP3002" s="81"/>
      <c r="LYQ3002" s="160"/>
      <c r="LYR3002" s="574"/>
      <c r="LYS3002" s="125"/>
      <c r="LYT3002" s="470"/>
      <c r="LYU3002" s="449"/>
      <c r="LYV3002" s="462"/>
      <c r="LYW3002" s="299"/>
      <c r="LYX3002" s="81"/>
      <c r="LYY3002" s="160"/>
      <c r="LYZ3002" s="574"/>
      <c r="LZA3002" s="125"/>
      <c r="LZB3002" s="470"/>
      <c r="LZC3002" s="449"/>
      <c r="LZD3002" s="462"/>
      <c r="LZE3002" s="299"/>
      <c r="LZF3002" s="81"/>
      <c r="LZG3002" s="160"/>
      <c r="LZH3002" s="574"/>
      <c r="LZI3002" s="125"/>
      <c r="LZJ3002" s="470"/>
      <c r="LZK3002" s="449"/>
      <c r="LZL3002" s="462"/>
      <c r="LZM3002" s="299"/>
      <c r="LZN3002" s="81"/>
      <c r="LZO3002" s="160"/>
      <c r="LZP3002" s="574"/>
      <c r="LZQ3002" s="125"/>
      <c r="LZR3002" s="470"/>
      <c r="LZS3002" s="449"/>
      <c r="LZT3002" s="462"/>
      <c r="LZU3002" s="299"/>
      <c r="LZV3002" s="81"/>
      <c r="LZW3002" s="160"/>
      <c r="LZX3002" s="574"/>
      <c r="LZY3002" s="125"/>
      <c r="LZZ3002" s="470"/>
      <c r="MAA3002" s="449"/>
      <c r="MAB3002" s="462"/>
      <c r="MAC3002" s="299"/>
      <c r="MAD3002" s="81"/>
      <c r="MAE3002" s="160"/>
      <c r="MAF3002" s="574"/>
      <c r="MAG3002" s="125"/>
      <c r="MAH3002" s="470"/>
      <c r="MAI3002" s="449"/>
      <c r="MAJ3002" s="462"/>
      <c r="MAK3002" s="299"/>
      <c r="MAL3002" s="81"/>
      <c r="MAM3002" s="160"/>
      <c r="MAN3002" s="574"/>
      <c r="MAO3002" s="125"/>
      <c r="MAP3002" s="470"/>
      <c r="MAQ3002" s="449"/>
      <c r="MAR3002" s="462"/>
      <c r="MAS3002" s="299"/>
      <c r="MAT3002" s="81"/>
      <c r="MAU3002" s="160"/>
      <c r="MAV3002" s="574"/>
      <c r="MAW3002" s="125"/>
      <c r="MAX3002" s="470"/>
      <c r="MAY3002" s="449"/>
      <c r="MAZ3002" s="462"/>
      <c r="MBA3002" s="299"/>
      <c r="MBB3002" s="81"/>
      <c r="MBC3002" s="160"/>
      <c r="MBD3002" s="574"/>
      <c r="MBE3002" s="125"/>
      <c r="MBF3002" s="470"/>
      <c r="MBG3002" s="449"/>
      <c r="MBH3002" s="462"/>
      <c r="MBI3002" s="299"/>
      <c r="MBJ3002" s="81"/>
      <c r="MBK3002" s="160"/>
      <c r="MBL3002" s="574"/>
      <c r="MBM3002" s="125"/>
      <c r="MBN3002" s="470"/>
      <c r="MBO3002" s="449"/>
      <c r="MBP3002" s="462"/>
      <c r="MBQ3002" s="299"/>
      <c r="MBR3002" s="81"/>
      <c r="MBS3002" s="160"/>
      <c r="MBT3002" s="574"/>
      <c r="MBU3002" s="125"/>
      <c r="MBV3002" s="470"/>
      <c r="MBW3002" s="449"/>
      <c r="MBX3002" s="462"/>
      <c r="MBY3002" s="299"/>
      <c r="MBZ3002" s="81"/>
      <c r="MCA3002" s="160"/>
      <c r="MCB3002" s="574"/>
      <c r="MCC3002" s="125"/>
      <c r="MCD3002" s="470"/>
      <c r="MCE3002" s="449"/>
      <c r="MCF3002" s="462"/>
      <c r="MCG3002" s="299"/>
      <c r="MCH3002" s="81"/>
      <c r="MCI3002" s="160"/>
      <c r="MCJ3002" s="574"/>
      <c r="MCK3002" s="125"/>
      <c r="MCL3002" s="470"/>
      <c r="MCM3002" s="449"/>
      <c r="MCN3002" s="462"/>
      <c r="MCO3002" s="299"/>
      <c r="MCP3002" s="81"/>
      <c r="MCQ3002" s="160"/>
      <c r="MCR3002" s="574"/>
      <c r="MCS3002" s="125"/>
      <c r="MCT3002" s="470"/>
      <c r="MCU3002" s="449"/>
      <c r="MCV3002" s="462"/>
      <c r="MCW3002" s="299"/>
      <c r="MCX3002" s="81"/>
      <c r="MCY3002" s="160"/>
      <c r="MCZ3002" s="574"/>
      <c r="MDA3002" s="125"/>
      <c r="MDB3002" s="470"/>
      <c r="MDC3002" s="449"/>
      <c r="MDD3002" s="462"/>
      <c r="MDE3002" s="299"/>
      <c r="MDF3002" s="81"/>
      <c r="MDG3002" s="160"/>
      <c r="MDH3002" s="574"/>
      <c r="MDI3002" s="125"/>
      <c r="MDJ3002" s="470"/>
      <c r="MDK3002" s="449"/>
      <c r="MDL3002" s="462"/>
      <c r="MDM3002" s="299"/>
      <c r="MDN3002" s="81"/>
      <c r="MDO3002" s="160"/>
      <c r="MDP3002" s="574"/>
      <c r="MDQ3002" s="125"/>
      <c r="MDR3002" s="470"/>
      <c r="MDS3002" s="449"/>
      <c r="MDT3002" s="462"/>
      <c r="MDU3002" s="299"/>
      <c r="MDV3002" s="81"/>
      <c r="MDW3002" s="160"/>
      <c r="MDX3002" s="574"/>
      <c r="MDY3002" s="125"/>
      <c r="MDZ3002" s="470"/>
      <c r="MEA3002" s="449"/>
      <c r="MEB3002" s="462"/>
      <c r="MEC3002" s="299"/>
      <c r="MED3002" s="81"/>
      <c r="MEE3002" s="160"/>
      <c r="MEF3002" s="574"/>
      <c r="MEG3002" s="125"/>
      <c r="MEH3002" s="470"/>
      <c r="MEI3002" s="449"/>
      <c r="MEJ3002" s="462"/>
      <c r="MEK3002" s="299"/>
      <c r="MEL3002" s="81"/>
      <c r="MEM3002" s="160"/>
      <c r="MEN3002" s="574"/>
      <c r="MEO3002" s="125"/>
      <c r="MEP3002" s="470"/>
      <c r="MEQ3002" s="449"/>
      <c r="MER3002" s="462"/>
      <c r="MES3002" s="299"/>
      <c r="MET3002" s="81"/>
      <c r="MEU3002" s="160"/>
      <c r="MEV3002" s="574"/>
      <c r="MEW3002" s="125"/>
      <c r="MEX3002" s="470"/>
      <c r="MEY3002" s="449"/>
      <c r="MEZ3002" s="462"/>
      <c r="MFA3002" s="299"/>
      <c r="MFB3002" s="81"/>
      <c r="MFC3002" s="160"/>
      <c r="MFD3002" s="574"/>
      <c r="MFE3002" s="125"/>
      <c r="MFF3002" s="470"/>
      <c r="MFG3002" s="449"/>
      <c r="MFH3002" s="462"/>
      <c r="MFI3002" s="299"/>
      <c r="MFJ3002" s="81"/>
      <c r="MFK3002" s="160"/>
      <c r="MFL3002" s="574"/>
      <c r="MFM3002" s="125"/>
      <c r="MFN3002" s="470"/>
      <c r="MFO3002" s="449"/>
      <c r="MFP3002" s="462"/>
      <c r="MFQ3002" s="299"/>
      <c r="MFR3002" s="81"/>
      <c r="MFS3002" s="160"/>
      <c r="MFT3002" s="574"/>
      <c r="MFU3002" s="125"/>
      <c r="MFV3002" s="470"/>
      <c r="MFW3002" s="449"/>
      <c r="MFX3002" s="462"/>
      <c r="MFY3002" s="299"/>
      <c r="MFZ3002" s="81"/>
      <c r="MGA3002" s="160"/>
      <c r="MGB3002" s="574"/>
      <c r="MGC3002" s="125"/>
      <c r="MGD3002" s="470"/>
      <c r="MGE3002" s="449"/>
      <c r="MGF3002" s="462"/>
      <c r="MGG3002" s="299"/>
      <c r="MGH3002" s="81"/>
      <c r="MGI3002" s="160"/>
      <c r="MGJ3002" s="574"/>
      <c r="MGK3002" s="125"/>
      <c r="MGL3002" s="470"/>
      <c r="MGM3002" s="449"/>
      <c r="MGN3002" s="462"/>
      <c r="MGO3002" s="299"/>
      <c r="MGP3002" s="81"/>
      <c r="MGQ3002" s="160"/>
      <c r="MGR3002" s="574"/>
      <c r="MGS3002" s="125"/>
      <c r="MGT3002" s="470"/>
      <c r="MGU3002" s="449"/>
      <c r="MGV3002" s="462"/>
      <c r="MGW3002" s="299"/>
      <c r="MGX3002" s="81"/>
      <c r="MGY3002" s="160"/>
      <c r="MGZ3002" s="574"/>
      <c r="MHA3002" s="125"/>
      <c r="MHB3002" s="470"/>
      <c r="MHC3002" s="449"/>
      <c r="MHD3002" s="462"/>
      <c r="MHE3002" s="299"/>
      <c r="MHF3002" s="81"/>
      <c r="MHG3002" s="160"/>
      <c r="MHH3002" s="574"/>
      <c r="MHI3002" s="125"/>
      <c r="MHJ3002" s="470"/>
      <c r="MHK3002" s="449"/>
      <c r="MHL3002" s="462"/>
      <c r="MHM3002" s="299"/>
      <c r="MHN3002" s="81"/>
      <c r="MHO3002" s="160"/>
      <c r="MHP3002" s="574"/>
      <c r="MHQ3002" s="125"/>
      <c r="MHR3002" s="470"/>
      <c r="MHS3002" s="449"/>
      <c r="MHT3002" s="462"/>
      <c r="MHU3002" s="299"/>
      <c r="MHV3002" s="81"/>
      <c r="MHW3002" s="160"/>
      <c r="MHX3002" s="574"/>
      <c r="MHY3002" s="125"/>
      <c r="MHZ3002" s="470"/>
      <c r="MIA3002" s="449"/>
      <c r="MIB3002" s="462"/>
      <c r="MIC3002" s="299"/>
      <c r="MID3002" s="81"/>
      <c r="MIE3002" s="160"/>
      <c r="MIF3002" s="574"/>
      <c r="MIG3002" s="125"/>
      <c r="MIH3002" s="470"/>
      <c r="MII3002" s="449"/>
      <c r="MIJ3002" s="462"/>
      <c r="MIK3002" s="299"/>
      <c r="MIL3002" s="81"/>
      <c r="MIM3002" s="160"/>
      <c r="MIN3002" s="574"/>
      <c r="MIO3002" s="125"/>
      <c r="MIP3002" s="470"/>
      <c r="MIQ3002" s="449"/>
      <c r="MIR3002" s="462"/>
      <c r="MIS3002" s="299"/>
      <c r="MIT3002" s="81"/>
      <c r="MIU3002" s="160"/>
      <c r="MIV3002" s="574"/>
      <c r="MIW3002" s="125"/>
      <c r="MIX3002" s="470"/>
      <c r="MIY3002" s="449"/>
      <c r="MIZ3002" s="462"/>
      <c r="MJA3002" s="299"/>
      <c r="MJB3002" s="81"/>
      <c r="MJC3002" s="160"/>
      <c r="MJD3002" s="574"/>
      <c r="MJE3002" s="125"/>
      <c r="MJF3002" s="470"/>
      <c r="MJG3002" s="449"/>
      <c r="MJH3002" s="462"/>
      <c r="MJI3002" s="299"/>
      <c r="MJJ3002" s="81"/>
      <c r="MJK3002" s="160"/>
      <c r="MJL3002" s="574"/>
      <c r="MJM3002" s="125"/>
      <c r="MJN3002" s="470"/>
      <c r="MJO3002" s="449"/>
      <c r="MJP3002" s="462"/>
      <c r="MJQ3002" s="299"/>
      <c r="MJR3002" s="81"/>
      <c r="MJS3002" s="160"/>
      <c r="MJT3002" s="574"/>
      <c r="MJU3002" s="125"/>
      <c r="MJV3002" s="470"/>
      <c r="MJW3002" s="449"/>
      <c r="MJX3002" s="462"/>
      <c r="MJY3002" s="299"/>
      <c r="MJZ3002" s="81"/>
      <c r="MKA3002" s="160"/>
      <c r="MKB3002" s="574"/>
      <c r="MKC3002" s="125"/>
      <c r="MKD3002" s="470"/>
      <c r="MKE3002" s="449"/>
      <c r="MKF3002" s="462"/>
      <c r="MKG3002" s="299"/>
      <c r="MKH3002" s="81"/>
      <c r="MKI3002" s="160"/>
      <c r="MKJ3002" s="574"/>
      <c r="MKK3002" s="125"/>
      <c r="MKL3002" s="470"/>
      <c r="MKM3002" s="449"/>
      <c r="MKN3002" s="462"/>
      <c r="MKO3002" s="299"/>
      <c r="MKP3002" s="81"/>
      <c r="MKQ3002" s="160"/>
      <c r="MKR3002" s="574"/>
      <c r="MKS3002" s="125"/>
      <c r="MKT3002" s="470"/>
      <c r="MKU3002" s="449"/>
      <c r="MKV3002" s="462"/>
      <c r="MKW3002" s="299"/>
      <c r="MKX3002" s="81"/>
      <c r="MKY3002" s="160"/>
      <c r="MKZ3002" s="574"/>
      <c r="MLA3002" s="125"/>
      <c r="MLB3002" s="470"/>
      <c r="MLC3002" s="449"/>
      <c r="MLD3002" s="462"/>
      <c r="MLE3002" s="299"/>
      <c r="MLF3002" s="81"/>
      <c r="MLG3002" s="160"/>
      <c r="MLH3002" s="574"/>
      <c r="MLI3002" s="125"/>
      <c r="MLJ3002" s="470"/>
      <c r="MLK3002" s="449"/>
      <c r="MLL3002" s="462"/>
      <c r="MLM3002" s="299"/>
      <c r="MLN3002" s="81"/>
      <c r="MLO3002" s="160"/>
      <c r="MLP3002" s="574"/>
      <c r="MLQ3002" s="125"/>
      <c r="MLR3002" s="470"/>
      <c r="MLS3002" s="449"/>
      <c r="MLT3002" s="462"/>
      <c r="MLU3002" s="299"/>
      <c r="MLV3002" s="81"/>
      <c r="MLW3002" s="160"/>
      <c r="MLX3002" s="574"/>
      <c r="MLY3002" s="125"/>
      <c r="MLZ3002" s="470"/>
      <c r="MMA3002" s="449"/>
      <c r="MMB3002" s="462"/>
      <c r="MMC3002" s="299"/>
      <c r="MMD3002" s="81"/>
      <c r="MME3002" s="160"/>
      <c r="MMF3002" s="574"/>
      <c r="MMG3002" s="125"/>
      <c r="MMH3002" s="470"/>
      <c r="MMI3002" s="449"/>
      <c r="MMJ3002" s="462"/>
      <c r="MMK3002" s="299"/>
      <c r="MML3002" s="81"/>
      <c r="MMM3002" s="160"/>
      <c r="MMN3002" s="574"/>
      <c r="MMO3002" s="125"/>
      <c r="MMP3002" s="470"/>
      <c r="MMQ3002" s="449"/>
      <c r="MMR3002" s="462"/>
      <c r="MMS3002" s="299"/>
      <c r="MMT3002" s="81"/>
      <c r="MMU3002" s="160"/>
      <c r="MMV3002" s="574"/>
      <c r="MMW3002" s="125"/>
      <c r="MMX3002" s="470"/>
      <c r="MMY3002" s="449"/>
      <c r="MMZ3002" s="462"/>
      <c r="MNA3002" s="299"/>
      <c r="MNB3002" s="81"/>
      <c r="MNC3002" s="160"/>
      <c r="MND3002" s="574"/>
      <c r="MNE3002" s="125"/>
      <c r="MNF3002" s="470"/>
      <c r="MNG3002" s="449"/>
      <c r="MNH3002" s="462"/>
      <c r="MNI3002" s="299"/>
      <c r="MNJ3002" s="81"/>
      <c r="MNK3002" s="160"/>
      <c r="MNL3002" s="574"/>
      <c r="MNM3002" s="125"/>
      <c r="MNN3002" s="470"/>
      <c r="MNO3002" s="449"/>
      <c r="MNP3002" s="462"/>
      <c r="MNQ3002" s="299"/>
      <c r="MNR3002" s="81"/>
      <c r="MNS3002" s="160"/>
      <c r="MNT3002" s="574"/>
      <c r="MNU3002" s="125"/>
      <c r="MNV3002" s="470"/>
      <c r="MNW3002" s="449"/>
      <c r="MNX3002" s="462"/>
      <c r="MNY3002" s="299"/>
      <c r="MNZ3002" s="81"/>
      <c r="MOA3002" s="160"/>
      <c r="MOB3002" s="574"/>
      <c r="MOC3002" s="125"/>
      <c r="MOD3002" s="470"/>
      <c r="MOE3002" s="449"/>
      <c r="MOF3002" s="462"/>
      <c r="MOG3002" s="299"/>
      <c r="MOH3002" s="81"/>
      <c r="MOI3002" s="160"/>
      <c r="MOJ3002" s="574"/>
      <c r="MOK3002" s="125"/>
      <c r="MOL3002" s="470"/>
      <c r="MOM3002" s="449"/>
      <c r="MON3002" s="462"/>
      <c r="MOO3002" s="299"/>
      <c r="MOP3002" s="81"/>
      <c r="MOQ3002" s="160"/>
      <c r="MOR3002" s="574"/>
      <c r="MOS3002" s="125"/>
      <c r="MOT3002" s="470"/>
      <c r="MOU3002" s="449"/>
      <c r="MOV3002" s="462"/>
      <c r="MOW3002" s="299"/>
      <c r="MOX3002" s="81"/>
      <c r="MOY3002" s="160"/>
      <c r="MOZ3002" s="574"/>
      <c r="MPA3002" s="125"/>
      <c r="MPB3002" s="470"/>
      <c r="MPC3002" s="449"/>
      <c r="MPD3002" s="462"/>
      <c r="MPE3002" s="299"/>
      <c r="MPF3002" s="81"/>
      <c r="MPG3002" s="160"/>
      <c r="MPH3002" s="574"/>
      <c r="MPI3002" s="125"/>
      <c r="MPJ3002" s="470"/>
      <c r="MPK3002" s="449"/>
      <c r="MPL3002" s="462"/>
      <c r="MPM3002" s="299"/>
      <c r="MPN3002" s="81"/>
      <c r="MPO3002" s="160"/>
      <c r="MPP3002" s="574"/>
      <c r="MPQ3002" s="125"/>
      <c r="MPR3002" s="470"/>
      <c r="MPS3002" s="449"/>
      <c r="MPT3002" s="462"/>
      <c r="MPU3002" s="299"/>
      <c r="MPV3002" s="81"/>
      <c r="MPW3002" s="160"/>
      <c r="MPX3002" s="574"/>
      <c r="MPY3002" s="125"/>
      <c r="MPZ3002" s="470"/>
      <c r="MQA3002" s="449"/>
      <c r="MQB3002" s="462"/>
      <c r="MQC3002" s="299"/>
      <c r="MQD3002" s="81"/>
      <c r="MQE3002" s="160"/>
      <c r="MQF3002" s="574"/>
      <c r="MQG3002" s="125"/>
      <c r="MQH3002" s="470"/>
      <c r="MQI3002" s="449"/>
      <c r="MQJ3002" s="462"/>
      <c r="MQK3002" s="299"/>
      <c r="MQL3002" s="81"/>
      <c r="MQM3002" s="160"/>
      <c r="MQN3002" s="574"/>
      <c r="MQO3002" s="125"/>
      <c r="MQP3002" s="470"/>
      <c r="MQQ3002" s="449"/>
      <c r="MQR3002" s="462"/>
      <c r="MQS3002" s="299"/>
      <c r="MQT3002" s="81"/>
      <c r="MQU3002" s="160"/>
      <c r="MQV3002" s="574"/>
      <c r="MQW3002" s="125"/>
      <c r="MQX3002" s="470"/>
      <c r="MQY3002" s="449"/>
      <c r="MQZ3002" s="462"/>
      <c r="MRA3002" s="299"/>
      <c r="MRB3002" s="81"/>
      <c r="MRC3002" s="160"/>
      <c r="MRD3002" s="574"/>
      <c r="MRE3002" s="125"/>
      <c r="MRF3002" s="470"/>
      <c r="MRG3002" s="449"/>
      <c r="MRH3002" s="462"/>
      <c r="MRI3002" s="299"/>
      <c r="MRJ3002" s="81"/>
      <c r="MRK3002" s="160"/>
      <c r="MRL3002" s="574"/>
      <c r="MRM3002" s="125"/>
      <c r="MRN3002" s="470"/>
      <c r="MRO3002" s="449"/>
      <c r="MRP3002" s="462"/>
      <c r="MRQ3002" s="299"/>
      <c r="MRR3002" s="81"/>
      <c r="MRS3002" s="160"/>
      <c r="MRT3002" s="574"/>
      <c r="MRU3002" s="125"/>
      <c r="MRV3002" s="470"/>
      <c r="MRW3002" s="449"/>
      <c r="MRX3002" s="462"/>
      <c r="MRY3002" s="299"/>
      <c r="MRZ3002" s="81"/>
      <c r="MSA3002" s="160"/>
      <c r="MSB3002" s="574"/>
      <c r="MSC3002" s="125"/>
      <c r="MSD3002" s="470"/>
      <c r="MSE3002" s="449"/>
      <c r="MSF3002" s="462"/>
      <c r="MSG3002" s="299"/>
      <c r="MSH3002" s="81"/>
      <c r="MSI3002" s="160"/>
      <c r="MSJ3002" s="574"/>
      <c r="MSK3002" s="125"/>
      <c r="MSL3002" s="470"/>
      <c r="MSM3002" s="449"/>
      <c r="MSN3002" s="462"/>
      <c r="MSO3002" s="299"/>
      <c r="MSP3002" s="81"/>
      <c r="MSQ3002" s="160"/>
      <c r="MSR3002" s="574"/>
      <c r="MSS3002" s="125"/>
      <c r="MST3002" s="470"/>
      <c r="MSU3002" s="449"/>
      <c r="MSV3002" s="462"/>
      <c r="MSW3002" s="299"/>
      <c r="MSX3002" s="81"/>
      <c r="MSY3002" s="160"/>
      <c r="MSZ3002" s="574"/>
      <c r="MTA3002" s="125"/>
      <c r="MTB3002" s="470"/>
      <c r="MTC3002" s="449"/>
      <c r="MTD3002" s="462"/>
      <c r="MTE3002" s="299"/>
      <c r="MTF3002" s="81"/>
      <c r="MTG3002" s="160"/>
      <c r="MTH3002" s="574"/>
      <c r="MTI3002" s="125"/>
      <c r="MTJ3002" s="470"/>
      <c r="MTK3002" s="449"/>
      <c r="MTL3002" s="462"/>
      <c r="MTM3002" s="299"/>
      <c r="MTN3002" s="81"/>
      <c r="MTO3002" s="160"/>
      <c r="MTP3002" s="574"/>
      <c r="MTQ3002" s="125"/>
      <c r="MTR3002" s="470"/>
      <c r="MTS3002" s="449"/>
      <c r="MTT3002" s="462"/>
      <c r="MTU3002" s="299"/>
      <c r="MTV3002" s="81"/>
      <c r="MTW3002" s="160"/>
      <c r="MTX3002" s="574"/>
      <c r="MTY3002" s="125"/>
      <c r="MTZ3002" s="470"/>
      <c r="MUA3002" s="449"/>
      <c r="MUB3002" s="462"/>
      <c r="MUC3002" s="299"/>
      <c r="MUD3002" s="81"/>
      <c r="MUE3002" s="160"/>
      <c r="MUF3002" s="574"/>
      <c r="MUG3002" s="125"/>
      <c r="MUH3002" s="470"/>
      <c r="MUI3002" s="449"/>
      <c r="MUJ3002" s="462"/>
      <c r="MUK3002" s="299"/>
      <c r="MUL3002" s="81"/>
      <c r="MUM3002" s="160"/>
      <c r="MUN3002" s="574"/>
      <c r="MUO3002" s="125"/>
      <c r="MUP3002" s="470"/>
      <c r="MUQ3002" s="449"/>
      <c r="MUR3002" s="462"/>
      <c r="MUS3002" s="299"/>
      <c r="MUT3002" s="81"/>
      <c r="MUU3002" s="160"/>
      <c r="MUV3002" s="574"/>
      <c r="MUW3002" s="125"/>
      <c r="MUX3002" s="470"/>
      <c r="MUY3002" s="449"/>
      <c r="MUZ3002" s="462"/>
      <c r="MVA3002" s="299"/>
      <c r="MVB3002" s="81"/>
      <c r="MVC3002" s="160"/>
      <c r="MVD3002" s="574"/>
      <c r="MVE3002" s="125"/>
      <c r="MVF3002" s="470"/>
      <c r="MVG3002" s="449"/>
      <c r="MVH3002" s="462"/>
      <c r="MVI3002" s="299"/>
      <c r="MVJ3002" s="81"/>
      <c r="MVK3002" s="160"/>
      <c r="MVL3002" s="574"/>
      <c r="MVM3002" s="125"/>
      <c r="MVN3002" s="470"/>
      <c r="MVO3002" s="449"/>
      <c r="MVP3002" s="462"/>
      <c r="MVQ3002" s="299"/>
      <c r="MVR3002" s="81"/>
      <c r="MVS3002" s="160"/>
      <c r="MVT3002" s="574"/>
      <c r="MVU3002" s="125"/>
      <c r="MVV3002" s="470"/>
      <c r="MVW3002" s="449"/>
      <c r="MVX3002" s="462"/>
      <c r="MVY3002" s="299"/>
      <c r="MVZ3002" s="81"/>
      <c r="MWA3002" s="160"/>
      <c r="MWB3002" s="574"/>
      <c r="MWC3002" s="125"/>
      <c r="MWD3002" s="470"/>
      <c r="MWE3002" s="449"/>
      <c r="MWF3002" s="462"/>
      <c r="MWG3002" s="299"/>
      <c r="MWH3002" s="81"/>
      <c r="MWI3002" s="160"/>
      <c r="MWJ3002" s="574"/>
      <c r="MWK3002" s="125"/>
      <c r="MWL3002" s="470"/>
      <c r="MWM3002" s="449"/>
      <c r="MWN3002" s="462"/>
      <c r="MWO3002" s="299"/>
      <c r="MWP3002" s="81"/>
      <c r="MWQ3002" s="160"/>
      <c r="MWR3002" s="574"/>
      <c r="MWS3002" s="125"/>
      <c r="MWT3002" s="470"/>
      <c r="MWU3002" s="449"/>
      <c r="MWV3002" s="462"/>
      <c r="MWW3002" s="299"/>
      <c r="MWX3002" s="81"/>
      <c r="MWY3002" s="160"/>
      <c r="MWZ3002" s="574"/>
      <c r="MXA3002" s="125"/>
      <c r="MXB3002" s="470"/>
      <c r="MXC3002" s="449"/>
      <c r="MXD3002" s="462"/>
      <c r="MXE3002" s="299"/>
      <c r="MXF3002" s="81"/>
      <c r="MXG3002" s="160"/>
      <c r="MXH3002" s="574"/>
      <c r="MXI3002" s="125"/>
      <c r="MXJ3002" s="470"/>
      <c r="MXK3002" s="449"/>
      <c r="MXL3002" s="462"/>
      <c r="MXM3002" s="299"/>
      <c r="MXN3002" s="81"/>
      <c r="MXO3002" s="160"/>
      <c r="MXP3002" s="574"/>
      <c r="MXQ3002" s="125"/>
      <c r="MXR3002" s="470"/>
      <c r="MXS3002" s="449"/>
      <c r="MXT3002" s="462"/>
      <c r="MXU3002" s="299"/>
      <c r="MXV3002" s="81"/>
      <c r="MXW3002" s="160"/>
      <c r="MXX3002" s="574"/>
      <c r="MXY3002" s="125"/>
      <c r="MXZ3002" s="470"/>
      <c r="MYA3002" s="449"/>
      <c r="MYB3002" s="462"/>
      <c r="MYC3002" s="299"/>
      <c r="MYD3002" s="81"/>
      <c r="MYE3002" s="160"/>
      <c r="MYF3002" s="574"/>
      <c r="MYG3002" s="125"/>
      <c r="MYH3002" s="470"/>
      <c r="MYI3002" s="449"/>
      <c r="MYJ3002" s="462"/>
      <c r="MYK3002" s="299"/>
      <c r="MYL3002" s="81"/>
      <c r="MYM3002" s="160"/>
      <c r="MYN3002" s="574"/>
      <c r="MYO3002" s="125"/>
      <c r="MYP3002" s="470"/>
      <c r="MYQ3002" s="449"/>
      <c r="MYR3002" s="462"/>
      <c r="MYS3002" s="299"/>
      <c r="MYT3002" s="81"/>
      <c r="MYU3002" s="160"/>
      <c r="MYV3002" s="574"/>
      <c r="MYW3002" s="125"/>
      <c r="MYX3002" s="470"/>
      <c r="MYY3002" s="449"/>
      <c r="MYZ3002" s="462"/>
      <c r="MZA3002" s="299"/>
      <c r="MZB3002" s="81"/>
      <c r="MZC3002" s="160"/>
      <c r="MZD3002" s="574"/>
      <c r="MZE3002" s="125"/>
      <c r="MZF3002" s="470"/>
      <c r="MZG3002" s="449"/>
      <c r="MZH3002" s="462"/>
      <c r="MZI3002" s="299"/>
      <c r="MZJ3002" s="81"/>
      <c r="MZK3002" s="160"/>
      <c r="MZL3002" s="574"/>
      <c r="MZM3002" s="125"/>
      <c r="MZN3002" s="470"/>
      <c r="MZO3002" s="449"/>
      <c r="MZP3002" s="462"/>
      <c r="MZQ3002" s="299"/>
      <c r="MZR3002" s="81"/>
      <c r="MZS3002" s="160"/>
      <c r="MZT3002" s="574"/>
      <c r="MZU3002" s="125"/>
      <c r="MZV3002" s="470"/>
      <c r="MZW3002" s="449"/>
      <c r="MZX3002" s="462"/>
      <c r="MZY3002" s="299"/>
      <c r="MZZ3002" s="81"/>
      <c r="NAA3002" s="160"/>
      <c r="NAB3002" s="574"/>
      <c r="NAC3002" s="125"/>
      <c r="NAD3002" s="470"/>
      <c r="NAE3002" s="449"/>
      <c r="NAF3002" s="462"/>
      <c r="NAG3002" s="299"/>
      <c r="NAH3002" s="81"/>
      <c r="NAI3002" s="160"/>
      <c r="NAJ3002" s="574"/>
      <c r="NAK3002" s="125"/>
      <c r="NAL3002" s="470"/>
      <c r="NAM3002" s="449"/>
      <c r="NAN3002" s="462"/>
      <c r="NAO3002" s="299"/>
      <c r="NAP3002" s="81"/>
      <c r="NAQ3002" s="160"/>
      <c r="NAR3002" s="574"/>
      <c r="NAS3002" s="125"/>
      <c r="NAT3002" s="470"/>
      <c r="NAU3002" s="449"/>
      <c r="NAV3002" s="462"/>
      <c r="NAW3002" s="299"/>
      <c r="NAX3002" s="81"/>
      <c r="NAY3002" s="160"/>
      <c r="NAZ3002" s="574"/>
      <c r="NBA3002" s="125"/>
      <c r="NBB3002" s="470"/>
      <c r="NBC3002" s="449"/>
      <c r="NBD3002" s="462"/>
      <c r="NBE3002" s="299"/>
      <c r="NBF3002" s="81"/>
      <c r="NBG3002" s="160"/>
      <c r="NBH3002" s="574"/>
      <c r="NBI3002" s="125"/>
      <c r="NBJ3002" s="470"/>
      <c r="NBK3002" s="449"/>
      <c r="NBL3002" s="462"/>
      <c r="NBM3002" s="299"/>
      <c r="NBN3002" s="81"/>
      <c r="NBO3002" s="160"/>
      <c r="NBP3002" s="574"/>
      <c r="NBQ3002" s="125"/>
      <c r="NBR3002" s="470"/>
      <c r="NBS3002" s="449"/>
      <c r="NBT3002" s="462"/>
      <c r="NBU3002" s="299"/>
      <c r="NBV3002" s="81"/>
      <c r="NBW3002" s="160"/>
      <c r="NBX3002" s="574"/>
      <c r="NBY3002" s="125"/>
      <c r="NBZ3002" s="470"/>
      <c r="NCA3002" s="449"/>
      <c r="NCB3002" s="462"/>
      <c r="NCC3002" s="299"/>
      <c r="NCD3002" s="81"/>
      <c r="NCE3002" s="160"/>
      <c r="NCF3002" s="574"/>
      <c r="NCG3002" s="125"/>
      <c r="NCH3002" s="470"/>
      <c r="NCI3002" s="449"/>
      <c r="NCJ3002" s="462"/>
      <c r="NCK3002" s="299"/>
      <c r="NCL3002" s="81"/>
      <c r="NCM3002" s="160"/>
      <c r="NCN3002" s="574"/>
      <c r="NCO3002" s="125"/>
      <c r="NCP3002" s="470"/>
      <c r="NCQ3002" s="449"/>
      <c r="NCR3002" s="462"/>
      <c r="NCS3002" s="299"/>
      <c r="NCT3002" s="81"/>
      <c r="NCU3002" s="160"/>
      <c r="NCV3002" s="574"/>
      <c r="NCW3002" s="125"/>
      <c r="NCX3002" s="470"/>
      <c r="NCY3002" s="449"/>
      <c r="NCZ3002" s="462"/>
      <c r="NDA3002" s="299"/>
      <c r="NDB3002" s="81"/>
      <c r="NDC3002" s="160"/>
      <c r="NDD3002" s="574"/>
      <c r="NDE3002" s="125"/>
      <c r="NDF3002" s="470"/>
      <c r="NDG3002" s="449"/>
      <c r="NDH3002" s="462"/>
      <c r="NDI3002" s="299"/>
      <c r="NDJ3002" s="81"/>
      <c r="NDK3002" s="160"/>
      <c r="NDL3002" s="574"/>
      <c r="NDM3002" s="125"/>
      <c r="NDN3002" s="470"/>
      <c r="NDO3002" s="449"/>
      <c r="NDP3002" s="462"/>
      <c r="NDQ3002" s="299"/>
      <c r="NDR3002" s="81"/>
      <c r="NDS3002" s="160"/>
      <c r="NDT3002" s="574"/>
      <c r="NDU3002" s="125"/>
      <c r="NDV3002" s="470"/>
      <c r="NDW3002" s="449"/>
      <c r="NDX3002" s="462"/>
      <c r="NDY3002" s="299"/>
      <c r="NDZ3002" s="81"/>
      <c r="NEA3002" s="160"/>
      <c r="NEB3002" s="574"/>
      <c r="NEC3002" s="125"/>
      <c r="NED3002" s="470"/>
      <c r="NEE3002" s="449"/>
      <c r="NEF3002" s="462"/>
      <c r="NEG3002" s="299"/>
      <c r="NEH3002" s="81"/>
      <c r="NEI3002" s="160"/>
      <c r="NEJ3002" s="574"/>
      <c r="NEK3002" s="125"/>
      <c r="NEL3002" s="470"/>
      <c r="NEM3002" s="449"/>
      <c r="NEN3002" s="462"/>
      <c r="NEO3002" s="299"/>
      <c r="NEP3002" s="81"/>
      <c r="NEQ3002" s="160"/>
      <c r="NER3002" s="574"/>
      <c r="NES3002" s="125"/>
      <c r="NET3002" s="470"/>
      <c r="NEU3002" s="449"/>
      <c r="NEV3002" s="462"/>
      <c r="NEW3002" s="299"/>
      <c r="NEX3002" s="81"/>
      <c r="NEY3002" s="160"/>
      <c r="NEZ3002" s="574"/>
      <c r="NFA3002" s="125"/>
      <c r="NFB3002" s="470"/>
      <c r="NFC3002" s="449"/>
      <c r="NFD3002" s="462"/>
      <c r="NFE3002" s="299"/>
      <c r="NFF3002" s="81"/>
      <c r="NFG3002" s="160"/>
      <c r="NFH3002" s="574"/>
      <c r="NFI3002" s="125"/>
      <c r="NFJ3002" s="470"/>
      <c r="NFK3002" s="449"/>
      <c r="NFL3002" s="462"/>
      <c r="NFM3002" s="299"/>
      <c r="NFN3002" s="81"/>
      <c r="NFO3002" s="160"/>
      <c r="NFP3002" s="574"/>
      <c r="NFQ3002" s="125"/>
      <c r="NFR3002" s="470"/>
      <c r="NFS3002" s="449"/>
      <c r="NFT3002" s="462"/>
      <c r="NFU3002" s="299"/>
      <c r="NFV3002" s="81"/>
      <c r="NFW3002" s="160"/>
      <c r="NFX3002" s="574"/>
      <c r="NFY3002" s="125"/>
      <c r="NFZ3002" s="470"/>
      <c r="NGA3002" s="449"/>
      <c r="NGB3002" s="462"/>
      <c r="NGC3002" s="299"/>
      <c r="NGD3002" s="81"/>
      <c r="NGE3002" s="160"/>
      <c r="NGF3002" s="574"/>
      <c r="NGG3002" s="125"/>
      <c r="NGH3002" s="470"/>
      <c r="NGI3002" s="449"/>
      <c r="NGJ3002" s="462"/>
      <c r="NGK3002" s="299"/>
      <c r="NGL3002" s="81"/>
      <c r="NGM3002" s="160"/>
      <c r="NGN3002" s="574"/>
      <c r="NGO3002" s="125"/>
      <c r="NGP3002" s="470"/>
      <c r="NGQ3002" s="449"/>
      <c r="NGR3002" s="462"/>
      <c r="NGS3002" s="299"/>
      <c r="NGT3002" s="81"/>
      <c r="NGU3002" s="160"/>
      <c r="NGV3002" s="574"/>
      <c r="NGW3002" s="125"/>
      <c r="NGX3002" s="470"/>
      <c r="NGY3002" s="449"/>
      <c r="NGZ3002" s="462"/>
      <c r="NHA3002" s="299"/>
      <c r="NHB3002" s="81"/>
      <c r="NHC3002" s="160"/>
      <c r="NHD3002" s="574"/>
      <c r="NHE3002" s="125"/>
      <c r="NHF3002" s="470"/>
      <c r="NHG3002" s="449"/>
      <c r="NHH3002" s="462"/>
      <c r="NHI3002" s="299"/>
      <c r="NHJ3002" s="81"/>
      <c r="NHK3002" s="160"/>
      <c r="NHL3002" s="574"/>
      <c r="NHM3002" s="125"/>
      <c r="NHN3002" s="470"/>
      <c r="NHO3002" s="449"/>
      <c r="NHP3002" s="462"/>
      <c r="NHQ3002" s="299"/>
      <c r="NHR3002" s="81"/>
      <c r="NHS3002" s="160"/>
      <c r="NHT3002" s="574"/>
      <c r="NHU3002" s="125"/>
      <c r="NHV3002" s="470"/>
      <c r="NHW3002" s="449"/>
      <c r="NHX3002" s="462"/>
      <c r="NHY3002" s="299"/>
      <c r="NHZ3002" s="81"/>
      <c r="NIA3002" s="160"/>
      <c r="NIB3002" s="574"/>
      <c r="NIC3002" s="125"/>
      <c r="NID3002" s="470"/>
      <c r="NIE3002" s="449"/>
      <c r="NIF3002" s="462"/>
      <c r="NIG3002" s="299"/>
      <c r="NIH3002" s="81"/>
      <c r="NII3002" s="160"/>
      <c r="NIJ3002" s="574"/>
      <c r="NIK3002" s="125"/>
      <c r="NIL3002" s="470"/>
      <c r="NIM3002" s="449"/>
      <c r="NIN3002" s="462"/>
      <c r="NIO3002" s="299"/>
      <c r="NIP3002" s="81"/>
      <c r="NIQ3002" s="160"/>
      <c r="NIR3002" s="574"/>
      <c r="NIS3002" s="125"/>
      <c r="NIT3002" s="470"/>
      <c r="NIU3002" s="449"/>
      <c r="NIV3002" s="462"/>
      <c r="NIW3002" s="299"/>
      <c r="NIX3002" s="81"/>
      <c r="NIY3002" s="160"/>
      <c r="NIZ3002" s="574"/>
      <c r="NJA3002" s="125"/>
      <c r="NJB3002" s="470"/>
      <c r="NJC3002" s="449"/>
      <c r="NJD3002" s="462"/>
      <c r="NJE3002" s="299"/>
      <c r="NJF3002" s="81"/>
      <c r="NJG3002" s="160"/>
      <c r="NJH3002" s="574"/>
      <c r="NJI3002" s="125"/>
      <c r="NJJ3002" s="470"/>
      <c r="NJK3002" s="449"/>
      <c r="NJL3002" s="462"/>
      <c r="NJM3002" s="299"/>
      <c r="NJN3002" s="81"/>
      <c r="NJO3002" s="160"/>
      <c r="NJP3002" s="574"/>
      <c r="NJQ3002" s="125"/>
      <c r="NJR3002" s="470"/>
      <c r="NJS3002" s="449"/>
      <c r="NJT3002" s="462"/>
      <c r="NJU3002" s="299"/>
      <c r="NJV3002" s="81"/>
      <c r="NJW3002" s="160"/>
      <c r="NJX3002" s="574"/>
      <c r="NJY3002" s="125"/>
      <c r="NJZ3002" s="470"/>
      <c r="NKA3002" s="449"/>
      <c r="NKB3002" s="462"/>
      <c r="NKC3002" s="299"/>
      <c r="NKD3002" s="81"/>
      <c r="NKE3002" s="160"/>
      <c r="NKF3002" s="574"/>
      <c r="NKG3002" s="125"/>
      <c r="NKH3002" s="470"/>
      <c r="NKI3002" s="449"/>
      <c r="NKJ3002" s="462"/>
      <c r="NKK3002" s="299"/>
      <c r="NKL3002" s="81"/>
      <c r="NKM3002" s="160"/>
      <c r="NKN3002" s="574"/>
      <c r="NKO3002" s="125"/>
      <c r="NKP3002" s="470"/>
      <c r="NKQ3002" s="449"/>
      <c r="NKR3002" s="462"/>
      <c r="NKS3002" s="299"/>
      <c r="NKT3002" s="81"/>
      <c r="NKU3002" s="160"/>
      <c r="NKV3002" s="574"/>
      <c r="NKW3002" s="125"/>
      <c r="NKX3002" s="470"/>
      <c r="NKY3002" s="449"/>
      <c r="NKZ3002" s="462"/>
      <c r="NLA3002" s="299"/>
      <c r="NLB3002" s="81"/>
      <c r="NLC3002" s="160"/>
      <c r="NLD3002" s="574"/>
      <c r="NLE3002" s="125"/>
      <c r="NLF3002" s="470"/>
      <c r="NLG3002" s="449"/>
      <c r="NLH3002" s="462"/>
      <c r="NLI3002" s="299"/>
      <c r="NLJ3002" s="81"/>
      <c r="NLK3002" s="160"/>
      <c r="NLL3002" s="574"/>
      <c r="NLM3002" s="125"/>
      <c r="NLN3002" s="470"/>
      <c r="NLO3002" s="449"/>
      <c r="NLP3002" s="462"/>
      <c r="NLQ3002" s="299"/>
      <c r="NLR3002" s="81"/>
      <c r="NLS3002" s="160"/>
      <c r="NLT3002" s="574"/>
      <c r="NLU3002" s="125"/>
      <c r="NLV3002" s="470"/>
      <c r="NLW3002" s="449"/>
      <c r="NLX3002" s="462"/>
      <c r="NLY3002" s="299"/>
      <c r="NLZ3002" s="81"/>
      <c r="NMA3002" s="160"/>
      <c r="NMB3002" s="574"/>
      <c r="NMC3002" s="125"/>
      <c r="NMD3002" s="470"/>
      <c r="NME3002" s="449"/>
      <c r="NMF3002" s="462"/>
      <c r="NMG3002" s="299"/>
      <c r="NMH3002" s="81"/>
      <c r="NMI3002" s="160"/>
      <c r="NMJ3002" s="574"/>
      <c r="NMK3002" s="125"/>
      <c r="NML3002" s="470"/>
      <c r="NMM3002" s="449"/>
      <c r="NMN3002" s="462"/>
      <c r="NMO3002" s="299"/>
      <c r="NMP3002" s="81"/>
      <c r="NMQ3002" s="160"/>
      <c r="NMR3002" s="574"/>
      <c r="NMS3002" s="125"/>
      <c r="NMT3002" s="470"/>
      <c r="NMU3002" s="449"/>
      <c r="NMV3002" s="462"/>
      <c r="NMW3002" s="299"/>
      <c r="NMX3002" s="81"/>
      <c r="NMY3002" s="160"/>
      <c r="NMZ3002" s="574"/>
      <c r="NNA3002" s="125"/>
      <c r="NNB3002" s="470"/>
      <c r="NNC3002" s="449"/>
      <c r="NND3002" s="462"/>
      <c r="NNE3002" s="299"/>
      <c r="NNF3002" s="81"/>
      <c r="NNG3002" s="160"/>
      <c r="NNH3002" s="574"/>
      <c r="NNI3002" s="125"/>
      <c r="NNJ3002" s="470"/>
      <c r="NNK3002" s="449"/>
      <c r="NNL3002" s="462"/>
      <c r="NNM3002" s="299"/>
      <c r="NNN3002" s="81"/>
      <c r="NNO3002" s="160"/>
      <c r="NNP3002" s="574"/>
      <c r="NNQ3002" s="125"/>
      <c r="NNR3002" s="470"/>
      <c r="NNS3002" s="449"/>
      <c r="NNT3002" s="462"/>
      <c r="NNU3002" s="299"/>
      <c r="NNV3002" s="81"/>
      <c r="NNW3002" s="160"/>
      <c r="NNX3002" s="574"/>
      <c r="NNY3002" s="125"/>
      <c r="NNZ3002" s="470"/>
      <c r="NOA3002" s="449"/>
      <c r="NOB3002" s="462"/>
      <c r="NOC3002" s="299"/>
      <c r="NOD3002" s="81"/>
      <c r="NOE3002" s="160"/>
      <c r="NOF3002" s="574"/>
      <c r="NOG3002" s="125"/>
      <c r="NOH3002" s="470"/>
      <c r="NOI3002" s="449"/>
      <c r="NOJ3002" s="462"/>
      <c r="NOK3002" s="299"/>
      <c r="NOL3002" s="81"/>
      <c r="NOM3002" s="160"/>
      <c r="NON3002" s="574"/>
      <c r="NOO3002" s="125"/>
      <c r="NOP3002" s="470"/>
      <c r="NOQ3002" s="449"/>
      <c r="NOR3002" s="462"/>
      <c r="NOS3002" s="299"/>
      <c r="NOT3002" s="81"/>
      <c r="NOU3002" s="160"/>
      <c r="NOV3002" s="574"/>
      <c r="NOW3002" s="125"/>
      <c r="NOX3002" s="470"/>
      <c r="NOY3002" s="449"/>
      <c r="NOZ3002" s="462"/>
      <c r="NPA3002" s="299"/>
      <c r="NPB3002" s="81"/>
      <c r="NPC3002" s="160"/>
      <c r="NPD3002" s="574"/>
      <c r="NPE3002" s="125"/>
      <c r="NPF3002" s="470"/>
      <c r="NPG3002" s="449"/>
      <c r="NPH3002" s="462"/>
      <c r="NPI3002" s="299"/>
      <c r="NPJ3002" s="81"/>
      <c r="NPK3002" s="160"/>
      <c r="NPL3002" s="574"/>
      <c r="NPM3002" s="125"/>
      <c r="NPN3002" s="470"/>
      <c r="NPO3002" s="449"/>
      <c r="NPP3002" s="462"/>
      <c r="NPQ3002" s="299"/>
      <c r="NPR3002" s="81"/>
      <c r="NPS3002" s="160"/>
      <c r="NPT3002" s="574"/>
      <c r="NPU3002" s="125"/>
      <c r="NPV3002" s="470"/>
      <c r="NPW3002" s="449"/>
      <c r="NPX3002" s="462"/>
      <c r="NPY3002" s="299"/>
      <c r="NPZ3002" s="81"/>
      <c r="NQA3002" s="160"/>
      <c r="NQB3002" s="574"/>
      <c r="NQC3002" s="125"/>
      <c r="NQD3002" s="470"/>
      <c r="NQE3002" s="449"/>
      <c r="NQF3002" s="462"/>
      <c r="NQG3002" s="299"/>
      <c r="NQH3002" s="81"/>
      <c r="NQI3002" s="160"/>
      <c r="NQJ3002" s="574"/>
      <c r="NQK3002" s="125"/>
      <c r="NQL3002" s="470"/>
      <c r="NQM3002" s="449"/>
      <c r="NQN3002" s="462"/>
      <c r="NQO3002" s="299"/>
      <c r="NQP3002" s="81"/>
      <c r="NQQ3002" s="160"/>
      <c r="NQR3002" s="574"/>
      <c r="NQS3002" s="125"/>
      <c r="NQT3002" s="470"/>
      <c r="NQU3002" s="449"/>
      <c r="NQV3002" s="462"/>
      <c r="NQW3002" s="299"/>
      <c r="NQX3002" s="81"/>
      <c r="NQY3002" s="160"/>
      <c r="NQZ3002" s="574"/>
      <c r="NRA3002" s="125"/>
      <c r="NRB3002" s="470"/>
      <c r="NRC3002" s="449"/>
      <c r="NRD3002" s="462"/>
      <c r="NRE3002" s="299"/>
      <c r="NRF3002" s="81"/>
      <c r="NRG3002" s="160"/>
      <c r="NRH3002" s="574"/>
      <c r="NRI3002" s="125"/>
      <c r="NRJ3002" s="470"/>
      <c r="NRK3002" s="449"/>
      <c r="NRL3002" s="462"/>
      <c r="NRM3002" s="299"/>
      <c r="NRN3002" s="81"/>
      <c r="NRO3002" s="160"/>
      <c r="NRP3002" s="574"/>
      <c r="NRQ3002" s="125"/>
      <c r="NRR3002" s="470"/>
      <c r="NRS3002" s="449"/>
      <c r="NRT3002" s="462"/>
      <c r="NRU3002" s="299"/>
      <c r="NRV3002" s="81"/>
      <c r="NRW3002" s="160"/>
      <c r="NRX3002" s="574"/>
      <c r="NRY3002" s="125"/>
      <c r="NRZ3002" s="470"/>
      <c r="NSA3002" s="449"/>
      <c r="NSB3002" s="462"/>
      <c r="NSC3002" s="299"/>
      <c r="NSD3002" s="81"/>
      <c r="NSE3002" s="160"/>
      <c r="NSF3002" s="574"/>
      <c r="NSG3002" s="125"/>
      <c r="NSH3002" s="470"/>
      <c r="NSI3002" s="449"/>
      <c r="NSJ3002" s="462"/>
      <c r="NSK3002" s="299"/>
      <c r="NSL3002" s="81"/>
      <c r="NSM3002" s="160"/>
      <c r="NSN3002" s="574"/>
      <c r="NSO3002" s="125"/>
      <c r="NSP3002" s="470"/>
      <c r="NSQ3002" s="449"/>
      <c r="NSR3002" s="462"/>
      <c r="NSS3002" s="299"/>
      <c r="NST3002" s="81"/>
      <c r="NSU3002" s="160"/>
      <c r="NSV3002" s="574"/>
      <c r="NSW3002" s="125"/>
      <c r="NSX3002" s="470"/>
      <c r="NSY3002" s="449"/>
      <c r="NSZ3002" s="462"/>
      <c r="NTA3002" s="299"/>
      <c r="NTB3002" s="81"/>
      <c r="NTC3002" s="160"/>
      <c r="NTD3002" s="574"/>
      <c r="NTE3002" s="125"/>
      <c r="NTF3002" s="470"/>
      <c r="NTG3002" s="449"/>
      <c r="NTH3002" s="462"/>
      <c r="NTI3002" s="299"/>
      <c r="NTJ3002" s="81"/>
      <c r="NTK3002" s="160"/>
      <c r="NTL3002" s="574"/>
      <c r="NTM3002" s="125"/>
      <c r="NTN3002" s="470"/>
      <c r="NTO3002" s="449"/>
      <c r="NTP3002" s="462"/>
      <c r="NTQ3002" s="299"/>
      <c r="NTR3002" s="81"/>
      <c r="NTS3002" s="160"/>
      <c r="NTT3002" s="574"/>
      <c r="NTU3002" s="125"/>
      <c r="NTV3002" s="470"/>
      <c r="NTW3002" s="449"/>
      <c r="NTX3002" s="462"/>
      <c r="NTY3002" s="299"/>
      <c r="NTZ3002" s="81"/>
      <c r="NUA3002" s="160"/>
      <c r="NUB3002" s="574"/>
      <c r="NUC3002" s="125"/>
      <c r="NUD3002" s="470"/>
      <c r="NUE3002" s="449"/>
      <c r="NUF3002" s="462"/>
      <c r="NUG3002" s="299"/>
      <c r="NUH3002" s="81"/>
      <c r="NUI3002" s="160"/>
      <c r="NUJ3002" s="574"/>
      <c r="NUK3002" s="125"/>
      <c r="NUL3002" s="470"/>
      <c r="NUM3002" s="449"/>
      <c r="NUN3002" s="462"/>
      <c r="NUO3002" s="299"/>
      <c r="NUP3002" s="81"/>
      <c r="NUQ3002" s="160"/>
      <c r="NUR3002" s="574"/>
      <c r="NUS3002" s="125"/>
      <c r="NUT3002" s="470"/>
      <c r="NUU3002" s="449"/>
      <c r="NUV3002" s="462"/>
      <c r="NUW3002" s="299"/>
      <c r="NUX3002" s="81"/>
      <c r="NUY3002" s="160"/>
      <c r="NUZ3002" s="574"/>
      <c r="NVA3002" s="125"/>
      <c r="NVB3002" s="470"/>
      <c r="NVC3002" s="449"/>
      <c r="NVD3002" s="462"/>
      <c r="NVE3002" s="299"/>
      <c r="NVF3002" s="81"/>
      <c r="NVG3002" s="160"/>
      <c r="NVH3002" s="574"/>
      <c r="NVI3002" s="125"/>
      <c r="NVJ3002" s="470"/>
      <c r="NVK3002" s="449"/>
      <c r="NVL3002" s="462"/>
      <c r="NVM3002" s="299"/>
      <c r="NVN3002" s="81"/>
      <c r="NVO3002" s="160"/>
      <c r="NVP3002" s="574"/>
      <c r="NVQ3002" s="125"/>
      <c r="NVR3002" s="470"/>
      <c r="NVS3002" s="449"/>
      <c r="NVT3002" s="462"/>
      <c r="NVU3002" s="299"/>
      <c r="NVV3002" s="81"/>
      <c r="NVW3002" s="160"/>
      <c r="NVX3002" s="574"/>
      <c r="NVY3002" s="125"/>
      <c r="NVZ3002" s="470"/>
      <c r="NWA3002" s="449"/>
      <c r="NWB3002" s="462"/>
      <c r="NWC3002" s="299"/>
      <c r="NWD3002" s="81"/>
      <c r="NWE3002" s="160"/>
      <c r="NWF3002" s="574"/>
      <c r="NWG3002" s="125"/>
      <c r="NWH3002" s="470"/>
      <c r="NWI3002" s="449"/>
      <c r="NWJ3002" s="462"/>
      <c r="NWK3002" s="299"/>
      <c r="NWL3002" s="81"/>
      <c r="NWM3002" s="160"/>
      <c r="NWN3002" s="574"/>
      <c r="NWO3002" s="125"/>
      <c r="NWP3002" s="470"/>
      <c r="NWQ3002" s="449"/>
      <c r="NWR3002" s="462"/>
      <c r="NWS3002" s="299"/>
      <c r="NWT3002" s="81"/>
      <c r="NWU3002" s="160"/>
      <c r="NWV3002" s="574"/>
      <c r="NWW3002" s="125"/>
      <c r="NWX3002" s="470"/>
      <c r="NWY3002" s="449"/>
      <c r="NWZ3002" s="462"/>
      <c r="NXA3002" s="299"/>
      <c r="NXB3002" s="81"/>
      <c r="NXC3002" s="160"/>
      <c r="NXD3002" s="574"/>
      <c r="NXE3002" s="125"/>
      <c r="NXF3002" s="470"/>
      <c r="NXG3002" s="449"/>
      <c r="NXH3002" s="462"/>
      <c r="NXI3002" s="299"/>
      <c r="NXJ3002" s="81"/>
      <c r="NXK3002" s="160"/>
      <c r="NXL3002" s="574"/>
      <c r="NXM3002" s="125"/>
      <c r="NXN3002" s="470"/>
      <c r="NXO3002" s="449"/>
      <c r="NXP3002" s="462"/>
      <c r="NXQ3002" s="299"/>
      <c r="NXR3002" s="81"/>
      <c r="NXS3002" s="160"/>
      <c r="NXT3002" s="574"/>
      <c r="NXU3002" s="125"/>
      <c r="NXV3002" s="470"/>
      <c r="NXW3002" s="449"/>
      <c r="NXX3002" s="462"/>
      <c r="NXY3002" s="299"/>
      <c r="NXZ3002" s="81"/>
      <c r="NYA3002" s="160"/>
      <c r="NYB3002" s="574"/>
      <c r="NYC3002" s="125"/>
      <c r="NYD3002" s="470"/>
      <c r="NYE3002" s="449"/>
      <c r="NYF3002" s="462"/>
      <c r="NYG3002" s="299"/>
      <c r="NYH3002" s="81"/>
      <c r="NYI3002" s="160"/>
      <c r="NYJ3002" s="574"/>
      <c r="NYK3002" s="125"/>
      <c r="NYL3002" s="470"/>
      <c r="NYM3002" s="449"/>
      <c r="NYN3002" s="462"/>
      <c r="NYO3002" s="299"/>
      <c r="NYP3002" s="81"/>
      <c r="NYQ3002" s="160"/>
      <c r="NYR3002" s="574"/>
      <c r="NYS3002" s="125"/>
      <c r="NYT3002" s="470"/>
      <c r="NYU3002" s="449"/>
      <c r="NYV3002" s="462"/>
      <c r="NYW3002" s="299"/>
      <c r="NYX3002" s="81"/>
      <c r="NYY3002" s="160"/>
      <c r="NYZ3002" s="574"/>
      <c r="NZA3002" s="125"/>
      <c r="NZB3002" s="470"/>
      <c r="NZC3002" s="449"/>
      <c r="NZD3002" s="462"/>
      <c r="NZE3002" s="299"/>
      <c r="NZF3002" s="81"/>
      <c r="NZG3002" s="160"/>
      <c r="NZH3002" s="574"/>
      <c r="NZI3002" s="125"/>
      <c r="NZJ3002" s="470"/>
      <c r="NZK3002" s="449"/>
      <c r="NZL3002" s="462"/>
      <c r="NZM3002" s="299"/>
      <c r="NZN3002" s="81"/>
      <c r="NZO3002" s="160"/>
      <c r="NZP3002" s="574"/>
      <c r="NZQ3002" s="125"/>
      <c r="NZR3002" s="470"/>
      <c r="NZS3002" s="449"/>
      <c r="NZT3002" s="462"/>
      <c r="NZU3002" s="299"/>
      <c r="NZV3002" s="81"/>
      <c r="NZW3002" s="160"/>
      <c r="NZX3002" s="574"/>
      <c r="NZY3002" s="125"/>
      <c r="NZZ3002" s="470"/>
      <c r="OAA3002" s="449"/>
      <c r="OAB3002" s="462"/>
      <c r="OAC3002" s="299"/>
      <c r="OAD3002" s="81"/>
      <c r="OAE3002" s="160"/>
      <c r="OAF3002" s="574"/>
      <c r="OAG3002" s="125"/>
      <c r="OAH3002" s="470"/>
      <c r="OAI3002" s="449"/>
      <c r="OAJ3002" s="462"/>
      <c r="OAK3002" s="299"/>
      <c r="OAL3002" s="81"/>
      <c r="OAM3002" s="160"/>
      <c r="OAN3002" s="574"/>
      <c r="OAO3002" s="125"/>
      <c r="OAP3002" s="470"/>
      <c r="OAQ3002" s="449"/>
      <c r="OAR3002" s="462"/>
      <c r="OAS3002" s="299"/>
      <c r="OAT3002" s="81"/>
      <c r="OAU3002" s="160"/>
      <c r="OAV3002" s="574"/>
      <c r="OAW3002" s="125"/>
      <c r="OAX3002" s="470"/>
      <c r="OAY3002" s="449"/>
      <c r="OAZ3002" s="462"/>
      <c r="OBA3002" s="299"/>
      <c r="OBB3002" s="81"/>
      <c r="OBC3002" s="160"/>
      <c r="OBD3002" s="574"/>
      <c r="OBE3002" s="125"/>
      <c r="OBF3002" s="470"/>
      <c r="OBG3002" s="449"/>
      <c r="OBH3002" s="462"/>
      <c r="OBI3002" s="299"/>
      <c r="OBJ3002" s="81"/>
      <c r="OBK3002" s="160"/>
      <c r="OBL3002" s="574"/>
      <c r="OBM3002" s="125"/>
      <c r="OBN3002" s="470"/>
      <c r="OBO3002" s="449"/>
      <c r="OBP3002" s="462"/>
      <c r="OBQ3002" s="299"/>
      <c r="OBR3002" s="81"/>
      <c r="OBS3002" s="160"/>
      <c r="OBT3002" s="574"/>
      <c r="OBU3002" s="125"/>
      <c r="OBV3002" s="470"/>
      <c r="OBW3002" s="449"/>
      <c r="OBX3002" s="462"/>
      <c r="OBY3002" s="299"/>
      <c r="OBZ3002" s="81"/>
      <c r="OCA3002" s="160"/>
      <c r="OCB3002" s="574"/>
      <c r="OCC3002" s="125"/>
      <c r="OCD3002" s="470"/>
      <c r="OCE3002" s="449"/>
      <c r="OCF3002" s="462"/>
      <c r="OCG3002" s="299"/>
      <c r="OCH3002" s="81"/>
      <c r="OCI3002" s="160"/>
      <c r="OCJ3002" s="574"/>
      <c r="OCK3002" s="125"/>
      <c r="OCL3002" s="470"/>
      <c r="OCM3002" s="449"/>
      <c r="OCN3002" s="462"/>
      <c r="OCO3002" s="299"/>
      <c r="OCP3002" s="81"/>
      <c r="OCQ3002" s="160"/>
      <c r="OCR3002" s="574"/>
      <c r="OCS3002" s="125"/>
      <c r="OCT3002" s="470"/>
      <c r="OCU3002" s="449"/>
      <c r="OCV3002" s="462"/>
      <c r="OCW3002" s="299"/>
      <c r="OCX3002" s="81"/>
      <c r="OCY3002" s="160"/>
      <c r="OCZ3002" s="574"/>
      <c r="ODA3002" s="125"/>
      <c r="ODB3002" s="470"/>
      <c r="ODC3002" s="449"/>
      <c r="ODD3002" s="462"/>
      <c r="ODE3002" s="299"/>
      <c r="ODF3002" s="81"/>
      <c r="ODG3002" s="160"/>
      <c r="ODH3002" s="574"/>
      <c r="ODI3002" s="125"/>
      <c r="ODJ3002" s="470"/>
      <c r="ODK3002" s="449"/>
      <c r="ODL3002" s="462"/>
      <c r="ODM3002" s="299"/>
      <c r="ODN3002" s="81"/>
      <c r="ODO3002" s="160"/>
      <c r="ODP3002" s="574"/>
      <c r="ODQ3002" s="125"/>
      <c r="ODR3002" s="470"/>
      <c r="ODS3002" s="449"/>
      <c r="ODT3002" s="462"/>
      <c r="ODU3002" s="299"/>
      <c r="ODV3002" s="81"/>
      <c r="ODW3002" s="160"/>
      <c r="ODX3002" s="574"/>
      <c r="ODY3002" s="125"/>
      <c r="ODZ3002" s="470"/>
      <c r="OEA3002" s="449"/>
      <c r="OEB3002" s="462"/>
      <c r="OEC3002" s="299"/>
      <c r="OED3002" s="81"/>
      <c r="OEE3002" s="160"/>
      <c r="OEF3002" s="574"/>
      <c r="OEG3002" s="125"/>
      <c r="OEH3002" s="470"/>
      <c r="OEI3002" s="449"/>
      <c r="OEJ3002" s="462"/>
      <c r="OEK3002" s="299"/>
      <c r="OEL3002" s="81"/>
      <c r="OEM3002" s="160"/>
      <c r="OEN3002" s="574"/>
      <c r="OEO3002" s="125"/>
      <c r="OEP3002" s="470"/>
      <c r="OEQ3002" s="449"/>
      <c r="OER3002" s="462"/>
      <c r="OES3002" s="299"/>
      <c r="OET3002" s="81"/>
      <c r="OEU3002" s="160"/>
      <c r="OEV3002" s="574"/>
      <c r="OEW3002" s="125"/>
      <c r="OEX3002" s="470"/>
      <c r="OEY3002" s="449"/>
      <c r="OEZ3002" s="462"/>
      <c r="OFA3002" s="299"/>
      <c r="OFB3002" s="81"/>
      <c r="OFC3002" s="160"/>
      <c r="OFD3002" s="574"/>
      <c r="OFE3002" s="125"/>
      <c r="OFF3002" s="470"/>
      <c r="OFG3002" s="449"/>
      <c r="OFH3002" s="462"/>
      <c r="OFI3002" s="299"/>
      <c r="OFJ3002" s="81"/>
      <c r="OFK3002" s="160"/>
      <c r="OFL3002" s="574"/>
      <c r="OFM3002" s="125"/>
      <c r="OFN3002" s="470"/>
      <c r="OFO3002" s="449"/>
      <c r="OFP3002" s="462"/>
      <c r="OFQ3002" s="299"/>
      <c r="OFR3002" s="81"/>
      <c r="OFS3002" s="160"/>
      <c r="OFT3002" s="574"/>
      <c r="OFU3002" s="125"/>
      <c r="OFV3002" s="470"/>
      <c r="OFW3002" s="449"/>
      <c r="OFX3002" s="462"/>
      <c r="OFY3002" s="299"/>
      <c r="OFZ3002" s="81"/>
      <c r="OGA3002" s="160"/>
      <c r="OGB3002" s="574"/>
      <c r="OGC3002" s="125"/>
      <c r="OGD3002" s="470"/>
      <c r="OGE3002" s="449"/>
      <c r="OGF3002" s="462"/>
      <c r="OGG3002" s="299"/>
      <c r="OGH3002" s="81"/>
      <c r="OGI3002" s="160"/>
      <c r="OGJ3002" s="574"/>
      <c r="OGK3002" s="125"/>
      <c r="OGL3002" s="470"/>
      <c r="OGM3002" s="449"/>
      <c r="OGN3002" s="462"/>
      <c r="OGO3002" s="299"/>
      <c r="OGP3002" s="81"/>
      <c r="OGQ3002" s="160"/>
      <c r="OGR3002" s="574"/>
      <c r="OGS3002" s="125"/>
      <c r="OGT3002" s="470"/>
      <c r="OGU3002" s="449"/>
      <c r="OGV3002" s="462"/>
      <c r="OGW3002" s="299"/>
      <c r="OGX3002" s="81"/>
      <c r="OGY3002" s="160"/>
      <c r="OGZ3002" s="574"/>
      <c r="OHA3002" s="125"/>
      <c r="OHB3002" s="470"/>
      <c r="OHC3002" s="449"/>
      <c r="OHD3002" s="462"/>
      <c r="OHE3002" s="299"/>
      <c r="OHF3002" s="81"/>
      <c r="OHG3002" s="160"/>
      <c r="OHH3002" s="574"/>
      <c r="OHI3002" s="125"/>
      <c r="OHJ3002" s="470"/>
      <c r="OHK3002" s="449"/>
      <c r="OHL3002" s="462"/>
      <c r="OHM3002" s="299"/>
      <c r="OHN3002" s="81"/>
      <c r="OHO3002" s="160"/>
      <c r="OHP3002" s="574"/>
      <c r="OHQ3002" s="125"/>
      <c r="OHR3002" s="470"/>
      <c r="OHS3002" s="449"/>
      <c r="OHT3002" s="462"/>
      <c r="OHU3002" s="299"/>
      <c r="OHV3002" s="81"/>
      <c r="OHW3002" s="160"/>
      <c r="OHX3002" s="574"/>
      <c r="OHY3002" s="125"/>
      <c r="OHZ3002" s="470"/>
      <c r="OIA3002" s="449"/>
      <c r="OIB3002" s="462"/>
      <c r="OIC3002" s="299"/>
      <c r="OID3002" s="81"/>
      <c r="OIE3002" s="160"/>
      <c r="OIF3002" s="574"/>
      <c r="OIG3002" s="125"/>
      <c r="OIH3002" s="470"/>
      <c r="OII3002" s="449"/>
      <c r="OIJ3002" s="462"/>
      <c r="OIK3002" s="299"/>
      <c r="OIL3002" s="81"/>
      <c r="OIM3002" s="160"/>
      <c r="OIN3002" s="574"/>
      <c r="OIO3002" s="125"/>
      <c r="OIP3002" s="470"/>
      <c r="OIQ3002" s="449"/>
      <c r="OIR3002" s="462"/>
      <c r="OIS3002" s="299"/>
      <c r="OIT3002" s="81"/>
      <c r="OIU3002" s="160"/>
      <c r="OIV3002" s="574"/>
      <c r="OIW3002" s="125"/>
      <c r="OIX3002" s="470"/>
      <c r="OIY3002" s="449"/>
      <c r="OIZ3002" s="462"/>
      <c r="OJA3002" s="299"/>
      <c r="OJB3002" s="81"/>
      <c r="OJC3002" s="160"/>
      <c r="OJD3002" s="574"/>
      <c r="OJE3002" s="125"/>
      <c r="OJF3002" s="470"/>
      <c r="OJG3002" s="449"/>
      <c r="OJH3002" s="462"/>
      <c r="OJI3002" s="299"/>
      <c r="OJJ3002" s="81"/>
      <c r="OJK3002" s="160"/>
      <c r="OJL3002" s="574"/>
      <c r="OJM3002" s="125"/>
      <c r="OJN3002" s="470"/>
      <c r="OJO3002" s="449"/>
      <c r="OJP3002" s="462"/>
      <c r="OJQ3002" s="299"/>
      <c r="OJR3002" s="81"/>
      <c r="OJS3002" s="160"/>
      <c r="OJT3002" s="574"/>
      <c r="OJU3002" s="125"/>
      <c r="OJV3002" s="470"/>
      <c r="OJW3002" s="449"/>
      <c r="OJX3002" s="462"/>
      <c r="OJY3002" s="299"/>
      <c r="OJZ3002" s="81"/>
      <c r="OKA3002" s="160"/>
      <c r="OKB3002" s="574"/>
      <c r="OKC3002" s="125"/>
      <c r="OKD3002" s="470"/>
      <c r="OKE3002" s="449"/>
      <c r="OKF3002" s="462"/>
      <c r="OKG3002" s="299"/>
      <c r="OKH3002" s="81"/>
      <c r="OKI3002" s="160"/>
      <c r="OKJ3002" s="574"/>
      <c r="OKK3002" s="125"/>
      <c r="OKL3002" s="470"/>
      <c r="OKM3002" s="449"/>
      <c r="OKN3002" s="462"/>
      <c r="OKO3002" s="299"/>
      <c r="OKP3002" s="81"/>
      <c r="OKQ3002" s="160"/>
      <c r="OKR3002" s="574"/>
      <c r="OKS3002" s="125"/>
      <c r="OKT3002" s="470"/>
      <c r="OKU3002" s="449"/>
      <c r="OKV3002" s="462"/>
      <c r="OKW3002" s="299"/>
      <c r="OKX3002" s="81"/>
      <c r="OKY3002" s="160"/>
      <c r="OKZ3002" s="574"/>
      <c r="OLA3002" s="125"/>
      <c r="OLB3002" s="470"/>
      <c r="OLC3002" s="449"/>
      <c r="OLD3002" s="462"/>
      <c r="OLE3002" s="299"/>
      <c r="OLF3002" s="81"/>
      <c r="OLG3002" s="160"/>
      <c r="OLH3002" s="574"/>
      <c r="OLI3002" s="125"/>
      <c r="OLJ3002" s="470"/>
      <c r="OLK3002" s="449"/>
      <c r="OLL3002" s="462"/>
      <c r="OLM3002" s="299"/>
      <c r="OLN3002" s="81"/>
      <c r="OLO3002" s="160"/>
      <c r="OLP3002" s="574"/>
      <c r="OLQ3002" s="125"/>
      <c r="OLR3002" s="470"/>
      <c r="OLS3002" s="449"/>
      <c r="OLT3002" s="462"/>
      <c r="OLU3002" s="299"/>
      <c r="OLV3002" s="81"/>
      <c r="OLW3002" s="160"/>
      <c r="OLX3002" s="574"/>
      <c r="OLY3002" s="125"/>
      <c r="OLZ3002" s="470"/>
      <c r="OMA3002" s="449"/>
      <c r="OMB3002" s="462"/>
      <c r="OMC3002" s="299"/>
      <c r="OMD3002" s="81"/>
      <c r="OME3002" s="160"/>
      <c r="OMF3002" s="574"/>
      <c r="OMG3002" s="125"/>
      <c r="OMH3002" s="470"/>
      <c r="OMI3002" s="449"/>
      <c r="OMJ3002" s="462"/>
      <c r="OMK3002" s="299"/>
      <c r="OML3002" s="81"/>
      <c r="OMM3002" s="160"/>
      <c r="OMN3002" s="574"/>
      <c r="OMO3002" s="125"/>
      <c r="OMP3002" s="470"/>
      <c r="OMQ3002" s="449"/>
      <c r="OMR3002" s="462"/>
      <c r="OMS3002" s="299"/>
      <c r="OMT3002" s="81"/>
      <c r="OMU3002" s="160"/>
      <c r="OMV3002" s="574"/>
      <c r="OMW3002" s="125"/>
      <c r="OMX3002" s="470"/>
      <c r="OMY3002" s="449"/>
      <c r="OMZ3002" s="462"/>
      <c r="ONA3002" s="299"/>
      <c r="ONB3002" s="81"/>
      <c r="ONC3002" s="160"/>
      <c r="OND3002" s="574"/>
      <c r="ONE3002" s="125"/>
      <c r="ONF3002" s="470"/>
      <c r="ONG3002" s="449"/>
      <c r="ONH3002" s="462"/>
      <c r="ONI3002" s="299"/>
      <c r="ONJ3002" s="81"/>
      <c r="ONK3002" s="160"/>
      <c r="ONL3002" s="574"/>
      <c r="ONM3002" s="125"/>
      <c r="ONN3002" s="470"/>
      <c r="ONO3002" s="449"/>
      <c r="ONP3002" s="462"/>
      <c r="ONQ3002" s="299"/>
      <c r="ONR3002" s="81"/>
      <c r="ONS3002" s="160"/>
      <c r="ONT3002" s="574"/>
      <c r="ONU3002" s="125"/>
      <c r="ONV3002" s="470"/>
      <c r="ONW3002" s="449"/>
      <c r="ONX3002" s="462"/>
      <c r="ONY3002" s="299"/>
      <c r="ONZ3002" s="81"/>
      <c r="OOA3002" s="160"/>
      <c r="OOB3002" s="574"/>
      <c r="OOC3002" s="125"/>
      <c r="OOD3002" s="470"/>
      <c r="OOE3002" s="449"/>
      <c r="OOF3002" s="462"/>
      <c r="OOG3002" s="299"/>
      <c r="OOH3002" s="81"/>
      <c r="OOI3002" s="160"/>
      <c r="OOJ3002" s="574"/>
      <c r="OOK3002" s="125"/>
      <c r="OOL3002" s="470"/>
      <c r="OOM3002" s="449"/>
      <c r="OON3002" s="462"/>
      <c r="OOO3002" s="299"/>
      <c r="OOP3002" s="81"/>
      <c r="OOQ3002" s="160"/>
      <c r="OOR3002" s="574"/>
      <c r="OOS3002" s="125"/>
      <c r="OOT3002" s="470"/>
      <c r="OOU3002" s="449"/>
      <c r="OOV3002" s="462"/>
      <c r="OOW3002" s="299"/>
      <c r="OOX3002" s="81"/>
      <c r="OOY3002" s="160"/>
      <c r="OOZ3002" s="574"/>
      <c r="OPA3002" s="125"/>
      <c r="OPB3002" s="470"/>
      <c r="OPC3002" s="449"/>
      <c r="OPD3002" s="462"/>
      <c r="OPE3002" s="299"/>
      <c r="OPF3002" s="81"/>
      <c r="OPG3002" s="160"/>
      <c r="OPH3002" s="574"/>
      <c r="OPI3002" s="125"/>
      <c r="OPJ3002" s="470"/>
      <c r="OPK3002" s="449"/>
      <c r="OPL3002" s="462"/>
      <c r="OPM3002" s="299"/>
      <c r="OPN3002" s="81"/>
      <c r="OPO3002" s="160"/>
      <c r="OPP3002" s="574"/>
      <c r="OPQ3002" s="125"/>
      <c r="OPR3002" s="470"/>
      <c r="OPS3002" s="449"/>
      <c r="OPT3002" s="462"/>
      <c r="OPU3002" s="299"/>
      <c r="OPV3002" s="81"/>
      <c r="OPW3002" s="160"/>
      <c r="OPX3002" s="574"/>
      <c r="OPY3002" s="125"/>
      <c r="OPZ3002" s="470"/>
      <c r="OQA3002" s="449"/>
      <c r="OQB3002" s="462"/>
      <c r="OQC3002" s="299"/>
      <c r="OQD3002" s="81"/>
      <c r="OQE3002" s="160"/>
      <c r="OQF3002" s="574"/>
      <c r="OQG3002" s="125"/>
      <c r="OQH3002" s="470"/>
      <c r="OQI3002" s="449"/>
      <c r="OQJ3002" s="462"/>
      <c r="OQK3002" s="299"/>
      <c r="OQL3002" s="81"/>
      <c r="OQM3002" s="160"/>
      <c r="OQN3002" s="574"/>
      <c r="OQO3002" s="125"/>
      <c r="OQP3002" s="470"/>
      <c r="OQQ3002" s="449"/>
      <c r="OQR3002" s="462"/>
      <c r="OQS3002" s="299"/>
      <c r="OQT3002" s="81"/>
      <c r="OQU3002" s="160"/>
      <c r="OQV3002" s="574"/>
      <c r="OQW3002" s="125"/>
      <c r="OQX3002" s="470"/>
      <c r="OQY3002" s="449"/>
      <c r="OQZ3002" s="462"/>
      <c r="ORA3002" s="299"/>
      <c r="ORB3002" s="81"/>
      <c r="ORC3002" s="160"/>
      <c r="ORD3002" s="574"/>
      <c r="ORE3002" s="125"/>
      <c r="ORF3002" s="470"/>
      <c r="ORG3002" s="449"/>
      <c r="ORH3002" s="462"/>
      <c r="ORI3002" s="299"/>
      <c r="ORJ3002" s="81"/>
      <c r="ORK3002" s="160"/>
      <c r="ORL3002" s="574"/>
      <c r="ORM3002" s="125"/>
      <c r="ORN3002" s="470"/>
      <c r="ORO3002" s="449"/>
      <c r="ORP3002" s="462"/>
      <c r="ORQ3002" s="299"/>
      <c r="ORR3002" s="81"/>
      <c r="ORS3002" s="160"/>
      <c r="ORT3002" s="574"/>
      <c r="ORU3002" s="125"/>
      <c r="ORV3002" s="470"/>
      <c r="ORW3002" s="449"/>
      <c r="ORX3002" s="462"/>
      <c r="ORY3002" s="299"/>
      <c r="ORZ3002" s="81"/>
      <c r="OSA3002" s="160"/>
      <c r="OSB3002" s="574"/>
      <c r="OSC3002" s="125"/>
      <c r="OSD3002" s="470"/>
      <c r="OSE3002" s="449"/>
      <c r="OSF3002" s="462"/>
      <c r="OSG3002" s="299"/>
      <c r="OSH3002" s="81"/>
      <c r="OSI3002" s="160"/>
      <c r="OSJ3002" s="574"/>
      <c r="OSK3002" s="125"/>
      <c r="OSL3002" s="470"/>
      <c r="OSM3002" s="449"/>
      <c r="OSN3002" s="462"/>
      <c r="OSO3002" s="299"/>
      <c r="OSP3002" s="81"/>
      <c r="OSQ3002" s="160"/>
      <c r="OSR3002" s="574"/>
      <c r="OSS3002" s="125"/>
      <c r="OST3002" s="470"/>
      <c r="OSU3002" s="449"/>
      <c r="OSV3002" s="462"/>
      <c r="OSW3002" s="299"/>
      <c r="OSX3002" s="81"/>
      <c r="OSY3002" s="160"/>
      <c r="OSZ3002" s="574"/>
      <c r="OTA3002" s="125"/>
      <c r="OTB3002" s="470"/>
      <c r="OTC3002" s="449"/>
      <c r="OTD3002" s="462"/>
      <c r="OTE3002" s="299"/>
      <c r="OTF3002" s="81"/>
      <c r="OTG3002" s="160"/>
      <c r="OTH3002" s="574"/>
      <c r="OTI3002" s="125"/>
      <c r="OTJ3002" s="470"/>
      <c r="OTK3002" s="449"/>
      <c r="OTL3002" s="462"/>
      <c r="OTM3002" s="299"/>
      <c r="OTN3002" s="81"/>
      <c r="OTO3002" s="160"/>
      <c r="OTP3002" s="574"/>
      <c r="OTQ3002" s="125"/>
      <c r="OTR3002" s="470"/>
      <c r="OTS3002" s="449"/>
      <c r="OTT3002" s="462"/>
      <c r="OTU3002" s="299"/>
      <c r="OTV3002" s="81"/>
      <c r="OTW3002" s="160"/>
      <c r="OTX3002" s="574"/>
      <c r="OTY3002" s="125"/>
      <c r="OTZ3002" s="470"/>
      <c r="OUA3002" s="449"/>
      <c r="OUB3002" s="462"/>
      <c r="OUC3002" s="299"/>
      <c r="OUD3002" s="81"/>
      <c r="OUE3002" s="160"/>
      <c r="OUF3002" s="574"/>
      <c r="OUG3002" s="125"/>
      <c r="OUH3002" s="470"/>
      <c r="OUI3002" s="449"/>
      <c r="OUJ3002" s="462"/>
      <c r="OUK3002" s="299"/>
      <c r="OUL3002" s="81"/>
      <c r="OUM3002" s="160"/>
      <c r="OUN3002" s="574"/>
      <c r="OUO3002" s="125"/>
      <c r="OUP3002" s="470"/>
      <c r="OUQ3002" s="449"/>
      <c r="OUR3002" s="462"/>
      <c r="OUS3002" s="299"/>
      <c r="OUT3002" s="81"/>
      <c r="OUU3002" s="160"/>
      <c r="OUV3002" s="574"/>
      <c r="OUW3002" s="125"/>
      <c r="OUX3002" s="470"/>
      <c r="OUY3002" s="449"/>
      <c r="OUZ3002" s="462"/>
      <c r="OVA3002" s="299"/>
      <c r="OVB3002" s="81"/>
      <c r="OVC3002" s="160"/>
      <c r="OVD3002" s="574"/>
      <c r="OVE3002" s="125"/>
      <c r="OVF3002" s="470"/>
      <c r="OVG3002" s="449"/>
      <c r="OVH3002" s="462"/>
      <c r="OVI3002" s="299"/>
      <c r="OVJ3002" s="81"/>
      <c r="OVK3002" s="160"/>
      <c r="OVL3002" s="574"/>
      <c r="OVM3002" s="125"/>
      <c r="OVN3002" s="470"/>
      <c r="OVO3002" s="449"/>
      <c r="OVP3002" s="462"/>
      <c r="OVQ3002" s="299"/>
      <c r="OVR3002" s="81"/>
      <c r="OVS3002" s="160"/>
      <c r="OVT3002" s="574"/>
      <c r="OVU3002" s="125"/>
      <c r="OVV3002" s="470"/>
      <c r="OVW3002" s="449"/>
      <c r="OVX3002" s="462"/>
      <c r="OVY3002" s="299"/>
      <c r="OVZ3002" s="81"/>
      <c r="OWA3002" s="160"/>
      <c r="OWB3002" s="574"/>
      <c r="OWC3002" s="125"/>
      <c r="OWD3002" s="470"/>
      <c r="OWE3002" s="449"/>
      <c r="OWF3002" s="462"/>
      <c r="OWG3002" s="299"/>
      <c r="OWH3002" s="81"/>
      <c r="OWI3002" s="160"/>
      <c r="OWJ3002" s="574"/>
      <c r="OWK3002" s="125"/>
      <c r="OWL3002" s="470"/>
      <c r="OWM3002" s="449"/>
      <c r="OWN3002" s="462"/>
      <c r="OWO3002" s="299"/>
      <c r="OWP3002" s="81"/>
      <c r="OWQ3002" s="160"/>
      <c r="OWR3002" s="574"/>
      <c r="OWS3002" s="125"/>
      <c r="OWT3002" s="470"/>
      <c r="OWU3002" s="449"/>
      <c r="OWV3002" s="462"/>
      <c r="OWW3002" s="299"/>
      <c r="OWX3002" s="81"/>
      <c r="OWY3002" s="160"/>
      <c r="OWZ3002" s="574"/>
      <c r="OXA3002" s="125"/>
      <c r="OXB3002" s="470"/>
      <c r="OXC3002" s="449"/>
      <c r="OXD3002" s="462"/>
      <c r="OXE3002" s="299"/>
      <c r="OXF3002" s="81"/>
      <c r="OXG3002" s="160"/>
      <c r="OXH3002" s="574"/>
      <c r="OXI3002" s="125"/>
      <c r="OXJ3002" s="470"/>
      <c r="OXK3002" s="449"/>
      <c r="OXL3002" s="462"/>
      <c r="OXM3002" s="299"/>
      <c r="OXN3002" s="81"/>
      <c r="OXO3002" s="160"/>
      <c r="OXP3002" s="574"/>
      <c r="OXQ3002" s="125"/>
      <c r="OXR3002" s="470"/>
      <c r="OXS3002" s="449"/>
      <c r="OXT3002" s="462"/>
      <c r="OXU3002" s="299"/>
      <c r="OXV3002" s="81"/>
      <c r="OXW3002" s="160"/>
      <c r="OXX3002" s="574"/>
      <c r="OXY3002" s="125"/>
      <c r="OXZ3002" s="470"/>
      <c r="OYA3002" s="449"/>
      <c r="OYB3002" s="462"/>
      <c r="OYC3002" s="299"/>
      <c r="OYD3002" s="81"/>
      <c r="OYE3002" s="160"/>
      <c r="OYF3002" s="574"/>
      <c r="OYG3002" s="125"/>
      <c r="OYH3002" s="470"/>
      <c r="OYI3002" s="449"/>
      <c r="OYJ3002" s="462"/>
      <c r="OYK3002" s="299"/>
      <c r="OYL3002" s="81"/>
      <c r="OYM3002" s="160"/>
      <c r="OYN3002" s="574"/>
      <c r="OYO3002" s="125"/>
      <c r="OYP3002" s="470"/>
      <c r="OYQ3002" s="449"/>
      <c r="OYR3002" s="462"/>
      <c r="OYS3002" s="299"/>
      <c r="OYT3002" s="81"/>
      <c r="OYU3002" s="160"/>
      <c r="OYV3002" s="574"/>
      <c r="OYW3002" s="125"/>
      <c r="OYX3002" s="470"/>
      <c r="OYY3002" s="449"/>
      <c r="OYZ3002" s="462"/>
      <c r="OZA3002" s="299"/>
      <c r="OZB3002" s="81"/>
      <c r="OZC3002" s="160"/>
      <c r="OZD3002" s="574"/>
      <c r="OZE3002" s="125"/>
      <c r="OZF3002" s="470"/>
      <c r="OZG3002" s="449"/>
      <c r="OZH3002" s="462"/>
      <c r="OZI3002" s="299"/>
      <c r="OZJ3002" s="81"/>
      <c r="OZK3002" s="160"/>
      <c r="OZL3002" s="574"/>
      <c r="OZM3002" s="125"/>
      <c r="OZN3002" s="470"/>
      <c r="OZO3002" s="449"/>
      <c r="OZP3002" s="462"/>
      <c r="OZQ3002" s="299"/>
      <c r="OZR3002" s="81"/>
      <c r="OZS3002" s="160"/>
      <c r="OZT3002" s="574"/>
      <c r="OZU3002" s="125"/>
      <c r="OZV3002" s="470"/>
      <c r="OZW3002" s="449"/>
      <c r="OZX3002" s="462"/>
      <c r="OZY3002" s="299"/>
      <c r="OZZ3002" s="81"/>
      <c r="PAA3002" s="160"/>
      <c r="PAB3002" s="574"/>
      <c r="PAC3002" s="125"/>
      <c r="PAD3002" s="470"/>
      <c r="PAE3002" s="449"/>
      <c r="PAF3002" s="462"/>
      <c r="PAG3002" s="299"/>
      <c r="PAH3002" s="81"/>
      <c r="PAI3002" s="160"/>
      <c r="PAJ3002" s="574"/>
      <c r="PAK3002" s="125"/>
      <c r="PAL3002" s="470"/>
      <c r="PAM3002" s="449"/>
      <c r="PAN3002" s="462"/>
      <c r="PAO3002" s="299"/>
      <c r="PAP3002" s="81"/>
      <c r="PAQ3002" s="160"/>
      <c r="PAR3002" s="574"/>
      <c r="PAS3002" s="125"/>
      <c r="PAT3002" s="470"/>
      <c r="PAU3002" s="449"/>
      <c r="PAV3002" s="462"/>
      <c r="PAW3002" s="299"/>
      <c r="PAX3002" s="81"/>
      <c r="PAY3002" s="160"/>
      <c r="PAZ3002" s="574"/>
      <c r="PBA3002" s="125"/>
      <c r="PBB3002" s="470"/>
      <c r="PBC3002" s="449"/>
      <c r="PBD3002" s="462"/>
      <c r="PBE3002" s="299"/>
      <c r="PBF3002" s="81"/>
      <c r="PBG3002" s="160"/>
      <c r="PBH3002" s="574"/>
      <c r="PBI3002" s="125"/>
      <c r="PBJ3002" s="470"/>
      <c r="PBK3002" s="449"/>
      <c r="PBL3002" s="462"/>
      <c r="PBM3002" s="299"/>
      <c r="PBN3002" s="81"/>
      <c r="PBO3002" s="160"/>
      <c r="PBP3002" s="574"/>
      <c r="PBQ3002" s="125"/>
      <c r="PBR3002" s="470"/>
      <c r="PBS3002" s="449"/>
      <c r="PBT3002" s="462"/>
      <c r="PBU3002" s="299"/>
      <c r="PBV3002" s="81"/>
      <c r="PBW3002" s="160"/>
      <c r="PBX3002" s="574"/>
      <c r="PBY3002" s="125"/>
      <c r="PBZ3002" s="470"/>
      <c r="PCA3002" s="449"/>
      <c r="PCB3002" s="462"/>
      <c r="PCC3002" s="299"/>
      <c r="PCD3002" s="81"/>
      <c r="PCE3002" s="160"/>
      <c r="PCF3002" s="574"/>
      <c r="PCG3002" s="125"/>
      <c r="PCH3002" s="470"/>
      <c r="PCI3002" s="449"/>
      <c r="PCJ3002" s="462"/>
      <c r="PCK3002" s="299"/>
      <c r="PCL3002" s="81"/>
      <c r="PCM3002" s="160"/>
      <c r="PCN3002" s="574"/>
      <c r="PCO3002" s="125"/>
      <c r="PCP3002" s="470"/>
      <c r="PCQ3002" s="449"/>
      <c r="PCR3002" s="462"/>
      <c r="PCS3002" s="299"/>
      <c r="PCT3002" s="81"/>
      <c r="PCU3002" s="160"/>
      <c r="PCV3002" s="574"/>
      <c r="PCW3002" s="125"/>
      <c r="PCX3002" s="470"/>
      <c r="PCY3002" s="449"/>
      <c r="PCZ3002" s="462"/>
      <c r="PDA3002" s="299"/>
      <c r="PDB3002" s="81"/>
      <c r="PDC3002" s="160"/>
      <c r="PDD3002" s="574"/>
      <c r="PDE3002" s="125"/>
      <c r="PDF3002" s="470"/>
      <c r="PDG3002" s="449"/>
      <c r="PDH3002" s="462"/>
      <c r="PDI3002" s="299"/>
      <c r="PDJ3002" s="81"/>
      <c r="PDK3002" s="160"/>
      <c r="PDL3002" s="574"/>
      <c r="PDM3002" s="125"/>
      <c r="PDN3002" s="470"/>
      <c r="PDO3002" s="449"/>
      <c r="PDP3002" s="462"/>
      <c r="PDQ3002" s="299"/>
      <c r="PDR3002" s="81"/>
      <c r="PDS3002" s="160"/>
      <c r="PDT3002" s="574"/>
      <c r="PDU3002" s="125"/>
      <c r="PDV3002" s="470"/>
      <c r="PDW3002" s="449"/>
      <c r="PDX3002" s="462"/>
      <c r="PDY3002" s="299"/>
      <c r="PDZ3002" s="81"/>
      <c r="PEA3002" s="160"/>
      <c r="PEB3002" s="574"/>
      <c r="PEC3002" s="125"/>
      <c r="PED3002" s="470"/>
      <c r="PEE3002" s="449"/>
      <c r="PEF3002" s="462"/>
      <c r="PEG3002" s="299"/>
      <c r="PEH3002" s="81"/>
      <c r="PEI3002" s="160"/>
      <c r="PEJ3002" s="574"/>
      <c r="PEK3002" s="125"/>
      <c r="PEL3002" s="470"/>
      <c r="PEM3002" s="449"/>
      <c r="PEN3002" s="462"/>
      <c r="PEO3002" s="299"/>
      <c r="PEP3002" s="81"/>
      <c r="PEQ3002" s="160"/>
      <c r="PER3002" s="574"/>
      <c r="PES3002" s="125"/>
      <c r="PET3002" s="470"/>
      <c r="PEU3002" s="449"/>
      <c r="PEV3002" s="462"/>
      <c r="PEW3002" s="299"/>
      <c r="PEX3002" s="81"/>
      <c r="PEY3002" s="160"/>
      <c r="PEZ3002" s="574"/>
      <c r="PFA3002" s="125"/>
      <c r="PFB3002" s="470"/>
      <c r="PFC3002" s="449"/>
      <c r="PFD3002" s="462"/>
      <c r="PFE3002" s="299"/>
      <c r="PFF3002" s="81"/>
      <c r="PFG3002" s="160"/>
      <c r="PFH3002" s="574"/>
      <c r="PFI3002" s="125"/>
      <c r="PFJ3002" s="470"/>
      <c r="PFK3002" s="449"/>
      <c r="PFL3002" s="462"/>
      <c r="PFM3002" s="299"/>
      <c r="PFN3002" s="81"/>
      <c r="PFO3002" s="160"/>
      <c r="PFP3002" s="574"/>
      <c r="PFQ3002" s="125"/>
      <c r="PFR3002" s="470"/>
      <c r="PFS3002" s="449"/>
      <c r="PFT3002" s="462"/>
      <c r="PFU3002" s="299"/>
      <c r="PFV3002" s="81"/>
      <c r="PFW3002" s="160"/>
      <c r="PFX3002" s="574"/>
      <c r="PFY3002" s="125"/>
      <c r="PFZ3002" s="470"/>
      <c r="PGA3002" s="449"/>
      <c r="PGB3002" s="462"/>
      <c r="PGC3002" s="299"/>
      <c r="PGD3002" s="81"/>
      <c r="PGE3002" s="160"/>
      <c r="PGF3002" s="574"/>
      <c r="PGG3002" s="125"/>
      <c r="PGH3002" s="470"/>
      <c r="PGI3002" s="449"/>
      <c r="PGJ3002" s="462"/>
      <c r="PGK3002" s="299"/>
      <c r="PGL3002" s="81"/>
      <c r="PGM3002" s="160"/>
      <c r="PGN3002" s="574"/>
      <c r="PGO3002" s="125"/>
      <c r="PGP3002" s="470"/>
      <c r="PGQ3002" s="449"/>
      <c r="PGR3002" s="462"/>
      <c r="PGS3002" s="299"/>
      <c r="PGT3002" s="81"/>
      <c r="PGU3002" s="160"/>
      <c r="PGV3002" s="574"/>
      <c r="PGW3002" s="125"/>
      <c r="PGX3002" s="470"/>
      <c r="PGY3002" s="449"/>
      <c r="PGZ3002" s="462"/>
      <c r="PHA3002" s="299"/>
      <c r="PHB3002" s="81"/>
      <c r="PHC3002" s="160"/>
      <c r="PHD3002" s="574"/>
      <c r="PHE3002" s="125"/>
      <c r="PHF3002" s="470"/>
      <c r="PHG3002" s="449"/>
      <c r="PHH3002" s="462"/>
      <c r="PHI3002" s="299"/>
      <c r="PHJ3002" s="81"/>
      <c r="PHK3002" s="160"/>
      <c r="PHL3002" s="574"/>
      <c r="PHM3002" s="125"/>
      <c r="PHN3002" s="470"/>
      <c r="PHO3002" s="449"/>
      <c r="PHP3002" s="462"/>
      <c r="PHQ3002" s="299"/>
      <c r="PHR3002" s="81"/>
      <c r="PHS3002" s="160"/>
      <c r="PHT3002" s="574"/>
      <c r="PHU3002" s="125"/>
      <c r="PHV3002" s="470"/>
      <c r="PHW3002" s="449"/>
      <c r="PHX3002" s="462"/>
      <c r="PHY3002" s="299"/>
      <c r="PHZ3002" s="81"/>
      <c r="PIA3002" s="160"/>
      <c r="PIB3002" s="574"/>
      <c r="PIC3002" s="125"/>
      <c r="PID3002" s="470"/>
      <c r="PIE3002" s="449"/>
      <c r="PIF3002" s="462"/>
      <c r="PIG3002" s="299"/>
      <c r="PIH3002" s="81"/>
      <c r="PII3002" s="160"/>
      <c r="PIJ3002" s="574"/>
      <c r="PIK3002" s="125"/>
      <c r="PIL3002" s="470"/>
      <c r="PIM3002" s="449"/>
      <c r="PIN3002" s="462"/>
      <c r="PIO3002" s="299"/>
      <c r="PIP3002" s="81"/>
      <c r="PIQ3002" s="160"/>
      <c r="PIR3002" s="574"/>
      <c r="PIS3002" s="125"/>
      <c r="PIT3002" s="470"/>
      <c r="PIU3002" s="449"/>
      <c r="PIV3002" s="462"/>
      <c r="PIW3002" s="299"/>
      <c r="PIX3002" s="81"/>
      <c r="PIY3002" s="160"/>
      <c r="PIZ3002" s="574"/>
      <c r="PJA3002" s="125"/>
      <c r="PJB3002" s="470"/>
      <c r="PJC3002" s="449"/>
      <c r="PJD3002" s="462"/>
      <c r="PJE3002" s="299"/>
      <c r="PJF3002" s="81"/>
      <c r="PJG3002" s="160"/>
      <c r="PJH3002" s="574"/>
      <c r="PJI3002" s="125"/>
      <c r="PJJ3002" s="470"/>
      <c r="PJK3002" s="449"/>
      <c r="PJL3002" s="462"/>
      <c r="PJM3002" s="299"/>
      <c r="PJN3002" s="81"/>
      <c r="PJO3002" s="160"/>
      <c r="PJP3002" s="574"/>
      <c r="PJQ3002" s="125"/>
      <c r="PJR3002" s="470"/>
      <c r="PJS3002" s="449"/>
      <c r="PJT3002" s="462"/>
      <c r="PJU3002" s="299"/>
      <c r="PJV3002" s="81"/>
      <c r="PJW3002" s="160"/>
      <c r="PJX3002" s="574"/>
      <c r="PJY3002" s="125"/>
      <c r="PJZ3002" s="470"/>
      <c r="PKA3002" s="449"/>
      <c r="PKB3002" s="462"/>
      <c r="PKC3002" s="299"/>
      <c r="PKD3002" s="81"/>
      <c r="PKE3002" s="160"/>
      <c r="PKF3002" s="574"/>
      <c r="PKG3002" s="125"/>
      <c r="PKH3002" s="470"/>
      <c r="PKI3002" s="449"/>
      <c r="PKJ3002" s="462"/>
      <c r="PKK3002" s="299"/>
      <c r="PKL3002" s="81"/>
      <c r="PKM3002" s="160"/>
      <c r="PKN3002" s="574"/>
      <c r="PKO3002" s="125"/>
      <c r="PKP3002" s="470"/>
      <c r="PKQ3002" s="449"/>
      <c r="PKR3002" s="462"/>
      <c r="PKS3002" s="299"/>
      <c r="PKT3002" s="81"/>
      <c r="PKU3002" s="160"/>
      <c r="PKV3002" s="574"/>
      <c r="PKW3002" s="125"/>
      <c r="PKX3002" s="470"/>
      <c r="PKY3002" s="449"/>
      <c r="PKZ3002" s="462"/>
      <c r="PLA3002" s="299"/>
      <c r="PLB3002" s="81"/>
      <c r="PLC3002" s="160"/>
      <c r="PLD3002" s="574"/>
      <c r="PLE3002" s="125"/>
      <c r="PLF3002" s="470"/>
      <c r="PLG3002" s="449"/>
      <c r="PLH3002" s="462"/>
      <c r="PLI3002" s="299"/>
      <c r="PLJ3002" s="81"/>
      <c r="PLK3002" s="160"/>
      <c r="PLL3002" s="574"/>
      <c r="PLM3002" s="125"/>
      <c r="PLN3002" s="470"/>
      <c r="PLO3002" s="449"/>
      <c r="PLP3002" s="462"/>
      <c r="PLQ3002" s="299"/>
      <c r="PLR3002" s="81"/>
      <c r="PLS3002" s="160"/>
      <c r="PLT3002" s="574"/>
      <c r="PLU3002" s="125"/>
      <c r="PLV3002" s="470"/>
      <c r="PLW3002" s="449"/>
      <c r="PLX3002" s="462"/>
      <c r="PLY3002" s="299"/>
      <c r="PLZ3002" s="81"/>
      <c r="PMA3002" s="160"/>
      <c r="PMB3002" s="574"/>
      <c r="PMC3002" s="125"/>
      <c r="PMD3002" s="470"/>
      <c r="PME3002" s="449"/>
      <c r="PMF3002" s="462"/>
      <c r="PMG3002" s="299"/>
      <c r="PMH3002" s="81"/>
      <c r="PMI3002" s="160"/>
      <c r="PMJ3002" s="574"/>
      <c r="PMK3002" s="125"/>
      <c r="PML3002" s="470"/>
      <c r="PMM3002" s="449"/>
      <c r="PMN3002" s="462"/>
      <c r="PMO3002" s="299"/>
      <c r="PMP3002" s="81"/>
      <c r="PMQ3002" s="160"/>
      <c r="PMR3002" s="574"/>
      <c r="PMS3002" s="125"/>
      <c r="PMT3002" s="470"/>
      <c r="PMU3002" s="449"/>
      <c r="PMV3002" s="462"/>
      <c r="PMW3002" s="299"/>
      <c r="PMX3002" s="81"/>
      <c r="PMY3002" s="160"/>
      <c r="PMZ3002" s="574"/>
      <c r="PNA3002" s="125"/>
      <c r="PNB3002" s="470"/>
      <c r="PNC3002" s="449"/>
      <c r="PND3002" s="462"/>
      <c r="PNE3002" s="299"/>
      <c r="PNF3002" s="81"/>
      <c r="PNG3002" s="160"/>
      <c r="PNH3002" s="574"/>
      <c r="PNI3002" s="125"/>
      <c r="PNJ3002" s="470"/>
      <c r="PNK3002" s="449"/>
      <c r="PNL3002" s="462"/>
      <c r="PNM3002" s="299"/>
      <c r="PNN3002" s="81"/>
      <c r="PNO3002" s="160"/>
      <c r="PNP3002" s="574"/>
      <c r="PNQ3002" s="125"/>
      <c r="PNR3002" s="470"/>
      <c r="PNS3002" s="449"/>
      <c r="PNT3002" s="462"/>
      <c r="PNU3002" s="299"/>
      <c r="PNV3002" s="81"/>
      <c r="PNW3002" s="160"/>
      <c r="PNX3002" s="574"/>
      <c r="PNY3002" s="125"/>
      <c r="PNZ3002" s="470"/>
      <c r="POA3002" s="449"/>
      <c r="POB3002" s="462"/>
      <c r="POC3002" s="299"/>
      <c r="POD3002" s="81"/>
      <c r="POE3002" s="160"/>
      <c r="POF3002" s="574"/>
      <c r="POG3002" s="125"/>
      <c r="POH3002" s="470"/>
      <c r="POI3002" s="449"/>
      <c r="POJ3002" s="462"/>
      <c r="POK3002" s="299"/>
      <c r="POL3002" s="81"/>
      <c r="POM3002" s="160"/>
      <c r="PON3002" s="574"/>
      <c r="POO3002" s="125"/>
      <c r="POP3002" s="470"/>
      <c r="POQ3002" s="449"/>
      <c r="POR3002" s="462"/>
      <c r="POS3002" s="299"/>
      <c r="POT3002" s="81"/>
      <c r="POU3002" s="160"/>
      <c r="POV3002" s="574"/>
      <c r="POW3002" s="125"/>
      <c r="POX3002" s="470"/>
      <c r="POY3002" s="449"/>
      <c r="POZ3002" s="462"/>
      <c r="PPA3002" s="299"/>
      <c r="PPB3002" s="81"/>
      <c r="PPC3002" s="160"/>
      <c r="PPD3002" s="574"/>
      <c r="PPE3002" s="125"/>
      <c r="PPF3002" s="470"/>
      <c r="PPG3002" s="449"/>
      <c r="PPH3002" s="462"/>
      <c r="PPI3002" s="299"/>
      <c r="PPJ3002" s="81"/>
      <c r="PPK3002" s="160"/>
      <c r="PPL3002" s="574"/>
      <c r="PPM3002" s="125"/>
      <c r="PPN3002" s="470"/>
      <c r="PPO3002" s="449"/>
      <c r="PPP3002" s="462"/>
      <c r="PPQ3002" s="299"/>
      <c r="PPR3002" s="81"/>
      <c r="PPS3002" s="160"/>
      <c r="PPT3002" s="574"/>
      <c r="PPU3002" s="125"/>
      <c r="PPV3002" s="470"/>
      <c r="PPW3002" s="449"/>
      <c r="PPX3002" s="462"/>
      <c r="PPY3002" s="299"/>
      <c r="PPZ3002" s="81"/>
      <c r="PQA3002" s="160"/>
      <c r="PQB3002" s="574"/>
      <c r="PQC3002" s="125"/>
      <c r="PQD3002" s="470"/>
      <c r="PQE3002" s="449"/>
      <c r="PQF3002" s="462"/>
      <c r="PQG3002" s="299"/>
      <c r="PQH3002" s="81"/>
      <c r="PQI3002" s="160"/>
      <c r="PQJ3002" s="574"/>
      <c r="PQK3002" s="125"/>
      <c r="PQL3002" s="470"/>
      <c r="PQM3002" s="449"/>
      <c r="PQN3002" s="462"/>
      <c r="PQO3002" s="299"/>
      <c r="PQP3002" s="81"/>
      <c r="PQQ3002" s="160"/>
      <c r="PQR3002" s="574"/>
      <c r="PQS3002" s="125"/>
      <c r="PQT3002" s="470"/>
      <c r="PQU3002" s="449"/>
      <c r="PQV3002" s="462"/>
      <c r="PQW3002" s="299"/>
      <c r="PQX3002" s="81"/>
      <c r="PQY3002" s="160"/>
      <c r="PQZ3002" s="574"/>
      <c r="PRA3002" s="125"/>
      <c r="PRB3002" s="470"/>
      <c r="PRC3002" s="449"/>
      <c r="PRD3002" s="462"/>
      <c r="PRE3002" s="299"/>
      <c r="PRF3002" s="81"/>
      <c r="PRG3002" s="160"/>
      <c r="PRH3002" s="574"/>
      <c r="PRI3002" s="125"/>
      <c r="PRJ3002" s="470"/>
      <c r="PRK3002" s="449"/>
      <c r="PRL3002" s="462"/>
      <c r="PRM3002" s="299"/>
      <c r="PRN3002" s="81"/>
      <c r="PRO3002" s="160"/>
      <c r="PRP3002" s="574"/>
      <c r="PRQ3002" s="125"/>
      <c r="PRR3002" s="470"/>
      <c r="PRS3002" s="449"/>
      <c r="PRT3002" s="462"/>
      <c r="PRU3002" s="299"/>
      <c r="PRV3002" s="81"/>
      <c r="PRW3002" s="160"/>
      <c r="PRX3002" s="574"/>
      <c r="PRY3002" s="125"/>
      <c r="PRZ3002" s="470"/>
      <c r="PSA3002" s="449"/>
      <c r="PSB3002" s="462"/>
      <c r="PSC3002" s="299"/>
      <c r="PSD3002" s="81"/>
      <c r="PSE3002" s="160"/>
      <c r="PSF3002" s="574"/>
      <c r="PSG3002" s="125"/>
      <c r="PSH3002" s="470"/>
      <c r="PSI3002" s="449"/>
      <c r="PSJ3002" s="462"/>
      <c r="PSK3002" s="299"/>
      <c r="PSL3002" s="81"/>
      <c r="PSM3002" s="160"/>
      <c r="PSN3002" s="574"/>
      <c r="PSO3002" s="125"/>
      <c r="PSP3002" s="470"/>
      <c r="PSQ3002" s="449"/>
      <c r="PSR3002" s="462"/>
      <c r="PSS3002" s="299"/>
      <c r="PST3002" s="81"/>
      <c r="PSU3002" s="160"/>
      <c r="PSV3002" s="574"/>
      <c r="PSW3002" s="125"/>
      <c r="PSX3002" s="470"/>
      <c r="PSY3002" s="449"/>
      <c r="PSZ3002" s="462"/>
      <c r="PTA3002" s="299"/>
      <c r="PTB3002" s="81"/>
      <c r="PTC3002" s="160"/>
      <c r="PTD3002" s="574"/>
      <c r="PTE3002" s="125"/>
      <c r="PTF3002" s="470"/>
      <c r="PTG3002" s="449"/>
      <c r="PTH3002" s="462"/>
      <c r="PTI3002" s="299"/>
      <c r="PTJ3002" s="81"/>
      <c r="PTK3002" s="160"/>
      <c r="PTL3002" s="574"/>
      <c r="PTM3002" s="125"/>
      <c r="PTN3002" s="470"/>
      <c r="PTO3002" s="449"/>
      <c r="PTP3002" s="462"/>
      <c r="PTQ3002" s="299"/>
      <c r="PTR3002" s="81"/>
      <c r="PTS3002" s="160"/>
      <c r="PTT3002" s="574"/>
      <c r="PTU3002" s="125"/>
      <c r="PTV3002" s="470"/>
      <c r="PTW3002" s="449"/>
      <c r="PTX3002" s="462"/>
      <c r="PTY3002" s="299"/>
      <c r="PTZ3002" s="81"/>
      <c r="PUA3002" s="160"/>
      <c r="PUB3002" s="574"/>
      <c r="PUC3002" s="125"/>
      <c r="PUD3002" s="470"/>
      <c r="PUE3002" s="449"/>
      <c r="PUF3002" s="462"/>
      <c r="PUG3002" s="299"/>
      <c r="PUH3002" s="81"/>
      <c r="PUI3002" s="160"/>
      <c r="PUJ3002" s="574"/>
      <c r="PUK3002" s="125"/>
      <c r="PUL3002" s="470"/>
      <c r="PUM3002" s="449"/>
      <c r="PUN3002" s="462"/>
      <c r="PUO3002" s="299"/>
      <c r="PUP3002" s="81"/>
      <c r="PUQ3002" s="160"/>
      <c r="PUR3002" s="574"/>
      <c r="PUS3002" s="125"/>
      <c r="PUT3002" s="470"/>
      <c r="PUU3002" s="449"/>
      <c r="PUV3002" s="462"/>
      <c r="PUW3002" s="299"/>
      <c r="PUX3002" s="81"/>
      <c r="PUY3002" s="160"/>
      <c r="PUZ3002" s="574"/>
      <c r="PVA3002" s="125"/>
      <c r="PVB3002" s="470"/>
      <c r="PVC3002" s="449"/>
      <c r="PVD3002" s="462"/>
      <c r="PVE3002" s="299"/>
      <c r="PVF3002" s="81"/>
      <c r="PVG3002" s="160"/>
      <c r="PVH3002" s="574"/>
      <c r="PVI3002" s="125"/>
      <c r="PVJ3002" s="470"/>
      <c r="PVK3002" s="449"/>
      <c r="PVL3002" s="462"/>
      <c r="PVM3002" s="299"/>
      <c r="PVN3002" s="81"/>
      <c r="PVO3002" s="160"/>
      <c r="PVP3002" s="574"/>
      <c r="PVQ3002" s="125"/>
      <c r="PVR3002" s="470"/>
      <c r="PVS3002" s="449"/>
      <c r="PVT3002" s="462"/>
      <c r="PVU3002" s="299"/>
      <c r="PVV3002" s="81"/>
      <c r="PVW3002" s="160"/>
      <c r="PVX3002" s="574"/>
      <c r="PVY3002" s="125"/>
      <c r="PVZ3002" s="470"/>
      <c r="PWA3002" s="449"/>
      <c r="PWB3002" s="462"/>
      <c r="PWC3002" s="299"/>
      <c r="PWD3002" s="81"/>
      <c r="PWE3002" s="160"/>
      <c r="PWF3002" s="574"/>
      <c r="PWG3002" s="125"/>
      <c r="PWH3002" s="470"/>
      <c r="PWI3002" s="449"/>
      <c r="PWJ3002" s="462"/>
      <c r="PWK3002" s="299"/>
      <c r="PWL3002" s="81"/>
      <c r="PWM3002" s="160"/>
      <c r="PWN3002" s="574"/>
      <c r="PWO3002" s="125"/>
      <c r="PWP3002" s="470"/>
      <c r="PWQ3002" s="449"/>
      <c r="PWR3002" s="462"/>
      <c r="PWS3002" s="299"/>
      <c r="PWT3002" s="81"/>
      <c r="PWU3002" s="160"/>
      <c r="PWV3002" s="574"/>
      <c r="PWW3002" s="125"/>
      <c r="PWX3002" s="470"/>
      <c r="PWY3002" s="449"/>
      <c r="PWZ3002" s="462"/>
      <c r="PXA3002" s="299"/>
      <c r="PXB3002" s="81"/>
      <c r="PXC3002" s="160"/>
      <c r="PXD3002" s="574"/>
      <c r="PXE3002" s="125"/>
      <c r="PXF3002" s="470"/>
      <c r="PXG3002" s="449"/>
      <c r="PXH3002" s="462"/>
      <c r="PXI3002" s="299"/>
      <c r="PXJ3002" s="81"/>
      <c r="PXK3002" s="160"/>
      <c r="PXL3002" s="574"/>
      <c r="PXM3002" s="125"/>
      <c r="PXN3002" s="470"/>
      <c r="PXO3002" s="449"/>
      <c r="PXP3002" s="462"/>
      <c r="PXQ3002" s="299"/>
      <c r="PXR3002" s="81"/>
      <c r="PXS3002" s="160"/>
      <c r="PXT3002" s="574"/>
      <c r="PXU3002" s="125"/>
      <c r="PXV3002" s="470"/>
      <c r="PXW3002" s="449"/>
      <c r="PXX3002" s="462"/>
      <c r="PXY3002" s="299"/>
      <c r="PXZ3002" s="81"/>
      <c r="PYA3002" s="160"/>
      <c r="PYB3002" s="574"/>
      <c r="PYC3002" s="125"/>
      <c r="PYD3002" s="470"/>
      <c r="PYE3002" s="449"/>
      <c r="PYF3002" s="462"/>
      <c r="PYG3002" s="299"/>
      <c r="PYH3002" s="81"/>
      <c r="PYI3002" s="160"/>
      <c r="PYJ3002" s="574"/>
      <c r="PYK3002" s="125"/>
      <c r="PYL3002" s="470"/>
      <c r="PYM3002" s="449"/>
      <c r="PYN3002" s="462"/>
      <c r="PYO3002" s="299"/>
      <c r="PYP3002" s="81"/>
      <c r="PYQ3002" s="160"/>
      <c r="PYR3002" s="574"/>
      <c r="PYS3002" s="125"/>
      <c r="PYT3002" s="470"/>
      <c r="PYU3002" s="449"/>
      <c r="PYV3002" s="462"/>
      <c r="PYW3002" s="299"/>
      <c r="PYX3002" s="81"/>
      <c r="PYY3002" s="160"/>
      <c r="PYZ3002" s="574"/>
      <c r="PZA3002" s="125"/>
      <c r="PZB3002" s="470"/>
      <c r="PZC3002" s="449"/>
      <c r="PZD3002" s="462"/>
      <c r="PZE3002" s="299"/>
      <c r="PZF3002" s="81"/>
      <c r="PZG3002" s="160"/>
      <c r="PZH3002" s="574"/>
      <c r="PZI3002" s="125"/>
      <c r="PZJ3002" s="470"/>
      <c r="PZK3002" s="449"/>
      <c r="PZL3002" s="462"/>
      <c r="PZM3002" s="299"/>
      <c r="PZN3002" s="81"/>
      <c r="PZO3002" s="160"/>
      <c r="PZP3002" s="574"/>
      <c r="PZQ3002" s="125"/>
      <c r="PZR3002" s="470"/>
      <c r="PZS3002" s="449"/>
      <c r="PZT3002" s="462"/>
      <c r="PZU3002" s="299"/>
      <c r="PZV3002" s="81"/>
      <c r="PZW3002" s="160"/>
      <c r="PZX3002" s="574"/>
      <c r="PZY3002" s="125"/>
      <c r="PZZ3002" s="470"/>
      <c r="QAA3002" s="449"/>
      <c r="QAB3002" s="462"/>
      <c r="QAC3002" s="299"/>
      <c r="QAD3002" s="81"/>
      <c r="QAE3002" s="160"/>
      <c r="QAF3002" s="574"/>
      <c r="QAG3002" s="125"/>
      <c r="QAH3002" s="470"/>
      <c r="QAI3002" s="449"/>
      <c r="QAJ3002" s="462"/>
      <c r="QAK3002" s="299"/>
      <c r="QAL3002" s="81"/>
      <c r="QAM3002" s="160"/>
      <c r="QAN3002" s="574"/>
      <c r="QAO3002" s="125"/>
      <c r="QAP3002" s="470"/>
      <c r="QAQ3002" s="449"/>
      <c r="QAR3002" s="462"/>
      <c r="QAS3002" s="299"/>
      <c r="QAT3002" s="81"/>
      <c r="QAU3002" s="160"/>
      <c r="QAV3002" s="574"/>
      <c r="QAW3002" s="125"/>
      <c r="QAX3002" s="470"/>
      <c r="QAY3002" s="449"/>
      <c r="QAZ3002" s="462"/>
      <c r="QBA3002" s="299"/>
      <c r="QBB3002" s="81"/>
      <c r="QBC3002" s="160"/>
      <c r="QBD3002" s="574"/>
      <c r="QBE3002" s="125"/>
      <c r="QBF3002" s="470"/>
      <c r="QBG3002" s="449"/>
      <c r="QBH3002" s="462"/>
      <c r="QBI3002" s="299"/>
      <c r="QBJ3002" s="81"/>
      <c r="QBK3002" s="160"/>
      <c r="QBL3002" s="574"/>
      <c r="QBM3002" s="125"/>
      <c r="QBN3002" s="470"/>
      <c r="QBO3002" s="449"/>
      <c r="QBP3002" s="462"/>
      <c r="QBQ3002" s="299"/>
      <c r="QBR3002" s="81"/>
      <c r="QBS3002" s="160"/>
      <c r="QBT3002" s="574"/>
      <c r="QBU3002" s="125"/>
      <c r="QBV3002" s="470"/>
      <c r="QBW3002" s="449"/>
      <c r="QBX3002" s="462"/>
      <c r="QBY3002" s="299"/>
      <c r="QBZ3002" s="81"/>
      <c r="QCA3002" s="160"/>
      <c r="QCB3002" s="574"/>
      <c r="QCC3002" s="125"/>
      <c r="QCD3002" s="470"/>
      <c r="QCE3002" s="449"/>
      <c r="QCF3002" s="462"/>
      <c r="QCG3002" s="299"/>
      <c r="QCH3002" s="81"/>
      <c r="QCI3002" s="160"/>
      <c r="QCJ3002" s="574"/>
      <c r="QCK3002" s="125"/>
      <c r="QCL3002" s="470"/>
      <c r="QCM3002" s="449"/>
      <c r="QCN3002" s="462"/>
      <c r="QCO3002" s="299"/>
      <c r="QCP3002" s="81"/>
      <c r="QCQ3002" s="160"/>
      <c r="QCR3002" s="574"/>
      <c r="QCS3002" s="125"/>
      <c r="QCT3002" s="470"/>
      <c r="QCU3002" s="449"/>
      <c r="QCV3002" s="462"/>
      <c r="QCW3002" s="299"/>
      <c r="QCX3002" s="81"/>
      <c r="QCY3002" s="160"/>
      <c r="QCZ3002" s="574"/>
      <c r="QDA3002" s="125"/>
      <c r="QDB3002" s="470"/>
      <c r="QDC3002" s="449"/>
      <c r="QDD3002" s="462"/>
      <c r="QDE3002" s="299"/>
      <c r="QDF3002" s="81"/>
      <c r="QDG3002" s="160"/>
      <c r="QDH3002" s="574"/>
      <c r="QDI3002" s="125"/>
      <c r="QDJ3002" s="470"/>
      <c r="QDK3002" s="449"/>
      <c r="QDL3002" s="462"/>
      <c r="QDM3002" s="299"/>
      <c r="QDN3002" s="81"/>
      <c r="QDO3002" s="160"/>
      <c r="QDP3002" s="574"/>
      <c r="QDQ3002" s="125"/>
      <c r="QDR3002" s="470"/>
      <c r="QDS3002" s="449"/>
      <c r="QDT3002" s="462"/>
      <c r="QDU3002" s="299"/>
      <c r="QDV3002" s="81"/>
      <c r="QDW3002" s="160"/>
      <c r="QDX3002" s="574"/>
      <c r="QDY3002" s="125"/>
      <c r="QDZ3002" s="470"/>
      <c r="QEA3002" s="449"/>
      <c r="QEB3002" s="462"/>
      <c r="QEC3002" s="299"/>
      <c r="QED3002" s="81"/>
      <c r="QEE3002" s="160"/>
      <c r="QEF3002" s="574"/>
      <c r="QEG3002" s="125"/>
      <c r="QEH3002" s="470"/>
      <c r="QEI3002" s="449"/>
      <c r="QEJ3002" s="462"/>
      <c r="QEK3002" s="299"/>
      <c r="QEL3002" s="81"/>
      <c r="QEM3002" s="160"/>
      <c r="QEN3002" s="574"/>
      <c r="QEO3002" s="125"/>
      <c r="QEP3002" s="470"/>
      <c r="QEQ3002" s="449"/>
      <c r="QER3002" s="462"/>
      <c r="QES3002" s="299"/>
      <c r="QET3002" s="81"/>
      <c r="QEU3002" s="160"/>
      <c r="QEV3002" s="574"/>
      <c r="QEW3002" s="125"/>
      <c r="QEX3002" s="470"/>
      <c r="QEY3002" s="449"/>
      <c r="QEZ3002" s="462"/>
      <c r="QFA3002" s="299"/>
      <c r="QFB3002" s="81"/>
      <c r="QFC3002" s="160"/>
      <c r="QFD3002" s="574"/>
      <c r="QFE3002" s="125"/>
      <c r="QFF3002" s="470"/>
      <c r="QFG3002" s="449"/>
      <c r="QFH3002" s="462"/>
      <c r="QFI3002" s="299"/>
      <c r="QFJ3002" s="81"/>
      <c r="QFK3002" s="160"/>
      <c r="QFL3002" s="574"/>
      <c r="QFM3002" s="125"/>
      <c r="QFN3002" s="470"/>
      <c r="QFO3002" s="449"/>
      <c r="QFP3002" s="462"/>
      <c r="QFQ3002" s="299"/>
      <c r="QFR3002" s="81"/>
      <c r="QFS3002" s="160"/>
      <c r="QFT3002" s="574"/>
      <c r="QFU3002" s="125"/>
      <c r="QFV3002" s="470"/>
      <c r="QFW3002" s="449"/>
      <c r="QFX3002" s="462"/>
      <c r="QFY3002" s="299"/>
      <c r="QFZ3002" s="81"/>
      <c r="QGA3002" s="160"/>
      <c r="QGB3002" s="574"/>
      <c r="QGC3002" s="125"/>
      <c r="QGD3002" s="470"/>
      <c r="QGE3002" s="449"/>
      <c r="QGF3002" s="462"/>
      <c r="QGG3002" s="299"/>
      <c r="QGH3002" s="81"/>
      <c r="QGI3002" s="160"/>
      <c r="QGJ3002" s="574"/>
      <c r="QGK3002" s="125"/>
      <c r="QGL3002" s="470"/>
      <c r="QGM3002" s="449"/>
      <c r="QGN3002" s="462"/>
      <c r="QGO3002" s="299"/>
      <c r="QGP3002" s="81"/>
      <c r="QGQ3002" s="160"/>
      <c r="QGR3002" s="574"/>
      <c r="QGS3002" s="125"/>
      <c r="QGT3002" s="470"/>
      <c r="QGU3002" s="449"/>
      <c r="QGV3002" s="462"/>
      <c r="QGW3002" s="299"/>
      <c r="QGX3002" s="81"/>
      <c r="QGY3002" s="160"/>
      <c r="QGZ3002" s="574"/>
      <c r="QHA3002" s="125"/>
      <c r="QHB3002" s="470"/>
      <c r="QHC3002" s="449"/>
      <c r="QHD3002" s="462"/>
      <c r="QHE3002" s="299"/>
      <c r="QHF3002" s="81"/>
      <c r="QHG3002" s="160"/>
      <c r="QHH3002" s="574"/>
      <c r="QHI3002" s="125"/>
      <c r="QHJ3002" s="470"/>
      <c r="QHK3002" s="449"/>
      <c r="QHL3002" s="462"/>
      <c r="QHM3002" s="299"/>
      <c r="QHN3002" s="81"/>
      <c r="QHO3002" s="160"/>
      <c r="QHP3002" s="574"/>
      <c r="QHQ3002" s="125"/>
      <c r="QHR3002" s="470"/>
      <c r="QHS3002" s="449"/>
      <c r="QHT3002" s="462"/>
      <c r="QHU3002" s="299"/>
      <c r="QHV3002" s="81"/>
      <c r="QHW3002" s="160"/>
      <c r="QHX3002" s="574"/>
      <c r="QHY3002" s="125"/>
      <c r="QHZ3002" s="470"/>
      <c r="QIA3002" s="449"/>
      <c r="QIB3002" s="462"/>
      <c r="QIC3002" s="299"/>
      <c r="QID3002" s="81"/>
      <c r="QIE3002" s="160"/>
      <c r="QIF3002" s="574"/>
      <c r="QIG3002" s="125"/>
      <c r="QIH3002" s="470"/>
      <c r="QII3002" s="449"/>
      <c r="QIJ3002" s="462"/>
      <c r="QIK3002" s="299"/>
      <c r="QIL3002" s="81"/>
      <c r="QIM3002" s="160"/>
      <c r="QIN3002" s="574"/>
      <c r="QIO3002" s="125"/>
      <c r="QIP3002" s="470"/>
      <c r="QIQ3002" s="449"/>
      <c r="QIR3002" s="462"/>
      <c r="QIS3002" s="299"/>
      <c r="QIT3002" s="81"/>
      <c r="QIU3002" s="160"/>
      <c r="QIV3002" s="574"/>
      <c r="QIW3002" s="125"/>
      <c r="QIX3002" s="470"/>
      <c r="QIY3002" s="449"/>
      <c r="QIZ3002" s="462"/>
      <c r="QJA3002" s="299"/>
      <c r="QJB3002" s="81"/>
      <c r="QJC3002" s="160"/>
      <c r="QJD3002" s="574"/>
      <c r="QJE3002" s="125"/>
      <c r="QJF3002" s="470"/>
      <c r="QJG3002" s="449"/>
      <c r="QJH3002" s="462"/>
      <c r="QJI3002" s="299"/>
      <c r="QJJ3002" s="81"/>
      <c r="QJK3002" s="160"/>
      <c r="QJL3002" s="574"/>
      <c r="QJM3002" s="125"/>
      <c r="QJN3002" s="470"/>
      <c r="QJO3002" s="449"/>
      <c r="QJP3002" s="462"/>
      <c r="QJQ3002" s="299"/>
      <c r="QJR3002" s="81"/>
      <c r="QJS3002" s="160"/>
      <c r="QJT3002" s="574"/>
      <c r="QJU3002" s="125"/>
      <c r="QJV3002" s="470"/>
      <c r="QJW3002" s="449"/>
      <c r="QJX3002" s="462"/>
      <c r="QJY3002" s="299"/>
      <c r="QJZ3002" s="81"/>
      <c r="QKA3002" s="160"/>
      <c r="QKB3002" s="574"/>
      <c r="QKC3002" s="125"/>
      <c r="QKD3002" s="470"/>
      <c r="QKE3002" s="449"/>
      <c r="QKF3002" s="462"/>
      <c r="QKG3002" s="299"/>
      <c r="QKH3002" s="81"/>
      <c r="QKI3002" s="160"/>
      <c r="QKJ3002" s="574"/>
      <c r="QKK3002" s="125"/>
      <c r="QKL3002" s="470"/>
      <c r="QKM3002" s="449"/>
      <c r="QKN3002" s="462"/>
      <c r="QKO3002" s="299"/>
      <c r="QKP3002" s="81"/>
      <c r="QKQ3002" s="160"/>
      <c r="QKR3002" s="574"/>
      <c r="QKS3002" s="125"/>
      <c r="QKT3002" s="470"/>
      <c r="QKU3002" s="449"/>
      <c r="QKV3002" s="462"/>
      <c r="QKW3002" s="299"/>
      <c r="QKX3002" s="81"/>
      <c r="QKY3002" s="160"/>
      <c r="QKZ3002" s="574"/>
      <c r="QLA3002" s="125"/>
      <c r="QLB3002" s="470"/>
      <c r="QLC3002" s="449"/>
      <c r="QLD3002" s="462"/>
      <c r="QLE3002" s="299"/>
      <c r="QLF3002" s="81"/>
      <c r="QLG3002" s="160"/>
      <c r="QLH3002" s="574"/>
      <c r="QLI3002" s="125"/>
      <c r="QLJ3002" s="470"/>
      <c r="QLK3002" s="449"/>
      <c r="QLL3002" s="462"/>
      <c r="QLM3002" s="299"/>
      <c r="QLN3002" s="81"/>
      <c r="QLO3002" s="160"/>
      <c r="QLP3002" s="574"/>
      <c r="QLQ3002" s="125"/>
      <c r="QLR3002" s="470"/>
      <c r="QLS3002" s="449"/>
      <c r="QLT3002" s="462"/>
      <c r="QLU3002" s="299"/>
      <c r="QLV3002" s="81"/>
      <c r="QLW3002" s="160"/>
      <c r="QLX3002" s="574"/>
      <c r="QLY3002" s="125"/>
      <c r="QLZ3002" s="470"/>
      <c r="QMA3002" s="449"/>
      <c r="QMB3002" s="462"/>
      <c r="QMC3002" s="299"/>
      <c r="QMD3002" s="81"/>
      <c r="QME3002" s="160"/>
      <c r="QMF3002" s="574"/>
      <c r="QMG3002" s="125"/>
      <c r="QMH3002" s="470"/>
      <c r="QMI3002" s="449"/>
      <c r="QMJ3002" s="462"/>
      <c r="QMK3002" s="299"/>
      <c r="QML3002" s="81"/>
      <c r="QMM3002" s="160"/>
      <c r="QMN3002" s="574"/>
      <c r="QMO3002" s="125"/>
      <c r="QMP3002" s="470"/>
      <c r="QMQ3002" s="449"/>
      <c r="QMR3002" s="462"/>
      <c r="QMS3002" s="299"/>
      <c r="QMT3002" s="81"/>
      <c r="QMU3002" s="160"/>
      <c r="QMV3002" s="574"/>
      <c r="QMW3002" s="125"/>
      <c r="QMX3002" s="470"/>
      <c r="QMY3002" s="449"/>
      <c r="QMZ3002" s="462"/>
      <c r="QNA3002" s="299"/>
      <c r="QNB3002" s="81"/>
      <c r="QNC3002" s="160"/>
      <c r="QND3002" s="574"/>
      <c r="QNE3002" s="125"/>
      <c r="QNF3002" s="470"/>
      <c r="QNG3002" s="449"/>
      <c r="QNH3002" s="462"/>
      <c r="QNI3002" s="299"/>
      <c r="QNJ3002" s="81"/>
      <c r="QNK3002" s="160"/>
      <c r="QNL3002" s="574"/>
      <c r="QNM3002" s="125"/>
      <c r="QNN3002" s="470"/>
      <c r="QNO3002" s="449"/>
      <c r="QNP3002" s="462"/>
      <c r="QNQ3002" s="299"/>
      <c r="QNR3002" s="81"/>
      <c r="QNS3002" s="160"/>
      <c r="QNT3002" s="574"/>
      <c r="QNU3002" s="125"/>
      <c r="QNV3002" s="470"/>
      <c r="QNW3002" s="449"/>
      <c r="QNX3002" s="462"/>
      <c r="QNY3002" s="299"/>
      <c r="QNZ3002" s="81"/>
      <c r="QOA3002" s="160"/>
      <c r="QOB3002" s="574"/>
      <c r="QOC3002" s="125"/>
      <c r="QOD3002" s="470"/>
      <c r="QOE3002" s="449"/>
      <c r="QOF3002" s="462"/>
      <c r="QOG3002" s="299"/>
      <c r="QOH3002" s="81"/>
      <c r="QOI3002" s="160"/>
      <c r="QOJ3002" s="574"/>
      <c r="QOK3002" s="125"/>
      <c r="QOL3002" s="470"/>
      <c r="QOM3002" s="449"/>
      <c r="QON3002" s="462"/>
      <c r="QOO3002" s="299"/>
      <c r="QOP3002" s="81"/>
      <c r="QOQ3002" s="160"/>
      <c r="QOR3002" s="574"/>
      <c r="QOS3002" s="125"/>
      <c r="QOT3002" s="470"/>
      <c r="QOU3002" s="449"/>
      <c r="QOV3002" s="462"/>
      <c r="QOW3002" s="299"/>
      <c r="QOX3002" s="81"/>
      <c r="QOY3002" s="160"/>
      <c r="QOZ3002" s="574"/>
      <c r="QPA3002" s="125"/>
      <c r="QPB3002" s="470"/>
      <c r="QPC3002" s="449"/>
      <c r="QPD3002" s="462"/>
      <c r="QPE3002" s="299"/>
      <c r="QPF3002" s="81"/>
      <c r="QPG3002" s="160"/>
      <c r="QPH3002" s="574"/>
      <c r="QPI3002" s="125"/>
      <c r="QPJ3002" s="470"/>
      <c r="QPK3002" s="449"/>
      <c r="QPL3002" s="462"/>
      <c r="QPM3002" s="299"/>
      <c r="QPN3002" s="81"/>
      <c r="QPO3002" s="160"/>
      <c r="QPP3002" s="574"/>
      <c r="QPQ3002" s="125"/>
      <c r="QPR3002" s="470"/>
      <c r="QPS3002" s="449"/>
      <c r="QPT3002" s="462"/>
      <c r="QPU3002" s="299"/>
      <c r="QPV3002" s="81"/>
      <c r="QPW3002" s="160"/>
      <c r="QPX3002" s="574"/>
      <c r="QPY3002" s="125"/>
      <c r="QPZ3002" s="470"/>
      <c r="QQA3002" s="449"/>
      <c r="QQB3002" s="462"/>
      <c r="QQC3002" s="299"/>
      <c r="QQD3002" s="81"/>
      <c r="QQE3002" s="160"/>
      <c r="QQF3002" s="574"/>
      <c r="QQG3002" s="125"/>
      <c r="QQH3002" s="470"/>
      <c r="QQI3002" s="449"/>
      <c r="QQJ3002" s="462"/>
      <c r="QQK3002" s="299"/>
      <c r="QQL3002" s="81"/>
      <c r="QQM3002" s="160"/>
      <c r="QQN3002" s="574"/>
      <c r="QQO3002" s="125"/>
      <c r="QQP3002" s="470"/>
      <c r="QQQ3002" s="449"/>
      <c r="QQR3002" s="462"/>
      <c r="QQS3002" s="299"/>
      <c r="QQT3002" s="81"/>
      <c r="QQU3002" s="160"/>
      <c r="QQV3002" s="574"/>
      <c r="QQW3002" s="125"/>
      <c r="QQX3002" s="470"/>
      <c r="QQY3002" s="449"/>
      <c r="QQZ3002" s="462"/>
      <c r="QRA3002" s="299"/>
      <c r="QRB3002" s="81"/>
      <c r="QRC3002" s="160"/>
      <c r="QRD3002" s="574"/>
      <c r="QRE3002" s="125"/>
      <c r="QRF3002" s="470"/>
      <c r="QRG3002" s="449"/>
      <c r="QRH3002" s="462"/>
      <c r="QRI3002" s="299"/>
      <c r="QRJ3002" s="81"/>
      <c r="QRK3002" s="160"/>
      <c r="QRL3002" s="574"/>
      <c r="QRM3002" s="125"/>
      <c r="QRN3002" s="470"/>
      <c r="QRO3002" s="449"/>
      <c r="QRP3002" s="462"/>
      <c r="QRQ3002" s="299"/>
      <c r="QRR3002" s="81"/>
      <c r="QRS3002" s="160"/>
      <c r="QRT3002" s="574"/>
      <c r="QRU3002" s="125"/>
      <c r="QRV3002" s="470"/>
      <c r="QRW3002" s="449"/>
      <c r="QRX3002" s="462"/>
      <c r="QRY3002" s="299"/>
      <c r="QRZ3002" s="81"/>
      <c r="QSA3002" s="160"/>
      <c r="QSB3002" s="574"/>
      <c r="QSC3002" s="125"/>
      <c r="QSD3002" s="470"/>
      <c r="QSE3002" s="449"/>
      <c r="QSF3002" s="462"/>
      <c r="QSG3002" s="299"/>
      <c r="QSH3002" s="81"/>
      <c r="QSI3002" s="160"/>
      <c r="QSJ3002" s="574"/>
      <c r="QSK3002" s="125"/>
      <c r="QSL3002" s="470"/>
      <c r="QSM3002" s="449"/>
      <c r="QSN3002" s="462"/>
      <c r="QSO3002" s="299"/>
      <c r="QSP3002" s="81"/>
      <c r="QSQ3002" s="160"/>
      <c r="QSR3002" s="574"/>
      <c r="QSS3002" s="125"/>
      <c r="QST3002" s="470"/>
      <c r="QSU3002" s="449"/>
      <c r="QSV3002" s="462"/>
      <c r="QSW3002" s="299"/>
      <c r="QSX3002" s="81"/>
      <c r="QSY3002" s="160"/>
      <c r="QSZ3002" s="574"/>
      <c r="QTA3002" s="125"/>
      <c r="QTB3002" s="470"/>
      <c r="QTC3002" s="449"/>
      <c r="QTD3002" s="462"/>
      <c r="QTE3002" s="299"/>
      <c r="QTF3002" s="81"/>
      <c r="QTG3002" s="160"/>
      <c r="QTH3002" s="574"/>
      <c r="QTI3002" s="125"/>
      <c r="QTJ3002" s="470"/>
      <c r="QTK3002" s="449"/>
      <c r="QTL3002" s="462"/>
      <c r="QTM3002" s="299"/>
      <c r="QTN3002" s="81"/>
      <c r="QTO3002" s="160"/>
      <c r="QTP3002" s="574"/>
      <c r="QTQ3002" s="125"/>
      <c r="QTR3002" s="470"/>
      <c r="QTS3002" s="449"/>
      <c r="QTT3002" s="462"/>
      <c r="QTU3002" s="299"/>
      <c r="QTV3002" s="81"/>
      <c r="QTW3002" s="160"/>
      <c r="QTX3002" s="574"/>
      <c r="QTY3002" s="125"/>
      <c r="QTZ3002" s="470"/>
      <c r="QUA3002" s="449"/>
      <c r="QUB3002" s="462"/>
      <c r="QUC3002" s="299"/>
      <c r="QUD3002" s="81"/>
      <c r="QUE3002" s="160"/>
      <c r="QUF3002" s="574"/>
      <c r="QUG3002" s="125"/>
      <c r="QUH3002" s="470"/>
      <c r="QUI3002" s="449"/>
      <c r="QUJ3002" s="462"/>
      <c r="QUK3002" s="299"/>
      <c r="QUL3002" s="81"/>
      <c r="QUM3002" s="160"/>
      <c r="QUN3002" s="574"/>
      <c r="QUO3002" s="125"/>
      <c r="QUP3002" s="470"/>
      <c r="QUQ3002" s="449"/>
      <c r="QUR3002" s="462"/>
      <c r="QUS3002" s="299"/>
      <c r="QUT3002" s="81"/>
      <c r="QUU3002" s="160"/>
      <c r="QUV3002" s="574"/>
      <c r="QUW3002" s="125"/>
      <c r="QUX3002" s="470"/>
      <c r="QUY3002" s="449"/>
      <c r="QUZ3002" s="462"/>
      <c r="QVA3002" s="299"/>
      <c r="QVB3002" s="81"/>
      <c r="QVC3002" s="160"/>
      <c r="QVD3002" s="574"/>
      <c r="QVE3002" s="125"/>
      <c r="QVF3002" s="470"/>
      <c r="QVG3002" s="449"/>
      <c r="QVH3002" s="462"/>
      <c r="QVI3002" s="299"/>
      <c r="QVJ3002" s="81"/>
      <c r="QVK3002" s="160"/>
      <c r="QVL3002" s="574"/>
      <c r="QVM3002" s="125"/>
      <c r="QVN3002" s="470"/>
      <c r="QVO3002" s="449"/>
      <c r="QVP3002" s="462"/>
      <c r="QVQ3002" s="299"/>
      <c r="QVR3002" s="81"/>
      <c r="QVS3002" s="160"/>
      <c r="QVT3002" s="574"/>
      <c r="QVU3002" s="125"/>
      <c r="QVV3002" s="470"/>
      <c r="QVW3002" s="449"/>
      <c r="QVX3002" s="462"/>
      <c r="QVY3002" s="299"/>
      <c r="QVZ3002" s="81"/>
      <c r="QWA3002" s="160"/>
      <c r="QWB3002" s="574"/>
      <c r="QWC3002" s="125"/>
      <c r="QWD3002" s="470"/>
      <c r="QWE3002" s="449"/>
      <c r="QWF3002" s="462"/>
      <c r="QWG3002" s="299"/>
      <c r="QWH3002" s="81"/>
      <c r="QWI3002" s="160"/>
      <c r="QWJ3002" s="574"/>
      <c r="QWK3002" s="125"/>
      <c r="QWL3002" s="470"/>
      <c r="QWM3002" s="449"/>
      <c r="QWN3002" s="462"/>
      <c r="QWO3002" s="299"/>
      <c r="QWP3002" s="81"/>
      <c r="QWQ3002" s="160"/>
      <c r="QWR3002" s="574"/>
      <c r="QWS3002" s="125"/>
      <c r="QWT3002" s="470"/>
      <c r="QWU3002" s="449"/>
      <c r="QWV3002" s="462"/>
      <c r="QWW3002" s="299"/>
      <c r="QWX3002" s="81"/>
      <c r="QWY3002" s="160"/>
      <c r="QWZ3002" s="574"/>
      <c r="QXA3002" s="125"/>
      <c r="QXB3002" s="470"/>
      <c r="QXC3002" s="449"/>
      <c r="QXD3002" s="462"/>
      <c r="QXE3002" s="299"/>
      <c r="QXF3002" s="81"/>
      <c r="QXG3002" s="160"/>
      <c r="QXH3002" s="574"/>
      <c r="QXI3002" s="125"/>
      <c r="QXJ3002" s="470"/>
      <c r="QXK3002" s="449"/>
      <c r="QXL3002" s="462"/>
      <c r="QXM3002" s="299"/>
      <c r="QXN3002" s="81"/>
      <c r="QXO3002" s="160"/>
      <c r="QXP3002" s="574"/>
      <c r="QXQ3002" s="125"/>
      <c r="QXR3002" s="470"/>
      <c r="QXS3002" s="449"/>
      <c r="QXT3002" s="462"/>
      <c r="QXU3002" s="299"/>
      <c r="QXV3002" s="81"/>
      <c r="QXW3002" s="160"/>
      <c r="QXX3002" s="574"/>
      <c r="QXY3002" s="125"/>
      <c r="QXZ3002" s="470"/>
      <c r="QYA3002" s="449"/>
      <c r="QYB3002" s="462"/>
      <c r="QYC3002" s="299"/>
      <c r="QYD3002" s="81"/>
      <c r="QYE3002" s="160"/>
      <c r="QYF3002" s="574"/>
      <c r="QYG3002" s="125"/>
      <c r="QYH3002" s="470"/>
      <c r="QYI3002" s="449"/>
      <c r="QYJ3002" s="462"/>
      <c r="QYK3002" s="299"/>
      <c r="QYL3002" s="81"/>
      <c r="QYM3002" s="160"/>
      <c r="QYN3002" s="574"/>
      <c r="QYO3002" s="125"/>
      <c r="QYP3002" s="470"/>
      <c r="QYQ3002" s="449"/>
      <c r="QYR3002" s="462"/>
      <c r="QYS3002" s="299"/>
      <c r="QYT3002" s="81"/>
      <c r="QYU3002" s="160"/>
      <c r="QYV3002" s="574"/>
      <c r="QYW3002" s="125"/>
      <c r="QYX3002" s="470"/>
      <c r="QYY3002" s="449"/>
      <c r="QYZ3002" s="462"/>
      <c r="QZA3002" s="299"/>
      <c r="QZB3002" s="81"/>
      <c r="QZC3002" s="160"/>
      <c r="QZD3002" s="574"/>
      <c r="QZE3002" s="125"/>
      <c r="QZF3002" s="470"/>
      <c r="QZG3002" s="449"/>
      <c r="QZH3002" s="462"/>
      <c r="QZI3002" s="299"/>
      <c r="QZJ3002" s="81"/>
      <c r="QZK3002" s="160"/>
      <c r="QZL3002" s="574"/>
      <c r="QZM3002" s="125"/>
      <c r="QZN3002" s="470"/>
      <c r="QZO3002" s="449"/>
      <c r="QZP3002" s="462"/>
      <c r="QZQ3002" s="299"/>
      <c r="QZR3002" s="81"/>
      <c r="QZS3002" s="160"/>
      <c r="QZT3002" s="574"/>
      <c r="QZU3002" s="125"/>
      <c r="QZV3002" s="470"/>
      <c r="QZW3002" s="449"/>
      <c r="QZX3002" s="462"/>
      <c r="QZY3002" s="299"/>
      <c r="QZZ3002" s="81"/>
      <c r="RAA3002" s="160"/>
      <c r="RAB3002" s="574"/>
      <c r="RAC3002" s="125"/>
      <c r="RAD3002" s="470"/>
      <c r="RAE3002" s="449"/>
      <c r="RAF3002" s="462"/>
      <c r="RAG3002" s="299"/>
      <c r="RAH3002" s="81"/>
      <c r="RAI3002" s="160"/>
      <c r="RAJ3002" s="574"/>
      <c r="RAK3002" s="125"/>
      <c r="RAL3002" s="470"/>
      <c r="RAM3002" s="449"/>
      <c r="RAN3002" s="462"/>
      <c r="RAO3002" s="299"/>
      <c r="RAP3002" s="81"/>
      <c r="RAQ3002" s="160"/>
      <c r="RAR3002" s="574"/>
      <c r="RAS3002" s="125"/>
      <c r="RAT3002" s="470"/>
      <c r="RAU3002" s="449"/>
      <c r="RAV3002" s="462"/>
      <c r="RAW3002" s="299"/>
      <c r="RAX3002" s="81"/>
      <c r="RAY3002" s="160"/>
      <c r="RAZ3002" s="574"/>
      <c r="RBA3002" s="125"/>
      <c r="RBB3002" s="470"/>
      <c r="RBC3002" s="449"/>
      <c r="RBD3002" s="462"/>
      <c r="RBE3002" s="299"/>
      <c r="RBF3002" s="81"/>
      <c r="RBG3002" s="160"/>
      <c r="RBH3002" s="574"/>
      <c r="RBI3002" s="125"/>
      <c r="RBJ3002" s="470"/>
      <c r="RBK3002" s="449"/>
      <c r="RBL3002" s="462"/>
      <c r="RBM3002" s="299"/>
      <c r="RBN3002" s="81"/>
      <c r="RBO3002" s="160"/>
      <c r="RBP3002" s="574"/>
      <c r="RBQ3002" s="125"/>
      <c r="RBR3002" s="470"/>
      <c r="RBS3002" s="449"/>
      <c r="RBT3002" s="462"/>
      <c r="RBU3002" s="299"/>
      <c r="RBV3002" s="81"/>
      <c r="RBW3002" s="160"/>
      <c r="RBX3002" s="574"/>
      <c r="RBY3002" s="125"/>
      <c r="RBZ3002" s="470"/>
      <c r="RCA3002" s="449"/>
      <c r="RCB3002" s="462"/>
      <c r="RCC3002" s="299"/>
      <c r="RCD3002" s="81"/>
      <c r="RCE3002" s="160"/>
      <c r="RCF3002" s="574"/>
      <c r="RCG3002" s="125"/>
      <c r="RCH3002" s="470"/>
      <c r="RCI3002" s="449"/>
      <c r="RCJ3002" s="462"/>
      <c r="RCK3002" s="299"/>
      <c r="RCL3002" s="81"/>
      <c r="RCM3002" s="160"/>
      <c r="RCN3002" s="574"/>
      <c r="RCO3002" s="125"/>
      <c r="RCP3002" s="470"/>
      <c r="RCQ3002" s="449"/>
      <c r="RCR3002" s="462"/>
      <c r="RCS3002" s="299"/>
      <c r="RCT3002" s="81"/>
      <c r="RCU3002" s="160"/>
      <c r="RCV3002" s="574"/>
      <c r="RCW3002" s="125"/>
      <c r="RCX3002" s="470"/>
      <c r="RCY3002" s="449"/>
      <c r="RCZ3002" s="462"/>
      <c r="RDA3002" s="299"/>
      <c r="RDB3002" s="81"/>
      <c r="RDC3002" s="160"/>
      <c r="RDD3002" s="574"/>
      <c r="RDE3002" s="125"/>
      <c r="RDF3002" s="470"/>
      <c r="RDG3002" s="449"/>
      <c r="RDH3002" s="462"/>
      <c r="RDI3002" s="299"/>
      <c r="RDJ3002" s="81"/>
      <c r="RDK3002" s="160"/>
      <c r="RDL3002" s="574"/>
      <c r="RDM3002" s="125"/>
      <c r="RDN3002" s="470"/>
      <c r="RDO3002" s="449"/>
      <c r="RDP3002" s="462"/>
      <c r="RDQ3002" s="299"/>
      <c r="RDR3002" s="81"/>
      <c r="RDS3002" s="160"/>
      <c r="RDT3002" s="574"/>
      <c r="RDU3002" s="125"/>
      <c r="RDV3002" s="470"/>
      <c r="RDW3002" s="449"/>
      <c r="RDX3002" s="462"/>
      <c r="RDY3002" s="299"/>
      <c r="RDZ3002" s="81"/>
      <c r="REA3002" s="160"/>
      <c r="REB3002" s="574"/>
      <c r="REC3002" s="125"/>
      <c r="RED3002" s="470"/>
      <c r="REE3002" s="449"/>
      <c r="REF3002" s="462"/>
      <c r="REG3002" s="299"/>
      <c r="REH3002" s="81"/>
      <c r="REI3002" s="160"/>
      <c r="REJ3002" s="574"/>
      <c r="REK3002" s="125"/>
      <c r="REL3002" s="470"/>
      <c r="REM3002" s="449"/>
      <c r="REN3002" s="462"/>
      <c r="REO3002" s="299"/>
      <c r="REP3002" s="81"/>
      <c r="REQ3002" s="160"/>
      <c r="RER3002" s="574"/>
      <c r="RES3002" s="125"/>
      <c r="RET3002" s="470"/>
      <c r="REU3002" s="449"/>
      <c r="REV3002" s="462"/>
      <c r="REW3002" s="299"/>
      <c r="REX3002" s="81"/>
      <c r="REY3002" s="160"/>
      <c r="REZ3002" s="574"/>
      <c r="RFA3002" s="125"/>
      <c r="RFB3002" s="470"/>
      <c r="RFC3002" s="449"/>
      <c r="RFD3002" s="462"/>
      <c r="RFE3002" s="299"/>
      <c r="RFF3002" s="81"/>
      <c r="RFG3002" s="160"/>
      <c r="RFH3002" s="574"/>
      <c r="RFI3002" s="125"/>
      <c r="RFJ3002" s="470"/>
      <c r="RFK3002" s="449"/>
      <c r="RFL3002" s="462"/>
      <c r="RFM3002" s="299"/>
      <c r="RFN3002" s="81"/>
      <c r="RFO3002" s="160"/>
      <c r="RFP3002" s="574"/>
      <c r="RFQ3002" s="125"/>
      <c r="RFR3002" s="470"/>
      <c r="RFS3002" s="449"/>
      <c r="RFT3002" s="462"/>
      <c r="RFU3002" s="299"/>
      <c r="RFV3002" s="81"/>
      <c r="RFW3002" s="160"/>
      <c r="RFX3002" s="574"/>
      <c r="RFY3002" s="125"/>
      <c r="RFZ3002" s="470"/>
      <c r="RGA3002" s="449"/>
      <c r="RGB3002" s="462"/>
      <c r="RGC3002" s="299"/>
      <c r="RGD3002" s="81"/>
      <c r="RGE3002" s="160"/>
      <c r="RGF3002" s="574"/>
      <c r="RGG3002" s="125"/>
      <c r="RGH3002" s="470"/>
      <c r="RGI3002" s="449"/>
      <c r="RGJ3002" s="462"/>
      <c r="RGK3002" s="299"/>
      <c r="RGL3002" s="81"/>
      <c r="RGM3002" s="160"/>
      <c r="RGN3002" s="574"/>
      <c r="RGO3002" s="125"/>
      <c r="RGP3002" s="470"/>
      <c r="RGQ3002" s="449"/>
      <c r="RGR3002" s="462"/>
      <c r="RGS3002" s="299"/>
      <c r="RGT3002" s="81"/>
      <c r="RGU3002" s="160"/>
      <c r="RGV3002" s="574"/>
      <c r="RGW3002" s="125"/>
      <c r="RGX3002" s="470"/>
      <c r="RGY3002" s="449"/>
      <c r="RGZ3002" s="462"/>
      <c r="RHA3002" s="299"/>
      <c r="RHB3002" s="81"/>
      <c r="RHC3002" s="160"/>
      <c r="RHD3002" s="574"/>
      <c r="RHE3002" s="125"/>
      <c r="RHF3002" s="470"/>
      <c r="RHG3002" s="449"/>
      <c r="RHH3002" s="462"/>
      <c r="RHI3002" s="299"/>
      <c r="RHJ3002" s="81"/>
      <c r="RHK3002" s="160"/>
      <c r="RHL3002" s="574"/>
      <c r="RHM3002" s="125"/>
      <c r="RHN3002" s="470"/>
      <c r="RHO3002" s="449"/>
      <c r="RHP3002" s="462"/>
      <c r="RHQ3002" s="299"/>
      <c r="RHR3002" s="81"/>
      <c r="RHS3002" s="160"/>
      <c r="RHT3002" s="574"/>
      <c r="RHU3002" s="125"/>
      <c r="RHV3002" s="470"/>
      <c r="RHW3002" s="449"/>
      <c r="RHX3002" s="462"/>
      <c r="RHY3002" s="299"/>
      <c r="RHZ3002" s="81"/>
      <c r="RIA3002" s="160"/>
      <c r="RIB3002" s="574"/>
      <c r="RIC3002" s="125"/>
      <c r="RID3002" s="470"/>
      <c r="RIE3002" s="449"/>
      <c r="RIF3002" s="462"/>
      <c r="RIG3002" s="299"/>
      <c r="RIH3002" s="81"/>
      <c r="RII3002" s="160"/>
      <c r="RIJ3002" s="574"/>
      <c r="RIK3002" s="125"/>
      <c r="RIL3002" s="470"/>
      <c r="RIM3002" s="449"/>
      <c r="RIN3002" s="462"/>
      <c r="RIO3002" s="299"/>
      <c r="RIP3002" s="81"/>
      <c r="RIQ3002" s="160"/>
      <c r="RIR3002" s="574"/>
      <c r="RIS3002" s="125"/>
      <c r="RIT3002" s="470"/>
      <c r="RIU3002" s="449"/>
      <c r="RIV3002" s="462"/>
      <c r="RIW3002" s="299"/>
      <c r="RIX3002" s="81"/>
      <c r="RIY3002" s="160"/>
      <c r="RIZ3002" s="574"/>
      <c r="RJA3002" s="125"/>
      <c r="RJB3002" s="470"/>
      <c r="RJC3002" s="449"/>
      <c r="RJD3002" s="462"/>
      <c r="RJE3002" s="299"/>
      <c r="RJF3002" s="81"/>
      <c r="RJG3002" s="160"/>
      <c r="RJH3002" s="574"/>
      <c r="RJI3002" s="125"/>
      <c r="RJJ3002" s="470"/>
      <c r="RJK3002" s="449"/>
      <c r="RJL3002" s="462"/>
      <c r="RJM3002" s="299"/>
      <c r="RJN3002" s="81"/>
      <c r="RJO3002" s="160"/>
      <c r="RJP3002" s="574"/>
      <c r="RJQ3002" s="125"/>
      <c r="RJR3002" s="470"/>
      <c r="RJS3002" s="449"/>
      <c r="RJT3002" s="462"/>
      <c r="RJU3002" s="299"/>
      <c r="RJV3002" s="81"/>
      <c r="RJW3002" s="160"/>
      <c r="RJX3002" s="574"/>
      <c r="RJY3002" s="125"/>
      <c r="RJZ3002" s="470"/>
      <c r="RKA3002" s="449"/>
      <c r="RKB3002" s="462"/>
      <c r="RKC3002" s="299"/>
      <c r="RKD3002" s="81"/>
      <c r="RKE3002" s="160"/>
      <c r="RKF3002" s="574"/>
      <c r="RKG3002" s="125"/>
      <c r="RKH3002" s="470"/>
      <c r="RKI3002" s="449"/>
      <c r="RKJ3002" s="462"/>
      <c r="RKK3002" s="299"/>
      <c r="RKL3002" s="81"/>
      <c r="RKM3002" s="160"/>
      <c r="RKN3002" s="574"/>
      <c r="RKO3002" s="125"/>
      <c r="RKP3002" s="470"/>
      <c r="RKQ3002" s="449"/>
      <c r="RKR3002" s="462"/>
      <c r="RKS3002" s="299"/>
      <c r="RKT3002" s="81"/>
      <c r="RKU3002" s="160"/>
      <c r="RKV3002" s="574"/>
      <c r="RKW3002" s="125"/>
      <c r="RKX3002" s="470"/>
      <c r="RKY3002" s="449"/>
      <c r="RKZ3002" s="462"/>
      <c r="RLA3002" s="299"/>
      <c r="RLB3002" s="81"/>
      <c r="RLC3002" s="160"/>
      <c r="RLD3002" s="574"/>
      <c r="RLE3002" s="125"/>
      <c r="RLF3002" s="470"/>
      <c r="RLG3002" s="449"/>
      <c r="RLH3002" s="462"/>
      <c r="RLI3002" s="299"/>
      <c r="RLJ3002" s="81"/>
      <c r="RLK3002" s="160"/>
      <c r="RLL3002" s="574"/>
      <c r="RLM3002" s="125"/>
      <c r="RLN3002" s="470"/>
      <c r="RLO3002" s="449"/>
      <c r="RLP3002" s="462"/>
      <c r="RLQ3002" s="299"/>
      <c r="RLR3002" s="81"/>
      <c r="RLS3002" s="160"/>
      <c r="RLT3002" s="574"/>
      <c r="RLU3002" s="125"/>
      <c r="RLV3002" s="470"/>
      <c r="RLW3002" s="449"/>
      <c r="RLX3002" s="462"/>
      <c r="RLY3002" s="299"/>
      <c r="RLZ3002" s="81"/>
      <c r="RMA3002" s="160"/>
      <c r="RMB3002" s="574"/>
      <c r="RMC3002" s="125"/>
      <c r="RMD3002" s="470"/>
      <c r="RME3002" s="449"/>
      <c r="RMF3002" s="462"/>
      <c r="RMG3002" s="299"/>
      <c r="RMH3002" s="81"/>
      <c r="RMI3002" s="160"/>
      <c r="RMJ3002" s="574"/>
      <c r="RMK3002" s="125"/>
      <c r="RML3002" s="470"/>
      <c r="RMM3002" s="449"/>
      <c r="RMN3002" s="462"/>
      <c r="RMO3002" s="299"/>
      <c r="RMP3002" s="81"/>
      <c r="RMQ3002" s="160"/>
      <c r="RMR3002" s="574"/>
      <c r="RMS3002" s="125"/>
      <c r="RMT3002" s="470"/>
      <c r="RMU3002" s="449"/>
      <c r="RMV3002" s="462"/>
      <c r="RMW3002" s="299"/>
      <c r="RMX3002" s="81"/>
      <c r="RMY3002" s="160"/>
      <c r="RMZ3002" s="574"/>
      <c r="RNA3002" s="125"/>
      <c r="RNB3002" s="470"/>
      <c r="RNC3002" s="449"/>
      <c r="RND3002" s="462"/>
      <c r="RNE3002" s="299"/>
      <c r="RNF3002" s="81"/>
      <c r="RNG3002" s="160"/>
      <c r="RNH3002" s="574"/>
      <c r="RNI3002" s="125"/>
      <c r="RNJ3002" s="470"/>
      <c r="RNK3002" s="449"/>
      <c r="RNL3002" s="462"/>
      <c r="RNM3002" s="299"/>
      <c r="RNN3002" s="81"/>
      <c r="RNO3002" s="160"/>
      <c r="RNP3002" s="574"/>
      <c r="RNQ3002" s="125"/>
      <c r="RNR3002" s="470"/>
      <c r="RNS3002" s="449"/>
      <c r="RNT3002" s="462"/>
      <c r="RNU3002" s="299"/>
      <c r="RNV3002" s="81"/>
      <c r="RNW3002" s="160"/>
      <c r="RNX3002" s="574"/>
      <c r="RNY3002" s="125"/>
      <c r="RNZ3002" s="470"/>
      <c r="ROA3002" s="449"/>
      <c r="ROB3002" s="462"/>
      <c r="ROC3002" s="299"/>
      <c r="ROD3002" s="81"/>
      <c r="ROE3002" s="160"/>
      <c r="ROF3002" s="574"/>
      <c r="ROG3002" s="125"/>
      <c r="ROH3002" s="470"/>
      <c r="ROI3002" s="449"/>
      <c r="ROJ3002" s="462"/>
      <c r="ROK3002" s="299"/>
      <c r="ROL3002" s="81"/>
      <c r="ROM3002" s="160"/>
      <c r="RON3002" s="574"/>
      <c r="ROO3002" s="125"/>
      <c r="ROP3002" s="470"/>
      <c r="ROQ3002" s="449"/>
      <c r="ROR3002" s="462"/>
      <c r="ROS3002" s="299"/>
      <c r="ROT3002" s="81"/>
      <c r="ROU3002" s="160"/>
      <c r="ROV3002" s="574"/>
      <c r="ROW3002" s="125"/>
      <c r="ROX3002" s="470"/>
      <c r="ROY3002" s="449"/>
      <c r="ROZ3002" s="462"/>
      <c r="RPA3002" s="299"/>
      <c r="RPB3002" s="81"/>
      <c r="RPC3002" s="160"/>
      <c r="RPD3002" s="574"/>
      <c r="RPE3002" s="125"/>
      <c r="RPF3002" s="470"/>
      <c r="RPG3002" s="449"/>
      <c r="RPH3002" s="462"/>
      <c r="RPI3002" s="299"/>
      <c r="RPJ3002" s="81"/>
      <c r="RPK3002" s="160"/>
      <c r="RPL3002" s="574"/>
      <c r="RPM3002" s="125"/>
      <c r="RPN3002" s="470"/>
      <c r="RPO3002" s="449"/>
      <c r="RPP3002" s="462"/>
      <c r="RPQ3002" s="299"/>
      <c r="RPR3002" s="81"/>
      <c r="RPS3002" s="160"/>
      <c r="RPT3002" s="574"/>
      <c r="RPU3002" s="125"/>
      <c r="RPV3002" s="470"/>
      <c r="RPW3002" s="449"/>
      <c r="RPX3002" s="462"/>
      <c r="RPY3002" s="299"/>
      <c r="RPZ3002" s="81"/>
      <c r="RQA3002" s="160"/>
      <c r="RQB3002" s="574"/>
      <c r="RQC3002" s="125"/>
      <c r="RQD3002" s="470"/>
      <c r="RQE3002" s="449"/>
      <c r="RQF3002" s="462"/>
      <c r="RQG3002" s="299"/>
      <c r="RQH3002" s="81"/>
      <c r="RQI3002" s="160"/>
      <c r="RQJ3002" s="574"/>
      <c r="RQK3002" s="125"/>
      <c r="RQL3002" s="470"/>
      <c r="RQM3002" s="449"/>
      <c r="RQN3002" s="462"/>
      <c r="RQO3002" s="299"/>
      <c r="RQP3002" s="81"/>
      <c r="RQQ3002" s="160"/>
      <c r="RQR3002" s="574"/>
      <c r="RQS3002" s="125"/>
      <c r="RQT3002" s="470"/>
      <c r="RQU3002" s="449"/>
      <c r="RQV3002" s="462"/>
      <c r="RQW3002" s="299"/>
      <c r="RQX3002" s="81"/>
      <c r="RQY3002" s="160"/>
      <c r="RQZ3002" s="574"/>
      <c r="RRA3002" s="125"/>
      <c r="RRB3002" s="470"/>
      <c r="RRC3002" s="449"/>
      <c r="RRD3002" s="462"/>
      <c r="RRE3002" s="299"/>
      <c r="RRF3002" s="81"/>
      <c r="RRG3002" s="160"/>
      <c r="RRH3002" s="574"/>
      <c r="RRI3002" s="125"/>
      <c r="RRJ3002" s="470"/>
      <c r="RRK3002" s="449"/>
      <c r="RRL3002" s="462"/>
      <c r="RRM3002" s="299"/>
      <c r="RRN3002" s="81"/>
      <c r="RRO3002" s="160"/>
      <c r="RRP3002" s="574"/>
      <c r="RRQ3002" s="125"/>
      <c r="RRR3002" s="470"/>
      <c r="RRS3002" s="449"/>
      <c r="RRT3002" s="462"/>
      <c r="RRU3002" s="299"/>
      <c r="RRV3002" s="81"/>
      <c r="RRW3002" s="160"/>
      <c r="RRX3002" s="574"/>
      <c r="RRY3002" s="125"/>
      <c r="RRZ3002" s="470"/>
      <c r="RSA3002" s="449"/>
      <c r="RSB3002" s="462"/>
      <c r="RSC3002" s="299"/>
      <c r="RSD3002" s="81"/>
      <c r="RSE3002" s="160"/>
      <c r="RSF3002" s="574"/>
      <c r="RSG3002" s="125"/>
      <c r="RSH3002" s="470"/>
      <c r="RSI3002" s="449"/>
      <c r="RSJ3002" s="462"/>
      <c r="RSK3002" s="299"/>
      <c r="RSL3002" s="81"/>
      <c r="RSM3002" s="160"/>
      <c r="RSN3002" s="574"/>
      <c r="RSO3002" s="125"/>
      <c r="RSP3002" s="470"/>
      <c r="RSQ3002" s="449"/>
      <c r="RSR3002" s="462"/>
      <c r="RSS3002" s="299"/>
      <c r="RST3002" s="81"/>
      <c r="RSU3002" s="160"/>
      <c r="RSV3002" s="574"/>
      <c r="RSW3002" s="125"/>
      <c r="RSX3002" s="470"/>
      <c r="RSY3002" s="449"/>
      <c r="RSZ3002" s="462"/>
      <c r="RTA3002" s="299"/>
      <c r="RTB3002" s="81"/>
      <c r="RTC3002" s="160"/>
      <c r="RTD3002" s="574"/>
      <c r="RTE3002" s="125"/>
      <c r="RTF3002" s="470"/>
      <c r="RTG3002" s="449"/>
      <c r="RTH3002" s="462"/>
      <c r="RTI3002" s="299"/>
      <c r="RTJ3002" s="81"/>
      <c r="RTK3002" s="160"/>
      <c r="RTL3002" s="574"/>
      <c r="RTM3002" s="125"/>
      <c r="RTN3002" s="470"/>
      <c r="RTO3002" s="449"/>
      <c r="RTP3002" s="462"/>
      <c r="RTQ3002" s="299"/>
      <c r="RTR3002" s="81"/>
      <c r="RTS3002" s="160"/>
      <c r="RTT3002" s="574"/>
      <c r="RTU3002" s="125"/>
      <c r="RTV3002" s="470"/>
      <c r="RTW3002" s="449"/>
      <c r="RTX3002" s="462"/>
      <c r="RTY3002" s="299"/>
      <c r="RTZ3002" s="81"/>
      <c r="RUA3002" s="160"/>
      <c r="RUB3002" s="574"/>
      <c r="RUC3002" s="125"/>
      <c r="RUD3002" s="470"/>
      <c r="RUE3002" s="449"/>
      <c r="RUF3002" s="462"/>
      <c r="RUG3002" s="299"/>
      <c r="RUH3002" s="81"/>
      <c r="RUI3002" s="160"/>
      <c r="RUJ3002" s="574"/>
      <c r="RUK3002" s="125"/>
      <c r="RUL3002" s="470"/>
      <c r="RUM3002" s="449"/>
      <c r="RUN3002" s="462"/>
      <c r="RUO3002" s="299"/>
      <c r="RUP3002" s="81"/>
      <c r="RUQ3002" s="160"/>
      <c r="RUR3002" s="574"/>
      <c r="RUS3002" s="125"/>
      <c r="RUT3002" s="470"/>
      <c r="RUU3002" s="449"/>
      <c r="RUV3002" s="462"/>
      <c r="RUW3002" s="299"/>
      <c r="RUX3002" s="81"/>
      <c r="RUY3002" s="160"/>
      <c r="RUZ3002" s="574"/>
      <c r="RVA3002" s="125"/>
      <c r="RVB3002" s="470"/>
      <c r="RVC3002" s="449"/>
      <c r="RVD3002" s="462"/>
      <c r="RVE3002" s="299"/>
      <c r="RVF3002" s="81"/>
      <c r="RVG3002" s="160"/>
      <c r="RVH3002" s="574"/>
      <c r="RVI3002" s="125"/>
      <c r="RVJ3002" s="470"/>
      <c r="RVK3002" s="449"/>
      <c r="RVL3002" s="462"/>
      <c r="RVM3002" s="299"/>
      <c r="RVN3002" s="81"/>
      <c r="RVO3002" s="160"/>
      <c r="RVP3002" s="574"/>
      <c r="RVQ3002" s="125"/>
      <c r="RVR3002" s="470"/>
      <c r="RVS3002" s="449"/>
      <c r="RVT3002" s="462"/>
      <c r="RVU3002" s="299"/>
      <c r="RVV3002" s="81"/>
      <c r="RVW3002" s="160"/>
      <c r="RVX3002" s="574"/>
      <c r="RVY3002" s="125"/>
      <c r="RVZ3002" s="470"/>
      <c r="RWA3002" s="449"/>
      <c r="RWB3002" s="462"/>
      <c r="RWC3002" s="299"/>
      <c r="RWD3002" s="81"/>
      <c r="RWE3002" s="160"/>
      <c r="RWF3002" s="574"/>
      <c r="RWG3002" s="125"/>
      <c r="RWH3002" s="470"/>
      <c r="RWI3002" s="449"/>
      <c r="RWJ3002" s="462"/>
      <c r="RWK3002" s="299"/>
      <c r="RWL3002" s="81"/>
      <c r="RWM3002" s="160"/>
      <c r="RWN3002" s="574"/>
      <c r="RWO3002" s="125"/>
      <c r="RWP3002" s="470"/>
      <c r="RWQ3002" s="449"/>
      <c r="RWR3002" s="462"/>
      <c r="RWS3002" s="299"/>
      <c r="RWT3002" s="81"/>
      <c r="RWU3002" s="160"/>
      <c r="RWV3002" s="574"/>
      <c r="RWW3002" s="125"/>
      <c r="RWX3002" s="470"/>
      <c r="RWY3002" s="449"/>
      <c r="RWZ3002" s="462"/>
      <c r="RXA3002" s="299"/>
      <c r="RXB3002" s="81"/>
      <c r="RXC3002" s="160"/>
      <c r="RXD3002" s="574"/>
      <c r="RXE3002" s="125"/>
      <c r="RXF3002" s="470"/>
      <c r="RXG3002" s="449"/>
      <c r="RXH3002" s="462"/>
      <c r="RXI3002" s="299"/>
      <c r="RXJ3002" s="81"/>
      <c r="RXK3002" s="160"/>
      <c r="RXL3002" s="574"/>
      <c r="RXM3002" s="125"/>
      <c r="RXN3002" s="470"/>
      <c r="RXO3002" s="449"/>
      <c r="RXP3002" s="462"/>
      <c r="RXQ3002" s="299"/>
      <c r="RXR3002" s="81"/>
      <c r="RXS3002" s="160"/>
      <c r="RXT3002" s="574"/>
      <c r="RXU3002" s="125"/>
      <c r="RXV3002" s="470"/>
      <c r="RXW3002" s="449"/>
      <c r="RXX3002" s="462"/>
      <c r="RXY3002" s="299"/>
      <c r="RXZ3002" s="81"/>
      <c r="RYA3002" s="160"/>
      <c r="RYB3002" s="574"/>
      <c r="RYC3002" s="125"/>
      <c r="RYD3002" s="470"/>
      <c r="RYE3002" s="449"/>
      <c r="RYF3002" s="462"/>
      <c r="RYG3002" s="299"/>
      <c r="RYH3002" s="81"/>
      <c r="RYI3002" s="160"/>
      <c r="RYJ3002" s="574"/>
      <c r="RYK3002" s="125"/>
      <c r="RYL3002" s="470"/>
      <c r="RYM3002" s="449"/>
      <c r="RYN3002" s="462"/>
      <c r="RYO3002" s="299"/>
      <c r="RYP3002" s="81"/>
      <c r="RYQ3002" s="160"/>
      <c r="RYR3002" s="574"/>
      <c r="RYS3002" s="125"/>
      <c r="RYT3002" s="470"/>
      <c r="RYU3002" s="449"/>
      <c r="RYV3002" s="462"/>
      <c r="RYW3002" s="299"/>
      <c r="RYX3002" s="81"/>
      <c r="RYY3002" s="160"/>
      <c r="RYZ3002" s="574"/>
      <c r="RZA3002" s="125"/>
      <c r="RZB3002" s="470"/>
      <c r="RZC3002" s="449"/>
      <c r="RZD3002" s="462"/>
      <c r="RZE3002" s="299"/>
      <c r="RZF3002" s="81"/>
      <c r="RZG3002" s="160"/>
      <c r="RZH3002" s="574"/>
      <c r="RZI3002" s="125"/>
      <c r="RZJ3002" s="470"/>
      <c r="RZK3002" s="449"/>
      <c r="RZL3002" s="462"/>
      <c r="RZM3002" s="299"/>
      <c r="RZN3002" s="81"/>
      <c r="RZO3002" s="160"/>
      <c r="RZP3002" s="574"/>
      <c r="RZQ3002" s="125"/>
      <c r="RZR3002" s="470"/>
      <c r="RZS3002" s="449"/>
      <c r="RZT3002" s="462"/>
      <c r="RZU3002" s="299"/>
      <c r="RZV3002" s="81"/>
      <c r="RZW3002" s="160"/>
      <c r="RZX3002" s="574"/>
      <c r="RZY3002" s="125"/>
      <c r="RZZ3002" s="470"/>
      <c r="SAA3002" s="449"/>
      <c r="SAB3002" s="462"/>
      <c r="SAC3002" s="299"/>
      <c r="SAD3002" s="81"/>
      <c r="SAE3002" s="160"/>
      <c r="SAF3002" s="574"/>
      <c r="SAG3002" s="125"/>
      <c r="SAH3002" s="470"/>
      <c r="SAI3002" s="449"/>
      <c r="SAJ3002" s="462"/>
      <c r="SAK3002" s="299"/>
      <c r="SAL3002" s="81"/>
      <c r="SAM3002" s="160"/>
      <c r="SAN3002" s="574"/>
      <c r="SAO3002" s="125"/>
      <c r="SAP3002" s="470"/>
      <c r="SAQ3002" s="449"/>
      <c r="SAR3002" s="462"/>
      <c r="SAS3002" s="299"/>
      <c r="SAT3002" s="81"/>
      <c r="SAU3002" s="160"/>
      <c r="SAV3002" s="574"/>
      <c r="SAW3002" s="125"/>
      <c r="SAX3002" s="470"/>
      <c r="SAY3002" s="449"/>
      <c r="SAZ3002" s="462"/>
      <c r="SBA3002" s="299"/>
      <c r="SBB3002" s="81"/>
      <c r="SBC3002" s="160"/>
      <c r="SBD3002" s="574"/>
      <c r="SBE3002" s="125"/>
      <c r="SBF3002" s="470"/>
      <c r="SBG3002" s="449"/>
      <c r="SBH3002" s="462"/>
      <c r="SBI3002" s="299"/>
      <c r="SBJ3002" s="81"/>
      <c r="SBK3002" s="160"/>
      <c r="SBL3002" s="574"/>
      <c r="SBM3002" s="125"/>
      <c r="SBN3002" s="470"/>
      <c r="SBO3002" s="449"/>
      <c r="SBP3002" s="462"/>
      <c r="SBQ3002" s="299"/>
      <c r="SBR3002" s="81"/>
      <c r="SBS3002" s="160"/>
      <c r="SBT3002" s="574"/>
      <c r="SBU3002" s="125"/>
      <c r="SBV3002" s="470"/>
      <c r="SBW3002" s="449"/>
      <c r="SBX3002" s="462"/>
      <c r="SBY3002" s="299"/>
      <c r="SBZ3002" s="81"/>
      <c r="SCA3002" s="160"/>
      <c r="SCB3002" s="574"/>
      <c r="SCC3002" s="125"/>
      <c r="SCD3002" s="470"/>
      <c r="SCE3002" s="449"/>
      <c r="SCF3002" s="462"/>
      <c r="SCG3002" s="299"/>
      <c r="SCH3002" s="81"/>
      <c r="SCI3002" s="160"/>
      <c r="SCJ3002" s="574"/>
      <c r="SCK3002" s="125"/>
      <c r="SCL3002" s="470"/>
      <c r="SCM3002" s="449"/>
      <c r="SCN3002" s="462"/>
      <c r="SCO3002" s="299"/>
      <c r="SCP3002" s="81"/>
      <c r="SCQ3002" s="160"/>
      <c r="SCR3002" s="574"/>
      <c r="SCS3002" s="125"/>
      <c r="SCT3002" s="470"/>
      <c r="SCU3002" s="449"/>
      <c r="SCV3002" s="462"/>
      <c r="SCW3002" s="299"/>
      <c r="SCX3002" s="81"/>
      <c r="SCY3002" s="160"/>
      <c r="SCZ3002" s="574"/>
      <c r="SDA3002" s="125"/>
      <c r="SDB3002" s="470"/>
      <c r="SDC3002" s="449"/>
      <c r="SDD3002" s="462"/>
      <c r="SDE3002" s="299"/>
      <c r="SDF3002" s="81"/>
      <c r="SDG3002" s="160"/>
      <c r="SDH3002" s="574"/>
      <c r="SDI3002" s="125"/>
      <c r="SDJ3002" s="470"/>
      <c r="SDK3002" s="449"/>
      <c r="SDL3002" s="462"/>
      <c r="SDM3002" s="299"/>
      <c r="SDN3002" s="81"/>
      <c r="SDO3002" s="160"/>
      <c r="SDP3002" s="574"/>
      <c r="SDQ3002" s="125"/>
      <c r="SDR3002" s="470"/>
      <c r="SDS3002" s="449"/>
      <c r="SDT3002" s="462"/>
      <c r="SDU3002" s="299"/>
      <c r="SDV3002" s="81"/>
      <c r="SDW3002" s="160"/>
      <c r="SDX3002" s="574"/>
      <c r="SDY3002" s="125"/>
      <c r="SDZ3002" s="470"/>
      <c r="SEA3002" s="449"/>
      <c r="SEB3002" s="462"/>
      <c r="SEC3002" s="299"/>
      <c r="SED3002" s="81"/>
      <c r="SEE3002" s="160"/>
      <c r="SEF3002" s="574"/>
      <c r="SEG3002" s="125"/>
      <c r="SEH3002" s="470"/>
      <c r="SEI3002" s="449"/>
      <c r="SEJ3002" s="462"/>
      <c r="SEK3002" s="299"/>
      <c r="SEL3002" s="81"/>
      <c r="SEM3002" s="160"/>
      <c r="SEN3002" s="574"/>
      <c r="SEO3002" s="125"/>
      <c r="SEP3002" s="470"/>
      <c r="SEQ3002" s="449"/>
      <c r="SER3002" s="462"/>
      <c r="SES3002" s="299"/>
      <c r="SET3002" s="81"/>
      <c r="SEU3002" s="160"/>
      <c r="SEV3002" s="574"/>
      <c r="SEW3002" s="125"/>
      <c r="SEX3002" s="470"/>
      <c r="SEY3002" s="449"/>
      <c r="SEZ3002" s="462"/>
      <c r="SFA3002" s="299"/>
      <c r="SFB3002" s="81"/>
      <c r="SFC3002" s="160"/>
      <c r="SFD3002" s="574"/>
      <c r="SFE3002" s="125"/>
      <c r="SFF3002" s="470"/>
      <c r="SFG3002" s="449"/>
      <c r="SFH3002" s="462"/>
      <c r="SFI3002" s="299"/>
      <c r="SFJ3002" s="81"/>
      <c r="SFK3002" s="160"/>
      <c r="SFL3002" s="574"/>
      <c r="SFM3002" s="125"/>
      <c r="SFN3002" s="470"/>
      <c r="SFO3002" s="449"/>
      <c r="SFP3002" s="462"/>
      <c r="SFQ3002" s="299"/>
      <c r="SFR3002" s="81"/>
      <c r="SFS3002" s="160"/>
      <c r="SFT3002" s="574"/>
      <c r="SFU3002" s="125"/>
      <c r="SFV3002" s="470"/>
      <c r="SFW3002" s="449"/>
      <c r="SFX3002" s="462"/>
      <c r="SFY3002" s="299"/>
      <c r="SFZ3002" s="81"/>
      <c r="SGA3002" s="160"/>
      <c r="SGB3002" s="574"/>
      <c r="SGC3002" s="125"/>
      <c r="SGD3002" s="470"/>
      <c r="SGE3002" s="449"/>
      <c r="SGF3002" s="462"/>
      <c r="SGG3002" s="299"/>
      <c r="SGH3002" s="81"/>
      <c r="SGI3002" s="160"/>
      <c r="SGJ3002" s="574"/>
      <c r="SGK3002" s="125"/>
      <c r="SGL3002" s="470"/>
      <c r="SGM3002" s="449"/>
      <c r="SGN3002" s="462"/>
      <c r="SGO3002" s="299"/>
      <c r="SGP3002" s="81"/>
      <c r="SGQ3002" s="160"/>
      <c r="SGR3002" s="574"/>
      <c r="SGS3002" s="125"/>
      <c r="SGT3002" s="470"/>
      <c r="SGU3002" s="449"/>
      <c r="SGV3002" s="462"/>
      <c r="SGW3002" s="299"/>
      <c r="SGX3002" s="81"/>
      <c r="SGY3002" s="160"/>
      <c r="SGZ3002" s="574"/>
      <c r="SHA3002" s="125"/>
      <c r="SHB3002" s="470"/>
      <c r="SHC3002" s="449"/>
      <c r="SHD3002" s="462"/>
      <c r="SHE3002" s="299"/>
      <c r="SHF3002" s="81"/>
      <c r="SHG3002" s="160"/>
      <c r="SHH3002" s="574"/>
      <c r="SHI3002" s="125"/>
      <c r="SHJ3002" s="470"/>
      <c r="SHK3002" s="449"/>
      <c r="SHL3002" s="462"/>
      <c r="SHM3002" s="299"/>
      <c r="SHN3002" s="81"/>
      <c r="SHO3002" s="160"/>
      <c r="SHP3002" s="574"/>
      <c r="SHQ3002" s="125"/>
      <c r="SHR3002" s="470"/>
      <c r="SHS3002" s="449"/>
      <c r="SHT3002" s="462"/>
      <c r="SHU3002" s="299"/>
      <c r="SHV3002" s="81"/>
      <c r="SHW3002" s="160"/>
      <c r="SHX3002" s="574"/>
      <c r="SHY3002" s="125"/>
      <c r="SHZ3002" s="470"/>
      <c r="SIA3002" s="449"/>
      <c r="SIB3002" s="462"/>
      <c r="SIC3002" s="299"/>
      <c r="SID3002" s="81"/>
      <c r="SIE3002" s="160"/>
      <c r="SIF3002" s="574"/>
      <c r="SIG3002" s="125"/>
      <c r="SIH3002" s="470"/>
      <c r="SII3002" s="449"/>
      <c r="SIJ3002" s="462"/>
      <c r="SIK3002" s="299"/>
      <c r="SIL3002" s="81"/>
      <c r="SIM3002" s="160"/>
      <c r="SIN3002" s="574"/>
      <c r="SIO3002" s="125"/>
      <c r="SIP3002" s="470"/>
      <c r="SIQ3002" s="449"/>
      <c r="SIR3002" s="462"/>
      <c r="SIS3002" s="299"/>
      <c r="SIT3002" s="81"/>
      <c r="SIU3002" s="160"/>
      <c r="SIV3002" s="574"/>
      <c r="SIW3002" s="125"/>
      <c r="SIX3002" s="470"/>
      <c r="SIY3002" s="449"/>
      <c r="SIZ3002" s="462"/>
      <c r="SJA3002" s="299"/>
      <c r="SJB3002" s="81"/>
      <c r="SJC3002" s="160"/>
      <c r="SJD3002" s="574"/>
      <c r="SJE3002" s="125"/>
      <c r="SJF3002" s="470"/>
      <c r="SJG3002" s="449"/>
      <c r="SJH3002" s="462"/>
      <c r="SJI3002" s="299"/>
      <c r="SJJ3002" s="81"/>
      <c r="SJK3002" s="160"/>
      <c r="SJL3002" s="574"/>
      <c r="SJM3002" s="125"/>
      <c r="SJN3002" s="470"/>
      <c r="SJO3002" s="449"/>
      <c r="SJP3002" s="462"/>
      <c r="SJQ3002" s="299"/>
      <c r="SJR3002" s="81"/>
      <c r="SJS3002" s="160"/>
      <c r="SJT3002" s="574"/>
      <c r="SJU3002" s="125"/>
      <c r="SJV3002" s="470"/>
      <c r="SJW3002" s="449"/>
      <c r="SJX3002" s="462"/>
      <c r="SJY3002" s="299"/>
      <c r="SJZ3002" s="81"/>
      <c r="SKA3002" s="160"/>
      <c r="SKB3002" s="574"/>
      <c r="SKC3002" s="125"/>
      <c r="SKD3002" s="470"/>
      <c r="SKE3002" s="449"/>
      <c r="SKF3002" s="462"/>
      <c r="SKG3002" s="299"/>
      <c r="SKH3002" s="81"/>
      <c r="SKI3002" s="160"/>
      <c r="SKJ3002" s="574"/>
      <c r="SKK3002" s="125"/>
      <c r="SKL3002" s="470"/>
      <c r="SKM3002" s="449"/>
      <c r="SKN3002" s="462"/>
      <c r="SKO3002" s="299"/>
      <c r="SKP3002" s="81"/>
      <c r="SKQ3002" s="160"/>
      <c r="SKR3002" s="574"/>
      <c r="SKS3002" s="125"/>
      <c r="SKT3002" s="470"/>
      <c r="SKU3002" s="449"/>
      <c r="SKV3002" s="462"/>
      <c r="SKW3002" s="299"/>
      <c r="SKX3002" s="81"/>
      <c r="SKY3002" s="160"/>
      <c r="SKZ3002" s="574"/>
      <c r="SLA3002" s="125"/>
      <c r="SLB3002" s="470"/>
      <c r="SLC3002" s="449"/>
      <c r="SLD3002" s="462"/>
      <c r="SLE3002" s="299"/>
      <c r="SLF3002" s="81"/>
      <c r="SLG3002" s="160"/>
      <c r="SLH3002" s="574"/>
      <c r="SLI3002" s="125"/>
      <c r="SLJ3002" s="470"/>
      <c r="SLK3002" s="449"/>
      <c r="SLL3002" s="462"/>
      <c r="SLM3002" s="299"/>
      <c r="SLN3002" s="81"/>
      <c r="SLO3002" s="160"/>
      <c r="SLP3002" s="574"/>
      <c r="SLQ3002" s="125"/>
      <c r="SLR3002" s="470"/>
      <c r="SLS3002" s="449"/>
      <c r="SLT3002" s="462"/>
      <c r="SLU3002" s="299"/>
      <c r="SLV3002" s="81"/>
      <c r="SLW3002" s="160"/>
      <c r="SLX3002" s="574"/>
      <c r="SLY3002" s="125"/>
      <c r="SLZ3002" s="470"/>
      <c r="SMA3002" s="449"/>
      <c r="SMB3002" s="462"/>
      <c r="SMC3002" s="299"/>
      <c r="SMD3002" s="81"/>
      <c r="SME3002" s="160"/>
      <c r="SMF3002" s="574"/>
      <c r="SMG3002" s="125"/>
      <c r="SMH3002" s="470"/>
      <c r="SMI3002" s="449"/>
      <c r="SMJ3002" s="462"/>
      <c r="SMK3002" s="299"/>
      <c r="SML3002" s="81"/>
      <c r="SMM3002" s="160"/>
      <c r="SMN3002" s="574"/>
      <c r="SMO3002" s="125"/>
      <c r="SMP3002" s="470"/>
      <c r="SMQ3002" s="449"/>
      <c r="SMR3002" s="462"/>
      <c r="SMS3002" s="299"/>
      <c r="SMT3002" s="81"/>
      <c r="SMU3002" s="160"/>
      <c r="SMV3002" s="574"/>
      <c r="SMW3002" s="125"/>
      <c r="SMX3002" s="470"/>
      <c r="SMY3002" s="449"/>
      <c r="SMZ3002" s="462"/>
      <c r="SNA3002" s="299"/>
      <c r="SNB3002" s="81"/>
      <c r="SNC3002" s="160"/>
      <c r="SND3002" s="574"/>
      <c r="SNE3002" s="125"/>
      <c r="SNF3002" s="470"/>
      <c r="SNG3002" s="449"/>
      <c r="SNH3002" s="462"/>
      <c r="SNI3002" s="299"/>
      <c r="SNJ3002" s="81"/>
      <c r="SNK3002" s="160"/>
      <c r="SNL3002" s="574"/>
      <c r="SNM3002" s="125"/>
      <c r="SNN3002" s="470"/>
      <c r="SNO3002" s="449"/>
      <c r="SNP3002" s="462"/>
      <c r="SNQ3002" s="299"/>
      <c r="SNR3002" s="81"/>
      <c r="SNS3002" s="160"/>
      <c r="SNT3002" s="574"/>
      <c r="SNU3002" s="125"/>
      <c r="SNV3002" s="470"/>
      <c r="SNW3002" s="449"/>
      <c r="SNX3002" s="462"/>
      <c r="SNY3002" s="299"/>
      <c r="SNZ3002" s="81"/>
      <c r="SOA3002" s="160"/>
      <c r="SOB3002" s="574"/>
      <c r="SOC3002" s="125"/>
      <c r="SOD3002" s="470"/>
      <c r="SOE3002" s="449"/>
      <c r="SOF3002" s="462"/>
      <c r="SOG3002" s="299"/>
      <c r="SOH3002" s="81"/>
      <c r="SOI3002" s="160"/>
      <c r="SOJ3002" s="574"/>
      <c r="SOK3002" s="125"/>
      <c r="SOL3002" s="470"/>
      <c r="SOM3002" s="449"/>
      <c r="SON3002" s="462"/>
      <c r="SOO3002" s="299"/>
      <c r="SOP3002" s="81"/>
      <c r="SOQ3002" s="160"/>
      <c r="SOR3002" s="574"/>
      <c r="SOS3002" s="125"/>
      <c r="SOT3002" s="470"/>
      <c r="SOU3002" s="449"/>
      <c r="SOV3002" s="462"/>
      <c r="SOW3002" s="299"/>
      <c r="SOX3002" s="81"/>
      <c r="SOY3002" s="160"/>
      <c r="SOZ3002" s="574"/>
      <c r="SPA3002" s="125"/>
      <c r="SPB3002" s="470"/>
      <c r="SPC3002" s="449"/>
      <c r="SPD3002" s="462"/>
      <c r="SPE3002" s="299"/>
      <c r="SPF3002" s="81"/>
      <c r="SPG3002" s="160"/>
      <c r="SPH3002" s="574"/>
      <c r="SPI3002" s="125"/>
      <c r="SPJ3002" s="470"/>
      <c r="SPK3002" s="449"/>
      <c r="SPL3002" s="462"/>
      <c r="SPM3002" s="299"/>
      <c r="SPN3002" s="81"/>
      <c r="SPO3002" s="160"/>
      <c r="SPP3002" s="574"/>
      <c r="SPQ3002" s="125"/>
      <c r="SPR3002" s="470"/>
      <c r="SPS3002" s="449"/>
      <c r="SPT3002" s="462"/>
      <c r="SPU3002" s="299"/>
      <c r="SPV3002" s="81"/>
      <c r="SPW3002" s="160"/>
      <c r="SPX3002" s="574"/>
      <c r="SPY3002" s="125"/>
      <c r="SPZ3002" s="470"/>
      <c r="SQA3002" s="449"/>
      <c r="SQB3002" s="462"/>
      <c r="SQC3002" s="299"/>
      <c r="SQD3002" s="81"/>
      <c r="SQE3002" s="160"/>
      <c r="SQF3002" s="574"/>
      <c r="SQG3002" s="125"/>
      <c r="SQH3002" s="470"/>
      <c r="SQI3002" s="449"/>
      <c r="SQJ3002" s="462"/>
      <c r="SQK3002" s="299"/>
      <c r="SQL3002" s="81"/>
      <c r="SQM3002" s="160"/>
      <c r="SQN3002" s="574"/>
      <c r="SQO3002" s="125"/>
      <c r="SQP3002" s="470"/>
      <c r="SQQ3002" s="449"/>
      <c r="SQR3002" s="462"/>
      <c r="SQS3002" s="299"/>
      <c r="SQT3002" s="81"/>
      <c r="SQU3002" s="160"/>
      <c r="SQV3002" s="574"/>
      <c r="SQW3002" s="125"/>
      <c r="SQX3002" s="470"/>
      <c r="SQY3002" s="449"/>
      <c r="SQZ3002" s="462"/>
      <c r="SRA3002" s="299"/>
      <c r="SRB3002" s="81"/>
      <c r="SRC3002" s="160"/>
      <c r="SRD3002" s="574"/>
      <c r="SRE3002" s="125"/>
      <c r="SRF3002" s="470"/>
      <c r="SRG3002" s="449"/>
      <c r="SRH3002" s="462"/>
      <c r="SRI3002" s="299"/>
      <c r="SRJ3002" s="81"/>
      <c r="SRK3002" s="160"/>
      <c r="SRL3002" s="574"/>
      <c r="SRM3002" s="125"/>
      <c r="SRN3002" s="470"/>
      <c r="SRO3002" s="449"/>
      <c r="SRP3002" s="462"/>
      <c r="SRQ3002" s="299"/>
      <c r="SRR3002" s="81"/>
      <c r="SRS3002" s="160"/>
      <c r="SRT3002" s="574"/>
      <c r="SRU3002" s="125"/>
      <c r="SRV3002" s="470"/>
      <c r="SRW3002" s="449"/>
      <c r="SRX3002" s="462"/>
      <c r="SRY3002" s="299"/>
      <c r="SRZ3002" s="81"/>
      <c r="SSA3002" s="160"/>
      <c r="SSB3002" s="574"/>
      <c r="SSC3002" s="125"/>
      <c r="SSD3002" s="470"/>
      <c r="SSE3002" s="449"/>
      <c r="SSF3002" s="462"/>
      <c r="SSG3002" s="299"/>
      <c r="SSH3002" s="81"/>
      <c r="SSI3002" s="160"/>
      <c r="SSJ3002" s="574"/>
      <c r="SSK3002" s="125"/>
      <c r="SSL3002" s="470"/>
      <c r="SSM3002" s="449"/>
      <c r="SSN3002" s="462"/>
      <c r="SSO3002" s="299"/>
      <c r="SSP3002" s="81"/>
      <c r="SSQ3002" s="160"/>
      <c r="SSR3002" s="574"/>
      <c r="SSS3002" s="125"/>
      <c r="SST3002" s="470"/>
      <c r="SSU3002" s="449"/>
      <c r="SSV3002" s="462"/>
      <c r="SSW3002" s="299"/>
      <c r="SSX3002" s="81"/>
      <c r="SSY3002" s="160"/>
      <c r="SSZ3002" s="574"/>
      <c r="STA3002" s="125"/>
      <c r="STB3002" s="470"/>
      <c r="STC3002" s="449"/>
      <c r="STD3002" s="462"/>
      <c r="STE3002" s="299"/>
      <c r="STF3002" s="81"/>
      <c r="STG3002" s="160"/>
      <c r="STH3002" s="574"/>
      <c r="STI3002" s="125"/>
      <c r="STJ3002" s="470"/>
      <c r="STK3002" s="449"/>
      <c r="STL3002" s="462"/>
      <c r="STM3002" s="299"/>
      <c r="STN3002" s="81"/>
      <c r="STO3002" s="160"/>
      <c r="STP3002" s="574"/>
      <c r="STQ3002" s="125"/>
      <c r="STR3002" s="470"/>
      <c r="STS3002" s="449"/>
      <c r="STT3002" s="462"/>
      <c r="STU3002" s="299"/>
      <c r="STV3002" s="81"/>
      <c r="STW3002" s="160"/>
      <c r="STX3002" s="574"/>
      <c r="STY3002" s="125"/>
      <c r="STZ3002" s="470"/>
      <c r="SUA3002" s="449"/>
      <c r="SUB3002" s="462"/>
      <c r="SUC3002" s="299"/>
      <c r="SUD3002" s="81"/>
      <c r="SUE3002" s="160"/>
      <c r="SUF3002" s="574"/>
      <c r="SUG3002" s="125"/>
      <c r="SUH3002" s="470"/>
      <c r="SUI3002" s="449"/>
      <c r="SUJ3002" s="462"/>
      <c r="SUK3002" s="299"/>
      <c r="SUL3002" s="81"/>
      <c r="SUM3002" s="160"/>
      <c r="SUN3002" s="574"/>
      <c r="SUO3002" s="125"/>
      <c r="SUP3002" s="470"/>
      <c r="SUQ3002" s="449"/>
      <c r="SUR3002" s="462"/>
      <c r="SUS3002" s="299"/>
      <c r="SUT3002" s="81"/>
      <c r="SUU3002" s="160"/>
      <c r="SUV3002" s="574"/>
      <c r="SUW3002" s="125"/>
      <c r="SUX3002" s="470"/>
      <c r="SUY3002" s="449"/>
      <c r="SUZ3002" s="462"/>
      <c r="SVA3002" s="299"/>
      <c r="SVB3002" s="81"/>
      <c r="SVC3002" s="160"/>
      <c r="SVD3002" s="574"/>
      <c r="SVE3002" s="125"/>
      <c r="SVF3002" s="470"/>
      <c r="SVG3002" s="449"/>
      <c r="SVH3002" s="462"/>
      <c r="SVI3002" s="299"/>
      <c r="SVJ3002" s="81"/>
      <c r="SVK3002" s="160"/>
      <c r="SVL3002" s="574"/>
      <c r="SVM3002" s="125"/>
      <c r="SVN3002" s="470"/>
      <c r="SVO3002" s="449"/>
      <c r="SVP3002" s="462"/>
      <c r="SVQ3002" s="299"/>
      <c r="SVR3002" s="81"/>
      <c r="SVS3002" s="160"/>
      <c r="SVT3002" s="574"/>
      <c r="SVU3002" s="125"/>
      <c r="SVV3002" s="470"/>
      <c r="SVW3002" s="449"/>
      <c r="SVX3002" s="462"/>
      <c r="SVY3002" s="299"/>
      <c r="SVZ3002" s="81"/>
      <c r="SWA3002" s="160"/>
      <c r="SWB3002" s="574"/>
      <c r="SWC3002" s="125"/>
      <c r="SWD3002" s="470"/>
      <c r="SWE3002" s="449"/>
      <c r="SWF3002" s="462"/>
      <c r="SWG3002" s="299"/>
      <c r="SWH3002" s="81"/>
      <c r="SWI3002" s="160"/>
      <c r="SWJ3002" s="574"/>
      <c r="SWK3002" s="125"/>
      <c r="SWL3002" s="470"/>
      <c r="SWM3002" s="449"/>
      <c r="SWN3002" s="462"/>
      <c r="SWO3002" s="299"/>
      <c r="SWP3002" s="81"/>
      <c r="SWQ3002" s="160"/>
      <c r="SWR3002" s="574"/>
      <c r="SWS3002" s="125"/>
      <c r="SWT3002" s="470"/>
      <c r="SWU3002" s="449"/>
      <c r="SWV3002" s="462"/>
      <c r="SWW3002" s="299"/>
      <c r="SWX3002" s="81"/>
      <c r="SWY3002" s="160"/>
      <c r="SWZ3002" s="574"/>
      <c r="SXA3002" s="125"/>
      <c r="SXB3002" s="470"/>
      <c r="SXC3002" s="449"/>
      <c r="SXD3002" s="462"/>
      <c r="SXE3002" s="299"/>
      <c r="SXF3002" s="81"/>
      <c r="SXG3002" s="160"/>
      <c r="SXH3002" s="574"/>
      <c r="SXI3002" s="125"/>
      <c r="SXJ3002" s="470"/>
      <c r="SXK3002" s="449"/>
      <c r="SXL3002" s="462"/>
      <c r="SXM3002" s="299"/>
      <c r="SXN3002" s="81"/>
      <c r="SXO3002" s="160"/>
      <c r="SXP3002" s="574"/>
      <c r="SXQ3002" s="125"/>
      <c r="SXR3002" s="470"/>
      <c r="SXS3002" s="449"/>
      <c r="SXT3002" s="462"/>
      <c r="SXU3002" s="299"/>
      <c r="SXV3002" s="81"/>
      <c r="SXW3002" s="160"/>
      <c r="SXX3002" s="574"/>
      <c r="SXY3002" s="125"/>
      <c r="SXZ3002" s="470"/>
      <c r="SYA3002" s="449"/>
      <c r="SYB3002" s="462"/>
      <c r="SYC3002" s="299"/>
      <c r="SYD3002" s="81"/>
      <c r="SYE3002" s="160"/>
      <c r="SYF3002" s="574"/>
      <c r="SYG3002" s="125"/>
      <c r="SYH3002" s="470"/>
      <c r="SYI3002" s="449"/>
      <c r="SYJ3002" s="462"/>
      <c r="SYK3002" s="299"/>
      <c r="SYL3002" s="81"/>
      <c r="SYM3002" s="160"/>
      <c r="SYN3002" s="574"/>
      <c r="SYO3002" s="125"/>
      <c r="SYP3002" s="470"/>
      <c r="SYQ3002" s="449"/>
      <c r="SYR3002" s="462"/>
      <c r="SYS3002" s="299"/>
      <c r="SYT3002" s="81"/>
      <c r="SYU3002" s="160"/>
      <c r="SYV3002" s="574"/>
      <c r="SYW3002" s="125"/>
      <c r="SYX3002" s="470"/>
      <c r="SYY3002" s="449"/>
      <c r="SYZ3002" s="462"/>
      <c r="SZA3002" s="299"/>
      <c r="SZB3002" s="81"/>
      <c r="SZC3002" s="160"/>
      <c r="SZD3002" s="574"/>
      <c r="SZE3002" s="125"/>
      <c r="SZF3002" s="470"/>
      <c r="SZG3002" s="449"/>
      <c r="SZH3002" s="462"/>
      <c r="SZI3002" s="299"/>
      <c r="SZJ3002" s="81"/>
      <c r="SZK3002" s="160"/>
      <c r="SZL3002" s="574"/>
      <c r="SZM3002" s="125"/>
      <c r="SZN3002" s="470"/>
      <c r="SZO3002" s="449"/>
      <c r="SZP3002" s="462"/>
      <c r="SZQ3002" s="299"/>
      <c r="SZR3002" s="81"/>
      <c r="SZS3002" s="160"/>
      <c r="SZT3002" s="574"/>
      <c r="SZU3002" s="125"/>
      <c r="SZV3002" s="470"/>
      <c r="SZW3002" s="449"/>
      <c r="SZX3002" s="462"/>
      <c r="SZY3002" s="299"/>
      <c r="SZZ3002" s="81"/>
      <c r="TAA3002" s="160"/>
      <c r="TAB3002" s="574"/>
      <c r="TAC3002" s="125"/>
      <c r="TAD3002" s="470"/>
      <c r="TAE3002" s="449"/>
      <c r="TAF3002" s="462"/>
      <c r="TAG3002" s="299"/>
      <c r="TAH3002" s="81"/>
      <c r="TAI3002" s="160"/>
      <c r="TAJ3002" s="574"/>
      <c r="TAK3002" s="125"/>
      <c r="TAL3002" s="470"/>
      <c r="TAM3002" s="449"/>
      <c r="TAN3002" s="462"/>
      <c r="TAO3002" s="299"/>
      <c r="TAP3002" s="81"/>
      <c r="TAQ3002" s="160"/>
      <c r="TAR3002" s="574"/>
      <c r="TAS3002" s="125"/>
      <c r="TAT3002" s="470"/>
      <c r="TAU3002" s="449"/>
      <c r="TAV3002" s="462"/>
      <c r="TAW3002" s="299"/>
      <c r="TAX3002" s="81"/>
      <c r="TAY3002" s="160"/>
      <c r="TAZ3002" s="574"/>
      <c r="TBA3002" s="125"/>
      <c r="TBB3002" s="470"/>
      <c r="TBC3002" s="449"/>
      <c r="TBD3002" s="462"/>
      <c r="TBE3002" s="299"/>
      <c r="TBF3002" s="81"/>
      <c r="TBG3002" s="160"/>
      <c r="TBH3002" s="574"/>
      <c r="TBI3002" s="125"/>
      <c r="TBJ3002" s="470"/>
      <c r="TBK3002" s="449"/>
      <c r="TBL3002" s="462"/>
      <c r="TBM3002" s="299"/>
      <c r="TBN3002" s="81"/>
      <c r="TBO3002" s="160"/>
      <c r="TBP3002" s="574"/>
      <c r="TBQ3002" s="125"/>
      <c r="TBR3002" s="470"/>
      <c r="TBS3002" s="449"/>
      <c r="TBT3002" s="462"/>
      <c r="TBU3002" s="299"/>
      <c r="TBV3002" s="81"/>
      <c r="TBW3002" s="160"/>
      <c r="TBX3002" s="574"/>
      <c r="TBY3002" s="125"/>
      <c r="TBZ3002" s="470"/>
      <c r="TCA3002" s="449"/>
      <c r="TCB3002" s="462"/>
      <c r="TCC3002" s="299"/>
      <c r="TCD3002" s="81"/>
      <c r="TCE3002" s="160"/>
      <c r="TCF3002" s="574"/>
      <c r="TCG3002" s="125"/>
      <c r="TCH3002" s="470"/>
      <c r="TCI3002" s="449"/>
      <c r="TCJ3002" s="462"/>
      <c r="TCK3002" s="299"/>
      <c r="TCL3002" s="81"/>
      <c r="TCM3002" s="160"/>
      <c r="TCN3002" s="574"/>
      <c r="TCO3002" s="125"/>
      <c r="TCP3002" s="470"/>
      <c r="TCQ3002" s="449"/>
      <c r="TCR3002" s="462"/>
      <c r="TCS3002" s="299"/>
      <c r="TCT3002" s="81"/>
      <c r="TCU3002" s="160"/>
      <c r="TCV3002" s="574"/>
      <c r="TCW3002" s="125"/>
      <c r="TCX3002" s="470"/>
      <c r="TCY3002" s="449"/>
      <c r="TCZ3002" s="462"/>
      <c r="TDA3002" s="299"/>
      <c r="TDB3002" s="81"/>
      <c r="TDC3002" s="160"/>
      <c r="TDD3002" s="574"/>
      <c r="TDE3002" s="125"/>
      <c r="TDF3002" s="470"/>
      <c r="TDG3002" s="449"/>
      <c r="TDH3002" s="462"/>
      <c r="TDI3002" s="299"/>
      <c r="TDJ3002" s="81"/>
      <c r="TDK3002" s="160"/>
      <c r="TDL3002" s="574"/>
      <c r="TDM3002" s="125"/>
      <c r="TDN3002" s="470"/>
      <c r="TDO3002" s="449"/>
      <c r="TDP3002" s="462"/>
      <c r="TDQ3002" s="299"/>
      <c r="TDR3002" s="81"/>
      <c r="TDS3002" s="160"/>
      <c r="TDT3002" s="574"/>
      <c r="TDU3002" s="125"/>
      <c r="TDV3002" s="470"/>
      <c r="TDW3002" s="449"/>
      <c r="TDX3002" s="462"/>
      <c r="TDY3002" s="299"/>
      <c r="TDZ3002" s="81"/>
      <c r="TEA3002" s="160"/>
      <c r="TEB3002" s="574"/>
      <c r="TEC3002" s="125"/>
      <c r="TED3002" s="470"/>
      <c r="TEE3002" s="449"/>
      <c r="TEF3002" s="462"/>
      <c r="TEG3002" s="299"/>
      <c r="TEH3002" s="81"/>
      <c r="TEI3002" s="160"/>
      <c r="TEJ3002" s="574"/>
      <c r="TEK3002" s="125"/>
      <c r="TEL3002" s="470"/>
      <c r="TEM3002" s="449"/>
      <c r="TEN3002" s="462"/>
      <c r="TEO3002" s="299"/>
      <c r="TEP3002" s="81"/>
      <c r="TEQ3002" s="160"/>
      <c r="TER3002" s="574"/>
      <c r="TES3002" s="125"/>
      <c r="TET3002" s="470"/>
      <c r="TEU3002" s="449"/>
      <c r="TEV3002" s="462"/>
      <c r="TEW3002" s="299"/>
      <c r="TEX3002" s="81"/>
      <c r="TEY3002" s="160"/>
      <c r="TEZ3002" s="574"/>
      <c r="TFA3002" s="125"/>
      <c r="TFB3002" s="470"/>
      <c r="TFC3002" s="449"/>
      <c r="TFD3002" s="462"/>
      <c r="TFE3002" s="299"/>
      <c r="TFF3002" s="81"/>
      <c r="TFG3002" s="160"/>
      <c r="TFH3002" s="574"/>
      <c r="TFI3002" s="125"/>
      <c r="TFJ3002" s="470"/>
      <c r="TFK3002" s="449"/>
      <c r="TFL3002" s="462"/>
      <c r="TFM3002" s="299"/>
      <c r="TFN3002" s="81"/>
      <c r="TFO3002" s="160"/>
      <c r="TFP3002" s="574"/>
      <c r="TFQ3002" s="125"/>
      <c r="TFR3002" s="470"/>
      <c r="TFS3002" s="449"/>
      <c r="TFT3002" s="462"/>
      <c r="TFU3002" s="299"/>
      <c r="TFV3002" s="81"/>
      <c r="TFW3002" s="160"/>
      <c r="TFX3002" s="574"/>
      <c r="TFY3002" s="125"/>
      <c r="TFZ3002" s="470"/>
      <c r="TGA3002" s="449"/>
      <c r="TGB3002" s="462"/>
      <c r="TGC3002" s="299"/>
      <c r="TGD3002" s="81"/>
      <c r="TGE3002" s="160"/>
      <c r="TGF3002" s="574"/>
      <c r="TGG3002" s="125"/>
      <c r="TGH3002" s="470"/>
      <c r="TGI3002" s="449"/>
      <c r="TGJ3002" s="462"/>
      <c r="TGK3002" s="299"/>
      <c r="TGL3002" s="81"/>
      <c r="TGM3002" s="160"/>
      <c r="TGN3002" s="574"/>
      <c r="TGO3002" s="125"/>
      <c r="TGP3002" s="470"/>
      <c r="TGQ3002" s="449"/>
      <c r="TGR3002" s="462"/>
      <c r="TGS3002" s="299"/>
      <c r="TGT3002" s="81"/>
      <c r="TGU3002" s="160"/>
      <c r="TGV3002" s="574"/>
      <c r="TGW3002" s="125"/>
      <c r="TGX3002" s="470"/>
      <c r="TGY3002" s="449"/>
      <c r="TGZ3002" s="462"/>
      <c r="THA3002" s="299"/>
      <c r="THB3002" s="81"/>
      <c r="THC3002" s="160"/>
      <c r="THD3002" s="574"/>
      <c r="THE3002" s="125"/>
      <c r="THF3002" s="470"/>
      <c r="THG3002" s="449"/>
      <c r="THH3002" s="462"/>
      <c r="THI3002" s="299"/>
      <c r="THJ3002" s="81"/>
      <c r="THK3002" s="160"/>
      <c r="THL3002" s="574"/>
      <c r="THM3002" s="125"/>
      <c r="THN3002" s="470"/>
      <c r="THO3002" s="449"/>
      <c r="THP3002" s="462"/>
      <c r="THQ3002" s="299"/>
      <c r="THR3002" s="81"/>
      <c r="THS3002" s="160"/>
      <c r="THT3002" s="574"/>
      <c r="THU3002" s="125"/>
      <c r="THV3002" s="470"/>
      <c r="THW3002" s="449"/>
      <c r="THX3002" s="462"/>
      <c r="THY3002" s="299"/>
      <c r="THZ3002" s="81"/>
      <c r="TIA3002" s="160"/>
      <c r="TIB3002" s="574"/>
      <c r="TIC3002" s="125"/>
      <c r="TID3002" s="470"/>
      <c r="TIE3002" s="449"/>
      <c r="TIF3002" s="462"/>
      <c r="TIG3002" s="299"/>
      <c r="TIH3002" s="81"/>
      <c r="TII3002" s="160"/>
      <c r="TIJ3002" s="574"/>
      <c r="TIK3002" s="125"/>
      <c r="TIL3002" s="470"/>
      <c r="TIM3002" s="449"/>
      <c r="TIN3002" s="462"/>
      <c r="TIO3002" s="299"/>
      <c r="TIP3002" s="81"/>
      <c r="TIQ3002" s="160"/>
      <c r="TIR3002" s="574"/>
      <c r="TIS3002" s="125"/>
      <c r="TIT3002" s="470"/>
      <c r="TIU3002" s="449"/>
      <c r="TIV3002" s="462"/>
      <c r="TIW3002" s="299"/>
      <c r="TIX3002" s="81"/>
      <c r="TIY3002" s="160"/>
      <c r="TIZ3002" s="574"/>
      <c r="TJA3002" s="125"/>
      <c r="TJB3002" s="470"/>
      <c r="TJC3002" s="449"/>
      <c r="TJD3002" s="462"/>
      <c r="TJE3002" s="299"/>
      <c r="TJF3002" s="81"/>
      <c r="TJG3002" s="160"/>
      <c r="TJH3002" s="574"/>
      <c r="TJI3002" s="125"/>
      <c r="TJJ3002" s="470"/>
      <c r="TJK3002" s="449"/>
      <c r="TJL3002" s="462"/>
      <c r="TJM3002" s="299"/>
      <c r="TJN3002" s="81"/>
      <c r="TJO3002" s="160"/>
      <c r="TJP3002" s="574"/>
      <c r="TJQ3002" s="125"/>
      <c r="TJR3002" s="470"/>
      <c r="TJS3002" s="449"/>
      <c r="TJT3002" s="462"/>
      <c r="TJU3002" s="299"/>
      <c r="TJV3002" s="81"/>
      <c r="TJW3002" s="160"/>
      <c r="TJX3002" s="574"/>
      <c r="TJY3002" s="125"/>
      <c r="TJZ3002" s="470"/>
      <c r="TKA3002" s="449"/>
      <c r="TKB3002" s="462"/>
      <c r="TKC3002" s="299"/>
      <c r="TKD3002" s="81"/>
      <c r="TKE3002" s="160"/>
      <c r="TKF3002" s="574"/>
      <c r="TKG3002" s="125"/>
      <c r="TKH3002" s="470"/>
      <c r="TKI3002" s="449"/>
      <c r="TKJ3002" s="462"/>
      <c r="TKK3002" s="299"/>
      <c r="TKL3002" s="81"/>
      <c r="TKM3002" s="160"/>
      <c r="TKN3002" s="574"/>
      <c r="TKO3002" s="125"/>
      <c r="TKP3002" s="470"/>
      <c r="TKQ3002" s="449"/>
      <c r="TKR3002" s="462"/>
      <c r="TKS3002" s="299"/>
      <c r="TKT3002" s="81"/>
      <c r="TKU3002" s="160"/>
      <c r="TKV3002" s="574"/>
      <c r="TKW3002" s="125"/>
      <c r="TKX3002" s="470"/>
      <c r="TKY3002" s="449"/>
      <c r="TKZ3002" s="462"/>
      <c r="TLA3002" s="299"/>
      <c r="TLB3002" s="81"/>
      <c r="TLC3002" s="160"/>
      <c r="TLD3002" s="574"/>
      <c r="TLE3002" s="125"/>
      <c r="TLF3002" s="470"/>
      <c r="TLG3002" s="449"/>
      <c r="TLH3002" s="462"/>
      <c r="TLI3002" s="299"/>
      <c r="TLJ3002" s="81"/>
      <c r="TLK3002" s="160"/>
      <c r="TLL3002" s="574"/>
      <c r="TLM3002" s="125"/>
      <c r="TLN3002" s="470"/>
      <c r="TLO3002" s="449"/>
      <c r="TLP3002" s="462"/>
      <c r="TLQ3002" s="299"/>
      <c r="TLR3002" s="81"/>
      <c r="TLS3002" s="160"/>
      <c r="TLT3002" s="574"/>
      <c r="TLU3002" s="125"/>
      <c r="TLV3002" s="470"/>
      <c r="TLW3002" s="449"/>
      <c r="TLX3002" s="462"/>
      <c r="TLY3002" s="299"/>
      <c r="TLZ3002" s="81"/>
      <c r="TMA3002" s="160"/>
      <c r="TMB3002" s="574"/>
      <c r="TMC3002" s="125"/>
      <c r="TMD3002" s="470"/>
      <c r="TME3002" s="449"/>
      <c r="TMF3002" s="462"/>
      <c r="TMG3002" s="299"/>
      <c r="TMH3002" s="81"/>
      <c r="TMI3002" s="160"/>
      <c r="TMJ3002" s="574"/>
      <c r="TMK3002" s="125"/>
      <c r="TML3002" s="470"/>
      <c r="TMM3002" s="449"/>
      <c r="TMN3002" s="462"/>
      <c r="TMO3002" s="299"/>
      <c r="TMP3002" s="81"/>
      <c r="TMQ3002" s="160"/>
      <c r="TMR3002" s="574"/>
      <c r="TMS3002" s="125"/>
      <c r="TMT3002" s="470"/>
      <c r="TMU3002" s="449"/>
      <c r="TMV3002" s="462"/>
      <c r="TMW3002" s="299"/>
      <c r="TMX3002" s="81"/>
      <c r="TMY3002" s="160"/>
      <c r="TMZ3002" s="574"/>
      <c r="TNA3002" s="125"/>
      <c r="TNB3002" s="470"/>
      <c r="TNC3002" s="449"/>
      <c r="TND3002" s="462"/>
      <c r="TNE3002" s="299"/>
      <c r="TNF3002" s="81"/>
      <c r="TNG3002" s="160"/>
      <c r="TNH3002" s="574"/>
      <c r="TNI3002" s="125"/>
      <c r="TNJ3002" s="470"/>
      <c r="TNK3002" s="449"/>
      <c r="TNL3002" s="462"/>
      <c r="TNM3002" s="299"/>
      <c r="TNN3002" s="81"/>
      <c r="TNO3002" s="160"/>
      <c r="TNP3002" s="574"/>
      <c r="TNQ3002" s="125"/>
      <c r="TNR3002" s="470"/>
      <c r="TNS3002" s="449"/>
      <c r="TNT3002" s="462"/>
      <c r="TNU3002" s="299"/>
      <c r="TNV3002" s="81"/>
      <c r="TNW3002" s="160"/>
      <c r="TNX3002" s="574"/>
      <c r="TNY3002" s="125"/>
      <c r="TNZ3002" s="470"/>
      <c r="TOA3002" s="449"/>
      <c r="TOB3002" s="462"/>
      <c r="TOC3002" s="299"/>
      <c r="TOD3002" s="81"/>
      <c r="TOE3002" s="160"/>
      <c r="TOF3002" s="574"/>
      <c r="TOG3002" s="125"/>
      <c r="TOH3002" s="470"/>
      <c r="TOI3002" s="449"/>
      <c r="TOJ3002" s="462"/>
      <c r="TOK3002" s="299"/>
      <c r="TOL3002" s="81"/>
      <c r="TOM3002" s="160"/>
      <c r="TON3002" s="574"/>
      <c r="TOO3002" s="125"/>
      <c r="TOP3002" s="470"/>
      <c r="TOQ3002" s="449"/>
      <c r="TOR3002" s="462"/>
      <c r="TOS3002" s="299"/>
      <c r="TOT3002" s="81"/>
      <c r="TOU3002" s="160"/>
      <c r="TOV3002" s="574"/>
      <c r="TOW3002" s="125"/>
      <c r="TOX3002" s="470"/>
      <c r="TOY3002" s="449"/>
      <c r="TOZ3002" s="462"/>
      <c r="TPA3002" s="299"/>
      <c r="TPB3002" s="81"/>
      <c r="TPC3002" s="160"/>
      <c r="TPD3002" s="574"/>
      <c r="TPE3002" s="125"/>
      <c r="TPF3002" s="470"/>
      <c r="TPG3002" s="449"/>
      <c r="TPH3002" s="462"/>
      <c r="TPI3002" s="299"/>
      <c r="TPJ3002" s="81"/>
      <c r="TPK3002" s="160"/>
      <c r="TPL3002" s="574"/>
      <c r="TPM3002" s="125"/>
      <c r="TPN3002" s="470"/>
      <c r="TPO3002" s="449"/>
      <c r="TPP3002" s="462"/>
      <c r="TPQ3002" s="299"/>
      <c r="TPR3002" s="81"/>
      <c r="TPS3002" s="160"/>
      <c r="TPT3002" s="574"/>
      <c r="TPU3002" s="125"/>
      <c r="TPV3002" s="470"/>
      <c r="TPW3002" s="449"/>
      <c r="TPX3002" s="462"/>
      <c r="TPY3002" s="299"/>
      <c r="TPZ3002" s="81"/>
      <c r="TQA3002" s="160"/>
      <c r="TQB3002" s="574"/>
      <c r="TQC3002" s="125"/>
      <c r="TQD3002" s="470"/>
      <c r="TQE3002" s="449"/>
      <c r="TQF3002" s="462"/>
      <c r="TQG3002" s="299"/>
      <c r="TQH3002" s="81"/>
      <c r="TQI3002" s="160"/>
      <c r="TQJ3002" s="574"/>
      <c r="TQK3002" s="125"/>
      <c r="TQL3002" s="470"/>
      <c r="TQM3002" s="449"/>
      <c r="TQN3002" s="462"/>
      <c r="TQO3002" s="299"/>
      <c r="TQP3002" s="81"/>
      <c r="TQQ3002" s="160"/>
      <c r="TQR3002" s="574"/>
      <c r="TQS3002" s="125"/>
      <c r="TQT3002" s="470"/>
      <c r="TQU3002" s="449"/>
      <c r="TQV3002" s="462"/>
      <c r="TQW3002" s="299"/>
      <c r="TQX3002" s="81"/>
      <c r="TQY3002" s="160"/>
      <c r="TQZ3002" s="574"/>
      <c r="TRA3002" s="125"/>
      <c r="TRB3002" s="470"/>
      <c r="TRC3002" s="449"/>
      <c r="TRD3002" s="462"/>
      <c r="TRE3002" s="299"/>
      <c r="TRF3002" s="81"/>
      <c r="TRG3002" s="160"/>
      <c r="TRH3002" s="574"/>
      <c r="TRI3002" s="125"/>
      <c r="TRJ3002" s="470"/>
      <c r="TRK3002" s="449"/>
      <c r="TRL3002" s="462"/>
      <c r="TRM3002" s="299"/>
      <c r="TRN3002" s="81"/>
      <c r="TRO3002" s="160"/>
      <c r="TRP3002" s="574"/>
      <c r="TRQ3002" s="125"/>
      <c r="TRR3002" s="470"/>
      <c r="TRS3002" s="449"/>
      <c r="TRT3002" s="462"/>
      <c r="TRU3002" s="299"/>
      <c r="TRV3002" s="81"/>
      <c r="TRW3002" s="160"/>
      <c r="TRX3002" s="574"/>
      <c r="TRY3002" s="125"/>
      <c r="TRZ3002" s="470"/>
      <c r="TSA3002" s="449"/>
      <c r="TSB3002" s="462"/>
      <c r="TSC3002" s="299"/>
      <c r="TSD3002" s="81"/>
      <c r="TSE3002" s="160"/>
      <c r="TSF3002" s="574"/>
      <c r="TSG3002" s="125"/>
      <c r="TSH3002" s="470"/>
      <c r="TSI3002" s="449"/>
      <c r="TSJ3002" s="462"/>
      <c r="TSK3002" s="299"/>
      <c r="TSL3002" s="81"/>
      <c r="TSM3002" s="160"/>
      <c r="TSN3002" s="574"/>
      <c r="TSO3002" s="125"/>
      <c r="TSP3002" s="470"/>
      <c r="TSQ3002" s="449"/>
      <c r="TSR3002" s="462"/>
      <c r="TSS3002" s="299"/>
      <c r="TST3002" s="81"/>
      <c r="TSU3002" s="160"/>
      <c r="TSV3002" s="574"/>
      <c r="TSW3002" s="125"/>
      <c r="TSX3002" s="470"/>
      <c r="TSY3002" s="449"/>
      <c r="TSZ3002" s="462"/>
      <c r="TTA3002" s="299"/>
      <c r="TTB3002" s="81"/>
      <c r="TTC3002" s="160"/>
      <c r="TTD3002" s="574"/>
      <c r="TTE3002" s="125"/>
      <c r="TTF3002" s="470"/>
      <c r="TTG3002" s="449"/>
      <c r="TTH3002" s="462"/>
      <c r="TTI3002" s="299"/>
      <c r="TTJ3002" s="81"/>
      <c r="TTK3002" s="160"/>
      <c r="TTL3002" s="574"/>
      <c r="TTM3002" s="125"/>
      <c r="TTN3002" s="470"/>
      <c r="TTO3002" s="449"/>
      <c r="TTP3002" s="462"/>
      <c r="TTQ3002" s="299"/>
      <c r="TTR3002" s="81"/>
      <c r="TTS3002" s="160"/>
      <c r="TTT3002" s="574"/>
      <c r="TTU3002" s="125"/>
      <c r="TTV3002" s="470"/>
      <c r="TTW3002" s="449"/>
      <c r="TTX3002" s="462"/>
      <c r="TTY3002" s="299"/>
      <c r="TTZ3002" s="81"/>
      <c r="TUA3002" s="160"/>
      <c r="TUB3002" s="574"/>
      <c r="TUC3002" s="125"/>
      <c r="TUD3002" s="470"/>
      <c r="TUE3002" s="449"/>
      <c r="TUF3002" s="462"/>
      <c r="TUG3002" s="299"/>
      <c r="TUH3002" s="81"/>
      <c r="TUI3002" s="160"/>
      <c r="TUJ3002" s="574"/>
      <c r="TUK3002" s="125"/>
      <c r="TUL3002" s="470"/>
      <c r="TUM3002" s="449"/>
      <c r="TUN3002" s="462"/>
      <c r="TUO3002" s="299"/>
      <c r="TUP3002" s="81"/>
      <c r="TUQ3002" s="160"/>
      <c r="TUR3002" s="574"/>
      <c r="TUS3002" s="125"/>
      <c r="TUT3002" s="470"/>
      <c r="TUU3002" s="449"/>
      <c r="TUV3002" s="462"/>
      <c r="TUW3002" s="299"/>
      <c r="TUX3002" s="81"/>
      <c r="TUY3002" s="160"/>
      <c r="TUZ3002" s="574"/>
      <c r="TVA3002" s="125"/>
      <c r="TVB3002" s="470"/>
      <c r="TVC3002" s="449"/>
      <c r="TVD3002" s="462"/>
      <c r="TVE3002" s="299"/>
      <c r="TVF3002" s="81"/>
      <c r="TVG3002" s="160"/>
      <c r="TVH3002" s="574"/>
      <c r="TVI3002" s="125"/>
      <c r="TVJ3002" s="470"/>
      <c r="TVK3002" s="449"/>
      <c r="TVL3002" s="462"/>
      <c r="TVM3002" s="299"/>
      <c r="TVN3002" s="81"/>
      <c r="TVO3002" s="160"/>
      <c r="TVP3002" s="574"/>
      <c r="TVQ3002" s="125"/>
      <c r="TVR3002" s="470"/>
      <c r="TVS3002" s="449"/>
      <c r="TVT3002" s="462"/>
      <c r="TVU3002" s="299"/>
      <c r="TVV3002" s="81"/>
      <c r="TVW3002" s="160"/>
      <c r="TVX3002" s="574"/>
      <c r="TVY3002" s="125"/>
      <c r="TVZ3002" s="470"/>
      <c r="TWA3002" s="449"/>
      <c r="TWB3002" s="462"/>
      <c r="TWC3002" s="299"/>
      <c r="TWD3002" s="81"/>
      <c r="TWE3002" s="160"/>
      <c r="TWF3002" s="574"/>
      <c r="TWG3002" s="125"/>
      <c r="TWH3002" s="470"/>
      <c r="TWI3002" s="449"/>
      <c r="TWJ3002" s="462"/>
      <c r="TWK3002" s="299"/>
      <c r="TWL3002" s="81"/>
      <c r="TWM3002" s="160"/>
      <c r="TWN3002" s="574"/>
      <c r="TWO3002" s="125"/>
      <c r="TWP3002" s="470"/>
      <c r="TWQ3002" s="449"/>
      <c r="TWR3002" s="462"/>
      <c r="TWS3002" s="299"/>
      <c r="TWT3002" s="81"/>
      <c r="TWU3002" s="160"/>
      <c r="TWV3002" s="574"/>
      <c r="TWW3002" s="125"/>
      <c r="TWX3002" s="470"/>
      <c r="TWY3002" s="449"/>
      <c r="TWZ3002" s="462"/>
      <c r="TXA3002" s="299"/>
      <c r="TXB3002" s="81"/>
      <c r="TXC3002" s="160"/>
      <c r="TXD3002" s="574"/>
      <c r="TXE3002" s="125"/>
      <c r="TXF3002" s="470"/>
      <c r="TXG3002" s="449"/>
      <c r="TXH3002" s="462"/>
      <c r="TXI3002" s="299"/>
      <c r="TXJ3002" s="81"/>
      <c r="TXK3002" s="160"/>
      <c r="TXL3002" s="574"/>
      <c r="TXM3002" s="125"/>
      <c r="TXN3002" s="470"/>
      <c r="TXO3002" s="449"/>
      <c r="TXP3002" s="462"/>
      <c r="TXQ3002" s="299"/>
      <c r="TXR3002" s="81"/>
      <c r="TXS3002" s="160"/>
      <c r="TXT3002" s="574"/>
      <c r="TXU3002" s="125"/>
      <c r="TXV3002" s="470"/>
      <c r="TXW3002" s="449"/>
      <c r="TXX3002" s="462"/>
      <c r="TXY3002" s="299"/>
      <c r="TXZ3002" s="81"/>
      <c r="TYA3002" s="160"/>
      <c r="TYB3002" s="574"/>
      <c r="TYC3002" s="125"/>
      <c r="TYD3002" s="470"/>
      <c r="TYE3002" s="449"/>
      <c r="TYF3002" s="462"/>
      <c r="TYG3002" s="299"/>
      <c r="TYH3002" s="81"/>
      <c r="TYI3002" s="160"/>
      <c r="TYJ3002" s="574"/>
      <c r="TYK3002" s="125"/>
      <c r="TYL3002" s="470"/>
      <c r="TYM3002" s="449"/>
      <c r="TYN3002" s="462"/>
      <c r="TYO3002" s="299"/>
      <c r="TYP3002" s="81"/>
      <c r="TYQ3002" s="160"/>
      <c r="TYR3002" s="574"/>
      <c r="TYS3002" s="125"/>
      <c r="TYT3002" s="470"/>
      <c r="TYU3002" s="449"/>
      <c r="TYV3002" s="462"/>
      <c r="TYW3002" s="299"/>
      <c r="TYX3002" s="81"/>
      <c r="TYY3002" s="160"/>
      <c r="TYZ3002" s="574"/>
      <c r="TZA3002" s="125"/>
      <c r="TZB3002" s="470"/>
      <c r="TZC3002" s="449"/>
      <c r="TZD3002" s="462"/>
      <c r="TZE3002" s="299"/>
      <c r="TZF3002" s="81"/>
      <c r="TZG3002" s="160"/>
      <c r="TZH3002" s="574"/>
      <c r="TZI3002" s="125"/>
      <c r="TZJ3002" s="470"/>
      <c r="TZK3002" s="449"/>
      <c r="TZL3002" s="462"/>
      <c r="TZM3002" s="299"/>
      <c r="TZN3002" s="81"/>
      <c r="TZO3002" s="160"/>
      <c r="TZP3002" s="574"/>
      <c r="TZQ3002" s="125"/>
      <c r="TZR3002" s="470"/>
      <c r="TZS3002" s="449"/>
      <c r="TZT3002" s="462"/>
      <c r="TZU3002" s="299"/>
      <c r="TZV3002" s="81"/>
      <c r="TZW3002" s="160"/>
      <c r="TZX3002" s="574"/>
      <c r="TZY3002" s="125"/>
      <c r="TZZ3002" s="470"/>
      <c r="UAA3002" s="449"/>
      <c r="UAB3002" s="462"/>
      <c r="UAC3002" s="299"/>
      <c r="UAD3002" s="81"/>
      <c r="UAE3002" s="160"/>
      <c r="UAF3002" s="574"/>
      <c r="UAG3002" s="125"/>
      <c r="UAH3002" s="470"/>
      <c r="UAI3002" s="449"/>
      <c r="UAJ3002" s="462"/>
      <c r="UAK3002" s="299"/>
      <c r="UAL3002" s="81"/>
      <c r="UAM3002" s="160"/>
      <c r="UAN3002" s="574"/>
      <c r="UAO3002" s="125"/>
      <c r="UAP3002" s="470"/>
      <c r="UAQ3002" s="449"/>
      <c r="UAR3002" s="462"/>
      <c r="UAS3002" s="299"/>
      <c r="UAT3002" s="81"/>
      <c r="UAU3002" s="160"/>
      <c r="UAV3002" s="574"/>
      <c r="UAW3002" s="125"/>
      <c r="UAX3002" s="470"/>
      <c r="UAY3002" s="449"/>
      <c r="UAZ3002" s="462"/>
      <c r="UBA3002" s="299"/>
      <c r="UBB3002" s="81"/>
      <c r="UBC3002" s="160"/>
      <c r="UBD3002" s="574"/>
      <c r="UBE3002" s="125"/>
      <c r="UBF3002" s="470"/>
      <c r="UBG3002" s="449"/>
      <c r="UBH3002" s="462"/>
      <c r="UBI3002" s="299"/>
      <c r="UBJ3002" s="81"/>
      <c r="UBK3002" s="160"/>
      <c r="UBL3002" s="574"/>
      <c r="UBM3002" s="125"/>
      <c r="UBN3002" s="470"/>
      <c r="UBO3002" s="449"/>
      <c r="UBP3002" s="462"/>
      <c r="UBQ3002" s="299"/>
      <c r="UBR3002" s="81"/>
      <c r="UBS3002" s="160"/>
      <c r="UBT3002" s="574"/>
      <c r="UBU3002" s="125"/>
      <c r="UBV3002" s="470"/>
      <c r="UBW3002" s="449"/>
      <c r="UBX3002" s="462"/>
      <c r="UBY3002" s="299"/>
      <c r="UBZ3002" s="81"/>
      <c r="UCA3002" s="160"/>
      <c r="UCB3002" s="574"/>
      <c r="UCC3002" s="125"/>
      <c r="UCD3002" s="470"/>
      <c r="UCE3002" s="449"/>
      <c r="UCF3002" s="462"/>
      <c r="UCG3002" s="299"/>
      <c r="UCH3002" s="81"/>
      <c r="UCI3002" s="160"/>
      <c r="UCJ3002" s="574"/>
      <c r="UCK3002" s="125"/>
      <c r="UCL3002" s="470"/>
      <c r="UCM3002" s="449"/>
      <c r="UCN3002" s="462"/>
      <c r="UCO3002" s="299"/>
      <c r="UCP3002" s="81"/>
      <c r="UCQ3002" s="160"/>
      <c r="UCR3002" s="574"/>
      <c r="UCS3002" s="125"/>
      <c r="UCT3002" s="470"/>
      <c r="UCU3002" s="449"/>
      <c r="UCV3002" s="462"/>
      <c r="UCW3002" s="299"/>
      <c r="UCX3002" s="81"/>
      <c r="UCY3002" s="160"/>
      <c r="UCZ3002" s="574"/>
      <c r="UDA3002" s="125"/>
      <c r="UDB3002" s="470"/>
      <c r="UDC3002" s="449"/>
      <c r="UDD3002" s="462"/>
      <c r="UDE3002" s="299"/>
      <c r="UDF3002" s="81"/>
      <c r="UDG3002" s="160"/>
      <c r="UDH3002" s="574"/>
      <c r="UDI3002" s="125"/>
      <c r="UDJ3002" s="470"/>
      <c r="UDK3002" s="449"/>
      <c r="UDL3002" s="462"/>
      <c r="UDM3002" s="299"/>
      <c r="UDN3002" s="81"/>
      <c r="UDO3002" s="160"/>
      <c r="UDP3002" s="574"/>
      <c r="UDQ3002" s="125"/>
      <c r="UDR3002" s="470"/>
      <c r="UDS3002" s="449"/>
      <c r="UDT3002" s="462"/>
      <c r="UDU3002" s="299"/>
      <c r="UDV3002" s="81"/>
      <c r="UDW3002" s="160"/>
      <c r="UDX3002" s="574"/>
      <c r="UDY3002" s="125"/>
      <c r="UDZ3002" s="470"/>
      <c r="UEA3002" s="449"/>
      <c r="UEB3002" s="462"/>
      <c r="UEC3002" s="299"/>
      <c r="UED3002" s="81"/>
      <c r="UEE3002" s="160"/>
      <c r="UEF3002" s="574"/>
      <c r="UEG3002" s="125"/>
      <c r="UEH3002" s="470"/>
      <c r="UEI3002" s="449"/>
      <c r="UEJ3002" s="462"/>
      <c r="UEK3002" s="299"/>
      <c r="UEL3002" s="81"/>
      <c r="UEM3002" s="160"/>
      <c r="UEN3002" s="574"/>
      <c r="UEO3002" s="125"/>
      <c r="UEP3002" s="470"/>
      <c r="UEQ3002" s="449"/>
      <c r="UER3002" s="462"/>
      <c r="UES3002" s="299"/>
      <c r="UET3002" s="81"/>
      <c r="UEU3002" s="160"/>
      <c r="UEV3002" s="574"/>
      <c r="UEW3002" s="125"/>
      <c r="UEX3002" s="470"/>
      <c r="UEY3002" s="449"/>
      <c r="UEZ3002" s="462"/>
      <c r="UFA3002" s="299"/>
      <c r="UFB3002" s="81"/>
      <c r="UFC3002" s="160"/>
      <c r="UFD3002" s="574"/>
      <c r="UFE3002" s="125"/>
      <c r="UFF3002" s="470"/>
      <c r="UFG3002" s="449"/>
      <c r="UFH3002" s="462"/>
      <c r="UFI3002" s="299"/>
      <c r="UFJ3002" s="81"/>
      <c r="UFK3002" s="160"/>
      <c r="UFL3002" s="574"/>
      <c r="UFM3002" s="125"/>
      <c r="UFN3002" s="470"/>
      <c r="UFO3002" s="449"/>
      <c r="UFP3002" s="462"/>
      <c r="UFQ3002" s="299"/>
      <c r="UFR3002" s="81"/>
      <c r="UFS3002" s="160"/>
      <c r="UFT3002" s="574"/>
      <c r="UFU3002" s="125"/>
      <c r="UFV3002" s="470"/>
      <c r="UFW3002" s="449"/>
      <c r="UFX3002" s="462"/>
      <c r="UFY3002" s="299"/>
      <c r="UFZ3002" s="81"/>
      <c r="UGA3002" s="160"/>
      <c r="UGB3002" s="574"/>
      <c r="UGC3002" s="125"/>
      <c r="UGD3002" s="470"/>
      <c r="UGE3002" s="449"/>
      <c r="UGF3002" s="462"/>
      <c r="UGG3002" s="299"/>
      <c r="UGH3002" s="81"/>
      <c r="UGI3002" s="160"/>
      <c r="UGJ3002" s="574"/>
      <c r="UGK3002" s="125"/>
      <c r="UGL3002" s="470"/>
      <c r="UGM3002" s="449"/>
      <c r="UGN3002" s="462"/>
      <c r="UGO3002" s="299"/>
      <c r="UGP3002" s="81"/>
      <c r="UGQ3002" s="160"/>
      <c r="UGR3002" s="574"/>
      <c r="UGS3002" s="125"/>
      <c r="UGT3002" s="470"/>
      <c r="UGU3002" s="449"/>
      <c r="UGV3002" s="462"/>
      <c r="UGW3002" s="299"/>
      <c r="UGX3002" s="81"/>
      <c r="UGY3002" s="160"/>
      <c r="UGZ3002" s="574"/>
      <c r="UHA3002" s="125"/>
      <c r="UHB3002" s="470"/>
      <c r="UHC3002" s="449"/>
      <c r="UHD3002" s="462"/>
      <c r="UHE3002" s="299"/>
      <c r="UHF3002" s="81"/>
      <c r="UHG3002" s="160"/>
      <c r="UHH3002" s="574"/>
      <c r="UHI3002" s="125"/>
      <c r="UHJ3002" s="470"/>
      <c r="UHK3002" s="449"/>
      <c r="UHL3002" s="462"/>
      <c r="UHM3002" s="299"/>
      <c r="UHN3002" s="81"/>
      <c r="UHO3002" s="160"/>
      <c r="UHP3002" s="574"/>
      <c r="UHQ3002" s="125"/>
      <c r="UHR3002" s="470"/>
      <c r="UHS3002" s="449"/>
      <c r="UHT3002" s="462"/>
      <c r="UHU3002" s="299"/>
      <c r="UHV3002" s="81"/>
      <c r="UHW3002" s="160"/>
      <c r="UHX3002" s="574"/>
      <c r="UHY3002" s="125"/>
      <c r="UHZ3002" s="470"/>
      <c r="UIA3002" s="449"/>
      <c r="UIB3002" s="462"/>
      <c r="UIC3002" s="299"/>
      <c r="UID3002" s="81"/>
      <c r="UIE3002" s="160"/>
      <c r="UIF3002" s="574"/>
      <c r="UIG3002" s="125"/>
      <c r="UIH3002" s="470"/>
      <c r="UII3002" s="449"/>
      <c r="UIJ3002" s="462"/>
      <c r="UIK3002" s="299"/>
      <c r="UIL3002" s="81"/>
      <c r="UIM3002" s="160"/>
      <c r="UIN3002" s="574"/>
      <c r="UIO3002" s="125"/>
      <c r="UIP3002" s="470"/>
      <c r="UIQ3002" s="449"/>
      <c r="UIR3002" s="462"/>
      <c r="UIS3002" s="299"/>
      <c r="UIT3002" s="81"/>
      <c r="UIU3002" s="160"/>
      <c r="UIV3002" s="574"/>
      <c r="UIW3002" s="125"/>
      <c r="UIX3002" s="470"/>
      <c r="UIY3002" s="449"/>
      <c r="UIZ3002" s="462"/>
      <c r="UJA3002" s="299"/>
      <c r="UJB3002" s="81"/>
      <c r="UJC3002" s="160"/>
      <c r="UJD3002" s="574"/>
      <c r="UJE3002" s="125"/>
      <c r="UJF3002" s="470"/>
      <c r="UJG3002" s="449"/>
      <c r="UJH3002" s="462"/>
      <c r="UJI3002" s="299"/>
      <c r="UJJ3002" s="81"/>
      <c r="UJK3002" s="160"/>
      <c r="UJL3002" s="574"/>
      <c r="UJM3002" s="125"/>
      <c r="UJN3002" s="470"/>
      <c r="UJO3002" s="449"/>
      <c r="UJP3002" s="462"/>
      <c r="UJQ3002" s="299"/>
      <c r="UJR3002" s="81"/>
      <c r="UJS3002" s="160"/>
      <c r="UJT3002" s="574"/>
      <c r="UJU3002" s="125"/>
      <c r="UJV3002" s="470"/>
      <c r="UJW3002" s="449"/>
      <c r="UJX3002" s="462"/>
      <c r="UJY3002" s="299"/>
      <c r="UJZ3002" s="81"/>
      <c r="UKA3002" s="160"/>
      <c r="UKB3002" s="574"/>
      <c r="UKC3002" s="125"/>
      <c r="UKD3002" s="470"/>
      <c r="UKE3002" s="449"/>
      <c r="UKF3002" s="462"/>
      <c r="UKG3002" s="299"/>
      <c r="UKH3002" s="81"/>
      <c r="UKI3002" s="160"/>
      <c r="UKJ3002" s="574"/>
      <c r="UKK3002" s="125"/>
      <c r="UKL3002" s="470"/>
      <c r="UKM3002" s="449"/>
      <c r="UKN3002" s="462"/>
      <c r="UKO3002" s="299"/>
      <c r="UKP3002" s="81"/>
      <c r="UKQ3002" s="160"/>
      <c r="UKR3002" s="574"/>
      <c r="UKS3002" s="125"/>
      <c r="UKT3002" s="470"/>
      <c r="UKU3002" s="449"/>
      <c r="UKV3002" s="462"/>
      <c r="UKW3002" s="299"/>
      <c r="UKX3002" s="81"/>
      <c r="UKY3002" s="160"/>
      <c r="UKZ3002" s="574"/>
      <c r="ULA3002" s="125"/>
      <c r="ULB3002" s="470"/>
      <c r="ULC3002" s="449"/>
      <c r="ULD3002" s="462"/>
      <c r="ULE3002" s="299"/>
      <c r="ULF3002" s="81"/>
      <c r="ULG3002" s="160"/>
      <c r="ULH3002" s="574"/>
      <c r="ULI3002" s="125"/>
      <c r="ULJ3002" s="470"/>
      <c r="ULK3002" s="449"/>
      <c r="ULL3002" s="462"/>
      <c r="ULM3002" s="299"/>
      <c r="ULN3002" s="81"/>
      <c r="ULO3002" s="160"/>
      <c r="ULP3002" s="574"/>
      <c r="ULQ3002" s="125"/>
      <c r="ULR3002" s="470"/>
      <c r="ULS3002" s="449"/>
      <c r="ULT3002" s="462"/>
      <c r="ULU3002" s="299"/>
      <c r="ULV3002" s="81"/>
      <c r="ULW3002" s="160"/>
      <c r="ULX3002" s="574"/>
      <c r="ULY3002" s="125"/>
      <c r="ULZ3002" s="470"/>
      <c r="UMA3002" s="449"/>
      <c r="UMB3002" s="462"/>
      <c r="UMC3002" s="299"/>
      <c r="UMD3002" s="81"/>
      <c r="UME3002" s="160"/>
      <c r="UMF3002" s="574"/>
      <c r="UMG3002" s="125"/>
      <c r="UMH3002" s="470"/>
      <c r="UMI3002" s="449"/>
      <c r="UMJ3002" s="462"/>
      <c r="UMK3002" s="299"/>
      <c r="UML3002" s="81"/>
      <c r="UMM3002" s="160"/>
      <c r="UMN3002" s="574"/>
      <c r="UMO3002" s="125"/>
      <c r="UMP3002" s="470"/>
      <c r="UMQ3002" s="449"/>
      <c r="UMR3002" s="462"/>
      <c r="UMS3002" s="299"/>
      <c r="UMT3002" s="81"/>
      <c r="UMU3002" s="160"/>
      <c r="UMV3002" s="574"/>
      <c r="UMW3002" s="125"/>
      <c r="UMX3002" s="470"/>
      <c r="UMY3002" s="449"/>
      <c r="UMZ3002" s="462"/>
      <c r="UNA3002" s="299"/>
      <c r="UNB3002" s="81"/>
      <c r="UNC3002" s="160"/>
      <c r="UND3002" s="574"/>
      <c r="UNE3002" s="125"/>
      <c r="UNF3002" s="470"/>
      <c r="UNG3002" s="449"/>
      <c r="UNH3002" s="462"/>
      <c r="UNI3002" s="299"/>
      <c r="UNJ3002" s="81"/>
      <c r="UNK3002" s="160"/>
      <c r="UNL3002" s="574"/>
      <c r="UNM3002" s="125"/>
      <c r="UNN3002" s="470"/>
      <c r="UNO3002" s="449"/>
      <c r="UNP3002" s="462"/>
      <c r="UNQ3002" s="299"/>
      <c r="UNR3002" s="81"/>
      <c r="UNS3002" s="160"/>
      <c r="UNT3002" s="574"/>
      <c r="UNU3002" s="125"/>
      <c r="UNV3002" s="470"/>
      <c r="UNW3002" s="449"/>
      <c r="UNX3002" s="462"/>
      <c r="UNY3002" s="299"/>
      <c r="UNZ3002" s="81"/>
      <c r="UOA3002" s="160"/>
      <c r="UOB3002" s="574"/>
      <c r="UOC3002" s="125"/>
      <c r="UOD3002" s="470"/>
      <c r="UOE3002" s="449"/>
      <c r="UOF3002" s="462"/>
      <c r="UOG3002" s="299"/>
      <c r="UOH3002" s="81"/>
      <c r="UOI3002" s="160"/>
      <c r="UOJ3002" s="574"/>
      <c r="UOK3002" s="125"/>
      <c r="UOL3002" s="470"/>
      <c r="UOM3002" s="449"/>
      <c r="UON3002" s="462"/>
      <c r="UOO3002" s="299"/>
      <c r="UOP3002" s="81"/>
      <c r="UOQ3002" s="160"/>
      <c r="UOR3002" s="574"/>
      <c r="UOS3002" s="125"/>
      <c r="UOT3002" s="470"/>
      <c r="UOU3002" s="449"/>
      <c r="UOV3002" s="462"/>
      <c r="UOW3002" s="299"/>
      <c r="UOX3002" s="81"/>
      <c r="UOY3002" s="160"/>
      <c r="UOZ3002" s="574"/>
      <c r="UPA3002" s="125"/>
      <c r="UPB3002" s="470"/>
      <c r="UPC3002" s="449"/>
      <c r="UPD3002" s="462"/>
      <c r="UPE3002" s="299"/>
      <c r="UPF3002" s="81"/>
      <c r="UPG3002" s="160"/>
      <c r="UPH3002" s="574"/>
      <c r="UPI3002" s="125"/>
      <c r="UPJ3002" s="470"/>
      <c r="UPK3002" s="449"/>
      <c r="UPL3002" s="462"/>
      <c r="UPM3002" s="299"/>
      <c r="UPN3002" s="81"/>
      <c r="UPO3002" s="160"/>
      <c r="UPP3002" s="574"/>
      <c r="UPQ3002" s="125"/>
      <c r="UPR3002" s="470"/>
      <c r="UPS3002" s="449"/>
      <c r="UPT3002" s="462"/>
      <c r="UPU3002" s="299"/>
      <c r="UPV3002" s="81"/>
      <c r="UPW3002" s="160"/>
      <c r="UPX3002" s="574"/>
      <c r="UPY3002" s="125"/>
      <c r="UPZ3002" s="470"/>
      <c r="UQA3002" s="449"/>
      <c r="UQB3002" s="462"/>
      <c r="UQC3002" s="299"/>
      <c r="UQD3002" s="81"/>
      <c r="UQE3002" s="160"/>
      <c r="UQF3002" s="574"/>
      <c r="UQG3002" s="125"/>
      <c r="UQH3002" s="470"/>
      <c r="UQI3002" s="449"/>
      <c r="UQJ3002" s="462"/>
      <c r="UQK3002" s="299"/>
      <c r="UQL3002" s="81"/>
      <c r="UQM3002" s="160"/>
      <c r="UQN3002" s="574"/>
      <c r="UQO3002" s="125"/>
      <c r="UQP3002" s="470"/>
      <c r="UQQ3002" s="449"/>
      <c r="UQR3002" s="462"/>
      <c r="UQS3002" s="299"/>
      <c r="UQT3002" s="81"/>
      <c r="UQU3002" s="160"/>
      <c r="UQV3002" s="574"/>
      <c r="UQW3002" s="125"/>
      <c r="UQX3002" s="470"/>
      <c r="UQY3002" s="449"/>
      <c r="UQZ3002" s="462"/>
      <c r="URA3002" s="299"/>
      <c r="URB3002" s="81"/>
      <c r="URC3002" s="160"/>
      <c r="URD3002" s="574"/>
      <c r="URE3002" s="125"/>
      <c r="URF3002" s="470"/>
      <c r="URG3002" s="449"/>
      <c r="URH3002" s="462"/>
      <c r="URI3002" s="299"/>
      <c r="URJ3002" s="81"/>
      <c r="URK3002" s="160"/>
      <c r="URL3002" s="574"/>
      <c r="URM3002" s="125"/>
      <c r="URN3002" s="470"/>
      <c r="URO3002" s="449"/>
      <c r="URP3002" s="462"/>
      <c r="URQ3002" s="299"/>
      <c r="URR3002" s="81"/>
      <c r="URS3002" s="160"/>
      <c r="URT3002" s="574"/>
      <c r="URU3002" s="125"/>
      <c r="URV3002" s="470"/>
      <c r="URW3002" s="449"/>
      <c r="URX3002" s="462"/>
      <c r="URY3002" s="299"/>
      <c r="URZ3002" s="81"/>
      <c r="USA3002" s="160"/>
      <c r="USB3002" s="574"/>
      <c r="USC3002" s="125"/>
      <c r="USD3002" s="470"/>
      <c r="USE3002" s="449"/>
      <c r="USF3002" s="462"/>
      <c r="USG3002" s="299"/>
      <c r="USH3002" s="81"/>
      <c r="USI3002" s="160"/>
      <c r="USJ3002" s="574"/>
      <c r="USK3002" s="125"/>
      <c r="USL3002" s="470"/>
      <c r="USM3002" s="449"/>
      <c r="USN3002" s="462"/>
      <c r="USO3002" s="299"/>
      <c r="USP3002" s="81"/>
      <c r="USQ3002" s="160"/>
      <c r="USR3002" s="574"/>
      <c r="USS3002" s="125"/>
      <c r="UST3002" s="470"/>
      <c r="USU3002" s="449"/>
      <c r="USV3002" s="462"/>
      <c r="USW3002" s="299"/>
      <c r="USX3002" s="81"/>
      <c r="USY3002" s="160"/>
      <c r="USZ3002" s="574"/>
      <c r="UTA3002" s="125"/>
      <c r="UTB3002" s="470"/>
      <c r="UTC3002" s="449"/>
      <c r="UTD3002" s="462"/>
      <c r="UTE3002" s="299"/>
      <c r="UTF3002" s="81"/>
      <c r="UTG3002" s="160"/>
      <c r="UTH3002" s="574"/>
      <c r="UTI3002" s="125"/>
      <c r="UTJ3002" s="470"/>
      <c r="UTK3002" s="449"/>
      <c r="UTL3002" s="462"/>
      <c r="UTM3002" s="299"/>
      <c r="UTN3002" s="81"/>
      <c r="UTO3002" s="160"/>
      <c r="UTP3002" s="574"/>
      <c r="UTQ3002" s="125"/>
      <c r="UTR3002" s="470"/>
      <c r="UTS3002" s="449"/>
      <c r="UTT3002" s="462"/>
      <c r="UTU3002" s="299"/>
      <c r="UTV3002" s="81"/>
      <c r="UTW3002" s="160"/>
      <c r="UTX3002" s="574"/>
      <c r="UTY3002" s="125"/>
      <c r="UTZ3002" s="470"/>
      <c r="UUA3002" s="449"/>
      <c r="UUB3002" s="462"/>
      <c r="UUC3002" s="299"/>
      <c r="UUD3002" s="81"/>
      <c r="UUE3002" s="160"/>
      <c r="UUF3002" s="574"/>
      <c r="UUG3002" s="125"/>
      <c r="UUH3002" s="470"/>
      <c r="UUI3002" s="449"/>
      <c r="UUJ3002" s="462"/>
      <c r="UUK3002" s="299"/>
      <c r="UUL3002" s="81"/>
      <c r="UUM3002" s="160"/>
      <c r="UUN3002" s="574"/>
      <c r="UUO3002" s="125"/>
      <c r="UUP3002" s="470"/>
      <c r="UUQ3002" s="449"/>
      <c r="UUR3002" s="462"/>
      <c r="UUS3002" s="299"/>
      <c r="UUT3002" s="81"/>
      <c r="UUU3002" s="160"/>
      <c r="UUV3002" s="574"/>
      <c r="UUW3002" s="125"/>
      <c r="UUX3002" s="470"/>
      <c r="UUY3002" s="449"/>
      <c r="UUZ3002" s="462"/>
      <c r="UVA3002" s="299"/>
      <c r="UVB3002" s="81"/>
      <c r="UVC3002" s="160"/>
      <c r="UVD3002" s="574"/>
      <c r="UVE3002" s="125"/>
      <c r="UVF3002" s="470"/>
      <c r="UVG3002" s="449"/>
      <c r="UVH3002" s="462"/>
      <c r="UVI3002" s="299"/>
      <c r="UVJ3002" s="81"/>
      <c r="UVK3002" s="160"/>
      <c r="UVL3002" s="574"/>
      <c r="UVM3002" s="125"/>
      <c r="UVN3002" s="470"/>
      <c r="UVO3002" s="449"/>
      <c r="UVP3002" s="462"/>
      <c r="UVQ3002" s="299"/>
      <c r="UVR3002" s="81"/>
      <c r="UVS3002" s="160"/>
      <c r="UVT3002" s="574"/>
      <c r="UVU3002" s="125"/>
      <c r="UVV3002" s="470"/>
      <c r="UVW3002" s="449"/>
      <c r="UVX3002" s="462"/>
      <c r="UVY3002" s="299"/>
      <c r="UVZ3002" s="81"/>
      <c r="UWA3002" s="160"/>
      <c r="UWB3002" s="574"/>
      <c r="UWC3002" s="125"/>
      <c r="UWD3002" s="470"/>
      <c r="UWE3002" s="449"/>
      <c r="UWF3002" s="462"/>
      <c r="UWG3002" s="299"/>
      <c r="UWH3002" s="81"/>
      <c r="UWI3002" s="160"/>
      <c r="UWJ3002" s="574"/>
      <c r="UWK3002" s="125"/>
      <c r="UWL3002" s="470"/>
      <c r="UWM3002" s="449"/>
      <c r="UWN3002" s="462"/>
      <c r="UWO3002" s="299"/>
      <c r="UWP3002" s="81"/>
      <c r="UWQ3002" s="160"/>
      <c r="UWR3002" s="574"/>
      <c r="UWS3002" s="125"/>
      <c r="UWT3002" s="470"/>
      <c r="UWU3002" s="449"/>
      <c r="UWV3002" s="462"/>
      <c r="UWW3002" s="299"/>
      <c r="UWX3002" s="81"/>
      <c r="UWY3002" s="160"/>
      <c r="UWZ3002" s="574"/>
      <c r="UXA3002" s="125"/>
      <c r="UXB3002" s="470"/>
      <c r="UXC3002" s="449"/>
      <c r="UXD3002" s="462"/>
      <c r="UXE3002" s="299"/>
      <c r="UXF3002" s="81"/>
      <c r="UXG3002" s="160"/>
      <c r="UXH3002" s="574"/>
      <c r="UXI3002" s="125"/>
      <c r="UXJ3002" s="470"/>
      <c r="UXK3002" s="449"/>
      <c r="UXL3002" s="462"/>
      <c r="UXM3002" s="299"/>
      <c r="UXN3002" s="81"/>
      <c r="UXO3002" s="160"/>
      <c r="UXP3002" s="574"/>
      <c r="UXQ3002" s="125"/>
      <c r="UXR3002" s="470"/>
      <c r="UXS3002" s="449"/>
      <c r="UXT3002" s="462"/>
      <c r="UXU3002" s="299"/>
      <c r="UXV3002" s="81"/>
      <c r="UXW3002" s="160"/>
      <c r="UXX3002" s="574"/>
      <c r="UXY3002" s="125"/>
      <c r="UXZ3002" s="470"/>
      <c r="UYA3002" s="449"/>
      <c r="UYB3002" s="462"/>
      <c r="UYC3002" s="299"/>
      <c r="UYD3002" s="81"/>
      <c r="UYE3002" s="160"/>
      <c r="UYF3002" s="574"/>
      <c r="UYG3002" s="125"/>
      <c r="UYH3002" s="470"/>
      <c r="UYI3002" s="449"/>
      <c r="UYJ3002" s="462"/>
      <c r="UYK3002" s="299"/>
      <c r="UYL3002" s="81"/>
      <c r="UYM3002" s="160"/>
      <c r="UYN3002" s="574"/>
      <c r="UYO3002" s="125"/>
      <c r="UYP3002" s="470"/>
      <c r="UYQ3002" s="449"/>
      <c r="UYR3002" s="462"/>
      <c r="UYS3002" s="299"/>
      <c r="UYT3002" s="81"/>
      <c r="UYU3002" s="160"/>
      <c r="UYV3002" s="574"/>
      <c r="UYW3002" s="125"/>
      <c r="UYX3002" s="470"/>
      <c r="UYY3002" s="449"/>
      <c r="UYZ3002" s="462"/>
      <c r="UZA3002" s="299"/>
      <c r="UZB3002" s="81"/>
      <c r="UZC3002" s="160"/>
      <c r="UZD3002" s="574"/>
      <c r="UZE3002" s="125"/>
      <c r="UZF3002" s="470"/>
      <c r="UZG3002" s="449"/>
      <c r="UZH3002" s="462"/>
      <c r="UZI3002" s="299"/>
      <c r="UZJ3002" s="81"/>
      <c r="UZK3002" s="160"/>
      <c r="UZL3002" s="574"/>
      <c r="UZM3002" s="125"/>
      <c r="UZN3002" s="470"/>
      <c r="UZO3002" s="449"/>
      <c r="UZP3002" s="462"/>
      <c r="UZQ3002" s="299"/>
      <c r="UZR3002" s="81"/>
      <c r="UZS3002" s="160"/>
      <c r="UZT3002" s="574"/>
      <c r="UZU3002" s="125"/>
      <c r="UZV3002" s="470"/>
      <c r="UZW3002" s="449"/>
      <c r="UZX3002" s="462"/>
      <c r="UZY3002" s="299"/>
      <c r="UZZ3002" s="81"/>
      <c r="VAA3002" s="160"/>
      <c r="VAB3002" s="574"/>
      <c r="VAC3002" s="125"/>
      <c r="VAD3002" s="470"/>
      <c r="VAE3002" s="449"/>
      <c r="VAF3002" s="462"/>
      <c r="VAG3002" s="299"/>
      <c r="VAH3002" s="81"/>
      <c r="VAI3002" s="160"/>
      <c r="VAJ3002" s="574"/>
      <c r="VAK3002" s="125"/>
      <c r="VAL3002" s="470"/>
      <c r="VAM3002" s="449"/>
      <c r="VAN3002" s="462"/>
      <c r="VAO3002" s="299"/>
      <c r="VAP3002" s="81"/>
      <c r="VAQ3002" s="160"/>
      <c r="VAR3002" s="574"/>
      <c r="VAS3002" s="125"/>
      <c r="VAT3002" s="470"/>
      <c r="VAU3002" s="449"/>
      <c r="VAV3002" s="462"/>
      <c r="VAW3002" s="299"/>
      <c r="VAX3002" s="81"/>
      <c r="VAY3002" s="160"/>
      <c r="VAZ3002" s="574"/>
      <c r="VBA3002" s="125"/>
      <c r="VBB3002" s="470"/>
      <c r="VBC3002" s="449"/>
      <c r="VBD3002" s="462"/>
      <c r="VBE3002" s="299"/>
      <c r="VBF3002" s="81"/>
      <c r="VBG3002" s="160"/>
      <c r="VBH3002" s="574"/>
      <c r="VBI3002" s="125"/>
      <c r="VBJ3002" s="470"/>
      <c r="VBK3002" s="449"/>
      <c r="VBL3002" s="462"/>
      <c r="VBM3002" s="299"/>
      <c r="VBN3002" s="81"/>
      <c r="VBO3002" s="160"/>
      <c r="VBP3002" s="574"/>
      <c r="VBQ3002" s="125"/>
      <c r="VBR3002" s="470"/>
      <c r="VBS3002" s="449"/>
      <c r="VBT3002" s="462"/>
      <c r="VBU3002" s="299"/>
      <c r="VBV3002" s="81"/>
      <c r="VBW3002" s="160"/>
      <c r="VBX3002" s="574"/>
      <c r="VBY3002" s="125"/>
      <c r="VBZ3002" s="470"/>
      <c r="VCA3002" s="449"/>
      <c r="VCB3002" s="462"/>
      <c r="VCC3002" s="299"/>
      <c r="VCD3002" s="81"/>
      <c r="VCE3002" s="160"/>
      <c r="VCF3002" s="574"/>
      <c r="VCG3002" s="125"/>
      <c r="VCH3002" s="470"/>
      <c r="VCI3002" s="449"/>
      <c r="VCJ3002" s="462"/>
      <c r="VCK3002" s="299"/>
      <c r="VCL3002" s="81"/>
      <c r="VCM3002" s="160"/>
      <c r="VCN3002" s="574"/>
      <c r="VCO3002" s="125"/>
      <c r="VCP3002" s="470"/>
      <c r="VCQ3002" s="449"/>
      <c r="VCR3002" s="462"/>
      <c r="VCS3002" s="299"/>
      <c r="VCT3002" s="81"/>
      <c r="VCU3002" s="160"/>
      <c r="VCV3002" s="574"/>
      <c r="VCW3002" s="125"/>
      <c r="VCX3002" s="470"/>
      <c r="VCY3002" s="449"/>
      <c r="VCZ3002" s="462"/>
      <c r="VDA3002" s="299"/>
      <c r="VDB3002" s="81"/>
      <c r="VDC3002" s="160"/>
      <c r="VDD3002" s="574"/>
      <c r="VDE3002" s="125"/>
      <c r="VDF3002" s="470"/>
      <c r="VDG3002" s="449"/>
      <c r="VDH3002" s="462"/>
      <c r="VDI3002" s="299"/>
      <c r="VDJ3002" s="81"/>
      <c r="VDK3002" s="160"/>
      <c r="VDL3002" s="574"/>
      <c r="VDM3002" s="125"/>
      <c r="VDN3002" s="470"/>
      <c r="VDO3002" s="449"/>
      <c r="VDP3002" s="462"/>
      <c r="VDQ3002" s="299"/>
      <c r="VDR3002" s="81"/>
      <c r="VDS3002" s="160"/>
      <c r="VDT3002" s="574"/>
      <c r="VDU3002" s="125"/>
      <c r="VDV3002" s="470"/>
      <c r="VDW3002" s="449"/>
      <c r="VDX3002" s="462"/>
      <c r="VDY3002" s="299"/>
      <c r="VDZ3002" s="81"/>
      <c r="VEA3002" s="160"/>
      <c r="VEB3002" s="574"/>
      <c r="VEC3002" s="125"/>
      <c r="VED3002" s="470"/>
      <c r="VEE3002" s="449"/>
      <c r="VEF3002" s="462"/>
      <c r="VEG3002" s="299"/>
      <c r="VEH3002" s="81"/>
      <c r="VEI3002" s="160"/>
      <c r="VEJ3002" s="574"/>
      <c r="VEK3002" s="125"/>
      <c r="VEL3002" s="470"/>
      <c r="VEM3002" s="449"/>
      <c r="VEN3002" s="462"/>
      <c r="VEO3002" s="299"/>
      <c r="VEP3002" s="81"/>
      <c r="VEQ3002" s="160"/>
      <c r="VER3002" s="574"/>
      <c r="VES3002" s="125"/>
      <c r="VET3002" s="470"/>
      <c r="VEU3002" s="449"/>
      <c r="VEV3002" s="462"/>
      <c r="VEW3002" s="299"/>
      <c r="VEX3002" s="81"/>
      <c r="VEY3002" s="160"/>
      <c r="VEZ3002" s="574"/>
      <c r="VFA3002" s="125"/>
      <c r="VFB3002" s="470"/>
      <c r="VFC3002" s="449"/>
      <c r="VFD3002" s="462"/>
      <c r="VFE3002" s="299"/>
      <c r="VFF3002" s="81"/>
      <c r="VFG3002" s="160"/>
      <c r="VFH3002" s="574"/>
      <c r="VFI3002" s="125"/>
      <c r="VFJ3002" s="470"/>
      <c r="VFK3002" s="449"/>
      <c r="VFL3002" s="462"/>
      <c r="VFM3002" s="299"/>
      <c r="VFN3002" s="81"/>
      <c r="VFO3002" s="160"/>
      <c r="VFP3002" s="574"/>
      <c r="VFQ3002" s="125"/>
      <c r="VFR3002" s="470"/>
      <c r="VFS3002" s="449"/>
      <c r="VFT3002" s="462"/>
      <c r="VFU3002" s="299"/>
      <c r="VFV3002" s="81"/>
      <c r="VFW3002" s="160"/>
      <c r="VFX3002" s="574"/>
      <c r="VFY3002" s="125"/>
      <c r="VFZ3002" s="470"/>
      <c r="VGA3002" s="449"/>
      <c r="VGB3002" s="462"/>
      <c r="VGC3002" s="299"/>
      <c r="VGD3002" s="81"/>
      <c r="VGE3002" s="160"/>
      <c r="VGF3002" s="574"/>
      <c r="VGG3002" s="125"/>
      <c r="VGH3002" s="470"/>
      <c r="VGI3002" s="449"/>
      <c r="VGJ3002" s="462"/>
      <c r="VGK3002" s="299"/>
      <c r="VGL3002" s="81"/>
      <c r="VGM3002" s="160"/>
      <c r="VGN3002" s="574"/>
      <c r="VGO3002" s="125"/>
      <c r="VGP3002" s="470"/>
      <c r="VGQ3002" s="449"/>
      <c r="VGR3002" s="462"/>
      <c r="VGS3002" s="299"/>
      <c r="VGT3002" s="81"/>
      <c r="VGU3002" s="160"/>
      <c r="VGV3002" s="574"/>
      <c r="VGW3002" s="125"/>
      <c r="VGX3002" s="470"/>
      <c r="VGY3002" s="449"/>
      <c r="VGZ3002" s="462"/>
      <c r="VHA3002" s="299"/>
      <c r="VHB3002" s="81"/>
      <c r="VHC3002" s="160"/>
      <c r="VHD3002" s="574"/>
      <c r="VHE3002" s="125"/>
      <c r="VHF3002" s="470"/>
      <c r="VHG3002" s="449"/>
      <c r="VHH3002" s="462"/>
      <c r="VHI3002" s="299"/>
      <c r="VHJ3002" s="81"/>
      <c r="VHK3002" s="160"/>
      <c r="VHL3002" s="574"/>
      <c r="VHM3002" s="125"/>
      <c r="VHN3002" s="470"/>
      <c r="VHO3002" s="449"/>
      <c r="VHP3002" s="462"/>
      <c r="VHQ3002" s="299"/>
      <c r="VHR3002" s="81"/>
      <c r="VHS3002" s="160"/>
      <c r="VHT3002" s="574"/>
      <c r="VHU3002" s="125"/>
      <c r="VHV3002" s="470"/>
      <c r="VHW3002" s="449"/>
      <c r="VHX3002" s="462"/>
      <c r="VHY3002" s="299"/>
      <c r="VHZ3002" s="81"/>
      <c r="VIA3002" s="160"/>
      <c r="VIB3002" s="574"/>
      <c r="VIC3002" s="125"/>
      <c r="VID3002" s="470"/>
      <c r="VIE3002" s="449"/>
      <c r="VIF3002" s="462"/>
      <c r="VIG3002" s="299"/>
      <c r="VIH3002" s="81"/>
      <c r="VII3002" s="160"/>
      <c r="VIJ3002" s="574"/>
      <c r="VIK3002" s="125"/>
      <c r="VIL3002" s="470"/>
      <c r="VIM3002" s="449"/>
      <c r="VIN3002" s="462"/>
      <c r="VIO3002" s="299"/>
      <c r="VIP3002" s="81"/>
      <c r="VIQ3002" s="160"/>
      <c r="VIR3002" s="574"/>
      <c r="VIS3002" s="125"/>
      <c r="VIT3002" s="470"/>
      <c r="VIU3002" s="449"/>
      <c r="VIV3002" s="462"/>
      <c r="VIW3002" s="299"/>
      <c r="VIX3002" s="81"/>
      <c r="VIY3002" s="160"/>
      <c r="VIZ3002" s="574"/>
      <c r="VJA3002" s="125"/>
      <c r="VJB3002" s="470"/>
      <c r="VJC3002" s="449"/>
      <c r="VJD3002" s="462"/>
      <c r="VJE3002" s="299"/>
      <c r="VJF3002" s="81"/>
      <c r="VJG3002" s="160"/>
      <c r="VJH3002" s="574"/>
      <c r="VJI3002" s="125"/>
      <c r="VJJ3002" s="470"/>
      <c r="VJK3002" s="449"/>
      <c r="VJL3002" s="462"/>
      <c r="VJM3002" s="299"/>
      <c r="VJN3002" s="81"/>
      <c r="VJO3002" s="160"/>
      <c r="VJP3002" s="574"/>
      <c r="VJQ3002" s="125"/>
      <c r="VJR3002" s="470"/>
      <c r="VJS3002" s="449"/>
      <c r="VJT3002" s="462"/>
      <c r="VJU3002" s="299"/>
      <c r="VJV3002" s="81"/>
      <c r="VJW3002" s="160"/>
      <c r="VJX3002" s="574"/>
      <c r="VJY3002" s="125"/>
      <c r="VJZ3002" s="470"/>
      <c r="VKA3002" s="449"/>
      <c r="VKB3002" s="462"/>
      <c r="VKC3002" s="299"/>
      <c r="VKD3002" s="81"/>
      <c r="VKE3002" s="160"/>
      <c r="VKF3002" s="574"/>
      <c r="VKG3002" s="125"/>
      <c r="VKH3002" s="470"/>
      <c r="VKI3002" s="449"/>
      <c r="VKJ3002" s="462"/>
      <c r="VKK3002" s="299"/>
      <c r="VKL3002" s="81"/>
      <c r="VKM3002" s="160"/>
      <c r="VKN3002" s="574"/>
      <c r="VKO3002" s="125"/>
      <c r="VKP3002" s="470"/>
      <c r="VKQ3002" s="449"/>
      <c r="VKR3002" s="462"/>
      <c r="VKS3002" s="299"/>
      <c r="VKT3002" s="81"/>
      <c r="VKU3002" s="160"/>
      <c r="VKV3002" s="574"/>
      <c r="VKW3002" s="125"/>
      <c r="VKX3002" s="470"/>
      <c r="VKY3002" s="449"/>
      <c r="VKZ3002" s="462"/>
      <c r="VLA3002" s="299"/>
      <c r="VLB3002" s="81"/>
      <c r="VLC3002" s="160"/>
      <c r="VLD3002" s="574"/>
      <c r="VLE3002" s="125"/>
      <c r="VLF3002" s="470"/>
      <c r="VLG3002" s="449"/>
      <c r="VLH3002" s="462"/>
      <c r="VLI3002" s="299"/>
      <c r="VLJ3002" s="81"/>
      <c r="VLK3002" s="160"/>
      <c r="VLL3002" s="574"/>
      <c r="VLM3002" s="125"/>
      <c r="VLN3002" s="470"/>
      <c r="VLO3002" s="449"/>
      <c r="VLP3002" s="462"/>
      <c r="VLQ3002" s="299"/>
      <c r="VLR3002" s="81"/>
      <c r="VLS3002" s="160"/>
      <c r="VLT3002" s="574"/>
      <c r="VLU3002" s="125"/>
      <c r="VLV3002" s="470"/>
      <c r="VLW3002" s="449"/>
      <c r="VLX3002" s="462"/>
      <c r="VLY3002" s="299"/>
      <c r="VLZ3002" s="81"/>
      <c r="VMA3002" s="160"/>
      <c r="VMB3002" s="574"/>
      <c r="VMC3002" s="125"/>
      <c r="VMD3002" s="470"/>
      <c r="VME3002" s="449"/>
      <c r="VMF3002" s="462"/>
      <c r="VMG3002" s="299"/>
      <c r="VMH3002" s="81"/>
      <c r="VMI3002" s="160"/>
      <c r="VMJ3002" s="574"/>
      <c r="VMK3002" s="125"/>
      <c r="VML3002" s="470"/>
      <c r="VMM3002" s="449"/>
      <c r="VMN3002" s="462"/>
      <c r="VMO3002" s="299"/>
      <c r="VMP3002" s="81"/>
      <c r="VMQ3002" s="160"/>
      <c r="VMR3002" s="574"/>
      <c r="VMS3002" s="125"/>
      <c r="VMT3002" s="470"/>
      <c r="VMU3002" s="449"/>
      <c r="VMV3002" s="462"/>
      <c r="VMW3002" s="299"/>
      <c r="VMX3002" s="81"/>
      <c r="VMY3002" s="160"/>
      <c r="VMZ3002" s="574"/>
      <c r="VNA3002" s="125"/>
      <c r="VNB3002" s="470"/>
      <c r="VNC3002" s="449"/>
      <c r="VND3002" s="462"/>
      <c r="VNE3002" s="299"/>
      <c r="VNF3002" s="81"/>
      <c r="VNG3002" s="160"/>
      <c r="VNH3002" s="574"/>
      <c r="VNI3002" s="125"/>
      <c r="VNJ3002" s="470"/>
      <c r="VNK3002" s="449"/>
      <c r="VNL3002" s="462"/>
      <c r="VNM3002" s="299"/>
      <c r="VNN3002" s="81"/>
      <c r="VNO3002" s="160"/>
      <c r="VNP3002" s="574"/>
      <c r="VNQ3002" s="125"/>
      <c r="VNR3002" s="470"/>
      <c r="VNS3002" s="449"/>
      <c r="VNT3002" s="462"/>
      <c r="VNU3002" s="299"/>
      <c r="VNV3002" s="81"/>
      <c r="VNW3002" s="160"/>
      <c r="VNX3002" s="574"/>
      <c r="VNY3002" s="125"/>
      <c r="VNZ3002" s="470"/>
      <c r="VOA3002" s="449"/>
      <c r="VOB3002" s="462"/>
      <c r="VOC3002" s="299"/>
      <c r="VOD3002" s="81"/>
      <c r="VOE3002" s="160"/>
      <c r="VOF3002" s="574"/>
      <c r="VOG3002" s="125"/>
      <c r="VOH3002" s="470"/>
      <c r="VOI3002" s="449"/>
      <c r="VOJ3002" s="462"/>
      <c r="VOK3002" s="299"/>
      <c r="VOL3002" s="81"/>
      <c r="VOM3002" s="160"/>
      <c r="VON3002" s="574"/>
      <c r="VOO3002" s="125"/>
      <c r="VOP3002" s="470"/>
      <c r="VOQ3002" s="449"/>
      <c r="VOR3002" s="462"/>
      <c r="VOS3002" s="299"/>
      <c r="VOT3002" s="81"/>
      <c r="VOU3002" s="160"/>
      <c r="VOV3002" s="574"/>
      <c r="VOW3002" s="125"/>
      <c r="VOX3002" s="470"/>
      <c r="VOY3002" s="449"/>
      <c r="VOZ3002" s="462"/>
      <c r="VPA3002" s="299"/>
      <c r="VPB3002" s="81"/>
      <c r="VPC3002" s="160"/>
      <c r="VPD3002" s="574"/>
      <c r="VPE3002" s="125"/>
      <c r="VPF3002" s="470"/>
      <c r="VPG3002" s="449"/>
      <c r="VPH3002" s="462"/>
      <c r="VPI3002" s="299"/>
      <c r="VPJ3002" s="81"/>
      <c r="VPK3002" s="160"/>
      <c r="VPL3002" s="574"/>
      <c r="VPM3002" s="125"/>
      <c r="VPN3002" s="470"/>
      <c r="VPO3002" s="449"/>
      <c r="VPP3002" s="462"/>
      <c r="VPQ3002" s="299"/>
      <c r="VPR3002" s="81"/>
      <c r="VPS3002" s="160"/>
      <c r="VPT3002" s="574"/>
      <c r="VPU3002" s="125"/>
      <c r="VPV3002" s="470"/>
      <c r="VPW3002" s="449"/>
      <c r="VPX3002" s="462"/>
      <c r="VPY3002" s="299"/>
      <c r="VPZ3002" s="81"/>
      <c r="VQA3002" s="160"/>
      <c r="VQB3002" s="574"/>
      <c r="VQC3002" s="125"/>
      <c r="VQD3002" s="470"/>
      <c r="VQE3002" s="449"/>
      <c r="VQF3002" s="462"/>
      <c r="VQG3002" s="299"/>
      <c r="VQH3002" s="81"/>
      <c r="VQI3002" s="160"/>
      <c r="VQJ3002" s="574"/>
      <c r="VQK3002" s="125"/>
      <c r="VQL3002" s="470"/>
      <c r="VQM3002" s="449"/>
      <c r="VQN3002" s="462"/>
      <c r="VQO3002" s="299"/>
      <c r="VQP3002" s="81"/>
      <c r="VQQ3002" s="160"/>
      <c r="VQR3002" s="574"/>
      <c r="VQS3002" s="125"/>
      <c r="VQT3002" s="470"/>
      <c r="VQU3002" s="449"/>
      <c r="VQV3002" s="462"/>
      <c r="VQW3002" s="299"/>
      <c r="VQX3002" s="81"/>
      <c r="VQY3002" s="160"/>
      <c r="VQZ3002" s="574"/>
      <c r="VRA3002" s="125"/>
      <c r="VRB3002" s="470"/>
      <c r="VRC3002" s="449"/>
      <c r="VRD3002" s="462"/>
      <c r="VRE3002" s="299"/>
      <c r="VRF3002" s="81"/>
      <c r="VRG3002" s="160"/>
      <c r="VRH3002" s="574"/>
      <c r="VRI3002" s="125"/>
      <c r="VRJ3002" s="470"/>
      <c r="VRK3002" s="449"/>
      <c r="VRL3002" s="462"/>
      <c r="VRM3002" s="299"/>
      <c r="VRN3002" s="81"/>
      <c r="VRO3002" s="160"/>
      <c r="VRP3002" s="574"/>
      <c r="VRQ3002" s="125"/>
      <c r="VRR3002" s="470"/>
      <c r="VRS3002" s="449"/>
      <c r="VRT3002" s="462"/>
      <c r="VRU3002" s="299"/>
      <c r="VRV3002" s="81"/>
      <c r="VRW3002" s="160"/>
      <c r="VRX3002" s="574"/>
      <c r="VRY3002" s="125"/>
      <c r="VRZ3002" s="470"/>
      <c r="VSA3002" s="449"/>
      <c r="VSB3002" s="462"/>
      <c r="VSC3002" s="299"/>
      <c r="VSD3002" s="81"/>
      <c r="VSE3002" s="160"/>
      <c r="VSF3002" s="574"/>
      <c r="VSG3002" s="125"/>
      <c r="VSH3002" s="470"/>
      <c r="VSI3002" s="449"/>
      <c r="VSJ3002" s="462"/>
      <c r="VSK3002" s="299"/>
      <c r="VSL3002" s="81"/>
      <c r="VSM3002" s="160"/>
      <c r="VSN3002" s="574"/>
      <c r="VSO3002" s="125"/>
      <c r="VSP3002" s="470"/>
      <c r="VSQ3002" s="449"/>
      <c r="VSR3002" s="462"/>
      <c r="VSS3002" s="299"/>
      <c r="VST3002" s="81"/>
      <c r="VSU3002" s="160"/>
      <c r="VSV3002" s="574"/>
      <c r="VSW3002" s="125"/>
      <c r="VSX3002" s="470"/>
      <c r="VSY3002" s="449"/>
      <c r="VSZ3002" s="462"/>
      <c r="VTA3002" s="299"/>
      <c r="VTB3002" s="81"/>
      <c r="VTC3002" s="160"/>
      <c r="VTD3002" s="574"/>
      <c r="VTE3002" s="125"/>
      <c r="VTF3002" s="470"/>
      <c r="VTG3002" s="449"/>
      <c r="VTH3002" s="462"/>
      <c r="VTI3002" s="299"/>
      <c r="VTJ3002" s="81"/>
      <c r="VTK3002" s="160"/>
      <c r="VTL3002" s="574"/>
      <c r="VTM3002" s="125"/>
      <c r="VTN3002" s="470"/>
      <c r="VTO3002" s="449"/>
      <c r="VTP3002" s="462"/>
      <c r="VTQ3002" s="299"/>
      <c r="VTR3002" s="81"/>
      <c r="VTS3002" s="160"/>
      <c r="VTT3002" s="574"/>
      <c r="VTU3002" s="125"/>
      <c r="VTV3002" s="470"/>
      <c r="VTW3002" s="449"/>
      <c r="VTX3002" s="462"/>
      <c r="VTY3002" s="299"/>
      <c r="VTZ3002" s="81"/>
      <c r="VUA3002" s="160"/>
      <c r="VUB3002" s="574"/>
      <c r="VUC3002" s="125"/>
      <c r="VUD3002" s="470"/>
      <c r="VUE3002" s="449"/>
      <c r="VUF3002" s="462"/>
      <c r="VUG3002" s="299"/>
      <c r="VUH3002" s="81"/>
      <c r="VUI3002" s="160"/>
      <c r="VUJ3002" s="574"/>
      <c r="VUK3002" s="125"/>
      <c r="VUL3002" s="470"/>
      <c r="VUM3002" s="449"/>
      <c r="VUN3002" s="462"/>
      <c r="VUO3002" s="299"/>
      <c r="VUP3002" s="81"/>
      <c r="VUQ3002" s="160"/>
      <c r="VUR3002" s="574"/>
      <c r="VUS3002" s="125"/>
      <c r="VUT3002" s="470"/>
      <c r="VUU3002" s="449"/>
      <c r="VUV3002" s="462"/>
      <c r="VUW3002" s="299"/>
      <c r="VUX3002" s="81"/>
      <c r="VUY3002" s="160"/>
      <c r="VUZ3002" s="574"/>
      <c r="VVA3002" s="125"/>
      <c r="VVB3002" s="470"/>
      <c r="VVC3002" s="449"/>
      <c r="VVD3002" s="462"/>
      <c r="VVE3002" s="299"/>
      <c r="VVF3002" s="81"/>
      <c r="VVG3002" s="160"/>
      <c r="VVH3002" s="574"/>
      <c r="VVI3002" s="125"/>
      <c r="VVJ3002" s="470"/>
      <c r="VVK3002" s="449"/>
      <c r="VVL3002" s="462"/>
      <c r="VVM3002" s="299"/>
      <c r="VVN3002" s="81"/>
      <c r="VVO3002" s="160"/>
      <c r="VVP3002" s="574"/>
      <c r="VVQ3002" s="125"/>
      <c r="VVR3002" s="470"/>
      <c r="VVS3002" s="449"/>
      <c r="VVT3002" s="462"/>
      <c r="VVU3002" s="299"/>
      <c r="VVV3002" s="81"/>
      <c r="VVW3002" s="160"/>
      <c r="VVX3002" s="574"/>
      <c r="VVY3002" s="125"/>
      <c r="VVZ3002" s="470"/>
      <c r="VWA3002" s="449"/>
      <c r="VWB3002" s="462"/>
      <c r="VWC3002" s="299"/>
      <c r="VWD3002" s="81"/>
      <c r="VWE3002" s="160"/>
      <c r="VWF3002" s="574"/>
      <c r="VWG3002" s="125"/>
      <c r="VWH3002" s="470"/>
      <c r="VWI3002" s="449"/>
      <c r="VWJ3002" s="462"/>
      <c r="VWK3002" s="299"/>
      <c r="VWL3002" s="81"/>
      <c r="VWM3002" s="160"/>
      <c r="VWN3002" s="574"/>
      <c r="VWO3002" s="125"/>
      <c r="VWP3002" s="470"/>
      <c r="VWQ3002" s="449"/>
      <c r="VWR3002" s="462"/>
      <c r="VWS3002" s="299"/>
      <c r="VWT3002" s="81"/>
      <c r="VWU3002" s="160"/>
      <c r="VWV3002" s="574"/>
      <c r="VWW3002" s="125"/>
      <c r="VWX3002" s="470"/>
      <c r="VWY3002" s="449"/>
      <c r="VWZ3002" s="462"/>
      <c r="VXA3002" s="299"/>
      <c r="VXB3002" s="81"/>
      <c r="VXC3002" s="160"/>
      <c r="VXD3002" s="574"/>
      <c r="VXE3002" s="125"/>
      <c r="VXF3002" s="470"/>
      <c r="VXG3002" s="449"/>
      <c r="VXH3002" s="462"/>
      <c r="VXI3002" s="299"/>
      <c r="VXJ3002" s="81"/>
      <c r="VXK3002" s="160"/>
      <c r="VXL3002" s="574"/>
      <c r="VXM3002" s="125"/>
      <c r="VXN3002" s="470"/>
      <c r="VXO3002" s="449"/>
      <c r="VXP3002" s="462"/>
      <c r="VXQ3002" s="299"/>
      <c r="VXR3002" s="81"/>
      <c r="VXS3002" s="160"/>
      <c r="VXT3002" s="574"/>
      <c r="VXU3002" s="125"/>
      <c r="VXV3002" s="470"/>
      <c r="VXW3002" s="449"/>
      <c r="VXX3002" s="462"/>
      <c r="VXY3002" s="299"/>
      <c r="VXZ3002" s="81"/>
      <c r="VYA3002" s="160"/>
      <c r="VYB3002" s="574"/>
      <c r="VYC3002" s="125"/>
      <c r="VYD3002" s="470"/>
      <c r="VYE3002" s="449"/>
      <c r="VYF3002" s="462"/>
      <c r="VYG3002" s="299"/>
      <c r="VYH3002" s="81"/>
      <c r="VYI3002" s="160"/>
      <c r="VYJ3002" s="574"/>
      <c r="VYK3002" s="125"/>
      <c r="VYL3002" s="470"/>
      <c r="VYM3002" s="449"/>
      <c r="VYN3002" s="462"/>
      <c r="VYO3002" s="299"/>
      <c r="VYP3002" s="81"/>
      <c r="VYQ3002" s="160"/>
      <c r="VYR3002" s="574"/>
      <c r="VYS3002" s="125"/>
      <c r="VYT3002" s="470"/>
      <c r="VYU3002" s="449"/>
      <c r="VYV3002" s="462"/>
      <c r="VYW3002" s="299"/>
      <c r="VYX3002" s="81"/>
      <c r="VYY3002" s="160"/>
      <c r="VYZ3002" s="574"/>
      <c r="VZA3002" s="125"/>
      <c r="VZB3002" s="470"/>
      <c r="VZC3002" s="449"/>
      <c r="VZD3002" s="462"/>
      <c r="VZE3002" s="299"/>
      <c r="VZF3002" s="81"/>
      <c r="VZG3002" s="160"/>
      <c r="VZH3002" s="574"/>
      <c r="VZI3002" s="125"/>
      <c r="VZJ3002" s="470"/>
      <c r="VZK3002" s="449"/>
      <c r="VZL3002" s="462"/>
      <c r="VZM3002" s="299"/>
      <c r="VZN3002" s="81"/>
      <c r="VZO3002" s="160"/>
      <c r="VZP3002" s="574"/>
      <c r="VZQ3002" s="125"/>
      <c r="VZR3002" s="470"/>
      <c r="VZS3002" s="449"/>
      <c r="VZT3002" s="462"/>
      <c r="VZU3002" s="299"/>
      <c r="VZV3002" s="81"/>
      <c r="VZW3002" s="160"/>
      <c r="VZX3002" s="574"/>
      <c r="VZY3002" s="125"/>
      <c r="VZZ3002" s="470"/>
      <c r="WAA3002" s="449"/>
      <c r="WAB3002" s="462"/>
      <c r="WAC3002" s="299"/>
      <c r="WAD3002" s="81"/>
      <c r="WAE3002" s="160"/>
      <c r="WAF3002" s="574"/>
      <c r="WAG3002" s="125"/>
      <c r="WAH3002" s="470"/>
      <c r="WAI3002" s="449"/>
      <c r="WAJ3002" s="462"/>
      <c r="WAK3002" s="299"/>
      <c r="WAL3002" s="81"/>
      <c r="WAM3002" s="160"/>
      <c r="WAN3002" s="574"/>
      <c r="WAO3002" s="125"/>
      <c r="WAP3002" s="470"/>
      <c r="WAQ3002" s="449"/>
      <c r="WAR3002" s="462"/>
      <c r="WAS3002" s="299"/>
      <c r="WAT3002" s="81"/>
      <c r="WAU3002" s="160"/>
      <c r="WAV3002" s="574"/>
      <c r="WAW3002" s="125"/>
      <c r="WAX3002" s="470"/>
      <c r="WAY3002" s="449"/>
      <c r="WAZ3002" s="462"/>
      <c r="WBA3002" s="299"/>
      <c r="WBB3002" s="81"/>
      <c r="WBC3002" s="160"/>
      <c r="WBD3002" s="574"/>
      <c r="WBE3002" s="125"/>
      <c r="WBF3002" s="470"/>
      <c r="WBG3002" s="449"/>
      <c r="WBH3002" s="462"/>
      <c r="WBI3002" s="299"/>
      <c r="WBJ3002" s="81"/>
      <c r="WBK3002" s="160"/>
      <c r="WBL3002" s="574"/>
      <c r="WBM3002" s="125"/>
      <c r="WBN3002" s="470"/>
      <c r="WBO3002" s="449"/>
      <c r="WBP3002" s="462"/>
      <c r="WBQ3002" s="299"/>
      <c r="WBR3002" s="81"/>
      <c r="WBS3002" s="160"/>
      <c r="WBT3002" s="574"/>
      <c r="WBU3002" s="125"/>
      <c r="WBV3002" s="470"/>
      <c r="WBW3002" s="449"/>
      <c r="WBX3002" s="462"/>
      <c r="WBY3002" s="299"/>
      <c r="WBZ3002" s="81"/>
      <c r="WCA3002" s="160"/>
      <c r="WCB3002" s="574"/>
      <c r="WCC3002" s="125"/>
      <c r="WCD3002" s="470"/>
      <c r="WCE3002" s="449"/>
      <c r="WCF3002" s="462"/>
      <c r="WCG3002" s="299"/>
      <c r="WCH3002" s="81"/>
      <c r="WCI3002" s="160"/>
      <c r="WCJ3002" s="574"/>
      <c r="WCK3002" s="125"/>
      <c r="WCL3002" s="470"/>
      <c r="WCM3002" s="449"/>
      <c r="WCN3002" s="462"/>
      <c r="WCO3002" s="299"/>
      <c r="WCP3002" s="81"/>
      <c r="WCQ3002" s="160"/>
      <c r="WCR3002" s="574"/>
      <c r="WCS3002" s="125"/>
      <c r="WCT3002" s="470"/>
      <c r="WCU3002" s="449"/>
      <c r="WCV3002" s="462"/>
      <c r="WCW3002" s="299"/>
      <c r="WCX3002" s="81"/>
      <c r="WCY3002" s="160"/>
      <c r="WCZ3002" s="574"/>
      <c r="WDA3002" s="125"/>
      <c r="WDB3002" s="470"/>
      <c r="WDC3002" s="449"/>
      <c r="WDD3002" s="462"/>
      <c r="WDE3002" s="299"/>
      <c r="WDF3002" s="81"/>
      <c r="WDG3002" s="160"/>
      <c r="WDH3002" s="574"/>
      <c r="WDI3002" s="125"/>
      <c r="WDJ3002" s="470"/>
      <c r="WDK3002" s="449"/>
      <c r="WDL3002" s="462"/>
      <c r="WDM3002" s="299"/>
      <c r="WDN3002" s="81"/>
      <c r="WDO3002" s="160"/>
      <c r="WDP3002" s="574"/>
      <c r="WDQ3002" s="125"/>
      <c r="WDR3002" s="470"/>
      <c r="WDS3002" s="449"/>
      <c r="WDT3002" s="462"/>
      <c r="WDU3002" s="299"/>
      <c r="WDV3002" s="81"/>
      <c r="WDW3002" s="160"/>
      <c r="WDX3002" s="574"/>
      <c r="WDY3002" s="125"/>
      <c r="WDZ3002" s="470"/>
      <c r="WEA3002" s="449"/>
      <c r="WEB3002" s="462"/>
      <c r="WEC3002" s="299"/>
      <c r="WED3002" s="81"/>
      <c r="WEE3002" s="160"/>
      <c r="WEF3002" s="574"/>
      <c r="WEG3002" s="125"/>
      <c r="WEH3002" s="470"/>
      <c r="WEI3002" s="449"/>
      <c r="WEJ3002" s="462"/>
      <c r="WEK3002" s="299"/>
      <c r="WEL3002" s="81"/>
      <c r="WEM3002" s="160"/>
      <c r="WEN3002" s="574"/>
      <c r="WEO3002" s="125"/>
      <c r="WEP3002" s="470"/>
      <c r="WEQ3002" s="449"/>
      <c r="WER3002" s="462"/>
      <c r="WES3002" s="299"/>
      <c r="WET3002" s="81"/>
      <c r="WEU3002" s="160"/>
      <c r="WEV3002" s="574"/>
      <c r="WEW3002" s="125"/>
      <c r="WEX3002" s="470"/>
      <c r="WEY3002" s="449"/>
      <c r="WEZ3002" s="462"/>
      <c r="WFA3002" s="299"/>
      <c r="WFB3002" s="81"/>
      <c r="WFC3002" s="160"/>
      <c r="WFD3002" s="574"/>
      <c r="WFE3002" s="125"/>
      <c r="WFF3002" s="470"/>
      <c r="WFG3002" s="449"/>
      <c r="WFH3002" s="462"/>
      <c r="WFI3002" s="299"/>
      <c r="WFJ3002" s="81"/>
      <c r="WFK3002" s="160"/>
      <c r="WFL3002" s="574"/>
      <c r="WFM3002" s="125"/>
      <c r="WFN3002" s="470"/>
      <c r="WFO3002" s="449"/>
      <c r="WFP3002" s="462"/>
      <c r="WFQ3002" s="299"/>
      <c r="WFR3002" s="81"/>
      <c r="WFS3002" s="160"/>
      <c r="WFT3002" s="574"/>
      <c r="WFU3002" s="125"/>
      <c r="WFV3002" s="470"/>
      <c r="WFW3002" s="449"/>
      <c r="WFX3002" s="462"/>
      <c r="WFY3002" s="299"/>
      <c r="WFZ3002" s="81"/>
      <c r="WGA3002" s="160"/>
      <c r="WGB3002" s="574"/>
      <c r="WGC3002" s="125"/>
      <c r="WGD3002" s="470"/>
      <c r="WGE3002" s="449"/>
      <c r="WGF3002" s="462"/>
      <c r="WGG3002" s="299"/>
      <c r="WGH3002" s="81"/>
      <c r="WGI3002" s="160"/>
      <c r="WGJ3002" s="574"/>
      <c r="WGK3002" s="125"/>
      <c r="WGL3002" s="470"/>
      <c r="WGM3002" s="449"/>
      <c r="WGN3002" s="462"/>
      <c r="WGO3002" s="299"/>
      <c r="WGP3002" s="81"/>
      <c r="WGQ3002" s="160"/>
      <c r="WGR3002" s="574"/>
      <c r="WGS3002" s="125"/>
      <c r="WGT3002" s="470"/>
      <c r="WGU3002" s="449"/>
      <c r="WGV3002" s="462"/>
      <c r="WGW3002" s="299"/>
      <c r="WGX3002" s="81"/>
      <c r="WGY3002" s="160"/>
      <c r="WGZ3002" s="574"/>
      <c r="WHA3002" s="125"/>
      <c r="WHB3002" s="470"/>
      <c r="WHC3002" s="449"/>
      <c r="WHD3002" s="462"/>
      <c r="WHE3002" s="299"/>
      <c r="WHF3002" s="81"/>
      <c r="WHG3002" s="160"/>
      <c r="WHH3002" s="574"/>
      <c r="WHI3002" s="125"/>
      <c r="WHJ3002" s="470"/>
      <c r="WHK3002" s="449"/>
      <c r="WHL3002" s="462"/>
      <c r="WHM3002" s="299"/>
      <c r="WHN3002" s="81"/>
      <c r="WHO3002" s="160"/>
      <c r="WHP3002" s="574"/>
      <c r="WHQ3002" s="125"/>
      <c r="WHR3002" s="470"/>
      <c r="WHS3002" s="449"/>
      <c r="WHT3002" s="462"/>
      <c r="WHU3002" s="299"/>
      <c r="WHV3002" s="81"/>
      <c r="WHW3002" s="160"/>
      <c r="WHX3002" s="574"/>
      <c r="WHY3002" s="125"/>
      <c r="WHZ3002" s="470"/>
      <c r="WIA3002" s="449"/>
      <c r="WIB3002" s="462"/>
      <c r="WIC3002" s="299"/>
      <c r="WID3002" s="81"/>
      <c r="WIE3002" s="160"/>
      <c r="WIF3002" s="574"/>
      <c r="WIG3002" s="125"/>
      <c r="WIH3002" s="470"/>
      <c r="WII3002" s="449"/>
      <c r="WIJ3002" s="462"/>
      <c r="WIK3002" s="299"/>
      <c r="WIL3002" s="81"/>
      <c r="WIM3002" s="160"/>
      <c r="WIN3002" s="574"/>
      <c r="WIO3002" s="125"/>
      <c r="WIP3002" s="470"/>
      <c r="WIQ3002" s="449"/>
      <c r="WIR3002" s="462"/>
      <c r="WIS3002" s="299"/>
      <c r="WIT3002" s="81"/>
      <c r="WIU3002" s="160"/>
      <c r="WIV3002" s="574"/>
      <c r="WIW3002" s="125"/>
      <c r="WIX3002" s="470"/>
      <c r="WIY3002" s="449"/>
      <c r="WIZ3002" s="462"/>
      <c r="WJA3002" s="299"/>
      <c r="WJB3002" s="81"/>
      <c r="WJC3002" s="160"/>
      <c r="WJD3002" s="574"/>
      <c r="WJE3002" s="125"/>
      <c r="WJF3002" s="470"/>
      <c r="WJG3002" s="449"/>
      <c r="WJH3002" s="462"/>
      <c r="WJI3002" s="299"/>
      <c r="WJJ3002" s="81"/>
      <c r="WJK3002" s="160"/>
      <c r="WJL3002" s="574"/>
      <c r="WJM3002" s="125"/>
      <c r="WJN3002" s="470"/>
      <c r="WJO3002" s="449"/>
      <c r="WJP3002" s="462"/>
      <c r="WJQ3002" s="299"/>
      <c r="WJR3002" s="81"/>
      <c r="WJS3002" s="160"/>
      <c r="WJT3002" s="574"/>
      <c r="WJU3002" s="125"/>
      <c r="WJV3002" s="470"/>
      <c r="WJW3002" s="449"/>
      <c r="WJX3002" s="462"/>
      <c r="WJY3002" s="299"/>
      <c r="WJZ3002" s="81"/>
      <c r="WKA3002" s="160"/>
      <c r="WKB3002" s="574"/>
      <c r="WKC3002" s="125"/>
      <c r="WKD3002" s="470"/>
      <c r="WKE3002" s="449"/>
      <c r="WKF3002" s="462"/>
      <c r="WKG3002" s="299"/>
      <c r="WKH3002" s="81"/>
      <c r="WKI3002" s="160"/>
      <c r="WKJ3002" s="574"/>
      <c r="WKK3002" s="125"/>
      <c r="WKL3002" s="470"/>
      <c r="WKM3002" s="449"/>
      <c r="WKN3002" s="462"/>
      <c r="WKO3002" s="299"/>
      <c r="WKP3002" s="81"/>
      <c r="WKQ3002" s="160"/>
      <c r="WKR3002" s="574"/>
      <c r="WKS3002" s="125"/>
      <c r="WKT3002" s="470"/>
      <c r="WKU3002" s="449"/>
      <c r="WKV3002" s="462"/>
      <c r="WKW3002" s="299"/>
      <c r="WKX3002" s="81"/>
      <c r="WKY3002" s="160"/>
      <c r="WKZ3002" s="574"/>
      <c r="WLA3002" s="125"/>
      <c r="WLB3002" s="470"/>
      <c r="WLC3002" s="449"/>
      <c r="WLD3002" s="462"/>
      <c r="WLE3002" s="299"/>
      <c r="WLF3002" s="81"/>
      <c r="WLG3002" s="160"/>
      <c r="WLH3002" s="574"/>
      <c r="WLI3002" s="125"/>
      <c r="WLJ3002" s="470"/>
      <c r="WLK3002" s="449"/>
      <c r="WLL3002" s="462"/>
      <c r="WLM3002" s="299"/>
      <c r="WLN3002" s="81"/>
      <c r="WLO3002" s="160"/>
      <c r="WLP3002" s="574"/>
      <c r="WLQ3002" s="125"/>
      <c r="WLR3002" s="470"/>
      <c r="WLS3002" s="449"/>
      <c r="WLT3002" s="462"/>
      <c r="WLU3002" s="299"/>
      <c r="WLV3002" s="81"/>
      <c r="WLW3002" s="160"/>
      <c r="WLX3002" s="574"/>
      <c r="WLY3002" s="125"/>
      <c r="WLZ3002" s="470"/>
      <c r="WMA3002" s="449"/>
      <c r="WMB3002" s="462"/>
      <c r="WMC3002" s="299"/>
      <c r="WMD3002" s="81"/>
      <c r="WME3002" s="160"/>
      <c r="WMF3002" s="574"/>
      <c r="WMG3002" s="125"/>
      <c r="WMH3002" s="470"/>
      <c r="WMI3002" s="449"/>
      <c r="WMJ3002" s="462"/>
      <c r="WMK3002" s="299"/>
      <c r="WML3002" s="81"/>
      <c r="WMM3002" s="160"/>
      <c r="WMN3002" s="574"/>
      <c r="WMO3002" s="125"/>
      <c r="WMP3002" s="470"/>
      <c r="WMQ3002" s="449"/>
      <c r="WMR3002" s="462"/>
      <c r="WMS3002" s="299"/>
      <c r="WMT3002" s="81"/>
      <c r="WMU3002" s="160"/>
      <c r="WMV3002" s="574"/>
      <c r="WMW3002" s="125"/>
      <c r="WMX3002" s="470"/>
      <c r="WMY3002" s="449"/>
      <c r="WMZ3002" s="462"/>
      <c r="WNA3002" s="299"/>
      <c r="WNB3002" s="81"/>
      <c r="WNC3002" s="160"/>
      <c r="WND3002" s="574"/>
      <c r="WNE3002" s="125"/>
      <c r="WNF3002" s="470"/>
      <c r="WNG3002" s="449"/>
      <c r="WNH3002" s="462"/>
      <c r="WNI3002" s="299"/>
      <c r="WNJ3002" s="81"/>
      <c r="WNK3002" s="160"/>
      <c r="WNL3002" s="574"/>
      <c r="WNM3002" s="125"/>
      <c r="WNN3002" s="470"/>
      <c r="WNO3002" s="449"/>
      <c r="WNP3002" s="462"/>
      <c r="WNQ3002" s="299"/>
      <c r="WNR3002" s="81"/>
      <c r="WNS3002" s="160"/>
      <c r="WNT3002" s="574"/>
      <c r="WNU3002" s="125"/>
      <c r="WNV3002" s="470"/>
      <c r="WNW3002" s="449"/>
      <c r="WNX3002" s="462"/>
      <c r="WNY3002" s="299"/>
      <c r="WNZ3002" s="81"/>
      <c r="WOA3002" s="160"/>
      <c r="WOB3002" s="574"/>
      <c r="WOC3002" s="125"/>
      <c r="WOD3002" s="470"/>
      <c r="WOE3002" s="449"/>
      <c r="WOF3002" s="462"/>
      <c r="WOG3002" s="299"/>
      <c r="WOH3002" s="81"/>
      <c r="WOI3002" s="160"/>
      <c r="WOJ3002" s="574"/>
      <c r="WOK3002" s="125"/>
      <c r="WOL3002" s="470"/>
      <c r="WOM3002" s="449"/>
      <c r="WON3002" s="462"/>
      <c r="WOO3002" s="299"/>
      <c r="WOP3002" s="81"/>
      <c r="WOQ3002" s="160"/>
      <c r="WOR3002" s="574"/>
      <c r="WOS3002" s="125"/>
      <c r="WOT3002" s="470"/>
      <c r="WOU3002" s="449"/>
      <c r="WOV3002" s="462"/>
      <c r="WOW3002" s="299"/>
      <c r="WOX3002" s="81"/>
      <c r="WOY3002" s="160"/>
      <c r="WOZ3002" s="574"/>
      <c r="WPA3002" s="125"/>
      <c r="WPB3002" s="470"/>
      <c r="WPC3002" s="449"/>
      <c r="WPD3002" s="462"/>
      <c r="WPE3002" s="299"/>
      <c r="WPF3002" s="81"/>
      <c r="WPG3002" s="160"/>
      <c r="WPH3002" s="574"/>
      <c r="WPI3002" s="125"/>
      <c r="WPJ3002" s="470"/>
      <c r="WPK3002" s="449"/>
      <c r="WPL3002" s="462"/>
      <c r="WPM3002" s="299"/>
      <c r="WPN3002" s="81"/>
      <c r="WPO3002" s="160"/>
      <c r="WPP3002" s="574"/>
      <c r="WPQ3002" s="125"/>
      <c r="WPR3002" s="470"/>
      <c r="WPS3002" s="449"/>
      <c r="WPT3002" s="462"/>
      <c r="WPU3002" s="299"/>
      <c r="WPV3002" s="81"/>
      <c r="WPW3002" s="160"/>
      <c r="WPX3002" s="574"/>
      <c r="WPY3002" s="125"/>
      <c r="WPZ3002" s="470"/>
      <c r="WQA3002" s="449"/>
      <c r="WQB3002" s="462"/>
      <c r="WQC3002" s="299"/>
      <c r="WQD3002" s="81"/>
      <c r="WQE3002" s="160"/>
      <c r="WQF3002" s="574"/>
      <c r="WQG3002" s="125"/>
      <c r="WQH3002" s="470"/>
      <c r="WQI3002" s="449"/>
      <c r="WQJ3002" s="462"/>
      <c r="WQK3002" s="299"/>
      <c r="WQL3002" s="81"/>
      <c r="WQM3002" s="160"/>
      <c r="WQN3002" s="574"/>
      <c r="WQO3002" s="125"/>
      <c r="WQP3002" s="470"/>
      <c r="WQQ3002" s="449"/>
      <c r="WQR3002" s="462"/>
      <c r="WQS3002" s="299"/>
      <c r="WQT3002" s="81"/>
      <c r="WQU3002" s="160"/>
      <c r="WQV3002" s="574"/>
      <c r="WQW3002" s="125"/>
      <c r="WQX3002" s="470"/>
      <c r="WQY3002" s="449"/>
      <c r="WQZ3002" s="462"/>
      <c r="WRA3002" s="299"/>
      <c r="WRB3002" s="81"/>
      <c r="WRC3002" s="160"/>
      <c r="WRD3002" s="574"/>
      <c r="WRE3002" s="125"/>
      <c r="WRF3002" s="470"/>
      <c r="WRG3002" s="449"/>
      <c r="WRH3002" s="462"/>
      <c r="WRI3002" s="299"/>
      <c r="WRJ3002" s="81"/>
      <c r="WRK3002" s="160"/>
      <c r="WRL3002" s="574"/>
      <c r="WRM3002" s="125"/>
      <c r="WRN3002" s="470"/>
      <c r="WRO3002" s="449"/>
      <c r="WRP3002" s="462"/>
      <c r="WRQ3002" s="299"/>
      <c r="WRR3002" s="81"/>
      <c r="WRS3002" s="160"/>
      <c r="WRT3002" s="574"/>
      <c r="WRU3002" s="125"/>
      <c r="WRV3002" s="470"/>
      <c r="WRW3002" s="449"/>
      <c r="WRX3002" s="462"/>
      <c r="WRY3002" s="299"/>
      <c r="WRZ3002" s="81"/>
      <c r="WSA3002" s="160"/>
      <c r="WSB3002" s="574"/>
      <c r="WSC3002" s="125"/>
      <c r="WSD3002" s="470"/>
      <c r="WSE3002" s="449"/>
      <c r="WSF3002" s="462"/>
      <c r="WSG3002" s="299"/>
      <c r="WSH3002" s="81"/>
      <c r="WSI3002" s="160"/>
      <c r="WSJ3002" s="574"/>
      <c r="WSK3002" s="125"/>
      <c r="WSL3002" s="470"/>
      <c r="WSM3002" s="449"/>
      <c r="WSN3002" s="462"/>
      <c r="WSO3002" s="299"/>
      <c r="WSP3002" s="81"/>
      <c r="WSQ3002" s="160"/>
      <c r="WSR3002" s="574"/>
      <c r="WSS3002" s="125"/>
      <c r="WST3002" s="470"/>
      <c r="WSU3002" s="449"/>
      <c r="WSV3002" s="462"/>
      <c r="WSW3002" s="299"/>
      <c r="WSX3002" s="81"/>
      <c r="WSY3002" s="160"/>
      <c r="WSZ3002" s="574"/>
      <c r="WTA3002" s="125"/>
      <c r="WTB3002" s="470"/>
      <c r="WTC3002" s="449"/>
      <c r="WTD3002" s="462"/>
      <c r="WTE3002" s="299"/>
      <c r="WTF3002" s="81"/>
      <c r="WTG3002" s="160"/>
      <c r="WTH3002" s="574"/>
      <c r="WTI3002" s="125"/>
      <c r="WTJ3002" s="470"/>
      <c r="WTK3002" s="449"/>
      <c r="WTL3002" s="462"/>
      <c r="WTM3002" s="299"/>
      <c r="WTN3002" s="81"/>
      <c r="WTO3002" s="160"/>
      <c r="WTP3002" s="574"/>
      <c r="WTQ3002" s="125"/>
      <c r="WTR3002" s="470"/>
      <c r="WTS3002" s="449"/>
      <c r="WTT3002" s="462"/>
      <c r="WTU3002" s="299"/>
      <c r="WTV3002" s="81"/>
      <c r="WTW3002" s="160"/>
      <c r="WTX3002" s="574"/>
      <c r="WTY3002" s="125"/>
      <c r="WTZ3002" s="470"/>
      <c r="WUA3002" s="449"/>
      <c r="WUB3002" s="462"/>
      <c r="WUC3002" s="299"/>
      <c r="WUD3002" s="81"/>
      <c r="WUE3002" s="160"/>
      <c r="WUF3002" s="574"/>
      <c r="WUG3002" s="125"/>
      <c r="WUH3002" s="470"/>
      <c r="WUI3002" s="449"/>
      <c r="WUJ3002" s="462"/>
      <c r="WUK3002" s="299"/>
      <c r="WUL3002" s="81"/>
      <c r="WUM3002" s="160"/>
      <c r="WUN3002" s="574"/>
      <c r="WUO3002" s="125"/>
      <c r="WUP3002" s="470"/>
      <c r="WUQ3002" s="449"/>
      <c r="WUR3002" s="462"/>
      <c r="WUS3002" s="299"/>
      <c r="WUT3002" s="81"/>
      <c r="WUU3002" s="160"/>
      <c r="WUV3002" s="574"/>
      <c r="WUW3002" s="125"/>
      <c r="WUX3002" s="470"/>
      <c r="WUY3002" s="449"/>
      <c r="WUZ3002" s="462"/>
      <c r="WVA3002" s="299"/>
      <c r="WVB3002" s="81"/>
      <c r="WVC3002" s="160"/>
      <c r="WVD3002" s="574"/>
      <c r="WVE3002" s="125"/>
      <c r="WVF3002" s="470"/>
      <c r="WVG3002" s="449"/>
      <c r="WVH3002" s="462"/>
      <c r="WVI3002" s="299"/>
      <c r="WVJ3002" s="81"/>
      <c r="WVK3002" s="160"/>
      <c r="WVL3002" s="574"/>
      <c r="WVM3002" s="125"/>
      <c r="WVN3002" s="470"/>
      <c r="WVO3002" s="449"/>
      <c r="WVP3002" s="462"/>
      <c r="WVQ3002" s="299"/>
      <c r="WVR3002" s="81"/>
      <c r="WVS3002" s="160"/>
      <c r="WVT3002" s="574"/>
      <c r="WVU3002" s="125"/>
      <c r="WVV3002" s="470"/>
      <c r="WVW3002" s="449"/>
      <c r="WVX3002" s="462"/>
      <c r="WVY3002" s="299"/>
      <c r="WVZ3002" s="81"/>
      <c r="WWA3002" s="160"/>
      <c r="WWB3002" s="574"/>
      <c r="WWC3002" s="125"/>
      <c r="WWD3002" s="470"/>
      <c r="WWE3002" s="449"/>
      <c r="WWF3002" s="462"/>
      <c r="WWG3002" s="299"/>
      <c r="WWH3002" s="81"/>
      <c r="WWI3002" s="160"/>
      <c r="WWJ3002" s="574"/>
      <c r="WWK3002" s="125"/>
      <c r="WWL3002" s="470"/>
      <c r="WWM3002" s="449"/>
      <c r="WWN3002" s="462"/>
      <c r="WWO3002" s="299"/>
      <c r="WWP3002" s="81"/>
      <c r="WWQ3002" s="160"/>
      <c r="WWR3002" s="574"/>
      <c r="WWS3002" s="125"/>
      <c r="WWT3002" s="470"/>
      <c r="WWU3002" s="449"/>
      <c r="WWV3002" s="462"/>
      <c r="WWW3002" s="299"/>
      <c r="WWX3002" s="81"/>
      <c r="WWY3002" s="160"/>
      <c r="WWZ3002" s="574"/>
      <c r="WXA3002" s="125"/>
      <c r="WXB3002" s="470"/>
      <c r="WXC3002" s="449"/>
      <c r="WXD3002" s="462"/>
      <c r="WXE3002" s="299"/>
      <c r="WXF3002" s="81"/>
      <c r="WXG3002" s="160"/>
      <c r="WXH3002" s="574"/>
      <c r="WXI3002" s="125"/>
      <c r="WXJ3002" s="470"/>
      <c r="WXK3002" s="449"/>
      <c r="WXL3002" s="462"/>
      <c r="WXM3002" s="299"/>
      <c r="WXN3002" s="81"/>
      <c r="WXO3002" s="160"/>
      <c r="WXP3002" s="574"/>
      <c r="WXQ3002" s="125"/>
      <c r="WXR3002" s="470"/>
      <c r="WXS3002" s="449"/>
      <c r="WXT3002" s="462"/>
      <c r="WXU3002" s="299"/>
      <c r="WXV3002" s="81"/>
      <c r="WXW3002" s="160"/>
      <c r="WXX3002" s="574"/>
      <c r="WXY3002" s="125"/>
      <c r="WXZ3002" s="470"/>
      <c r="WYA3002" s="449"/>
      <c r="WYB3002" s="462"/>
      <c r="WYC3002" s="299"/>
      <c r="WYD3002" s="81"/>
      <c r="WYE3002" s="160"/>
      <c r="WYF3002" s="574"/>
      <c r="WYG3002" s="125"/>
      <c r="WYH3002" s="470"/>
      <c r="WYI3002" s="449"/>
      <c r="WYJ3002" s="462"/>
      <c r="WYK3002" s="299"/>
      <c r="WYL3002" s="81"/>
      <c r="WYM3002" s="160"/>
      <c r="WYN3002" s="574"/>
      <c r="WYO3002" s="125"/>
      <c r="WYP3002" s="470"/>
      <c r="WYQ3002" s="449"/>
      <c r="WYR3002" s="462"/>
      <c r="WYS3002" s="299"/>
      <c r="WYT3002" s="81"/>
      <c r="WYU3002" s="160"/>
      <c r="WYV3002" s="574"/>
      <c r="WYW3002" s="125"/>
      <c r="WYX3002" s="470"/>
      <c r="WYY3002" s="449"/>
      <c r="WYZ3002" s="462"/>
      <c r="WZA3002" s="299"/>
      <c r="WZB3002" s="81"/>
      <c r="WZC3002" s="160"/>
      <c r="WZD3002" s="574"/>
      <c r="WZE3002" s="125"/>
      <c r="WZF3002" s="470"/>
      <c r="WZG3002" s="449"/>
      <c r="WZH3002" s="462"/>
      <c r="WZI3002" s="299"/>
      <c r="WZJ3002" s="81"/>
      <c r="WZK3002" s="160"/>
      <c r="WZL3002" s="574"/>
      <c r="WZM3002" s="125"/>
      <c r="WZN3002" s="470"/>
      <c r="WZO3002" s="449"/>
      <c r="WZP3002" s="462"/>
      <c r="WZQ3002" s="299"/>
      <c r="WZR3002" s="81"/>
      <c r="WZS3002" s="160"/>
      <c r="WZT3002" s="574"/>
      <c r="WZU3002" s="125"/>
      <c r="WZV3002" s="470"/>
      <c r="WZW3002" s="449"/>
      <c r="WZX3002" s="462"/>
      <c r="WZY3002" s="299"/>
      <c r="WZZ3002" s="81"/>
      <c r="XAA3002" s="160"/>
      <c r="XAB3002" s="574"/>
      <c r="XAC3002" s="125"/>
      <c r="XAD3002" s="470"/>
      <c r="XAE3002" s="449"/>
      <c r="XAF3002" s="462"/>
      <c r="XAG3002" s="299"/>
      <c r="XAH3002" s="81"/>
      <c r="XAI3002" s="160"/>
      <c r="XAJ3002" s="574"/>
      <c r="XAK3002" s="125"/>
      <c r="XAL3002" s="470"/>
      <c r="XAM3002" s="449"/>
      <c r="XAN3002" s="462"/>
      <c r="XAO3002" s="299"/>
      <c r="XAP3002" s="81"/>
      <c r="XAQ3002" s="160"/>
      <c r="XAR3002" s="574"/>
      <c r="XAS3002" s="125"/>
      <c r="XAT3002" s="470"/>
      <c r="XAU3002" s="449"/>
      <c r="XAV3002" s="462"/>
      <c r="XAW3002" s="299"/>
      <c r="XAX3002" s="81"/>
      <c r="XAY3002" s="160"/>
      <c r="XAZ3002" s="574"/>
      <c r="XBA3002" s="125"/>
      <c r="XBB3002" s="470"/>
      <c r="XBC3002" s="449"/>
      <c r="XBD3002" s="462"/>
      <c r="XBE3002" s="299"/>
      <c r="XBF3002" s="81"/>
      <c r="XBG3002" s="160"/>
      <c r="XBH3002" s="574"/>
      <c r="XBI3002" s="125"/>
      <c r="XBJ3002" s="470"/>
      <c r="XBK3002" s="449"/>
      <c r="XBL3002" s="462"/>
      <c r="XBM3002" s="299"/>
      <c r="XBN3002" s="81"/>
      <c r="XBO3002" s="160"/>
      <c r="XBP3002" s="574"/>
      <c r="XBQ3002" s="125"/>
      <c r="XBR3002" s="470"/>
      <c r="XBS3002" s="449"/>
      <c r="XBT3002" s="462"/>
      <c r="XBU3002" s="299"/>
      <c r="XBV3002" s="81"/>
      <c r="XBW3002" s="160"/>
      <c r="XBX3002" s="574"/>
      <c r="XBY3002" s="125"/>
      <c r="XBZ3002" s="470"/>
      <c r="XCA3002" s="449"/>
      <c r="XCB3002" s="462"/>
      <c r="XCC3002" s="299"/>
      <c r="XCD3002" s="81"/>
      <c r="XCE3002" s="160"/>
      <c r="XCF3002" s="574"/>
      <c r="XCG3002" s="125"/>
      <c r="XCH3002" s="470"/>
      <c r="XCI3002" s="449"/>
      <c r="XCJ3002" s="462"/>
      <c r="XCK3002" s="299"/>
      <c r="XCL3002" s="81"/>
      <c r="XCM3002" s="160"/>
      <c r="XCN3002" s="574"/>
      <c r="XCO3002" s="125"/>
      <c r="XCP3002" s="470"/>
      <c r="XCQ3002" s="449"/>
      <c r="XCR3002" s="462"/>
      <c r="XCS3002" s="299"/>
      <c r="XCT3002" s="81"/>
      <c r="XCU3002" s="160"/>
      <c r="XCV3002" s="574"/>
      <c r="XCW3002" s="125"/>
      <c r="XCX3002" s="470"/>
      <c r="XCY3002" s="449"/>
      <c r="XCZ3002" s="462"/>
      <c r="XDA3002" s="299"/>
      <c r="XDB3002" s="81"/>
      <c r="XDC3002" s="160"/>
      <c r="XDD3002" s="574"/>
      <c r="XDE3002" s="125"/>
      <c r="XDF3002" s="470"/>
      <c r="XDG3002" s="449"/>
      <c r="XDH3002" s="462"/>
      <c r="XDI3002" s="299"/>
      <c r="XDJ3002" s="81"/>
      <c r="XDK3002" s="160"/>
      <c r="XDL3002" s="574"/>
      <c r="XDM3002" s="125"/>
      <c r="XDN3002" s="470"/>
      <c r="XDO3002" s="449"/>
      <c r="XDP3002" s="462"/>
      <c r="XDQ3002" s="299"/>
      <c r="XDR3002" s="81"/>
      <c r="XDS3002" s="160"/>
      <c r="XDT3002" s="574"/>
      <c r="XDU3002" s="125"/>
      <c r="XDV3002" s="470"/>
      <c r="XDW3002" s="449"/>
      <c r="XDX3002" s="462"/>
      <c r="XDY3002" s="299"/>
      <c r="XDZ3002" s="81"/>
      <c r="XEA3002" s="160"/>
      <c r="XEB3002" s="574"/>
      <c r="XEC3002" s="125"/>
      <c r="XED3002" s="470"/>
      <c r="XEE3002" s="449"/>
      <c r="XEF3002" s="462"/>
      <c r="XEG3002" s="299"/>
      <c r="XEH3002" s="81"/>
      <c r="XEI3002" s="160"/>
      <c r="XEJ3002" s="574"/>
      <c r="XEK3002" s="125"/>
      <c r="XEL3002" s="470"/>
      <c r="XEM3002" s="449"/>
      <c r="XEN3002" s="462"/>
      <c r="XEO3002" s="299"/>
      <c r="XEP3002" s="81"/>
      <c r="XEQ3002" s="160"/>
      <c r="XER3002" s="574"/>
      <c r="XES3002" s="125"/>
      <c r="XET3002" s="470"/>
      <c r="XEU3002" s="449"/>
      <c r="XEV3002" s="462"/>
      <c r="XEW3002" s="299"/>
      <c r="XEX3002" s="81"/>
      <c r="XEY3002" s="160"/>
      <c r="XEZ3002" s="574"/>
      <c r="XFA3002" s="125"/>
      <c r="XFB3002" s="470"/>
      <c r="XFC3002" s="449"/>
      <c r="XFD3002" s="462"/>
    </row>
    <row r="3003" spans="1:16384" ht="15" customHeight="1">
      <c r="A3003" s="1253">
        <v>45120</v>
      </c>
      <c r="B3003" s="1209">
        <v>4345</v>
      </c>
      <c r="C3003" s="1210">
        <v>29450</v>
      </c>
      <c r="D3003" s="1230">
        <v>29100</v>
      </c>
      <c r="E3003" s="1212">
        <f t="shared" ref="E3003:E3009" si="1147">D3003-C3003</f>
        <v>-350</v>
      </c>
      <c r="F3003" s="1211">
        <f t="shared" ref="F3003:F3009" si="1148">C3003-C3002</f>
        <v>950</v>
      </c>
      <c r="G3003" s="1215"/>
      <c r="H3003" s="1269"/>
      <c r="I3003" s="1291">
        <v>234000</v>
      </c>
      <c r="J3003" s="81"/>
      <c r="K3003" s="160"/>
      <c r="L3003" s="577"/>
      <c r="M3003" s="125"/>
      <c r="N3003" s="470"/>
      <c r="R3003" s="81"/>
      <c r="S3003" s="160"/>
      <c r="T3003" s="577"/>
      <c r="U3003" s="125"/>
      <c r="V3003" s="470"/>
      <c r="W3003" s="449"/>
      <c r="X3003" s="462"/>
      <c r="Y3003" s="299"/>
      <c r="Z3003" s="81"/>
      <c r="AA3003" s="160"/>
      <c r="AB3003" s="577"/>
      <c r="AC3003" s="125"/>
      <c r="AD3003" s="470"/>
      <c r="AE3003" s="449"/>
      <c r="AF3003" s="462"/>
      <c r="AG3003" s="299"/>
      <c r="AH3003" s="81"/>
      <c r="AI3003" s="160"/>
      <c r="AJ3003" s="577"/>
      <c r="AK3003" s="125"/>
      <c r="AL3003" s="470"/>
      <c r="AM3003" s="449"/>
      <c r="AN3003" s="462"/>
      <c r="AO3003" s="299"/>
      <c r="AP3003" s="81"/>
      <c r="AQ3003" s="160"/>
      <c r="AR3003" s="577"/>
      <c r="AS3003" s="125"/>
      <c r="AT3003" s="470"/>
      <c r="AU3003" s="449"/>
      <c r="AV3003" s="462"/>
      <c r="AW3003" s="299"/>
      <c r="AX3003" s="81"/>
      <c r="AY3003" s="160"/>
      <c r="AZ3003" s="577"/>
      <c r="BA3003" s="125"/>
      <c r="BB3003" s="470"/>
      <c r="BC3003" s="449"/>
      <c r="BD3003" s="462"/>
      <c r="BE3003" s="299"/>
      <c r="BF3003" s="81"/>
      <c r="BG3003" s="160"/>
      <c r="BH3003" s="577"/>
      <c r="BI3003" s="125"/>
      <c r="BJ3003" s="470"/>
      <c r="BK3003" s="449"/>
      <c r="BL3003" s="462"/>
      <c r="BM3003" s="299"/>
      <c r="BN3003" s="81"/>
      <c r="BO3003" s="160"/>
      <c r="BP3003" s="577"/>
      <c r="BQ3003" s="125"/>
      <c r="BR3003" s="470"/>
      <c r="BS3003" s="449"/>
      <c r="BT3003" s="462"/>
      <c r="BU3003" s="299"/>
      <c r="BV3003" s="81"/>
      <c r="BW3003" s="160"/>
      <c r="BX3003" s="577"/>
      <c r="BY3003" s="125"/>
      <c r="BZ3003" s="470"/>
      <c r="CA3003" s="449"/>
      <c r="CB3003" s="462"/>
      <c r="CC3003" s="299"/>
      <c r="CD3003" s="81"/>
      <c r="CE3003" s="160"/>
      <c r="CF3003" s="577"/>
      <c r="CG3003" s="125"/>
      <c r="CH3003" s="470"/>
      <c r="CI3003" s="449"/>
      <c r="CJ3003" s="462"/>
      <c r="CK3003" s="299"/>
      <c r="CL3003" s="81"/>
      <c r="CM3003" s="160"/>
      <c r="CN3003" s="577"/>
      <c r="CO3003" s="125"/>
      <c r="CP3003" s="470"/>
      <c r="CQ3003" s="449"/>
      <c r="CR3003" s="462"/>
      <c r="CS3003" s="299"/>
      <c r="CT3003" s="81"/>
      <c r="CU3003" s="160"/>
      <c r="CV3003" s="577"/>
      <c r="CW3003" s="125"/>
      <c r="CX3003" s="470"/>
      <c r="CY3003" s="449"/>
      <c r="CZ3003" s="462"/>
      <c r="DA3003" s="299"/>
      <c r="DB3003" s="81"/>
      <c r="DC3003" s="160"/>
      <c r="DD3003" s="577"/>
      <c r="DE3003" s="125"/>
      <c r="DF3003" s="470"/>
      <c r="DG3003" s="449"/>
      <c r="DH3003" s="462"/>
      <c r="DI3003" s="299"/>
      <c r="DJ3003" s="81"/>
      <c r="DK3003" s="160"/>
      <c r="DL3003" s="577"/>
      <c r="DM3003" s="125"/>
      <c r="DN3003" s="470"/>
      <c r="DO3003" s="449"/>
      <c r="DP3003" s="462"/>
      <c r="DQ3003" s="299"/>
      <c r="DR3003" s="81"/>
      <c r="DS3003" s="160"/>
      <c r="DT3003" s="577"/>
      <c r="DU3003" s="125"/>
      <c r="DV3003" s="470"/>
      <c r="DW3003" s="449"/>
      <c r="DX3003" s="462"/>
      <c r="DY3003" s="299"/>
      <c r="DZ3003" s="81"/>
      <c r="EA3003" s="160"/>
      <c r="EB3003" s="577"/>
      <c r="EC3003" s="125"/>
      <c r="ED3003" s="470"/>
      <c r="EE3003" s="449"/>
      <c r="EF3003" s="462"/>
      <c r="EG3003" s="299"/>
      <c r="EH3003" s="81"/>
      <c r="EI3003" s="160"/>
      <c r="EJ3003" s="577"/>
      <c r="EK3003" s="125"/>
      <c r="EL3003" s="470"/>
      <c r="EM3003" s="449"/>
      <c r="EN3003" s="462"/>
      <c r="EO3003" s="299"/>
      <c r="EP3003" s="81"/>
      <c r="EQ3003" s="160"/>
      <c r="ER3003" s="577"/>
      <c r="ES3003" s="125"/>
      <c r="ET3003" s="470"/>
      <c r="EU3003" s="449"/>
      <c r="EV3003" s="462"/>
      <c r="EW3003" s="299"/>
      <c r="EX3003" s="81"/>
      <c r="EY3003" s="160"/>
      <c r="EZ3003" s="577"/>
      <c r="FA3003" s="125"/>
      <c r="FB3003" s="470"/>
      <c r="FC3003" s="449"/>
      <c r="FD3003" s="462"/>
      <c r="FE3003" s="299"/>
      <c r="FF3003" s="81"/>
      <c r="FG3003" s="160"/>
      <c r="FH3003" s="577"/>
      <c r="FI3003" s="125"/>
      <c r="FJ3003" s="470"/>
      <c r="FK3003" s="449"/>
      <c r="FL3003" s="462"/>
      <c r="FM3003" s="299"/>
      <c r="FN3003" s="81"/>
      <c r="FO3003" s="160"/>
      <c r="FP3003" s="577"/>
      <c r="FQ3003" s="125"/>
      <c r="FR3003" s="470"/>
      <c r="FS3003" s="449"/>
      <c r="FT3003" s="462"/>
      <c r="FU3003" s="299"/>
      <c r="FV3003" s="81"/>
      <c r="FW3003" s="160"/>
      <c r="FX3003" s="577"/>
      <c r="FY3003" s="125"/>
      <c r="FZ3003" s="470"/>
      <c r="GA3003" s="449"/>
      <c r="GB3003" s="462"/>
      <c r="GC3003" s="299"/>
      <c r="GD3003" s="81"/>
      <c r="GE3003" s="160"/>
      <c r="GF3003" s="577"/>
      <c r="GG3003" s="125"/>
      <c r="GH3003" s="470"/>
      <c r="GI3003" s="449"/>
      <c r="GJ3003" s="462"/>
      <c r="GK3003" s="299"/>
      <c r="GL3003" s="81"/>
      <c r="GM3003" s="160"/>
      <c r="GN3003" s="577"/>
      <c r="GO3003" s="125"/>
      <c r="GP3003" s="470"/>
      <c r="GQ3003" s="449"/>
      <c r="GR3003" s="462"/>
      <c r="GS3003" s="299"/>
      <c r="GT3003" s="81"/>
      <c r="GU3003" s="160"/>
      <c r="GV3003" s="577"/>
      <c r="GW3003" s="125"/>
      <c r="GX3003" s="470"/>
      <c r="GY3003" s="449"/>
      <c r="GZ3003" s="462"/>
      <c r="HA3003" s="299"/>
      <c r="HB3003" s="81"/>
      <c r="HC3003" s="160"/>
      <c r="HD3003" s="577"/>
      <c r="HE3003" s="125"/>
      <c r="HF3003" s="470"/>
      <c r="HG3003" s="449"/>
      <c r="HH3003" s="462"/>
      <c r="HI3003" s="299"/>
      <c r="HJ3003" s="81"/>
      <c r="HK3003" s="160"/>
      <c r="HL3003" s="577"/>
      <c r="HM3003" s="125"/>
      <c r="HN3003" s="470"/>
      <c r="HO3003" s="449"/>
      <c r="HP3003" s="462"/>
      <c r="HQ3003" s="299"/>
      <c r="HR3003" s="81"/>
      <c r="HS3003" s="160"/>
      <c r="HT3003" s="577"/>
      <c r="HU3003" s="125"/>
      <c r="HV3003" s="470"/>
      <c r="HW3003" s="449"/>
      <c r="HX3003" s="462"/>
      <c r="HY3003" s="299"/>
      <c r="HZ3003" s="81"/>
      <c r="IA3003" s="160"/>
      <c r="IB3003" s="577"/>
      <c r="IC3003" s="125"/>
      <c r="ID3003" s="470"/>
      <c r="IE3003" s="449"/>
      <c r="IF3003" s="462"/>
      <c r="IG3003" s="299"/>
      <c r="IH3003" s="81"/>
      <c r="II3003" s="160"/>
      <c r="IJ3003" s="577"/>
      <c r="IK3003" s="125"/>
      <c r="IL3003" s="470"/>
      <c r="IM3003" s="449"/>
      <c r="IN3003" s="462"/>
      <c r="IO3003" s="299"/>
      <c r="IP3003" s="81"/>
      <c r="IQ3003" s="160"/>
      <c r="IR3003" s="577"/>
      <c r="IS3003" s="125"/>
      <c r="IT3003" s="470"/>
      <c r="IU3003" s="449"/>
      <c r="IV3003" s="462"/>
      <c r="IW3003" s="299"/>
      <c r="IX3003" s="81"/>
      <c r="IY3003" s="160"/>
      <c r="IZ3003" s="577"/>
      <c r="JA3003" s="125"/>
      <c r="JB3003" s="470"/>
      <c r="JC3003" s="449"/>
      <c r="JD3003" s="462"/>
      <c r="JE3003" s="299"/>
      <c r="JF3003" s="81"/>
      <c r="JG3003" s="160"/>
      <c r="JH3003" s="577"/>
      <c r="JI3003" s="125"/>
      <c r="JJ3003" s="470"/>
      <c r="JK3003" s="449"/>
      <c r="JL3003" s="462"/>
      <c r="JM3003" s="299"/>
      <c r="JN3003" s="81"/>
      <c r="JO3003" s="160"/>
      <c r="JP3003" s="577"/>
      <c r="JQ3003" s="125"/>
      <c r="JR3003" s="470"/>
      <c r="JS3003" s="449"/>
      <c r="JT3003" s="462"/>
      <c r="JU3003" s="299"/>
      <c r="JV3003" s="81"/>
      <c r="JW3003" s="160"/>
      <c r="JX3003" s="577"/>
      <c r="JY3003" s="125"/>
      <c r="JZ3003" s="470"/>
      <c r="KA3003" s="449"/>
      <c r="KB3003" s="462"/>
      <c r="KC3003" s="299"/>
      <c r="KD3003" s="81"/>
      <c r="KE3003" s="160"/>
      <c r="KF3003" s="577"/>
      <c r="KG3003" s="125"/>
      <c r="KH3003" s="470"/>
      <c r="KI3003" s="449"/>
      <c r="KJ3003" s="462"/>
      <c r="KK3003" s="299"/>
      <c r="KL3003" s="81"/>
      <c r="KM3003" s="160"/>
      <c r="KN3003" s="577"/>
      <c r="KO3003" s="125"/>
      <c r="KP3003" s="470"/>
      <c r="KQ3003" s="449"/>
      <c r="KR3003" s="462"/>
      <c r="KS3003" s="299"/>
      <c r="KT3003" s="81"/>
      <c r="KU3003" s="160"/>
      <c r="KV3003" s="577"/>
      <c r="KW3003" s="125"/>
      <c r="KX3003" s="470"/>
      <c r="KY3003" s="449"/>
      <c r="KZ3003" s="462"/>
      <c r="LA3003" s="299"/>
      <c r="LB3003" s="81"/>
      <c r="LC3003" s="160"/>
      <c r="LD3003" s="577"/>
      <c r="LE3003" s="125"/>
      <c r="LF3003" s="470"/>
      <c r="LG3003" s="449"/>
      <c r="LH3003" s="462"/>
      <c r="LI3003" s="299"/>
      <c r="LJ3003" s="81"/>
      <c r="LK3003" s="160"/>
      <c r="LL3003" s="577"/>
      <c r="LM3003" s="125"/>
      <c r="LN3003" s="470"/>
      <c r="LO3003" s="449"/>
      <c r="LP3003" s="462"/>
      <c r="LQ3003" s="299"/>
      <c r="LR3003" s="81"/>
      <c r="LS3003" s="160"/>
      <c r="LT3003" s="577"/>
      <c r="LU3003" s="125"/>
      <c r="LV3003" s="470"/>
      <c r="LW3003" s="449"/>
      <c r="LX3003" s="462"/>
      <c r="LY3003" s="299"/>
      <c r="LZ3003" s="81"/>
      <c r="MA3003" s="160"/>
      <c r="MB3003" s="577"/>
      <c r="MC3003" s="125"/>
      <c r="MD3003" s="470"/>
      <c r="ME3003" s="449"/>
      <c r="MF3003" s="462"/>
      <c r="MG3003" s="299"/>
      <c r="MH3003" s="81"/>
      <c r="MI3003" s="160"/>
      <c r="MJ3003" s="577"/>
      <c r="MK3003" s="125"/>
      <c r="ML3003" s="470"/>
      <c r="MM3003" s="449"/>
      <c r="MN3003" s="462"/>
      <c r="MO3003" s="299"/>
      <c r="MP3003" s="81"/>
      <c r="MQ3003" s="160"/>
      <c r="MR3003" s="577"/>
      <c r="MS3003" s="125"/>
      <c r="MT3003" s="470"/>
      <c r="MU3003" s="449"/>
      <c r="MV3003" s="462"/>
      <c r="MW3003" s="299"/>
      <c r="MX3003" s="81"/>
      <c r="MY3003" s="160"/>
      <c r="MZ3003" s="577"/>
      <c r="NA3003" s="125"/>
      <c r="NB3003" s="470"/>
      <c r="NC3003" s="449"/>
      <c r="ND3003" s="462"/>
      <c r="NE3003" s="299"/>
      <c r="NF3003" s="81"/>
      <c r="NG3003" s="160"/>
      <c r="NH3003" s="577"/>
      <c r="NI3003" s="125"/>
      <c r="NJ3003" s="470"/>
      <c r="NK3003" s="449"/>
      <c r="NL3003" s="462"/>
      <c r="NM3003" s="299"/>
      <c r="NN3003" s="81"/>
      <c r="NO3003" s="160"/>
      <c r="NP3003" s="577"/>
      <c r="NQ3003" s="125"/>
      <c r="NR3003" s="470"/>
      <c r="NS3003" s="449"/>
      <c r="NT3003" s="462"/>
      <c r="NU3003" s="299"/>
      <c r="NV3003" s="81"/>
      <c r="NW3003" s="160"/>
      <c r="NX3003" s="577"/>
      <c r="NY3003" s="125"/>
      <c r="NZ3003" s="470"/>
      <c r="OA3003" s="449"/>
      <c r="OB3003" s="462"/>
      <c r="OC3003" s="299"/>
      <c r="OD3003" s="81"/>
      <c r="OE3003" s="160"/>
      <c r="OF3003" s="577"/>
      <c r="OG3003" s="125"/>
      <c r="OH3003" s="470"/>
      <c r="OI3003" s="449"/>
      <c r="OJ3003" s="462"/>
      <c r="OK3003" s="299"/>
      <c r="OL3003" s="81"/>
      <c r="OM3003" s="160"/>
      <c r="ON3003" s="577"/>
      <c r="OO3003" s="125"/>
      <c r="OP3003" s="470"/>
      <c r="OQ3003" s="449"/>
      <c r="OR3003" s="462"/>
      <c r="OS3003" s="299"/>
      <c r="OT3003" s="81"/>
      <c r="OU3003" s="160"/>
      <c r="OV3003" s="577"/>
      <c r="OW3003" s="125"/>
      <c r="OX3003" s="470"/>
      <c r="OY3003" s="449"/>
      <c r="OZ3003" s="462"/>
      <c r="PA3003" s="299"/>
      <c r="PB3003" s="81"/>
      <c r="PC3003" s="160"/>
      <c r="PD3003" s="577"/>
      <c r="PE3003" s="125"/>
      <c r="PF3003" s="470"/>
      <c r="PG3003" s="449"/>
      <c r="PH3003" s="462"/>
      <c r="PI3003" s="299"/>
      <c r="PJ3003" s="81"/>
      <c r="PK3003" s="160"/>
      <c r="PL3003" s="577"/>
      <c r="PM3003" s="125"/>
      <c r="PN3003" s="470"/>
      <c r="PO3003" s="449"/>
      <c r="PP3003" s="462"/>
      <c r="PQ3003" s="299"/>
      <c r="PR3003" s="81"/>
      <c r="PS3003" s="160"/>
      <c r="PT3003" s="577"/>
      <c r="PU3003" s="125"/>
      <c r="PV3003" s="470"/>
      <c r="PW3003" s="449"/>
      <c r="PX3003" s="462"/>
      <c r="PY3003" s="299"/>
      <c r="PZ3003" s="81"/>
      <c r="QA3003" s="160"/>
      <c r="QB3003" s="577"/>
      <c r="QC3003" s="125"/>
      <c r="QD3003" s="470"/>
      <c r="QE3003" s="449"/>
      <c r="QF3003" s="462"/>
      <c r="QG3003" s="299"/>
      <c r="QH3003" s="81"/>
      <c r="QI3003" s="160"/>
      <c r="QJ3003" s="577"/>
      <c r="QK3003" s="125"/>
      <c r="QL3003" s="470"/>
      <c r="QM3003" s="449"/>
      <c r="QN3003" s="462"/>
      <c r="QO3003" s="299"/>
      <c r="QP3003" s="81"/>
      <c r="QQ3003" s="160"/>
      <c r="QR3003" s="577"/>
      <c r="QS3003" s="125"/>
      <c r="QT3003" s="470"/>
      <c r="QU3003" s="449"/>
      <c r="QV3003" s="462"/>
      <c r="QW3003" s="299"/>
      <c r="QX3003" s="81"/>
      <c r="QY3003" s="160"/>
      <c r="QZ3003" s="577"/>
      <c r="RA3003" s="125"/>
      <c r="RB3003" s="470"/>
      <c r="RC3003" s="449"/>
      <c r="RD3003" s="462"/>
      <c r="RE3003" s="299"/>
      <c r="RF3003" s="81"/>
      <c r="RG3003" s="160"/>
      <c r="RH3003" s="577"/>
      <c r="RI3003" s="125"/>
      <c r="RJ3003" s="470"/>
      <c r="RK3003" s="449"/>
      <c r="RL3003" s="462"/>
      <c r="RM3003" s="299"/>
      <c r="RN3003" s="81"/>
      <c r="RO3003" s="160"/>
      <c r="RP3003" s="577"/>
      <c r="RQ3003" s="125"/>
      <c r="RR3003" s="470"/>
      <c r="RS3003" s="449"/>
      <c r="RT3003" s="462"/>
      <c r="RU3003" s="299"/>
      <c r="RV3003" s="81"/>
      <c r="RW3003" s="160"/>
      <c r="RX3003" s="577"/>
      <c r="RY3003" s="125"/>
      <c r="RZ3003" s="470"/>
      <c r="SA3003" s="449"/>
      <c r="SB3003" s="462"/>
      <c r="SC3003" s="299"/>
      <c r="SD3003" s="81"/>
      <c r="SE3003" s="160"/>
      <c r="SF3003" s="577"/>
      <c r="SG3003" s="125"/>
      <c r="SH3003" s="470"/>
      <c r="SI3003" s="449"/>
      <c r="SJ3003" s="462"/>
      <c r="SK3003" s="299"/>
      <c r="SL3003" s="81"/>
      <c r="SM3003" s="160"/>
      <c r="SN3003" s="577"/>
      <c r="SO3003" s="125"/>
      <c r="SP3003" s="470"/>
      <c r="SQ3003" s="449"/>
      <c r="SR3003" s="462"/>
      <c r="SS3003" s="299"/>
      <c r="ST3003" s="81"/>
      <c r="SU3003" s="160"/>
      <c r="SV3003" s="577"/>
      <c r="SW3003" s="125"/>
      <c r="SX3003" s="470"/>
      <c r="SY3003" s="449"/>
      <c r="SZ3003" s="462"/>
      <c r="TA3003" s="299"/>
      <c r="TB3003" s="81"/>
      <c r="TC3003" s="160"/>
      <c r="TD3003" s="577"/>
      <c r="TE3003" s="125"/>
      <c r="TF3003" s="470"/>
      <c r="TG3003" s="449"/>
      <c r="TH3003" s="462"/>
      <c r="TI3003" s="299"/>
      <c r="TJ3003" s="81"/>
      <c r="TK3003" s="160"/>
      <c r="TL3003" s="577"/>
      <c r="TM3003" s="125"/>
      <c r="TN3003" s="470"/>
      <c r="TO3003" s="449"/>
      <c r="TP3003" s="462"/>
      <c r="TQ3003" s="299"/>
      <c r="TR3003" s="81"/>
      <c r="TS3003" s="160"/>
      <c r="TT3003" s="577"/>
      <c r="TU3003" s="125"/>
      <c r="TV3003" s="470"/>
      <c r="TW3003" s="449"/>
      <c r="TX3003" s="462"/>
      <c r="TY3003" s="299"/>
      <c r="TZ3003" s="81"/>
      <c r="UA3003" s="160"/>
      <c r="UB3003" s="577"/>
      <c r="UC3003" s="125"/>
      <c r="UD3003" s="470"/>
      <c r="UE3003" s="449"/>
      <c r="UF3003" s="462"/>
      <c r="UG3003" s="299"/>
      <c r="UH3003" s="81"/>
      <c r="UI3003" s="160"/>
      <c r="UJ3003" s="577"/>
      <c r="UK3003" s="125"/>
      <c r="UL3003" s="470"/>
      <c r="UM3003" s="449"/>
      <c r="UN3003" s="462"/>
      <c r="UO3003" s="299"/>
      <c r="UP3003" s="81"/>
      <c r="UQ3003" s="160"/>
      <c r="UR3003" s="577"/>
      <c r="US3003" s="125"/>
      <c r="UT3003" s="470"/>
      <c r="UU3003" s="449"/>
      <c r="UV3003" s="462"/>
      <c r="UW3003" s="299"/>
      <c r="UX3003" s="81"/>
      <c r="UY3003" s="160"/>
      <c r="UZ3003" s="577"/>
      <c r="VA3003" s="125"/>
      <c r="VB3003" s="470"/>
      <c r="VC3003" s="449"/>
      <c r="VD3003" s="462"/>
      <c r="VE3003" s="299"/>
      <c r="VF3003" s="81"/>
      <c r="VG3003" s="160"/>
      <c r="VH3003" s="577"/>
      <c r="VI3003" s="125"/>
      <c r="VJ3003" s="470"/>
      <c r="VK3003" s="449"/>
      <c r="VL3003" s="462"/>
      <c r="VM3003" s="299"/>
      <c r="VN3003" s="81"/>
      <c r="VO3003" s="160"/>
      <c r="VP3003" s="577"/>
      <c r="VQ3003" s="125"/>
      <c r="VR3003" s="470"/>
      <c r="VS3003" s="449"/>
      <c r="VT3003" s="462"/>
      <c r="VU3003" s="299"/>
      <c r="VV3003" s="81"/>
      <c r="VW3003" s="160"/>
      <c r="VX3003" s="577"/>
      <c r="VY3003" s="125"/>
      <c r="VZ3003" s="470"/>
      <c r="WA3003" s="449"/>
      <c r="WB3003" s="462"/>
      <c r="WC3003" s="299"/>
      <c r="WD3003" s="81"/>
      <c r="WE3003" s="160"/>
      <c r="WF3003" s="577"/>
      <c r="WG3003" s="125"/>
      <c r="WH3003" s="470"/>
      <c r="WI3003" s="449"/>
      <c r="WJ3003" s="462"/>
      <c r="WK3003" s="299"/>
      <c r="WL3003" s="81"/>
      <c r="WM3003" s="160"/>
      <c r="WN3003" s="577"/>
      <c r="WO3003" s="125"/>
      <c r="WP3003" s="470"/>
      <c r="WQ3003" s="449"/>
      <c r="WR3003" s="462"/>
      <c r="WS3003" s="299"/>
      <c r="WT3003" s="81"/>
      <c r="WU3003" s="160"/>
      <c r="WV3003" s="577"/>
      <c r="WW3003" s="125"/>
      <c r="WX3003" s="470"/>
      <c r="WY3003" s="449"/>
      <c r="WZ3003" s="462"/>
      <c r="XA3003" s="299"/>
      <c r="XB3003" s="81"/>
      <c r="XC3003" s="160"/>
      <c r="XD3003" s="577"/>
      <c r="XE3003" s="125"/>
      <c r="XF3003" s="470"/>
      <c r="XG3003" s="449"/>
      <c r="XH3003" s="462"/>
      <c r="XI3003" s="299"/>
      <c r="XJ3003" s="81"/>
      <c r="XK3003" s="160"/>
      <c r="XL3003" s="577"/>
      <c r="XM3003" s="125"/>
      <c r="XN3003" s="470"/>
      <c r="XO3003" s="449"/>
      <c r="XP3003" s="462"/>
      <c r="XQ3003" s="299"/>
      <c r="XR3003" s="81"/>
      <c r="XS3003" s="160"/>
      <c r="XT3003" s="577"/>
      <c r="XU3003" s="125"/>
      <c r="XV3003" s="470"/>
      <c r="XW3003" s="449"/>
      <c r="XX3003" s="462"/>
      <c r="XY3003" s="299"/>
      <c r="XZ3003" s="81"/>
      <c r="YA3003" s="160"/>
      <c r="YB3003" s="577"/>
      <c r="YC3003" s="125"/>
      <c r="YD3003" s="470"/>
      <c r="YE3003" s="449"/>
      <c r="YF3003" s="462"/>
      <c r="YG3003" s="299"/>
      <c r="YH3003" s="81"/>
      <c r="YI3003" s="160"/>
      <c r="YJ3003" s="577"/>
      <c r="YK3003" s="125"/>
      <c r="YL3003" s="470"/>
      <c r="YM3003" s="449"/>
      <c r="YN3003" s="462"/>
      <c r="YO3003" s="299"/>
      <c r="YP3003" s="81"/>
      <c r="YQ3003" s="160"/>
      <c r="YR3003" s="577"/>
      <c r="YS3003" s="125"/>
      <c r="YT3003" s="470"/>
      <c r="YU3003" s="449"/>
      <c r="YV3003" s="462"/>
      <c r="YW3003" s="299"/>
      <c r="YX3003" s="81"/>
      <c r="YY3003" s="160"/>
      <c r="YZ3003" s="577"/>
      <c r="ZA3003" s="125"/>
      <c r="ZB3003" s="470"/>
      <c r="ZC3003" s="449"/>
      <c r="ZD3003" s="462"/>
      <c r="ZE3003" s="299"/>
      <c r="ZF3003" s="81"/>
      <c r="ZG3003" s="160"/>
      <c r="ZH3003" s="577"/>
      <c r="ZI3003" s="125"/>
      <c r="ZJ3003" s="470"/>
      <c r="ZK3003" s="449"/>
      <c r="ZL3003" s="462"/>
      <c r="ZM3003" s="299"/>
      <c r="ZN3003" s="81"/>
      <c r="ZO3003" s="160"/>
      <c r="ZP3003" s="577"/>
      <c r="ZQ3003" s="125"/>
      <c r="ZR3003" s="470"/>
      <c r="ZS3003" s="449"/>
      <c r="ZT3003" s="462"/>
      <c r="ZU3003" s="299"/>
      <c r="ZV3003" s="81"/>
      <c r="ZW3003" s="160"/>
      <c r="ZX3003" s="577"/>
      <c r="ZY3003" s="125"/>
      <c r="ZZ3003" s="470"/>
      <c r="AAA3003" s="449"/>
      <c r="AAB3003" s="462"/>
      <c r="AAC3003" s="299"/>
      <c r="AAD3003" s="81"/>
      <c r="AAE3003" s="160"/>
      <c r="AAF3003" s="577"/>
      <c r="AAG3003" s="125"/>
      <c r="AAH3003" s="470"/>
      <c r="AAI3003" s="449"/>
      <c r="AAJ3003" s="462"/>
      <c r="AAK3003" s="299"/>
      <c r="AAL3003" s="81"/>
      <c r="AAM3003" s="160"/>
      <c r="AAN3003" s="577"/>
      <c r="AAO3003" s="125"/>
      <c r="AAP3003" s="470"/>
      <c r="AAQ3003" s="449"/>
      <c r="AAR3003" s="462"/>
      <c r="AAS3003" s="299"/>
      <c r="AAT3003" s="81"/>
      <c r="AAU3003" s="160"/>
      <c r="AAV3003" s="577"/>
      <c r="AAW3003" s="125"/>
      <c r="AAX3003" s="470"/>
      <c r="AAY3003" s="449"/>
      <c r="AAZ3003" s="462"/>
      <c r="ABA3003" s="299"/>
      <c r="ABB3003" s="81"/>
      <c r="ABC3003" s="160"/>
      <c r="ABD3003" s="577"/>
      <c r="ABE3003" s="125"/>
      <c r="ABF3003" s="470"/>
      <c r="ABG3003" s="449"/>
      <c r="ABH3003" s="462"/>
      <c r="ABI3003" s="299"/>
      <c r="ABJ3003" s="81"/>
      <c r="ABK3003" s="160"/>
      <c r="ABL3003" s="577"/>
      <c r="ABM3003" s="125"/>
      <c r="ABN3003" s="470"/>
      <c r="ABO3003" s="449"/>
      <c r="ABP3003" s="462"/>
      <c r="ABQ3003" s="299"/>
      <c r="ABR3003" s="81"/>
      <c r="ABS3003" s="160"/>
      <c r="ABT3003" s="577"/>
      <c r="ABU3003" s="125"/>
      <c r="ABV3003" s="470"/>
      <c r="ABW3003" s="449"/>
      <c r="ABX3003" s="462"/>
      <c r="ABY3003" s="299"/>
      <c r="ABZ3003" s="81"/>
      <c r="ACA3003" s="160"/>
      <c r="ACB3003" s="577"/>
      <c r="ACC3003" s="125"/>
      <c r="ACD3003" s="470"/>
      <c r="ACE3003" s="449"/>
      <c r="ACF3003" s="462"/>
      <c r="ACG3003" s="299"/>
      <c r="ACH3003" s="81"/>
      <c r="ACI3003" s="160"/>
      <c r="ACJ3003" s="577"/>
      <c r="ACK3003" s="125"/>
      <c r="ACL3003" s="470"/>
      <c r="ACM3003" s="449"/>
      <c r="ACN3003" s="462"/>
      <c r="ACO3003" s="299"/>
      <c r="ACP3003" s="81"/>
      <c r="ACQ3003" s="160"/>
      <c r="ACR3003" s="577"/>
      <c r="ACS3003" s="125"/>
      <c r="ACT3003" s="470"/>
      <c r="ACU3003" s="449"/>
      <c r="ACV3003" s="462"/>
      <c r="ACW3003" s="299"/>
      <c r="ACX3003" s="81"/>
      <c r="ACY3003" s="160"/>
      <c r="ACZ3003" s="577"/>
      <c r="ADA3003" s="125"/>
      <c r="ADB3003" s="470"/>
      <c r="ADC3003" s="449"/>
      <c r="ADD3003" s="462"/>
      <c r="ADE3003" s="299"/>
      <c r="ADF3003" s="81"/>
      <c r="ADG3003" s="160"/>
      <c r="ADH3003" s="577"/>
      <c r="ADI3003" s="125"/>
      <c r="ADJ3003" s="470"/>
      <c r="ADK3003" s="449"/>
      <c r="ADL3003" s="462"/>
      <c r="ADM3003" s="299"/>
      <c r="ADN3003" s="81"/>
      <c r="ADO3003" s="160"/>
      <c r="ADP3003" s="577"/>
      <c r="ADQ3003" s="125"/>
      <c r="ADR3003" s="470"/>
      <c r="ADS3003" s="449"/>
      <c r="ADT3003" s="462"/>
      <c r="ADU3003" s="299"/>
      <c r="ADV3003" s="81"/>
      <c r="ADW3003" s="160"/>
      <c r="ADX3003" s="577"/>
      <c r="ADY3003" s="125"/>
      <c r="ADZ3003" s="470"/>
      <c r="AEA3003" s="449"/>
      <c r="AEB3003" s="462"/>
      <c r="AEC3003" s="299"/>
      <c r="AED3003" s="81"/>
      <c r="AEE3003" s="160"/>
      <c r="AEF3003" s="577"/>
      <c r="AEG3003" s="125"/>
      <c r="AEH3003" s="470"/>
      <c r="AEI3003" s="449"/>
      <c r="AEJ3003" s="462"/>
      <c r="AEK3003" s="299"/>
      <c r="AEL3003" s="81"/>
      <c r="AEM3003" s="160"/>
      <c r="AEN3003" s="577"/>
      <c r="AEO3003" s="125"/>
      <c r="AEP3003" s="470"/>
      <c r="AEQ3003" s="449"/>
      <c r="AER3003" s="462"/>
      <c r="AES3003" s="299"/>
      <c r="AET3003" s="81"/>
      <c r="AEU3003" s="160"/>
      <c r="AEV3003" s="577"/>
      <c r="AEW3003" s="125"/>
      <c r="AEX3003" s="470"/>
      <c r="AEY3003" s="449"/>
      <c r="AEZ3003" s="462"/>
      <c r="AFA3003" s="299"/>
      <c r="AFB3003" s="81"/>
      <c r="AFC3003" s="160"/>
      <c r="AFD3003" s="577"/>
      <c r="AFE3003" s="125"/>
      <c r="AFF3003" s="470"/>
      <c r="AFG3003" s="449"/>
      <c r="AFH3003" s="462"/>
      <c r="AFI3003" s="299"/>
      <c r="AFJ3003" s="81"/>
      <c r="AFK3003" s="160"/>
      <c r="AFL3003" s="577"/>
      <c r="AFM3003" s="125"/>
      <c r="AFN3003" s="470"/>
      <c r="AFO3003" s="449"/>
      <c r="AFP3003" s="462"/>
      <c r="AFQ3003" s="299"/>
      <c r="AFR3003" s="81"/>
      <c r="AFS3003" s="160"/>
      <c r="AFT3003" s="577"/>
      <c r="AFU3003" s="125"/>
      <c r="AFV3003" s="470"/>
      <c r="AFW3003" s="449"/>
      <c r="AFX3003" s="462"/>
      <c r="AFY3003" s="299"/>
      <c r="AFZ3003" s="81"/>
      <c r="AGA3003" s="160"/>
      <c r="AGB3003" s="577"/>
      <c r="AGC3003" s="125"/>
      <c r="AGD3003" s="470"/>
      <c r="AGE3003" s="449"/>
      <c r="AGF3003" s="462"/>
      <c r="AGG3003" s="299"/>
      <c r="AGH3003" s="81"/>
      <c r="AGI3003" s="160"/>
      <c r="AGJ3003" s="577"/>
      <c r="AGK3003" s="125"/>
      <c r="AGL3003" s="470"/>
      <c r="AGM3003" s="449"/>
      <c r="AGN3003" s="462"/>
      <c r="AGO3003" s="299"/>
      <c r="AGP3003" s="81"/>
      <c r="AGQ3003" s="160"/>
      <c r="AGR3003" s="577"/>
      <c r="AGS3003" s="125"/>
      <c r="AGT3003" s="470"/>
      <c r="AGU3003" s="449"/>
      <c r="AGV3003" s="462"/>
      <c r="AGW3003" s="299"/>
      <c r="AGX3003" s="81"/>
      <c r="AGY3003" s="160"/>
      <c r="AGZ3003" s="577"/>
      <c r="AHA3003" s="125"/>
      <c r="AHB3003" s="470"/>
      <c r="AHC3003" s="449"/>
      <c r="AHD3003" s="462"/>
      <c r="AHE3003" s="299"/>
      <c r="AHF3003" s="81"/>
      <c r="AHG3003" s="160"/>
      <c r="AHH3003" s="577"/>
      <c r="AHI3003" s="125"/>
      <c r="AHJ3003" s="470"/>
      <c r="AHK3003" s="449"/>
      <c r="AHL3003" s="462"/>
      <c r="AHM3003" s="299"/>
      <c r="AHN3003" s="81"/>
      <c r="AHO3003" s="160"/>
      <c r="AHP3003" s="577"/>
      <c r="AHQ3003" s="125"/>
      <c r="AHR3003" s="470"/>
      <c r="AHS3003" s="449"/>
      <c r="AHT3003" s="462"/>
      <c r="AHU3003" s="299"/>
      <c r="AHV3003" s="81"/>
      <c r="AHW3003" s="160"/>
      <c r="AHX3003" s="577"/>
      <c r="AHY3003" s="125"/>
      <c r="AHZ3003" s="470"/>
      <c r="AIA3003" s="449"/>
      <c r="AIB3003" s="462"/>
      <c r="AIC3003" s="299"/>
      <c r="AID3003" s="81"/>
      <c r="AIE3003" s="160"/>
      <c r="AIF3003" s="577"/>
      <c r="AIG3003" s="125"/>
      <c r="AIH3003" s="470"/>
      <c r="AII3003" s="449"/>
      <c r="AIJ3003" s="462"/>
      <c r="AIK3003" s="299"/>
      <c r="AIL3003" s="81"/>
      <c r="AIM3003" s="160"/>
      <c r="AIN3003" s="577"/>
      <c r="AIO3003" s="125"/>
      <c r="AIP3003" s="470"/>
      <c r="AIQ3003" s="449"/>
      <c r="AIR3003" s="462"/>
      <c r="AIS3003" s="299"/>
      <c r="AIT3003" s="81"/>
      <c r="AIU3003" s="160"/>
      <c r="AIV3003" s="577"/>
      <c r="AIW3003" s="125"/>
      <c r="AIX3003" s="470"/>
      <c r="AIY3003" s="449"/>
      <c r="AIZ3003" s="462"/>
      <c r="AJA3003" s="299"/>
      <c r="AJB3003" s="81"/>
      <c r="AJC3003" s="160"/>
      <c r="AJD3003" s="577"/>
      <c r="AJE3003" s="125"/>
      <c r="AJF3003" s="470"/>
      <c r="AJG3003" s="449"/>
      <c r="AJH3003" s="462"/>
      <c r="AJI3003" s="299"/>
      <c r="AJJ3003" s="81"/>
      <c r="AJK3003" s="160"/>
      <c r="AJL3003" s="577"/>
      <c r="AJM3003" s="125"/>
      <c r="AJN3003" s="470"/>
      <c r="AJO3003" s="449"/>
      <c r="AJP3003" s="462"/>
      <c r="AJQ3003" s="299"/>
      <c r="AJR3003" s="81"/>
      <c r="AJS3003" s="160"/>
      <c r="AJT3003" s="577"/>
      <c r="AJU3003" s="125"/>
      <c r="AJV3003" s="470"/>
      <c r="AJW3003" s="449"/>
      <c r="AJX3003" s="462"/>
      <c r="AJY3003" s="299"/>
      <c r="AJZ3003" s="81"/>
      <c r="AKA3003" s="160"/>
      <c r="AKB3003" s="577"/>
      <c r="AKC3003" s="125"/>
      <c r="AKD3003" s="470"/>
      <c r="AKE3003" s="449"/>
      <c r="AKF3003" s="462"/>
      <c r="AKG3003" s="299"/>
      <c r="AKH3003" s="81"/>
      <c r="AKI3003" s="160"/>
      <c r="AKJ3003" s="577"/>
      <c r="AKK3003" s="125"/>
      <c r="AKL3003" s="470"/>
      <c r="AKM3003" s="449"/>
      <c r="AKN3003" s="462"/>
      <c r="AKO3003" s="299"/>
      <c r="AKP3003" s="81"/>
      <c r="AKQ3003" s="160"/>
      <c r="AKR3003" s="577"/>
      <c r="AKS3003" s="125"/>
      <c r="AKT3003" s="470"/>
      <c r="AKU3003" s="449"/>
      <c r="AKV3003" s="462"/>
      <c r="AKW3003" s="299"/>
      <c r="AKX3003" s="81"/>
      <c r="AKY3003" s="160"/>
      <c r="AKZ3003" s="577"/>
      <c r="ALA3003" s="125"/>
      <c r="ALB3003" s="470"/>
      <c r="ALC3003" s="449"/>
      <c r="ALD3003" s="462"/>
      <c r="ALE3003" s="299"/>
      <c r="ALF3003" s="81"/>
      <c r="ALG3003" s="160"/>
      <c r="ALH3003" s="577"/>
      <c r="ALI3003" s="125"/>
      <c r="ALJ3003" s="470"/>
      <c r="ALK3003" s="449"/>
      <c r="ALL3003" s="462"/>
      <c r="ALM3003" s="299"/>
      <c r="ALN3003" s="81"/>
      <c r="ALO3003" s="160"/>
      <c r="ALP3003" s="577"/>
      <c r="ALQ3003" s="125"/>
      <c r="ALR3003" s="470"/>
      <c r="ALS3003" s="449"/>
      <c r="ALT3003" s="462"/>
      <c r="ALU3003" s="299"/>
      <c r="ALV3003" s="81"/>
      <c r="ALW3003" s="160"/>
      <c r="ALX3003" s="577"/>
      <c r="ALY3003" s="125"/>
      <c r="ALZ3003" s="470"/>
      <c r="AMA3003" s="449"/>
      <c r="AMB3003" s="462"/>
      <c r="AMC3003" s="299"/>
      <c r="AMD3003" s="81"/>
      <c r="AME3003" s="160"/>
      <c r="AMF3003" s="577"/>
      <c r="AMG3003" s="125"/>
      <c r="AMH3003" s="470"/>
      <c r="AMI3003" s="449"/>
      <c r="AMJ3003" s="462"/>
      <c r="AMK3003" s="299"/>
      <c r="AML3003" s="81"/>
      <c r="AMM3003" s="160"/>
      <c r="AMN3003" s="577"/>
      <c r="AMO3003" s="125"/>
      <c r="AMP3003" s="470"/>
      <c r="AMQ3003" s="449"/>
      <c r="AMR3003" s="462"/>
      <c r="AMS3003" s="299"/>
      <c r="AMT3003" s="81"/>
      <c r="AMU3003" s="160"/>
      <c r="AMV3003" s="577"/>
      <c r="AMW3003" s="125"/>
      <c r="AMX3003" s="470"/>
      <c r="AMY3003" s="449"/>
      <c r="AMZ3003" s="462"/>
      <c r="ANA3003" s="299"/>
      <c r="ANB3003" s="81"/>
      <c r="ANC3003" s="160"/>
      <c r="AND3003" s="577"/>
      <c r="ANE3003" s="125"/>
      <c r="ANF3003" s="470"/>
      <c r="ANG3003" s="449"/>
      <c r="ANH3003" s="462"/>
      <c r="ANI3003" s="299"/>
      <c r="ANJ3003" s="81"/>
      <c r="ANK3003" s="160"/>
      <c r="ANL3003" s="577"/>
      <c r="ANM3003" s="125"/>
      <c r="ANN3003" s="470"/>
      <c r="ANO3003" s="449"/>
      <c r="ANP3003" s="462"/>
      <c r="ANQ3003" s="299"/>
      <c r="ANR3003" s="81"/>
      <c r="ANS3003" s="160"/>
      <c r="ANT3003" s="577"/>
      <c r="ANU3003" s="125"/>
      <c r="ANV3003" s="470"/>
      <c r="ANW3003" s="449"/>
      <c r="ANX3003" s="462"/>
      <c r="ANY3003" s="299"/>
      <c r="ANZ3003" s="81"/>
      <c r="AOA3003" s="160"/>
      <c r="AOB3003" s="577"/>
      <c r="AOC3003" s="125"/>
      <c r="AOD3003" s="470"/>
      <c r="AOE3003" s="449"/>
      <c r="AOF3003" s="462"/>
      <c r="AOG3003" s="299"/>
      <c r="AOH3003" s="81"/>
      <c r="AOI3003" s="160"/>
      <c r="AOJ3003" s="577"/>
      <c r="AOK3003" s="125"/>
      <c r="AOL3003" s="470"/>
      <c r="AOM3003" s="449"/>
      <c r="AON3003" s="462"/>
      <c r="AOO3003" s="299"/>
      <c r="AOP3003" s="81"/>
      <c r="AOQ3003" s="160"/>
      <c r="AOR3003" s="577"/>
      <c r="AOS3003" s="125"/>
      <c r="AOT3003" s="470"/>
      <c r="AOU3003" s="449"/>
      <c r="AOV3003" s="462"/>
      <c r="AOW3003" s="299"/>
      <c r="AOX3003" s="81"/>
      <c r="AOY3003" s="160"/>
      <c r="AOZ3003" s="577"/>
      <c r="APA3003" s="125"/>
      <c r="APB3003" s="470"/>
      <c r="APC3003" s="449"/>
      <c r="APD3003" s="462"/>
      <c r="APE3003" s="299"/>
      <c r="APF3003" s="81"/>
      <c r="APG3003" s="160"/>
      <c r="APH3003" s="577"/>
      <c r="API3003" s="125"/>
      <c r="APJ3003" s="470"/>
      <c r="APK3003" s="449"/>
      <c r="APL3003" s="462"/>
      <c r="APM3003" s="299"/>
      <c r="APN3003" s="81"/>
      <c r="APO3003" s="160"/>
      <c r="APP3003" s="577"/>
      <c r="APQ3003" s="125"/>
      <c r="APR3003" s="470"/>
      <c r="APS3003" s="449"/>
      <c r="APT3003" s="462"/>
      <c r="APU3003" s="299"/>
      <c r="APV3003" s="81"/>
      <c r="APW3003" s="160"/>
      <c r="APX3003" s="577"/>
      <c r="APY3003" s="125"/>
      <c r="APZ3003" s="470"/>
      <c r="AQA3003" s="449"/>
      <c r="AQB3003" s="462"/>
      <c r="AQC3003" s="299"/>
      <c r="AQD3003" s="81"/>
      <c r="AQE3003" s="160"/>
      <c r="AQF3003" s="577"/>
      <c r="AQG3003" s="125"/>
      <c r="AQH3003" s="470"/>
      <c r="AQI3003" s="449"/>
      <c r="AQJ3003" s="462"/>
      <c r="AQK3003" s="299"/>
      <c r="AQL3003" s="81"/>
      <c r="AQM3003" s="160"/>
      <c r="AQN3003" s="577"/>
      <c r="AQO3003" s="125"/>
      <c r="AQP3003" s="470"/>
      <c r="AQQ3003" s="449"/>
      <c r="AQR3003" s="462"/>
      <c r="AQS3003" s="299"/>
      <c r="AQT3003" s="81"/>
      <c r="AQU3003" s="160"/>
      <c r="AQV3003" s="577"/>
      <c r="AQW3003" s="125"/>
      <c r="AQX3003" s="470"/>
      <c r="AQY3003" s="449"/>
      <c r="AQZ3003" s="462"/>
      <c r="ARA3003" s="299"/>
      <c r="ARB3003" s="81"/>
      <c r="ARC3003" s="160"/>
      <c r="ARD3003" s="577"/>
      <c r="ARE3003" s="125"/>
      <c r="ARF3003" s="470"/>
      <c r="ARG3003" s="449"/>
      <c r="ARH3003" s="462"/>
      <c r="ARI3003" s="299"/>
      <c r="ARJ3003" s="81"/>
      <c r="ARK3003" s="160"/>
      <c r="ARL3003" s="577"/>
      <c r="ARM3003" s="125"/>
      <c r="ARN3003" s="470"/>
      <c r="ARO3003" s="449"/>
      <c r="ARP3003" s="462"/>
      <c r="ARQ3003" s="299"/>
      <c r="ARR3003" s="81"/>
      <c r="ARS3003" s="160"/>
      <c r="ART3003" s="577"/>
      <c r="ARU3003" s="125"/>
      <c r="ARV3003" s="470"/>
      <c r="ARW3003" s="449"/>
      <c r="ARX3003" s="462"/>
      <c r="ARY3003" s="299"/>
      <c r="ARZ3003" s="81"/>
      <c r="ASA3003" s="160"/>
      <c r="ASB3003" s="577"/>
      <c r="ASC3003" s="125"/>
      <c r="ASD3003" s="470"/>
      <c r="ASE3003" s="449"/>
      <c r="ASF3003" s="462"/>
      <c r="ASG3003" s="299"/>
      <c r="ASH3003" s="81"/>
      <c r="ASI3003" s="160"/>
      <c r="ASJ3003" s="577"/>
      <c r="ASK3003" s="125"/>
      <c r="ASL3003" s="470"/>
      <c r="ASM3003" s="449"/>
      <c r="ASN3003" s="462"/>
      <c r="ASO3003" s="299"/>
      <c r="ASP3003" s="81"/>
      <c r="ASQ3003" s="160"/>
      <c r="ASR3003" s="577"/>
      <c r="ASS3003" s="125"/>
      <c r="AST3003" s="470"/>
      <c r="ASU3003" s="449"/>
      <c r="ASV3003" s="462"/>
      <c r="ASW3003" s="299"/>
      <c r="ASX3003" s="81"/>
      <c r="ASY3003" s="160"/>
      <c r="ASZ3003" s="577"/>
      <c r="ATA3003" s="125"/>
      <c r="ATB3003" s="470"/>
      <c r="ATC3003" s="449"/>
      <c r="ATD3003" s="462"/>
      <c r="ATE3003" s="299"/>
      <c r="ATF3003" s="81"/>
      <c r="ATG3003" s="160"/>
      <c r="ATH3003" s="577"/>
      <c r="ATI3003" s="125"/>
      <c r="ATJ3003" s="470"/>
      <c r="ATK3003" s="449"/>
      <c r="ATL3003" s="462"/>
      <c r="ATM3003" s="299"/>
      <c r="ATN3003" s="81"/>
      <c r="ATO3003" s="160"/>
      <c r="ATP3003" s="577"/>
      <c r="ATQ3003" s="125"/>
      <c r="ATR3003" s="470"/>
      <c r="ATS3003" s="449"/>
      <c r="ATT3003" s="462"/>
      <c r="ATU3003" s="299"/>
      <c r="ATV3003" s="81"/>
      <c r="ATW3003" s="160"/>
      <c r="ATX3003" s="577"/>
      <c r="ATY3003" s="125"/>
      <c r="ATZ3003" s="470"/>
      <c r="AUA3003" s="449"/>
      <c r="AUB3003" s="462"/>
      <c r="AUC3003" s="299"/>
      <c r="AUD3003" s="81"/>
      <c r="AUE3003" s="160"/>
      <c r="AUF3003" s="577"/>
      <c r="AUG3003" s="125"/>
      <c r="AUH3003" s="470"/>
      <c r="AUI3003" s="449"/>
      <c r="AUJ3003" s="462"/>
      <c r="AUK3003" s="299"/>
      <c r="AUL3003" s="81"/>
      <c r="AUM3003" s="160"/>
      <c r="AUN3003" s="577"/>
      <c r="AUO3003" s="125"/>
      <c r="AUP3003" s="470"/>
      <c r="AUQ3003" s="449"/>
      <c r="AUR3003" s="462"/>
      <c r="AUS3003" s="299"/>
      <c r="AUT3003" s="81"/>
      <c r="AUU3003" s="160"/>
      <c r="AUV3003" s="577"/>
      <c r="AUW3003" s="125"/>
      <c r="AUX3003" s="470"/>
      <c r="AUY3003" s="449"/>
      <c r="AUZ3003" s="462"/>
      <c r="AVA3003" s="299"/>
      <c r="AVB3003" s="81"/>
      <c r="AVC3003" s="160"/>
      <c r="AVD3003" s="577"/>
      <c r="AVE3003" s="125"/>
      <c r="AVF3003" s="470"/>
      <c r="AVG3003" s="449"/>
      <c r="AVH3003" s="462"/>
      <c r="AVI3003" s="299"/>
      <c r="AVJ3003" s="81"/>
      <c r="AVK3003" s="160"/>
      <c r="AVL3003" s="577"/>
      <c r="AVM3003" s="125"/>
      <c r="AVN3003" s="470"/>
      <c r="AVO3003" s="449"/>
      <c r="AVP3003" s="462"/>
      <c r="AVQ3003" s="299"/>
      <c r="AVR3003" s="81"/>
      <c r="AVS3003" s="160"/>
      <c r="AVT3003" s="577"/>
      <c r="AVU3003" s="125"/>
      <c r="AVV3003" s="470"/>
      <c r="AVW3003" s="449"/>
      <c r="AVX3003" s="462"/>
      <c r="AVY3003" s="299"/>
      <c r="AVZ3003" s="81"/>
      <c r="AWA3003" s="160"/>
      <c r="AWB3003" s="577"/>
      <c r="AWC3003" s="125"/>
      <c r="AWD3003" s="470"/>
      <c r="AWE3003" s="449"/>
      <c r="AWF3003" s="462"/>
      <c r="AWG3003" s="299"/>
      <c r="AWH3003" s="81"/>
      <c r="AWI3003" s="160"/>
      <c r="AWJ3003" s="577"/>
      <c r="AWK3003" s="125"/>
      <c r="AWL3003" s="470"/>
      <c r="AWM3003" s="449"/>
      <c r="AWN3003" s="462"/>
      <c r="AWO3003" s="299"/>
      <c r="AWP3003" s="81"/>
      <c r="AWQ3003" s="160"/>
      <c r="AWR3003" s="577"/>
      <c r="AWS3003" s="125"/>
      <c r="AWT3003" s="470"/>
      <c r="AWU3003" s="449"/>
      <c r="AWV3003" s="462"/>
      <c r="AWW3003" s="299"/>
      <c r="AWX3003" s="81"/>
      <c r="AWY3003" s="160"/>
      <c r="AWZ3003" s="577"/>
      <c r="AXA3003" s="125"/>
      <c r="AXB3003" s="470"/>
      <c r="AXC3003" s="449"/>
      <c r="AXD3003" s="462"/>
      <c r="AXE3003" s="299"/>
      <c r="AXF3003" s="81"/>
      <c r="AXG3003" s="160"/>
      <c r="AXH3003" s="577"/>
      <c r="AXI3003" s="125"/>
      <c r="AXJ3003" s="470"/>
      <c r="AXK3003" s="449"/>
      <c r="AXL3003" s="462"/>
      <c r="AXM3003" s="299"/>
      <c r="AXN3003" s="81"/>
      <c r="AXO3003" s="160"/>
      <c r="AXP3003" s="577"/>
      <c r="AXQ3003" s="125"/>
      <c r="AXR3003" s="470"/>
      <c r="AXS3003" s="449"/>
      <c r="AXT3003" s="462"/>
      <c r="AXU3003" s="299"/>
      <c r="AXV3003" s="81"/>
      <c r="AXW3003" s="160"/>
      <c r="AXX3003" s="577"/>
      <c r="AXY3003" s="125"/>
      <c r="AXZ3003" s="470"/>
      <c r="AYA3003" s="449"/>
      <c r="AYB3003" s="462"/>
      <c r="AYC3003" s="299"/>
      <c r="AYD3003" s="81"/>
      <c r="AYE3003" s="160"/>
      <c r="AYF3003" s="577"/>
      <c r="AYG3003" s="125"/>
      <c r="AYH3003" s="470"/>
      <c r="AYI3003" s="449"/>
      <c r="AYJ3003" s="462"/>
      <c r="AYK3003" s="299"/>
      <c r="AYL3003" s="81"/>
      <c r="AYM3003" s="160"/>
      <c r="AYN3003" s="577"/>
      <c r="AYO3003" s="125"/>
      <c r="AYP3003" s="470"/>
      <c r="AYQ3003" s="449"/>
      <c r="AYR3003" s="462"/>
      <c r="AYS3003" s="299"/>
      <c r="AYT3003" s="81"/>
      <c r="AYU3003" s="160"/>
      <c r="AYV3003" s="577"/>
      <c r="AYW3003" s="125"/>
      <c r="AYX3003" s="470"/>
      <c r="AYY3003" s="449"/>
      <c r="AYZ3003" s="462"/>
      <c r="AZA3003" s="299"/>
      <c r="AZB3003" s="81"/>
      <c r="AZC3003" s="160"/>
      <c r="AZD3003" s="577"/>
      <c r="AZE3003" s="125"/>
      <c r="AZF3003" s="470"/>
      <c r="AZG3003" s="449"/>
      <c r="AZH3003" s="462"/>
      <c r="AZI3003" s="299"/>
      <c r="AZJ3003" s="81"/>
      <c r="AZK3003" s="160"/>
      <c r="AZL3003" s="577"/>
      <c r="AZM3003" s="125"/>
      <c r="AZN3003" s="470"/>
      <c r="AZO3003" s="449"/>
      <c r="AZP3003" s="462"/>
      <c r="AZQ3003" s="299"/>
      <c r="AZR3003" s="81"/>
      <c r="AZS3003" s="160"/>
      <c r="AZT3003" s="577"/>
      <c r="AZU3003" s="125"/>
      <c r="AZV3003" s="470"/>
      <c r="AZW3003" s="449"/>
      <c r="AZX3003" s="462"/>
      <c r="AZY3003" s="299"/>
      <c r="AZZ3003" s="81"/>
      <c r="BAA3003" s="160"/>
      <c r="BAB3003" s="577"/>
      <c r="BAC3003" s="125"/>
      <c r="BAD3003" s="470"/>
      <c r="BAE3003" s="449"/>
      <c r="BAF3003" s="462"/>
      <c r="BAG3003" s="299"/>
      <c r="BAH3003" s="81"/>
      <c r="BAI3003" s="160"/>
      <c r="BAJ3003" s="577"/>
      <c r="BAK3003" s="125"/>
      <c r="BAL3003" s="470"/>
      <c r="BAM3003" s="449"/>
      <c r="BAN3003" s="462"/>
      <c r="BAO3003" s="299"/>
      <c r="BAP3003" s="81"/>
      <c r="BAQ3003" s="160"/>
      <c r="BAR3003" s="577"/>
      <c r="BAS3003" s="125"/>
      <c r="BAT3003" s="470"/>
      <c r="BAU3003" s="449"/>
      <c r="BAV3003" s="462"/>
      <c r="BAW3003" s="299"/>
      <c r="BAX3003" s="81"/>
      <c r="BAY3003" s="160"/>
      <c r="BAZ3003" s="577"/>
      <c r="BBA3003" s="125"/>
      <c r="BBB3003" s="470"/>
      <c r="BBC3003" s="449"/>
      <c r="BBD3003" s="462"/>
      <c r="BBE3003" s="299"/>
      <c r="BBF3003" s="81"/>
      <c r="BBG3003" s="160"/>
      <c r="BBH3003" s="577"/>
      <c r="BBI3003" s="125"/>
      <c r="BBJ3003" s="470"/>
      <c r="BBK3003" s="449"/>
      <c r="BBL3003" s="462"/>
      <c r="BBM3003" s="299"/>
      <c r="BBN3003" s="81"/>
      <c r="BBO3003" s="160"/>
      <c r="BBP3003" s="577"/>
      <c r="BBQ3003" s="125"/>
      <c r="BBR3003" s="470"/>
      <c r="BBS3003" s="449"/>
      <c r="BBT3003" s="462"/>
      <c r="BBU3003" s="299"/>
      <c r="BBV3003" s="81"/>
      <c r="BBW3003" s="160"/>
      <c r="BBX3003" s="577"/>
      <c r="BBY3003" s="125"/>
      <c r="BBZ3003" s="470"/>
      <c r="BCA3003" s="449"/>
      <c r="BCB3003" s="462"/>
      <c r="BCC3003" s="299"/>
      <c r="BCD3003" s="81"/>
      <c r="BCE3003" s="160"/>
      <c r="BCF3003" s="577"/>
      <c r="BCG3003" s="125"/>
      <c r="BCH3003" s="470"/>
      <c r="BCI3003" s="449"/>
      <c r="BCJ3003" s="462"/>
      <c r="BCK3003" s="299"/>
      <c r="BCL3003" s="81"/>
      <c r="BCM3003" s="160"/>
      <c r="BCN3003" s="577"/>
      <c r="BCO3003" s="125"/>
      <c r="BCP3003" s="470"/>
      <c r="BCQ3003" s="449"/>
      <c r="BCR3003" s="462"/>
      <c r="BCS3003" s="299"/>
      <c r="BCT3003" s="81"/>
      <c r="BCU3003" s="160"/>
      <c r="BCV3003" s="577"/>
      <c r="BCW3003" s="125"/>
      <c r="BCX3003" s="470"/>
      <c r="BCY3003" s="449"/>
      <c r="BCZ3003" s="462"/>
      <c r="BDA3003" s="299"/>
      <c r="BDB3003" s="81"/>
      <c r="BDC3003" s="160"/>
      <c r="BDD3003" s="577"/>
      <c r="BDE3003" s="125"/>
      <c r="BDF3003" s="470"/>
      <c r="BDG3003" s="449"/>
      <c r="BDH3003" s="462"/>
      <c r="BDI3003" s="299"/>
      <c r="BDJ3003" s="81"/>
      <c r="BDK3003" s="160"/>
      <c r="BDL3003" s="577"/>
      <c r="BDM3003" s="125"/>
      <c r="BDN3003" s="470"/>
      <c r="BDO3003" s="449"/>
      <c r="BDP3003" s="462"/>
      <c r="BDQ3003" s="299"/>
      <c r="BDR3003" s="81"/>
      <c r="BDS3003" s="160"/>
      <c r="BDT3003" s="577"/>
      <c r="BDU3003" s="125"/>
      <c r="BDV3003" s="470"/>
      <c r="BDW3003" s="449"/>
      <c r="BDX3003" s="462"/>
      <c r="BDY3003" s="299"/>
      <c r="BDZ3003" s="81"/>
      <c r="BEA3003" s="160"/>
      <c r="BEB3003" s="577"/>
      <c r="BEC3003" s="125"/>
      <c r="BED3003" s="470"/>
      <c r="BEE3003" s="449"/>
      <c r="BEF3003" s="462"/>
      <c r="BEG3003" s="299"/>
      <c r="BEH3003" s="81"/>
      <c r="BEI3003" s="160"/>
      <c r="BEJ3003" s="577"/>
      <c r="BEK3003" s="125"/>
      <c r="BEL3003" s="470"/>
      <c r="BEM3003" s="449"/>
      <c r="BEN3003" s="462"/>
      <c r="BEO3003" s="299"/>
      <c r="BEP3003" s="81"/>
      <c r="BEQ3003" s="160"/>
      <c r="BER3003" s="577"/>
      <c r="BES3003" s="125"/>
      <c r="BET3003" s="470"/>
      <c r="BEU3003" s="449"/>
      <c r="BEV3003" s="462"/>
      <c r="BEW3003" s="299"/>
      <c r="BEX3003" s="81"/>
      <c r="BEY3003" s="160"/>
      <c r="BEZ3003" s="577"/>
      <c r="BFA3003" s="125"/>
      <c r="BFB3003" s="470"/>
      <c r="BFC3003" s="449"/>
      <c r="BFD3003" s="462"/>
      <c r="BFE3003" s="299"/>
      <c r="BFF3003" s="81"/>
      <c r="BFG3003" s="160"/>
      <c r="BFH3003" s="577"/>
      <c r="BFI3003" s="125"/>
      <c r="BFJ3003" s="470"/>
      <c r="BFK3003" s="449"/>
      <c r="BFL3003" s="462"/>
      <c r="BFM3003" s="299"/>
      <c r="BFN3003" s="81"/>
      <c r="BFO3003" s="160"/>
      <c r="BFP3003" s="577"/>
      <c r="BFQ3003" s="125"/>
      <c r="BFR3003" s="470"/>
      <c r="BFS3003" s="449"/>
      <c r="BFT3003" s="462"/>
      <c r="BFU3003" s="299"/>
      <c r="BFV3003" s="81"/>
      <c r="BFW3003" s="160"/>
      <c r="BFX3003" s="577"/>
      <c r="BFY3003" s="125"/>
      <c r="BFZ3003" s="470"/>
      <c r="BGA3003" s="449"/>
      <c r="BGB3003" s="462"/>
      <c r="BGC3003" s="299"/>
      <c r="BGD3003" s="81"/>
      <c r="BGE3003" s="160"/>
      <c r="BGF3003" s="577"/>
      <c r="BGG3003" s="125"/>
      <c r="BGH3003" s="470"/>
      <c r="BGI3003" s="449"/>
      <c r="BGJ3003" s="462"/>
      <c r="BGK3003" s="299"/>
      <c r="BGL3003" s="81"/>
      <c r="BGM3003" s="160"/>
      <c r="BGN3003" s="577"/>
      <c r="BGO3003" s="125"/>
      <c r="BGP3003" s="470"/>
      <c r="BGQ3003" s="449"/>
      <c r="BGR3003" s="462"/>
      <c r="BGS3003" s="299"/>
      <c r="BGT3003" s="81"/>
      <c r="BGU3003" s="160"/>
      <c r="BGV3003" s="577"/>
      <c r="BGW3003" s="125"/>
      <c r="BGX3003" s="470"/>
      <c r="BGY3003" s="449"/>
      <c r="BGZ3003" s="462"/>
      <c r="BHA3003" s="299"/>
      <c r="BHB3003" s="81"/>
      <c r="BHC3003" s="160"/>
      <c r="BHD3003" s="577"/>
      <c r="BHE3003" s="125"/>
      <c r="BHF3003" s="470"/>
      <c r="BHG3003" s="449"/>
      <c r="BHH3003" s="462"/>
      <c r="BHI3003" s="299"/>
      <c r="BHJ3003" s="81"/>
      <c r="BHK3003" s="160"/>
      <c r="BHL3003" s="577"/>
      <c r="BHM3003" s="125"/>
      <c r="BHN3003" s="470"/>
      <c r="BHO3003" s="449"/>
      <c r="BHP3003" s="462"/>
      <c r="BHQ3003" s="299"/>
      <c r="BHR3003" s="81"/>
      <c r="BHS3003" s="160"/>
      <c r="BHT3003" s="577"/>
      <c r="BHU3003" s="125"/>
      <c r="BHV3003" s="470"/>
      <c r="BHW3003" s="449"/>
      <c r="BHX3003" s="462"/>
      <c r="BHY3003" s="299"/>
      <c r="BHZ3003" s="81"/>
      <c r="BIA3003" s="160"/>
      <c r="BIB3003" s="577"/>
      <c r="BIC3003" s="125"/>
      <c r="BID3003" s="470"/>
      <c r="BIE3003" s="449"/>
      <c r="BIF3003" s="462"/>
      <c r="BIG3003" s="299"/>
      <c r="BIH3003" s="81"/>
      <c r="BII3003" s="160"/>
      <c r="BIJ3003" s="577"/>
      <c r="BIK3003" s="125"/>
      <c r="BIL3003" s="470"/>
      <c r="BIM3003" s="449"/>
      <c r="BIN3003" s="462"/>
      <c r="BIO3003" s="299"/>
      <c r="BIP3003" s="81"/>
      <c r="BIQ3003" s="160"/>
      <c r="BIR3003" s="577"/>
      <c r="BIS3003" s="125"/>
      <c r="BIT3003" s="470"/>
      <c r="BIU3003" s="449"/>
      <c r="BIV3003" s="462"/>
      <c r="BIW3003" s="299"/>
      <c r="BIX3003" s="81"/>
      <c r="BIY3003" s="160"/>
      <c r="BIZ3003" s="577"/>
      <c r="BJA3003" s="125"/>
      <c r="BJB3003" s="470"/>
      <c r="BJC3003" s="449"/>
      <c r="BJD3003" s="462"/>
      <c r="BJE3003" s="299"/>
      <c r="BJF3003" s="81"/>
      <c r="BJG3003" s="160"/>
      <c r="BJH3003" s="577"/>
      <c r="BJI3003" s="125"/>
      <c r="BJJ3003" s="470"/>
      <c r="BJK3003" s="449"/>
      <c r="BJL3003" s="462"/>
      <c r="BJM3003" s="299"/>
      <c r="BJN3003" s="81"/>
      <c r="BJO3003" s="160"/>
      <c r="BJP3003" s="577"/>
      <c r="BJQ3003" s="125"/>
      <c r="BJR3003" s="470"/>
      <c r="BJS3003" s="449"/>
      <c r="BJT3003" s="462"/>
      <c r="BJU3003" s="299"/>
      <c r="BJV3003" s="81"/>
      <c r="BJW3003" s="160"/>
      <c r="BJX3003" s="577"/>
      <c r="BJY3003" s="125"/>
      <c r="BJZ3003" s="470"/>
      <c r="BKA3003" s="449"/>
      <c r="BKB3003" s="462"/>
      <c r="BKC3003" s="299"/>
      <c r="BKD3003" s="81"/>
      <c r="BKE3003" s="160"/>
      <c r="BKF3003" s="577"/>
      <c r="BKG3003" s="125"/>
      <c r="BKH3003" s="470"/>
      <c r="BKI3003" s="449"/>
      <c r="BKJ3003" s="462"/>
      <c r="BKK3003" s="299"/>
      <c r="BKL3003" s="81"/>
      <c r="BKM3003" s="160"/>
      <c r="BKN3003" s="577"/>
      <c r="BKO3003" s="125"/>
      <c r="BKP3003" s="470"/>
      <c r="BKQ3003" s="449"/>
      <c r="BKR3003" s="462"/>
      <c r="BKS3003" s="299"/>
      <c r="BKT3003" s="81"/>
      <c r="BKU3003" s="160"/>
      <c r="BKV3003" s="577"/>
      <c r="BKW3003" s="125"/>
      <c r="BKX3003" s="470"/>
      <c r="BKY3003" s="449"/>
      <c r="BKZ3003" s="462"/>
      <c r="BLA3003" s="299"/>
      <c r="BLB3003" s="81"/>
      <c r="BLC3003" s="160"/>
      <c r="BLD3003" s="577"/>
      <c r="BLE3003" s="125"/>
      <c r="BLF3003" s="470"/>
      <c r="BLG3003" s="449"/>
      <c r="BLH3003" s="462"/>
      <c r="BLI3003" s="299"/>
      <c r="BLJ3003" s="81"/>
      <c r="BLK3003" s="160"/>
      <c r="BLL3003" s="577"/>
      <c r="BLM3003" s="125"/>
      <c r="BLN3003" s="470"/>
      <c r="BLO3003" s="449"/>
      <c r="BLP3003" s="462"/>
      <c r="BLQ3003" s="299"/>
      <c r="BLR3003" s="81"/>
      <c r="BLS3003" s="160"/>
      <c r="BLT3003" s="577"/>
      <c r="BLU3003" s="125"/>
      <c r="BLV3003" s="470"/>
      <c r="BLW3003" s="449"/>
      <c r="BLX3003" s="462"/>
      <c r="BLY3003" s="299"/>
      <c r="BLZ3003" s="81"/>
      <c r="BMA3003" s="160"/>
      <c r="BMB3003" s="577"/>
      <c r="BMC3003" s="125"/>
      <c r="BMD3003" s="470"/>
      <c r="BME3003" s="449"/>
      <c r="BMF3003" s="462"/>
      <c r="BMG3003" s="299"/>
      <c r="BMH3003" s="81"/>
      <c r="BMI3003" s="160"/>
      <c r="BMJ3003" s="577"/>
      <c r="BMK3003" s="125"/>
      <c r="BML3003" s="470"/>
      <c r="BMM3003" s="449"/>
      <c r="BMN3003" s="462"/>
      <c r="BMO3003" s="299"/>
      <c r="BMP3003" s="81"/>
      <c r="BMQ3003" s="160"/>
      <c r="BMR3003" s="577"/>
      <c r="BMS3003" s="125"/>
      <c r="BMT3003" s="470"/>
      <c r="BMU3003" s="449"/>
      <c r="BMV3003" s="462"/>
      <c r="BMW3003" s="299"/>
      <c r="BMX3003" s="81"/>
      <c r="BMY3003" s="160"/>
      <c r="BMZ3003" s="577"/>
      <c r="BNA3003" s="125"/>
      <c r="BNB3003" s="470"/>
      <c r="BNC3003" s="449"/>
      <c r="BND3003" s="462"/>
      <c r="BNE3003" s="299"/>
      <c r="BNF3003" s="81"/>
      <c r="BNG3003" s="160"/>
      <c r="BNH3003" s="577"/>
      <c r="BNI3003" s="125"/>
      <c r="BNJ3003" s="470"/>
      <c r="BNK3003" s="449"/>
      <c r="BNL3003" s="462"/>
      <c r="BNM3003" s="299"/>
      <c r="BNN3003" s="81"/>
      <c r="BNO3003" s="160"/>
      <c r="BNP3003" s="577"/>
      <c r="BNQ3003" s="125"/>
      <c r="BNR3003" s="470"/>
      <c r="BNS3003" s="449"/>
      <c r="BNT3003" s="462"/>
      <c r="BNU3003" s="299"/>
      <c r="BNV3003" s="81"/>
      <c r="BNW3003" s="160"/>
      <c r="BNX3003" s="577"/>
      <c r="BNY3003" s="125"/>
      <c r="BNZ3003" s="470"/>
      <c r="BOA3003" s="449"/>
      <c r="BOB3003" s="462"/>
      <c r="BOC3003" s="299"/>
      <c r="BOD3003" s="81"/>
      <c r="BOE3003" s="160"/>
      <c r="BOF3003" s="577"/>
      <c r="BOG3003" s="125"/>
      <c r="BOH3003" s="470"/>
      <c r="BOI3003" s="449"/>
      <c r="BOJ3003" s="462"/>
      <c r="BOK3003" s="299"/>
      <c r="BOL3003" s="81"/>
      <c r="BOM3003" s="160"/>
      <c r="BON3003" s="577"/>
      <c r="BOO3003" s="125"/>
      <c r="BOP3003" s="470"/>
      <c r="BOQ3003" s="449"/>
      <c r="BOR3003" s="462"/>
      <c r="BOS3003" s="299"/>
      <c r="BOT3003" s="81"/>
      <c r="BOU3003" s="160"/>
      <c r="BOV3003" s="577"/>
      <c r="BOW3003" s="125"/>
      <c r="BOX3003" s="470"/>
      <c r="BOY3003" s="449"/>
      <c r="BOZ3003" s="462"/>
      <c r="BPA3003" s="299"/>
      <c r="BPB3003" s="81"/>
      <c r="BPC3003" s="160"/>
      <c r="BPD3003" s="577"/>
      <c r="BPE3003" s="125"/>
      <c r="BPF3003" s="470"/>
      <c r="BPG3003" s="449"/>
      <c r="BPH3003" s="462"/>
      <c r="BPI3003" s="299"/>
      <c r="BPJ3003" s="81"/>
      <c r="BPK3003" s="160"/>
      <c r="BPL3003" s="577"/>
      <c r="BPM3003" s="125"/>
      <c r="BPN3003" s="470"/>
      <c r="BPO3003" s="449"/>
      <c r="BPP3003" s="462"/>
      <c r="BPQ3003" s="299"/>
      <c r="BPR3003" s="81"/>
      <c r="BPS3003" s="160"/>
      <c r="BPT3003" s="577"/>
      <c r="BPU3003" s="125"/>
      <c r="BPV3003" s="470"/>
      <c r="BPW3003" s="449"/>
      <c r="BPX3003" s="462"/>
      <c r="BPY3003" s="299"/>
      <c r="BPZ3003" s="81"/>
      <c r="BQA3003" s="160"/>
      <c r="BQB3003" s="577"/>
      <c r="BQC3003" s="125"/>
      <c r="BQD3003" s="470"/>
      <c r="BQE3003" s="449"/>
      <c r="BQF3003" s="462"/>
      <c r="BQG3003" s="299"/>
      <c r="BQH3003" s="81"/>
      <c r="BQI3003" s="160"/>
      <c r="BQJ3003" s="577"/>
      <c r="BQK3003" s="125"/>
      <c r="BQL3003" s="470"/>
      <c r="BQM3003" s="449"/>
      <c r="BQN3003" s="462"/>
      <c r="BQO3003" s="299"/>
      <c r="BQP3003" s="81"/>
      <c r="BQQ3003" s="160"/>
      <c r="BQR3003" s="577"/>
      <c r="BQS3003" s="125"/>
      <c r="BQT3003" s="470"/>
      <c r="BQU3003" s="449"/>
      <c r="BQV3003" s="462"/>
      <c r="BQW3003" s="299"/>
      <c r="BQX3003" s="81"/>
      <c r="BQY3003" s="160"/>
      <c r="BQZ3003" s="577"/>
      <c r="BRA3003" s="125"/>
      <c r="BRB3003" s="470"/>
      <c r="BRC3003" s="449"/>
      <c r="BRD3003" s="462"/>
      <c r="BRE3003" s="299"/>
      <c r="BRF3003" s="81"/>
      <c r="BRG3003" s="160"/>
      <c r="BRH3003" s="577"/>
      <c r="BRI3003" s="125"/>
      <c r="BRJ3003" s="470"/>
      <c r="BRK3003" s="449"/>
      <c r="BRL3003" s="462"/>
      <c r="BRM3003" s="299"/>
      <c r="BRN3003" s="81"/>
      <c r="BRO3003" s="160"/>
      <c r="BRP3003" s="577"/>
      <c r="BRQ3003" s="125"/>
      <c r="BRR3003" s="470"/>
      <c r="BRS3003" s="449"/>
      <c r="BRT3003" s="462"/>
      <c r="BRU3003" s="299"/>
      <c r="BRV3003" s="81"/>
      <c r="BRW3003" s="160"/>
      <c r="BRX3003" s="577"/>
      <c r="BRY3003" s="125"/>
      <c r="BRZ3003" s="470"/>
      <c r="BSA3003" s="449"/>
      <c r="BSB3003" s="462"/>
      <c r="BSC3003" s="299"/>
      <c r="BSD3003" s="81"/>
      <c r="BSE3003" s="160"/>
      <c r="BSF3003" s="577"/>
      <c r="BSG3003" s="125"/>
      <c r="BSH3003" s="470"/>
      <c r="BSI3003" s="449"/>
      <c r="BSJ3003" s="462"/>
      <c r="BSK3003" s="299"/>
      <c r="BSL3003" s="81"/>
      <c r="BSM3003" s="160"/>
      <c r="BSN3003" s="577"/>
      <c r="BSO3003" s="125"/>
      <c r="BSP3003" s="470"/>
      <c r="BSQ3003" s="449"/>
      <c r="BSR3003" s="462"/>
      <c r="BSS3003" s="299"/>
      <c r="BST3003" s="81"/>
      <c r="BSU3003" s="160"/>
      <c r="BSV3003" s="577"/>
      <c r="BSW3003" s="125"/>
      <c r="BSX3003" s="470"/>
      <c r="BSY3003" s="449"/>
      <c r="BSZ3003" s="462"/>
      <c r="BTA3003" s="299"/>
      <c r="BTB3003" s="81"/>
      <c r="BTC3003" s="160"/>
      <c r="BTD3003" s="577"/>
      <c r="BTE3003" s="125"/>
      <c r="BTF3003" s="470"/>
      <c r="BTG3003" s="449"/>
      <c r="BTH3003" s="462"/>
      <c r="BTI3003" s="299"/>
      <c r="BTJ3003" s="81"/>
      <c r="BTK3003" s="160"/>
      <c r="BTL3003" s="577"/>
      <c r="BTM3003" s="125"/>
      <c r="BTN3003" s="470"/>
      <c r="BTO3003" s="449"/>
      <c r="BTP3003" s="462"/>
      <c r="BTQ3003" s="299"/>
      <c r="BTR3003" s="81"/>
      <c r="BTS3003" s="160"/>
      <c r="BTT3003" s="577"/>
      <c r="BTU3003" s="125"/>
      <c r="BTV3003" s="470"/>
      <c r="BTW3003" s="449"/>
      <c r="BTX3003" s="462"/>
      <c r="BTY3003" s="299"/>
      <c r="BTZ3003" s="81"/>
      <c r="BUA3003" s="160"/>
      <c r="BUB3003" s="577"/>
      <c r="BUC3003" s="125"/>
      <c r="BUD3003" s="470"/>
      <c r="BUE3003" s="449"/>
      <c r="BUF3003" s="462"/>
      <c r="BUG3003" s="299"/>
      <c r="BUH3003" s="81"/>
      <c r="BUI3003" s="160"/>
      <c r="BUJ3003" s="577"/>
      <c r="BUK3003" s="125"/>
      <c r="BUL3003" s="470"/>
      <c r="BUM3003" s="449"/>
      <c r="BUN3003" s="462"/>
      <c r="BUO3003" s="299"/>
      <c r="BUP3003" s="81"/>
      <c r="BUQ3003" s="160"/>
      <c r="BUR3003" s="577"/>
      <c r="BUS3003" s="125"/>
      <c r="BUT3003" s="470"/>
      <c r="BUU3003" s="449"/>
      <c r="BUV3003" s="462"/>
      <c r="BUW3003" s="299"/>
      <c r="BUX3003" s="81"/>
      <c r="BUY3003" s="160"/>
      <c r="BUZ3003" s="577"/>
      <c r="BVA3003" s="125"/>
      <c r="BVB3003" s="470"/>
      <c r="BVC3003" s="449"/>
      <c r="BVD3003" s="462"/>
      <c r="BVE3003" s="299"/>
      <c r="BVF3003" s="81"/>
      <c r="BVG3003" s="160"/>
      <c r="BVH3003" s="577"/>
      <c r="BVI3003" s="125"/>
      <c r="BVJ3003" s="470"/>
      <c r="BVK3003" s="449"/>
      <c r="BVL3003" s="462"/>
      <c r="BVM3003" s="299"/>
      <c r="BVN3003" s="81"/>
      <c r="BVO3003" s="160"/>
      <c r="BVP3003" s="577"/>
      <c r="BVQ3003" s="125"/>
      <c r="BVR3003" s="470"/>
      <c r="BVS3003" s="449"/>
      <c r="BVT3003" s="462"/>
      <c r="BVU3003" s="299"/>
      <c r="BVV3003" s="81"/>
      <c r="BVW3003" s="160"/>
      <c r="BVX3003" s="577"/>
      <c r="BVY3003" s="125"/>
      <c r="BVZ3003" s="470"/>
      <c r="BWA3003" s="449"/>
      <c r="BWB3003" s="462"/>
      <c r="BWC3003" s="299"/>
      <c r="BWD3003" s="81"/>
      <c r="BWE3003" s="160"/>
      <c r="BWF3003" s="577"/>
      <c r="BWG3003" s="125"/>
      <c r="BWH3003" s="470"/>
      <c r="BWI3003" s="449"/>
      <c r="BWJ3003" s="462"/>
      <c r="BWK3003" s="299"/>
      <c r="BWL3003" s="81"/>
      <c r="BWM3003" s="160"/>
      <c r="BWN3003" s="577"/>
      <c r="BWO3003" s="125"/>
      <c r="BWP3003" s="470"/>
      <c r="BWQ3003" s="449"/>
      <c r="BWR3003" s="462"/>
      <c r="BWS3003" s="299"/>
      <c r="BWT3003" s="81"/>
      <c r="BWU3003" s="160"/>
      <c r="BWV3003" s="577"/>
      <c r="BWW3003" s="125"/>
      <c r="BWX3003" s="470"/>
      <c r="BWY3003" s="449"/>
      <c r="BWZ3003" s="462"/>
      <c r="BXA3003" s="299"/>
      <c r="BXB3003" s="81"/>
      <c r="BXC3003" s="160"/>
      <c r="BXD3003" s="577"/>
      <c r="BXE3003" s="125"/>
      <c r="BXF3003" s="470"/>
      <c r="BXG3003" s="449"/>
      <c r="BXH3003" s="462"/>
      <c r="BXI3003" s="299"/>
      <c r="BXJ3003" s="81"/>
      <c r="BXK3003" s="160"/>
      <c r="BXL3003" s="577"/>
      <c r="BXM3003" s="125"/>
      <c r="BXN3003" s="470"/>
      <c r="BXO3003" s="449"/>
      <c r="BXP3003" s="462"/>
      <c r="BXQ3003" s="299"/>
      <c r="BXR3003" s="81"/>
      <c r="BXS3003" s="160"/>
      <c r="BXT3003" s="577"/>
      <c r="BXU3003" s="125"/>
      <c r="BXV3003" s="470"/>
      <c r="BXW3003" s="449"/>
      <c r="BXX3003" s="462"/>
      <c r="BXY3003" s="299"/>
      <c r="BXZ3003" s="81"/>
      <c r="BYA3003" s="160"/>
      <c r="BYB3003" s="577"/>
      <c r="BYC3003" s="125"/>
      <c r="BYD3003" s="470"/>
      <c r="BYE3003" s="449"/>
      <c r="BYF3003" s="462"/>
      <c r="BYG3003" s="299"/>
      <c r="BYH3003" s="81"/>
      <c r="BYI3003" s="160"/>
      <c r="BYJ3003" s="577"/>
      <c r="BYK3003" s="125"/>
      <c r="BYL3003" s="470"/>
      <c r="BYM3003" s="449"/>
      <c r="BYN3003" s="462"/>
      <c r="BYO3003" s="299"/>
      <c r="BYP3003" s="81"/>
      <c r="BYQ3003" s="160"/>
      <c r="BYR3003" s="577"/>
      <c r="BYS3003" s="125"/>
      <c r="BYT3003" s="470"/>
      <c r="BYU3003" s="449"/>
      <c r="BYV3003" s="462"/>
      <c r="BYW3003" s="299"/>
      <c r="BYX3003" s="81"/>
      <c r="BYY3003" s="160"/>
      <c r="BYZ3003" s="577"/>
      <c r="BZA3003" s="125"/>
      <c r="BZB3003" s="470"/>
      <c r="BZC3003" s="449"/>
      <c r="BZD3003" s="462"/>
      <c r="BZE3003" s="299"/>
      <c r="BZF3003" s="81"/>
      <c r="BZG3003" s="160"/>
      <c r="BZH3003" s="577"/>
      <c r="BZI3003" s="125"/>
      <c r="BZJ3003" s="470"/>
      <c r="BZK3003" s="449"/>
      <c r="BZL3003" s="462"/>
      <c r="BZM3003" s="299"/>
      <c r="BZN3003" s="81"/>
      <c r="BZO3003" s="160"/>
      <c r="BZP3003" s="577"/>
      <c r="BZQ3003" s="125"/>
      <c r="BZR3003" s="470"/>
      <c r="BZS3003" s="449"/>
      <c r="BZT3003" s="462"/>
      <c r="BZU3003" s="299"/>
      <c r="BZV3003" s="81"/>
      <c r="BZW3003" s="160"/>
      <c r="BZX3003" s="577"/>
      <c r="BZY3003" s="125"/>
      <c r="BZZ3003" s="470"/>
      <c r="CAA3003" s="449"/>
      <c r="CAB3003" s="462"/>
      <c r="CAC3003" s="299"/>
      <c r="CAD3003" s="81"/>
      <c r="CAE3003" s="160"/>
      <c r="CAF3003" s="577"/>
      <c r="CAG3003" s="125"/>
      <c r="CAH3003" s="470"/>
      <c r="CAI3003" s="449"/>
      <c r="CAJ3003" s="462"/>
      <c r="CAK3003" s="299"/>
      <c r="CAL3003" s="81"/>
      <c r="CAM3003" s="160"/>
      <c r="CAN3003" s="577"/>
      <c r="CAO3003" s="125"/>
      <c r="CAP3003" s="470"/>
      <c r="CAQ3003" s="449"/>
      <c r="CAR3003" s="462"/>
      <c r="CAS3003" s="299"/>
      <c r="CAT3003" s="81"/>
      <c r="CAU3003" s="160"/>
      <c r="CAV3003" s="577"/>
      <c r="CAW3003" s="125"/>
      <c r="CAX3003" s="470"/>
      <c r="CAY3003" s="449"/>
      <c r="CAZ3003" s="462"/>
      <c r="CBA3003" s="299"/>
      <c r="CBB3003" s="81"/>
      <c r="CBC3003" s="160"/>
      <c r="CBD3003" s="577"/>
      <c r="CBE3003" s="125"/>
      <c r="CBF3003" s="470"/>
      <c r="CBG3003" s="449"/>
      <c r="CBH3003" s="462"/>
      <c r="CBI3003" s="299"/>
      <c r="CBJ3003" s="81"/>
      <c r="CBK3003" s="160"/>
      <c r="CBL3003" s="577"/>
      <c r="CBM3003" s="125"/>
      <c r="CBN3003" s="470"/>
      <c r="CBO3003" s="449"/>
      <c r="CBP3003" s="462"/>
      <c r="CBQ3003" s="299"/>
      <c r="CBR3003" s="81"/>
      <c r="CBS3003" s="160"/>
      <c r="CBT3003" s="577"/>
      <c r="CBU3003" s="125"/>
      <c r="CBV3003" s="470"/>
      <c r="CBW3003" s="449"/>
      <c r="CBX3003" s="462"/>
      <c r="CBY3003" s="299"/>
      <c r="CBZ3003" s="81"/>
      <c r="CCA3003" s="160"/>
      <c r="CCB3003" s="577"/>
      <c r="CCC3003" s="125"/>
      <c r="CCD3003" s="470"/>
      <c r="CCE3003" s="449"/>
      <c r="CCF3003" s="462"/>
      <c r="CCG3003" s="299"/>
      <c r="CCH3003" s="81"/>
      <c r="CCI3003" s="160"/>
      <c r="CCJ3003" s="577"/>
      <c r="CCK3003" s="125"/>
      <c r="CCL3003" s="470"/>
      <c r="CCM3003" s="449"/>
      <c r="CCN3003" s="462"/>
      <c r="CCO3003" s="299"/>
      <c r="CCP3003" s="81"/>
      <c r="CCQ3003" s="160"/>
      <c r="CCR3003" s="577"/>
      <c r="CCS3003" s="125"/>
      <c r="CCT3003" s="470"/>
      <c r="CCU3003" s="449"/>
      <c r="CCV3003" s="462"/>
      <c r="CCW3003" s="299"/>
      <c r="CCX3003" s="81"/>
      <c r="CCY3003" s="160"/>
      <c r="CCZ3003" s="577"/>
      <c r="CDA3003" s="125"/>
      <c r="CDB3003" s="470"/>
      <c r="CDC3003" s="449"/>
      <c r="CDD3003" s="462"/>
      <c r="CDE3003" s="299"/>
      <c r="CDF3003" s="81"/>
      <c r="CDG3003" s="160"/>
      <c r="CDH3003" s="577"/>
      <c r="CDI3003" s="125"/>
      <c r="CDJ3003" s="470"/>
      <c r="CDK3003" s="449"/>
      <c r="CDL3003" s="462"/>
      <c r="CDM3003" s="299"/>
      <c r="CDN3003" s="81"/>
      <c r="CDO3003" s="160"/>
      <c r="CDP3003" s="577"/>
      <c r="CDQ3003" s="125"/>
      <c r="CDR3003" s="470"/>
      <c r="CDS3003" s="449"/>
      <c r="CDT3003" s="462"/>
      <c r="CDU3003" s="299"/>
      <c r="CDV3003" s="81"/>
      <c r="CDW3003" s="160"/>
      <c r="CDX3003" s="577"/>
      <c r="CDY3003" s="125"/>
      <c r="CDZ3003" s="470"/>
      <c r="CEA3003" s="449"/>
      <c r="CEB3003" s="462"/>
      <c r="CEC3003" s="299"/>
      <c r="CED3003" s="81"/>
      <c r="CEE3003" s="160"/>
      <c r="CEF3003" s="577"/>
      <c r="CEG3003" s="125"/>
      <c r="CEH3003" s="470"/>
      <c r="CEI3003" s="449"/>
      <c r="CEJ3003" s="462"/>
      <c r="CEK3003" s="299"/>
      <c r="CEL3003" s="81"/>
      <c r="CEM3003" s="160"/>
      <c r="CEN3003" s="577"/>
      <c r="CEO3003" s="125"/>
      <c r="CEP3003" s="470"/>
      <c r="CEQ3003" s="449"/>
      <c r="CER3003" s="462"/>
      <c r="CES3003" s="299"/>
      <c r="CET3003" s="81"/>
      <c r="CEU3003" s="160"/>
      <c r="CEV3003" s="577"/>
      <c r="CEW3003" s="125"/>
      <c r="CEX3003" s="470"/>
      <c r="CEY3003" s="449"/>
      <c r="CEZ3003" s="462"/>
      <c r="CFA3003" s="299"/>
      <c r="CFB3003" s="81"/>
      <c r="CFC3003" s="160"/>
      <c r="CFD3003" s="577"/>
      <c r="CFE3003" s="125"/>
      <c r="CFF3003" s="470"/>
      <c r="CFG3003" s="449"/>
      <c r="CFH3003" s="462"/>
      <c r="CFI3003" s="299"/>
      <c r="CFJ3003" s="81"/>
      <c r="CFK3003" s="160"/>
      <c r="CFL3003" s="577"/>
      <c r="CFM3003" s="125"/>
      <c r="CFN3003" s="470"/>
      <c r="CFO3003" s="449"/>
      <c r="CFP3003" s="462"/>
      <c r="CFQ3003" s="299"/>
      <c r="CFR3003" s="81"/>
      <c r="CFS3003" s="160"/>
      <c r="CFT3003" s="577"/>
      <c r="CFU3003" s="125"/>
      <c r="CFV3003" s="470"/>
      <c r="CFW3003" s="449"/>
      <c r="CFX3003" s="462"/>
      <c r="CFY3003" s="299"/>
      <c r="CFZ3003" s="81"/>
      <c r="CGA3003" s="160"/>
      <c r="CGB3003" s="577"/>
      <c r="CGC3003" s="125"/>
      <c r="CGD3003" s="470"/>
      <c r="CGE3003" s="449"/>
      <c r="CGF3003" s="462"/>
      <c r="CGG3003" s="299"/>
      <c r="CGH3003" s="81"/>
      <c r="CGI3003" s="160"/>
      <c r="CGJ3003" s="577"/>
      <c r="CGK3003" s="125"/>
      <c r="CGL3003" s="470"/>
      <c r="CGM3003" s="449"/>
      <c r="CGN3003" s="462"/>
      <c r="CGO3003" s="299"/>
      <c r="CGP3003" s="81"/>
      <c r="CGQ3003" s="160"/>
      <c r="CGR3003" s="577"/>
      <c r="CGS3003" s="125"/>
      <c r="CGT3003" s="470"/>
      <c r="CGU3003" s="449"/>
      <c r="CGV3003" s="462"/>
      <c r="CGW3003" s="299"/>
      <c r="CGX3003" s="81"/>
      <c r="CGY3003" s="160"/>
      <c r="CGZ3003" s="577"/>
      <c r="CHA3003" s="125"/>
      <c r="CHB3003" s="470"/>
      <c r="CHC3003" s="449"/>
      <c r="CHD3003" s="462"/>
      <c r="CHE3003" s="299"/>
      <c r="CHF3003" s="81"/>
      <c r="CHG3003" s="160"/>
      <c r="CHH3003" s="577"/>
      <c r="CHI3003" s="125"/>
      <c r="CHJ3003" s="470"/>
      <c r="CHK3003" s="449"/>
      <c r="CHL3003" s="462"/>
      <c r="CHM3003" s="299"/>
      <c r="CHN3003" s="81"/>
      <c r="CHO3003" s="160"/>
      <c r="CHP3003" s="577"/>
      <c r="CHQ3003" s="125"/>
      <c r="CHR3003" s="470"/>
      <c r="CHS3003" s="449"/>
      <c r="CHT3003" s="462"/>
      <c r="CHU3003" s="299"/>
      <c r="CHV3003" s="81"/>
      <c r="CHW3003" s="160"/>
      <c r="CHX3003" s="577"/>
      <c r="CHY3003" s="125"/>
      <c r="CHZ3003" s="470"/>
      <c r="CIA3003" s="449"/>
      <c r="CIB3003" s="462"/>
      <c r="CIC3003" s="299"/>
      <c r="CID3003" s="81"/>
      <c r="CIE3003" s="160"/>
      <c r="CIF3003" s="577"/>
      <c r="CIG3003" s="125"/>
      <c r="CIH3003" s="470"/>
      <c r="CII3003" s="449"/>
      <c r="CIJ3003" s="462"/>
      <c r="CIK3003" s="299"/>
      <c r="CIL3003" s="81"/>
      <c r="CIM3003" s="160"/>
      <c r="CIN3003" s="577"/>
      <c r="CIO3003" s="125"/>
      <c r="CIP3003" s="470"/>
      <c r="CIQ3003" s="449"/>
      <c r="CIR3003" s="462"/>
      <c r="CIS3003" s="299"/>
      <c r="CIT3003" s="81"/>
      <c r="CIU3003" s="160"/>
      <c r="CIV3003" s="577"/>
      <c r="CIW3003" s="125"/>
      <c r="CIX3003" s="470"/>
      <c r="CIY3003" s="449"/>
      <c r="CIZ3003" s="462"/>
      <c r="CJA3003" s="299"/>
      <c r="CJB3003" s="81"/>
      <c r="CJC3003" s="160"/>
      <c r="CJD3003" s="577"/>
      <c r="CJE3003" s="125"/>
      <c r="CJF3003" s="470"/>
      <c r="CJG3003" s="449"/>
      <c r="CJH3003" s="462"/>
      <c r="CJI3003" s="299"/>
      <c r="CJJ3003" s="81"/>
      <c r="CJK3003" s="160"/>
      <c r="CJL3003" s="577"/>
      <c r="CJM3003" s="125"/>
      <c r="CJN3003" s="470"/>
      <c r="CJO3003" s="449"/>
      <c r="CJP3003" s="462"/>
      <c r="CJQ3003" s="299"/>
      <c r="CJR3003" s="81"/>
      <c r="CJS3003" s="160"/>
      <c r="CJT3003" s="577"/>
      <c r="CJU3003" s="125"/>
      <c r="CJV3003" s="470"/>
      <c r="CJW3003" s="449"/>
      <c r="CJX3003" s="462"/>
      <c r="CJY3003" s="299"/>
      <c r="CJZ3003" s="81"/>
      <c r="CKA3003" s="160"/>
      <c r="CKB3003" s="577"/>
      <c r="CKC3003" s="125"/>
      <c r="CKD3003" s="470"/>
      <c r="CKE3003" s="449"/>
      <c r="CKF3003" s="462"/>
      <c r="CKG3003" s="299"/>
      <c r="CKH3003" s="81"/>
      <c r="CKI3003" s="160"/>
      <c r="CKJ3003" s="577"/>
      <c r="CKK3003" s="125"/>
      <c r="CKL3003" s="470"/>
      <c r="CKM3003" s="449"/>
      <c r="CKN3003" s="462"/>
      <c r="CKO3003" s="299"/>
      <c r="CKP3003" s="81"/>
      <c r="CKQ3003" s="160"/>
      <c r="CKR3003" s="577"/>
      <c r="CKS3003" s="125"/>
      <c r="CKT3003" s="470"/>
      <c r="CKU3003" s="449"/>
      <c r="CKV3003" s="462"/>
      <c r="CKW3003" s="299"/>
      <c r="CKX3003" s="81"/>
      <c r="CKY3003" s="160"/>
      <c r="CKZ3003" s="577"/>
      <c r="CLA3003" s="125"/>
      <c r="CLB3003" s="470"/>
      <c r="CLC3003" s="449"/>
      <c r="CLD3003" s="462"/>
      <c r="CLE3003" s="299"/>
      <c r="CLF3003" s="81"/>
      <c r="CLG3003" s="160"/>
      <c r="CLH3003" s="577"/>
      <c r="CLI3003" s="125"/>
      <c r="CLJ3003" s="470"/>
      <c r="CLK3003" s="449"/>
      <c r="CLL3003" s="462"/>
      <c r="CLM3003" s="299"/>
      <c r="CLN3003" s="81"/>
      <c r="CLO3003" s="160"/>
      <c r="CLP3003" s="577"/>
      <c r="CLQ3003" s="125"/>
      <c r="CLR3003" s="470"/>
      <c r="CLS3003" s="449"/>
      <c r="CLT3003" s="462"/>
      <c r="CLU3003" s="299"/>
      <c r="CLV3003" s="81"/>
      <c r="CLW3003" s="160"/>
      <c r="CLX3003" s="577"/>
      <c r="CLY3003" s="125"/>
      <c r="CLZ3003" s="470"/>
      <c r="CMA3003" s="449"/>
      <c r="CMB3003" s="462"/>
      <c r="CMC3003" s="299"/>
      <c r="CMD3003" s="81"/>
      <c r="CME3003" s="160"/>
      <c r="CMF3003" s="577"/>
      <c r="CMG3003" s="125"/>
      <c r="CMH3003" s="470"/>
      <c r="CMI3003" s="449"/>
      <c r="CMJ3003" s="462"/>
      <c r="CMK3003" s="299"/>
      <c r="CML3003" s="81"/>
      <c r="CMM3003" s="160"/>
      <c r="CMN3003" s="577"/>
      <c r="CMO3003" s="125"/>
      <c r="CMP3003" s="470"/>
      <c r="CMQ3003" s="449"/>
      <c r="CMR3003" s="462"/>
      <c r="CMS3003" s="299"/>
      <c r="CMT3003" s="81"/>
      <c r="CMU3003" s="160"/>
      <c r="CMV3003" s="577"/>
      <c r="CMW3003" s="125"/>
      <c r="CMX3003" s="470"/>
      <c r="CMY3003" s="449"/>
      <c r="CMZ3003" s="462"/>
      <c r="CNA3003" s="299"/>
      <c r="CNB3003" s="81"/>
      <c r="CNC3003" s="160"/>
      <c r="CND3003" s="577"/>
      <c r="CNE3003" s="125"/>
      <c r="CNF3003" s="470"/>
      <c r="CNG3003" s="449"/>
      <c r="CNH3003" s="462"/>
      <c r="CNI3003" s="299"/>
      <c r="CNJ3003" s="81"/>
      <c r="CNK3003" s="160"/>
      <c r="CNL3003" s="577"/>
      <c r="CNM3003" s="125"/>
      <c r="CNN3003" s="470"/>
      <c r="CNO3003" s="449"/>
      <c r="CNP3003" s="462"/>
      <c r="CNQ3003" s="299"/>
      <c r="CNR3003" s="81"/>
      <c r="CNS3003" s="160"/>
      <c r="CNT3003" s="577"/>
      <c r="CNU3003" s="125"/>
      <c r="CNV3003" s="470"/>
      <c r="CNW3003" s="449"/>
      <c r="CNX3003" s="462"/>
      <c r="CNY3003" s="299"/>
      <c r="CNZ3003" s="81"/>
      <c r="COA3003" s="160"/>
      <c r="COB3003" s="577"/>
      <c r="COC3003" s="125"/>
      <c r="COD3003" s="470"/>
      <c r="COE3003" s="449"/>
      <c r="COF3003" s="462"/>
      <c r="COG3003" s="299"/>
      <c r="COH3003" s="81"/>
      <c r="COI3003" s="160"/>
      <c r="COJ3003" s="577"/>
      <c r="COK3003" s="125"/>
      <c r="COL3003" s="470"/>
      <c r="COM3003" s="449"/>
      <c r="CON3003" s="462"/>
      <c r="COO3003" s="299"/>
      <c r="COP3003" s="81"/>
      <c r="COQ3003" s="160"/>
      <c r="COR3003" s="577"/>
      <c r="COS3003" s="125"/>
      <c r="COT3003" s="470"/>
      <c r="COU3003" s="449"/>
      <c r="COV3003" s="462"/>
      <c r="COW3003" s="299"/>
      <c r="COX3003" s="81"/>
      <c r="COY3003" s="160"/>
      <c r="COZ3003" s="577"/>
      <c r="CPA3003" s="125"/>
      <c r="CPB3003" s="470"/>
      <c r="CPC3003" s="449"/>
      <c r="CPD3003" s="462"/>
      <c r="CPE3003" s="299"/>
      <c r="CPF3003" s="81"/>
      <c r="CPG3003" s="160"/>
      <c r="CPH3003" s="577"/>
      <c r="CPI3003" s="125"/>
      <c r="CPJ3003" s="470"/>
      <c r="CPK3003" s="449"/>
      <c r="CPL3003" s="462"/>
      <c r="CPM3003" s="299"/>
      <c r="CPN3003" s="81"/>
      <c r="CPO3003" s="160"/>
      <c r="CPP3003" s="577"/>
      <c r="CPQ3003" s="125"/>
      <c r="CPR3003" s="470"/>
      <c r="CPS3003" s="449"/>
      <c r="CPT3003" s="462"/>
      <c r="CPU3003" s="299"/>
      <c r="CPV3003" s="81"/>
      <c r="CPW3003" s="160"/>
      <c r="CPX3003" s="577"/>
      <c r="CPY3003" s="125"/>
      <c r="CPZ3003" s="470"/>
      <c r="CQA3003" s="449"/>
      <c r="CQB3003" s="462"/>
      <c r="CQC3003" s="299"/>
      <c r="CQD3003" s="81"/>
      <c r="CQE3003" s="160"/>
      <c r="CQF3003" s="577"/>
      <c r="CQG3003" s="125"/>
      <c r="CQH3003" s="470"/>
      <c r="CQI3003" s="449"/>
      <c r="CQJ3003" s="462"/>
      <c r="CQK3003" s="299"/>
      <c r="CQL3003" s="81"/>
      <c r="CQM3003" s="160"/>
      <c r="CQN3003" s="577"/>
      <c r="CQO3003" s="125"/>
      <c r="CQP3003" s="470"/>
      <c r="CQQ3003" s="449"/>
      <c r="CQR3003" s="462"/>
      <c r="CQS3003" s="299"/>
      <c r="CQT3003" s="81"/>
      <c r="CQU3003" s="160"/>
      <c r="CQV3003" s="577"/>
      <c r="CQW3003" s="125"/>
      <c r="CQX3003" s="470"/>
      <c r="CQY3003" s="449"/>
      <c r="CQZ3003" s="462"/>
      <c r="CRA3003" s="299"/>
      <c r="CRB3003" s="81"/>
      <c r="CRC3003" s="160"/>
      <c r="CRD3003" s="577"/>
      <c r="CRE3003" s="125"/>
      <c r="CRF3003" s="470"/>
      <c r="CRG3003" s="449"/>
      <c r="CRH3003" s="462"/>
      <c r="CRI3003" s="299"/>
      <c r="CRJ3003" s="81"/>
      <c r="CRK3003" s="160"/>
      <c r="CRL3003" s="577"/>
      <c r="CRM3003" s="125"/>
      <c r="CRN3003" s="470"/>
      <c r="CRO3003" s="449"/>
      <c r="CRP3003" s="462"/>
      <c r="CRQ3003" s="299"/>
      <c r="CRR3003" s="81"/>
      <c r="CRS3003" s="160"/>
      <c r="CRT3003" s="577"/>
      <c r="CRU3003" s="125"/>
      <c r="CRV3003" s="470"/>
      <c r="CRW3003" s="449"/>
      <c r="CRX3003" s="462"/>
      <c r="CRY3003" s="299"/>
      <c r="CRZ3003" s="81"/>
      <c r="CSA3003" s="160"/>
      <c r="CSB3003" s="577"/>
      <c r="CSC3003" s="125"/>
      <c r="CSD3003" s="470"/>
      <c r="CSE3003" s="449"/>
      <c r="CSF3003" s="462"/>
      <c r="CSG3003" s="299"/>
      <c r="CSH3003" s="81"/>
      <c r="CSI3003" s="160"/>
      <c r="CSJ3003" s="577"/>
      <c r="CSK3003" s="125"/>
      <c r="CSL3003" s="470"/>
      <c r="CSM3003" s="449"/>
      <c r="CSN3003" s="462"/>
      <c r="CSO3003" s="299"/>
      <c r="CSP3003" s="81"/>
      <c r="CSQ3003" s="160"/>
      <c r="CSR3003" s="577"/>
      <c r="CSS3003" s="125"/>
      <c r="CST3003" s="470"/>
      <c r="CSU3003" s="449"/>
      <c r="CSV3003" s="462"/>
      <c r="CSW3003" s="299"/>
      <c r="CSX3003" s="81"/>
      <c r="CSY3003" s="160"/>
      <c r="CSZ3003" s="577"/>
      <c r="CTA3003" s="125"/>
      <c r="CTB3003" s="470"/>
      <c r="CTC3003" s="449"/>
      <c r="CTD3003" s="462"/>
      <c r="CTE3003" s="299"/>
      <c r="CTF3003" s="81"/>
      <c r="CTG3003" s="160"/>
      <c r="CTH3003" s="577"/>
      <c r="CTI3003" s="125"/>
      <c r="CTJ3003" s="470"/>
      <c r="CTK3003" s="449"/>
      <c r="CTL3003" s="462"/>
      <c r="CTM3003" s="299"/>
      <c r="CTN3003" s="81"/>
      <c r="CTO3003" s="160"/>
      <c r="CTP3003" s="577"/>
      <c r="CTQ3003" s="125"/>
      <c r="CTR3003" s="470"/>
      <c r="CTS3003" s="449"/>
      <c r="CTT3003" s="462"/>
      <c r="CTU3003" s="299"/>
      <c r="CTV3003" s="81"/>
      <c r="CTW3003" s="160"/>
      <c r="CTX3003" s="577"/>
      <c r="CTY3003" s="125"/>
      <c r="CTZ3003" s="470"/>
      <c r="CUA3003" s="449"/>
      <c r="CUB3003" s="462"/>
      <c r="CUC3003" s="299"/>
      <c r="CUD3003" s="81"/>
      <c r="CUE3003" s="160"/>
      <c r="CUF3003" s="577"/>
      <c r="CUG3003" s="125"/>
      <c r="CUH3003" s="470"/>
      <c r="CUI3003" s="449"/>
      <c r="CUJ3003" s="462"/>
      <c r="CUK3003" s="299"/>
      <c r="CUL3003" s="81"/>
      <c r="CUM3003" s="160"/>
      <c r="CUN3003" s="577"/>
      <c r="CUO3003" s="125"/>
      <c r="CUP3003" s="470"/>
      <c r="CUQ3003" s="449"/>
      <c r="CUR3003" s="462"/>
      <c r="CUS3003" s="299"/>
      <c r="CUT3003" s="81"/>
      <c r="CUU3003" s="160"/>
      <c r="CUV3003" s="577"/>
      <c r="CUW3003" s="125"/>
      <c r="CUX3003" s="470"/>
      <c r="CUY3003" s="449"/>
      <c r="CUZ3003" s="462"/>
      <c r="CVA3003" s="299"/>
      <c r="CVB3003" s="81"/>
      <c r="CVC3003" s="160"/>
      <c r="CVD3003" s="577"/>
      <c r="CVE3003" s="125"/>
      <c r="CVF3003" s="470"/>
      <c r="CVG3003" s="449"/>
      <c r="CVH3003" s="462"/>
      <c r="CVI3003" s="299"/>
      <c r="CVJ3003" s="81"/>
      <c r="CVK3003" s="160"/>
      <c r="CVL3003" s="577"/>
      <c r="CVM3003" s="125"/>
      <c r="CVN3003" s="470"/>
      <c r="CVO3003" s="449"/>
      <c r="CVP3003" s="462"/>
      <c r="CVQ3003" s="299"/>
      <c r="CVR3003" s="81"/>
      <c r="CVS3003" s="160"/>
      <c r="CVT3003" s="577"/>
      <c r="CVU3003" s="125"/>
      <c r="CVV3003" s="470"/>
      <c r="CVW3003" s="449"/>
      <c r="CVX3003" s="462"/>
      <c r="CVY3003" s="299"/>
      <c r="CVZ3003" s="81"/>
      <c r="CWA3003" s="160"/>
      <c r="CWB3003" s="577"/>
      <c r="CWC3003" s="125"/>
      <c r="CWD3003" s="470"/>
      <c r="CWE3003" s="449"/>
      <c r="CWF3003" s="462"/>
      <c r="CWG3003" s="299"/>
      <c r="CWH3003" s="81"/>
      <c r="CWI3003" s="160"/>
      <c r="CWJ3003" s="577"/>
      <c r="CWK3003" s="125"/>
      <c r="CWL3003" s="470"/>
      <c r="CWM3003" s="449"/>
      <c r="CWN3003" s="462"/>
      <c r="CWO3003" s="299"/>
      <c r="CWP3003" s="81"/>
      <c r="CWQ3003" s="160"/>
      <c r="CWR3003" s="577"/>
      <c r="CWS3003" s="125"/>
      <c r="CWT3003" s="470"/>
      <c r="CWU3003" s="449"/>
      <c r="CWV3003" s="462"/>
      <c r="CWW3003" s="299"/>
      <c r="CWX3003" s="81"/>
      <c r="CWY3003" s="160"/>
      <c r="CWZ3003" s="577"/>
      <c r="CXA3003" s="125"/>
      <c r="CXB3003" s="470"/>
      <c r="CXC3003" s="449"/>
      <c r="CXD3003" s="462"/>
      <c r="CXE3003" s="299"/>
      <c r="CXF3003" s="81"/>
      <c r="CXG3003" s="160"/>
      <c r="CXH3003" s="577"/>
      <c r="CXI3003" s="125"/>
      <c r="CXJ3003" s="470"/>
      <c r="CXK3003" s="449"/>
      <c r="CXL3003" s="462"/>
      <c r="CXM3003" s="299"/>
      <c r="CXN3003" s="81"/>
      <c r="CXO3003" s="160"/>
      <c r="CXP3003" s="577"/>
      <c r="CXQ3003" s="125"/>
      <c r="CXR3003" s="470"/>
      <c r="CXS3003" s="449"/>
      <c r="CXT3003" s="462"/>
      <c r="CXU3003" s="299"/>
      <c r="CXV3003" s="81"/>
      <c r="CXW3003" s="160"/>
      <c r="CXX3003" s="577"/>
      <c r="CXY3003" s="125"/>
      <c r="CXZ3003" s="470"/>
      <c r="CYA3003" s="449"/>
      <c r="CYB3003" s="462"/>
      <c r="CYC3003" s="299"/>
      <c r="CYD3003" s="81"/>
      <c r="CYE3003" s="160"/>
      <c r="CYF3003" s="577"/>
      <c r="CYG3003" s="125"/>
      <c r="CYH3003" s="470"/>
      <c r="CYI3003" s="449"/>
      <c r="CYJ3003" s="462"/>
      <c r="CYK3003" s="299"/>
      <c r="CYL3003" s="81"/>
      <c r="CYM3003" s="160"/>
      <c r="CYN3003" s="577"/>
      <c r="CYO3003" s="125"/>
      <c r="CYP3003" s="470"/>
      <c r="CYQ3003" s="449"/>
      <c r="CYR3003" s="462"/>
      <c r="CYS3003" s="299"/>
      <c r="CYT3003" s="81"/>
      <c r="CYU3003" s="160"/>
      <c r="CYV3003" s="577"/>
      <c r="CYW3003" s="125"/>
      <c r="CYX3003" s="470"/>
      <c r="CYY3003" s="449"/>
      <c r="CYZ3003" s="462"/>
      <c r="CZA3003" s="299"/>
      <c r="CZB3003" s="81"/>
      <c r="CZC3003" s="160"/>
      <c r="CZD3003" s="577"/>
      <c r="CZE3003" s="125"/>
      <c r="CZF3003" s="470"/>
      <c r="CZG3003" s="449"/>
      <c r="CZH3003" s="462"/>
      <c r="CZI3003" s="299"/>
      <c r="CZJ3003" s="81"/>
      <c r="CZK3003" s="160"/>
      <c r="CZL3003" s="577"/>
      <c r="CZM3003" s="125"/>
      <c r="CZN3003" s="470"/>
      <c r="CZO3003" s="449"/>
      <c r="CZP3003" s="462"/>
      <c r="CZQ3003" s="299"/>
      <c r="CZR3003" s="81"/>
      <c r="CZS3003" s="160"/>
      <c r="CZT3003" s="577"/>
      <c r="CZU3003" s="125"/>
      <c r="CZV3003" s="470"/>
      <c r="CZW3003" s="449"/>
      <c r="CZX3003" s="462"/>
      <c r="CZY3003" s="299"/>
      <c r="CZZ3003" s="81"/>
      <c r="DAA3003" s="160"/>
      <c r="DAB3003" s="577"/>
      <c r="DAC3003" s="125"/>
      <c r="DAD3003" s="470"/>
      <c r="DAE3003" s="449"/>
      <c r="DAF3003" s="462"/>
      <c r="DAG3003" s="299"/>
      <c r="DAH3003" s="81"/>
      <c r="DAI3003" s="160"/>
      <c r="DAJ3003" s="577"/>
      <c r="DAK3003" s="125"/>
      <c r="DAL3003" s="470"/>
      <c r="DAM3003" s="449"/>
      <c r="DAN3003" s="462"/>
      <c r="DAO3003" s="299"/>
      <c r="DAP3003" s="81"/>
      <c r="DAQ3003" s="160"/>
      <c r="DAR3003" s="577"/>
      <c r="DAS3003" s="125"/>
      <c r="DAT3003" s="470"/>
      <c r="DAU3003" s="449"/>
      <c r="DAV3003" s="462"/>
      <c r="DAW3003" s="299"/>
      <c r="DAX3003" s="81"/>
      <c r="DAY3003" s="160"/>
      <c r="DAZ3003" s="577"/>
      <c r="DBA3003" s="125"/>
      <c r="DBB3003" s="470"/>
      <c r="DBC3003" s="449"/>
      <c r="DBD3003" s="462"/>
      <c r="DBE3003" s="299"/>
      <c r="DBF3003" s="81"/>
      <c r="DBG3003" s="160"/>
      <c r="DBH3003" s="577"/>
      <c r="DBI3003" s="125"/>
      <c r="DBJ3003" s="470"/>
      <c r="DBK3003" s="449"/>
      <c r="DBL3003" s="462"/>
      <c r="DBM3003" s="299"/>
      <c r="DBN3003" s="81"/>
      <c r="DBO3003" s="160"/>
      <c r="DBP3003" s="577"/>
      <c r="DBQ3003" s="125"/>
      <c r="DBR3003" s="470"/>
      <c r="DBS3003" s="449"/>
      <c r="DBT3003" s="462"/>
      <c r="DBU3003" s="299"/>
      <c r="DBV3003" s="81"/>
      <c r="DBW3003" s="160"/>
      <c r="DBX3003" s="577"/>
      <c r="DBY3003" s="125"/>
      <c r="DBZ3003" s="470"/>
      <c r="DCA3003" s="449"/>
      <c r="DCB3003" s="462"/>
      <c r="DCC3003" s="299"/>
      <c r="DCD3003" s="81"/>
      <c r="DCE3003" s="160"/>
      <c r="DCF3003" s="577"/>
      <c r="DCG3003" s="125"/>
      <c r="DCH3003" s="470"/>
      <c r="DCI3003" s="449"/>
      <c r="DCJ3003" s="462"/>
      <c r="DCK3003" s="299"/>
      <c r="DCL3003" s="81"/>
      <c r="DCM3003" s="160"/>
      <c r="DCN3003" s="577"/>
      <c r="DCO3003" s="125"/>
      <c r="DCP3003" s="470"/>
      <c r="DCQ3003" s="449"/>
      <c r="DCR3003" s="462"/>
      <c r="DCS3003" s="299"/>
      <c r="DCT3003" s="81"/>
      <c r="DCU3003" s="160"/>
      <c r="DCV3003" s="577"/>
      <c r="DCW3003" s="125"/>
      <c r="DCX3003" s="470"/>
      <c r="DCY3003" s="449"/>
      <c r="DCZ3003" s="462"/>
      <c r="DDA3003" s="299"/>
      <c r="DDB3003" s="81"/>
      <c r="DDC3003" s="160"/>
      <c r="DDD3003" s="577"/>
      <c r="DDE3003" s="125"/>
      <c r="DDF3003" s="470"/>
      <c r="DDG3003" s="449"/>
      <c r="DDH3003" s="462"/>
      <c r="DDI3003" s="299"/>
      <c r="DDJ3003" s="81"/>
      <c r="DDK3003" s="160"/>
      <c r="DDL3003" s="577"/>
      <c r="DDM3003" s="125"/>
      <c r="DDN3003" s="470"/>
      <c r="DDO3003" s="449"/>
      <c r="DDP3003" s="462"/>
      <c r="DDQ3003" s="299"/>
      <c r="DDR3003" s="81"/>
      <c r="DDS3003" s="160"/>
      <c r="DDT3003" s="577"/>
      <c r="DDU3003" s="125"/>
      <c r="DDV3003" s="470"/>
      <c r="DDW3003" s="449"/>
      <c r="DDX3003" s="462"/>
      <c r="DDY3003" s="299"/>
      <c r="DDZ3003" s="81"/>
      <c r="DEA3003" s="160"/>
      <c r="DEB3003" s="577"/>
      <c r="DEC3003" s="125"/>
      <c r="DED3003" s="470"/>
      <c r="DEE3003" s="449"/>
      <c r="DEF3003" s="462"/>
      <c r="DEG3003" s="299"/>
      <c r="DEH3003" s="81"/>
      <c r="DEI3003" s="160"/>
      <c r="DEJ3003" s="577"/>
      <c r="DEK3003" s="125"/>
      <c r="DEL3003" s="470"/>
      <c r="DEM3003" s="449"/>
      <c r="DEN3003" s="462"/>
      <c r="DEO3003" s="299"/>
      <c r="DEP3003" s="81"/>
      <c r="DEQ3003" s="160"/>
      <c r="DER3003" s="577"/>
      <c r="DES3003" s="125"/>
      <c r="DET3003" s="470"/>
      <c r="DEU3003" s="449"/>
      <c r="DEV3003" s="462"/>
      <c r="DEW3003" s="299"/>
      <c r="DEX3003" s="81"/>
      <c r="DEY3003" s="160"/>
      <c r="DEZ3003" s="577"/>
      <c r="DFA3003" s="125"/>
      <c r="DFB3003" s="470"/>
      <c r="DFC3003" s="449"/>
      <c r="DFD3003" s="462"/>
      <c r="DFE3003" s="299"/>
      <c r="DFF3003" s="81"/>
      <c r="DFG3003" s="160"/>
      <c r="DFH3003" s="577"/>
      <c r="DFI3003" s="125"/>
      <c r="DFJ3003" s="470"/>
      <c r="DFK3003" s="449"/>
      <c r="DFL3003" s="462"/>
      <c r="DFM3003" s="299"/>
      <c r="DFN3003" s="81"/>
      <c r="DFO3003" s="160"/>
      <c r="DFP3003" s="577"/>
      <c r="DFQ3003" s="125"/>
      <c r="DFR3003" s="470"/>
      <c r="DFS3003" s="449"/>
      <c r="DFT3003" s="462"/>
      <c r="DFU3003" s="299"/>
      <c r="DFV3003" s="81"/>
      <c r="DFW3003" s="160"/>
      <c r="DFX3003" s="577"/>
      <c r="DFY3003" s="125"/>
      <c r="DFZ3003" s="470"/>
      <c r="DGA3003" s="449"/>
      <c r="DGB3003" s="462"/>
      <c r="DGC3003" s="299"/>
      <c r="DGD3003" s="81"/>
      <c r="DGE3003" s="160"/>
      <c r="DGF3003" s="577"/>
      <c r="DGG3003" s="125"/>
      <c r="DGH3003" s="470"/>
      <c r="DGI3003" s="449"/>
      <c r="DGJ3003" s="462"/>
      <c r="DGK3003" s="299"/>
      <c r="DGL3003" s="81"/>
      <c r="DGM3003" s="160"/>
      <c r="DGN3003" s="577"/>
      <c r="DGO3003" s="125"/>
      <c r="DGP3003" s="470"/>
      <c r="DGQ3003" s="449"/>
      <c r="DGR3003" s="462"/>
      <c r="DGS3003" s="299"/>
      <c r="DGT3003" s="81"/>
      <c r="DGU3003" s="160"/>
      <c r="DGV3003" s="577"/>
      <c r="DGW3003" s="125"/>
      <c r="DGX3003" s="470"/>
      <c r="DGY3003" s="449"/>
      <c r="DGZ3003" s="462"/>
      <c r="DHA3003" s="299"/>
      <c r="DHB3003" s="81"/>
      <c r="DHC3003" s="160"/>
      <c r="DHD3003" s="577"/>
      <c r="DHE3003" s="125"/>
      <c r="DHF3003" s="470"/>
      <c r="DHG3003" s="449"/>
      <c r="DHH3003" s="462"/>
      <c r="DHI3003" s="299"/>
      <c r="DHJ3003" s="81"/>
      <c r="DHK3003" s="160"/>
      <c r="DHL3003" s="577"/>
      <c r="DHM3003" s="125"/>
      <c r="DHN3003" s="470"/>
      <c r="DHO3003" s="449"/>
      <c r="DHP3003" s="462"/>
      <c r="DHQ3003" s="299"/>
      <c r="DHR3003" s="81"/>
      <c r="DHS3003" s="160"/>
      <c r="DHT3003" s="577"/>
      <c r="DHU3003" s="125"/>
      <c r="DHV3003" s="470"/>
      <c r="DHW3003" s="449"/>
      <c r="DHX3003" s="462"/>
      <c r="DHY3003" s="299"/>
      <c r="DHZ3003" s="81"/>
      <c r="DIA3003" s="160"/>
      <c r="DIB3003" s="577"/>
      <c r="DIC3003" s="125"/>
      <c r="DID3003" s="470"/>
      <c r="DIE3003" s="449"/>
      <c r="DIF3003" s="462"/>
      <c r="DIG3003" s="299"/>
      <c r="DIH3003" s="81"/>
      <c r="DII3003" s="160"/>
      <c r="DIJ3003" s="577"/>
      <c r="DIK3003" s="125"/>
      <c r="DIL3003" s="470"/>
      <c r="DIM3003" s="449"/>
      <c r="DIN3003" s="462"/>
      <c r="DIO3003" s="299"/>
      <c r="DIP3003" s="81"/>
      <c r="DIQ3003" s="160"/>
      <c r="DIR3003" s="577"/>
      <c r="DIS3003" s="125"/>
      <c r="DIT3003" s="470"/>
      <c r="DIU3003" s="449"/>
      <c r="DIV3003" s="462"/>
      <c r="DIW3003" s="299"/>
      <c r="DIX3003" s="81"/>
      <c r="DIY3003" s="160"/>
      <c r="DIZ3003" s="577"/>
      <c r="DJA3003" s="125"/>
      <c r="DJB3003" s="470"/>
      <c r="DJC3003" s="449"/>
      <c r="DJD3003" s="462"/>
      <c r="DJE3003" s="299"/>
      <c r="DJF3003" s="81"/>
      <c r="DJG3003" s="160"/>
      <c r="DJH3003" s="577"/>
      <c r="DJI3003" s="125"/>
      <c r="DJJ3003" s="470"/>
      <c r="DJK3003" s="449"/>
      <c r="DJL3003" s="462"/>
      <c r="DJM3003" s="299"/>
      <c r="DJN3003" s="81"/>
      <c r="DJO3003" s="160"/>
      <c r="DJP3003" s="577"/>
      <c r="DJQ3003" s="125"/>
      <c r="DJR3003" s="470"/>
      <c r="DJS3003" s="449"/>
      <c r="DJT3003" s="462"/>
      <c r="DJU3003" s="299"/>
      <c r="DJV3003" s="81"/>
      <c r="DJW3003" s="160"/>
      <c r="DJX3003" s="577"/>
      <c r="DJY3003" s="125"/>
      <c r="DJZ3003" s="470"/>
      <c r="DKA3003" s="449"/>
      <c r="DKB3003" s="462"/>
      <c r="DKC3003" s="299"/>
      <c r="DKD3003" s="81"/>
      <c r="DKE3003" s="160"/>
      <c r="DKF3003" s="577"/>
      <c r="DKG3003" s="125"/>
      <c r="DKH3003" s="470"/>
      <c r="DKI3003" s="449"/>
      <c r="DKJ3003" s="462"/>
      <c r="DKK3003" s="299"/>
      <c r="DKL3003" s="81"/>
      <c r="DKM3003" s="160"/>
      <c r="DKN3003" s="577"/>
      <c r="DKO3003" s="125"/>
      <c r="DKP3003" s="470"/>
      <c r="DKQ3003" s="449"/>
      <c r="DKR3003" s="462"/>
      <c r="DKS3003" s="299"/>
      <c r="DKT3003" s="81"/>
      <c r="DKU3003" s="160"/>
      <c r="DKV3003" s="577"/>
      <c r="DKW3003" s="125"/>
      <c r="DKX3003" s="470"/>
      <c r="DKY3003" s="449"/>
      <c r="DKZ3003" s="462"/>
      <c r="DLA3003" s="299"/>
      <c r="DLB3003" s="81"/>
      <c r="DLC3003" s="160"/>
      <c r="DLD3003" s="577"/>
      <c r="DLE3003" s="125"/>
      <c r="DLF3003" s="470"/>
      <c r="DLG3003" s="449"/>
      <c r="DLH3003" s="462"/>
      <c r="DLI3003" s="299"/>
      <c r="DLJ3003" s="81"/>
      <c r="DLK3003" s="160"/>
      <c r="DLL3003" s="577"/>
      <c r="DLM3003" s="125"/>
      <c r="DLN3003" s="470"/>
      <c r="DLO3003" s="449"/>
      <c r="DLP3003" s="462"/>
      <c r="DLQ3003" s="299"/>
      <c r="DLR3003" s="81"/>
      <c r="DLS3003" s="160"/>
      <c r="DLT3003" s="577"/>
      <c r="DLU3003" s="125"/>
      <c r="DLV3003" s="470"/>
      <c r="DLW3003" s="449"/>
      <c r="DLX3003" s="462"/>
      <c r="DLY3003" s="299"/>
      <c r="DLZ3003" s="81"/>
      <c r="DMA3003" s="160"/>
      <c r="DMB3003" s="577"/>
      <c r="DMC3003" s="125"/>
      <c r="DMD3003" s="470"/>
      <c r="DME3003" s="449"/>
      <c r="DMF3003" s="462"/>
      <c r="DMG3003" s="299"/>
      <c r="DMH3003" s="81"/>
      <c r="DMI3003" s="160"/>
      <c r="DMJ3003" s="577"/>
      <c r="DMK3003" s="125"/>
      <c r="DML3003" s="470"/>
      <c r="DMM3003" s="449"/>
      <c r="DMN3003" s="462"/>
      <c r="DMO3003" s="299"/>
      <c r="DMP3003" s="81"/>
      <c r="DMQ3003" s="160"/>
      <c r="DMR3003" s="577"/>
      <c r="DMS3003" s="125"/>
      <c r="DMT3003" s="470"/>
      <c r="DMU3003" s="449"/>
      <c r="DMV3003" s="462"/>
      <c r="DMW3003" s="299"/>
      <c r="DMX3003" s="81"/>
      <c r="DMY3003" s="160"/>
      <c r="DMZ3003" s="577"/>
      <c r="DNA3003" s="125"/>
      <c r="DNB3003" s="470"/>
      <c r="DNC3003" s="449"/>
      <c r="DND3003" s="462"/>
      <c r="DNE3003" s="299"/>
      <c r="DNF3003" s="81"/>
      <c r="DNG3003" s="160"/>
      <c r="DNH3003" s="577"/>
      <c r="DNI3003" s="125"/>
      <c r="DNJ3003" s="470"/>
      <c r="DNK3003" s="449"/>
      <c r="DNL3003" s="462"/>
      <c r="DNM3003" s="299"/>
      <c r="DNN3003" s="81"/>
      <c r="DNO3003" s="160"/>
      <c r="DNP3003" s="577"/>
      <c r="DNQ3003" s="125"/>
      <c r="DNR3003" s="470"/>
      <c r="DNS3003" s="449"/>
      <c r="DNT3003" s="462"/>
      <c r="DNU3003" s="299"/>
      <c r="DNV3003" s="81"/>
      <c r="DNW3003" s="160"/>
      <c r="DNX3003" s="577"/>
      <c r="DNY3003" s="125"/>
      <c r="DNZ3003" s="470"/>
      <c r="DOA3003" s="449"/>
      <c r="DOB3003" s="462"/>
      <c r="DOC3003" s="299"/>
      <c r="DOD3003" s="81"/>
      <c r="DOE3003" s="160"/>
      <c r="DOF3003" s="577"/>
      <c r="DOG3003" s="125"/>
      <c r="DOH3003" s="470"/>
      <c r="DOI3003" s="449"/>
      <c r="DOJ3003" s="462"/>
      <c r="DOK3003" s="299"/>
      <c r="DOL3003" s="81"/>
      <c r="DOM3003" s="160"/>
      <c r="DON3003" s="577"/>
      <c r="DOO3003" s="125"/>
      <c r="DOP3003" s="470"/>
      <c r="DOQ3003" s="449"/>
      <c r="DOR3003" s="462"/>
      <c r="DOS3003" s="299"/>
      <c r="DOT3003" s="81"/>
      <c r="DOU3003" s="160"/>
      <c r="DOV3003" s="577"/>
      <c r="DOW3003" s="125"/>
      <c r="DOX3003" s="470"/>
      <c r="DOY3003" s="449"/>
      <c r="DOZ3003" s="462"/>
      <c r="DPA3003" s="299"/>
      <c r="DPB3003" s="81"/>
      <c r="DPC3003" s="160"/>
      <c r="DPD3003" s="577"/>
      <c r="DPE3003" s="125"/>
      <c r="DPF3003" s="470"/>
      <c r="DPG3003" s="449"/>
      <c r="DPH3003" s="462"/>
      <c r="DPI3003" s="299"/>
      <c r="DPJ3003" s="81"/>
      <c r="DPK3003" s="160"/>
      <c r="DPL3003" s="577"/>
      <c r="DPM3003" s="125"/>
      <c r="DPN3003" s="470"/>
      <c r="DPO3003" s="449"/>
      <c r="DPP3003" s="462"/>
      <c r="DPQ3003" s="299"/>
      <c r="DPR3003" s="81"/>
      <c r="DPS3003" s="160"/>
      <c r="DPT3003" s="577"/>
      <c r="DPU3003" s="125"/>
      <c r="DPV3003" s="470"/>
      <c r="DPW3003" s="449"/>
      <c r="DPX3003" s="462"/>
      <c r="DPY3003" s="299"/>
      <c r="DPZ3003" s="81"/>
      <c r="DQA3003" s="160"/>
      <c r="DQB3003" s="577"/>
      <c r="DQC3003" s="125"/>
      <c r="DQD3003" s="470"/>
      <c r="DQE3003" s="449"/>
      <c r="DQF3003" s="462"/>
      <c r="DQG3003" s="299"/>
      <c r="DQH3003" s="81"/>
      <c r="DQI3003" s="160"/>
      <c r="DQJ3003" s="577"/>
      <c r="DQK3003" s="125"/>
      <c r="DQL3003" s="470"/>
      <c r="DQM3003" s="449"/>
      <c r="DQN3003" s="462"/>
      <c r="DQO3003" s="299"/>
      <c r="DQP3003" s="81"/>
      <c r="DQQ3003" s="160"/>
      <c r="DQR3003" s="577"/>
      <c r="DQS3003" s="125"/>
      <c r="DQT3003" s="470"/>
      <c r="DQU3003" s="449"/>
      <c r="DQV3003" s="462"/>
      <c r="DQW3003" s="299"/>
      <c r="DQX3003" s="81"/>
      <c r="DQY3003" s="160"/>
      <c r="DQZ3003" s="577"/>
      <c r="DRA3003" s="125"/>
      <c r="DRB3003" s="470"/>
      <c r="DRC3003" s="449"/>
      <c r="DRD3003" s="462"/>
      <c r="DRE3003" s="299"/>
      <c r="DRF3003" s="81"/>
      <c r="DRG3003" s="160"/>
      <c r="DRH3003" s="577"/>
      <c r="DRI3003" s="125"/>
      <c r="DRJ3003" s="470"/>
      <c r="DRK3003" s="449"/>
      <c r="DRL3003" s="462"/>
      <c r="DRM3003" s="299"/>
      <c r="DRN3003" s="81"/>
      <c r="DRO3003" s="160"/>
      <c r="DRP3003" s="577"/>
      <c r="DRQ3003" s="125"/>
      <c r="DRR3003" s="470"/>
      <c r="DRS3003" s="449"/>
      <c r="DRT3003" s="462"/>
      <c r="DRU3003" s="299"/>
      <c r="DRV3003" s="81"/>
      <c r="DRW3003" s="160"/>
      <c r="DRX3003" s="577"/>
      <c r="DRY3003" s="125"/>
      <c r="DRZ3003" s="470"/>
      <c r="DSA3003" s="449"/>
      <c r="DSB3003" s="462"/>
      <c r="DSC3003" s="299"/>
      <c r="DSD3003" s="81"/>
      <c r="DSE3003" s="160"/>
      <c r="DSF3003" s="577"/>
      <c r="DSG3003" s="125"/>
      <c r="DSH3003" s="470"/>
      <c r="DSI3003" s="449"/>
      <c r="DSJ3003" s="462"/>
      <c r="DSK3003" s="299"/>
      <c r="DSL3003" s="81"/>
      <c r="DSM3003" s="160"/>
      <c r="DSN3003" s="577"/>
      <c r="DSO3003" s="125"/>
      <c r="DSP3003" s="470"/>
      <c r="DSQ3003" s="449"/>
      <c r="DSR3003" s="462"/>
      <c r="DSS3003" s="299"/>
      <c r="DST3003" s="81"/>
      <c r="DSU3003" s="160"/>
      <c r="DSV3003" s="577"/>
      <c r="DSW3003" s="125"/>
      <c r="DSX3003" s="470"/>
      <c r="DSY3003" s="449"/>
      <c r="DSZ3003" s="462"/>
      <c r="DTA3003" s="299"/>
      <c r="DTB3003" s="81"/>
      <c r="DTC3003" s="160"/>
      <c r="DTD3003" s="577"/>
      <c r="DTE3003" s="125"/>
      <c r="DTF3003" s="470"/>
      <c r="DTG3003" s="449"/>
      <c r="DTH3003" s="462"/>
      <c r="DTI3003" s="299"/>
      <c r="DTJ3003" s="81"/>
      <c r="DTK3003" s="160"/>
      <c r="DTL3003" s="577"/>
      <c r="DTM3003" s="125"/>
      <c r="DTN3003" s="470"/>
      <c r="DTO3003" s="449"/>
      <c r="DTP3003" s="462"/>
      <c r="DTQ3003" s="299"/>
      <c r="DTR3003" s="81"/>
      <c r="DTS3003" s="160"/>
      <c r="DTT3003" s="577"/>
      <c r="DTU3003" s="125"/>
      <c r="DTV3003" s="470"/>
      <c r="DTW3003" s="449"/>
      <c r="DTX3003" s="462"/>
      <c r="DTY3003" s="299"/>
      <c r="DTZ3003" s="81"/>
      <c r="DUA3003" s="160"/>
      <c r="DUB3003" s="577"/>
      <c r="DUC3003" s="125"/>
      <c r="DUD3003" s="470"/>
      <c r="DUE3003" s="449"/>
      <c r="DUF3003" s="462"/>
      <c r="DUG3003" s="299"/>
      <c r="DUH3003" s="81"/>
      <c r="DUI3003" s="160"/>
      <c r="DUJ3003" s="577"/>
      <c r="DUK3003" s="125"/>
      <c r="DUL3003" s="470"/>
      <c r="DUM3003" s="449"/>
      <c r="DUN3003" s="462"/>
      <c r="DUO3003" s="299"/>
      <c r="DUP3003" s="81"/>
      <c r="DUQ3003" s="160"/>
      <c r="DUR3003" s="577"/>
      <c r="DUS3003" s="125"/>
      <c r="DUT3003" s="470"/>
      <c r="DUU3003" s="449"/>
      <c r="DUV3003" s="462"/>
      <c r="DUW3003" s="299"/>
      <c r="DUX3003" s="81"/>
      <c r="DUY3003" s="160"/>
      <c r="DUZ3003" s="577"/>
      <c r="DVA3003" s="125"/>
      <c r="DVB3003" s="470"/>
      <c r="DVC3003" s="449"/>
      <c r="DVD3003" s="462"/>
      <c r="DVE3003" s="299"/>
      <c r="DVF3003" s="81"/>
      <c r="DVG3003" s="160"/>
      <c r="DVH3003" s="577"/>
      <c r="DVI3003" s="125"/>
      <c r="DVJ3003" s="470"/>
      <c r="DVK3003" s="449"/>
      <c r="DVL3003" s="462"/>
      <c r="DVM3003" s="299"/>
      <c r="DVN3003" s="81"/>
      <c r="DVO3003" s="160"/>
      <c r="DVP3003" s="577"/>
      <c r="DVQ3003" s="125"/>
      <c r="DVR3003" s="470"/>
      <c r="DVS3003" s="449"/>
      <c r="DVT3003" s="462"/>
      <c r="DVU3003" s="299"/>
      <c r="DVV3003" s="81"/>
      <c r="DVW3003" s="160"/>
      <c r="DVX3003" s="577"/>
      <c r="DVY3003" s="125"/>
      <c r="DVZ3003" s="470"/>
      <c r="DWA3003" s="449"/>
      <c r="DWB3003" s="462"/>
      <c r="DWC3003" s="299"/>
      <c r="DWD3003" s="81"/>
      <c r="DWE3003" s="160"/>
      <c r="DWF3003" s="577"/>
      <c r="DWG3003" s="125"/>
      <c r="DWH3003" s="470"/>
      <c r="DWI3003" s="449"/>
      <c r="DWJ3003" s="462"/>
      <c r="DWK3003" s="299"/>
      <c r="DWL3003" s="81"/>
      <c r="DWM3003" s="160"/>
      <c r="DWN3003" s="577"/>
      <c r="DWO3003" s="125"/>
      <c r="DWP3003" s="470"/>
      <c r="DWQ3003" s="449"/>
      <c r="DWR3003" s="462"/>
      <c r="DWS3003" s="299"/>
      <c r="DWT3003" s="81"/>
      <c r="DWU3003" s="160"/>
      <c r="DWV3003" s="577"/>
      <c r="DWW3003" s="125"/>
      <c r="DWX3003" s="470"/>
      <c r="DWY3003" s="449"/>
      <c r="DWZ3003" s="462"/>
      <c r="DXA3003" s="299"/>
      <c r="DXB3003" s="81"/>
      <c r="DXC3003" s="160"/>
      <c r="DXD3003" s="577"/>
      <c r="DXE3003" s="125"/>
      <c r="DXF3003" s="470"/>
      <c r="DXG3003" s="449"/>
      <c r="DXH3003" s="462"/>
      <c r="DXI3003" s="299"/>
      <c r="DXJ3003" s="81"/>
      <c r="DXK3003" s="160"/>
      <c r="DXL3003" s="577"/>
      <c r="DXM3003" s="125"/>
      <c r="DXN3003" s="470"/>
      <c r="DXO3003" s="449"/>
      <c r="DXP3003" s="462"/>
      <c r="DXQ3003" s="299"/>
      <c r="DXR3003" s="81"/>
      <c r="DXS3003" s="160"/>
      <c r="DXT3003" s="577"/>
      <c r="DXU3003" s="125"/>
      <c r="DXV3003" s="470"/>
      <c r="DXW3003" s="449"/>
      <c r="DXX3003" s="462"/>
      <c r="DXY3003" s="299"/>
      <c r="DXZ3003" s="81"/>
      <c r="DYA3003" s="160"/>
      <c r="DYB3003" s="577"/>
      <c r="DYC3003" s="125"/>
      <c r="DYD3003" s="470"/>
      <c r="DYE3003" s="449"/>
      <c r="DYF3003" s="462"/>
      <c r="DYG3003" s="299"/>
      <c r="DYH3003" s="81"/>
      <c r="DYI3003" s="160"/>
      <c r="DYJ3003" s="577"/>
      <c r="DYK3003" s="125"/>
      <c r="DYL3003" s="470"/>
      <c r="DYM3003" s="449"/>
      <c r="DYN3003" s="462"/>
      <c r="DYO3003" s="299"/>
      <c r="DYP3003" s="81"/>
      <c r="DYQ3003" s="160"/>
      <c r="DYR3003" s="577"/>
      <c r="DYS3003" s="125"/>
      <c r="DYT3003" s="470"/>
      <c r="DYU3003" s="449"/>
      <c r="DYV3003" s="462"/>
      <c r="DYW3003" s="299"/>
      <c r="DYX3003" s="81"/>
      <c r="DYY3003" s="160"/>
      <c r="DYZ3003" s="577"/>
      <c r="DZA3003" s="125"/>
      <c r="DZB3003" s="470"/>
      <c r="DZC3003" s="449"/>
      <c r="DZD3003" s="462"/>
      <c r="DZE3003" s="299"/>
      <c r="DZF3003" s="81"/>
      <c r="DZG3003" s="160"/>
      <c r="DZH3003" s="577"/>
      <c r="DZI3003" s="125"/>
      <c r="DZJ3003" s="470"/>
      <c r="DZK3003" s="449"/>
      <c r="DZL3003" s="462"/>
      <c r="DZM3003" s="299"/>
      <c r="DZN3003" s="81"/>
      <c r="DZO3003" s="160"/>
      <c r="DZP3003" s="577"/>
      <c r="DZQ3003" s="125"/>
      <c r="DZR3003" s="470"/>
      <c r="DZS3003" s="449"/>
      <c r="DZT3003" s="462"/>
      <c r="DZU3003" s="299"/>
      <c r="DZV3003" s="81"/>
      <c r="DZW3003" s="160"/>
      <c r="DZX3003" s="577"/>
      <c r="DZY3003" s="125"/>
      <c r="DZZ3003" s="470"/>
      <c r="EAA3003" s="449"/>
      <c r="EAB3003" s="462"/>
      <c r="EAC3003" s="299"/>
      <c r="EAD3003" s="81"/>
      <c r="EAE3003" s="160"/>
      <c r="EAF3003" s="577"/>
      <c r="EAG3003" s="125"/>
      <c r="EAH3003" s="470"/>
      <c r="EAI3003" s="449"/>
      <c r="EAJ3003" s="462"/>
      <c r="EAK3003" s="299"/>
      <c r="EAL3003" s="81"/>
      <c r="EAM3003" s="160"/>
      <c r="EAN3003" s="577"/>
      <c r="EAO3003" s="125"/>
      <c r="EAP3003" s="470"/>
      <c r="EAQ3003" s="449"/>
      <c r="EAR3003" s="462"/>
      <c r="EAS3003" s="299"/>
      <c r="EAT3003" s="81"/>
      <c r="EAU3003" s="160"/>
      <c r="EAV3003" s="577"/>
      <c r="EAW3003" s="125"/>
      <c r="EAX3003" s="470"/>
      <c r="EAY3003" s="449"/>
      <c r="EAZ3003" s="462"/>
      <c r="EBA3003" s="299"/>
      <c r="EBB3003" s="81"/>
      <c r="EBC3003" s="160"/>
      <c r="EBD3003" s="577"/>
      <c r="EBE3003" s="125"/>
      <c r="EBF3003" s="470"/>
      <c r="EBG3003" s="449"/>
      <c r="EBH3003" s="462"/>
      <c r="EBI3003" s="299"/>
      <c r="EBJ3003" s="81"/>
      <c r="EBK3003" s="160"/>
      <c r="EBL3003" s="577"/>
      <c r="EBM3003" s="125"/>
      <c r="EBN3003" s="470"/>
      <c r="EBO3003" s="449"/>
      <c r="EBP3003" s="462"/>
      <c r="EBQ3003" s="299"/>
      <c r="EBR3003" s="81"/>
      <c r="EBS3003" s="160"/>
      <c r="EBT3003" s="577"/>
      <c r="EBU3003" s="125"/>
      <c r="EBV3003" s="470"/>
      <c r="EBW3003" s="449"/>
      <c r="EBX3003" s="462"/>
      <c r="EBY3003" s="299"/>
      <c r="EBZ3003" s="81"/>
      <c r="ECA3003" s="160"/>
      <c r="ECB3003" s="577"/>
      <c r="ECC3003" s="125"/>
      <c r="ECD3003" s="470"/>
      <c r="ECE3003" s="449"/>
      <c r="ECF3003" s="462"/>
      <c r="ECG3003" s="299"/>
      <c r="ECH3003" s="81"/>
      <c r="ECI3003" s="160"/>
      <c r="ECJ3003" s="577"/>
      <c r="ECK3003" s="125"/>
      <c r="ECL3003" s="470"/>
      <c r="ECM3003" s="449"/>
      <c r="ECN3003" s="462"/>
      <c r="ECO3003" s="299"/>
      <c r="ECP3003" s="81"/>
      <c r="ECQ3003" s="160"/>
      <c r="ECR3003" s="577"/>
      <c r="ECS3003" s="125"/>
      <c r="ECT3003" s="470"/>
      <c r="ECU3003" s="449"/>
      <c r="ECV3003" s="462"/>
      <c r="ECW3003" s="299"/>
      <c r="ECX3003" s="81"/>
      <c r="ECY3003" s="160"/>
      <c r="ECZ3003" s="577"/>
      <c r="EDA3003" s="125"/>
      <c r="EDB3003" s="470"/>
      <c r="EDC3003" s="449"/>
      <c r="EDD3003" s="462"/>
      <c r="EDE3003" s="299"/>
      <c r="EDF3003" s="81"/>
      <c r="EDG3003" s="160"/>
      <c r="EDH3003" s="577"/>
      <c r="EDI3003" s="125"/>
      <c r="EDJ3003" s="470"/>
      <c r="EDK3003" s="449"/>
      <c r="EDL3003" s="462"/>
      <c r="EDM3003" s="299"/>
      <c r="EDN3003" s="81"/>
      <c r="EDO3003" s="160"/>
      <c r="EDP3003" s="577"/>
      <c r="EDQ3003" s="125"/>
      <c r="EDR3003" s="470"/>
      <c r="EDS3003" s="449"/>
      <c r="EDT3003" s="462"/>
      <c r="EDU3003" s="299"/>
      <c r="EDV3003" s="81"/>
      <c r="EDW3003" s="160"/>
      <c r="EDX3003" s="577"/>
      <c r="EDY3003" s="125"/>
      <c r="EDZ3003" s="470"/>
      <c r="EEA3003" s="449"/>
      <c r="EEB3003" s="462"/>
      <c r="EEC3003" s="299"/>
      <c r="EED3003" s="81"/>
      <c r="EEE3003" s="160"/>
      <c r="EEF3003" s="577"/>
      <c r="EEG3003" s="125"/>
      <c r="EEH3003" s="470"/>
      <c r="EEI3003" s="449"/>
      <c r="EEJ3003" s="462"/>
      <c r="EEK3003" s="299"/>
      <c r="EEL3003" s="81"/>
      <c r="EEM3003" s="160"/>
      <c r="EEN3003" s="577"/>
      <c r="EEO3003" s="125"/>
      <c r="EEP3003" s="470"/>
      <c r="EEQ3003" s="449"/>
      <c r="EER3003" s="462"/>
      <c r="EES3003" s="299"/>
      <c r="EET3003" s="81"/>
      <c r="EEU3003" s="160"/>
      <c r="EEV3003" s="577"/>
      <c r="EEW3003" s="125"/>
      <c r="EEX3003" s="470"/>
      <c r="EEY3003" s="449"/>
      <c r="EEZ3003" s="462"/>
      <c r="EFA3003" s="299"/>
      <c r="EFB3003" s="81"/>
      <c r="EFC3003" s="160"/>
      <c r="EFD3003" s="577"/>
      <c r="EFE3003" s="125"/>
      <c r="EFF3003" s="470"/>
      <c r="EFG3003" s="449"/>
      <c r="EFH3003" s="462"/>
      <c r="EFI3003" s="299"/>
      <c r="EFJ3003" s="81"/>
      <c r="EFK3003" s="160"/>
      <c r="EFL3003" s="577"/>
      <c r="EFM3003" s="125"/>
      <c r="EFN3003" s="470"/>
      <c r="EFO3003" s="449"/>
      <c r="EFP3003" s="462"/>
      <c r="EFQ3003" s="299"/>
      <c r="EFR3003" s="81"/>
      <c r="EFS3003" s="160"/>
      <c r="EFT3003" s="577"/>
      <c r="EFU3003" s="125"/>
      <c r="EFV3003" s="470"/>
      <c r="EFW3003" s="449"/>
      <c r="EFX3003" s="462"/>
      <c r="EFY3003" s="299"/>
      <c r="EFZ3003" s="81"/>
      <c r="EGA3003" s="160"/>
      <c r="EGB3003" s="577"/>
      <c r="EGC3003" s="125"/>
      <c r="EGD3003" s="470"/>
      <c r="EGE3003" s="449"/>
      <c r="EGF3003" s="462"/>
      <c r="EGG3003" s="299"/>
      <c r="EGH3003" s="81"/>
      <c r="EGI3003" s="160"/>
      <c r="EGJ3003" s="577"/>
      <c r="EGK3003" s="125"/>
      <c r="EGL3003" s="470"/>
      <c r="EGM3003" s="449"/>
      <c r="EGN3003" s="462"/>
      <c r="EGO3003" s="299"/>
      <c r="EGP3003" s="81"/>
      <c r="EGQ3003" s="160"/>
      <c r="EGR3003" s="577"/>
      <c r="EGS3003" s="125"/>
      <c r="EGT3003" s="470"/>
      <c r="EGU3003" s="449"/>
      <c r="EGV3003" s="462"/>
      <c r="EGW3003" s="299"/>
      <c r="EGX3003" s="81"/>
      <c r="EGY3003" s="160"/>
      <c r="EGZ3003" s="577"/>
      <c r="EHA3003" s="125"/>
      <c r="EHB3003" s="470"/>
      <c r="EHC3003" s="449"/>
      <c r="EHD3003" s="462"/>
      <c r="EHE3003" s="299"/>
      <c r="EHF3003" s="81"/>
      <c r="EHG3003" s="160"/>
      <c r="EHH3003" s="577"/>
      <c r="EHI3003" s="125"/>
      <c r="EHJ3003" s="470"/>
      <c r="EHK3003" s="449"/>
      <c r="EHL3003" s="462"/>
      <c r="EHM3003" s="299"/>
      <c r="EHN3003" s="81"/>
      <c r="EHO3003" s="160"/>
      <c r="EHP3003" s="577"/>
      <c r="EHQ3003" s="125"/>
      <c r="EHR3003" s="470"/>
      <c r="EHS3003" s="449"/>
      <c r="EHT3003" s="462"/>
      <c r="EHU3003" s="299"/>
      <c r="EHV3003" s="81"/>
      <c r="EHW3003" s="160"/>
      <c r="EHX3003" s="577"/>
      <c r="EHY3003" s="125"/>
      <c r="EHZ3003" s="470"/>
      <c r="EIA3003" s="449"/>
      <c r="EIB3003" s="462"/>
      <c r="EIC3003" s="299"/>
      <c r="EID3003" s="81"/>
      <c r="EIE3003" s="160"/>
      <c r="EIF3003" s="577"/>
      <c r="EIG3003" s="125"/>
      <c r="EIH3003" s="470"/>
      <c r="EII3003" s="449"/>
      <c r="EIJ3003" s="462"/>
      <c r="EIK3003" s="299"/>
      <c r="EIL3003" s="81"/>
      <c r="EIM3003" s="160"/>
      <c r="EIN3003" s="577"/>
      <c r="EIO3003" s="125"/>
      <c r="EIP3003" s="470"/>
      <c r="EIQ3003" s="449"/>
      <c r="EIR3003" s="462"/>
      <c r="EIS3003" s="299"/>
      <c r="EIT3003" s="81"/>
      <c r="EIU3003" s="160"/>
      <c r="EIV3003" s="577"/>
      <c r="EIW3003" s="125"/>
      <c r="EIX3003" s="470"/>
      <c r="EIY3003" s="449"/>
      <c r="EIZ3003" s="462"/>
      <c r="EJA3003" s="299"/>
      <c r="EJB3003" s="81"/>
      <c r="EJC3003" s="160"/>
      <c r="EJD3003" s="577"/>
      <c r="EJE3003" s="125"/>
      <c r="EJF3003" s="470"/>
      <c r="EJG3003" s="449"/>
      <c r="EJH3003" s="462"/>
      <c r="EJI3003" s="299"/>
      <c r="EJJ3003" s="81"/>
      <c r="EJK3003" s="160"/>
      <c r="EJL3003" s="577"/>
      <c r="EJM3003" s="125"/>
      <c r="EJN3003" s="470"/>
      <c r="EJO3003" s="449"/>
      <c r="EJP3003" s="462"/>
      <c r="EJQ3003" s="299"/>
      <c r="EJR3003" s="81"/>
      <c r="EJS3003" s="160"/>
      <c r="EJT3003" s="577"/>
      <c r="EJU3003" s="125"/>
      <c r="EJV3003" s="470"/>
      <c r="EJW3003" s="449"/>
      <c r="EJX3003" s="462"/>
      <c r="EJY3003" s="299"/>
      <c r="EJZ3003" s="81"/>
      <c r="EKA3003" s="160"/>
      <c r="EKB3003" s="577"/>
      <c r="EKC3003" s="125"/>
      <c r="EKD3003" s="470"/>
      <c r="EKE3003" s="449"/>
      <c r="EKF3003" s="462"/>
      <c r="EKG3003" s="299"/>
      <c r="EKH3003" s="81"/>
      <c r="EKI3003" s="160"/>
      <c r="EKJ3003" s="577"/>
      <c r="EKK3003" s="125"/>
      <c r="EKL3003" s="470"/>
      <c r="EKM3003" s="449"/>
      <c r="EKN3003" s="462"/>
      <c r="EKO3003" s="299"/>
      <c r="EKP3003" s="81"/>
      <c r="EKQ3003" s="160"/>
      <c r="EKR3003" s="577"/>
      <c r="EKS3003" s="125"/>
      <c r="EKT3003" s="470"/>
      <c r="EKU3003" s="449"/>
      <c r="EKV3003" s="462"/>
      <c r="EKW3003" s="299"/>
      <c r="EKX3003" s="81"/>
      <c r="EKY3003" s="160"/>
      <c r="EKZ3003" s="577"/>
      <c r="ELA3003" s="125"/>
      <c r="ELB3003" s="470"/>
      <c r="ELC3003" s="449"/>
      <c r="ELD3003" s="462"/>
      <c r="ELE3003" s="299"/>
      <c r="ELF3003" s="81"/>
      <c r="ELG3003" s="160"/>
      <c r="ELH3003" s="577"/>
      <c r="ELI3003" s="125"/>
      <c r="ELJ3003" s="470"/>
      <c r="ELK3003" s="449"/>
      <c r="ELL3003" s="462"/>
      <c r="ELM3003" s="299"/>
      <c r="ELN3003" s="81"/>
      <c r="ELO3003" s="160"/>
      <c r="ELP3003" s="577"/>
      <c r="ELQ3003" s="125"/>
      <c r="ELR3003" s="470"/>
      <c r="ELS3003" s="449"/>
      <c r="ELT3003" s="462"/>
      <c r="ELU3003" s="299"/>
      <c r="ELV3003" s="81"/>
      <c r="ELW3003" s="160"/>
      <c r="ELX3003" s="577"/>
      <c r="ELY3003" s="125"/>
      <c r="ELZ3003" s="470"/>
      <c r="EMA3003" s="449"/>
      <c r="EMB3003" s="462"/>
      <c r="EMC3003" s="299"/>
      <c r="EMD3003" s="81"/>
      <c r="EME3003" s="160"/>
      <c r="EMF3003" s="577"/>
      <c r="EMG3003" s="125"/>
      <c r="EMH3003" s="470"/>
      <c r="EMI3003" s="449"/>
      <c r="EMJ3003" s="462"/>
      <c r="EMK3003" s="299"/>
      <c r="EML3003" s="81"/>
      <c r="EMM3003" s="160"/>
      <c r="EMN3003" s="577"/>
      <c r="EMO3003" s="125"/>
      <c r="EMP3003" s="470"/>
      <c r="EMQ3003" s="449"/>
      <c r="EMR3003" s="462"/>
      <c r="EMS3003" s="299"/>
      <c r="EMT3003" s="81"/>
      <c r="EMU3003" s="160"/>
      <c r="EMV3003" s="577"/>
      <c r="EMW3003" s="125"/>
      <c r="EMX3003" s="470"/>
      <c r="EMY3003" s="449"/>
      <c r="EMZ3003" s="462"/>
      <c r="ENA3003" s="299"/>
      <c r="ENB3003" s="81"/>
      <c r="ENC3003" s="160"/>
      <c r="END3003" s="577"/>
      <c r="ENE3003" s="125"/>
      <c r="ENF3003" s="470"/>
      <c r="ENG3003" s="449"/>
      <c r="ENH3003" s="462"/>
      <c r="ENI3003" s="299"/>
      <c r="ENJ3003" s="81"/>
      <c r="ENK3003" s="160"/>
      <c r="ENL3003" s="577"/>
      <c r="ENM3003" s="125"/>
      <c r="ENN3003" s="470"/>
      <c r="ENO3003" s="449"/>
      <c r="ENP3003" s="462"/>
      <c r="ENQ3003" s="299"/>
      <c r="ENR3003" s="81"/>
      <c r="ENS3003" s="160"/>
      <c r="ENT3003" s="577"/>
      <c r="ENU3003" s="125"/>
      <c r="ENV3003" s="470"/>
      <c r="ENW3003" s="449"/>
      <c r="ENX3003" s="462"/>
      <c r="ENY3003" s="299"/>
      <c r="ENZ3003" s="81"/>
      <c r="EOA3003" s="160"/>
      <c r="EOB3003" s="577"/>
      <c r="EOC3003" s="125"/>
      <c r="EOD3003" s="470"/>
      <c r="EOE3003" s="449"/>
      <c r="EOF3003" s="462"/>
      <c r="EOG3003" s="299"/>
      <c r="EOH3003" s="81"/>
      <c r="EOI3003" s="160"/>
      <c r="EOJ3003" s="577"/>
      <c r="EOK3003" s="125"/>
      <c r="EOL3003" s="470"/>
      <c r="EOM3003" s="449"/>
      <c r="EON3003" s="462"/>
      <c r="EOO3003" s="299"/>
      <c r="EOP3003" s="81"/>
      <c r="EOQ3003" s="160"/>
      <c r="EOR3003" s="577"/>
      <c r="EOS3003" s="125"/>
      <c r="EOT3003" s="470"/>
      <c r="EOU3003" s="449"/>
      <c r="EOV3003" s="462"/>
      <c r="EOW3003" s="299"/>
      <c r="EOX3003" s="81"/>
      <c r="EOY3003" s="160"/>
      <c r="EOZ3003" s="577"/>
      <c r="EPA3003" s="125"/>
      <c r="EPB3003" s="470"/>
      <c r="EPC3003" s="449"/>
      <c r="EPD3003" s="462"/>
      <c r="EPE3003" s="299"/>
      <c r="EPF3003" s="81"/>
      <c r="EPG3003" s="160"/>
      <c r="EPH3003" s="577"/>
      <c r="EPI3003" s="125"/>
      <c r="EPJ3003" s="470"/>
      <c r="EPK3003" s="449"/>
      <c r="EPL3003" s="462"/>
      <c r="EPM3003" s="299"/>
      <c r="EPN3003" s="81"/>
      <c r="EPO3003" s="160"/>
      <c r="EPP3003" s="577"/>
      <c r="EPQ3003" s="125"/>
      <c r="EPR3003" s="470"/>
      <c r="EPS3003" s="449"/>
      <c r="EPT3003" s="462"/>
      <c r="EPU3003" s="299"/>
      <c r="EPV3003" s="81"/>
      <c r="EPW3003" s="160"/>
      <c r="EPX3003" s="577"/>
      <c r="EPY3003" s="125"/>
      <c r="EPZ3003" s="470"/>
      <c r="EQA3003" s="449"/>
      <c r="EQB3003" s="462"/>
      <c r="EQC3003" s="299"/>
      <c r="EQD3003" s="81"/>
      <c r="EQE3003" s="160"/>
      <c r="EQF3003" s="577"/>
      <c r="EQG3003" s="125"/>
      <c r="EQH3003" s="470"/>
      <c r="EQI3003" s="449"/>
      <c r="EQJ3003" s="462"/>
      <c r="EQK3003" s="299"/>
      <c r="EQL3003" s="81"/>
      <c r="EQM3003" s="160"/>
      <c r="EQN3003" s="577"/>
      <c r="EQO3003" s="125"/>
      <c r="EQP3003" s="470"/>
      <c r="EQQ3003" s="449"/>
      <c r="EQR3003" s="462"/>
      <c r="EQS3003" s="299"/>
      <c r="EQT3003" s="81"/>
      <c r="EQU3003" s="160"/>
      <c r="EQV3003" s="577"/>
      <c r="EQW3003" s="125"/>
      <c r="EQX3003" s="470"/>
      <c r="EQY3003" s="449"/>
      <c r="EQZ3003" s="462"/>
      <c r="ERA3003" s="299"/>
      <c r="ERB3003" s="81"/>
      <c r="ERC3003" s="160"/>
      <c r="ERD3003" s="577"/>
      <c r="ERE3003" s="125"/>
      <c r="ERF3003" s="470"/>
      <c r="ERG3003" s="449"/>
      <c r="ERH3003" s="462"/>
      <c r="ERI3003" s="299"/>
      <c r="ERJ3003" s="81"/>
      <c r="ERK3003" s="160"/>
      <c r="ERL3003" s="577"/>
      <c r="ERM3003" s="125"/>
      <c r="ERN3003" s="470"/>
      <c r="ERO3003" s="449"/>
      <c r="ERP3003" s="462"/>
      <c r="ERQ3003" s="299"/>
      <c r="ERR3003" s="81"/>
      <c r="ERS3003" s="160"/>
      <c r="ERT3003" s="577"/>
      <c r="ERU3003" s="125"/>
      <c r="ERV3003" s="470"/>
      <c r="ERW3003" s="449"/>
      <c r="ERX3003" s="462"/>
      <c r="ERY3003" s="299"/>
      <c r="ERZ3003" s="81"/>
      <c r="ESA3003" s="160"/>
      <c r="ESB3003" s="577"/>
      <c r="ESC3003" s="125"/>
      <c r="ESD3003" s="470"/>
      <c r="ESE3003" s="449"/>
      <c r="ESF3003" s="462"/>
      <c r="ESG3003" s="299"/>
      <c r="ESH3003" s="81"/>
      <c r="ESI3003" s="160"/>
      <c r="ESJ3003" s="577"/>
      <c r="ESK3003" s="125"/>
      <c r="ESL3003" s="470"/>
      <c r="ESM3003" s="449"/>
      <c r="ESN3003" s="462"/>
      <c r="ESO3003" s="299"/>
      <c r="ESP3003" s="81"/>
      <c r="ESQ3003" s="160"/>
      <c r="ESR3003" s="577"/>
      <c r="ESS3003" s="125"/>
      <c r="EST3003" s="470"/>
      <c r="ESU3003" s="449"/>
      <c r="ESV3003" s="462"/>
      <c r="ESW3003" s="299"/>
      <c r="ESX3003" s="81"/>
      <c r="ESY3003" s="160"/>
      <c r="ESZ3003" s="577"/>
      <c r="ETA3003" s="125"/>
      <c r="ETB3003" s="470"/>
      <c r="ETC3003" s="449"/>
      <c r="ETD3003" s="462"/>
      <c r="ETE3003" s="299"/>
      <c r="ETF3003" s="81"/>
      <c r="ETG3003" s="160"/>
      <c r="ETH3003" s="577"/>
      <c r="ETI3003" s="125"/>
      <c r="ETJ3003" s="470"/>
      <c r="ETK3003" s="449"/>
      <c r="ETL3003" s="462"/>
      <c r="ETM3003" s="299"/>
      <c r="ETN3003" s="81"/>
      <c r="ETO3003" s="160"/>
      <c r="ETP3003" s="577"/>
      <c r="ETQ3003" s="125"/>
      <c r="ETR3003" s="470"/>
      <c r="ETS3003" s="449"/>
      <c r="ETT3003" s="462"/>
      <c r="ETU3003" s="299"/>
      <c r="ETV3003" s="81"/>
      <c r="ETW3003" s="160"/>
      <c r="ETX3003" s="577"/>
      <c r="ETY3003" s="125"/>
      <c r="ETZ3003" s="470"/>
      <c r="EUA3003" s="449"/>
      <c r="EUB3003" s="462"/>
      <c r="EUC3003" s="299"/>
      <c r="EUD3003" s="81"/>
      <c r="EUE3003" s="160"/>
      <c r="EUF3003" s="577"/>
      <c r="EUG3003" s="125"/>
      <c r="EUH3003" s="470"/>
      <c r="EUI3003" s="449"/>
      <c r="EUJ3003" s="462"/>
      <c r="EUK3003" s="299"/>
      <c r="EUL3003" s="81"/>
      <c r="EUM3003" s="160"/>
      <c r="EUN3003" s="577"/>
      <c r="EUO3003" s="125"/>
      <c r="EUP3003" s="470"/>
      <c r="EUQ3003" s="449"/>
      <c r="EUR3003" s="462"/>
      <c r="EUS3003" s="299"/>
      <c r="EUT3003" s="81"/>
      <c r="EUU3003" s="160"/>
      <c r="EUV3003" s="577"/>
      <c r="EUW3003" s="125"/>
      <c r="EUX3003" s="470"/>
      <c r="EUY3003" s="449"/>
      <c r="EUZ3003" s="462"/>
      <c r="EVA3003" s="299"/>
      <c r="EVB3003" s="81"/>
      <c r="EVC3003" s="160"/>
      <c r="EVD3003" s="577"/>
      <c r="EVE3003" s="125"/>
      <c r="EVF3003" s="470"/>
      <c r="EVG3003" s="449"/>
      <c r="EVH3003" s="462"/>
      <c r="EVI3003" s="299"/>
      <c r="EVJ3003" s="81"/>
      <c r="EVK3003" s="160"/>
      <c r="EVL3003" s="577"/>
      <c r="EVM3003" s="125"/>
      <c r="EVN3003" s="470"/>
      <c r="EVO3003" s="449"/>
      <c r="EVP3003" s="462"/>
      <c r="EVQ3003" s="299"/>
      <c r="EVR3003" s="81"/>
      <c r="EVS3003" s="160"/>
      <c r="EVT3003" s="577"/>
      <c r="EVU3003" s="125"/>
      <c r="EVV3003" s="470"/>
      <c r="EVW3003" s="449"/>
      <c r="EVX3003" s="462"/>
      <c r="EVY3003" s="299"/>
      <c r="EVZ3003" s="81"/>
      <c r="EWA3003" s="160"/>
      <c r="EWB3003" s="577"/>
      <c r="EWC3003" s="125"/>
      <c r="EWD3003" s="470"/>
      <c r="EWE3003" s="449"/>
      <c r="EWF3003" s="462"/>
      <c r="EWG3003" s="299"/>
      <c r="EWH3003" s="81"/>
      <c r="EWI3003" s="160"/>
      <c r="EWJ3003" s="577"/>
      <c r="EWK3003" s="125"/>
      <c r="EWL3003" s="470"/>
      <c r="EWM3003" s="449"/>
      <c r="EWN3003" s="462"/>
      <c r="EWO3003" s="299"/>
      <c r="EWP3003" s="81"/>
      <c r="EWQ3003" s="160"/>
      <c r="EWR3003" s="577"/>
      <c r="EWS3003" s="125"/>
      <c r="EWT3003" s="470"/>
      <c r="EWU3003" s="449"/>
      <c r="EWV3003" s="462"/>
      <c r="EWW3003" s="299"/>
      <c r="EWX3003" s="81"/>
      <c r="EWY3003" s="160"/>
      <c r="EWZ3003" s="577"/>
      <c r="EXA3003" s="125"/>
      <c r="EXB3003" s="470"/>
      <c r="EXC3003" s="449"/>
      <c r="EXD3003" s="462"/>
      <c r="EXE3003" s="299"/>
      <c r="EXF3003" s="81"/>
      <c r="EXG3003" s="160"/>
      <c r="EXH3003" s="577"/>
      <c r="EXI3003" s="125"/>
      <c r="EXJ3003" s="470"/>
      <c r="EXK3003" s="449"/>
      <c r="EXL3003" s="462"/>
      <c r="EXM3003" s="299"/>
      <c r="EXN3003" s="81"/>
      <c r="EXO3003" s="160"/>
      <c r="EXP3003" s="577"/>
      <c r="EXQ3003" s="125"/>
      <c r="EXR3003" s="470"/>
      <c r="EXS3003" s="449"/>
      <c r="EXT3003" s="462"/>
      <c r="EXU3003" s="299"/>
      <c r="EXV3003" s="81"/>
      <c r="EXW3003" s="160"/>
      <c r="EXX3003" s="577"/>
      <c r="EXY3003" s="125"/>
      <c r="EXZ3003" s="470"/>
      <c r="EYA3003" s="449"/>
      <c r="EYB3003" s="462"/>
      <c r="EYC3003" s="299"/>
      <c r="EYD3003" s="81"/>
      <c r="EYE3003" s="160"/>
      <c r="EYF3003" s="577"/>
      <c r="EYG3003" s="125"/>
      <c r="EYH3003" s="470"/>
      <c r="EYI3003" s="449"/>
      <c r="EYJ3003" s="462"/>
      <c r="EYK3003" s="299"/>
      <c r="EYL3003" s="81"/>
      <c r="EYM3003" s="160"/>
      <c r="EYN3003" s="577"/>
      <c r="EYO3003" s="125"/>
      <c r="EYP3003" s="470"/>
      <c r="EYQ3003" s="449"/>
      <c r="EYR3003" s="462"/>
      <c r="EYS3003" s="299"/>
      <c r="EYT3003" s="81"/>
      <c r="EYU3003" s="160"/>
      <c r="EYV3003" s="577"/>
      <c r="EYW3003" s="125"/>
      <c r="EYX3003" s="470"/>
      <c r="EYY3003" s="449"/>
      <c r="EYZ3003" s="462"/>
      <c r="EZA3003" s="299"/>
      <c r="EZB3003" s="81"/>
      <c r="EZC3003" s="160"/>
      <c r="EZD3003" s="577"/>
      <c r="EZE3003" s="125"/>
      <c r="EZF3003" s="470"/>
      <c r="EZG3003" s="449"/>
      <c r="EZH3003" s="462"/>
      <c r="EZI3003" s="299"/>
      <c r="EZJ3003" s="81"/>
      <c r="EZK3003" s="160"/>
      <c r="EZL3003" s="577"/>
      <c r="EZM3003" s="125"/>
      <c r="EZN3003" s="470"/>
      <c r="EZO3003" s="449"/>
      <c r="EZP3003" s="462"/>
      <c r="EZQ3003" s="299"/>
      <c r="EZR3003" s="81"/>
      <c r="EZS3003" s="160"/>
      <c r="EZT3003" s="577"/>
      <c r="EZU3003" s="125"/>
      <c r="EZV3003" s="470"/>
      <c r="EZW3003" s="449"/>
      <c r="EZX3003" s="462"/>
      <c r="EZY3003" s="299"/>
      <c r="EZZ3003" s="81"/>
      <c r="FAA3003" s="160"/>
      <c r="FAB3003" s="577"/>
      <c r="FAC3003" s="125"/>
      <c r="FAD3003" s="470"/>
      <c r="FAE3003" s="449"/>
      <c r="FAF3003" s="462"/>
      <c r="FAG3003" s="299"/>
      <c r="FAH3003" s="81"/>
      <c r="FAI3003" s="160"/>
      <c r="FAJ3003" s="577"/>
      <c r="FAK3003" s="125"/>
      <c r="FAL3003" s="470"/>
      <c r="FAM3003" s="449"/>
      <c r="FAN3003" s="462"/>
      <c r="FAO3003" s="299"/>
      <c r="FAP3003" s="81"/>
      <c r="FAQ3003" s="160"/>
      <c r="FAR3003" s="577"/>
      <c r="FAS3003" s="125"/>
      <c r="FAT3003" s="470"/>
      <c r="FAU3003" s="449"/>
      <c r="FAV3003" s="462"/>
      <c r="FAW3003" s="299"/>
      <c r="FAX3003" s="81"/>
      <c r="FAY3003" s="160"/>
      <c r="FAZ3003" s="577"/>
      <c r="FBA3003" s="125"/>
      <c r="FBB3003" s="470"/>
      <c r="FBC3003" s="449"/>
      <c r="FBD3003" s="462"/>
      <c r="FBE3003" s="299"/>
      <c r="FBF3003" s="81"/>
      <c r="FBG3003" s="160"/>
      <c r="FBH3003" s="577"/>
      <c r="FBI3003" s="125"/>
      <c r="FBJ3003" s="470"/>
      <c r="FBK3003" s="449"/>
      <c r="FBL3003" s="462"/>
      <c r="FBM3003" s="299"/>
      <c r="FBN3003" s="81"/>
      <c r="FBO3003" s="160"/>
      <c r="FBP3003" s="577"/>
      <c r="FBQ3003" s="125"/>
      <c r="FBR3003" s="470"/>
      <c r="FBS3003" s="449"/>
      <c r="FBT3003" s="462"/>
      <c r="FBU3003" s="299"/>
      <c r="FBV3003" s="81"/>
      <c r="FBW3003" s="160"/>
      <c r="FBX3003" s="577"/>
      <c r="FBY3003" s="125"/>
      <c r="FBZ3003" s="470"/>
      <c r="FCA3003" s="449"/>
      <c r="FCB3003" s="462"/>
      <c r="FCC3003" s="299"/>
      <c r="FCD3003" s="81"/>
      <c r="FCE3003" s="160"/>
      <c r="FCF3003" s="577"/>
      <c r="FCG3003" s="125"/>
      <c r="FCH3003" s="470"/>
      <c r="FCI3003" s="449"/>
      <c r="FCJ3003" s="462"/>
      <c r="FCK3003" s="299"/>
      <c r="FCL3003" s="81"/>
      <c r="FCM3003" s="160"/>
      <c r="FCN3003" s="577"/>
      <c r="FCO3003" s="125"/>
      <c r="FCP3003" s="470"/>
      <c r="FCQ3003" s="449"/>
      <c r="FCR3003" s="462"/>
      <c r="FCS3003" s="299"/>
      <c r="FCT3003" s="81"/>
      <c r="FCU3003" s="160"/>
      <c r="FCV3003" s="577"/>
      <c r="FCW3003" s="125"/>
      <c r="FCX3003" s="470"/>
      <c r="FCY3003" s="449"/>
      <c r="FCZ3003" s="462"/>
      <c r="FDA3003" s="299"/>
      <c r="FDB3003" s="81"/>
      <c r="FDC3003" s="160"/>
      <c r="FDD3003" s="577"/>
      <c r="FDE3003" s="125"/>
      <c r="FDF3003" s="470"/>
      <c r="FDG3003" s="449"/>
      <c r="FDH3003" s="462"/>
      <c r="FDI3003" s="299"/>
      <c r="FDJ3003" s="81"/>
      <c r="FDK3003" s="160"/>
      <c r="FDL3003" s="577"/>
      <c r="FDM3003" s="125"/>
      <c r="FDN3003" s="470"/>
      <c r="FDO3003" s="449"/>
      <c r="FDP3003" s="462"/>
      <c r="FDQ3003" s="299"/>
      <c r="FDR3003" s="81"/>
      <c r="FDS3003" s="160"/>
      <c r="FDT3003" s="577"/>
      <c r="FDU3003" s="125"/>
      <c r="FDV3003" s="470"/>
      <c r="FDW3003" s="449"/>
      <c r="FDX3003" s="462"/>
      <c r="FDY3003" s="299"/>
      <c r="FDZ3003" s="81"/>
      <c r="FEA3003" s="160"/>
      <c r="FEB3003" s="577"/>
      <c r="FEC3003" s="125"/>
      <c r="FED3003" s="470"/>
      <c r="FEE3003" s="449"/>
      <c r="FEF3003" s="462"/>
      <c r="FEG3003" s="299"/>
      <c r="FEH3003" s="81"/>
      <c r="FEI3003" s="160"/>
      <c r="FEJ3003" s="577"/>
      <c r="FEK3003" s="125"/>
      <c r="FEL3003" s="470"/>
      <c r="FEM3003" s="449"/>
      <c r="FEN3003" s="462"/>
      <c r="FEO3003" s="299"/>
      <c r="FEP3003" s="81"/>
      <c r="FEQ3003" s="160"/>
      <c r="FER3003" s="577"/>
      <c r="FES3003" s="125"/>
      <c r="FET3003" s="470"/>
      <c r="FEU3003" s="449"/>
      <c r="FEV3003" s="462"/>
      <c r="FEW3003" s="299"/>
      <c r="FEX3003" s="81"/>
      <c r="FEY3003" s="160"/>
      <c r="FEZ3003" s="577"/>
      <c r="FFA3003" s="125"/>
      <c r="FFB3003" s="470"/>
      <c r="FFC3003" s="449"/>
      <c r="FFD3003" s="462"/>
      <c r="FFE3003" s="299"/>
      <c r="FFF3003" s="81"/>
      <c r="FFG3003" s="160"/>
      <c r="FFH3003" s="577"/>
      <c r="FFI3003" s="125"/>
      <c r="FFJ3003" s="470"/>
      <c r="FFK3003" s="449"/>
      <c r="FFL3003" s="462"/>
      <c r="FFM3003" s="299"/>
      <c r="FFN3003" s="81"/>
      <c r="FFO3003" s="160"/>
      <c r="FFP3003" s="577"/>
      <c r="FFQ3003" s="125"/>
      <c r="FFR3003" s="470"/>
      <c r="FFS3003" s="449"/>
      <c r="FFT3003" s="462"/>
      <c r="FFU3003" s="299"/>
      <c r="FFV3003" s="81"/>
      <c r="FFW3003" s="160"/>
      <c r="FFX3003" s="577"/>
      <c r="FFY3003" s="125"/>
      <c r="FFZ3003" s="470"/>
      <c r="FGA3003" s="449"/>
      <c r="FGB3003" s="462"/>
      <c r="FGC3003" s="299"/>
      <c r="FGD3003" s="81"/>
      <c r="FGE3003" s="160"/>
      <c r="FGF3003" s="577"/>
      <c r="FGG3003" s="125"/>
      <c r="FGH3003" s="470"/>
      <c r="FGI3003" s="449"/>
      <c r="FGJ3003" s="462"/>
      <c r="FGK3003" s="299"/>
      <c r="FGL3003" s="81"/>
      <c r="FGM3003" s="160"/>
      <c r="FGN3003" s="577"/>
      <c r="FGO3003" s="125"/>
      <c r="FGP3003" s="470"/>
      <c r="FGQ3003" s="449"/>
      <c r="FGR3003" s="462"/>
      <c r="FGS3003" s="299"/>
      <c r="FGT3003" s="81"/>
      <c r="FGU3003" s="160"/>
      <c r="FGV3003" s="577"/>
      <c r="FGW3003" s="125"/>
      <c r="FGX3003" s="470"/>
      <c r="FGY3003" s="449"/>
      <c r="FGZ3003" s="462"/>
      <c r="FHA3003" s="299"/>
      <c r="FHB3003" s="81"/>
      <c r="FHC3003" s="160"/>
      <c r="FHD3003" s="577"/>
      <c r="FHE3003" s="125"/>
      <c r="FHF3003" s="470"/>
      <c r="FHG3003" s="449"/>
      <c r="FHH3003" s="462"/>
      <c r="FHI3003" s="299"/>
      <c r="FHJ3003" s="81"/>
      <c r="FHK3003" s="160"/>
      <c r="FHL3003" s="577"/>
      <c r="FHM3003" s="125"/>
      <c r="FHN3003" s="470"/>
      <c r="FHO3003" s="449"/>
      <c r="FHP3003" s="462"/>
      <c r="FHQ3003" s="299"/>
      <c r="FHR3003" s="81"/>
      <c r="FHS3003" s="160"/>
      <c r="FHT3003" s="577"/>
      <c r="FHU3003" s="125"/>
      <c r="FHV3003" s="470"/>
      <c r="FHW3003" s="449"/>
      <c r="FHX3003" s="462"/>
      <c r="FHY3003" s="299"/>
      <c r="FHZ3003" s="81"/>
      <c r="FIA3003" s="160"/>
      <c r="FIB3003" s="577"/>
      <c r="FIC3003" s="125"/>
      <c r="FID3003" s="470"/>
      <c r="FIE3003" s="449"/>
      <c r="FIF3003" s="462"/>
      <c r="FIG3003" s="299"/>
      <c r="FIH3003" s="81"/>
      <c r="FII3003" s="160"/>
      <c r="FIJ3003" s="577"/>
      <c r="FIK3003" s="125"/>
      <c r="FIL3003" s="470"/>
      <c r="FIM3003" s="449"/>
      <c r="FIN3003" s="462"/>
      <c r="FIO3003" s="299"/>
      <c r="FIP3003" s="81"/>
      <c r="FIQ3003" s="160"/>
      <c r="FIR3003" s="577"/>
      <c r="FIS3003" s="125"/>
      <c r="FIT3003" s="470"/>
      <c r="FIU3003" s="449"/>
      <c r="FIV3003" s="462"/>
      <c r="FIW3003" s="299"/>
      <c r="FIX3003" s="81"/>
      <c r="FIY3003" s="160"/>
      <c r="FIZ3003" s="577"/>
      <c r="FJA3003" s="125"/>
      <c r="FJB3003" s="470"/>
      <c r="FJC3003" s="449"/>
      <c r="FJD3003" s="462"/>
      <c r="FJE3003" s="299"/>
      <c r="FJF3003" s="81"/>
      <c r="FJG3003" s="160"/>
      <c r="FJH3003" s="577"/>
      <c r="FJI3003" s="125"/>
      <c r="FJJ3003" s="470"/>
      <c r="FJK3003" s="449"/>
      <c r="FJL3003" s="462"/>
      <c r="FJM3003" s="299"/>
      <c r="FJN3003" s="81"/>
      <c r="FJO3003" s="160"/>
      <c r="FJP3003" s="577"/>
      <c r="FJQ3003" s="125"/>
      <c r="FJR3003" s="470"/>
      <c r="FJS3003" s="449"/>
      <c r="FJT3003" s="462"/>
      <c r="FJU3003" s="299"/>
      <c r="FJV3003" s="81"/>
      <c r="FJW3003" s="160"/>
      <c r="FJX3003" s="577"/>
      <c r="FJY3003" s="125"/>
      <c r="FJZ3003" s="470"/>
      <c r="FKA3003" s="449"/>
      <c r="FKB3003" s="462"/>
      <c r="FKC3003" s="299"/>
      <c r="FKD3003" s="81"/>
      <c r="FKE3003" s="160"/>
      <c r="FKF3003" s="577"/>
      <c r="FKG3003" s="125"/>
      <c r="FKH3003" s="470"/>
      <c r="FKI3003" s="449"/>
      <c r="FKJ3003" s="462"/>
      <c r="FKK3003" s="299"/>
      <c r="FKL3003" s="81"/>
      <c r="FKM3003" s="160"/>
      <c r="FKN3003" s="577"/>
      <c r="FKO3003" s="125"/>
      <c r="FKP3003" s="470"/>
      <c r="FKQ3003" s="449"/>
      <c r="FKR3003" s="462"/>
      <c r="FKS3003" s="299"/>
      <c r="FKT3003" s="81"/>
      <c r="FKU3003" s="160"/>
      <c r="FKV3003" s="577"/>
      <c r="FKW3003" s="125"/>
      <c r="FKX3003" s="470"/>
      <c r="FKY3003" s="449"/>
      <c r="FKZ3003" s="462"/>
      <c r="FLA3003" s="299"/>
      <c r="FLB3003" s="81"/>
      <c r="FLC3003" s="160"/>
      <c r="FLD3003" s="577"/>
      <c r="FLE3003" s="125"/>
      <c r="FLF3003" s="470"/>
      <c r="FLG3003" s="449"/>
      <c r="FLH3003" s="462"/>
      <c r="FLI3003" s="299"/>
      <c r="FLJ3003" s="81"/>
      <c r="FLK3003" s="160"/>
      <c r="FLL3003" s="577"/>
      <c r="FLM3003" s="125"/>
      <c r="FLN3003" s="470"/>
      <c r="FLO3003" s="449"/>
      <c r="FLP3003" s="462"/>
      <c r="FLQ3003" s="299"/>
      <c r="FLR3003" s="81"/>
      <c r="FLS3003" s="160"/>
      <c r="FLT3003" s="577"/>
      <c r="FLU3003" s="125"/>
      <c r="FLV3003" s="470"/>
      <c r="FLW3003" s="449"/>
      <c r="FLX3003" s="462"/>
      <c r="FLY3003" s="299"/>
      <c r="FLZ3003" s="81"/>
      <c r="FMA3003" s="160"/>
      <c r="FMB3003" s="577"/>
      <c r="FMC3003" s="125"/>
      <c r="FMD3003" s="470"/>
      <c r="FME3003" s="449"/>
      <c r="FMF3003" s="462"/>
      <c r="FMG3003" s="299"/>
      <c r="FMH3003" s="81"/>
      <c r="FMI3003" s="160"/>
      <c r="FMJ3003" s="577"/>
      <c r="FMK3003" s="125"/>
      <c r="FML3003" s="470"/>
      <c r="FMM3003" s="449"/>
      <c r="FMN3003" s="462"/>
      <c r="FMO3003" s="299"/>
      <c r="FMP3003" s="81"/>
      <c r="FMQ3003" s="160"/>
      <c r="FMR3003" s="577"/>
      <c r="FMS3003" s="125"/>
      <c r="FMT3003" s="470"/>
      <c r="FMU3003" s="449"/>
      <c r="FMV3003" s="462"/>
      <c r="FMW3003" s="299"/>
      <c r="FMX3003" s="81"/>
      <c r="FMY3003" s="160"/>
      <c r="FMZ3003" s="577"/>
      <c r="FNA3003" s="125"/>
      <c r="FNB3003" s="470"/>
      <c r="FNC3003" s="449"/>
      <c r="FND3003" s="462"/>
      <c r="FNE3003" s="299"/>
      <c r="FNF3003" s="81"/>
      <c r="FNG3003" s="160"/>
      <c r="FNH3003" s="577"/>
      <c r="FNI3003" s="125"/>
      <c r="FNJ3003" s="470"/>
      <c r="FNK3003" s="449"/>
      <c r="FNL3003" s="462"/>
      <c r="FNM3003" s="299"/>
      <c r="FNN3003" s="81"/>
      <c r="FNO3003" s="160"/>
      <c r="FNP3003" s="577"/>
      <c r="FNQ3003" s="125"/>
      <c r="FNR3003" s="470"/>
      <c r="FNS3003" s="449"/>
      <c r="FNT3003" s="462"/>
      <c r="FNU3003" s="299"/>
      <c r="FNV3003" s="81"/>
      <c r="FNW3003" s="160"/>
      <c r="FNX3003" s="577"/>
      <c r="FNY3003" s="125"/>
      <c r="FNZ3003" s="470"/>
      <c r="FOA3003" s="449"/>
      <c r="FOB3003" s="462"/>
      <c r="FOC3003" s="299"/>
      <c r="FOD3003" s="81"/>
      <c r="FOE3003" s="160"/>
      <c r="FOF3003" s="577"/>
      <c r="FOG3003" s="125"/>
      <c r="FOH3003" s="470"/>
      <c r="FOI3003" s="449"/>
      <c r="FOJ3003" s="462"/>
      <c r="FOK3003" s="299"/>
      <c r="FOL3003" s="81"/>
      <c r="FOM3003" s="160"/>
      <c r="FON3003" s="577"/>
      <c r="FOO3003" s="125"/>
      <c r="FOP3003" s="470"/>
      <c r="FOQ3003" s="449"/>
      <c r="FOR3003" s="462"/>
      <c r="FOS3003" s="299"/>
      <c r="FOT3003" s="81"/>
      <c r="FOU3003" s="160"/>
      <c r="FOV3003" s="577"/>
      <c r="FOW3003" s="125"/>
      <c r="FOX3003" s="470"/>
      <c r="FOY3003" s="449"/>
      <c r="FOZ3003" s="462"/>
      <c r="FPA3003" s="299"/>
      <c r="FPB3003" s="81"/>
      <c r="FPC3003" s="160"/>
      <c r="FPD3003" s="577"/>
      <c r="FPE3003" s="125"/>
      <c r="FPF3003" s="470"/>
      <c r="FPG3003" s="449"/>
      <c r="FPH3003" s="462"/>
      <c r="FPI3003" s="299"/>
      <c r="FPJ3003" s="81"/>
      <c r="FPK3003" s="160"/>
      <c r="FPL3003" s="577"/>
      <c r="FPM3003" s="125"/>
      <c r="FPN3003" s="470"/>
      <c r="FPO3003" s="449"/>
      <c r="FPP3003" s="462"/>
      <c r="FPQ3003" s="299"/>
      <c r="FPR3003" s="81"/>
      <c r="FPS3003" s="160"/>
      <c r="FPT3003" s="577"/>
      <c r="FPU3003" s="125"/>
      <c r="FPV3003" s="470"/>
      <c r="FPW3003" s="449"/>
      <c r="FPX3003" s="462"/>
      <c r="FPY3003" s="299"/>
      <c r="FPZ3003" s="81"/>
      <c r="FQA3003" s="160"/>
      <c r="FQB3003" s="577"/>
      <c r="FQC3003" s="125"/>
      <c r="FQD3003" s="470"/>
      <c r="FQE3003" s="449"/>
      <c r="FQF3003" s="462"/>
      <c r="FQG3003" s="299"/>
      <c r="FQH3003" s="81"/>
      <c r="FQI3003" s="160"/>
      <c r="FQJ3003" s="577"/>
      <c r="FQK3003" s="125"/>
      <c r="FQL3003" s="470"/>
      <c r="FQM3003" s="449"/>
      <c r="FQN3003" s="462"/>
      <c r="FQO3003" s="299"/>
      <c r="FQP3003" s="81"/>
      <c r="FQQ3003" s="160"/>
      <c r="FQR3003" s="577"/>
      <c r="FQS3003" s="125"/>
      <c r="FQT3003" s="470"/>
      <c r="FQU3003" s="449"/>
      <c r="FQV3003" s="462"/>
      <c r="FQW3003" s="299"/>
      <c r="FQX3003" s="81"/>
      <c r="FQY3003" s="160"/>
      <c r="FQZ3003" s="577"/>
      <c r="FRA3003" s="125"/>
      <c r="FRB3003" s="470"/>
      <c r="FRC3003" s="449"/>
      <c r="FRD3003" s="462"/>
      <c r="FRE3003" s="299"/>
      <c r="FRF3003" s="81"/>
      <c r="FRG3003" s="160"/>
      <c r="FRH3003" s="577"/>
      <c r="FRI3003" s="125"/>
      <c r="FRJ3003" s="470"/>
      <c r="FRK3003" s="449"/>
      <c r="FRL3003" s="462"/>
      <c r="FRM3003" s="299"/>
      <c r="FRN3003" s="81"/>
      <c r="FRO3003" s="160"/>
      <c r="FRP3003" s="577"/>
      <c r="FRQ3003" s="125"/>
      <c r="FRR3003" s="470"/>
      <c r="FRS3003" s="449"/>
      <c r="FRT3003" s="462"/>
      <c r="FRU3003" s="299"/>
      <c r="FRV3003" s="81"/>
      <c r="FRW3003" s="160"/>
      <c r="FRX3003" s="577"/>
      <c r="FRY3003" s="125"/>
      <c r="FRZ3003" s="470"/>
      <c r="FSA3003" s="449"/>
      <c r="FSB3003" s="462"/>
      <c r="FSC3003" s="299"/>
      <c r="FSD3003" s="81"/>
      <c r="FSE3003" s="160"/>
      <c r="FSF3003" s="577"/>
      <c r="FSG3003" s="125"/>
      <c r="FSH3003" s="470"/>
      <c r="FSI3003" s="449"/>
      <c r="FSJ3003" s="462"/>
      <c r="FSK3003" s="299"/>
      <c r="FSL3003" s="81"/>
      <c r="FSM3003" s="160"/>
      <c r="FSN3003" s="577"/>
      <c r="FSO3003" s="125"/>
      <c r="FSP3003" s="470"/>
      <c r="FSQ3003" s="449"/>
      <c r="FSR3003" s="462"/>
      <c r="FSS3003" s="299"/>
      <c r="FST3003" s="81"/>
      <c r="FSU3003" s="160"/>
      <c r="FSV3003" s="577"/>
      <c r="FSW3003" s="125"/>
      <c r="FSX3003" s="470"/>
      <c r="FSY3003" s="449"/>
      <c r="FSZ3003" s="462"/>
      <c r="FTA3003" s="299"/>
      <c r="FTB3003" s="81"/>
      <c r="FTC3003" s="160"/>
      <c r="FTD3003" s="577"/>
      <c r="FTE3003" s="125"/>
      <c r="FTF3003" s="470"/>
      <c r="FTG3003" s="449"/>
      <c r="FTH3003" s="462"/>
      <c r="FTI3003" s="299"/>
      <c r="FTJ3003" s="81"/>
      <c r="FTK3003" s="160"/>
      <c r="FTL3003" s="577"/>
      <c r="FTM3003" s="125"/>
      <c r="FTN3003" s="470"/>
      <c r="FTO3003" s="449"/>
      <c r="FTP3003" s="462"/>
      <c r="FTQ3003" s="299"/>
      <c r="FTR3003" s="81"/>
      <c r="FTS3003" s="160"/>
      <c r="FTT3003" s="577"/>
      <c r="FTU3003" s="125"/>
      <c r="FTV3003" s="470"/>
      <c r="FTW3003" s="449"/>
      <c r="FTX3003" s="462"/>
      <c r="FTY3003" s="299"/>
      <c r="FTZ3003" s="81"/>
      <c r="FUA3003" s="160"/>
      <c r="FUB3003" s="577"/>
      <c r="FUC3003" s="125"/>
      <c r="FUD3003" s="470"/>
      <c r="FUE3003" s="449"/>
      <c r="FUF3003" s="462"/>
      <c r="FUG3003" s="299"/>
      <c r="FUH3003" s="81"/>
      <c r="FUI3003" s="160"/>
      <c r="FUJ3003" s="577"/>
      <c r="FUK3003" s="125"/>
      <c r="FUL3003" s="470"/>
      <c r="FUM3003" s="449"/>
      <c r="FUN3003" s="462"/>
      <c r="FUO3003" s="299"/>
      <c r="FUP3003" s="81"/>
      <c r="FUQ3003" s="160"/>
      <c r="FUR3003" s="577"/>
      <c r="FUS3003" s="125"/>
      <c r="FUT3003" s="470"/>
      <c r="FUU3003" s="449"/>
      <c r="FUV3003" s="462"/>
      <c r="FUW3003" s="299"/>
      <c r="FUX3003" s="81"/>
      <c r="FUY3003" s="160"/>
      <c r="FUZ3003" s="577"/>
      <c r="FVA3003" s="125"/>
      <c r="FVB3003" s="470"/>
      <c r="FVC3003" s="449"/>
      <c r="FVD3003" s="462"/>
      <c r="FVE3003" s="299"/>
      <c r="FVF3003" s="81"/>
      <c r="FVG3003" s="160"/>
      <c r="FVH3003" s="577"/>
      <c r="FVI3003" s="125"/>
      <c r="FVJ3003" s="470"/>
      <c r="FVK3003" s="449"/>
      <c r="FVL3003" s="462"/>
      <c r="FVM3003" s="299"/>
      <c r="FVN3003" s="81"/>
      <c r="FVO3003" s="160"/>
      <c r="FVP3003" s="577"/>
      <c r="FVQ3003" s="125"/>
      <c r="FVR3003" s="470"/>
      <c r="FVS3003" s="449"/>
      <c r="FVT3003" s="462"/>
      <c r="FVU3003" s="299"/>
      <c r="FVV3003" s="81"/>
      <c r="FVW3003" s="160"/>
      <c r="FVX3003" s="577"/>
      <c r="FVY3003" s="125"/>
      <c r="FVZ3003" s="470"/>
      <c r="FWA3003" s="449"/>
      <c r="FWB3003" s="462"/>
      <c r="FWC3003" s="299"/>
      <c r="FWD3003" s="81"/>
      <c r="FWE3003" s="160"/>
      <c r="FWF3003" s="577"/>
      <c r="FWG3003" s="125"/>
      <c r="FWH3003" s="470"/>
      <c r="FWI3003" s="449"/>
      <c r="FWJ3003" s="462"/>
      <c r="FWK3003" s="299"/>
      <c r="FWL3003" s="81"/>
      <c r="FWM3003" s="160"/>
      <c r="FWN3003" s="577"/>
      <c r="FWO3003" s="125"/>
      <c r="FWP3003" s="470"/>
      <c r="FWQ3003" s="449"/>
      <c r="FWR3003" s="462"/>
      <c r="FWS3003" s="299"/>
      <c r="FWT3003" s="81"/>
      <c r="FWU3003" s="160"/>
      <c r="FWV3003" s="577"/>
      <c r="FWW3003" s="125"/>
      <c r="FWX3003" s="470"/>
      <c r="FWY3003" s="449"/>
      <c r="FWZ3003" s="462"/>
      <c r="FXA3003" s="299"/>
      <c r="FXB3003" s="81"/>
      <c r="FXC3003" s="160"/>
      <c r="FXD3003" s="577"/>
      <c r="FXE3003" s="125"/>
      <c r="FXF3003" s="470"/>
      <c r="FXG3003" s="449"/>
      <c r="FXH3003" s="462"/>
      <c r="FXI3003" s="299"/>
      <c r="FXJ3003" s="81"/>
      <c r="FXK3003" s="160"/>
      <c r="FXL3003" s="577"/>
      <c r="FXM3003" s="125"/>
      <c r="FXN3003" s="470"/>
      <c r="FXO3003" s="449"/>
      <c r="FXP3003" s="462"/>
      <c r="FXQ3003" s="299"/>
      <c r="FXR3003" s="81"/>
      <c r="FXS3003" s="160"/>
      <c r="FXT3003" s="577"/>
      <c r="FXU3003" s="125"/>
      <c r="FXV3003" s="470"/>
      <c r="FXW3003" s="449"/>
      <c r="FXX3003" s="462"/>
      <c r="FXY3003" s="299"/>
      <c r="FXZ3003" s="81"/>
      <c r="FYA3003" s="160"/>
      <c r="FYB3003" s="577"/>
      <c r="FYC3003" s="125"/>
      <c r="FYD3003" s="470"/>
      <c r="FYE3003" s="449"/>
      <c r="FYF3003" s="462"/>
      <c r="FYG3003" s="299"/>
      <c r="FYH3003" s="81"/>
      <c r="FYI3003" s="160"/>
      <c r="FYJ3003" s="577"/>
      <c r="FYK3003" s="125"/>
      <c r="FYL3003" s="470"/>
      <c r="FYM3003" s="449"/>
      <c r="FYN3003" s="462"/>
      <c r="FYO3003" s="299"/>
      <c r="FYP3003" s="81"/>
      <c r="FYQ3003" s="160"/>
      <c r="FYR3003" s="577"/>
      <c r="FYS3003" s="125"/>
      <c r="FYT3003" s="470"/>
      <c r="FYU3003" s="449"/>
      <c r="FYV3003" s="462"/>
      <c r="FYW3003" s="299"/>
      <c r="FYX3003" s="81"/>
      <c r="FYY3003" s="160"/>
      <c r="FYZ3003" s="577"/>
      <c r="FZA3003" s="125"/>
      <c r="FZB3003" s="470"/>
      <c r="FZC3003" s="449"/>
      <c r="FZD3003" s="462"/>
      <c r="FZE3003" s="299"/>
      <c r="FZF3003" s="81"/>
      <c r="FZG3003" s="160"/>
      <c r="FZH3003" s="577"/>
      <c r="FZI3003" s="125"/>
      <c r="FZJ3003" s="470"/>
      <c r="FZK3003" s="449"/>
      <c r="FZL3003" s="462"/>
      <c r="FZM3003" s="299"/>
      <c r="FZN3003" s="81"/>
      <c r="FZO3003" s="160"/>
      <c r="FZP3003" s="577"/>
      <c r="FZQ3003" s="125"/>
      <c r="FZR3003" s="470"/>
      <c r="FZS3003" s="449"/>
      <c r="FZT3003" s="462"/>
      <c r="FZU3003" s="299"/>
      <c r="FZV3003" s="81"/>
      <c r="FZW3003" s="160"/>
      <c r="FZX3003" s="577"/>
      <c r="FZY3003" s="125"/>
      <c r="FZZ3003" s="470"/>
      <c r="GAA3003" s="449"/>
      <c r="GAB3003" s="462"/>
      <c r="GAC3003" s="299"/>
      <c r="GAD3003" s="81"/>
      <c r="GAE3003" s="160"/>
      <c r="GAF3003" s="577"/>
      <c r="GAG3003" s="125"/>
      <c r="GAH3003" s="470"/>
      <c r="GAI3003" s="449"/>
      <c r="GAJ3003" s="462"/>
      <c r="GAK3003" s="299"/>
      <c r="GAL3003" s="81"/>
      <c r="GAM3003" s="160"/>
      <c r="GAN3003" s="577"/>
      <c r="GAO3003" s="125"/>
      <c r="GAP3003" s="470"/>
      <c r="GAQ3003" s="449"/>
      <c r="GAR3003" s="462"/>
      <c r="GAS3003" s="299"/>
      <c r="GAT3003" s="81"/>
      <c r="GAU3003" s="160"/>
      <c r="GAV3003" s="577"/>
      <c r="GAW3003" s="125"/>
      <c r="GAX3003" s="470"/>
      <c r="GAY3003" s="449"/>
      <c r="GAZ3003" s="462"/>
      <c r="GBA3003" s="299"/>
      <c r="GBB3003" s="81"/>
      <c r="GBC3003" s="160"/>
      <c r="GBD3003" s="577"/>
      <c r="GBE3003" s="125"/>
      <c r="GBF3003" s="470"/>
      <c r="GBG3003" s="449"/>
      <c r="GBH3003" s="462"/>
      <c r="GBI3003" s="299"/>
      <c r="GBJ3003" s="81"/>
      <c r="GBK3003" s="160"/>
      <c r="GBL3003" s="577"/>
      <c r="GBM3003" s="125"/>
      <c r="GBN3003" s="470"/>
      <c r="GBO3003" s="449"/>
      <c r="GBP3003" s="462"/>
      <c r="GBQ3003" s="299"/>
      <c r="GBR3003" s="81"/>
      <c r="GBS3003" s="160"/>
      <c r="GBT3003" s="577"/>
      <c r="GBU3003" s="125"/>
      <c r="GBV3003" s="470"/>
      <c r="GBW3003" s="449"/>
      <c r="GBX3003" s="462"/>
      <c r="GBY3003" s="299"/>
      <c r="GBZ3003" s="81"/>
      <c r="GCA3003" s="160"/>
      <c r="GCB3003" s="577"/>
      <c r="GCC3003" s="125"/>
      <c r="GCD3003" s="470"/>
      <c r="GCE3003" s="449"/>
      <c r="GCF3003" s="462"/>
      <c r="GCG3003" s="299"/>
      <c r="GCH3003" s="81"/>
      <c r="GCI3003" s="160"/>
      <c r="GCJ3003" s="577"/>
      <c r="GCK3003" s="125"/>
      <c r="GCL3003" s="470"/>
      <c r="GCM3003" s="449"/>
      <c r="GCN3003" s="462"/>
      <c r="GCO3003" s="299"/>
      <c r="GCP3003" s="81"/>
      <c r="GCQ3003" s="160"/>
      <c r="GCR3003" s="577"/>
      <c r="GCS3003" s="125"/>
      <c r="GCT3003" s="470"/>
      <c r="GCU3003" s="449"/>
      <c r="GCV3003" s="462"/>
      <c r="GCW3003" s="299"/>
      <c r="GCX3003" s="81"/>
      <c r="GCY3003" s="160"/>
      <c r="GCZ3003" s="577"/>
      <c r="GDA3003" s="125"/>
      <c r="GDB3003" s="470"/>
      <c r="GDC3003" s="449"/>
      <c r="GDD3003" s="462"/>
      <c r="GDE3003" s="299"/>
      <c r="GDF3003" s="81"/>
      <c r="GDG3003" s="160"/>
      <c r="GDH3003" s="577"/>
      <c r="GDI3003" s="125"/>
      <c r="GDJ3003" s="470"/>
      <c r="GDK3003" s="449"/>
      <c r="GDL3003" s="462"/>
      <c r="GDM3003" s="299"/>
      <c r="GDN3003" s="81"/>
      <c r="GDO3003" s="160"/>
      <c r="GDP3003" s="577"/>
      <c r="GDQ3003" s="125"/>
      <c r="GDR3003" s="470"/>
      <c r="GDS3003" s="449"/>
      <c r="GDT3003" s="462"/>
      <c r="GDU3003" s="299"/>
      <c r="GDV3003" s="81"/>
      <c r="GDW3003" s="160"/>
      <c r="GDX3003" s="577"/>
      <c r="GDY3003" s="125"/>
      <c r="GDZ3003" s="470"/>
      <c r="GEA3003" s="449"/>
      <c r="GEB3003" s="462"/>
      <c r="GEC3003" s="299"/>
      <c r="GED3003" s="81"/>
      <c r="GEE3003" s="160"/>
      <c r="GEF3003" s="577"/>
      <c r="GEG3003" s="125"/>
      <c r="GEH3003" s="470"/>
      <c r="GEI3003" s="449"/>
      <c r="GEJ3003" s="462"/>
      <c r="GEK3003" s="299"/>
      <c r="GEL3003" s="81"/>
      <c r="GEM3003" s="160"/>
      <c r="GEN3003" s="577"/>
      <c r="GEO3003" s="125"/>
      <c r="GEP3003" s="470"/>
      <c r="GEQ3003" s="449"/>
      <c r="GER3003" s="462"/>
      <c r="GES3003" s="299"/>
      <c r="GET3003" s="81"/>
      <c r="GEU3003" s="160"/>
      <c r="GEV3003" s="577"/>
      <c r="GEW3003" s="125"/>
      <c r="GEX3003" s="470"/>
      <c r="GEY3003" s="449"/>
      <c r="GEZ3003" s="462"/>
      <c r="GFA3003" s="299"/>
      <c r="GFB3003" s="81"/>
      <c r="GFC3003" s="160"/>
      <c r="GFD3003" s="577"/>
      <c r="GFE3003" s="125"/>
      <c r="GFF3003" s="470"/>
      <c r="GFG3003" s="449"/>
      <c r="GFH3003" s="462"/>
      <c r="GFI3003" s="299"/>
      <c r="GFJ3003" s="81"/>
      <c r="GFK3003" s="160"/>
      <c r="GFL3003" s="577"/>
      <c r="GFM3003" s="125"/>
      <c r="GFN3003" s="470"/>
      <c r="GFO3003" s="449"/>
      <c r="GFP3003" s="462"/>
      <c r="GFQ3003" s="299"/>
      <c r="GFR3003" s="81"/>
      <c r="GFS3003" s="160"/>
      <c r="GFT3003" s="577"/>
      <c r="GFU3003" s="125"/>
      <c r="GFV3003" s="470"/>
      <c r="GFW3003" s="449"/>
      <c r="GFX3003" s="462"/>
      <c r="GFY3003" s="299"/>
      <c r="GFZ3003" s="81"/>
      <c r="GGA3003" s="160"/>
      <c r="GGB3003" s="577"/>
      <c r="GGC3003" s="125"/>
      <c r="GGD3003" s="470"/>
      <c r="GGE3003" s="449"/>
      <c r="GGF3003" s="462"/>
      <c r="GGG3003" s="299"/>
      <c r="GGH3003" s="81"/>
      <c r="GGI3003" s="160"/>
      <c r="GGJ3003" s="577"/>
      <c r="GGK3003" s="125"/>
      <c r="GGL3003" s="470"/>
      <c r="GGM3003" s="449"/>
      <c r="GGN3003" s="462"/>
      <c r="GGO3003" s="299"/>
      <c r="GGP3003" s="81"/>
      <c r="GGQ3003" s="160"/>
      <c r="GGR3003" s="577"/>
      <c r="GGS3003" s="125"/>
      <c r="GGT3003" s="470"/>
      <c r="GGU3003" s="449"/>
      <c r="GGV3003" s="462"/>
      <c r="GGW3003" s="299"/>
      <c r="GGX3003" s="81"/>
      <c r="GGY3003" s="160"/>
      <c r="GGZ3003" s="577"/>
      <c r="GHA3003" s="125"/>
      <c r="GHB3003" s="470"/>
      <c r="GHC3003" s="449"/>
      <c r="GHD3003" s="462"/>
      <c r="GHE3003" s="299"/>
      <c r="GHF3003" s="81"/>
      <c r="GHG3003" s="160"/>
      <c r="GHH3003" s="577"/>
      <c r="GHI3003" s="125"/>
      <c r="GHJ3003" s="470"/>
      <c r="GHK3003" s="449"/>
      <c r="GHL3003" s="462"/>
      <c r="GHM3003" s="299"/>
      <c r="GHN3003" s="81"/>
      <c r="GHO3003" s="160"/>
      <c r="GHP3003" s="577"/>
      <c r="GHQ3003" s="125"/>
      <c r="GHR3003" s="470"/>
      <c r="GHS3003" s="449"/>
      <c r="GHT3003" s="462"/>
      <c r="GHU3003" s="299"/>
      <c r="GHV3003" s="81"/>
      <c r="GHW3003" s="160"/>
      <c r="GHX3003" s="577"/>
      <c r="GHY3003" s="125"/>
      <c r="GHZ3003" s="470"/>
      <c r="GIA3003" s="449"/>
      <c r="GIB3003" s="462"/>
      <c r="GIC3003" s="299"/>
      <c r="GID3003" s="81"/>
      <c r="GIE3003" s="160"/>
      <c r="GIF3003" s="577"/>
      <c r="GIG3003" s="125"/>
      <c r="GIH3003" s="470"/>
      <c r="GII3003" s="449"/>
      <c r="GIJ3003" s="462"/>
      <c r="GIK3003" s="299"/>
      <c r="GIL3003" s="81"/>
      <c r="GIM3003" s="160"/>
      <c r="GIN3003" s="577"/>
      <c r="GIO3003" s="125"/>
      <c r="GIP3003" s="470"/>
      <c r="GIQ3003" s="449"/>
      <c r="GIR3003" s="462"/>
      <c r="GIS3003" s="299"/>
      <c r="GIT3003" s="81"/>
      <c r="GIU3003" s="160"/>
      <c r="GIV3003" s="577"/>
      <c r="GIW3003" s="125"/>
      <c r="GIX3003" s="470"/>
      <c r="GIY3003" s="449"/>
      <c r="GIZ3003" s="462"/>
      <c r="GJA3003" s="299"/>
      <c r="GJB3003" s="81"/>
      <c r="GJC3003" s="160"/>
      <c r="GJD3003" s="577"/>
      <c r="GJE3003" s="125"/>
      <c r="GJF3003" s="470"/>
      <c r="GJG3003" s="449"/>
      <c r="GJH3003" s="462"/>
      <c r="GJI3003" s="299"/>
      <c r="GJJ3003" s="81"/>
      <c r="GJK3003" s="160"/>
      <c r="GJL3003" s="577"/>
      <c r="GJM3003" s="125"/>
      <c r="GJN3003" s="470"/>
      <c r="GJO3003" s="449"/>
      <c r="GJP3003" s="462"/>
      <c r="GJQ3003" s="299"/>
      <c r="GJR3003" s="81"/>
      <c r="GJS3003" s="160"/>
      <c r="GJT3003" s="577"/>
      <c r="GJU3003" s="125"/>
      <c r="GJV3003" s="470"/>
      <c r="GJW3003" s="449"/>
      <c r="GJX3003" s="462"/>
      <c r="GJY3003" s="299"/>
      <c r="GJZ3003" s="81"/>
      <c r="GKA3003" s="160"/>
      <c r="GKB3003" s="577"/>
      <c r="GKC3003" s="125"/>
      <c r="GKD3003" s="470"/>
      <c r="GKE3003" s="449"/>
      <c r="GKF3003" s="462"/>
      <c r="GKG3003" s="299"/>
      <c r="GKH3003" s="81"/>
      <c r="GKI3003" s="160"/>
      <c r="GKJ3003" s="577"/>
      <c r="GKK3003" s="125"/>
      <c r="GKL3003" s="470"/>
      <c r="GKM3003" s="449"/>
      <c r="GKN3003" s="462"/>
      <c r="GKO3003" s="299"/>
      <c r="GKP3003" s="81"/>
      <c r="GKQ3003" s="160"/>
      <c r="GKR3003" s="577"/>
      <c r="GKS3003" s="125"/>
      <c r="GKT3003" s="470"/>
      <c r="GKU3003" s="449"/>
      <c r="GKV3003" s="462"/>
      <c r="GKW3003" s="299"/>
      <c r="GKX3003" s="81"/>
      <c r="GKY3003" s="160"/>
      <c r="GKZ3003" s="577"/>
      <c r="GLA3003" s="125"/>
      <c r="GLB3003" s="470"/>
      <c r="GLC3003" s="449"/>
      <c r="GLD3003" s="462"/>
      <c r="GLE3003" s="299"/>
      <c r="GLF3003" s="81"/>
      <c r="GLG3003" s="160"/>
      <c r="GLH3003" s="577"/>
      <c r="GLI3003" s="125"/>
      <c r="GLJ3003" s="470"/>
      <c r="GLK3003" s="449"/>
      <c r="GLL3003" s="462"/>
      <c r="GLM3003" s="299"/>
      <c r="GLN3003" s="81"/>
      <c r="GLO3003" s="160"/>
      <c r="GLP3003" s="577"/>
      <c r="GLQ3003" s="125"/>
      <c r="GLR3003" s="470"/>
      <c r="GLS3003" s="449"/>
      <c r="GLT3003" s="462"/>
      <c r="GLU3003" s="299"/>
      <c r="GLV3003" s="81"/>
      <c r="GLW3003" s="160"/>
      <c r="GLX3003" s="577"/>
      <c r="GLY3003" s="125"/>
      <c r="GLZ3003" s="470"/>
      <c r="GMA3003" s="449"/>
      <c r="GMB3003" s="462"/>
      <c r="GMC3003" s="299"/>
      <c r="GMD3003" s="81"/>
      <c r="GME3003" s="160"/>
      <c r="GMF3003" s="577"/>
      <c r="GMG3003" s="125"/>
      <c r="GMH3003" s="470"/>
      <c r="GMI3003" s="449"/>
      <c r="GMJ3003" s="462"/>
      <c r="GMK3003" s="299"/>
      <c r="GML3003" s="81"/>
      <c r="GMM3003" s="160"/>
      <c r="GMN3003" s="577"/>
      <c r="GMO3003" s="125"/>
      <c r="GMP3003" s="470"/>
      <c r="GMQ3003" s="449"/>
      <c r="GMR3003" s="462"/>
      <c r="GMS3003" s="299"/>
      <c r="GMT3003" s="81"/>
      <c r="GMU3003" s="160"/>
      <c r="GMV3003" s="577"/>
      <c r="GMW3003" s="125"/>
      <c r="GMX3003" s="470"/>
      <c r="GMY3003" s="449"/>
      <c r="GMZ3003" s="462"/>
      <c r="GNA3003" s="299"/>
      <c r="GNB3003" s="81"/>
      <c r="GNC3003" s="160"/>
      <c r="GND3003" s="577"/>
      <c r="GNE3003" s="125"/>
      <c r="GNF3003" s="470"/>
      <c r="GNG3003" s="449"/>
      <c r="GNH3003" s="462"/>
      <c r="GNI3003" s="299"/>
      <c r="GNJ3003" s="81"/>
      <c r="GNK3003" s="160"/>
      <c r="GNL3003" s="577"/>
      <c r="GNM3003" s="125"/>
      <c r="GNN3003" s="470"/>
      <c r="GNO3003" s="449"/>
      <c r="GNP3003" s="462"/>
      <c r="GNQ3003" s="299"/>
      <c r="GNR3003" s="81"/>
      <c r="GNS3003" s="160"/>
      <c r="GNT3003" s="577"/>
      <c r="GNU3003" s="125"/>
      <c r="GNV3003" s="470"/>
      <c r="GNW3003" s="449"/>
      <c r="GNX3003" s="462"/>
      <c r="GNY3003" s="299"/>
      <c r="GNZ3003" s="81"/>
      <c r="GOA3003" s="160"/>
      <c r="GOB3003" s="577"/>
      <c r="GOC3003" s="125"/>
      <c r="GOD3003" s="470"/>
      <c r="GOE3003" s="449"/>
      <c r="GOF3003" s="462"/>
      <c r="GOG3003" s="299"/>
      <c r="GOH3003" s="81"/>
      <c r="GOI3003" s="160"/>
      <c r="GOJ3003" s="577"/>
      <c r="GOK3003" s="125"/>
      <c r="GOL3003" s="470"/>
      <c r="GOM3003" s="449"/>
      <c r="GON3003" s="462"/>
      <c r="GOO3003" s="299"/>
      <c r="GOP3003" s="81"/>
      <c r="GOQ3003" s="160"/>
      <c r="GOR3003" s="577"/>
      <c r="GOS3003" s="125"/>
      <c r="GOT3003" s="470"/>
      <c r="GOU3003" s="449"/>
      <c r="GOV3003" s="462"/>
      <c r="GOW3003" s="299"/>
      <c r="GOX3003" s="81"/>
      <c r="GOY3003" s="160"/>
      <c r="GOZ3003" s="577"/>
      <c r="GPA3003" s="125"/>
      <c r="GPB3003" s="470"/>
      <c r="GPC3003" s="449"/>
      <c r="GPD3003" s="462"/>
      <c r="GPE3003" s="299"/>
      <c r="GPF3003" s="81"/>
      <c r="GPG3003" s="160"/>
      <c r="GPH3003" s="577"/>
      <c r="GPI3003" s="125"/>
      <c r="GPJ3003" s="470"/>
      <c r="GPK3003" s="449"/>
      <c r="GPL3003" s="462"/>
      <c r="GPM3003" s="299"/>
      <c r="GPN3003" s="81"/>
      <c r="GPO3003" s="160"/>
      <c r="GPP3003" s="577"/>
      <c r="GPQ3003" s="125"/>
      <c r="GPR3003" s="470"/>
      <c r="GPS3003" s="449"/>
      <c r="GPT3003" s="462"/>
      <c r="GPU3003" s="299"/>
      <c r="GPV3003" s="81"/>
      <c r="GPW3003" s="160"/>
      <c r="GPX3003" s="577"/>
      <c r="GPY3003" s="125"/>
      <c r="GPZ3003" s="470"/>
      <c r="GQA3003" s="449"/>
      <c r="GQB3003" s="462"/>
      <c r="GQC3003" s="299"/>
      <c r="GQD3003" s="81"/>
      <c r="GQE3003" s="160"/>
      <c r="GQF3003" s="577"/>
      <c r="GQG3003" s="125"/>
      <c r="GQH3003" s="470"/>
      <c r="GQI3003" s="449"/>
      <c r="GQJ3003" s="462"/>
      <c r="GQK3003" s="299"/>
      <c r="GQL3003" s="81"/>
      <c r="GQM3003" s="160"/>
      <c r="GQN3003" s="577"/>
      <c r="GQO3003" s="125"/>
      <c r="GQP3003" s="470"/>
      <c r="GQQ3003" s="449"/>
      <c r="GQR3003" s="462"/>
      <c r="GQS3003" s="299"/>
      <c r="GQT3003" s="81"/>
      <c r="GQU3003" s="160"/>
      <c r="GQV3003" s="577"/>
      <c r="GQW3003" s="125"/>
      <c r="GQX3003" s="470"/>
      <c r="GQY3003" s="449"/>
      <c r="GQZ3003" s="462"/>
      <c r="GRA3003" s="299"/>
      <c r="GRB3003" s="81"/>
      <c r="GRC3003" s="160"/>
      <c r="GRD3003" s="577"/>
      <c r="GRE3003" s="125"/>
      <c r="GRF3003" s="470"/>
      <c r="GRG3003" s="449"/>
      <c r="GRH3003" s="462"/>
      <c r="GRI3003" s="299"/>
      <c r="GRJ3003" s="81"/>
      <c r="GRK3003" s="160"/>
      <c r="GRL3003" s="577"/>
      <c r="GRM3003" s="125"/>
      <c r="GRN3003" s="470"/>
      <c r="GRO3003" s="449"/>
      <c r="GRP3003" s="462"/>
      <c r="GRQ3003" s="299"/>
      <c r="GRR3003" s="81"/>
      <c r="GRS3003" s="160"/>
      <c r="GRT3003" s="577"/>
      <c r="GRU3003" s="125"/>
      <c r="GRV3003" s="470"/>
      <c r="GRW3003" s="449"/>
      <c r="GRX3003" s="462"/>
      <c r="GRY3003" s="299"/>
      <c r="GRZ3003" s="81"/>
      <c r="GSA3003" s="160"/>
      <c r="GSB3003" s="577"/>
      <c r="GSC3003" s="125"/>
      <c r="GSD3003" s="470"/>
      <c r="GSE3003" s="449"/>
      <c r="GSF3003" s="462"/>
      <c r="GSG3003" s="299"/>
      <c r="GSH3003" s="81"/>
      <c r="GSI3003" s="160"/>
      <c r="GSJ3003" s="577"/>
      <c r="GSK3003" s="125"/>
      <c r="GSL3003" s="470"/>
      <c r="GSM3003" s="449"/>
      <c r="GSN3003" s="462"/>
      <c r="GSO3003" s="299"/>
      <c r="GSP3003" s="81"/>
      <c r="GSQ3003" s="160"/>
      <c r="GSR3003" s="577"/>
      <c r="GSS3003" s="125"/>
      <c r="GST3003" s="470"/>
      <c r="GSU3003" s="449"/>
      <c r="GSV3003" s="462"/>
      <c r="GSW3003" s="299"/>
      <c r="GSX3003" s="81"/>
      <c r="GSY3003" s="160"/>
      <c r="GSZ3003" s="577"/>
      <c r="GTA3003" s="125"/>
      <c r="GTB3003" s="470"/>
      <c r="GTC3003" s="449"/>
      <c r="GTD3003" s="462"/>
      <c r="GTE3003" s="299"/>
      <c r="GTF3003" s="81"/>
      <c r="GTG3003" s="160"/>
      <c r="GTH3003" s="577"/>
      <c r="GTI3003" s="125"/>
      <c r="GTJ3003" s="470"/>
      <c r="GTK3003" s="449"/>
      <c r="GTL3003" s="462"/>
      <c r="GTM3003" s="299"/>
      <c r="GTN3003" s="81"/>
      <c r="GTO3003" s="160"/>
      <c r="GTP3003" s="577"/>
      <c r="GTQ3003" s="125"/>
      <c r="GTR3003" s="470"/>
      <c r="GTS3003" s="449"/>
      <c r="GTT3003" s="462"/>
      <c r="GTU3003" s="299"/>
      <c r="GTV3003" s="81"/>
      <c r="GTW3003" s="160"/>
      <c r="GTX3003" s="577"/>
      <c r="GTY3003" s="125"/>
      <c r="GTZ3003" s="470"/>
      <c r="GUA3003" s="449"/>
      <c r="GUB3003" s="462"/>
      <c r="GUC3003" s="299"/>
      <c r="GUD3003" s="81"/>
      <c r="GUE3003" s="160"/>
      <c r="GUF3003" s="577"/>
      <c r="GUG3003" s="125"/>
      <c r="GUH3003" s="470"/>
      <c r="GUI3003" s="449"/>
      <c r="GUJ3003" s="462"/>
      <c r="GUK3003" s="299"/>
      <c r="GUL3003" s="81"/>
      <c r="GUM3003" s="160"/>
      <c r="GUN3003" s="577"/>
      <c r="GUO3003" s="125"/>
      <c r="GUP3003" s="470"/>
      <c r="GUQ3003" s="449"/>
      <c r="GUR3003" s="462"/>
      <c r="GUS3003" s="299"/>
      <c r="GUT3003" s="81"/>
      <c r="GUU3003" s="160"/>
      <c r="GUV3003" s="577"/>
      <c r="GUW3003" s="125"/>
      <c r="GUX3003" s="470"/>
      <c r="GUY3003" s="449"/>
      <c r="GUZ3003" s="462"/>
      <c r="GVA3003" s="299"/>
      <c r="GVB3003" s="81"/>
      <c r="GVC3003" s="160"/>
      <c r="GVD3003" s="577"/>
      <c r="GVE3003" s="125"/>
      <c r="GVF3003" s="470"/>
      <c r="GVG3003" s="449"/>
      <c r="GVH3003" s="462"/>
      <c r="GVI3003" s="299"/>
      <c r="GVJ3003" s="81"/>
      <c r="GVK3003" s="160"/>
      <c r="GVL3003" s="577"/>
      <c r="GVM3003" s="125"/>
      <c r="GVN3003" s="470"/>
      <c r="GVO3003" s="449"/>
      <c r="GVP3003" s="462"/>
      <c r="GVQ3003" s="299"/>
      <c r="GVR3003" s="81"/>
      <c r="GVS3003" s="160"/>
      <c r="GVT3003" s="577"/>
      <c r="GVU3003" s="125"/>
      <c r="GVV3003" s="470"/>
      <c r="GVW3003" s="449"/>
      <c r="GVX3003" s="462"/>
      <c r="GVY3003" s="299"/>
      <c r="GVZ3003" s="81"/>
      <c r="GWA3003" s="160"/>
      <c r="GWB3003" s="577"/>
      <c r="GWC3003" s="125"/>
      <c r="GWD3003" s="470"/>
      <c r="GWE3003" s="449"/>
      <c r="GWF3003" s="462"/>
      <c r="GWG3003" s="299"/>
      <c r="GWH3003" s="81"/>
      <c r="GWI3003" s="160"/>
      <c r="GWJ3003" s="577"/>
      <c r="GWK3003" s="125"/>
      <c r="GWL3003" s="470"/>
      <c r="GWM3003" s="449"/>
      <c r="GWN3003" s="462"/>
      <c r="GWO3003" s="299"/>
      <c r="GWP3003" s="81"/>
      <c r="GWQ3003" s="160"/>
      <c r="GWR3003" s="577"/>
      <c r="GWS3003" s="125"/>
      <c r="GWT3003" s="470"/>
      <c r="GWU3003" s="449"/>
      <c r="GWV3003" s="462"/>
      <c r="GWW3003" s="299"/>
      <c r="GWX3003" s="81"/>
      <c r="GWY3003" s="160"/>
      <c r="GWZ3003" s="577"/>
      <c r="GXA3003" s="125"/>
      <c r="GXB3003" s="470"/>
      <c r="GXC3003" s="449"/>
      <c r="GXD3003" s="462"/>
      <c r="GXE3003" s="299"/>
      <c r="GXF3003" s="81"/>
      <c r="GXG3003" s="160"/>
      <c r="GXH3003" s="577"/>
      <c r="GXI3003" s="125"/>
      <c r="GXJ3003" s="470"/>
      <c r="GXK3003" s="449"/>
      <c r="GXL3003" s="462"/>
      <c r="GXM3003" s="299"/>
      <c r="GXN3003" s="81"/>
      <c r="GXO3003" s="160"/>
      <c r="GXP3003" s="577"/>
      <c r="GXQ3003" s="125"/>
      <c r="GXR3003" s="470"/>
      <c r="GXS3003" s="449"/>
      <c r="GXT3003" s="462"/>
      <c r="GXU3003" s="299"/>
      <c r="GXV3003" s="81"/>
      <c r="GXW3003" s="160"/>
      <c r="GXX3003" s="577"/>
      <c r="GXY3003" s="125"/>
      <c r="GXZ3003" s="470"/>
      <c r="GYA3003" s="449"/>
      <c r="GYB3003" s="462"/>
      <c r="GYC3003" s="299"/>
      <c r="GYD3003" s="81"/>
      <c r="GYE3003" s="160"/>
      <c r="GYF3003" s="577"/>
      <c r="GYG3003" s="125"/>
      <c r="GYH3003" s="470"/>
      <c r="GYI3003" s="449"/>
      <c r="GYJ3003" s="462"/>
      <c r="GYK3003" s="299"/>
      <c r="GYL3003" s="81"/>
      <c r="GYM3003" s="160"/>
      <c r="GYN3003" s="577"/>
      <c r="GYO3003" s="125"/>
      <c r="GYP3003" s="470"/>
      <c r="GYQ3003" s="449"/>
      <c r="GYR3003" s="462"/>
      <c r="GYS3003" s="299"/>
      <c r="GYT3003" s="81"/>
      <c r="GYU3003" s="160"/>
      <c r="GYV3003" s="577"/>
      <c r="GYW3003" s="125"/>
      <c r="GYX3003" s="470"/>
      <c r="GYY3003" s="449"/>
      <c r="GYZ3003" s="462"/>
      <c r="GZA3003" s="299"/>
      <c r="GZB3003" s="81"/>
      <c r="GZC3003" s="160"/>
      <c r="GZD3003" s="577"/>
      <c r="GZE3003" s="125"/>
      <c r="GZF3003" s="470"/>
      <c r="GZG3003" s="449"/>
      <c r="GZH3003" s="462"/>
      <c r="GZI3003" s="299"/>
      <c r="GZJ3003" s="81"/>
      <c r="GZK3003" s="160"/>
      <c r="GZL3003" s="577"/>
      <c r="GZM3003" s="125"/>
      <c r="GZN3003" s="470"/>
      <c r="GZO3003" s="449"/>
      <c r="GZP3003" s="462"/>
      <c r="GZQ3003" s="299"/>
      <c r="GZR3003" s="81"/>
      <c r="GZS3003" s="160"/>
      <c r="GZT3003" s="577"/>
      <c r="GZU3003" s="125"/>
      <c r="GZV3003" s="470"/>
      <c r="GZW3003" s="449"/>
      <c r="GZX3003" s="462"/>
      <c r="GZY3003" s="299"/>
      <c r="GZZ3003" s="81"/>
      <c r="HAA3003" s="160"/>
      <c r="HAB3003" s="577"/>
      <c r="HAC3003" s="125"/>
      <c r="HAD3003" s="470"/>
      <c r="HAE3003" s="449"/>
      <c r="HAF3003" s="462"/>
      <c r="HAG3003" s="299"/>
      <c r="HAH3003" s="81"/>
      <c r="HAI3003" s="160"/>
      <c r="HAJ3003" s="577"/>
      <c r="HAK3003" s="125"/>
      <c r="HAL3003" s="470"/>
      <c r="HAM3003" s="449"/>
      <c r="HAN3003" s="462"/>
      <c r="HAO3003" s="299"/>
      <c r="HAP3003" s="81"/>
      <c r="HAQ3003" s="160"/>
      <c r="HAR3003" s="577"/>
      <c r="HAS3003" s="125"/>
      <c r="HAT3003" s="470"/>
      <c r="HAU3003" s="449"/>
      <c r="HAV3003" s="462"/>
      <c r="HAW3003" s="299"/>
      <c r="HAX3003" s="81"/>
      <c r="HAY3003" s="160"/>
      <c r="HAZ3003" s="577"/>
      <c r="HBA3003" s="125"/>
      <c r="HBB3003" s="470"/>
      <c r="HBC3003" s="449"/>
      <c r="HBD3003" s="462"/>
      <c r="HBE3003" s="299"/>
      <c r="HBF3003" s="81"/>
      <c r="HBG3003" s="160"/>
      <c r="HBH3003" s="577"/>
      <c r="HBI3003" s="125"/>
      <c r="HBJ3003" s="470"/>
      <c r="HBK3003" s="449"/>
      <c r="HBL3003" s="462"/>
      <c r="HBM3003" s="299"/>
      <c r="HBN3003" s="81"/>
      <c r="HBO3003" s="160"/>
      <c r="HBP3003" s="577"/>
      <c r="HBQ3003" s="125"/>
      <c r="HBR3003" s="470"/>
      <c r="HBS3003" s="449"/>
      <c r="HBT3003" s="462"/>
      <c r="HBU3003" s="299"/>
      <c r="HBV3003" s="81"/>
      <c r="HBW3003" s="160"/>
      <c r="HBX3003" s="577"/>
      <c r="HBY3003" s="125"/>
      <c r="HBZ3003" s="470"/>
      <c r="HCA3003" s="449"/>
      <c r="HCB3003" s="462"/>
      <c r="HCC3003" s="299"/>
      <c r="HCD3003" s="81"/>
      <c r="HCE3003" s="160"/>
      <c r="HCF3003" s="577"/>
      <c r="HCG3003" s="125"/>
      <c r="HCH3003" s="470"/>
      <c r="HCI3003" s="449"/>
      <c r="HCJ3003" s="462"/>
      <c r="HCK3003" s="299"/>
      <c r="HCL3003" s="81"/>
      <c r="HCM3003" s="160"/>
      <c r="HCN3003" s="577"/>
      <c r="HCO3003" s="125"/>
      <c r="HCP3003" s="470"/>
      <c r="HCQ3003" s="449"/>
      <c r="HCR3003" s="462"/>
      <c r="HCS3003" s="299"/>
      <c r="HCT3003" s="81"/>
      <c r="HCU3003" s="160"/>
      <c r="HCV3003" s="577"/>
      <c r="HCW3003" s="125"/>
      <c r="HCX3003" s="470"/>
      <c r="HCY3003" s="449"/>
      <c r="HCZ3003" s="462"/>
      <c r="HDA3003" s="299"/>
      <c r="HDB3003" s="81"/>
      <c r="HDC3003" s="160"/>
      <c r="HDD3003" s="577"/>
      <c r="HDE3003" s="125"/>
      <c r="HDF3003" s="470"/>
      <c r="HDG3003" s="449"/>
      <c r="HDH3003" s="462"/>
      <c r="HDI3003" s="299"/>
      <c r="HDJ3003" s="81"/>
      <c r="HDK3003" s="160"/>
      <c r="HDL3003" s="577"/>
      <c r="HDM3003" s="125"/>
      <c r="HDN3003" s="470"/>
      <c r="HDO3003" s="449"/>
      <c r="HDP3003" s="462"/>
      <c r="HDQ3003" s="299"/>
      <c r="HDR3003" s="81"/>
      <c r="HDS3003" s="160"/>
      <c r="HDT3003" s="577"/>
      <c r="HDU3003" s="125"/>
      <c r="HDV3003" s="470"/>
      <c r="HDW3003" s="449"/>
      <c r="HDX3003" s="462"/>
      <c r="HDY3003" s="299"/>
      <c r="HDZ3003" s="81"/>
      <c r="HEA3003" s="160"/>
      <c r="HEB3003" s="577"/>
      <c r="HEC3003" s="125"/>
      <c r="HED3003" s="470"/>
      <c r="HEE3003" s="449"/>
      <c r="HEF3003" s="462"/>
      <c r="HEG3003" s="299"/>
      <c r="HEH3003" s="81"/>
      <c r="HEI3003" s="160"/>
      <c r="HEJ3003" s="577"/>
      <c r="HEK3003" s="125"/>
      <c r="HEL3003" s="470"/>
      <c r="HEM3003" s="449"/>
      <c r="HEN3003" s="462"/>
      <c r="HEO3003" s="299"/>
      <c r="HEP3003" s="81"/>
      <c r="HEQ3003" s="160"/>
      <c r="HER3003" s="577"/>
      <c r="HES3003" s="125"/>
      <c r="HET3003" s="470"/>
      <c r="HEU3003" s="449"/>
      <c r="HEV3003" s="462"/>
      <c r="HEW3003" s="299"/>
      <c r="HEX3003" s="81"/>
      <c r="HEY3003" s="160"/>
      <c r="HEZ3003" s="577"/>
      <c r="HFA3003" s="125"/>
      <c r="HFB3003" s="470"/>
      <c r="HFC3003" s="449"/>
      <c r="HFD3003" s="462"/>
      <c r="HFE3003" s="299"/>
      <c r="HFF3003" s="81"/>
      <c r="HFG3003" s="160"/>
      <c r="HFH3003" s="577"/>
      <c r="HFI3003" s="125"/>
      <c r="HFJ3003" s="470"/>
      <c r="HFK3003" s="449"/>
      <c r="HFL3003" s="462"/>
      <c r="HFM3003" s="299"/>
      <c r="HFN3003" s="81"/>
      <c r="HFO3003" s="160"/>
      <c r="HFP3003" s="577"/>
      <c r="HFQ3003" s="125"/>
      <c r="HFR3003" s="470"/>
      <c r="HFS3003" s="449"/>
      <c r="HFT3003" s="462"/>
      <c r="HFU3003" s="299"/>
      <c r="HFV3003" s="81"/>
      <c r="HFW3003" s="160"/>
      <c r="HFX3003" s="577"/>
      <c r="HFY3003" s="125"/>
      <c r="HFZ3003" s="470"/>
      <c r="HGA3003" s="449"/>
      <c r="HGB3003" s="462"/>
      <c r="HGC3003" s="299"/>
      <c r="HGD3003" s="81"/>
      <c r="HGE3003" s="160"/>
      <c r="HGF3003" s="577"/>
      <c r="HGG3003" s="125"/>
      <c r="HGH3003" s="470"/>
      <c r="HGI3003" s="449"/>
      <c r="HGJ3003" s="462"/>
      <c r="HGK3003" s="299"/>
      <c r="HGL3003" s="81"/>
      <c r="HGM3003" s="160"/>
      <c r="HGN3003" s="577"/>
      <c r="HGO3003" s="125"/>
      <c r="HGP3003" s="470"/>
      <c r="HGQ3003" s="449"/>
      <c r="HGR3003" s="462"/>
      <c r="HGS3003" s="299"/>
      <c r="HGT3003" s="81"/>
      <c r="HGU3003" s="160"/>
      <c r="HGV3003" s="577"/>
      <c r="HGW3003" s="125"/>
      <c r="HGX3003" s="470"/>
      <c r="HGY3003" s="449"/>
      <c r="HGZ3003" s="462"/>
      <c r="HHA3003" s="299"/>
      <c r="HHB3003" s="81"/>
      <c r="HHC3003" s="160"/>
      <c r="HHD3003" s="577"/>
      <c r="HHE3003" s="125"/>
      <c r="HHF3003" s="470"/>
      <c r="HHG3003" s="449"/>
      <c r="HHH3003" s="462"/>
      <c r="HHI3003" s="299"/>
      <c r="HHJ3003" s="81"/>
      <c r="HHK3003" s="160"/>
      <c r="HHL3003" s="577"/>
      <c r="HHM3003" s="125"/>
      <c r="HHN3003" s="470"/>
      <c r="HHO3003" s="449"/>
      <c r="HHP3003" s="462"/>
      <c r="HHQ3003" s="299"/>
      <c r="HHR3003" s="81"/>
      <c r="HHS3003" s="160"/>
      <c r="HHT3003" s="577"/>
      <c r="HHU3003" s="125"/>
      <c r="HHV3003" s="470"/>
      <c r="HHW3003" s="449"/>
      <c r="HHX3003" s="462"/>
      <c r="HHY3003" s="299"/>
      <c r="HHZ3003" s="81"/>
      <c r="HIA3003" s="160"/>
      <c r="HIB3003" s="577"/>
      <c r="HIC3003" s="125"/>
      <c r="HID3003" s="470"/>
      <c r="HIE3003" s="449"/>
      <c r="HIF3003" s="462"/>
      <c r="HIG3003" s="299"/>
      <c r="HIH3003" s="81"/>
      <c r="HII3003" s="160"/>
      <c r="HIJ3003" s="577"/>
      <c r="HIK3003" s="125"/>
      <c r="HIL3003" s="470"/>
      <c r="HIM3003" s="449"/>
      <c r="HIN3003" s="462"/>
      <c r="HIO3003" s="299"/>
      <c r="HIP3003" s="81"/>
      <c r="HIQ3003" s="160"/>
      <c r="HIR3003" s="577"/>
      <c r="HIS3003" s="125"/>
      <c r="HIT3003" s="470"/>
      <c r="HIU3003" s="449"/>
      <c r="HIV3003" s="462"/>
      <c r="HIW3003" s="299"/>
      <c r="HIX3003" s="81"/>
      <c r="HIY3003" s="160"/>
      <c r="HIZ3003" s="577"/>
      <c r="HJA3003" s="125"/>
      <c r="HJB3003" s="470"/>
      <c r="HJC3003" s="449"/>
      <c r="HJD3003" s="462"/>
      <c r="HJE3003" s="299"/>
      <c r="HJF3003" s="81"/>
      <c r="HJG3003" s="160"/>
      <c r="HJH3003" s="577"/>
      <c r="HJI3003" s="125"/>
      <c r="HJJ3003" s="470"/>
      <c r="HJK3003" s="449"/>
      <c r="HJL3003" s="462"/>
      <c r="HJM3003" s="299"/>
      <c r="HJN3003" s="81"/>
      <c r="HJO3003" s="160"/>
      <c r="HJP3003" s="577"/>
      <c r="HJQ3003" s="125"/>
      <c r="HJR3003" s="470"/>
      <c r="HJS3003" s="449"/>
      <c r="HJT3003" s="462"/>
      <c r="HJU3003" s="299"/>
      <c r="HJV3003" s="81"/>
      <c r="HJW3003" s="160"/>
      <c r="HJX3003" s="577"/>
      <c r="HJY3003" s="125"/>
      <c r="HJZ3003" s="470"/>
      <c r="HKA3003" s="449"/>
      <c r="HKB3003" s="462"/>
      <c r="HKC3003" s="299"/>
      <c r="HKD3003" s="81"/>
      <c r="HKE3003" s="160"/>
      <c r="HKF3003" s="577"/>
      <c r="HKG3003" s="125"/>
      <c r="HKH3003" s="470"/>
      <c r="HKI3003" s="449"/>
      <c r="HKJ3003" s="462"/>
      <c r="HKK3003" s="299"/>
      <c r="HKL3003" s="81"/>
      <c r="HKM3003" s="160"/>
      <c r="HKN3003" s="577"/>
      <c r="HKO3003" s="125"/>
      <c r="HKP3003" s="470"/>
      <c r="HKQ3003" s="449"/>
      <c r="HKR3003" s="462"/>
      <c r="HKS3003" s="299"/>
      <c r="HKT3003" s="81"/>
      <c r="HKU3003" s="160"/>
      <c r="HKV3003" s="577"/>
      <c r="HKW3003" s="125"/>
      <c r="HKX3003" s="470"/>
      <c r="HKY3003" s="449"/>
      <c r="HKZ3003" s="462"/>
      <c r="HLA3003" s="299"/>
      <c r="HLB3003" s="81"/>
      <c r="HLC3003" s="160"/>
      <c r="HLD3003" s="577"/>
      <c r="HLE3003" s="125"/>
      <c r="HLF3003" s="470"/>
      <c r="HLG3003" s="449"/>
      <c r="HLH3003" s="462"/>
      <c r="HLI3003" s="299"/>
      <c r="HLJ3003" s="81"/>
      <c r="HLK3003" s="160"/>
      <c r="HLL3003" s="577"/>
      <c r="HLM3003" s="125"/>
      <c r="HLN3003" s="470"/>
      <c r="HLO3003" s="449"/>
      <c r="HLP3003" s="462"/>
      <c r="HLQ3003" s="299"/>
      <c r="HLR3003" s="81"/>
      <c r="HLS3003" s="160"/>
      <c r="HLT3003" s="577"/>
      <c r="HLU3003" s="125"/>
      <c r="HLV3003" s="470"/>
      <c r="HLW3003" s="449"/>
      <c r="HLX3003" s="462"/>
      <c r="HLY3003" s="299"/>
      <c r="HLZ3003" s="81"/>
      <c r="HMA3003" s="160"/>
      <c r="HMB3003" s="577"/>
      <c r="HMC3003" s="125"/>
      <c r="HMD3003" s="470"/>
      <c r="HME3003" s="449"/>
      <c r="HMF3003" s="462"/>
      <c r="HMG3003" s="299"/>
      <c r="HMH3003" s="81"/>
      <c r="HMI3003" s="160"/>
      <c r="HMJ3003" s="577"/>
      <c r="HMK3003" s="125"/>
      <c r="HML3003" s="470"/>
      <c r="HMM3003" s="449"/>
      <c r="HMN3003" s="462"/>
      <c r="HMO3003" s="299"/>
      <c r="HMP3003" s="81"/>
      <c r="HMQ3003" s="160"/>
      <c r="HMR3003" s="577"/>
      <c r="HMS3003" s="125"/>
      <c r="HMT3003" s="470"/>
      <c r="HMU3003" s="449"/>
      <c r="HMV3003" s="462"/>
      <c r="HMW3003" s="299"/>
      <c r="HMX3003" s="81"/>
      <c r="HMY3003" s="160"/>
      <c r="HMZ3003" s="577"/>
      <c r="HNA3003" s="125"/>
      <c r="HNB3003" s="470"/>
      <c r="HNC3003" s="449"/>
      <c r="HND3003" s="462"/>
      <c r="HNE3003" s="299"/>
      <c r="HNF3003" s="81"/>
      <c r="HNG3003" s="160"/>
      <c r="HNH3003" s="577"/>
      <c r="HNI3003" s="125"/>
      <c r="HNJ3003" s="470"/>
      <c r="HNK3003" s="449"/>
      <c r="HNL3003" s="462"/>
      <c r="HNM3003" s="299"/>
      <c r="HNN3003" s="81"/>
      <c r="HNO3003" s="160"/>
      <c r="HNP3003" s="577"/>
      <c r="HNQ3003" s="125"/>
      <c r="HNR3003" s="470"/>
      <c r="HNS3003" s="449"/>
      <c r="HNT3003" s="462"/>
      <c r="HNU3003" s="299"/>
      <c r="HNV3003" s="81"/>
      <c r="HNW3003" s="160"/>
      <c r="HNX3003" s="577"/>
      <c r="HNY3003" s="125"/>
      <c r="HNZ3003" s="470"/>
      <c r="HOA3003" s="449"/>
      <c r="HOB3003" s="462"/>
      <c r="HOC3003" s="299"/>
      <c r="HOD3003" s="81"/>
      <c r="HOE3003" s="160"/>
      <c r="HOF3003" s="577"/>
      <c r="HOG3003" s="125"/>
      <c r="HOH3003" s="470"/>
      <c r="HOI3003" s="449"/>
      <c r="HOJ3003" s="462"/>
      <c r="HOK3003" s="299"/>
      <c r="HOL3003" s="81"/>
      <c r="HOM3003" s="160"/>
      <c r="HON3003" s="577"/>
      <c r="HOO3003" s="125"/>
      <c r="HOP3003" s="470"/>
      <c r="HOQ3003" s="449"/>
      <c r="HOR3003" s="462"/>
      <c r="HOS3003" s="299"/>
      <c r="HOT3003" s="81"/>
      <c r="HOU3003" s="160"/>
      <c r="HOV3003" s="577"/>
      <c r="HOW3003" s="125"/>
      <c r="HOX3003" s="470"/>
      <c r="HOY3003" s="449"/>
      <c r="HOZ3003" s="462"/>
      <c r="HPA3003" s="299"/>
      <c r="HPB3003" s="81"/>
      <c r="HPC3003" s="160"/>
      <c r="HPD3003" s="577"/>
      <c r="HPE3003" s="125"/>
      <c r="HPF3003" s="470"/>
      <c r="HPG3003" s="449"/>
      <c r="HPH3003" s="462"/>
      <c r="HPI3003" s="299"/>
      <c r="HPJ3003" s="81"/>
      <c r="HPK3003" s="160"/>
      <c r="HPL3003" s="577"/>
      <c r="HPM3003" s="125"/>
      <c r="HPN3003" s="470"/>
      <c r="HPO3003" s="449"/>
      <c r="HPP3003" s="462"/>
      <c r="HPQ3003" s="299"/>
      <c r="HPR3003" s="81"/>
      <c r="HPS3003" s="160"/>
      <c r="HPT3003" s="577"/>
      <c r="HPU3003" s="125"/>
      <c r="HPV3003" s="470"/>
      <c r="HPW3003" s="449"/>
      <c r="HPX3003" s="462"/>
      <c r="HPY3003" s="299"/>
      <c r="HPZ3003" s="81"/>
      <c r="HQA3003" s="160"/>
      <c r="HQB3003" s="577"/>
      <c r="HQC3003" s="125"/>
      <c r="HQD3003" s="470"/>
      <c r="HQE3003" s="449"/>
      <c r="HQF3003" s="462"/>
      <c r="HQG3003" s="299"/>
      <c r="HQH3003" s="81"/>
      <c r="HQI3003" s="160"/>
      <c r="HQJ3003" s="577"/>
      <c r="HQK3003" s="125"/>
      <c r="HQL3003" s="470"/>
      <c r="HQM3003" s="449"/>
      <c r="HQN3003" s="462"/>
      <c r="HQO3003" s="299"/>
      <c r="HQP3003" s="81"/>
      <c r="HQQ3003" s="160"/>
      <c r="HQR3003" s="577"/>
      <c r="HQS3003" s="125"/>
      <c r="HQT3003" s="470"/>
      <c r="HQU3003" s="449"/>
      <c r="HQV3003" s="462"/>
      <c r="HQW3003" s="299"/>
      <c r="HQX3003" s="81"/>
      <c r="HQY3003" s="160"/>
      <c r="HQZ3003" s="577"/>
      <c r="HRA3003" s="125"/>
      <c r="HRB3003" s="470"/>
      <c r="HRC3003" s="449"/>
      <c r="HRD3003" s="462"/>
      <c r="HRE3003" s="299"/>
      <c r="HRF3003" s="81"/>
      <c r="HRG3003" s="160"/>
      <c r="HRH3003" s="577"/>
      <c r="HRI3003" s="125"/>
      <c r="HRJ3003" s="470"/>
      <c r="HRK3003" s="449"/>
      <c r="HRL3003" s="462"/>
      <c r="HRM3003" s="299"/>
      <c r="HRN3003" s="81"/>
      <c r="HRO3003" s="160"/>
      <c r="HRP3003" s="577"/>
      <c r="HRQ3003" s="125"/>
      <c r="HRR3003" s="470"/>
      <c r="HRS3003" s="449"/>
      <c r="HRT3003" s="462"/>
      <c r="HRU3003" s="299"/>
      <c r="HRV3003" s="81"/>
      <c r="HRW3003" s="160"/>
      <c r="HRX3003" s="577"/>
      <c r="HRY3003" s="125"/>
      <c r="HRZ3003" s="470"/>
      <c r="HSA3003" s="449"/>
      <c r="HSB3003" s="462"/>
      <c r="HSC3003" s="299"/>
      <c r="HSD3003" s="81"/>
      <c r="HSE3003" s="160"/>
      <c r="HSF3003" s="577"/>
      <c r="HSG3003" s="125"/>
      <c r="HSH3003" s="470"/>
      <c r="HSI3003" s="449"/>
      <c r="HSJ3003" s="462"/>
      <c r="HSK3003" s="299"/>
      <c r="HSL3003" s="81"/>
      <c r="HSM3003" s="160"/>
      <c r="HSN3003" s="577"/>
      <c r="HSO3003" s="125"/>
      <c r="HSP3003" s="470"/>
      <c r="HSQ3003" s="449"/>
      <c r="HSR3003" s="462"/>
      <c r="HSS3003" s="299"/>
      <c r="HST3003" s="81"/>
      <c r="HSU3003" s="160"/>
      <c r="HSV3003" s="577"/>
      <c r="HSW3003" s="125"/>
      <c r="HSX3003" s="470"/>
      <c r="HSY3003" s="449"/>
      <c r="HSZ3003" s="462"/>
      <c r="HTA3003" s="299"/>
      <c r="HTB3003" s="81"/>
      <c r="HTC3003" s="160"/>
      <c r="HTD3003" s="577"/>
      <c r="HTE3003" s="125"/>
      <c r="HTF3003" s="470"/>
      <c r="HTG3003" s="449"/>
      <c r="HTH3003" s="462"/>
      <c r="HTI3003" s="299"/>
      <c r="HTJ3003" s="81"/>
      <c r="HTK3003" s="160"/>
      <c r="HTL3003" s="577"/>
      <c r="HTM3003" s="125"/>
      <c r="HTN3003" s="470"/>
      <c r="HTO3003" s="449"/>
      <c r="HTP3003" s="462"/>
      <c r="HTQ3003" s="299"/>
      <c r="HTR3003" s="81"/>
      <c r="HTS3003" s="160"/>
      <c r="HTT3003" s="577"/>
      <c r="HTU3003" s="125"/>
      <c r="HTV3003" s="470"/>
      <c r="HTW3003" s="449"/>
      <c r="HTX3003" s="462"/>
      <c r="HTY3003" s="299"/>
      <c r="HTZ3003" s="81"/>
      <c r="HUA3003" s="160"/>
      <c r="HUB3003" s="577"/>
      <c r="HUC3003" s="125"/>
      <c r="HUD3003" s="470"/>
      <c r="HUE3003" s="449"/>
      <c r="HUF3003" s="462"/>
      <c r="HUG3003" s="299"/>
      <c r="HUH3003" s="81"/>
      <c r="HUI3003" s="160"/>
      <c r="HUJ3003" s="577"/>
      <c r="HUK3003" s="125"/>
      <c r="HUL3003" s="470"/>
      <c r="HUM3003" s="449"/>
      <c r="HUN3003" s="462"/>
      <c r="HUO3003" s="299"/>
      <c r="HUP3003" s="81"/>
      <c r="HUQ3003" s="160"/>
      <c r="HUR3003" s="577"/>
      <c r="HUS3003" s="125"/>
      <c r="HUT3003" s="470"/>
      <c r="HUU3003" s="449"/>
      <c r="HUV3003" s="462"/>
      <c r="HUW3003" s="299"/>
      <c r="HUX3003" s="81"/>
      <c r="HUY3003" s="160"/>
      <c r="HUZ3003" s="577"/>
      <c r="HVA3003" s="125"/>
      <c r="HVB3003" s="470"/>
      <c r="HVC3003" s="449"/>
      <c r="HVD3003" s="462"/>
      <c r="HVE3003" s="299"/>
      <c r="HVF3003" s="81"/>
      <c r="HVG3003" s="160"/>
      <c r="HVH3003" s="577"/>
      <c r="HVI3003" s="125"/>
      <c r="HVJ3003" s="470"/>
      <c r="HVK3003" s="449"/>
      <c r="HVL3003" s="462"/>
      <c r="HVM3003" s="299"/>
      <c r="HVN3003" s="81"/>
      <c r="HVO3003" s="160"/>
      <c r="HVP3003" s="577"/>
      <c r="HVQ3003" s="125"/>
      <c r="HVR3003" s="470"/>
      <c r="HVS3003" s="449"/>
      <c r="HVT3003" s="462"/>
      <c r="HVU3003" s="299"/>
      <c r="HVV3003" s="81"/>
      <c r="HVW3003" s="160"/>
      <c r="HVX3003" s="577"/>
      <c r="HVY3003" s="125"/>
      <c r="HVZ3003" s="470"/>
      <c r="HWA3003" s="449"/>
      <c r="HWB3003" s="462"/>
      <c r="HWC3003" s="299"/>
      <c r="HWD3003" s="81"/>
      <c r="HWE3003" s="160"/>
      <c r="HWF3003" s="577"/>
      <c r="HWG3003" s="125"/>
      <c r="HWH3003" s="470"/>
      <c r="HWI3003" s="449"/>
      <c r="HWJ3003" s="462"/>
      <c r="HWK3003" s="299"/>
      <c r="HWL3003" s="81"/>
      <c r="HWM3003" s="160"/>
      <c r="HWN3003" s="577"/>
      <c r="HWO3003" s="125"/>
      <c r="HWP3003" s="470"/>
      <c r="HWQ3003" s="449"/>
      <c r="HWR3003" s="462"/>
      <c r="HWS3003" s="299"/>
      <c r="HWT3003" s="81"/>
      <c r="HWU3003" s="160"/>
      <c r="HWV3003" s="577"/>
      <c r="HWW3003" s="125"/>
      <c r="HWX3003" s="470"/>
      <c r="HWY3003" s="449"/>
      <c r="HWZ3003" s="462"/>
      <c r="HXA3003" s="299"/>
      <c r="HXB3003" s="81"/>
      <c r="HXC3003" s="160"/>
      <c r="HXD3003" s="577"/>
      <c r="HXE3003" s="125"/>
      <c r="HXF3003" s="470"/>
      <c r="HXG3003" s="449"/>
      <c r="HXH3003" s="462"/>
      <c r="HXI3003" s="299"/>
      <c r="HXJ3003" s="81"/>
      <c r="HXK3003" s="160"/>
      <c r="HXL3003" s="577"/>
      <c r="HXM3003" s="125"/>
      <c r="HXN3003" s="470"/>
      <c r="HXO3003" s="449"/>
      <c r="HXP3003" s="462"/>
      <c r="HXQ3003" s="299"/>
      <c r="HXR3003" s="81"/>
      <c r="HXS3003" s="160"/>
      <c r="HXT3003" s="577"/>
      <c r="HXU3003" s="125"/>
      <c r="HXV3003" s="470"/>
      <c r="HXW3003" s="449"/>
      <c r="HXX3003" s="462"/>
      <c r="HXY3003" s="299"/>
      <c r="HXZ3003" s="81"/>
      <c r="HYA3003" s="160"/>
      <c r="HYB3003" s="577"/>
      <c r="HYC3003" s="125"/>
      <c r="HYD3003" s="470"/>
      <c r="HYE3003" s="449"/>
      <c r="HYF3003" s="462"/>
      <c r="HYG3003" s="299"/>
      <c r="HYH3003" s="81"/>
      <c r="HYI3003" s="160"/>
      <c r="HYJ3003" s="577"/>
      <c r="HYK3003" s="125"/>
      <c r="HYL3003" s="470"/>
      <c r="HYM3003" s="449"/>
      <c r="HYN3003" s="462"/>
      <c r="HYO3003" s="299"/>
      <c r="HYP3003" s="81"/>
      <c r="HYQ3003" s="160"/>
      <c r="HYR3003" s="577"/>
      <c r="HYS3003" s="125"/>
      <c r="HYT3003" s="470"/>
      <c r="HYU3003" s="449"/>
      <c r="HYV3003" s="462"/>
      <c r="HYW3003" s="299"/>
      <c r="HYX3003" s="81"/>
      <c r="HYY3003" s="160"/>
      <c r="HYZ3003" s="577"/>
      <c r="HZA3003" s="125"/>
      <c r="HZB3003" s="470"/>
      <c r="HZC3003" s="449"/>
      <c r="HZD3003" s="462"/>
      <c r="HZE3003" s="299"/>
      <c r="HZF3003" s="81"/>
      <c r="HZG3003" s="160"/>
      <c r="HZH3003" s="577"/>
      <c r="HZI3003" s="125"/>
      <c r="HZJ3003" s="470"/>
      <c r="HZK3003" s="449"/>
      <c r="HZL3003" s="462"/>
      <c r="HZM3003" s="299"/>
      <c r="HZN3003" s="81"/>
      <c r="HZO3003" s="160"/>
      <c r="HZP3003" s="577"/>
      <c r="HZQ3003" s="125"/>
      <c r="HZR3003" s="470"/>
      <c r="HZS3003" s="449"/>
      <c r="HZT3003" s="462"/>
      <c r="HZU3003" s="299"/>
      <c r="HZV3003" s="81"/>
      <c r="HZW3003" s="160"/>
      <c r="HZX3003" s="577"/>
      <c r="HZY3003" s="125"/>
      <c r="HZZ3003" s="470"/>
      <c r="IAA3003" s="449"/>
      <c r="IAB3003" s="462"/>
      <c r="IAC3003" s="299"/>
      <c r="IAD3003" s="81"/>
      <c r="IAE3003" s="160"/>
      <c r="IAF3003" s="577"/>
      <c r="IAG3003" s="125"/>
      <c r="IAH3003" s="470"/>
      <c r="IAI3003" s="449"/>
      <c r="IAJ3003" s="462"/>
      <c r="IAK3003" s="299"/>
      <c r="IAL3003" s="81"/>
      <c r="IAM3003" s="160"/>
      <c r="IAN3003" s="577"/>
      <c r="IAO3003" s="125"/>
      <c r="IAP3003" s="470"/>
      <c r="IAQ3003" s="449"/>
      <c r="IAR3003" s="462"/>
      <c r="IAS3003" s="299"/>
      <c r="IAT3003" s="81"/>
      <c r="IAU3003" s="160"/>
      <c r="IAV3003" s="577"/>
      <c r="IAW3003" s="125"/>
      <c r="IAX3003" s="470"/>
      <c r="IAY3003" s="449"/>
      <c r="IAZ3003" s="462"/>
      <c r="IBA3003" s="299"/>
      <c r="IBB3003" s="81"/>
      <c r="IBC3003" s="160"/>
      <c r="IBD3003" s="577"/>
      <c r="IBE3003" s="125"/>
      <c r="IBF3003" s="470"/>
      <c r="IBG3003" s="449"/>
      <c r="IBH3003" s="462"/>
      <c r="IBI3003" s="299"/>
      <c r="IBJ3003" s="81"/>
      <c r="IBK3003" s="160"/>
      <c r="IBL3003" s="577"/>
      <c r="IBM3003" s="125"/>
      <c r="IBN3003" s="470"/>
      <c r="IBO3003" s="449"/>
      <c r="IBP3003" s="462"/>
      <c r="IBQ3003" s="299"/>
      <c r="IBR3003" s="81"/>
      <c r="IBS3003" s="160"/>
      <c r="IBT3003" s="577"/>
      <c r="IBU3003" s="125"/>
      <c r="IBV3003" s="470"/>
      <c r="IBW3003" s="449"/>
      <c r="IBX3003" s="462"/>
      <c r="IBY3003" s="299"/>
      <c r="IBZ3003" s="81"/>
      <c r="ICA3003" s="160"/>
      <c r="ICB3003" s="577"/>
      <c r="ICC3003" s="125"/>
      <c r="ICD3003" s="470"/>
      <c r="ICE3003" s="449"/>
      <c r="ICF3003" s="462"/>
      <c r="ICG3003" s="299"/>
      <c r="ICH3003" s="81"/>
      <c r="ICI3003" s="160"/>
      <c r="ICJ3003" s="577"/>
      <c r="ICK3003" s="125"/>
      <c r="ICL3003" s="470"/>
      <c r="ICM3003" s="449"/>
      <c r="ICN3003" s="462"/>
      <c r="ICO3003" s="299"/>
      <c r="ICP3003" s="81"/>
      <c r="ICQ3003" s="160"/>
      <c r="ICR3003" s="577"/>
      <c r="ICS3003" s="125"/>
      <c r="ICT3003" s="470"/>
      <c r="ICU3003" s="449"/>
      <c r="ICV3003" s="462"/>
      <c r="ICW3003" s="299"/>
      <c r="ICX3003" s="81"/>
      <c r="ICY3003" s="160"/>
      <c r="ICZ3003" s="577"/>
      <c r="IDA3003" s="125"/>
      <c r="IDB3003" s="470"/>
      <c r="IDC3003" s="449"/>
      <c r="IDD3003" s="462"/>
      <c r="IDE3003" s="299"/>
      <c r="IDF3003" s="81"/>
      <c r="IDG3003" s="160"/>
      <c r="IDH3003" s="577"/>
      <c r="IDI3003" s="125"/>
      <c r="IDJ3003" s="470"/>
      <c r="IDK3003" s="449"/>
      <c r="IDL3003" s="462"/>
      <c r="IDM3003" s="299"/>
      <c r="IDN3003" s="81"/>
      <c r="IDO3003" s="160"/>
      <c r="IDP3003" s="577"/>
      <c r="IDQ3003" s="125"/>
      <c r="IDR3003" s="470"/>
      <c r="IDS3003" s="449"/>
      <c r="IDT3003" s="462"/>
      <c r="IDU3003" s="299"/>
      <c r="IDV3003" s="81"/>
      <c r="IDW3003" s="160"/>
      <c r="IDX3003" s="577"/>
      <c r="IDY3003" s="125"/>
      <c r="IDZ3003" s="470"/>
      <c r="IEA3003" s="449"/>
      <c r="IEB3003" s="462"/>
      <c r="IEC3003" s="299"/>
      <c r="IED3003" s="81"/>
      <c r="IEE3003" s="160"/>
      <c r="IEF3003" s="577"/>
      <c r="IEG3003" s="125"/>
      <c r="IEH3003" s="470"/>
      <c r="IEI3003" s="449"/>
      <c r="IEJ3003" s="462"/>
      <c r="IEK3003" s="299"/>
      <c r="IEL3003" s="81"/>
      <c r="IEM3003" s="160"/>
      <c r="IEN3003" s="577"/>
      <c r="IEO3003" s="125"/>
      <c r="IEP3003" s="470"/>
      <c r="IEQ3003" s="449"/>
      <c r="IER3003" s="462"/>
      <c r="IES3003" s="299"/>
      <c r="IET3003" s="81"/>
      <c r="IEU3003" s="160"/>
      <c r="IEV3003" s="577"/>
      <c r="IEW3003" s="125"/>
      <c r="IEX3003" s="470"/>
      <c r="IEY3003" s="449"/>
      <c r="IEZ3003" s="462"/>
      <c r="IFA3003" s="299"/>
      <c r="IFB3003" s="81"/>
      <c r="IFC3003" s="160"/>
      <c r="IFD3003" s="577"/>
      <c r="IFE3003" s="125"/>
      <c r="IFF3003" s="470"/>
      <c r="IFG3003" s="449"/>
      <c r="IFH3003" s="462"/>
      <c r="IFI3003" s="299"/>
      <c r="IFJ3003" s="81"/>
      <c r="IFK3003" s="160"/>
      <c r="IFL3003" s="577"/>
      <c r="IFM3003" s="125"/>
      <c r="IFN3003" s="470"/>
      <c r="IFO3003" s="449"/>
      <c r="IFP3003" s="462"/>
      <c r="IFQ3003" s="299"/>
      <c r="IFR3003" s="81"/>
      <c r="IFS3003" s="160"/>
      <c r="IFT3003" s="577"/>
      <c r="IFU3003" s="125"/>
      <c r="IFV3003" s="470"/>
      <c r="IFW3003" s="449"/>
      <c r="IFX3003" s="462"/>
      <c r="IFY3003" s="299"/>
      <c r="IFZ3003" s="81"/>
      <c r="IGA3003" s="160"/>
      <c r="IGB3003" s="577"/>
      <c r="IGC3003" s="125"/>
      <c r="IGD3003" s="470"/>
      <c r="IGE3003" s="449"/>
      <c r="IGF3003" s="462"/>
      <c r="IGG3003" s="299"/>
      <c r="IGH3003" s="81"/>
      <c r="IGI3003" s="160"/>
      <c r="IGJ3003" s="577"/>
      <c r="IGK3003" s="125"/>
      <c r="IGL3003" s="470"/>
      <c r="IGM3003" s="449"/>
      <c r="IGN3003" s="462"/>
      <c r="IGO3003" s="299"/>
      <c r="IGP3003" s="81"/>
      <c r="IGQ3003" s="160"/>
      <c r="IGR3003" s="577"/>
      <c r="IGS3003" s="125"/>
      <c r="IGT3003" s="470"/>
      <c r="IGU3003" s="449"/>
      <c r="IGV3003" s="462"/>
      <c r="IGW3003" s="299"/>
      <c r="IGX3003" s="81"/>
      <c r="IGY3003" s="160"/>
      <c r="IGZ3003" s="577"/>
      <c r="IHA3003" s="125"/>
      <c r="IHB3003" s="470"/>
      <c r="IHC3003" s="449"/>
      <c r="IHD3003" s="462"/>
      <c r="IHE3003" s="299"/>
      <c r="IHF3003" s="81"/>
      <c r="IHG3003" s="160"/>
      <c r="IHH3003" s="577"/>
      <c r="IHI3003" s="125"/>
      <c r="IHJ3003" s="470"/>
      <c r="IHK3003" s="449"/>
      <c r="IHL3003" s="462"/>
      <c r="IHM3003" s="299"/>
      <c r="IHN3003" s="81"/>
      <c r="IHO3003" s="160"/>
      <c r="IHP3003" s="577"/>
      <c r="IHQ3003" s="125"/>
      <c r="IHR3003" s="470"/>
      <c r="IHS3003" s="449"/>
      <c r="IHT3003" s="462"/>
      <c r="IHU3003" s="299"/>
      <c r="IHV3003" s="81"/>
      <c r="IHW3003" s="160"/>
      <c r="IHX3003" s="577"/>
      <c r="IHY3003" s="125"/>
      <c r="IHZ3003" s="470"/>
      <c r="IIA3003" s="449"/>
      <c r="IIB3003" s="462"/>
      <c r="IIC3003" s="299"/>
      <c r="IID3003" s="81"/>
      <c r="IIE3003" s="160"/>
      <c r="IIF3003" s="577"/>
      <c r="IIG3003" s="125"/>
      <c r="IIH3003" s="470"/>
      <c r="III3003" s="449"/>
      <c r="IIJ3003" s="462"/>
      <c r="IIK3003" s="299"/>
      <c r="IIL3003" s="81"/>
      <c r="IIM3003" s="160"/>
      <c r="IIN3003" s="577"/>
      <c r="IIO3003" s="125"/>
      <c r="IIP3003" s="470"/>
      <c r="IIQ3003" s="449"/>
      <c r="IIR3003" s="462"/>
      <c r="IIS3003" s="299"/>
      <c r="IIT3003" s="81"/>
      <c r="IIU3003" s="160"/>
      <c r="IIV3003" s="577"/>
      <c r="IIW3003" s="125"/>
      <c r="IIX3003" s="470"/>
      <c r="IIY3003" s="449"/>
      <c r="IIZ3003" s="462"/>
      <c r="IJA3003" s="299"/>
      <c r="IJB3003" s="81"/>
      <c r="IJC3003" s="160"/>
      <c r="IJD3003" s="577"/>
      <c r="IJE3003" s="125"/>
      <c r="IJF3003" s="470"/>
      <c r="IJG3003" s="449"/>
      <c r="IJH3003" s="462"/>
      <c r="IJI3003" s="299"/>
      <c r="IJJ3003" s="81"/>
      <c r="IJK3003" s="160"/>
      <c r="IJL3003" s="577"/>
      <c r="IJM3003" s="125"/>
      <c r="IJN3003" s="470"/>
      <c r="IJO3003" s="449"/>
      <c r="IJP3003" s="462"/>
      <c r="IJQ3003" s="299"/>
      <c r="IJR3003" s="81"/>
      <c r="IJS3003" s="160"/>
      <c r="IJT3003" s="577"/>
      <c r="IJU3003" s="125"/>
      <c r="IJV3003" s="470"/>
      <c r="IJW3003" s="449"/>
      <c r="IJX3003" s="462"/>
      <c r="IJY3003" s="299"/>
      <c r="IJZ3003" s="81"/>
      <c r="IKA3003" s="160"/>
      <c r="IKB3003" s="577"/>
      <c r="IKC3003" s="125"/>
      <c r="IKD3003" s="470"/>
      <c r="IKE3003" s="449"/>
      <c r="IKF3003" s="462"/>
      <c r="IKG3003" s="299"/>
      <c r="IKH3003" s="81"/>
      <c r="IKI3003" s="160"/>
      <c r="IKJ3003" s="577"/>
      <c r="IKK3003" s="125"/>
      <c r="IKL3003" s="470"/>
      <c r="IKM3003" s="449"/>
      <c r="IKN3003" s="462"/>
      <c r="IKO3003" s="299"/>
      <c r="IKP3003" s="81"/>
      <c r="IKQ3003" s="160"/>
      <c r="IKR3003" s="577"/>
      <c r="IKS3003" s="125"/>
      <c r="IKT3003" s="470"/>
      <c r="IKU3003" s="449"/>
      <c r="IKV3003" s="462"/>
      <c r="IKW3003" s="299"/>
      <c r="IKX3003" s="81"/>
      <c r="IKY3003" s="160"/>
      <c r="IKZ3003" s="577"/>
      <c r="ILA3003" s="125"/>
      <c r="ILB3003" s="470"/>
      <c r="ILC3003" s="449"/>
      <c r="ILD3003" s="462"/>
      <c r="ILE3003" s="299"/>
      <c r="ILF3003" s="81"/>
      <c r="ILG3003" s="160"/>
      <c r="ILH3003" s="577"/>
      <c r="ILI3003" s="125"/>
      <c r="ILJ3003" s="470"/>
      <c r="ILK3003" s="449"/>
      <c r="ILL3003" s="462"/>
      <c r="ILM3003" s="299"/>
      <c r="ILN3003" s="81"/>
      <c r="ILO3003" s="160"/>
      <c r="ILP3003" s="577"/>
      <c r="ILQ3003" s="125"/>
      <c r="ILR3003" s="470"/>
      <c r="ILS3003" s="449"/>
      <c r="ILT3003" s="462"/>
      <c r="ILU3003" s="299"/>
      <c r="ILV3003" s="81"/>
      <c r="ILW3003" s="160"/>
      <c r="ILX3003" s="577"/>
      <c r="ILY3003" s="125"/>
      <c r="ILZ3003" s="470"/>
      <c r="IMA3003" s="449"/>
      <c r="IMB3003" s="462"/>
      <c r="IMC3003" s="299"/>
      <c r="IMD3003" s="81"/>
      <c r="IME3003" s="160"/>
      <c r="IMF3003" s="577"/>
      <c r="IMG3003" s="125"/>
      <c r="IMH3003" s="470"/>
      <c r="IMI3003" s="449"/>
      <c r="IMJ3003" s="462"/>
      <c r="IMK3003" s="299"/>
      <c r="IML3003" s="81"/>
      <c r="IMM3003" s="160"/>
      <c r="IMN3003" s="577"/>
      <c r="IMO3003" s="125"/>
      <c r="IMP3003" s="470"/>
      <c r="IMQ3003" s="449"/>
      <c r="IMR3003" s="462"/>
      <c r="IMS3003" s="299"/>
      <c r="IMT3003" s="81"/>
      <c r="IMU3003" s="160"/>
      <c r="IMV3003" s="577"/>
      <c r="IMW3003" s="125"/>
      <c r="IMX3003" s="470"/>
      <c r="IMY3003" s="449"/>
      <c r="IMZ3003" s="462"/>
      <c r="INA3003" s="299"/>
      <c r="INB3003" s="81"/>
      <c r="INC3003" s="160"/>
      <c r="IND3003" s="577"/>
      <c r="INE3003" s="125"/>
      <c r="INF3003" s="470"/>
      <c r="ING3003" s="449"/>
      <c r="INH3003" s="462"/>
      <c r="INI3003" s="299"/>
      <c r="INJ3003" s="81"/>
      <c r="INK3003" s="160"/>
      <c r="INL3003" s="577"/>
      <c r="INM3003" s="125"/>
      <c r="INN3003" s="470"/>
      <c r="INO3003" s="449"/>
      <c r="INP3003" s="462"/>
      <c r="INQ3003" s="299"/>
      <c r="INR3003" s="81"/>
      <c r="INS3003" s="160"/>
      <c r="INT3003" s="577"/>
      <c r="INU3003" s="125"/>
      <c r="INV3003" s="470"/>
      <c r="INW3003" s="449"/>
      <c r="INX3003" s="462"/>
      <c r="INY3003" s="299"/>
      <c r="INZ3003" s="81"/>
      <c r="IOA3003" s="160"/>
      <c r="IOB3003" s="577"/>
      <c r="IOC3003" s="125"/>
      <c r="IOD3003" s="470"/>
      <c r="IOE3003" s="449"/>
      <c r="IOF3003" s="462"/>
      <c r="IOG3003" s="299"/>
      <c r="IOH3003" s="81"/>
      <c r="IOI3003" s="160"/>
      <c r="IOJ3003" s="577"/>
      <c r="IOK3003" s="125"/>
      <c r="IOL3003" s="470"/>
      <c r="IOM3003" s="449"/>
      <c r="ION3003" s="462"/>
      <c r="IOO3003" s="299"/>
      <c r="IOP3003" s="81"/>
      <c r="IOQ3003" s="160"/>
      <c r="IOR3003" s="577"/>
      <c r="IOS3003" s="125"/>
      <c r="IOT3003" s="470"/>
      <c r="IOU3003" s="449"/>
      <c r="IOV3003" s="462"/>
      <c r="IOW3003" s="299"/>
      <c r="IOX3003" s="81"/>
      <c r="IOY3003" s="160"/>
      <c r="IOZ3003" s="577"/>
      <c r="IPA3003" s="125"/>
      <c r="IPB3003" s="470"/>
      <c r="IPC3003" s="449"/>
      <c r="IPD3003" s="462"/>
      <c r="IPE3003" s="299"/>
      <c r="IPF3003" s="81"/>
      <c r="IPG3003" s="160"/>
      <c r="IPH3003" s="577"/>
      <c r="IPI3003" s="125"/>
      <c r="IPJ3003" s="470"/>
      <c r="IPK3003" s="449"/>
      <c r="IPL3003" s="462"/>
      <c r="IPM3003" s="299"/>
      <c r="IPN3003" s="81"/>
      <c r="IPO3003" s="160"/>
      <c r="IPP3003" s="577"/>
      <c r="IPQ3003" s="125"/>
      <c r="IPR3003" s="470"/>
      <c r="IPS3003" s="449"/>
      <c r="IPT3003" s="462"/>
      <c r="IPU3003" s="299"/>
      <c r="IPV3003" s="81"/>
      <c r="IPW3003" s="160"/>
      <c r="IPX3003" s="577"/>
      <c r="IPY3003" s="125"/>
      <c r="IPZ3003" s="470"/>
      <c r="IQA3003" s="449"/>
      <c r="IQB3003" s="462"/>
      <c r="IQC3003" s="299"/>
      <c r="IQD3003" s="81"/>
      <c r="IQE3003" s="160"/>
      <c r="IQF3003" s="577"/>
      <c r="IQG3003" s="125"/>
      <c r="IQH3003" s="470"/>
      <c r="IQI3003" s="449"/>
      <c r="IQJ3003" s="462"/>
      <c r="IQK3003" s="299"/>
      <c r="IQL3003" s="81"/>
      <c r="IQM3003" s="160"/>
      <c r="IQN3003" s="577"/>
      <c r="IQO3003" s="125"/>
      <c r="IQP3003" s="470"/>
      <c r="IQQ3003" s="449"/>
      <c r="IQR3003" s="462"/>
      <c r="IQS3003" s="299"/>
      <c r="IQT3003" s="81"/>
      <c r="IQU3003" s="160"/>
      <c r="IQV3003" s="577"/>
      <c r="IQW3003" s="125"/>
      <c r="IQX3003" s="470"/>
      <c r="IQY3003" s="449"/>
      <c r="IQZ3003" s="462"/>
      <c r="IRA3003" s="299"/>
      <c r="IRB3003" s="81"/>
      <c r="IRC3003" s="160"/>
      <c r="IRD3003" s="577"/>
      <c r="IRE3003" s="125"/>
      <c r="IRF3003" s="470"/>
      <c r="IRG3003" s="449"/>
      <c r="IRH3003" s="462"/>
      <c r="IRI3003" s="299"/>
      <c r="IRJ3003" s="81"/>
      <c r="IRK3003" s="160"/>
      <c r="IRL3003" s="577"/>
      <c r="IRM3003" s="125"/>
      <c r="IRN3003" s="470"/>
      <c r="IRO3003" s="449"/>
      <c r="IRP3003" s="462"/>
      <c r="IRQ3003" s="299"/>
      <c r="IRR3003" s="81"/>
      <c r="IRS3003" s="160"/>
      <c r="IRT3003" s="577"/>
      <c r="IRU3003" s="125"/>
      <c r="IRV3003" s="470"/>
      <c r="IRW3003" s="449"/>
      <c r="IRX3003" s="462"/>
      <c r="IRY3003" s="299"/>
      <c r="IRZ3003" s="81"/>
      <c r="ISA3003" s="160"/>
      <c r="ISB3003" s="577"/>
      <c r="ISC3003" s="125"/>
      <c r="ISD3003" s="470"/>
      <c r="ISE3003" s="449"/>
      <c r="ISF3003" s="462"/>
      <c r="ISG3003" s="299"/>
      <c r="ISH3003" s="81"/>
      <c r="ISI3003" s="160"/>
      <c r="ISJ3003" s="577"/>
      <c r="ISK3003" s="125"/>
      <c r="ISL3003" s="470"/>
      <c r="ISM3003" s="449"/>
      <c r="ISN3003" s="462"/>
      <c r="ISO3003" s="299"/>
      <c r="ISP3003" s="81"/>
      <c r="ISQ3003" s="160"/>
      <c r="ISR3003" s="577"/>
      <c r="ISS3003" s="125"/>
      <c r="IST3003" s="470"/>
      <c r="ISU3003" s="449"/>
      <c r="ISV3003" s="462"/>
      <c r="ISW3003" s="299"/>
      <c r="ISX3003" s="81"/>
      <c r="ISY3003" s="160"/>
      <c r="ISZ3003" s="577"/>
      <c r="ITA3003" s="125"/>
      <c r="ITB3003" s="470"/>
      <c r="ITC3003" s="449"/>
      <c r="ITD3003" s="462"/>
      <c r="ITE3003" s="299"/>
      <c r="ITF3003" s="81"/>
      <c r="ITG3003" s="160"/>
      <c r="ITH3003" s="577"/>
      <c r="ITI3003" s="125"/>
      <c r="ITJ3003" s="470"/>
      <c r="ITK3003" s="449"/>
      <c r="ITL3003" s="462"/>
      <c r="ITM3003" s="299"/>
      <c r="ITN3003" s="81"/>
      <c r="ITO3003" s="160"/>
      <c r="ITP3003" s="577"/>
      <c r="ITQ3003" s="125"/>
      <c r="ITR3003" s="470"/>
      <c r="ITS3003" s="449"/>
      <c r="ITT3003" s="462"/>
      <c r="ITU3003" s="299"/>
      <c r="ITV3003" s="81"/>
      <c r="ITW3003" s="160"/>
      <c r="ITX3003" s="577"/>
      <c r="ITY3003" s="125"/>
      <c r="ITZ3003" s="470"/>
      <c r="IUA3003" s="449"/>
      <c r="IUB3003" s="462"/>
      <c r="IUC3003" s="299"/>
      <c r="IUD3003" s="81"/>
      <c r="IUE3003" s="160"/>
      <c r="IUF3003" s="577"/>
      <c r="IUG3003" s="125"/>
      <c r="IUH3003" s="470"/>
      <c r="IUI3003" s="449"/>
      <c r="IUJ3003" s="462"/>
      <c r="IUK3003" s="299"/>
      <c r="IUL3003" s="81"/>
      <c r="IUM3003" s="160"/>
      <c r="IUN3003" s="577"/>
      <c r="IUO3003" s="125"/>
      <c r="IUP3003" s="470"/>
      <c r="IUQ3003" s="449"/>
      <c r="IUR3003" s="462"/>
      <c r="IUS3003" s="299"/>
      <c r="IUT3003" s="81"/>
      <c r="IUU3003" s="160"/>
      <c r="IUV3003" s="577"/>
      <c r="IUW3003" s="125"/>
      <c r="IUX3003" s="470"/>
      <c r="IUY3003" s="449"/>
      <c r="IUZ3003" s="462"/>
      <c r="IVA3003" s="299"/>
      <c r="IVB3003" s="81"/>
      <c r="IVC3003" s="160"/>
      <c r="IVD3003" s="577"/>
      <c r="IVE3003" s="125"/>
      <c r="IVF3003" s="470"/>
      <c r="IVG3003" s="449"/>
      <c r="IVH3003" s="462"/>
      <c r="IVI3003" s="299"/>
      <c r="IVJ3003" s="81"/>
      <c r="IVK3003" s="160"/>
      <c r="IVL3003" s="577"/>
      <c r="IVM3003" s="125"/>
      <c r="IVN3003" s="470"/>
      <c r="IVO3003" s="449"/>
      <c r="IVP3003" s="462"/>
      <c r="IVQ3003" s="299"/>
      <c r="IVR3003" s="81"/>
      <c r="IVS3003" s="160"/>
      <c r="IVT3003" s="577"/>
      <c r="IVU3003" s="125"/>
      <c r="IVV3003" s="470"/>
      <c r="IVW3003" s="449"/>
      <c r="IVX3003" s="462"/>
      <c r="IVY3003" s="299"/>
      <c r="IVZ3003" s="81"/>
      <c r="IWA3003" s="160"/>
      <c r="IWB3003" s="577"/>
      <c r="IWC3003" s="125"/>
      <c r="IWD3003" s="470"/>
      <c r="IWE3003" s="449"/>
      <c r="IWF3003" s="462"/>
      <c r="IWG3003" s="299"/>
      <c r="IWH3003" s="81"/>
      <c r="IWI3003" s="160"/>
      <c r="IWJ3003" s="577"/>
      <c r="IWK3003" s="125"/>
      <c r="IWL3003" s="470"/>
      <c r="IWM3003" s="449"/>
      <c r="IWN3003" s="462"/>
      <c r="IWO3003" s="299"/>
      <c r="IWP3003" s="81"/>
      <c r="IWQ3003" s="160"/>
      <c r="IWR3003" s="577"/>
      <c r="IWS3003" s="125"/>
      <c r="IWT3003" s="470"/>
      <c r="IWU3003" s="449"/>
      <c r="IWV3003" s="462"/>
      <c r="IWW3003" s="299"/>
      <c r="IWX3003" s="81"/>
      <c r="IWY3003" s="160"/>
      <c r="IWZ3003" s="577"/>
      <c r="IXA3003" s="125"/>
      <c r="IXB3003" s="470"/>
      <c r="IXC3003" s="449"/>
      <c r="IXD3003" s="462"/>
      <c r="IXE3003" s="299"/>
      <c r="IXF3003" s="81"/>
      <c r="IXG3003" s="160"/>
      <c r="IXH3003" s="577"/>
      <c r="IXI3003" s="125"/>
      <c r="IXJ3003" s="470"/>
      <c r="IXK3003" s="449"/>
      <c r="IXL3003" s="462"/>
      <c r="IXM3003" s="299"/>
      <c r="IXN3003" s="81"/>
      <c r="IXO3003" s="160"/>
      <c r="IXP3003" s="577"/>
      <c r="IXQ3003" s="125"/>
      <c r="IXR3003" s="470"/>
      <c r="IXS3003" s="449"/>
      <c r="IXT3003" s="462"/>
      <c r="IXU3003" s="299"/>
      <c r="IXV3003" s="81"/>
      <c r="IXW3003" s="160"/>
      <c r="IXX3003" s="577"/>
      <c r="IXY3003" s="125"/>
      <c r="IXZ3003" s="470"/>
      <c r="IYA3003" s="449"/>
      <c r="IYB3003" s="462"/>
      <c r="IYC3003" s="299"/>
      <c r="IYD3003" s="81"/>
      <c r="IYE3003" s="160"/>
      <c r="IYF3003" s="577"/>
      <c r="IYG3003" s="125"/>
      <c r="IYH3003" s="470"/>
      <c r="IYI3003" s="449"/>
      <c r="IYJ3003" s="462"/>
      <c r="IYK3003" s="299"/>
      <c r="IYL3003" s="81"/>
      <c r="IYM3003" s="160"/>
      <c r="IYN3003" s="577"/>
      <c r="IYO3003" s="125"/>
      <c r="IYP3003" s="470"/>
      <c r="IYQ3003" s="449"/>
      <c r="IYR3003" s="462"/>
      <c r="IYS3003" s="299"/>
      <c r="IYT3003" s="81"/>
      <c r="IYU3003" s="160"/>
      <c r="IYV3003" s="577"/>
      <c r="IYW3003" s="125"/>
      <c r="IYX3003" s="470"/>
      <c r="IYY3003" s="449"/>
      <c r="IYZ3003" s="462"/>
      <c r="IZA3003" s="299"/>
      <c r="IZB3003" s="81"/>
      <c r="IZC3003" s="160"/>
      <c r="IZD3003" s="577"/>
      <c r="IZE3003" s="125"/>
      <c r="IZF3003" s="470"/>
      <c r="IZG3003" s="449"/>
      <c r="IZH3003" s="462"/>
      <c r="IZI3003" s="299"/>
      <c r="IZJ3003" s="81"/>
      <c r="IZK3003" s="160"/>
      <c r="IZL3003" s="577"/>
      <c r="IZM3003" s="125"/>
      <c r="IZN3003" s="470"/>
      <c r="IZO3003" s="449"/>
      <c r="IZP3003" s="462"/>
      <c r="IZQ3003" s="299"/>
      <c r="IZR3003" s="81"/>
      <c r="IZS3003" s="160"/>
      <c r="IZT3003" s="577"/>
      <c r="IZU3003" s="125"/>
      <c r="IZV3003" s="470"/>
      <c r="IZW3003" s="449"/>
      <c r="IZX3003" s="462"/>
      <c r="IZY3003" s="299"/>
      <c r="IZZ3003" s="81"/>
      <c r="JAA3003" s="160"/>
      <c r="JAB3003" s="577"/>
      <c r="JAC3003" s="125"/>
      <c r="JAD3003" s="470"/>
      <c r="JAE3003" s="449"/>
      <c r="JAF3003" s="462"/>
      <c r="JAG3003" s="299"/>
      <c r="JAH3003" s="81"/>
      <c r="JAI3003" s="160"/>
      <c r="JAJ3003" s="577"/>
      <c r="JAK3003" s="125"/>
      <c r="JAL3003" s="470"/>
      <c r="JAM3003" s="449"/>
      <c r="JAN3003" s="462"/>
      <c r="JAO3003" s="299"/>
      <c r="JAP3003" s="81"/>
      <c r="JAQ3003" s="160"/>
      <c r="JAR3003" s="577"/>
      <c r="JAS3003" s="125"/>
      <c r="JAT3003" s="470"/>
      <c r="JAU3003" s="449"/>
      <c r="JAV3003" s="462"/>
      <c r="JAW3003" s="299"/>
      <c r="JAX3003" s="81"/>
      <c r="JAY3003" s="160"/>
      <c r="JAZ3003" s="577"/>
      <c r="JBA3003" s="125"/>
      <c r="JBB3003" s="470"/>
      <c r="JBC3003" s="449"/>
      <c r="JBD3003" s="462"/>
      <c r="JBE3003" s="299"/>
      <c r="JBF3003" s="81"/>
      <c r="JBG3003" s="160"/>
      <c r="JBH3003" s="577"/>
      <c r="JBI3003" s="125"/>
      <c r="JBJ3003" s="470"/>
      <c r="JBK3003" s="449"/>
      <c r="JBL3003" s="462"/>
      <c r="JBM3003" s="299"/>
      <c r="JBN3003" s="81"/>
      <c r="JBO3003" s="160"/>
      <c r="JBP3003" s="577"/>
      <c r="JBQ3003" s="125"/>
      <c r="JBR3003" s="470"/>
      <c r="JBS3003" s="449"/>
      <c r="JBT3003" s="462"/>
      <c r="JBU3003" s="299"/>
      <c r="JBV3003" s="81"/>
      <c r="JBW3003" s="160"/>
      <c r="JBX3003" s="577"/>
      <c r="JBY3003" s="125"/>
      <c r="JBZ3003" s="470"/>
      <c r="JCA3003" s="449"/>
      <c r="JCB3003" s="462"/>
      <c r="JCC3003" s="299"/>
      <c r="JCD3003" s="81"/>
      <c r="JCE3003" s="160"/>
      <c r="JCF3003" s="577"/>
      <c r="JCG3003" s="125"/>
      <c r="JCH3003" s="470"/>
      <c r="JCI3003" s="449"/>
      <c r="JCJ3003" s="462"/>
      <c r="JCK3003" s="299"/>
      <c r="JCL3003" s="81"/>
      <c r="JCM3003" s="160"/>
      <c r="JCN3003" s="577"/>
      <c r="JCO3003" s="125"/>
      <c r="JCP3003" s="470"/>
      <c r="JCQ3003" s="449"/>
      <c r="JCR3003" s="462"/>
      <c r="JCS3003" s="299"/>
      <c r="JCT3003" s="81"/>
      <c r="JCU3003" s="160"/>
      <c r="JCV3003" s="577"/>
      <c r="JCW3003" s="125"/>
      <c r="JCX3003" s="470"/>
      <c r="JCY3003" s="449"/>
      <c r="JCZ3003" s="462"/>
      <c r="JDA3003" s="299"/>
      <c r="JDB3003" s="81"/>
      <c r="JDC3003" s="160"/>
      <c r="JDD3003" s="577"/>
      <c r="JDE3003" s="125"/>
      <c r="JDF3003" s="470"/>
      <c r="JDG3003" s="449"/>
      <c r="JDH3003" s="462"/>
      <c r="JDI3003" s="299"/>
      <c r="JDJ3003" s="81"/>
      <c r="JDK3003" s="160"/>
      <c r="JDL3003" s="577"/>
      <c r="JDM3003" s="125"/>
      <c r="JDN3003" s="470"/>
      <c r="JDO3003" s="449"/>
      <c r="JDP3003" s="462"/>
      <c r="JDQ3003" s="299"/>
      <c r="JDR3003" s="81"/>
      <c r="JDS3003" s="160"/>
      <c r="JDT3003" s="577"/>
      <c r="JDU3003" s="125"/>
      <c r="JDV3003" s="470"/>
      <c r="JDW3003" s="449"/>
      <c r="JDX3003" s="462"/>
      <c r="JDY3003" s="299"/>
      <c r="JDZ3003" s="81"/>
      <c r="JEA3003" s="160"/>
      <c r="JEB3003" s="577"/>
      <c r="JEC3003" s="125"/>
      <c r="JED3003" s="470"/>
      <c r="JEE3003" s="449"/>
      <c r="JEF3003" s="462"/>
      <c r="JEG3003" s="299"/>
      <c r="JEH3003" s="81"/>
      <c r="JEI3003" s="160"/>
      <c r="JEJ3003" s="577"/>
      <c r="JEK3003" s="125"/>
      <c r="JEL3003" s="470"/>
      <c r="JEM3003" s="449"/>
      <c r="JEN3003" s="462"/>
      <c r="JEO3003" s="299"/>
      <c r="JEP3003" s="81"/>
      <c r="JEQ3003" s="160"/>
      <c r="JER3003" s="577"/>
      <c r="JES3003" s="125"/>
      <c r="JET3003" s="470"/>
      <c r="JEU3003" s="449"/>
      <c r="JEV3003" s="462"/>
      <c r="JEW3003" s="299"/>
      <c r="JEX3003" s="81"/>
      <c r="JEY3003" s="160"/>
      <c r="JEZ3003" s="577"/>
      <c r="JFA3003" s="125"/>
      <c r="JFB3003" s="470"/>
      <c r="JFC3003" s="449"/>
      <c r="JFD3003" s="462"/>
      <c r="JFE3003" s="299"/>
      <c r="JFF3003" s="81"/>
      <c r="JFG3003" s="160"/>
      <c r="JFH3003" s="577"/>
      <c r="JFI3003" s="125"/>
      <c r="JFJ3003" s="470"/>
      <c r="JFK3003" s="449"/>
      <c r="JFL3003" s="462"/>
      <c r="JFM3003" s="299"/>
      <c r="JFN3003" s="81"/>
      <c r="JFO3003" s="160"/>
      <c r="JFP3003" s="577"/>
      <c r="JFQ3003" s="125"/>
      <c r="JFR3003" s="470"/>
      <c r="JFS3003" s="449"/>
      <c r="JFT3003" s="462"/>
      <c r="JFU3003" s="299"/>
      <c r="JFV3003" s="81"/>
      <c r="JFW3003" s="160"/>
      <c r="JFX3003" s="577"/>
      <c r="JFY3003" s="125"/>
      <c r="JFZ3003" s="470"/>
      <c r="JGA3003" s="449"/>
      <c r="JGB3003" s="462"/>
      <c r="JGC3003" s="299"/>
      <c r="JGD3003" s="81"/>
      <c r="JGE3003" s="160"/>
      <c r="JGF3003" s="577"/>
      <c r="JGG3003" s="125"/>
      <c r="JGH3003" s="470"/>
      <c r="JGI3003" s="449"/>
      <c r="JGJ3003" s="462"/>
      <c r="JGK3003" s="299"/>
      <c r="JGL3003" s="81"/>
      <c r="JGM3003" s="160"/>
      <c r="JGN3003" s="577"/>
      <c r="JGO3003" s="125"/>
      <c r="JGP3003" s="470"/>
      <c r="JGQ3003" s="449"/>
      <c r="JGR3003" s="462"/>
      <c r="JGS3003" s="299"/>
      <c r="JGT3003" s="81"/>
      <c r="JGU3003" s="160"/>
      <c r="JGV3003" s="577"/>
      <c r="JGW3003" s="125"/>
      <c r="JGX3003" s="470"/>
      <c r="JGY3003" s="449"/>
      <c r="JGZ3003" s="462"/>
      <c r="JHA3003" s="299"/>
      <c r="JHB3003" s="81"/>
      <c r="JHC3003" s="160"/>
      <c r="JHD3003" s="577"/>
      <c r="JHE3003" s="125"/>
      <c r="JHF3003" s="470"/>
      <c r="JHG3003" s="449"/>
      <c r="JHH3003" s="462"/>
      <c r="JHI3003" s="299"/>
      <c r="JHJ3003" s="81"/>
      <c r="JHK3003" s="160"/>
      <c r="JHL3003" s="577"/>
      <c r="JHM3003" s="125"/>
      <c r="JHN3003" s="470"/>
      <c r="JHO3003" s="449"/>
      <c r="JHP3003" s="462"/>
      <c r="JHQ3003" s="299"/>
      <c r="JHR3003" s="81"/>
      <c r="JHS3003" s="160"/>
      <c r="JHT3003" s="577"/>
      <c r="JHU3003" s="125"/>
      <c r="JHV3003" s="470"/>
      <c r="JHW3003" s="449"/>
      <c r="JHX3003" s="462"/>
      <c r="JHY3003" s="299"/>
      <c r="JHZ3003" s="81"/>
      <c r="JIA3003" s="160"/>
      <c r="JIB3003" s="577"/>
      <c r="JIC3003" s="125"/>
      <c r="JID3003" s="470"/>
      <c r="JIE3003" s="449"/>
      <c r="JIF3003" s="462"/>
      <c r="JIG3003" s="299"/>
      <c r="JIH3003" s="81"/>
      <c r="JII3003" s="160"/>
      <c r="JIJ3003" s="577"/>
      <c r="JIK3003" s="125"/>
      <c r="JIL3003" s="470"/>
      <c r="JIM3003" s="449"/>
      <c r="JIN3003" s="462"/>
      <c r="JIO3003" s="299"/>
      <c r="JIP3003" s="81"/>
      <c r="JIQ3003" s="160"/>
      <c r="JIR3003" s="577"/>
      <c r="JIS3003" s="125"/>
      <c r="JIT3003" s="470"/>
      <c r="JIU3003" s="449"/>
      <c r="JIV3003" s="462"/>
      <c r="JIW3003" s="299"/>
      <c r="JIX3003" s="81"/>
      <c r="JIY3003" s="160"/>
      <c r="JIZ3003" s="577"/>
      <c r="JJA3003" s="125"/>
      <c r="JJB3003" s="470"/>
      <c r="JJC3003" s="449"/>
      <c r="JJD3003" s="462"/>
      <c r="JJE3003" s="299"/>
      <c r="JJF3003" s="81"/>
      <c r="JJG3003" s="160"/>
      <c r="JJH3003" s="577"/>
      <c r="JJI3003" s="125"/>
      <c r="JJJ3003" s="470"/>
      <c r="JJK3003" s="449"/>
      <c r="JJL3003" s="462"/>
      <c r="JJM3003" s="299"/>
      <c r="JJN3003" s="81"/>
      <c r="JJO3003" s="160"/>
      <c r="JJP3003" s="577"/>
      <c r="JJQ3003" s="125"/>
      <c r="JJR3003" s="470"/>
      <c r="JJS3003" s="449"/>
      <c r="JJT3003" s="462"/>
      <c r="JJU3003" s="299"/>
      <c r="JJV3003" s="81"/>
      <c r="JJW3003" s="160"/>
      <c r="JJX3003" s="577"/>
      <c r="JJY3003" s="125"/>
      <c r="JJZ3003" s="470"/>
      <c r="JKA3003" s="449"/>
      <c r="JKB3003" s="462"/>
      <c r="JKC3003" s="299"/>
      <c r="JKD3003" s="81"/>
      <c r="JKE3003" s="160"/>
      <c r="JKF3003" s="577"/>
      <c r="JKG3003" s="125"/>
      <c r="JKH3003" s="470"/>
      <c r="JKI3003" s="449"/>
      <c r="JKJ3003" s="462"/>
      <c r="JKK3003" s="299"/>
      <c r="JKL3003" s="81"/>
      <c r="JKM3003" s="160"/>
      <c r="JKN3003" s="577"/>
      <c r="JKO3003" s="125"/>
      <c r="JKP3003" s="470"/>
      <c r="JKQ3003" s="449"/>
      <c r="JKR3003" s="462"/>
      <c r="JKS3003" s="299"/>
      <c r="JKT3003" s="81"/>
      <c r="JKU3003" s="160"/>
      <c r="JKV3003" s="577"/>
      <c r="JKW3003" s="125"/>
      <c r="JKX3003" s="470"/>
      <c r="JKY3003" s="449"/>
      <c r="JKZ3003" s="462"/>
      <c r="JLA3003" s="299"/>
      <c r="JLB3003" s="81"/>
      <c r="JLC3003" s="160"/>
      <c r="JLD3003" s="577"/>
      <c r="JLE3003" s="125"/>
      <c r="JLF3003" s="470"/>
      <c r="JLG3003" s="449"/>
      <c r="JLH3003" s="462"/>
      <c r="JLI3003" s="299"/>
      <c r="JLJ3003" s="81"/>
      <c r="JLK3003" s="160"/>
      <c r="JLL3003" s="577"/>
      <c r="JLM3003" s="125"/>
      <c r="JLN3003" s="470"/>
      <c r="JLO3003" s="449"/>
      <c r="JLP3003" s="462"/>
      <c r="JLQ3003" s="299"/>
      <c r="JLR3003" s="81"/>
      <c r="JLS3003" s="160"/>
      <c r="JLT3003" s="577"/>
      <c r="JLU3003" s="125"/>
      <c r="JLV3003" s="470"/>
      <c r="JLW3003" s="449"/>
      <c r="JLX3003" s="462"/>
      <c r="JLY3003" s="299"/>
      <c r="JLZ3003" s="81"/>
      <c r="JMA3003" s="160"/>
      <c r="JMB3003" s="577"/>
      <c r="JMC3003" s="125"/>
      <c r="JMD3003" s="470"/>
      <c r="JME3003" s="449"/>
      <c r="JMF3003" s="462"/>
      <c r="JMG3003" s="299"/>
      <c r="JMH3003" s="81"/>
      <c r="JMI3003" s="160"/>
      <c r="JMJ3003" s="577"/>
      <c r="JMK3003" s="125"/>
      <c r="JML3003" s="470"/>
      <c r="JMM3003" s="449"/>
      <c r="JMN3003" s="462"/>
      <c r="JMO3003" s="299"/>
      <c r="JMP3003" s="81"/>
      <c r="JMQ3003" s="160"/>
      <c r="JMR3003" s="577"/>
      <c r="JMS3003" s="125"/>
      <c r="JMT3003" s="470"/>
      <c r="JMU3003" s="449"/>
      <c r="JMV3003" s="462"/>
      <c r="JMW3003" s="299"/>
      <c r="JMX3003" s="81"/>
      <c r="JMY3003" s="160"/>
      <c r="JMZ3003" s="577"/>
      <c r="JNA3003" s="125"/>
      <c r="JNB3003" s="470"/>
      <c r="JNC3003" s="449"/>
      <c r="JND3003" s="462"/>
      <c r="JNE3003" s="299"/>
      <c r="JNF3003" s="81"/>
      <c r="JNG3003" s="160"/>
      <c r="JNH3003" s="577"/>
      <c r="JNI3003" s="125"/>
      <c r="JNJ3003" s="470"/>
      <c r="JNK3003" s="449"/>
      <c r="JNL3003" s="462"/>
      <c r="JNM3003" s="299"/>
      <c r="JNN3003" s="81"/>
      <c r="JNO3003" s="160"/>
      <c r="JNP3003" s="577"/>
      <c r="JNQ3003" s="125"/>
      <c r="JNR3003" s="470"/>
      <c r="JNS3003" s="449"/>
      <c r="JNT3003" s="462"/>
      <c r="JNU3003" s="299"/>
      <c r="JNV3003" s="81"/>
      <c r="JNW3003" s="160"/>
      <c r="JNX3003" s="577"/>
      <c r="JNY3003" s="125"/>
      <c r="JNZ3003" s="470"/>
      <c r="JOA3003" s="449"/>
      <c r="JOB3003" s="462"/>
      <c r="JOC3003" s="299"/>
      <c r="JOD3003" s="81"/>
      <c r="JOE3003" s="160"/>
      <c r="JOF3003" s="577"/>
      <c r="JOG3003" s="125"/>
      <c r="JOH3003" s="470"/>
      <c r="JOI3003" s="449"/>
      <c r="JOJ3003" s="462"/>
      <c r="JOK3003" s="299"/>
      <c r="JOL3003" s="81"/>
      <c r="JOM3003" s="160"/>
      <c r="JON3003" s="577"/>
      <c r="JOO3003" s="125"/>
      <c r="JOP3003" s="470"/>
      <c r="JOQ3003" s="449"/>
      <c r="JOR3003" s="462"/>
      <c r="JOS3003" s="299"/>
      <c r="JOT3003" s="81"/>
      <c r="JOU3003" s="160"/>
      <c r="JOV3003" s="577"/>
      <c r="JOW3003" s="125"/>
      <c r="JOX3003" s="470"/>
      <c r="JOY3003" s="449"/>
      <c r="JOZ3003" s="462"/>
      <c r="JPA3003" s="299"/>
      <c r="JPB3003" s="81"/>
      <c r="JPC3003" s="160"/>
      <c r="JPD3003" s="577"/>
      <c r="JPE3003" s="125"/>
      <c r="JPF3003" s="470"/>
      <c r="JPG3003" s="449"/>
      <c r="JPH3003" s="462"/>
      <c r="JPI3003" s="299"/>
      <c r="JPJ3003" s="81"/>
      <c r="JPK3003" s="160"/>
      <c r="JPL3003" s="577"/>
      <c r="JPM3003" s="125"/>
      <c r="JPN3003" s="470"/>
      <c r="JPO3003" s="449"/>
      <c r="JPP3003" s="462"/>
      <c r="JPQ3003" s="299"/>
      <c r="JPR3003" s="81"/>
      <c r="JPS3003" s="160"/>
      <c r="JPT3003" s="577"/>
      <c r="JPU3003" s="125"/>
      <c r="JPV3003" s="470"/>
      <c r="JPW3003" s="449"/>
      <c r="JPX3003" s="462"/>
      <c r="JPY3003" s="299"/>
      <c r="JPZ3003" s="81"/>
      <c r="JQA3003" s="160"/>
      <c r="JQB3003" s="577"/>
      <c r="JQC3003" s="125"/>
      <c r="JQD3003" s="470"/>
      <c r="JQE3003" s="449"/>
      <c r="JQF3003" s="462"/>
      <c r="JQG3003" s="299"/>
      <c r="JQH3003" s="81"/>
      <c r="JQI3003" s="160"/>
      <c r="JQJ3003" s="577"/>
      <c r="JQK3003" s="125"/>
      <c r="JQL3003" s="470"/>
      <c r="JQM3003" s="449"/>
      <c r="JQN3003" s="462"/>
      <c r="JQO3003" s="299"/>
      <c r="JQP3003" s="81"/>
      <c r="JQQ3003" s="160"/>
      <c r="JQR3003" s="577"/>
      <c r="JQS3003" s="125"/>
      <c r="JQT3003" s="470"/>
      <c r="JQU3003" s="449"/>
      <c r="JQV3003" s="462"/>
      <c r="JQW3003" s="299"/>
      <c r="JQX3003" s="81"/>
      <c r="JQY3003" s="160"/>
      <c r="JQZ3003" s="577"/>
      <c r="JRA3003" s="125"/>
      <c r="JRB3003" s="470"/>
      <c r="JRC3003" s="449"/>
      <c r="JRD3003" s="462"/>
      <c r="JRE3003" s="299"/>
      <c r="JRF3003" s="81"/>
      <c r="JRG3003" s="160"/>
      <c r="JRH3003" s="577"/>
      <c r="JRI3003" s="125"/>
      <c r="JRJ3003" s="470"/>
      <c r="JRK3003" s="449"/>
      <c r="JRL3003" s="462"/>
      <c r="JRM3003" s="299"/>
      <c r="JRN3003" s="81"/>
      <c r="JRO3003" s="160"/>
      <c r="JRP3003" s="577"/>
      <c r="JRQ3003" s="125"/>
      <c r="JRR3003" s="470"/>
      <c r="JRS3003" s="449"/>
      <c r="JRT3003" s="462"/>
      <c r="JRU3003" s="299"/>
      <c r="JRV3003" s="81"/>
      <c r="JRW3003" s="160"/>
      <c r="JRX3003" s="577"/>
      <c r="JRY3003" s="125"/>
      <c r="JRZ3003" s="470"/>
      <c r="JSA3003" s="449"/>
      <c r="JSB3003" s="462"/>
      <c r="JSC3003" s="299"/>
      <c r="JSD3003" s="81"/>
      <c r="JSE3003" s="160"/>
      <c r="JSF3003" s="577"/>
      <c r="JSG3003" s="125"/>
      <c r="JSH3003" s="470"/>
      <c r="JSI3003" s="449"/>
      <c r="JSJ3003" s="462"/>
      <c r="JSK3003" s="299"/>
      <c r="JSL3003" s="81"/>
      <c r="JSM3003" s="160"/>
      <c r="JSN3003" s="577"/>
      <c r="JSO3003" s="125"/>
      <c r="JSP3003" s="470"/>
      <c r="JSQ3003" s="449"/>
      <c r="JSR3003" s="462"/>
      <c r="JSS3003" s="299"/>
      <c r="JST3003" s="81"/>
      <c r="JSU3003" s="160"/>
      <c r="JSV3003" s="577"/>
      <c r="JSW3003" s="125"/>
      <c r="JSX3003" s="470"/>
      <c r="JSY3003" s="449"/>
      <c r="JSZ3003" s="462"/>
      <c r="JTA3003" s="299"/>
      <c r="JTB3003" s="81"/>
      <c r="JTC3003" s="160"/>
      <c r="JTD3003" s="577"/>
      <c r="JTE3003" s="125"/>
      <c r="JTF3003" s="470"/>
      <c r="JTG3003" s="449"/>
      <c r="JTH3003" s="462"/>
      <c r="JTI3003" s="299"/>
      <c r="JTJ3003" s="81"/>
      <c r="JTK3003" s="160"/>
      <c r="JTL3003" s="577"/>
      <c r="JTM3003" s="125"/>
      <c r="JTN3003" s="470"/>
      <c r="JTO3003" s="449"/>
      <c r="JTP3003" s="462"/>
      <c r="JTQ3003" s="299"/>
      <c r="JTR3003" s="81"/>
      <c r="JTS3003" s="160"/>
      <c r="JTT3003" s="577"/>
      <c r="JTU3003" s="125"/>
      <c r="JTV3003" s="470"/>
      <c r="JTW3003" s="449"/>
      <c r="JTX3003" s="462"/>
      <c r="JTY3003" s="299"/>
      <c r="JTZ3003" s="81"/>
      <c r="JUA3003" s="160"/>
      <c r="JUB3003" s="577"/>
      <c r="JUC3003" s="125"/>
      <c r="JUD3003" s="470"/>
      <c r="JUE3003" s="449"/>
      <c r="JUF3003" s="462"/>
      <c r="JUG3003" s="299"/>
      <c r="JUH3003" s="81"/>
      <c r="JUI3003" s="160"/>
      <c r="JUJ3003" s="577"/>
      <c r="JUK3003" s="125"/>
      <c r="JUL3003" s="470"/>
      <c r="JUM3003" s="449"/>
      <c r="JUN3003" s="462"/>
      <c r="JUO3003" s="299"/>
      <c r="JUP3003" s="81"/>
      <c r="JUQ3003" s="160"/>
      <c r="JUR3003" s="577"/>
      <c r="JUS3003" s="125"/>
      <c r="JUT3003" s="470"/>
      <c r="JUU3003" s="449"/>
      <c r="JUV3003" s="462"/>
      <c r="JUW3003" s="299"/>
      <c r="JUX3003" s="81"/>
      <c r="JUY3003" s="160"/>
      <c r="JUZ3003" s="577"/>
      <c r="JVA3003" s="125"/>
      <c r="JVB3003" s="470"/>
      <c r="JVC3003" s="449"/>
      <c r="JVD3003" s="462"/>
      <c r="JVE3003" s="299"/>
      <c r="JVF3003" s="81"/>
      <c r="JVG3003" s="160"/>
      <c r="JVH3003" s="577"/>
      <c r="JVI3003" s="125"/>
      <c r="JVJ3003" s="470"/>
      <c r="JVK3003" s="449"/>
      <c r="JVL3003" s="462"/>
      <c r="JVM3003" s="299"/>
      <c r="JVN3003" s="81"/>
      <c r="JVO3003" s="160"/>
      <c r="JVP3003" s="577"/>
      <c r="JVQ3003" s="125"/>
      <c r="JVR3003" s="470"/>
      <c r="JVS3003" s="449"/>
      <c r="JVT3003" s="462"/>
      <c r="JVU3003" s="299"/>
      <c r="JVV3003" s="81"/>
      <c r="JVW3003" s="160"/>
      <c r="JVX3003" s="577"/>
      <c r="JVY3003" s="125"/>
      <c r="JVZ3003" s="470"/>
      <c r="JWA3003" s="449"/>
      <c r="JWB3003" s="462"/>
      <c r="JWC3003" s="299"/>
      <c r="JWD3003" s="81"/>
      <c r="JWE3003" s="160"/>
      <c r="JWF3003" s="577"/>
      <c r="JWG3003" s="125"/>
      <c r="JWH3003" s="470"/>
      <c r="JWI3003" s="449"/>
      <c r="JWJ3003" s="462"/>
      <c r="JWK3003" s="299"/>
      <c r="JWL3003" s="81"/>
      <c r="JWM3003" s="160"/>
      <c r="JWN3003" s="577"/>
      <c r="JWO3003" s="125"/>
      <c r="JWP3003" s="470"/>
      <c r="JWQ3003" s="449"/>
      <c r="JWR3003" s="462"/>
      <c r="JWS3003" s="299"/>
      <c r="JWT3003" s="81"/>
      <c r="JWU3003" s="160"/>
      <c r="JWV3003" s="577"/>
      <c r="JWW3003" s="125"/>
      <c r="JWX3003" s="470"/>
      <c r="JWY3003" s="449"/>
      <c r="JWZ3003" s="462"/>
      <c r="JXA3003" s="299"/>
      <c r="JXB3003" s="81"/>
      <c r="JXC3003" s="160"/>
      <c r="JXD3003" s="577"/>
      <c r="JXE3003" s="125"/>
      <c r="JXF3003" s="470"/>
      <c r="JXG3003" s="449"/>
      <c r="JXH3003" s="462"/>
      <c r="JXI3003" s="299"/>
      <c r="JXJ3003" s="81"/>
      <c r="JXK3003" s="160"/>
      <c r="JXL3003" s="577"/>
      <c r="JXM3003" s="125"/>
      <c r="JXN3003" s="470"/>
      <c r="JXO3003" s="449"/>
      <c r="JXP3003" s="462"/>
      <c r="JXQ3003" s="299"/>
      <c r="JXR3003" s="81"/>
      <c r="JXS3003" s="160"/>
      <c r="JXT3003" s="577"/>
      <c r="JXU3003" s="125"/>
      <c r="JXV3003" s="470"/>
      <c r="JXW3003" s="449"/>
      <c r="JXX3003" s="462"/>
      <c r="JXY3003" s="299"/>
      <c r="JXZ3003" s="81"/>
      <c r="JYA3003" s="160"/>
      <c r="JYB3003" s="577"/>
      <c r="JYC3003" s="125"/>
      <c r="JYD3003" s="470"/>
      <c r="JYE3003" s="449"/>
      <c r="JYF3003" s="462"/>
      <c r="JYG3003" s="299"/>
      <c r="JYH3003" s="81"/>
      <c r="JYI3003" s="160"/>
      <c r="JYJ3003" s="577"/>
      <c r="JYK3003" s="125"/>
      <c r="JYL3003" s="470"/>
      <c r="JYM3003" s="449"/>
      <c r="JYN3003" s="462"/>
      <c r="JYO3003" s="299"/>
      <c r="JYP3003" s="81"/>
      <c r="JYQ3003" s="160"/>
      <c r="JYR3003" s="577"/>
      <c r="JYS3003" s="125"/>
      <c r="JYT3003" s="470"/>
      <c r="JYU3003" s="449"/>
      <c r="JYV3003" s="462"/>
      <c r="JYW3003" s="299"/>
      <c r="JYX3003" s="81"/>
      <c r="JYY3003" s="160"/>
      <c r="JYZ3003" s="577"/>
      <c r="JZA3003" s="125"/>
      <c r="JZB3003" s="470"/>
      <c r="JZC3003" s="449"/>
      <c r="JZD3003" s="462"/>
      <c r="JZE3003" s="299"/>
      <c r="JZF3003" s="81"/>
      <c r="JZG3003" s="160"/>
      <c r="JZH3003" s="577"/>
      <c r="JZI3003" s="125"/>
      <c r="JZJ3003" s="470"/>
      <c r="JZK3003" s="449"/>
      <c r="JZL3003" s="462"/>
      <c r="JZM3003" s="299"/>
      <c r="JZN3003" s="81"/>
      <c r="JZO3003" s="160"/>
      <c r="JZP3003" s="577"/>
      <c r="JZQ3003" s="125"/>
      <c r="JZR3003" s="470"/>
      <c r="JZS3003" s="449"/>
      <c r="JZT3003" s="462"/>
      <c r="JZU3003" s="299"/>
      <c r="JZV3003" s="81"/>
      <c r="JZW3003" s="160"/>
      <c r="JZX3003" s="577"/>
      <c r="JZY3003" s="125"/>
      <c r="JZZ3003" s="470"/>
      <c r="KAA3003" s="449"/>
      <c r="KAB3003" s="462"/>
      <c r="KAC3003" s="299"/>
      <c r="KAD3003" s="81"/>
      <c r="KAE3003" s="160"/>
      <c r="KAF3003" s="577"/>
      <c r="KAG3003" s="125"/>
      <c r="KAH3003" s="470"/>
      <c r="KAI3003" s="449"/>
      <c r="KAJ3003" s="462"/>
      <c r="KAK3003" s="299"/>
      <c r="KAL3003" s="81"/>
      <c r="KAM3003" s="160"/>
      <c r="KAN3003" s="577"/>
      <c r="KAO3003" s="125"/>
      <c r="KAP3003" s="470"/>
      <c r="KAQ3003" s="449"/>
      <c r="KAR3003" s="462"/>
      <c r="KAS3003" s="299"/>
      <c r="KAT3003" s="81"/>
      <c r="KAU3003" s="160"/>
      <c r="KAV3003" s="577"/>
      <c r="KAW3003" s="125"/>
      <c r="KAX3003" s="470"/>
      <c r="KAY3003" s="449"/>
      <c r="KAZ3003" s="462"/>
      <c r="KBA3003" s="299"/>
      <c r="KBB3003" s="81"/>
      <c r="KBC3003" s="160"/>
      <c r="KBD3003" s="577"/>
      <c r="KBE3003" s="125"/>
      <c r="KBF3003" s="470"/>
      <c r="KBG3003" s="449"/>
      <c r="KBH3003" s="462"/>
      <c r="KBI3003" s="299"/>
      <c r="KBJ3003" s="81"/>
      <c r="KBK3003" s="160"/>
      <c r="KBL3003" s="577"/>
      <c r="KBM3003" s="125"/>
      <c r="KBN3003" s="470"/>
      <c r="KBO3003" s="449"/>
      <c r="KBP3003" s="462"/>
      <c r="KBQ3003" s="299"/>
      <c r="KBR3003" s="81"/>
      <c r="KBS3003" s="160"/>
      <c r="KBT3003" s="577"/>
      <c r="KBU3003" s="125"/>
      <c r="KBV3003" s="470"/>
      <c r="KBW3003" s="449"/>
      <c r="KBX3003" s="462"/>
      <c r="KBY3003" s="299"/>
      <c r="KBZ3003" s="81"/>
      <c r="KCA3003" s="160"/>
      <c r="KCB3003" s="577"/>
      <c r="KCC3003" s="125"/>
      <c r="KCD3003" s="470"/>
      <c r="KCE3003" s="449"/>
      <c r="KCF3003" s="462"/>
      <c r="KCG3003" s="299"/>
      <c r="KCH3003" s="81"/>
      <c r="KCI3003" s="160"/>
      <c r="KCJ3003" s="577"/>
      <c r="KCK3003" s="125"/>
      <c r="KCL3003" s="470"/>
      <c r="KCM3003" s="449"/>
      <c r="KCN3003" s="462"/>
      <c r="KCO3003" s="299"/>
      <c r="KCP3003" s="81"/>
      <c r="KCQ3003" s="160"/>
      <c r="KCR3003" s="577"/>
      <c r="KCS3003" s="125"/>
      <c r="KCT3003" s="470"/>
      <c r="KCU3003" s="449"/>
      <c r="KCV3003" s="462"/>
      <c r="KCW3003" s="299"/>
      <c r="KCX3003" s="81"/>
      <c r="KCY3003" s="160"/>
      <c r="KCZ3003" s="577"/>
      <c r="KDA3003" s="125"/>
      <c r="KDB3003" s="470"/>
      <c r="KDC3003" s="449"/>
      <c r="KDD3003" s="462"/>
      <c r="KDE3003" s="299"/>
      <c r="KDF3003" s="81"/>
      <c r="KDG3003" s="160"/>
      <c r="KDH3003" s="577"/>
      <c r="KDI3003" s="125"/>
      <c r="KDJ3003" s="470"/>
      <c r="KDK3003" s="449"/>
      <c r="KDL3003" s="462"/>
      <c r="KDM3003" s="299"/>
      <c r="KDN3003" s="81"/>
      <c r="KDO3003" s="160"/>
      <c r="KDP3003" s="577"/>
      <c r="KDQ3003" s="125"/>
      <c r="KDR3003" s="470"/>
      <c r="KDS3003" s="449"/>
      <c r="KDT3003" s="462"/>
      <c r="KDU3003" s="299"/>
      <c r="KDV3003" s="81"/>
      <c r="KDW3003" s="160"/>
      <c r="KDX3003" s="577"/>
      <c r="KDY3003" s="125"/>
      <c r="KDZ3003" s="470"/>
      <c r="KEA3003" s="449"/>
      <c r="KEB3003" s="462"/>
      <c r="KEC3003" s="299"/>
      <c r="KED3003" s="81"/>
      <c r="KEE3003" s="160"/>
      <c r="KEF3003" s="577"/>
      <c r="KEG3003" s="125"/>
      <c r="KEH3003" s="470"/>
      <c r="KEI3003" s="449"/>
      <c r="KEJ3003" s="462"/>
      <c r="KEK3003" s="299"/>
      <c r="KEL3003" s="81"/>
      <c r="KEM3003" s="160"/>
      <c r="KEN3003" s="577"/>
      <c r="KEO3003" s="125"/>
      <c r="KEP3003" s="470"/>
      <c r="KEQ3003" s="449"/>
      <c r="KER3003" s="462"/>
      <c r="KES3003" s="299"/>
      <c r="KET3003" s="81"/>
      <c r="KEU3003" s="160"/>
      <c r="KEV3003" s="577"/>
      <c r="KEW3003" s="125"/>
      <c r="KEX3003" s="470"/>
      <c r="KEY3003" s="449"/>
      <c r="KEZ3003" s="462"/>
      <c r="KFA3003" s="299"/>
      <c r="KFB3003" s="81"/>
      <c r="KFC3003" s="160"/>
      <c r="KFD3003" s="577"/>
      <c r="KFE3003" s="125"/>
      <c r="KFF3003" s="470"/>
      <c r="KFG3003" s="449"/>
      <c r="KFH3003" s="462"/>
      <c r="KFI3003" s="299"/>
      <c r="KFJ3003" s="81"/>
      <c r="KFK3003" s="160"/>
      <c r="KFL3003" s="577"/>
      <c r="KFM3003" s="125"/>
      <c r="KFN3003" s="470"/>
      <c r="KFO3003" s="449"/>
      <c r="KFP3003" s="462"/>
      <c r="KFQ3003" s="299"/>
      <c r="KFR3003" s="81"/>
      <c r="KFS3003" s="160"/>
      <c r="KFT3003" s="577"/>
      <c r="KFU3003" s="125"/>
      <c r="KFV3003" s="470"/>
      <c r="KFW3003" s="449"/>
      <c r="KFX3003" s="462"/>
      <c r="KFY3003" s="299"/>
      <c r="KFZ3003" s="81"/>
      <c r="KGA3003" s="160"/>
      <c r="KGB3003" s="577"/>
      <c r="KGC3003" s="125"/>
      <c r="KGD3003" s="470"/>
      <c r="KGE3003" s="449"/>
      <c r="KGF3003" s="462"/>
      <c r="KGG3003" s="299"/>
      <c r="KGH3003" s="81"/>
      <c r="KGI3003" s="160"/>
      <c r="KGJ3003" s="577"/>
      <c r="KGK3003" s="125"/>
      <c r="KGL3003" s="470"/>
      <c r="KGM3003" s="449"/>
      <c r="KGN3003" s="462"/>
      <c r="KGO3003" s="299"/>
      <c r="KGP3003" s="81"/>
      <c r="KGQ3003" s="160"/>
      <c r="KGR3003" s="577"/>
      <c r="KGS3003" s="125"/>
      <c r="KGT3003" s="470"/>
      <c r="KGU3003" s="449"/>
      <c r="KGV3003" s="462"/>
      <c r="KGW3003" s="299"/>
      <c r="KGX3003" s="81"/>
      <c r="KGY3003" s="160"/>
      <c r="KGZ3003" s="577"/>
      <c r="KHA3003" s="125"/>
      <c r="KHB3003" s="470"/>
      <c r="KHC3003" s="449"/>
      <c r="KHD3003" s="462"/>
      <c r="KHE3003" s="299"/>
      <c r="KHF3003" s="81"/>
      <c r="KHG3003" s="160"/>
      <c r="KHH3003" s="577"/>
      <c r="KHI3003" s="125"/>
      <c r="KHJ3003" s="470"/>
      <c r="KHK3003" s="449"/>
      <c r="KHL3003" s="462"/>
      <c r="KHM3003" s="299"/>
      <c r="KHN3003" s="81"/>
      <c r="KHO3003" s="160"/>
      <c r="KHP3003" s="577"/>
      <c r="KHQ3003" s="125"/>
      <c r="KHR3003" s="470"/>
      <c r="KHS3003" s="449"/>
      <c r="KHT3003" s="462"/>
      <c r="KHU3003" s="299"/>
      <c r="KHV3003" s="81"/>
      <c r="KHW3003" s="160"/>
      <c r="KHX3003" s="577"/>
      <c r="KHY3003" s="125"/>
      <c r="KHZ3003" s="470"/>
      <c r="KIA3003" s="449"/>
      <c r="KIB3003" s="462"/>
      <c r="KIC3003" s="299"/>
      <c r="KID3003" s="81"/>
      <c r="KIE3003" s="160"/>
      <c r="KIF3003" s="577"/>
      <c r="KIG3003" s="125"/>
      <c r="KIH3003" s="470"/>
      <c r="KII3003" s="449"/>
      <c r="KIJ3003" s="462"/>
      <c r="KIK3003" s="299"/>
      <c r="KIL3003" s="81"/>
      <c r="KIM3003" s="160"/>
      <c r="KIN3003" s="577"/>
      <c r="KIO3003" s="125"/>
      <c r="KIP3003" s="470"/>
      <c r="KIQ3003" s="449"/>
      <c r="KIR3003" s="462"/>
      <c r="KIS3003" s="299"/>
      <c r="KIT3003" s="81"/>
      <c r="KIU3003" s="160"/>
      <c r="KIV3003" s="577"/>
      <c r="KIW3003" s="125"/>
      <c r="KIX3003" s="470"/>
      <c r="KIY3003" s="449"/>
      <c r="KIZ3003" s="462"/>
      <c r="KJA3003" s="299"/>
      <c r="KJB3003" s="81"/>
      <c r="KJC3003" s="160"/>
      <c r="KJD3003" s="577"/>
      <c r="KJE3003" s="125"/>
      <c r="KJF3003" s="470"/>
      <c r="KJG3003" s="449"/>
      <c r="KJH3003" s="462"/>
      <c r="KJI3003" s="299"/>
      <c r="KJJ3003" s="81"/>
      <c r="KJK3003" s="160"/>
      <c r="KJL3003" s="577"/>
      <c r="KJM3003" s="125"/>
      <c r="KJN3003" s="470"/>
      <c r="KJO3003" s="449"/>
      <c r="KJP3003" s="462"/>
      <c r="KJQ3003" s="299"/>
      <c r="KJR3003" s="81"/>
      <c r="KJS3003" s="160"/>
      <c r="KJT3003" s="577"/>
      <c r="KJU3003" s="125"/>
      <c r="KJV3003" s="470"/>
      <c r="KJW3003" s="449"/>
      <c r="KJX3003" s="462"/>
      <c r="KJY3003" s="299"/>
      <c r="KJZ3003" s="81"/>
      <c r="KKA3003" s="160"/>
      <c r="KKB3003" s="577"/>
      <c r="KKC3003" s="125"/>
      <c r="KKD3003" s="470"/>
      <c r="KKE3003" s="449"/>
      <c r="KKF3003" s="462"/>
      <c r="KKG3003" s="299"/>
      <c r="KKH3003" s="81"/>
      <c r="KKI3003" s="160"/>
      <c r="KKJ3003" s="577"/>
      <c r="KKK3003" s="125"/>
      <c r="KKL3003" s="470"/>
      <c r="KKM3003" s="449"/>
      <c r="KKN3003" s="462"/>
      <c r="KKO3003" s="299"/>
      <c r="KKP3003" s="81"/>
      <c r="KKQ3003" s="160"/>
      <c r="KKR3003" s="577"/>
      <c r="KKS3003" s="125"/>
      <c r="KKT3003" s="470"/>
      <c r="KKU3003" s="449"/>
      <c r="KKV3003" s="462"/>
      <c r="KKW3003" s="299"/>
      <c r="KKX3003" s="81"/>
      <c r="KKY3003" s="160"/>
      <c r="KKZ3003" s="577"/>
      <c r="KLA3003" s="125"/>
      <c r="KLB3003" s="470"/>
      <c r="KLC3003" s="449"/>
      <c r="KLD3003" s="462"/>
      <c r="KLE3003" s="299"/>
      <c r="KLF3003" s="81"/>
      <c r="KLG3003" s="160"/>
      <c r="KLH3003" s="577"/>
      <c r="KLI3003" s="125"/>
      <c r="KLJ3003" s="470"/>
      <c r="KLK3003" s="449"/>
      <c r="KLL3003" s="462"/>
      <c r="KLM3003" s="299"/>
      <c r="KLN3003" s="81"/>
      <c r="KLO3003" s="160"/>
      <c r="KLP3003" s="577"/>
      <c r="KLQ3003" s="125"/>
      <c r="KLR3003" s="470"/>
      <c r="KLS3003" s="449"/>
      <c r="KLT3003" s="462"/>
      <c r="KLU3003" s="299"/>
      <c r="KLV3003" s="81"/>
      <c r="KLW3003" s="160"/>
      <c r="KLX3003" s="577"/>
      <c r="KLY3003" s="125"/>
      <c r="KLZ3003" s="470"/>
      <c r="KMA3003" s="449"/>
      <c r="KMB3003" s="462"/>
      <c r="KMC3003" s="299"/>
      <c r="KMD3003" s="81"/>
      <c r="KME3003" s="160"/>
      <c r="KMF3003" s="577"/>
      <c r="KMG3003" s="125"/>
      <c r="KMH3003" s="470"/>
      <c r="KMI3003" s="449"/>
      <c r="KMJ3003" s="462"/>
      <c r="KMK3003" s="299"/>
      <c r="KML3003" s="81"/>
      <c r="KMM3003" s="160"/>
      <c r="KMN3003" s="577"/>
      <c r="KMO3003" s="125"/>
      <c r="KMP3003" s="470"/>
      <c r="KMQ3003" s="449"/>
      <c r="KMR3003" s="462"/>
      <c r="KMS3003" s="299"/>
      <c r="KMT3003" s="81"/>
      <c r="KMU3003" s="160"/>
      <c r="KMV3003" s="577"/>
      <c r="KMW3003" s="125"/>
      <c r="KMX3003" s="470"/>
      <c r="KMY3003" s="449"/>
      <c r="KMZ3003" s="462"/>
      <c r="KNA3003" s="299"/>
      <c r="KNB3003" s="81"/>
      <c r="KNC3003" s="160"/>
      <c r="KND3003" s="577"/>
      <c r="KNE3003" s="125"/>
      <c r="KNF3003" s="470"/>
      <c r="KNG3003" s="449"/>
      <c r="KNH3003" s="462"/>
      <c r="KNI3003" s="299"/>
      <c r="KNJ3003" s="81"/>
      <c r="KNK3003" s="160"/>
      <c r="KNL3003" s="577"/>
      <c r="KNM3003" s="125"/>
      <c r="KNN3003" s="470"/>
      <c r="KNO3003" s="449"/>
      <c r="KNP3003" s="462"/>
      <c r="KNQ3003" s="299"/>
      <c r="KNR3003" s="81"/>
      <c r="KNS3003" s="160"/>
      <c r="KNT3003" s="577"/>
      <c r="KNU3003" s="125"/>
      <c r="KNV3003" s="470"/>
      <c r="KNW3003" s="449"/>
      <c r="KNX3003" s="462"/>
      <c r="KNY3003" s="299"/>
      <c r="KNZ3003" s="81"/>
      <c r="KOA3003" s="160"/>
      <c r="KOB3003" s="577"/>
      <c r="KOC3003" s="125"/>
      <c r="KOD3003" s="470"/>
      <c r="KOE3003" s="449"/>
      <c r="KOF3003" s="462"/>
      <c r="KOG3003" s="299"/>
      <c r="KOH3003" s="81"/>
      <c r="KOI3003" s="160"/>
      <c r="KOJ3003" s="577"/>
      <c r="KOK3003" s="125"/>
      <c r="KOL3003" s="470"/>
      <c r="KOM3003" s="449"/>
      <c r="KON3003" s="462"/>
      <c r="KOO3003" s="299"/>
      <c r="KOP3003" s="81"/>
      <c r="KOQ3003" s="160"/>
      <c r="KOR3003" s="577"/>
      <c r="KOS3003" s="125"/>
      <c r="KOT3003" s="470"/>
      <c r="KOU3003" s="449"/>
      <c r="KOV3003" s="462"/>
      <c r="KOW3003" s="299"/>
      <c r="KOX3003" s="81"/>
      <c r="KOY3003" s="160"/>
      <c r="KOZ3003" s="577"/>
      <c r="KPA3003" s="125"/>
      <c r="KPB3003" s="470"/>
      <c r="KPC3003" s="449"/>
      <c r="KPD3003" s="462"/>
      <c r="KPE3003" s="299"/>
      <c r="KPF3003" s="81"/>
      <c r="KPG3003" s="160"/>
      <c r="KPH3003" s="577"/>
      <c r="KPI3003" s="125"/>
      <c r="KPJ3003" s="470"/>
      <c r="KPK3003" s="449"/>
      <c r="KPL3003" s="462"/>
      <c r="KPM3003" s="299"/>
      <c r="KPN3003" s="81"/>
      <c r="KPO3003" s="160"/>
      <c r="KPP3003" s="577"/>
      <c r="KPQ3003" s="125"/>
      <c r="KPR3003" s="470"/>
      <c r="KPS3003" s="449"/>
      <c r="KPT3003" s="462"/>
      <c r="KPU3003" s="299"/>
      <c r="KPV3003" s="81"/>
      <c r="KPW3003" s="160"/>
      <c r="KPX3003" s="577"/>
      <c r="KPY3003" s="125"/>
      <c r="KPZ3003" s="470"/>
      <c r="KQA3003" s="449"/>
      <c r="KQB3003" s="462"/>
      <c r="KQC3003" s="299"/>
      <c r="KQD3003" s="81"/>
      <c r="KQE3003" s="160"/>
      <c r="KQF3003" s="577"/>
      <c r="KQG3003" s="125"/>
      <c r="KQH3003" s="470"/>
      <c r="KQI3003" s="449"/>
      <c r="KQJ3003" s="462"/>
      <c r="KQK3003" s="299"/>
      <c r="KQL3003" s="81"/>
      <c r="KQM3003" s="160"/>
      <c r="KQN3003" s="577"/>
      <c r="KQO3003" s="125"/>
      <c r="KQP3003" s="470"/>
      <c r="KQQ3003" s="449"/>
      <c r="KQR3003" s="462"/>
      <c r="KQS3003" s="299"/>
      <c r="KQT3003" s="81"/>
      <c r="KQU3003" s="160"/>
      <c r="KQV3003" s="577"/>
      <c r="KQW3003" s="125"/>
      <c r="KQX3003" s="470"/>
      <c r="KQY3003" s="449"/>
      <c r="KQZ3003" s="462"/>
      <c r="KRA3003" s="299"/>
      <c r="KRB3003" s="81"/>
      <c r="KRC3003" s="160"/>
      <c r="KRD3003" s="577"/>
      <c r="KRE3003" s="125"/>
      <c r="KRF3003" s="470"/>
      <c r="KRG3003" s="449"/>
      <c r="KRH3003" s="462"/>
      <c r="KRI3003" s="299"/>
      <c r="KRJ3003" s="81"/>
      <c r="KRK3003" s="160"/>
      <c r="KRL3003" s="577"/>
      <c r="KRM3003" s="125"/>
      <c r="KRN3003" s="470"/>
      <c r="KRO3003" s="449"/>
      <c r="KRP3003" s="462"/>
      <c r="KRQ3003" s="299"/>
      <c r="KRR3003" s="81"/>
      <c r="KRS3003" s="160"/>
      <c r="KRT3003" s="577"/>
      <c r="KRU3003" s="125"/>
      <c r="KRV3003" s="470"/>
      <c r="KRW3003" s="449"/>
      <c r="KRX3003" s="462"/>
      <c r="KRY3003" s="299"/>
      <c r="KRZ3003" s="81"/>
      <c r="KSA3003" s="160"/>
      <c r="KSB3003" s="577"/>
      <c r="KSC3003" s="125"/>
      <c r="KSD3003" s="470"/>
      <c r="KSE3003" s="449"/>
      <c r="KSF3003" s="462"/>
      <c r="KSG3003" s="299"/>
      <c r="KSH3003" s="81"/>
      <c r="KSI3003" s="160"/>
      <c r="KSJ3003" s="577"/>
      <c r="KSK3003" s="125"/>
      <c r="KSL3003" s="470"/>
      <c r="KSM3003" s="449"/>
      <c r="KSN3003" s="462"/>
      <c r="KSO3003" s="299"/>
      <c r="KSP3003" s="81"/>
      <c r="KSQ3003" s="160"/>
      <c r="KSR3003" s="577"/>
      <c r="KSS3003" s="125"/>
      <c r="KST3003" s="470"/>
      <c r="KSU3003" s="449"/>
      <c r="KSV3003" s="462"/>
      <c r="KSW3003" s="299"/>
      <c r="KSX3003" s="81"/>
      <c r="KSY3003" s="160"/>
      <c r="KSZ3003" s="577"/>
      <c r="KTA3003" s="125"/>
      <c r="KTB3003" s="470"/>
      <c r="KTC3003" s="449"/>
      <c r="KTD3003" s="462"/>
      <c r="KTE3003" s="299"/>
      <c r="KTF3003" s="81"/>
      <c r="KTG3003" s="160"/>
      <c r="KTH3003" s="577"/>
      <c r="KTI3003" s="125"/>
      <c r="KTJ3003" s="470"/>
      <c r="KTK3003" s="449"/>
      <c r="KTL3003" s="462"/>
      <c r="KTM3003" s="299"/>
      <c r="KTN3003" s="81"/>
      <c r="KTO3003" s="160"/>
      <c r="KTP3003" s="577"/>
      <c r="KTQ3003" s="125"/>
      <c r="KTR3003" s="470"/>
      <c r="KTS3003" s="449"/>
      <c r="KTT3003" s="462"/>
      <c r="KTU3003" s="299"/>
      <c r="KTV3003" s="81"/>
      <c r="KTW3003" s="160"/>
      <c r="KTX3003" s="577"/>
      <c r="KTY3003" s="125"/>
      <c r="KTZ3003" s="470"/>
      <c r="KUA3003" s="449"/>
      <c r="KUB3003" s="462"/>
      <c r="KUC3003" s="299"/>
      <c r="KUD3003" s="81"/>
      <c r="KUE3003" s="160"/>
      <c r="KUF3003" s="577"/>
      <c r="KUG3003" s="125"/>
      <c r="KUH3003" s="470"/>
      <c r="KUI3003" s="449"/>
      <c r="KUJ3003" s="462"/>
      <c r="KUK3003" s="299"/>
      <c r="KUL3003" s="81"/>
      <c r="KUM3003" s="160"/>
      <c r="KUN3003" s="577"/>
      <c r="KUO3003" s="125"/>
      <c r="KUP3003" s="470"/>
      <c r="KUQ3003" s="449"/>
      <c r="KUR3003" s="462"/>
      <c r="KUS3003" s="299"/>
      <c r="KUT3003" s="81"/>
      <c r="KUU3003" s="160"/>
      <c r="KUV3003" s="577"/>
      <c r="KUW3003" s="125"/>
      <c r="KUX3003" s="470"/>
      <c r="KUY3003" s="449"/>
      <c r="KUZ3003" s="462"/>
      <c r="KVA3003" s="299"/>
      <c r="KVB3003" s="81"/>
      <c r="KVC3003" s="160"/>
      <c r="KVD3003" s="577"/>
      <c r="KVE3003" s="125"/>
      <c r="KVF3003" s="470"/>
      <c r="KVG3003" s="449"/>
      <c r="KVH3003" s="462"/>
      <c r="KVI3003" s="299"/>
      <c r="KVJ3003" s="81"/>
      <c r="KVK3003" s="160"/>
      <c r="KVL3003" s="577"/>
      <c r="KVM3003" s="125"/>
      <c r="KVN3003" s="470"/>
      <c r="KVO3003" s="449"/>
      <c r="KVP3003" s="462"/>
      <c r="KVQ3003" s="299"/>
      <c r="KVR3003" s="81"/>
      <c r="KVS3003" s="160"/>
      <c r="KVT3003" s="577"/>
      <c r="KVU3003" s="125"/>
      <c r="KVV3003" s="470"/>
      <c r="KVW3003" s="449"/>
      <c r="KVX3003" s="462"/>
      <c r="KVY3003" s="299"/>
      <c r="KVZ3003" s="81"/>
      <c r="KWA3003" s="160"/>
      <c r="KWB3003" s="577"/>
      <c r="KWC3003" s="125"/>
      <c r="KWD3003" s="470"/>
      <c r="KWE3003" s="449"/>
      <c r="KWF3003" s="462"/>
      <c r="KWG3003" s="299"/>
      <c r="KWH3003" s="81"/>
      <c r="KWI3003" s="160"/>
      <c r="KWJ3003" s="577"/>
      <c r="KWK3003" s="125"/>
      <c r="KWL3003" s="470"/>
      <c r="KWM3003" s="449"/>
      <c r="KWN3003" s="462"/>
      <c r="KWO3003" s="299"/>
      <c r="KWP3003" s="81"/>
      <c r="KWQ3003" s="160"/>
      <c r="KWR3003" s="577"/>
      <c r="KWS3003" s="125"/>
      <c r="KWT3003" s="470"/>
      <c r="KWU3003" s="449"/>
      <c r="KWV3003" s="462"/>
      <c r="KWW3003" s="299"/>
      <c r="KWX3003" s="81"/>
      <c r="KWY3003" s="160"/>
      <c r="KWZ3003" s="577"/>
      <c r="KXA3003" s="125"/>
      <c r="KXB3003" s="470"/>
      <c r="KXC3003" s="449"/>
      <c r="KXD3003" s="462"/>
      <c r="KXE3003" s="299"/>
      <c r="KXF3003" s="81"/>
      <c r="KXG3003" s="160"/>
      <c r="KXH3003" s="577"/>
      <c r="KXI3003" s="125"/>
      <c r="KXJ3003" s="470"/>
      <c r="KXK3003" s="449"/>
      <c r="KXL3003" s="462"/>
      <c r="KXM3003" s="299"/>
      <c r="KXN3003" s="81"/>
      <c r="KXO3003" s="160"/>
      <c r="KXP3003" s="577"/>
      <c r="KXQ3003" s="125"/>
      <c r="KXR3003" s="470"/>
      <c r="KXS3003" s="449"/>
      <c r="KXT3003" s="462"/>
      <c r="KXU3003" s="299"/>
      <c r="KXV3003" s="81"/>
      <c r="KXW3003" s="160"/>
      <c r="KXX3003" s="577"/>
      <c r="KXY3003" s="125"/>
      <c r="KXZ3003" s="470"/>
      <c r="KYA3003" s="449"/>
      <c r="KYB3003" s="462"/>
      <c r="KYC3003" s="299"/>
      <c r="KYD3003" s="81"/>
      <c r="KYE3003" s="160"/>
      <c r="KYF3003" s="577"/>
      <c r="KYG3003" s="125"/>
      <c r="KYH3003" s="470"/>
      <c r="KYI3003" s="449"/>
      <c r="KYJ3003" s="462"/>
      <c r="KYK3003" s="299"/>
      <c r="KYL3003" s="81"/>
      <c r="KYM3003" s="160"/>
      <c r="KYN3003" s="577"/>
      <c r="KYO3003" s="125"/>
      <c r="KYP3003" s="470"/>
      <c r="KYQ3003" s="449"/>
      <c r="KYR3003" s="462"/>
      <c r="KYS3003" s="299"/>
      <c r="KYT3003" s="81"/>
      <c r="KYU3003" s="160"/>
      <c r="KYV3003" s="577"/>
      <c r="KYW3003" s="125"/>
      <c r="KYX3003" s="470"/>
      <c r="KYY3003" s="449"/>
      <c r="KYZ3003" s="462"/>
      <c r="KZA3003" s="299"/>
      <c r="KZB3003" s="81"/>
      <c r="KZC3003" s="160"/>
      <c r="KZD3003" s="577"/>
      <c r="KZE3003" s="125"/>
      <c r="KZF3003" s="470"/>
      <c r="KZG3003" s="449"/>
      <c r="KZH3003" s="462"/>
      <c r="KZI3003" s="299"/>
      <c r="KZJ3003" s="81"/>
      <c r="KZK3003" s="160"/>
      <c r="KZL3003" s="577"/>
      <c r="KZM3003" s="125"/>
      <c r="KZN3003" s="470"/>
      <c r="KZO3003" s="449"/>
      <c r="KZP3003" s="462"/>
      <c r="KZQ3003" s="299"/>
      <c r="KZR3003" s="81"/>
      <c r="KZS3003" s="160"/>
      <c r="KZT3003" s="577"/>
      <c r="KZU3003" s="125"/>
      <c r="KZV3003" s="470"/>
      <c r="KZW3003" s="449"/>
      <c r="KZX3003" s="462"/>
      <c r="KZY3003" s="299"/>
      <c r="KZZ3003" s="81"/>
      <c r="LAA3003" s="160"/>
      <c r="LAB3003" s="577"/>
      <c r="LAC3003" s="125"/>
      <c r="LAD3003" s="470"/>
      <c r="LAE3003" s="449"/>
      <c r="LAF3003" s="462"/>
      <c r="LAG3003" s="299"/>
      <c r="LAH3003" s="81"/>
      <c r="LAI3003" s="160"/>
      <c r="LAJ3003" s="577"/>
      <c r="LAK3003" s="125"/>
      <c r="LAL3003" s="470"/>
      <c r="LAM3003" s="449"/>
      <c r="LAN3003" s="462"/>
      <c r="LAO3003" s="299"/>
      <c r="LAP3003" s="81"/>
      <c r="LAQ3003" s="160"/>
      <c r="LAR3003" s="577"/>
      <c r="LAS3003" s="125"/>
      <c r="LAT3003" s="470"/>
      <c r="LAU3003" s="449"/>
      <c r="LAV3003" s="462"/>
      <c r="LAW3003" s="299"/>
      <c r="LAX3003" s="81"/>
      <c r="LAY3003" s="160"/>
      <c r="LAZ3003" s="577"/>
      <c r="LBA3003" s="125"/>
      <c r="LBB3003" s="470"/>
      <c r="LBC3003" s="449"/>
      <c r="LBD3003" s="462"/>
      <c r="LBE3003" s="299"/>
      <c r="LBF3003" s="81"/>
      <c r="LBG3003" s="160"/>
      <c r="LBH3003" s="577"/>
      <c r="LBI3003" s="125"/>
      <c r="LBJ3003" s="470"/>
      <c r="LBK3003" s="449"/>
      <c r="LBL3003" s="462"/>
      <c r="LBM3003" s="299"/>
      <c r="LBN3003" s="81"/>
      <c r="LBO3003" s="160"/>
      <c r="LBP3003" s="577"/>
      <c r="LBQ3003" s="125"/>
      <c r="LBR3003" s="470"/>
      <c r="LBS3003" s="449"/>
      <c r="LBT3003" s="462"/>
      <c r="LBU3003" s="299"/>
      <c r="LBV3003" s="81"/>
      <c r="LBW3003" s="160"/>
      <c r="LBX3003" s="577"/>
      <c r="LBY3003" s="125"/>
      <c r="LBZ3003" s="470"/>
      <c r="LCA3003" s="449"/>
      <c r="LCB3003" s="462"/>
      <c r="LCC3003" s="299"/>
      <c r="LCD3003" s="81"/>
      <c r="LCE3003" s="160"/>
      <c r="LCF3003" s="577"/>
      <c r="LCG3003" s="125"/>
      <c r="LCH3003" s="470"/>
      <c r="LCI3003" s="449"/>
      <c r="LCJ3003" s="462"/>
      <c r="LCK3003" s="299"/>
      <c r="LCL3003" s="81"/>
      <c r="LCM3003" s="160"/>
      <c r="LCN3003" s="577"/>
      <c r="LCO3003" s="125"/>
      <c r="LCP3003" s="470"/>
      <c r="LCQ3003" s="449"/>
      <c r="LCR3003" s="462"/>
      <c r="LCS3003" s="299"/>
      <c r="LCT3003" s="81"/>
      <c r="LCU3003" s="160"/>
      <c r="LCV3003" s="577"/>
      <c r="LCW3003" s="125"/>
      <c r="LCX3003" s="470"/>
      <c r="LCY3003" s="449"/>
      <c r="LCZ3003" s="462"/>
      <c r="LDA3003" s="299"/>
      <c r="LDB3003" s="81"/>
      <c r="LDC3003" s="160"/>
      <c r="LDD3003" s="577"/>
      <c r="LDE3003" s="125"/>
      <c r="LDF3003" s="470"/>
      <c r="LDG3003" s="449"/>
      <c r="LDH3003" s="462"/>
      <c r="LDI3003" s="299"/>
      <c r="LDJ3003" s="81"/>
      <c r="LDK3003" s="160"/>
      <c r="LDL3003" s="577"/>
      <c r="LDM3003" s="125"/>
      <c r="LDN3003" s="470"/>
      <c r="LDO3003" s="449"/>
      <c r="LDP3003" s="462"/>
      <c r="LDQ3003" s="299"/>
      <c r="LDR3003" s="81"/>
      <c r="LDS3003" s="160"/>
      <c r="LDT3003" s="577"/>
      <c r="LDU3003" s="125"/>
      <c r="LDV3003" s="470"/>
      <c r="LDW3003" s="449"/>
      <c r="LDX3003" s="462"/>
      <c r="LDY3003" s="299"/>
      <c r="LDZ3003" s="81"/>
      <c r="LEA3003" s="160"/>
      <c r="LEB3003" s="577"/>
      <c r="LEC3003" s="125"/>
      <c r="LED3003" s="470"/>
      <c r="LEE3003" s="449"/>
      <c r="LEF3003" s="462"/>
      <c r="LEG3003" s="299"/>
      <c r="LEH3003" s="81"/>
      <c r="LEI3003" s="160"/>
      <c r="LEJ3003" s="577"/>
      <c r="LEK3003" s="125"/>
      <c r="LEL3003" s="470"/>
      <c r="LEM3003" s="449"/>
      <c r="LEN3003" s="462"/>
      <c r="LEO3003" s="299"/>
      <c r="LEP3003" s="81"/>
      <c r="LEQ3003" s="160"/>
      <c r="LER3003" s="577"/>
      <c r="LES3003" s="125"/>
      <c r="LET3003" s="470"/>
      <c r="LEU3003" s="449"/>
      <c r="LEV3003" s="462"/>
      <c r="LEW3003" s="299"/>
      <c r="LEX3003" s="81"/>
      <c r="LEY3003" s="160"/>
      <c r="LEZ3003" s="577"/>
      <c r="LFA3003" s="125"/>
      <c r="LFB3003" s="470"/>
      <c r="LFC3003" s="449"/>
      <c r="LFD3003" s="462"/>
      <c r="LFE3003" s="299"/>
      <c r="LFF3003" s="81"/>
      <c r="LFG3003" s="160"/>
      <c r="LFH3003" s="577"/>
      <c r="LFI3003" s="125"/>
      <c r="LFJ3003" s="470"/>
      <c r="LFK3003" s="449"/>
      <c r="LFL3003" s="462"/>
      <c r="LFM3003" s="299"/>
      <c r="LFN3003" s="81"/>
      <c r="LFO3003" s="160"/>
      <c r="LFP3003" s="577"/>
      <c r="LFQ3003" s="125"/>
      <c r="LFR3003" s="470"/>
      <c r="LFS3003" s="449"/>
      <c r="LFT3003" s="462"/>
      <c r="LFU3003" s="299"/>
      <c r="LFV3003" s="81"/>
      <c r="LFW3003" s="160"/>
      <c r="LFX3003" s="577"/>
      <c r="LFY3003" s="125"/>
      <c r="LFZ3003" s="470"/>
      <c r="LGA3003" s="449"/>
      <c r="LGB3003" s="462"/>
      <c r="LGC3003" s="299"/>
      <c r="LGD3003" s="81"/>
      <c r="LGE3003" s="160"/>
      <c r="LGF3003" s="577"/>
      <c r="LGG3003" s="125"/>
      <c r="LGH3003" s="470"/>
      <c r="LGI3003" s="449"/>
      <c r="LGJ3003" s="462"/>
      <c r="LGK3003" s="299"/>
      <c r="LGL3003" s="81"/>
      <c r="LGM3003" s="160"/>
      <c r="LGN3003" s="577"/>
      <c r="LGO3003" s="125"/>
      <c r="LGP3003" s="470"/>
      <c r="LGQ3003" s="449"/>
      <c r="LGR3003" s="462"/>
      <c r="LGS3003" s="299"/>
      <c r="LGT3003" s="81"/>
      <c r="LGU3003" s="160"/>
      <c r="LGV3003" s="577"/>
      <c r="LGW3003" s="125"/>
      <c r="LGX3003" s="470"/>
      <c r="LGY3003" s="449"/>
      <c r="LGZ3003" s="462"/>
      <c r="LHA3003" s="299"/>
      <c r="LHB3003" s="81"/>
      <c r="LHC3003" s="160"/>
      <c r="LHD3003" s="577"/>
      <c r="LHE3003" s="125"/>
      <c r="LHF3003" s="470"/>
      <c r="LHG3003" s="449"/>
      <c r="LHH3003" s="462"/>
      <c r="LHI3003" s="299"/>
      <c r="LHJ3003" s="81"/>
      <c r="LHK3003" s="160"/>
      <c r="LHL3003" s="577"/>
      <c r="LHM3003" s="125"/>
      <c r="LHN3003" s="470"/>
      <c r="LHO3003" s="449"/>
      <c r="LHP3003" s="462"/>
      <c r="LHQ3003" s="299"/>
      <c r="LHR3003" s="81"/>
      <c r="LHS3003" s="160"/>
      <c r="LHT3003" s="577"/>
      <c r="LHU3003" s="125"/>
      <c r="LHV3003" s="470"/>
      <c r="LHW3003" s="449"/>
      <c r="LHX3003" s="462"/>
      <c r="LHY3003" s="299"/>
      <c r="LHZ3003" s="81"/>
      <c r="LIA3003" s="160"/>
      <c r="LIB3003" s="577"/>
      <c r="LIC3003" s="125"/>
      <c r="LID3003" s="470"/>
      <c r="LIE3003" s="449"/>
      <c r="LIF3003" s="462"/>
      <c r="LIG3003" s="299"/>
      <c r="LIH3003" s="81"/>
      <c r="LII3003" s="160"/>
      <c r="LIJ3003" s="577"/>
      <c r="LIK3003" s="125"/>
      <c r="LIL3003" s="470"/>
      <c r="LIM3003" s="449"/>
      <c r="LIN3003" s="462"/>
      <c r="LIO3003" s="299"/>
      <c r="LIP3003" s="81"/>
      <c r="LIQ3003" s="160"/>
      <c r="LIR3003" s="577"/>
      <c r="LIS3003" s="125"/>
      <c r="LIT3003" s="470"/>
      <c r="LIU3003" s="449"/>
      <c r="LIV3003" s="462"/>
      <c r="LIW3003" s="299"/>
      <c r="LIX3003" s="81"/>
      <c r="LIY3003" s="160"/>
      <c r="LIZ3003" s="577"/>
      <c r="LJA3003" s="125"/>
      <c r="LJB3003" s="470"/>
      <c r="LJC3003" s="449"/>
      <c r="LJD3003" s="462"/>
      <c r="LJE3003" s="299"/>
      <c r="LJF3003" s="81"/>
      <c r="LJG3003" s="160"/>
      <c r="LJH3003" s="577"/>
      <c r="LJI3003" s="125"/>
      <c r="LJJ3003" s="470"/>
      <c r="LJK3003" s="449"/>
      <c r="LJL3003" s="462"/>
      <c r="LJM3003" s="299"/>
      <c r="LJN3003" s="81"/>
      <c r="LJO3003" s="160"/>
      <c r="LJP3003" s="577"/>
      <c r="LJQ3003" s="125"/>
      <c r="LJR3003" s="470"/>
      <c r="LJS3003" s="449"/>
      <c r="LJT3003" s="462"/>
      <c r="LJU3003" s="299"/>
      <c r="LJV3003" s="81"/>
      <c r="LJW3003" s="160"/>
      <c r="LJX3003" s="577"/>
      <c r="LJY3003" s="125"/>
      <c r="LJZ3003" s="470"/>
      <c r="LKA3003" s="449"/>
      <c r="LKB3003" s="462"/>
      <c r="LKC3003" s="299"/>
      <c r="LKD3003" s="81"/>
      <c r="LKE3003" s="160"/>
      <c r="LKF3003" s="577"/>
      <c r="LKG3003" s="125"/>
      <c r="LKH3003" s="470"/>
      <c r="LKI3003" s="449"/>
      <c r="LKJ3003" s="462"/>
      <c r="LKK3003" s="299"/>
      <c r="LKL3003" s="81"/>
      <c r="LKM3003" s="160"/>
      <c r="LKN3003" s="577"/>
      <c r="LKO3003" s="125"/>
      <c r="LKP3003" s="470"/>
      <c r="LKQ3003" s="449"/>
      <c r="LKR3003" s="462"/>
      <c r="LKS3003" s="299"/>
      <c r="LKT3003" s="81"/>
      <c r="LKU3003" s="160"/>
      <c r="LKV3003" s="577"/>
      <c r="LKW3003" s="125"/>
      <c r="LKX3003" s="470"/>
      <c r="LKY3003" s="449"/>
      <c r="LKZ3003" s="462"/>
      <c r="LLA3003" s="299"/>
      <c r="LLB3003" s="81"/>
      <c r="LLC3003" s="160"/>
      <c r="LLD3003" s="577"/>
      <c r="LLE3003" s="125"/>
      <c r="LLF3003" s="470"/>
      <c r="LLG3003" s="449"/>
      <c r="LLH3003" s="462"/>
      <c r="LLI3003" s="299"/>
      <c r="LLJ3003" s="81"/>
      <c r="LLK3003" s="160"/>
      <c r="LLL3003" s="577"/>
      <c r="LLM3003" s="125"/>
      <c r="LLN3003" s="470"/>
      <c r="LLO3003" s="449"/>
      <c r="LLP3003" s="462"/>
      <c r="LLQ3003" s="299"/>
      <c r="LLR3003" s="81"/>
      <c r="LLS3003" s="160"/>
      <c r="LLT3003" s="577"/>
      <c r="LLU3003" s="125"/>
      <c r="LLV3003" s="470"/>
      <c r="LLW3003" s="449"/>
      <c r="LLX3003" s="462"/>
      <c r="LLY3003" s="299"/>
      <c r="LLZ3003" s="81"/>
      <c r="LMA3003" s="160"/>
      <c r="LMB3003" s="577"/>
      <c r="LMC3003" s="125"/>
      <c r="LMD3003" s="470"/>
      <c r="LME3003" s="449"/>
      <c r="LMF3003" s="462"/>
      <c r="LMG3003" s="299"/>
      <c r="LMH3003" s="81"/>
      <c r="LMI3003" s="160"/>
      <c r="LMJ3003" s="577"/>
      <c r="LMK3003" s="125"/>
      <c r="LML3003" s="470"/>
      <c r="LMM3003" s="449"/>
      <c r="LMN3003" s="462"/>
      <c r="LMO3003" s="299"/>
      <c r="LMP3003" s="81"/>
      <c r="LMQ3003" s="160"/>
      <c r="LMR3003" s="577"/>
      <c r="LMS3003" s="125"/>
      <c r="LMT3003" s="470"/>
      <c r="LMU3003" s="449"/>
      <c r="LMV3003" s="462"/>
      <c r="LMW3003" s="299"/>
      <c r="LMX3003" s="81"/>
      <c r="LMY3003" s="160"/>
      <c r="LMZ3003" s="577"/>
      <c r="LNA3003" s="125"/>
      <c r="LNB3003" s="470"/>
      <c r="LNC3003" s="449"/>
      <c r="LND3003" s="462"/>
      <c r="LNE3003" s="299"/>
      <c r="LNF3003" s="81"/>
      <c r="LNG3003" s="160"/>
      <c r="LNH3003" s="577"/>
      <c r="LNI3003" s="125"/>
      <c r="LNJ3003" s="470"/>
      <c r="LNK3003" s="449"/>
      <c r="LNL3003" s="462"/>
      <c r="LNM3003" s="299"/>
      <c r="LNN3003" s="81"/>
      <c r="LNO3003" s="160"/>
      <c r="LNP3003" s="577"/>
      <c r="LNQ3003" s="125"/>
      <c r="LNR3003" s="470"/>
      <c r="LNS3003" s="449"/>
      <c r="LNT3003" s="462"/>
      <c r="LNU3003" s="299"/>
      <c r="LNV3003" s="81"/>
      <c r="LNW3003" s="160"/>
      <c r="LNX3003" s="577"/>
      <c r="LNY3003" s="125"/>
      <c r="LNZ3003" s="470"/>
      <c r="LOA3003" s="449"/>
      <c r="LOB3003" s="462"/>
      <c r="LOC3003" s="299"/>
      <c r="LOD3003" s="81"/>
      <c r="LOE3003" s="160"/>
      <c r="LOF3003" s="577"/>
      <c r="LOG3003" s="125"/>
      <c r="LOH3003" s="470"/>
      <c r="LOI3003" s="449"/>
      <c r="LOJ3003" s="462"/>
      <c r="LOK3003" s="299"/>
      <c r="LOL3003" s="81"/>
      <c r="LOM3003" s="160"/>
      <c r="LON3003" s="577"/>
      <c r="LOO3003" s="125"/>
      <c r="LOP3003" s="470"/>
      <c r="LOQ3003" s="449"/>
      <c r="LOR3003" s="462"/>
      <c r="LOS3003" s="299"/>
      <c r="LOT3003" s="81"/>
      <c r="LOU3003" s="160"/>
      <c r="LOV3003" s="577"/>
      <c r="LOW3003" s="125"/>
      <c r="LOX3003" s="470"/>
      <c r="LOY3003" s="449"/>
      <c r="LOZ3003" s="462"/>
      <c r="LPA3003" s="299"/>
      <c r="LPB3003" s="81"/>
      <c r="LPC3003" s="160"/>
      <c r="LPD3003" s="577"/>
      <c r="LPE3003" s="125"/>
      <c r="LPF3003" s="470"/>
      <c r="LPG3003" s="449"/>
      <c r="LPH3003" s="462"/>
      <c r="LPI3003" s="299"/>
      <c r="LPJ3003" s="81"/>
      <c r="LPK3003" s="160"/>
      <c r="LPL3003" s="577"/>
      <c r="LPM3003" s="125"/>
      <c r="LPN3003" s="470"/>
      <c r="LPO3003" s="449"/>
      <c r="LPP3003" s="462"/>
      <c r="LPQ3003" s="299"/>
      <c r="LPR3003" s="81"/>
      <c r="LPS3003" s="160"/>
      <c r="LPT3003" s="577"/>
      <c r="LPU3003" s="125"/>
      <c r="LPV3003" s="470"/>
      <c r="LPW3003" s="449"/>
      <c r="LPX3003" s="462"/>
      <c r="LPY3003" s="299"/>
      <c r="LPZ3003" s="81"/>
      <c r="LQA3003" s="160"/>
      <c r="LQB3003" s="577"/>
      <c r="LQC3003" s="125"/>
      <c r="LQD3003" s="470"/>
      <c r="LQE3003" s="449"/>
      <c r="LQF3003" s="462"/>
      <c r="LQG3003" s="299"/>
      <c r="LQH3003" s="81"/>
      <c r="LQI3003" s="160"/>
      <c r="LQJ3003" s="577"/>
      <c r="LQK3003" s="125"/>
      <c r="LQL3003" s="470"/>
      <c r="LQM3003" s="449"/>
      <c r="LQN3003" s="462"/>
      <c r="LQO3003" s="299"/>
      <c r="LQP3003" s="81"/>
      <c r="LQQ3003" s="160"/>
      <c r="LQR3003" s="577"/>
      <c r="LQS3003" s="125"/>
      <c r="LQT3003" s="470"/>
      <c r="LQU3003" s="449"/>
      <c r="LQV3003" s="462"/>
      <c r="LQW3003" s="299"/>
      <c r="LQX3003" s="81"/>
      <c r="LQY3003" s="160"/>
      <c r="LQZ3003" s="577"/>
      <c r="LRA3003" s="125"/>
      <c r="LRB3003" s="470"/>
      <c r="LRC3003" s="449"/>
      <c r="LRD3003" s="462"/>
      <c r="LRE3003" s="299"/>
      <c r="LRF3003" s="81"/>
      <c r="LRG3003" s="160"/>
      <c r="LRH3003" s="577"/>
      <c r="LRI3003" s="125"/>
      <c r="LRJ3003" s="470"/>
      <c r="LRK3003" s="449"/>
      <c r="LRL3003" s="462"/>
      <c r="LRM3003" s="299"/>
      <c r="LRN3003" s="81"/>
      <c r="LRO3003" s="160"/>
      <c r="LRP3003" s="577"/>
      <c r="LRQ3003" s="125"/>
      <c r="LRR3003" s="470"/>
      <c r="LRS3003" s="449"/>
      <c r="LRT3003" s="462"/>
      <c r="LRU3003" s="299"/>
      <c r="LRV3003" s="81"/>
      <c r="LRW3003" s="160"/>
      <c r="LRX3003" s="577"/>
      <c r="LRY3003" s="125"/>
      <c r="LRZ3003" s="470"/>
      <c r="LSA3003" s="449"/>
      <c r="LSB3003" s="462"/>
      <c r="LSC3003" s="299"/>
      <c r="LSD3003" s="81"/>
      <c r="LSE3003" s="160"/>
      <c r="LSF3003" s="577"/>
      <c r="LSG3003" s="125"/>
      <c r="LSH3003" s="470"/>
      <c r="LSI3003" s="449"/>
      <c r="LSJ3003" s="462"/>
      <c r="LSK3003" s="299"/>
      <c r="LSL3003" s="81"/>
      <c r="LSM3003" s="160"/>
      <c r="LSN3003" s="577"/>
      <c r="LSO3003" s="125"/>
      <c r="LSP3003" s="470"/>
      <c r="LSQ3003" s="449"/>
      <c r="LSR3003" s="462"/>
      <c r="LSS3003" s="299"/>
      <c r="LST3003" s="81"/>
      <c r="LSU3003" s="160"/>
      <c r="LSV3003" s="577"/>
      <c r="LSW3003" s="125"/>
      <c r="LSX3003" s="470"/>
      <c r="LSY3003" s="449"/>
      <c r="LSZ3003" s="462"/>
      <c r="LTA3003" s="299"/>
      <c r="LTB3003" s="81"/>
      <c r="LTC3003" s="160"/>
      <c r="LTD3003" s="577"/>
      <c r="LTE3003" s="125"/>
      <c r="LTF3003" s="470"/>
      <c r="LTG3003" s="449"/>
      <c r="LTH3003" s="462"/>
      <c r="LTI3003" s="299"/>
      <c r="LTJ3003" s="81"/>
      <c r="LTK3003" s="160"/>
      <c r="LTL3003" s="577"/>
      <c r="LTM3003" s="125"/>
      <c r="LTN3003" s="470"/>
      <c r="LTO3003" s="449"/>
      <c r="LTP3003" s="462"/>
      <c r="LTQ3003" s="299"/>
      <c r="LTR3003" s="81"/>
      <c r="LTS3003" s="160"/>
      <c r="LTT3003" s="577"/>
      <c r="LTU3003" s="125"/>
      <c r="LTV3003" s="470"/>
      <c r="LTW3003" s="449"/>
      <c r="LTX3003" s="462"/>
      <c r="LTY3003" s="299"/>
      <c r="LTZ3003" s="81"/>
      <c r="LUA3003" s="160"/>
      <c r="LUB3003" s="577"/>
      <c r="LUC3003" s="125"/>
      <c r="LUD3003" s="470"/>
      <c r="LUE3003" s="449"/>
      <c r="LUF3003" s="462"/>
      <c r="LUG3003" s="299"/>
      <c r="LUH3003" s="81"/>
      <c r="LUI3003" s="160"/>
      <c r="LUJ3003" s="577"/>
      <c r="LUK3003" s="125"/>
      <c r="LUL3003" s="470"/>
      <c r="LUM3003" s="449"/>
      <c r="LUN3003" s="462"/>
      <c r="LUO3003" s="299"/>
      <c r="LUP3003" s="81"/>
      <c r="LUQ3003" s="160"/>
      <c r="LUR3003" s="577"/>
      <c r="LUS3003" s="125"/>
      <c r="LUT3003" s="470"/>
      <c r="LUU3003" s="449"/>
      <c r="LUV3003" s="462"/>
      <c r="LUW3003" s="299"/>
      <c r="LUX3003" s="81"/>
      <c r="LUY3003" s="160"/>
      <c r="LUZ3003" s="577"/>
      <c r="LVA3003" s="125"/>
      <c r="LVB3003" s="470"/>
      <c r="LVC3003" s="449"/>
      <c r="LVD3003" s="462"/>
      <c r="LVE3003" s="299"/>
      <c r="LVF3003" s="81"/>
      <c r="LVG3003" s="160"/>
      <c r="LVH3003" s="577"/>
      <c r="LVI3003" s="125"/>
      <c r="LVJ3003" s="470"/>
      <c r="LVK3003" s="449"/>
      <c r="LVL3003" s="462"/>
      <c r="LVM3003" s="299"/>
      <c r="LVN3003" s="81"/>
      <c r="LVO3003" s="160"/>
      <c r="LVP3003" s="577"/>
      <c r="LVQ3003" s="125"/>
      <c r="LVR3003" s="470"/>
      <c r="LVS3003" s="449"/>
      <c r="LVT3003" s="462"/>
      <c r="LVU3003" s="299"/>
      <c r="LVV3003" s="81"/>
      <c r="LVW3003" s="160"/>
      <c r="LVX3003" s="577"/>
      <c r="LVY3003" s="125"/>
      <c r="LVZ3003" s="470"/>
      <c r="LWA3003" s="449"/>
      <c r="LWB3003" s="462"/>
      <c r="LWC3003" s="299"/>
      <c r="LWD3003" s="81"/>
      <c r="LWE3003" s="160"/>
      <c r="LWF3003" s="577"/>
      <c r="LWG3003" s="125"/>
      <c r="LWH3003" s="470"/>
      <c r="LWI3003" s="449"/>
      <c r="LWJ3003" s="462"/>
      <c r="LWK3003" s="299"/>
      <c r="LWL3003" s="81"/>
      <c r="LWM3003" s="160"/>
      <c r="LWN3003" s="577"/>
      <c r="LWO3003" s="125"/>
      <c r="LWP3003" s="470"/>
      <c r="LWQ3003" s="449"/>
      <c r="LWR3003" s="462"/>
      <c r="LWS3003" s="299"/>
      <c r="LWT3003" s="81"/>
      <c r="LWU3003" s="160"/>
      <c r="LWV3003" s="577"/>
      <c r="LWW3003" s="125"/>
      <c r="LWX3003" s="470"/>
      <c r="LWY3003" s="449"/>
      <c r="LWZ3003" s="462"/>
      <c r="LXA3003" s="299"/>
      <c r="LXB3003" s="81"/>
      <c r="LXC3003" s="160"/>
      <c r="LXD3003" s="577"/>
      <c r="LXE3003" s="125"/>
      <c r="LXF3003" s="470"/>
      <c r="LXG3003" s="449"/>
      <c r="LXH3003" s="462"/>
      <c r="LXI3003" s="299"/>
      <c r="LXJ3003" s="81"/>
      <c r="LXK3003" s="160"/>
      <c r="LXL3003" s="577"/>
      <c r="LXM3003" s="125"/>
      <c r="LXN3003" s="470"/>
      <c r="LXO3003" s="449"/>
      <c r="LXP3003" s="462"/>
      <c r="LXQ3003" s="299"/>
      <c r="LXR3003" s="81"/>
      <c r="LXS3003" s="160"/>
      <c r="LXT3003" s="577"/>
      <c r="LXU3003" s="125"/>
      <c r="LXV3003" s="470"/>
      <c r="LXW3003" s="449"/>
      <c r="LXX3003" s="462"/>
      <c r="LXY3003" s="299"/>
      <c r="LXZ3003" s="81"/>
      <c r="LYA3003" s="160"/>
      <c r="LYB3003" s="577"/>
      <c r="LYC3003" s="125"/>
      <c r="LYD3003" s="470"/>
      <c r="LYE3003" s="449"/>
      <c r="LYF3003" s="462"/>
      <c r="LYG3003" s="299"/>
      <c r="LYH3003" s="81"/>
      <c r="LYI3003" s="160"/>
      <c r="LYJ3003" s="577"/>
      <c r="LYK3003" s="125"/>
      <c r="LYL3003" s="470"/>
      <c r="LYM3003" s="449"/>
      <c r="LYN3003" s="462"/>
      <c r="LYO3003" s="299"/>
      <c r="LYP3003" s="81"/>
      <c r="LYQ3003" s="160"/>
      <c r="LYR3003" s="577"/>
      <c r="LYS3003" s="125"/>
      <c r="LYT3003" s="470"/>
      <c r="LYU3003" s="449"/>
      <c r="LYV3003" s="462"/>
      <c r="LYW3003" s="299"/>
      <c r="LYX3003" s="81"/>
      <c r="LYY3003" s="160"/>
      <c r="LYZ3003" s="577"/>
      <c r="LZA3003" s="125"/>
      <c r="LZB3003" s="470"/>
      <c r="LZC3003" s="449"/>
      <c r="LZD3003" s="462"/>
      <c r="LZE3003" s="299"/>
      <c r="LZF3003" s="81"/>
      <c r="LZG3003" s="160"/>
      <c r="LZH3003" s="577"/>
      <c r="LZI3003" s="125"/>
      <c r="LZJ3003" s="470"/>
      <c r="LZK3003" s="449"/>
      <c r="LZL3003" s="462"/>
      <c r="LZM3003" s="299"/>
      <c r="LZN3003" s="81"/>
      <c r="LZO3003" s="160"/>
      <c r="LZP3003" s="577"/>
      <c r="LZQ3003" s="125"/>
      <c r="LZR3003" s="470"/>
      <c r="LZS3003" s="449"/>
      <c r="LZT3003" s="462"/>
      <c r="LZU3003" s="299"/>
      <c r="LZV3003" s="81"/>
      <c r="LZW3003" s="160"/>
      <c r="LZX3003" s="577"/>
      <c r="LZY3003" s="125"/>
      <c r="LZZ3003" s="470"/>
      <c r="MAA3003" s="449"/>
      <c r="MAB3003" s="462"/>
      <c r="MAC3003" s="299"/>
      <c r="MAD3003" s="81"/>
      <c r="MAE3003" s="160"/>
      <c r="MAF3003" s="577"/>
      <c r="MAG3003" s="125"/>
      <c r="MAH3003" s="470"/>
      <c r="MAI3003" s="449"/>
      <c r="MAJ3003" s="462"/>
      <c r="MAK3003" s="299"/>
      <c r="MAL3003" s="81"/>
      <c r="MAM3003" s="160"/>
      <c r="MAN3003" s="577"/>
      <c r="MAO3003" s="125"/>
      <c r="MAP3003" s="470"/>
      <c r="MAQ3003" s="449"/>
      <c r="MAR3003" s="462"/>
      <c r="MAS3003" s="299"/>
      <c r="MAT3003" s="81"/>
      <c r="MAU3003" s="160"/>
      <c r="MAV3003" s="577"/>
      <c r="MAW3003" s="125"/>
      <c r="MAX3003" s="470"/>
      <c r="MAY3003" s="449"/>
      <c r="MAZ3003" s="462"/>
      <c r="MBA3003" s="299"/>
      <c r="MBB3003" s="81"/>
      <c r="MBC3003" s="160"/>
      <c r="MBD3003" s="577"/>
      <c r="MBE3003" s="125"/>
      <c r="MBF3003" s="470"/>
      <c r="MBG3003" s="449"/>
      <c r="MBH3003" s="462"/>
      <c r="MBI3003" s="299"/>
      <c r="MBJ3003" s="81"/>
      <c r="MBK3003" s="160"/>
      <c r="MBL3003" s="577"/>
      <c r="MBM3003" s="125"/>
      <c r="MBN3003" s="470"/>
      <c r="MBO3003" s="449"/>
      <c r="MBP3003" s="462"/>
      <c r="MBQ3003" s="299"/>
      <c r="MBR3003" s="81"/>
      <c r="MBS3003" s="160"/>
      <c r="MBT3003" s="577"/>
      <c r="MBU3003" s="125"/>
      <c r="MBV3003" s="470"/>
      <c r="MBW3003" s="449"/>
      <c r="MBX3003" s="462"/>
      <c r="MBY3003" s="299"/>
      <c r="MBZ3003" s="81"/>
      <c r="MCA3003" s="160"/>
      <c r="MCB3003" s="577"/>
      <c r="MCC3003" s="125"/>
      <c r="MCD3003" s="470"/>
      <c r="MCE3003" s="449"/>
      <c r="MCF3003" s="462"/>
      <c r="MCG3003" s="299"/>
      <c r="MCH3003" s="81"/>
      <c r="MCI3003" s="160"/>
      <c r="MCJ3003" s="577"/>
      <c r="MCK3003" s="125"/>
      <c r="MCL3003" s="470"/>
      <c r="MCM3003" s="449"/>
      <c r="MCN3003" s="462"/>
      <c r="MCO3003" s="299"/>
      <c r="MCP3003" s="81"/>
      <c r="MCQ3003" s="160"/>
      <c r="MCR3003" s="577"/>
      <c r="MCS3003" s="125"/>
      <c r="MCT3003" s="470"/>
      <c r="MCU3003" s="449"/>
      <c r="MCV3003" s="462"/>
      <c r="MCW3003" s="299"/>
      <c r="MCX3003" s="81"/>
      <c r="MCY3003" s="160"/>
      <c r="MCZ3003" s="577"/>
      <c r="MDA3003" s="125"/>
      <c r="MDB3003" s="470"/>
      <c r="MDC3003" s="449"/>
      <c r="MDD3003" s="462"/>
      <c r="MDE3003" s="299"/>
      <c r="MDF3003" s="81"/>
      <c r="MDG3003" s="160"/>
      <c r="MDH3003" s="577"/>
      <c r="MDI3003" s="125"/>
      <c r="MDJ3003" s="470"/>
      <c r="MDK3003" s="449"/>
      <c r="MDL3003" s="462"/>
      <c r="MDM3003" s="299"/>
      <c r="MDN3003" s="81"/>
      <c r="MDO3003" s="160"/>
      <c r="MDP3003" s="577"/>
      <c r="MDQ3003" s="125"/>
      <c r="MDR3003" s="470"/>
      <c r="MDS3003" s="449"/>
      <c r="MDT3003" s="462"/>
      <c r="MDU3003" s="299"/>
      <c r="MDV3003" s="81"/>
      <c r="MDW3003" s="160"/>
      <c r="MDX3003" s="577"/>
      <c r="MDY3003" s="125"/>
      <c r="MDZ3003" s="470"/>
      <c r="MEA3003" s="449"/>
      <c r="MEB3003" s="462"/>
      <c r="MEC3003" s="299"/>
      <c r="MED3003" s="81"/>
      <c r="MEE3003" s="160"/>
      <c r="MEF3003" s="577"/>
      <c r="MEG3003" s="125"/>
      <c r="MEH3003" s="470"/>
      <c r="MEI3003" s="449"/>
      <c r="MEJ3003" s="462"/>
      <c r="MEK3003" s="299"/>
      <c r="MEL3003" s="81"/>
      <c r="MEM3003" s="160"/>
      <c r="MEN3003" s="577"/>
      <c r="MEO3003" s="125"/>
      <c r="MEP3003" s="470"/>
      <c r="MEQ3003" s="449"/>
      <c r="MER3003" s="462"/>
      <c r="MES3003" s="299"/>
      <c r="MET3003" s="81"/>
      <c r="MEU3003" s="160"/>
      <c r="MEV3003" s="577"/>
      <c r="MEW3003" s="125"/>
      <c r="MEX3003" s="470"/>
      <c r="MEY3003" s="449"/>
      <c r="MEZ3003" s="462"/>
      <c r="MFA3003" s="299"/>
      <c r="MFB3003" s="81"/>
      <c r="MFC3003" s="160"/>
      <c r="MFD3003" s="577"/>
      <c r="MFE3003" s="125"/>
      <c r="MFF3003" s="470"/>
      <c r="MFG3003" s="449"/>
      <c r="MFH3003" s="462"/>
      <c r="MFI3003" s="299"/>
      <c r="MFJ3003" s="81"/>
      <c r="MFK3003" s="160"/>
      <c r="MFL3003" s="577"/>
      <c r="MFM3003" s="125"/>
      <c r="MFN3003" s="470"/>
      <c r="MFO3003" s="449"/>
      <c r="MFP3003" s="462"/>
      <c r="MFQ3003" s="299"/>
      <c r="MFR3003" s="81"/>
      <c r="MFS3003" s="160"/>
      <c r="MFT3003" s="577"/>
      <c r="MFU3003" s="125"/>
      <c r="MFV3003" s="470"/>
      <c r="MFW3003" s="449"/>
      <c r="MFX3003" s="462"/>
      <c r="MFY3003" s="299"/>
      <c r="MFZ3003" s="81"/>
      <c r="MGA3003" s="160"/>
      <c r="MGB3003" s="577"/>
      <c r="MGC3003" s="125"/>
      <c r="MGD3003" s="470"/>
      <c r="MGE3003" s="449"/>
      <c r="MGF3003" s="462"/>
      <c r="MGG3003" s="299"/>
      <c r="MGH3003" s="81"/>
      <c r="MGI3003" s="160"/>
      <c r="MGJ3003" s="577"/>
      <c r="MGK3003" s="125"/>
      <c r="MGL3003" s="470"/>
      <c r="MGM3003" s="449"/>
      <c r="MGN3003" s="462"/>
      <c r="MGO3003" s="299"/>
      <c r="MGP3003" s="81"/>
      <c r="MGQ3003" s="160"/>
      <c r="MGR3003" s="577"/>
      <c r="MGS3003" s="125"/>
      <c r="MGT3003" s="470"/>
      <c r="MGU3003" s="449"/>
      <c r="MGV3003" s="462"/>
      <c r="MGW3003" s="299"/>
      <c r="MGX3003" s="81"/>
      <c r="MGY3003" s="160"/>
      <c r="MGZ3003" s="577"/>
      <c r="MHA3003" s="125"/>
      <c r="MHB3003" s="470"/>
      <c r="MHC3003" s="449"/>
      <c r="MHD3003" s="462"/>
      <c r="MHE3003" s="299"/>
      <c r="MHF3003" s="81"/>
      <c r="MHG3003" s="160"/>
      <c r="MHH3003" s="577"/>
      <c r="MHI3003" s="125"/>
      <c r="MHJ3003" s="470"/>
      <c r="MHK3003" s="449"/>
      <c r="MHL3003" s="462"/>
      <c r="MHM3003" s="299"/>
      <c r="MHN3003" s="81"/>
      <c r="MHO3003" s="160"/>
      <c r="MHP3003" s="577"/>
      <c r="MHQ3003" s="125"/>
      <c r="MHR3003" s="470"/>
      <c r="MHS3003" s="449"/>
      <c r="MHT3003" s="462"/>
      <c r="MHU3003" s="299"/>
      <c r="MHV3003" s="81"/>
      <c r="MHW3003" s="160"/>
      <c r="MHX3003" s="577"/>
      <c r="MHY3003" s="125"/>
      <c r="MHZ3003" s="470"/>
      <c r="MIA3003" s="449"/>
      <c r="MIB3003" s="462"/>
      <c r="MIC3003" s="299"/>
      <c r="MID3003" s="81"/>
      <c r="MIE3003" s="160"/>
      <c r="MIF3003" s="577"/>
      <c r="MIG3003" s="125"/>
      <c r="MIH3003" s="470"/>
      <c r="MII3003" s="449"/>
      <c r="MIJ3003" s="462"/>
      <c r="MIK3003" s="299"/>
      <c r="MIL3003" s="81"/>
      <c r="MIM3003" s="160"/>
      <c r="MIN3003" s="577"/>
      <c r="MIO3003" s="125"/>
      <c r="MIP3003" s="470"/>
      <c r="MIQ3003" s="449"/>
      <c r="MIR3003" s="462"/>
      <c r="MIS3003" s="299"/>
      <c r="MIT3003" s="81"/>
      <c r="MIU3003" s="160"/>
      <c r="MIV3003" s="577"/>
      <c r="MIW3003" s="125"/>
      <c r="MIX3003" s="470"/>
      <c r="MIY3003" s="449"/>
      <c r="MIZ3003" s="462"/>
      <c r="MJA3003" s="299"/>
      <c r="MJB3003" s="81"/>
      <c r="MJC3003" s="160"/>
      <c r="MJD3003" s="577"/>
      <c r="MJE3003" s="125"/>
      <c r="MJF3003" s="470"/>
      <c r="MJG3003" s="449"/>
      <c r="MJH3003" s="462"/>
      <c r="MJI3003" s="299"/>
      <c r="MJJ3003" s="81"/>
      <c r="MJK3003" s="160"/>
      <c r="MJL3003" s="577"/>
      <c r="MJM3003" s="125"/>
      <c r="MJN3003" s="470"/>
      <c r="MJO3003" s="449"/>
      <c r="MJP3003" s="462"/>
      <c r="MJQ3003" s="299"/>
      <c r="MJR3003" s="81"/>
      <c r="MJS3003" s="160"/>
      <c r="MJT3003" s="577"/>
      <c r="MJU3003" s="125"/>
      <c r="MJV3003" s="470"/>
      <c r="MJW3003" s="449"/>
      <c r="MJX3003" s="462"/>
      <c r="MJY3003" s="299"/>
      <c r="MJZ3003" s="81"/>
      <c r="MKA3003" s="160"/>
      <c r="MKB3003" s="577"/>
      <c r="MKC3003" s="125"/>
      <c r="MKD3003" s="470"/>
      <c r="MKE3003" s="449"/>
      <c r="MKF3003" s="462"/>
      <c r="MKG3003" s="299"/>
      <c r="MKH3003" s="81"/>
      <c r="MKI3003" s="160"/>
      <c r="MKJ3003" s="577"/>
      <c r="MKK3003" s="125"/>
      <c r="MKL3003" s="470"/>
      <c r="MKM3003" s="449"/>
      <c r="MKN3003" s="462"/>
      <c r="MKO3003" s="299"/>
      <c r="MKP3003" s="81"/>
      <c r="MKQ3003" s="160"/>
      <c r="MKR3003" s="577"/>
      <c r="MKS3003" s="125"/>
      <c r="MKT3003" s="470"/>
      <c r="MKU3003" s="449"/>
      <c r="MKV3003" s="462"/>
      <c r="MKW3003" s="299"/>
      <c r="MKX3003" s="81"/>
      <c r="MKY3003" s="160"/>
      <c r="MKZ3003" s="577"/>
      <c r="MLA3003" s="125"/>
      <c r="MLB3003" s="470"/>
      <c r="MLC3003" s="449"/>
      <c r="MLD3003" s="462"/>
      <c r="MLE3003" s="299"/>
      <c r="MLF3003" s="81"/>
      <c r="MLG3003" s="160"/>
      <c r="MLH3003" s="577"/>
      <c r="MLI3003" s="125"/>
      <c r="MLJ3003" s="470"/>
      <c r="MLK3003" s="449"/>
      <c r="MLL3003" s="462"/>
      <c r="MLM3003" s="299"/>
      <c r="MLN3003" s="81"/>
      <c r="MLO3003" s="160"/>
      <c r="MLP3003" s="577"/>
      <c r="MLQ3003" s="125"/>
      <c r="MLR3003" s="470"/>
      <c r="MLS3003" s="449"/>
      <c r="MLT3003" s="462"/>
      <c r="MLU3003" s="299"/>
      <c r="MLV3003" s="81"/>
      <c r="MLW3003" s="160"/>
      <c r="MLX3003" s="577"/>
      <c r="MLY3003" s="125"/>
      <c r="MLZ3003" s="470"/>
      <c r="MMA3003" s="449"/>
      <c r="MMB3003" s="462"/>
      <c r="MMC3003" s="299"/>
      <c r="MMD3003" s="81"/>
      <c r="MME3003" s="160"/>
      <c r="MMF3003" s="577"/>
      <c r="MMG3003" s="125"/>
      <c r="MMH3003" s="470"/>
      <c r="MMI3003" s="449"/>
      <c r="MMJ3003" s="462"/>
      <c r="MMK3003" s="299"/>
      <c r="MML3003" s="81"/>
      <c r="MMM3003" s="160"/>
      <c r="MMN3003" s="577"/>
      <c r="MMO3003" s="125"/>
      <c r="MMP3003" s="470"/>
      <c r="MMQ3003" s="449"/>
      <c r="MMR3003" s="462"/>
      <c r="MMS3003" s="299"/>
      <c r="MMT3003" s="81"/>
      <c r="MMU3003" s="160"/>
      <c r="MMV3003" s="577"/>
      <c r="MMW3003" s="125"/>
      <c r="MMX3003" s="470"/>
      <c r="MMY3003" s="449"/>
      <c r="MMZ3003" s="462"/>
      <c r="MNA3003" s="299"/>
      <c r="MNB3003" s="81"/>
      <c r="MNC3003" s="160"/>
      <c r="MND3003" s="577"/>
      <c r="MNE3003" s="125"/>
      <c r="MNF3003" s="470"/>
      <c r="MNG3003" s="449"/>
      <c r="MNH3003" s="462"/>
      <c r="MNI3003" s="299"/>
      <c r="MNJ3003" s="81"/>
      <c r="MNK3003" s="160"/>
      <c r="MNL3003" s="577"/>
      <c r="MNM3003" s="125"/>
      <c r="MNN3003" s="470"/>
      <c r="MNO3003" s="449"/>
      <c r="MNP3003" s="462"/>
      <c r="MNQ3003" s="299"/>
      <c r="MNR3003" s="81"/>
      <c r="MNS3003" s="160"/>
      <c r="MNT3003" s="577"/>
      <c r="MNU3003" s="125"/>
      <c r="MNV3003" s="470"/>
      <c r="MNW3003" s="449"/>
      <c r="MNX3003" s="462"/>
      <c r="MNY3003" s="299"/>
      <c r="MNZ3003" s="81"/>
      <c r="MOA3003" s="160"/>
      <c r="MOB3003" s="577"/>
      <c r="MOC3003" s="125"/>
      <c r="MOD3003" s="470"/>
      <c r="MOE3003" s="449"/>
      <c r="MOF3003" s="462"/>
      <c r="MOG3003" s="299"/>
      <c r="MOH3003" s="81"/>
      <c r="MOI3003" s="160"/>
      <c r="MOJ3003" s="577"/>
      <c r="MOK3003" s="125"/>
      <c r="MOL3003" s="470"/>
      <c r="MOM3003" s="449"/>
      <c r="MON3003" s="462"/>
      <c r="MOO3003" s="299"/>
      <c r="MOP3003" s="81"/>
      <c r="MOQ3003" s="160"/>
      <c r="MOR3003" s="577"/>
      <c r="MOS3003" s="125"/>
      <c r="MOT3003" s="470"/>
      <c r="MOU3003" s="449"/>
      <c r="MOV3003" s="462"/>
      <c r="MOW3003" s="299"/>
      <c r="MOX3003" s="81"/>
      <c r="MOY3003" s="160"/>
      <c r="MOZ3003" s="577"/>
      <c r="MPA3003" s="125"/>
      <c r="MPB3003" s="470"/>
      <c r="MPC3003" s="449"/>
      <c r="MPD3003" s="462"/>
      <c r="MPE3003" s="299"/>
      <c r="MPF3003" s="81"/>
      <c r="MPG3003" s="160"/>
      <c r="MPH3003" s="577"/>
      <c r="MPI3003" s="125"/>
      <c r="MPJ3003" s="470"/>
      <c r="MPK3003" s="449"/>
      <c r="MPL3003" s="462"/>
      <c r="MPM3003" s="299"/>
      <c r="MPN3003" s="81"/>
      <c r="MPO3003" s="160"/>
      <c r="MPP3003" s="577"/>
      <c r="MPQ3003" s="125"/>
      <c r="MPR3003" s="470"/>
      <c r="MPS3003" s="449"/>
      <c r="MPT3003" s="462"/>
      <c r="MPU3003" s="299"/>
      <c r="MPV3003" s="81"/>
      <c r="MPW3003" s="160"/>
      <c r="MPX3003" s="577"/>
      <c r="MPY3003" s="125"/>
      <c r="MPZ3003" s="470"/>
      <c r="MQA3003" s="449"/>
      <c r="MQB3003" s="462"/>
      <c r="MQC3003" s="299"/>
      <c r="MQD3003" s="81"/>
      <c r="MQE3003" s="160"/>
      <c r="MQF3003" s="577"/>
      <c r="MQG3003" s="125"/>
      <c r="MQH3003" s="470"/>
      <c r="MQI3003" s="449"/>
      <c r="MQJ3003" s="462"/>
      <c r="MQK3003" s="299"/>
      <c r="MQL3003" s="81"/>
      <c r="MQM3003" s="160"/>
      <c r="MQN3003" s="577"/>
      <c r="MQO3003" s="125"/>
      <c r="MQP3003" s="470"/>
      <c r="MQQ3003" s="449"/>
      <c r="MQR3003" s="462"/>
      <c r="MQS3003" s="299"/>
      <c r="MQT3003" s="81"/>
      <c r="MQU3003" s="160"/>
      <c r="MQV3003" s="577"/>
      <c r="MQW3003" s="125"/>
      <c r="MQX3003" s="470"/>
      <c r="MQY3003" s="449"/>
      <c r="MQZ3003" s="462"/>
      <c r="MRA3003" s="299"/>
      <c r="MRB3003" s="81"/>
      <c r="MRC3003" s="160"/>
      <c r="MRD3003" s="577"/>
      <c r="MRE3003" s="125"/>
      <c r="MRF3003" s="470"/>
      <c r="MRG3003" s="449"/>
      <c r="MRH3003" s="462"/>
      <c r="MRI3003" s="299"/>
      <c r="MRJ3003" s="81"/>
      <c r="MRK3003" s="160"/>
      <c r="MRL3003" s="577"/>
      <c r="MRM3003" s="125"/>
      <c r="MRN3003" s="470"/>
      <c r="MRO3003" s="449"/>
      <c r="MRP3003" s="462"/>
      <c r="MRQ3003" s="299"/>
      <c r="MRR3003" s="81"/>
      <c r="MRS3003" s="160"/>
      <c r="MRT3003" s="577"/>
      <c r="MRU3003" s="125"/>
      <c r="MRV3003" s="470"/>
      <c r="MRW3003" s="449"/>
      <c r="MRX3003" s="462"/>
      <c r="MRY3003" s="299"/>
      <c r="MRZ3003" s="81"/>
      <c r="MSA3003" s="160"/>
      <c r="MSB3003" s="577"/>
      <c r="MSC3003" s="125"/>
      <c r="MSD3003" s="470"/>
      <c r="MSE3003" s="449"/>
      <c r="MSF3003" s="462"/>
      <c r="MSG3003" s="299"/>
      <c r="MSH3003" s="81"/>
      <c r="MSI3003" s="160"/>
      <c r="MSJ3003" s="577"/>
      <c r="MSK3003" s="125"/>
      <c r="MSL3003" s="470"/>
      <c r="MSM3003" s="449"/>
      <c r="MSN3003" s="462"/>
      <c r="MSO3003" s="299"/>
      <c r="MSP3003" s="81"/>
      <c r="MSQ3003" s="160"/>
      <c r="MSR3003" s="577"/>
      <c r="MSS3003" s="125"/>
      <c r="MST3003" s="470"/>
      <c r="MSU3003" s="449"/>
      <c r="MSV3003" s="462"/>
      <c r="MSW3003" s="299"/>
      <c r="MSX3003" s="81"/>
      <c r="MSY3003" s="160"/>
      <c r="MSZ3003" s="577"/>
      <c r="MTA3003" s="125"/>
      <c r="MTB3003" s="470"/>
      <c r="MTC3003" s="449"/>
      <c r="MTD3003" s="462"/>
      <c r="MTE3003" s="299"/>
      <c r="MTF3003" s="81"/>
      <c r="MTG3003" s="160"/>
      <c r="MTH3003" s="577"/>
      <c r="MTI3003" s="125"/>
      <c r="MTJ3003" s="470"/>
      <c r="MTK3003" s="449"/>
      <c r="MTL3003" s="462"/>
      <c r="MTM3003" s="299"/>
      <c r="MTN3003" s="81"/>
      <c r="MTO3003" s="160"/>
      <c r="MTP3003" s="577"/>
      <c r="MTQ3003" s="125"/>
      <c r="MTR3003" s="470"/>
      <c r="MTS3003" s="449"/>
      <c r="MTT3003" s="462"/>
      <c r="MTU3003" s="299"/>
      <c r="MTV3003" s="81"/>
      <c r="MTW3003" s="160"/>
      <c r="MTX3003" s="577"/>
      <c r="MTY3003" s="125"/>
      <c r="MTZ3003" s="470"/>
      <c r="MUA3003" s="449"/>
      <c r="MUB3003" s="462"/>
      <c r="MUC3003" s="299"/>
      <c r="MUD3003" s="81"/>
      <c r="MUE3003" s="160"/>
      <c r="MUF3003" s="577"/>
      <c r="MUG3003" s="125"/>
      <c r="MUH3003" s="470"/>
      <c r="MUI3003" s="449"/>
      <c r="MUJ3003" s="462"/>
      <c r="MUK3003" s="299"/>
      <c r="MUL3003" s="81"/>
      <c r="MUM3003" s="160"/>
      <c r="MUN3003" s="577"/>
      <c r="MUO3003" s="125"/>
      <c r="MUP3003" s="470"/>
      <c r="MUQ3003" s="449"/>
      <c r="MUR3003" s="462"/>
      <c r="MUS3003" s="299"/>
      <c r="MUT3003" s="81"/>
      <c r="MUU3003" s="160"/>
      <c r="MUV3003" s="577"/>
      <c r="MUW3003" s="125"/>
      <c r="MUX3003" s="470"/>
      <c r="MUY3003" s="449"/>
      <c r="MUZ3003" s="462"/>
      <c r="MVA3003" s="299"/>
      <c r="MVB3003" s="81"/>
      <c r="MVC3003" s="160"/>
      <c r="MVD3003" s="577"/>
      <c r="MVE3003" s="125"/>
      <c r="MVF3003" s="470"/>
      <c r="MVG3003" s="449"/>
      <c r="MVH3003" s="462"/>
      <c r="MVI3003" s="299"/>
      <c r="MVJ3003" s="81"/>
      <c r="MVK3003" s="160"/>
      <c r="MVL3003" s="577"/>
      <c r="MVM3003" s="125"/>
      <c r="MVN3003" s="470"/>
      <c r="MVO3003" s="449"/>
      <c r="MVP3003" s="462"/>
      <c r="MVQ3003" s="299"/>
      <c r="MVR3003" s="81"/>
      <c r="MVS3003" s="160"/>
      <c r="MVT3003" s="577"/>
      <c r="MVU3003" s="125"/>
      <c r="MVV3003" s="470"/>
      <c r="MVW3003" s="449"/>
      <c r="MVX3003" s="462"/>
      <c r="MVY3003" s="299"/>
      <c r="MVZ3003" s="81"/>
      <c r="MWA3003" s="160"/>
      <c r="MWB3003" s="577"/>
      <c r="MWC3003" s="125"/>
      <c r="MWD3003" s="470"/>
      <c r="MWE3003" s="449"/>
      <c r="MWF3003" s="462"/>
      <c r="MWG3003" s="299"/>
      <c r="MWH3003" s="81"/>
      <c r="MWI3003" s="160"/>
      <c r="MWJ3003" s="577"/>
      <c r="MWK3003" s="125"/>
      <c r="MWL3003" s="470"/>
      <c r="MWM3003" s="449"/>
      <c r="MWN3003" s="462"/>
      <c r="MWO3003" s="299"/>
      <c r="MWP3003" s="81"/>
      <c r="MWQ3003" s="160"/>
      <c r="MWR3003" s="577"/>
      <c r="MWS3003" s="125"/>
      <c r="MWT3003" s="470"/>
      <c r="MWU3003" s="449"/>
      <c r="MWV3003" s="462"/>
      <c r="MWW3003" s="299"/>
      <c r="MWX3003" s="81"/>
      <c r="MWY3003" s="160"/>
      <c r="MWZ3003" s="577"/>
      <c r="MXA3003" s="125"/>
      <c r="MXB3003" s="470"/>
      <c r="MXC3003" s="449"/>
      <c r="MXD3003" s="462"/>
      <c r="MXE3003" s="299"/>
      <c r="MXF3003" s="81"/>
      <c r="MXG3003" s="160"/>
      <c r="MXH3003" s="577"/>
      <c r="MXI3003" s="125"/>
      <c r="MXJ3003" s="470"/>
      <c r="MXK3003" s="449"/>
      <c r="MXL3003" s="462"/>
      <c r="MXM3003" s="299"/>
      <c r="MXN3003" s="81"/>
      <c r="MXO3003" s="160"/>
      <c r="MXP3003" s="577"/>
      <c r="MXQ3003" s="125"/>
      <c r="MXR3003" s="470"/>
      <c r="MXS3003" s="449"/>
      <c r="MXT3003" s="462"/>
      <c r="MXU3003" s="299"/>
      <c r="MXV3003" s="81"/>
      <c r="MXW3003" s="160"/>
      <c r="MXX3003" s="577"/>
      <c r="MXY3003" s="125"/>
      <c r="MXZ3003" s="470"/>
      <c r="MYA3003" s="449"/>
      <c r="MYB3003" s="462"/>
      <c r="MYC3003" s="299"/>
      <c r="MYD3003" s="81"/>
      <c r="MYE3003" s="160"/>
      <c r="MYF3003" s="577"/>
      <c r="MYG3003" s="125"/>
      <c r="MYH3003" s="470"/>
      <c r="MYI3003" s="449"/>
      <c r="MYJ3003" s="462"/>
      <c r="MYK3003" s="299"/>
      <c r="MYL3003" s="81"/>
      <c r="MYM3003" s="160"/>
      <c r="MYN3003" s="577"/>
      <c r="MYO3003" s="125"/>
      <c r="MYP3003" s="470"/>
      <c r="MYQ3003" s="449"/>
      <c r="MYR3003" s="462"/>
      <c r="MYS3003" s="299"/>
      <c r="MYT3003" s="81"/>
      <c r="MYU3003" s="160"/>
      <c r="MYV3003" s="577"/>
      <c r="MYW3003" s="125"/>
      <c r="MYX3003" s="470"/>
      <c r="MYY3003" s="449"/>
      <c r="MYZ3003" s="462"/>
      <c r="MZA3003" s="299"/>
      <c r="MZB3003" s="81"/>
      <c r="MZC3003" s="160"/>
      <c r="MZD3003" s="577"/>
      <c r="MZE3003" s="125"/>
      <c r="MZF3003" s="470"/>
      <c r="MZG3003" s="449"/>
      <c r="MZH3003" s="462"/>
      <c r="MZI3003" s="299"/>
      <c r="MZJ3003" s="81"/>
      <c r="MZK3003" s="160"/>
      <c r="MZL3003" s="577"/>
      <c r="MZM3003" s="125"/>
      <c r="MZN3003" s="470"/>
      <c r="MZO3003" s="449"/>
      <c r="MZP3003" s="462"/>
      <c r="MZQ3003" s="299"/>
      <c r="MZR3003" s="81"/>
      <c r="MZS3003" s="160"/>
      <c r="MZT3003" s="577"/>
      <c r="MZU3003" s="125"/>
      <c r="MZV3003" s="470"/>
      <c r="MZW3003" s="449"/>
      <c r="MZX3003" s="462"/>
      <c r="MZY3003" s="299"/>
      <c r="MZZ3003" s="81"/>
      <c r="NAA3003" s="160"/>
      <c r="NAB3003" s="577"/>
      <c r="NAC3003" s="125"/>
      <c r="NAD3003" s="470"/>
      <c r="NAE3003" s="449"/>
      <c r="NAF3003" s="462"/>
      <c r="NAG3003" s="299"/>
      <c r="NAH3003" s="81"/>
      <c r="NAI3003" s="160"/>
      <c r="NAJ3003" s="577"/>
      <c r="NAK3003" s="125"/>
      <c r="NAL3003" s="470"/>
      <c r="NAM3003" s="449"/>
      <c r="NAN3003" s="462"/>
      <c r="NAO3003" s="299"/>
      <c r="NAP3003" s="81"/>
      <c r="NAQ3003" s="160"/>
      <c r="NAR3003" s="577"/>
      <c r="NAS3003" s="125"/>
      <c r="NAT3003" s="470"/>
      <c r="NAU3003" s="449"/>
      <c r="NAV3003" s="462"/>
      <c r="NAW3003" s="299"/>
      <c r="NAX3003" s="81"/>
      <c r="NAY3003" s="160"/>
      <c r="NAZ3003" s="577"/>
      <c r="NBA3003" s="125"/>
      <c r="NBB3003" s="470"/>
      <c r="NBC3003" s="449"/>
      <c r="NBD3003" s="462"/>
      <c r="NBE3003" s="299"/>
      <c r="NBF3003" s="81"/>
      <c r="NBG3003" s="160"/>
      <c r="NBH3003" s="577"/>
      <c r="NBI3003" s="125"/>
      <c r="NBJ3003" s="470"/>
      <c r="NBK3003" s="449"/>
      <c r="NBL3003" s="462"/>
      <c r="NBM3003" s="299"/>
      <c r="NBN3003" s="81"/>
      <c r="NBO3003" s="160"/>
      <c r="NBP3003" s="577"/>
      <c r="NBQ3003" s="125"/>
      <c r="NBR3003" s="470"/>
      <c r="NBS3003" s="449"/>
      <c r="NBT3003" s="462"/>
      <c r="NBU3003" s="299"/>
      <c r="NBV3003" s="81"/>
      <c r="NBW3003" s="160"/>
      <c r="NBX3003" s="577"/>
      <c r="NBY3003" s="125"/>
      <c r="NBZ3003" s="470"/>
      <c r="NCA3003" s="449"/>
      <c r="NCB3003" s="462"/>
      <c r="NCC3003" s="299"/>
      <c r="NCD3003" s="81"/>
      <c r="NCE3003" s="160"/>
      <c r="NCF3003" s="577"/>
      <c r="NCG3003" s="125"/>
      <c r="NCH3003" s="470"/>
      <c r="NCI3003" s="449"/>
      <c r="NCJ3003" s="462"/>
      <c r="NCK3003" s="299"/>
      <c r="NCL3003" s="81"/>
      <c r="NCM3003" s="160"/>
      <c r="NCN3003" s="577"/>
      <c r="NCO3003" s="125"/>
      <c r="NCP3003" s="470"/>
      <c r="NCQ3003" s="449"/>
      <c r="NCR3003" s="462"/>
      <c r="NCS3003" s="299"/>
      <c r="NCT3003" s="81"/>
      <c r="NCU3003" s="160"/>
      <c r="NCV3003" s="577"/>
      <c r="NCW3003" s="125"/>
      <c r="NCX3003" s="470"/>
      <c r="NCY3003" s="449"/>
      <c r="NCZ3003" s="462"/>
      <c r="NDA3003" s="299"/>
      <c r="NDB3003" s="81"/>
      <c r="NDC3003" s="160"/>
      <c r="NDD3003" s="577"/>
      <c r="NDE3003" s="125"/>
      <c r="NDF3003" s="470"/>
      <c r="NDG3003" s="449"/>
      <c r="NDH3003" s="462"/>
      <c r="NDI3003" s="299"/>
      <c r="NDJ3003" s="81"/>
      <c r="NDK3003" s="160"/>
      <c r="NDL3003" s="577"/>
      <c r="NDM3003" s="125"/>
      <c r="NDN3003" s="470"/>
      <c r="NDO3003" s="449"/>
      <c r="NDP3003" s="462"/>
      <c r="NDQ3003" s="299"/>
      <c r="NDR3003" s="81"/>
      <c r="NDS3003" s="160"/>
      <c r="NDT3003" s="577"/>
      <c r="NDU3003" s="125"/>
      <c r="NDV3003" s="470"/>
      <c r="NDW3003" s="449"/>
      <c r="NDX3003" s="462"/>
      <c r="NDY3003" s="299"/>
      <c r="NDZ3003" s="81"/>
      <c r="NEA3003" s="160"/>
      <c r="NEB3003" s="577"/>
      <c r="NEC3003" s="125"/>
      <c r="NED3003" s="470"/>
      <c r="NEE3003" s="449"/>
      <c r="NEF3003" s="462"/>
      <c r="NEG3003" s="299"/>
      <c r="NEH3003" s="81"/>
      <c r="NEI3003" s="160"/>
      <c r="NEJ3003" s="577"/>
      <c r="NEK3003" s="125"/>
      <c r="NEL3003" s="470"/>
      <c r="NEM3003" s="449"/>
      <c r="NEN3003" s="462"/>
      <c r="NEO3003" s="299"/>
      <c r="NEP3003" s="81"/>
      <c r="NEQ3003" s="160"/>
      <c r="NER3003" s="577"/>
      <c r="NES3003" s="125"/>
      <c r="NET3003" s="470"/>
      <c r="NEU3003" s="449"/>
      <c r="NEV3003" s="462"/>
      <c r="NEW3003" s="299"/>
      <c r="NEX3003" s="81"/>
      <c r="NEY3003" s="160"/>
      <c r="NEZ3003" s="577"/>
      <c r="NFA3003" s="125"/>
      <c r="NFB3003" s="470"/>
      <c r="NFC3003" s="449"/>
      <c r="NFD3003" s="462"/>
      <c r="NFE3003" s="299"/>
      <c r="NFF3003" s="81"/>
      <c r="NFG3003" s="160"/>
      <c r="NFH3003" s="577"/>
      <c r="NFI3003" s="125"/>
      <c r="NFJ3003" s="470"/>
      <c r="NFK3003" s="449"/>
      <c r="NFL3003" s="462"/>
      <c r="NFM3003" s="299"/>
      <c r="NFN3003" s="81"/>
      <c r="NFO3003" s="160"/>
      <c r="NFP3003" s="577"/>
      <c r="NFQ3003" s="125"/>
      <c r="NFR3003" s="470"/>
      <c r="NFS3003" s="449"/>
      <c r="NFT3003" s="462"/>
      <c r="NFU3003" s="299"/>
      <c r="NFV3003" s="81"/>
      <c r="NFW3003" s="160"/>
      <c r="NFX3003" s="577"/>
      <c r="NFY3003" s="125"/>
      <c r="NFZ3003" s="470"/>
      <c r="NGA3003" s="449"/>
      <c r="NGB3003" s="462"/>
      <c r="NGC3003" s="299"/>
      <c r="NGD3003" s="81"/>
      <c r="NGE3003" s="160"/>
      <c r="NGF3003" s="577"/>
      <c r="NGG3003" s="125"/>
      <c r="NGH3003" s="470"/>
      <c r="NGI3003" s="449"/>
      <c r="NGJ3003" s="462"/>
      <c r="NGK3003" s="299"/>
      <c r="NGL3003" s="81"/>
      <c r="NGM3003" s="160"/>
      <c r="NGN3003" s="577"/>
      <c r="NGO3003" s="125"/>
      <c r="NGP3003" s="470"/>
      <c r="NGQ3003" s="449"/>
      <c r="NGR3003" s="462"/>
      <c r="NGS3003" s="299"/>
      <c r="NGT3003" s="81"/>
      <c r="NGU3003" s="160"/>
      <c r="NGV3003" s="577"/>
      <c r="NGW3003" s="125"/>
      <c r="NGX3003" s="470"/>
      <c r="NGY3003" s="449"/>
      <c r="NGZ3003" s="462"/>
      <c r="NHA3003" s="299"/>
      <c r="NHB3003" s="81"/>
      <c r="NHC3003" s="160"/>
      <c r="NHD3003" s="577"/>
      <c r="NHE3003" s="125"/>
      <c r="NHF3003" s="470"/>
      <c r="NHG3003" s="449"/>
      <c r="NHH3003" s="462"/>
      <c r="NHI3003" s="299"/>
      <c r="NHJ3003" s="81"/>
      <c r="NHK3003" s="160"/>
      <c r="NHL3003" s="577"/>
      <c r="NHM3003" s="125"/>
      <c r="NHN3003" s="470"/>
      <c r="NHO3003" s="449"/>
      <c r="NHP3003" s="462"/>
      <c r="NHQ3003" s="299"/>
      <c r="NHR3003" s="81"/>
      <c r="NHS3003" s="160"/>
      <c r="NHT3003" s="577"/>
      <c r="NHU3003" s="125"/>
      <c r="NHV3003" s="470"/>
      <c r="NHW3003" s="449"/>
      <c r="NHX3003" s="462"/>
      <c r="NHY3003" s="299"/>
      <c r="NHZ3003" s="81"/>
      <c r="NIA3003" s="160"/>
      <c r="NIB3003" s="577"/>
      <c r="NIC3003" s="125"/>
      <c r="NID3003" s="470"/>
      <c r="NIE3003" s="449"/>
      <c r="NIF3003" s="462"/>
      <c r="NIG3003" s="299"/>
      <c r="NIH3003" s="81"/>
      <c r="NII3003" s="160"/>
      <c r="NIJ3003" s="577"/>
      <c r="NIK3003" s="125"/>
      <c r="NIL3003" s="470"/>
      <c r="NIM3003" s="449"/>
      <c r="NIN3003" s="462"/>
      <c r="NIO3003" s="299"/>
      <c r="NIP3003" s="81"/>
      <c r="NIQ3003" s="160"/>
      <c r="NIR3003" s="577"/>
      <c r="NIS3003" s="125"/>
      <c r="NIT3003" s="470"/>
      <c r="NIU3003" s="449"/>
      <c r="NIV3003" s="462"/>
      <c r="NIW3003" s="299"/>
      <c r="NIX3003" s="81"/>
      <c r="NIY3003" s="160"/>
      <c r="NIZ3003" s="577"/>
      <c r="NJA3003" s="125"/>
      <c r="NJB3003" s="470"/>
      <c r="NJC3003" s="449"/>
      <c r="NJD3003" s="462"/>
      <c r="NJE3003" s="299"/>
      <c r="NJF3003" s="81"/>
      <c r="NJG3003" s="160"/>
      <c r="NJH3003" s="577"/>
      <c r="NJI3003" s="125"/>
      <c r="NJJ3003" s="470"/>
      <c r="NJK3003" s="449"/>
      <c r="NJL3003" s="462"/>
      <c r="NJM3003" s="299"/>
      <c r="NJN3003" s="81"/>
      <c r="NJO3003" s="160"/>
      <c r="NJP3003" s="577"/>
      <c r="NJQ3003" s="125"/>
      <c r="NJR3003" s="470"/>
      <c r="NJS3003" s="449"/>
      <c r="NJT3003" s="462"/>
      <c r="NJU3003" s="299"/>
      <c r="NJV3003" s="81"/>
      <c r="NJW3003" s="160"/>
      <c r="NJX3003" s="577"/>
      <c r="NJY3003" s="125"/>
      <c r="NJZ3003" s="470"/>
      <c r="NKA3003" s="449"/>
      <c r="NKB3003" s="462"/>
      <c r="NKC3003" s="299"/>
      <c r="NKD3003" s="81"/>
      <c r="NKE3003" s="160"/>
      <c r="NKF3003" s="577"/>
      <c r="NKG3003" s="125"/>
      <c r="NKH3003" s="470"/>
      <c r="NKI3003" s="449"/>
      <c r="NKJ3003" s="462"/>
      <c r="NKK3003" s="299"/>
      <c r="NKL3003" s="81"/>
      <c r="NKM3003" s="160"/>
      <c r="NKN3003" s="577"/>
      <c r="NKO3003" s="125"/>
      <c r="NKP3003" s="470"/>
      <c r="NKQ3003" s="449"/>
      <c r="NKR3003" s="462"/>
      <c r="NKS3003" s="299"/>
      <c r="NKT3003" s="81"/>
      <c r="NKU3003" s="160"/>
      <c r="NKV3003" s="577"/>
      <c r="NKW3003" s="125"/>
      <c r="NKX3003" s="470"/>
      <c r="NKY3003" s="449"/>
      <c r="NKZ3003" s="462"/>
      <c r="NLA3003" s="299"/>
      <c r="NLB3003" s="81"/>
      <c r="NLC3003" s="160"/>
      <c r="NLD3003" s="577"/>
      <c r="NLE3003" s="125"/>
      <c r="NLF3003" s="470"/>
      <c r="NLG3003" s="449"/>
      <c r="NLH3003" s="462"/>
      <c r="NLI3003" s="299"/>
      <c r="NLJ3003" s="81"/>
      <c r="NLK3003" s="160"/>
      <c r="NLL3003" s="577"/>
      <c r="NLM3003" s="125"/>
      <c r="NLN3003" s="470"/>
      <c r="NLO3003" s="449"/>
      <c r="NLP3003" s="462"/>
      <c r="NLQ3003" s="299"/>
      <c r="NLR3003" s="81"/>
      <c r="NLS3003" s="160"/>
      <c r="NLT3003" s="577"/>
      <c r="NLU3003" s="125"/>
      <c r="NLV3003" s="470"/>
      <c r="NLW3003" s="449"/>
      <c r="NLX3003" s="462"/>
      <c r="NLY3003" s="299"/>
      <c r="NLZ3003" s="81"/>
      <c r="NMA3003" s="160"/>
      <c r="NMB3003" s="577"/>
      <c r="NMC3003" s="125"/>
      <c r="NMD3003" s="470"/>
      <c r="NME3003" s="449"/>
      <c r="NMF3003" s="462"/>
      <c r="NMG3003" s="299"/>
      <c r="NMH3003" s="81"/>
      <c r="NMI3003" s="160"/>
      <c r="NMJ3003" s="577"/>
      <c r="NMK3003" s="125"/>
      <c r="NML3003" s="470"/>
      <c r="NMM3003" s="449"/>
      <c r="NMN3003" s="462"/>
      <c r="NMO3003" s="299"/>
      <c r="NMP3003" s="81"/>
      <c r="NMQ3003" s="160"/>
      <c r="NMR3003" s="577"/>
      <c r="NMS3003" s="125"/>
      <c r="NMT3003" s="470"/>
      <c r="NMU3003" s="449"/>
      <c r="NMV3003" s="462"/>
      <c r="NMW3003" s="299"/>
      <c r="NMX3003" s="81"/>
      <c r="NMY3003" s="160"/>
      <c r="NMZ3003" s="577"/>
      <c r="NNA3003" s="125"/>
      <c r="NNB3003" s="470"/>
      <c r="NNC3003" s="449"/>
      <c r="NND3003" s="462"/>
      <c r="NNE3003" s="299"/>
      <c r="NNF3003" s="81"/>
      <c r="NNG3003" s="160"/>
      <c r="NNH3003" s="577"/>
      <c r="NNI3003" s="125"/>
      <c r="NNJ3003" s="470"/>
      <c r="NNK3003" s="449"/>
      <c r="NNL3003" s="462"/>
      <c r="NNM3003" s="299"/>
      <c r="NNN3003" s="81"/>
      <c r="NNO3003" s="160"/>
      <c r="NNP3003" s="577"/>
      <c r="NNQ3003" s="125"/>
      <c r="NNR3003" s="470"/>
      <c r="NNS3003" s="449"/>
      <c r="NNT3003" s="462"/>
      <c r="NNU3003" s="299"/>
      <c r="NNV3003" s="81"/>
      <c r="NNW3003" s="160"/>
      <c r="NNX3003" s="577"/>
      <c r="NNY3003" s="125"/>
      <c r="NNZ3003" s="470"/>
      <c r="NOA3003" s="449"/>
      <c r="NOB3003" s="462"/>
      <c r="NOC3003" s="299"/>
      <c r="NOD3003" s="81"/>
      <c r="NOE3003" s="160"/>
      <c r="NOF3003" s="577"/>
      <c r="NOG3003" s="125"/>
      <c r="NOH3003" s="470"/>
      <c r="NOI3003" s="449"/>
      <c r="NOJ3003" s="462"/>
      <c r="NOK3003" s="299"/>
      <c r="NOL3003" s="81"/>
      <c r="NOM3003" s="160"/>
      <c r="NON3003" s="577"/>
      <c r="NOO3003" s="125"/>
      <c r="NOP3003" s="470"/>
      <c r="NOQ3003" s="449"/>
      <c r="NOR3003" s="462"/>
      <c r="NOS3003" s="299"/>
      <c r="NOT3003" s="81"/>
      <c r="NOU3003" s="160"/>
      <c r="NOV3003" s="577"/>
      <c r="NOW3003" s="125"/>
      <c r="NOX3003" s="470"/>
      <c r="NOY3003" s="449"/>
      <c r="NOZ3003" s="462"/>
      <c r="NPA3003" s="299"/>
      <c r="NPB3003" s="81"/>
      <c r="NPC3003" s="160"/>
      <c r="NPD3003" s="577"/>
      <c r="NPE3003" s="125"/>
      <c r="NPF3003" s="470"/>
      <c r="NPG3003" s="449"/>
      <c r="NPH3003" s="462"/>
      <c r="NPI3003" s="299"/>
      <c r="NPJ3003" s="81"/>
      <c r="NPK3003" s="160"/>
      <c r="NPL3003" s="577"/>
      <c r="NPM3003" s="125"/>
      <c r="NPN3003" s="470"/>
      <c r="NPO3003" s="449"/>
      <c r="NPP3003" s="462"/>
      <c r="NPQ3003" s="299"/>
      <c r="NPR3003" s="81"/>
      <c r="NPS3003" s="160"/>
      <c r="NPT3003" s="577"/>
      <c r="NPU3003" s="125"/>
      <c r="NPV3003" s="470"/>
      <c r="NPW3003" s="449"/>
      <c r="NPX3003" s="462"/>
      <c r="NPY3003" s="299"/>
      <c r="NPZ3003" s="81"/>
      <c r="NQA3003" s="160"/>
      <c r="NQB3003" s="577"/>
      <c r="NQC3003" s="125"/>
      <c r="NQD3003" s="470"/>
      <c r="NQE3003" s="449"/>
      <c r="NQF3003" s="462"/>
      <c r="NQG3003" s="299"/>
      <c r="NQH3003" s="81"/>
      <c r="NQI3003" s="160"/>
      <c r="NQJ3003" s="577"/>
      <c r="NQK3003" s="125"/>
      <c r="NQL3003" s="470"/>
      <c r="NQM3003" s="449"/>
      <c r="NQN3003" s="462"/>
      <c r="NQO3003" s="299"/>
      <c r="NQP3003" s="81"/>
      <c r="NQQ3003" s="160"/>
      <c r="NQR3003" s="577"/>
      <c r="NQS3003" s="125"/>
      <c r="NQT3003" s="470"/>
      <c r="NQU3003" s="449"/>
      <c r="NQV3003" s="462"/>
      <c r="NQW3003" s="299"/>
      <c r="NQX3003" s="81"/>
      <c r="NQY3003" s="160"/>
      <c r="NQZ3003" s="577"/>
      <c r="NRA3003" s="125"/>
      <c r="NRB3003" s="470"/>
      <c r="NRC3003" s="449"/>
      <c r="NRD3003" s="462"/>
      <c r="NRE3003" s="299"/>
      <c r="NRF3003" s="81"/>
      <c r="NRG3003" s="160"/>
      <c r="NRH3003" s="577"/>
      <c r="NRI3003" s="125"/>
      <c r="NRJ3003" s="470"/>
      <c r="NRK3003" s="449"/>
      <c r="NRL3003" s="462"/>
      <c r="NRM3003" s="299"/>
      <c r="NRN3003" s="81"/>
      <c r="NRO3003" s="160"/>
      <c r="NRP3003" s="577"/>
      <c r="NRQ3003" s="125"/>
      <c r="NRR3003" s="470"/>
      <c r="NRS3003" s="449"/>
      <c r="NRT3003" s="462"/>
      <c r="NRU3003" s="299"/>
      <c r="NRV3003" s="81"/>
      <c r="NRW3003" s="160"/>
      <c r="NRX3003" s="577"/>
      <c r="NRY3003" s="125"/>
      <c r="NRZ3003" s="470"/>
      <c r="NSA3003" s="449"/>
      <c r="NSB3003" s="462"/>
      <c r="NSC3003" s="299"/>
      <c r="NSD3003" s="81"/>
      <c r="NSE3003" s="160"/>
      <c r="NSF3003" s="577"/>
      <c r="NSG3003" s="125"/>
      <c r="NSH3003" s="470"/>
      <c r="NSI3003" s="449"/>
      <c r="NSJ3003" s="462"/>
      <c r="NSK3003" s="299"/>
      <c r="NSL3003" s="81"/>
      <c r="NSM3003" s="160"/>
      <c r="NSN3003" s="577"/>
      <c r="NSO3003" s="125"/>
      <c r="NSP3003" s="470"/>
      <c r="NSQ3003" s="449"/>
      <c r="NSR3003" s="462"/>
      <c r="NSS3003" s="299"/>
      <c r="NST3003" s="81"/>
      <c r="NSU3003" s="160"/>
      <c r="NSV3003" s="577"/>
      <c r="NSW3003" s="125"/>
      <c r="NSX3003" s="470"/>
      <c r="NSY3003" s="449"/>
      <c r="NSZ3003" s="462"/>
      <c r="NTA3003" s="299"/>
      <c r="NTB3003" s="81"/>
      <c r="NTC3003" s="160"/>
      <c r="NTD3003" s="577"/>
      <c r="NTE3003" s="125"/>
      <c r="NTF3003" s="470"/>
      <c r="NTG3003" s="449"/>
      <c r="NTH3003" s="462"/>
      <c r="NTI3003" s="299"/>
      <c r="NTJ3003" s="81"/>
      <c r="NTK3003" s="160"/>
      <c r="NTL3003" s="577"/>
      <c r="NTM3003" s="125"/>
      <c r="NTN3003" s="470"/>
      <c r="NTO3003" s="449"/>
      <c r="NTP3003" s="462"/>
      <c r="NTQ3003" s="299"/>
      <c r="NTR3003" s="81"/>
      <c r="NTS3003" s="160"/>
      <c r="NTT3003" s="577"/>
      <c r="NTU3003" s="125"/>
      <c r="NTV3003" s="470"/>
      <c r="NTW3003" s="449"/>
      <c r="NTX3003" s="462"/>
      <c r="NTY3003" s="299"/>
      <c r="NTZ3003" s="81"/>
      <c r="NUA3003" s="160"/>
      <c r="NUB3003" s="577"/>
      <c r="NUC3003" s="125"/>
      <c r="NUD3003" s="470"/>
      <c r="NUE3003" s="449"/>
      <c r="NUF3003" s="462"/>
      <c r="NUG3003" s="299"/>
      <c r="NUH3003" s="81"/>
      <c r="NUI3003" s="160"/>
      <c r="NUJ3003" s="577"/>
      <c r="NUK3003" s="125"/>
      <c r="NUL3003" s="470"/>
      <c r="NUM3003" s="449"/>
      <c r="NUN3003" s="462"/>
      <c r="NUO3003" s="299"/>
      <c r="NUP3003" s="81"/>
      <c r="NUQ3003" s="160"/>
      <c r="NUR3003" s="577"/>
      <c r="NUS3003" s="125"/>
      <c r="NUT3003" s="470"/>
      <c r="NUU3003" s="449"/>
      <c r="NUV3003" s="462"/>
      <c r="NUW3003" s="299"/>
      <c r="NUX3003" s="81"/>
      <c r="NUY3003" s="160"/>
      <c r="NUZ3003" s="577"/>
      <c r="NVA3003" s="125"/>
      <c r="NVB3003" s="470"/>
      <c r="NVC3003" s="449"/>
      <c r="NVD3003" s="462"/>
      <c r="NVE3003" s="299"/>
      <c r="NVF3003" s="81"/>
      <c r="NVG3003" s="160"/>
      <c r="NVH3003" s="577"/>
      <c r="NVI3003" s="125"/>
      <c r="NVJ3003" s="470"/>
      <c r="NVK3003" s="449"/>
      <c r="NVL3003" s="462"/>
      <c r="NVM3003" s="299"/>
      <c r="NVN3003" s="81"/>
      <c r="NVO3003" s="160"/>
      <c r="NVP3003" s="577"/>
      <c r="NVQ3003" s="125"/>
      <c r="NVR3003" s="470"/>
      <c r="NVS3003" s="449"/>
      <c r="NVT3003" s="462"/>
      <c r="NVU3003" s="299"/>
      <c r="NVV3003" s="81"/>
      <c r="NVW3003" s="160"/>
      <c r="NVX3003" s="577"/>
      <c r="NVY3003" s="125"/>
      <c r="NVZ3003" s="470"/>
      <c r="NWA3003" s="449"/>
      <c r="NWB3003" s="462"/>
      <c r="NWC3003" s="299"/>
      <c r="NWD3003" s="81"/>
      <c r="NWE3003" s="160"/>
      <c r="NWF3003" s="577"/>
      <c r="NWG3003" s="125"/>
      <c r="NWH3003" s="470"/>
      <c r="NWI3003" s="449"/>
      <c r="NWJ3003" s="462"/>
      <c r="NWK3003" s="299"/>
      <c r="NWL3003" s="81"/>
      <c r="NWM3003" s="160"/>
      <c r="NWN3003" s="577"/>
      <c r="NWO3003" s="125"/>
      <c r="NWP3003" s="470"/>
      <c r="NWQ3003" s="449"/>
      <c r="NWR3003" s="462"/>
      <c r="NWS3003" s="299"/>
      <c r="NWT3003" s="81"/>
      <c r="NWU3003" s="160"/>
      <c r="NWV3003" s="577"/>
      <c r="NWW3003" s="125"/>
      <c r="NWX3003" s="470"/>
      <c r="NWY3003" s="449"/>
      <c r="NWZ3003" s="462"/>
      <c r="NXA3003" s="299"/>
      <c r="NXB3003" s="81"/>
      <c r="NXC3003" s="160"/>
      <c r="NXD3003" s="577"/>
      <c r="NXE3003" s="125"/>
      <c r="NXF3003" s="470"/>
      <c r="NXG3003" s="449"/>
      <c r="NXH3003" s="462"/>
      <c r="NXI3003" s="299"/>
      <c r="NXJ3003" s="81"/>
      <c r="NXK3003" s="160"/>
      <c r="NXL3003" s="577"/>
      <c r="NXM3003" s="125"/>
      <c r="NXN3003" s="470"/>
      <c r="NXO3003" s="449"/>
      <c r="NXP3003" s="462"/>
      <c r="NXQ3003" s="299"/>
      <c r="NXR3003" s="81"/>
      <c r="NXS3003" s="160"/>
      <c r="NXT3003" s="577"/>
      <c r="NXU3003" s="125"/>
      <c r="NXV3003" s="470"/>
      <c r="NXW3003" s="449"/>
      <c r="NXX3003" s="462"/>
      <c r="NXY3003" s="299"/>
      <c r="NXZ3003" s="81"/>
      <c r="NYA3003" s="160"/>
      <c r="NYB3003" s="577"/>
      <c r="NYC3003" s="125"/>
      <c r="NYD3003" s="470"/>
      <c r="NYE3003" s="449"/>
      <c r="NYF3003" s="462"/>
      <c r="NYG3003" s="299"/>
      <c r="NYH3003" s="81"/>
      <c r="NYI3003" s="160"/>
      <c r="NYJ3003" s="577"/>
      <c r="NYK3003" s="125"/>
      <c r="NYL3003" s="470"/>
      <c r="NYM3003" s="449"/>
      <c r="NYN3003" s="462"/>
      <c r="NYO3003" s="299"/>
      <c r="NYP3003" s="81"/>
      <c r="NYQ3003" s="160"/>
      <c r="NYR3003" s="577"/>
      <c r="NYS3003" s="125"/>
      <c r="NYT3003" s="470"/>
      <c r="NYU3003" s="449"/>
      <c r="NYV3003" s="462"/>
      <c r="NYW3003" s="299"/>
      <c r="NYX3003" s="81"/>
      <c r="NYY3003" s="160"/>
      <c r="NYZ3003" s="577"/>
      <c r="NZA3003" s="125"/>
      <c r="NZB3003" s="470"/>
      <c r="NZC3003" s="449"/>
      <c r="NZD3003" s="462"/>
      <c r="NZE3003" s="299"/>
      <c r="NZF3003" s="81"/>
      <c r="NZG3003" s="160"/>
      <c r="NZH3003" s="577"/>
      <c r="NZI3003" s="125"/>
      <c r="NZJ3003" s="470"/>
      <c r="NZK3003" s="449"/>
      <c r="NZL3003" s="462"/>
      <c r="NZM3003" s="299"/>
      <c r="NZN3003" s="81"/>
      <c r="NZO3003" s="160"/>
      <c r="NZP3003" s="577"/>
      <c r="NZQ3003" s="125"/>
      <c r="NZR3003" s="470"/>
      <c r="NZS3003" s="449"/>
      <c r="NZT3003" s="462"/>
      <c r="NZU3003" s="299"/>
      <c r="NZV3003" s="81"/>
      <c r="NZW3003" s="160"/>
      <c r="NZX3003" s="577"/>
      <c r="NZY3003" s="125"/>
      <c r="NZZ3003" s="470"/>
      <c r="OAA3003" s="449"/>
      <c r="OAB3003" s="462"/>
      <c r="OAC3003" s="299"/>
      <c r="OAD3003" s="81"/>
      <c r="OAE3003" s="160"/>
      <c r="OAF3003" s="577"/>
      <c r="OAG3003" s="125"/>
      <c r="OAH3003" s="470"/>
      <c r="OAI3003" s="449"/>
      <c r="OAJ3003" s="462"/>
      <c r="OAK3003" s="299"/>
      <c r="OAL3003" s="81"/>
      <c r="OAM3003" s="160"/>
      <c r="OAN3003" s="577"/>
      <c r="OAO3003" s="125"/>
      <c r="OAP3003" s="470"/>
      <c r="OAQ3003" s="449"/>
      <c r="OAR3003" s="462"/>
      <c r="OAS3003" s="299"/>
      <c r="OAT3003" s="81"/>
      <c r="OAU3003" s="160"/>
      <c r="OAV3003" s="577"/>
      <c r="OAW3003" s="125"/>
      <c r="OAX3003" s="470"/>
      <c r="OAY3003" s="449"/>
      <c r="OAZ3003" s="462"/>
      <c r="OBA3003" s="299"/>
      <c r="OBB3003" s="81"/>
      <c r="OBC3003" s="160"/>
      <c r="OBD3003" s="577"/>
      <c r="OBE3003" s="125"/>
      <c r="OBF3003" s="470"/>
      <c r="OBG3003" s="449"/>
      <c r="OBH3003" s="462"/>
      <c r="OBI3003" s="299"/>
      <c r="OBJ3003" s="81"/>
      <c r="OBK3003" s="160"/>
      <c r="OBL3003" s="577"/>
      <c r="OBM3003" s="125"/>
      <c r="OBN3003" s="470"/>
      <c r="OBO3003" s="449"/>
      <c r="OBP3003" s="462"/>
      <c r="OBQ3003" s="299"/>
      <c r="OBR3003" s="81"/>
      <c r="OBS3003" s="160"/>
      <c r="OBT3003" s="577"/>
      <c r="OBU3003" s="125"/>
      <c r="OBV3003" s="470"/>
      <c r="OBW3003" s="449"/>
      <c r="OBX3003" s="462"/>
      <c r="OBY3003" s="299"/>
      <c r="OBZ3003" s="81"/>
      <c r="OCA3003" s="160"/>
      <c r="OCB3003" s="577"/>
      <c r="OCC3003" s="125"/>
      <c r="OCD3003" s="470"/>
      <c r="OCE3003" s="449"/>
      <c r="OCF3003" s="462"/>
      <c r="OCG3003" s="299"/>
      <c r="OCH3003" s="81"/>
      <c r="OCI3003" s="160"/>
      <c r="OCJ3003" s="577"/>
      <c r="OCK3003" s="125"/>
      <c r="OCL3003" s="470"/>
      <c r="OCM3003" s="449"/>
      <c r="OCN3003" s="462"/>
      <c r="OCO3003" s="299"/>
      <c r="OCP3003" s="81"/>
      <c r="OCQ3003" s="160"/>
      <c r="OCR3003" s="577"/>
      <c r="OCS3003" s="125"/>
      <c r="OCT3003" s="470"/>
      <c r="OCU3003" s="449"/>
      <c r="OCV3003" s="462"/>
      <c r="OCW3003" s="299"/>
      <c r="OCX3003" s="81"/>
      <c r="OCY3003" s="160"/>
      <c r="OCZ3003" s="577"/>
      <c r="ODA3003" s="125"/>
      <c r="ODB3003" s="470"/>
      <c r="ODC3003" s="449"/>
      <c r="ODD3003" s="462"/>
      <c r="ODE3003" s="299"/>
      <c r="ODF3003" s="81"/>
      <c r="ODG3003" s="160"/>
      <c r="ODH3003" s="577"/>
      <c r="ODI3003" s="125"/>
      <c r="ODJ3003" s="470"/>
      <c r="ODK3003" s="449"/>
      <c r="ODL3003" s="462"/>
      <c r="ODM3003" s="299"/>
      <c r="ODN3003" s="81"/>
      <c r="ODO3003" s="160"/>
      <c r="ODP3003" s="577"/>
      <c r="ODQ3003" s="125"/>
      <c r="ODR3003" s="470"/>
      <c r="ODS3003" s="449"/>
      <c r="ODT3003" s="462"/>
      <c r="ODU3003" s="299"/>
      <c r="ODV3003" s="81"/>
      <c r="ODW3003" s="160"/>
      <c r="ODX3003" s="577"/>
      <c r="ODY3003" s="125"/>
      <c r="ODZ3003" s="470"/>
      <c r="OEA3003" s="449"/>
      <c r="OEB3003" s="462"/>
      <c r="OEC3003" s="299"/>
      <c r="OED3003" s="81"/>
      <c r="OEE3003" s="160"/>
      <c r="OEF3003" s="577"/>
      <c r="OEG3003" s="125"/>
      <c r="OEH3003" s="470"/>
      <c r="OEI3003" s="449"/>
      <c r="OEJ3003" s="462"/>
      <c r="OEK3003" s="299"/>
      <c r="OEL3003" s="81"/>
      <c r="OEM3003" s="160"/>
      <c r="OEN3003" s="577"/>
      <c r="OEO3003" s="125"/>
      <c r="OEP3003" s="470"/>
      <c r="OEQ3003" s="449"/>
      <c r="OER3003" s="462"/>
      <c r="OES3003" s="299"/>
      <c r="OET3003" s="81"/>
      <c r="OEU3003" s="160"/>
      <c r="OEV3003" s="577"/>
      <c r="OEW3003" s="125"/>
      <c r="OEX3003" s="470"/>
      <c r="OEY3003" s="449"/>
      <c r="OEZ3003" s="462"/>
      <c r="OFA3003" s="299"/>
      <c r="OFB3003" s="81"/>
      <c r="OFC3003" s="160"/>
      <c r="OFD3003" s="577"/>
      <c r="OFE3003" s="125"/>
      <c r="OFF3003" s="470"/>
      <c r="OFG3003" s="449"/>
      <c r="OFH3003" s="462"/>
      <c r="OFI3003" s="299"/>
      <c r="OFJ3003" s="81"/>
      <c r="OFK3003" s="160"/>
      <c r="OFL3003" s="577"/>
      <c r="OFM3003" s="125"/>
      <c r="OFN3003" s="470"/>
      <c r="OFO3003" s="449"/>
      <c r="OFP3003" s="462"/>
      <c r="OFQ3003" s="299"/>
      <c r="OFR3003" s="81"/>
      <c r="OFS3003" s="160"/>
      <c r="OFT3003" s="577"/>
      <c r="OFU3003" s="125"/>
      <c r="OFV3003" s="470"/>
      <c r="OFW3003" s="449"/>
      <c r="OFX3003" s="462"/>
      <c r="OFY3003" s="299"/>
      <c r="OFZ3003" s="81"/>
      <c r="OGA3003" s="160"/>
      <c r="OGB3003" s="577"/>
      <c r="OGC3003" s="125"/>
      <c r="OGD3003" s="470"/>
      <c r="OGE3003" s="449"/>
      <c r="OGF3003" s="462"/>
      <c r="OGG3003" s="299"/>
      <c r="OGH3003" s="81"/>
      <c r="OGI3003" s="160"/>
      <c r="OGJ3003" s="577"/>
      <c r="OGK3003" s="125"/>
      <c r="OGL3003" s="470"/>
      <c r="OGM3003" s="449"/>
      <c r="OGN3003" s="462"/>
      <c r="OGO3003" s="299"/>
      <c r="OGP3003" s="81"/>
      <c r="OGQ3003" s="160"/>
      <c r="OGR3003" s="577"/>
      <c r="OGS3003" s="125"/>
      <c r="OGT3003" s="470"/>
      <c r="OGU3003" s="449"/>
      <c r="OGV3003" s="462"/>
      <c r="OGW3003" s="299"/>
      <c r="OGX3003" s="81"/>
      <c r="OGY3003" s="160"/>
      <c r="OGZ3003" s="577"/>
      <c r="OHA3003" s="125"/>
      <c r="OHB3003" s="470"/>
      <c r="OHC3003" s="449"/>
      <c r="OHD3003" s="462"/>
      <c r="OHE3003" s="299"/>
      <c r="OHF3003" s="81"/>
      <c r="OHG3003" s="160"/>
      <c r="OHH3003" s="577"/>
      <c r="OHI3003" s="125"/>
      <c r="OHJ3003" s="470"/>
      <c r="OHK3003" s="449"/>
      <c r="OHL3003" s="462"/>
      <c r="OHM3003" s="299"/>
      <c r="OHN3003" s="81"/>
      <c r="OHO3003" s="160"/>
      <c r="OHP3003" s="577"/>
      <c r="OHQ3003" s="125"/>
      <c r="OHR3003" s="470"/>
      <c r="OHS3003" s="449"/>
      <c r="OHT3003" s="462"/>
      <c r="OHU3003" s="299"/>
      <c r="OHV3003" s="81"/>
      <c r="OHW3003" s="160"/>
      <c r="OHX3003" s="577"/>
      <c r="OHY3003" s="125"/>
      <c r="OHZ3003" s="470"/>
      <c r="OIA3003" s="449"/>
      <c r="OIB3003" s="462"/>
      <c r="OIC3003" s="299"/>
      <c r="OID3003" s="81"/>
      <c r="OIE3003" s="160"/>
      <c r="OIF3003" s="577"/>
      <c r="OIG3003" s="125"/>
      <c r="OIH3003" s="470"/>
      <c r="OII3003" s="449"/>
      <c r="OIJ3003" s="462"/>
      <c r="OIK3003" s="299"/>
      <c r="OIL3003" s="81"/>
      <c r="OIM3003" s="160"/>
      <c r="OIN3003" s="577"/>
      <c r="OIO3003" s="125"/>
      <c r="OIP3003" s="470"/>
      <c r="OIQ3003" s="449"/>
      <c r="OIR3003" s="462"/>
      <c r="OIS3003" s="299"/>
      <c r="OIT3003" s="81"/>
      <c r="OIU3003" s="160"/>
      <c r="OIV3003" s="577"/>
      <c r="OIW3003" s="125"/>
      <c r="OIX3003" s="470"/>
      <c r="OIY3003" s="449"/>
      <c r="OIZ3003" s="462"/>
      <c r="OJA3003" s="299"/>
      <c r="OJB3003" s="81"/>
      <c r="OJC3003" s="160"/>
      <c r="OJD3003" s="577"/>
      <c r="OJE3003" s="125"/>
      <c r="OJF3003" s="470"/>
      <c r="OJG3003" s="449"/>
      <c r="OJH3003" s="462"/>
      <c r="OJI3003" s="299"/>
      <c r="OJJ3003" s="81"/>
      <c r="OJK3003" s="160"/>
      <c r="OJL3003" s="577"/>
      <c r="OJM3003" s="125"/>
      <c r="OJN3003" s="470"/>
      <c r="OJO3003" s="449"/>
      <c r="OJP3003" s="462"/>
      <c r="OJQ3003" s="299"/>
      <c r="OJR3003" s="81"/>
      <c r="OJS3003" s="160"/>
      <c r="OJT3003" s="577"/>
      <c r="OJU3003" s="125"/>
      <c r="OJV3003" s="470"/>
      <c r="OJW3003" s="449"/>
      <c r="OJX3003" s="462"/>
      <c r="OJY3003" s="299"/>
      <c r="OJZ3003" s="81"/>
      <c r="OKA3003" s="160"/>
      <c r="OKB3003" s="577"/>
      <c r="OKC3003" s="125"/>
      <c r="OKD3003" s="470"/>
      <c r="OKE3003" s="449"/>
      <c r="OKF3003" s="462"/>
      <c r="OKG3003" s="299"/>
      <c r="OKH3003" s="81"/>
      <c r="OKI3003" s="160"/>
      <c r="OKJ3003" s="577"/>
      <c r="OKK3003" s="125"/>
      <c r="OKL3003" s="470"/>
      <c r="OKM3003" s="449"/>
      <c r="OKN3003" s="462"/>
      <c r="OKO3003" s="299"/>
      <c r="OKP3003" s="81"/>
      <c r="OKQ3003" s="160"/>
      <c r="OKR3003" s="577"/>
      <c r="OKS3003" s="125"/>
      <c r="OKT3003" s="470"/>
      <c r="OKU3003" s="449"/>
      <c r="OKV3003" s="462"/>
      <c r="OKW3003" s="299"/>
      <c r="OKX3003" s="81"/>
      <c r="OKY3003" s="160"/>
      <c r="OKZ3003" s="577"/>
      <c r="OLA3003" s="125"/>
      <c r="OLB3003" s="470"/>
      <c r="OLC3003" s="449"/>
      <c r="OLD3003" s="462"/>
      <c r="OLE3003" s="299"/>
      <c r="OLF3003" s="81"/>
      <c r="OLG3003" s="160"/>
      <c r="OLH3003" s="577"/>
      <c r="OLI3003" s="125"/>
      <c r="OLJ3003" s="470"/>
      <c r="OLK3003" s="449"/>
      <c r="OLL3003" s="462"/>
      <c r="OLM3003" s="299"/>
      <c r="OLN3003" s="81"/>
      <c r="OLO3003" s="160"/>
      <c r="OLP3003" s="577"/>
      <c r="OLQ3003" s="125"/>
      <c r="OLR3003" s="470"/>
      <c r="OLS3003" s="449"/>
      <c r="OLT3003" s="462"/>
      <c r="OLU3003" s="299"/>
      <c r="OLV3003" s="81"/>
      <c r="OLW3003" s="160"/>
      <c r="OLX3003" s="577"/>
      <c r="OLY3003" s="125"/>
      <c r="OLZ3003" s="470"/>
      <c r="OMA3003" s="449"/>
      <c r="OMB3003" s="462"/>
      <c r="OMC3003" s="299"/>
      <c r="OMD3003" s="81"/>
      <c r="OME3003" s="160"/>
      <c r="OMF3003" s="577"/>
      <c r="OMG3003" s="125"/>
      <c r="OMH3003" s="470"/>
      <c r="OMI3003" s="449"/>
      <c r="OMJ3003" s="462"/>
      <c r="OMK3003" s="299"/>
      <c r="OML3003" s="81"/>
      <c r="OMM3003" s="160"/>
      <c r="OMN3003" s="577"/>
      <c r="OMO3003" s="125"/>
      <c r="OMP3003" s="470"/>
      <c r="OMQ3003" s="449"/>
      <c r="OMR3003" s="462"/>
      <c r="OMS3003" s="299"/>
      <c r="OMT3003" s="81"/>
      <c r="OMU3003" s="160"/>
      <c r="OMV3003" s="577"/>
      <c r="OMW3003" s="125"/>
      <c r="OMX3003" s="470"/>
      <c r="OMY3003" s="449"/>
      <c r="OMZ3003" s="462"/>
      <c r="ONA3003" s="299"/>
      <c r="ONB3003" s="81"/>
      <c r="ONC3003" s="160"/>
      <c r="OND3003" s="577"/>
      <c r="ONE3003" s="125"/>
      <c r="ONF3003" s="470"/>
      <c r="ONG3003" s="449"/>
      <c r="ONH3003" s="462"/>
      <c r="ONI3003" s="299"/>
      <c r="ONJ3003" s="81"/>
      <c r="ONK3003" s="160"/>
      <c r="ONL3003" s="577"/>
      <c r="ONM3003" s="125"/>
      <c r="ONN3003" s="470"/>
      <c r="ONO3003" s="449"/>
      <c r="ONP3003" s="462"/>
      <c r="ONQ3003" s="299"/>
      <c r="ONR3003" s="81"/>
      <c r="ONS3003" s="160"/>
      <c r="ONT3003" s="577"/>
      <c r="ONU3003" s="125"/>
      <c r="ONV3003" s="470"/>
      <c r="ONW3003" s="449"/>
      <c r="ONX3003" s="462"/>
      <c r="ONY3003" s="299"/>
      <c r="ONZ3003" s="81"/>
      <c r="OOA3003" s="160"/>
      <c r="OOB3003" s="577"/>
      <c r="OOC3003" s="125"/>
      <c r="OOD3003" s="470"/>
      <c r="OOE3003" s="449"/>
      <c r="OOF3003" s="462"/>
      <c r="OOG3003" s="299"/>
      <c r="OOH3003" s="81"/>
      <c r="OOI3003" s="160"/>
      <c r="OOJ3003" s="577"/>
      <c r="OOK3003" s="125"/>
      <c r="OOL3003" s="470"/>
      <c r="OOM3003" s="449"/>
      <c r="OON3003" s="462"/>
      <c r="OOO3003" s="299"/>
      <c r="OOP3003" s="81"/>
      <c r="OOQ3003" s="160"/>
      <c r="OOR3003" s="577"/>
      <c r="OOS3003" s="125"/>
      <c r="OOT3003" s="470"/>
      <c r="OOU3003" s="449"/>
      <c r="OOV3003" s="462"/>
      <c r="OOW3003" s="299"/>
      <c r="OOX3003" s="81"/>
      <c r="OOY3003" s="160"/>
      <c r="OOZ3003" s="577"/>
      <c r="OPA3003" s="125"/>
      <c r="OPB3003" s="470"/>
      <c r="OPC3003" s="449"/>
      <c r="OPD3003" s="462"/>
      <c r="OPE3003" s="299"/>
      <c r="OPF3003" s="81"/>
      <c r="OPG3003" s="160"/>
      <c r="OPH3003" s="577"/>
      <c r="OPI3003" s="125"/>
      <c r="OPJ3003" s="470"/>
      <c r="OPK3003" s="449"/>
      <c r="OPL3003" s="462"/>
      <c r="OPM3003" s="299"/>
      <c r="OPN3003" s="81"/>
      <c r="OPO3003" s="160"/>
      <c r="OPP3003" s="577"/>
      <c r="OPQ3003" s="125"/>
      <c r="OPR3003" s="470"/>
      <c r="OPS3003" s="449"/>
      <c r="OPT3003" s="462"/>
      <c r="OPU3003" s="299"/>
      <c r="OPV3003" s="81"/>
      <c r="OPW3003" s="160"/>
      <c r="OPX3003" s="577"/>
      <c r="OPY3003" s="125"/>
      <c r="OPZ3003" s="470"/>
      <c r="OQA3003" s="449"/>
      <c r="OQB3003" s="462"/>
      <c r="OQC3003" s="299"/>
      <c r="OQD3003" s="81"/>
      <c r="OQE3003" s="160"/>
      <c r="OQF3003" s="577"/>
      <c r="OQG3003" s="125"/>
      <c r="OQH3003" s="470"/>
      <c r="OQI3003" s="449"/>
      <c r="OQJ3003" s="462"/>
      <c r="OQK3003" s="299"/>
      <c r="OQL3003" s="81"/>
      <c r="OQM3003" s="160"/>
      <c r="OQN3003" s="577"/>
      <c r="OQO3003" s="125"/>
      <c r="OQP3003" s="470"/>
      <c r="OQQ3003" s="449"/>
      <c r="OQR3003" s="462"/>
      <c r="OQS3003" s="299"/>
      <c r="OQT3003" s="81"/>
      <c r="OQU3003" s="160"/>
      <c r="OQV3003" s="577"/>
      <c r="OQW3003" s="125"/>
      <c r="OQX3003" s="470"/>
      <c r="OQY3003" s="449"/>
      <c r="OQZ3003" s="462"/>
      <c r="ORA3003" s="299"/>
      <c r="ORB3003" s="81"/>
      <c r="ORC3003" s="160"/>
      <c r="ORD3003" s="577"/>
      <c r="ORE3003" s="125"/>
      <c r="ORF3003" s="470"/>
      <c r="ORG3003" s="449"/>
      <c r="ORH3003" s="462"/>
      <c r="ORI3003" s="299"/>
      <c r="ORJ3003" s="81"/>
      <c r="ORK3003" s="160"/>
      <c r="ORL3003" s="577"/>
      <c r="ORM3003" s="125"/>
      <c r="ORN3003" s="470"/>
      <c r="ORO3003" s="449"/>
      <c r="ORP3003" s="462"/>
      <c r="ORQ3003" s="299"/>
      <c r="ORR3003" s="81"/>
      <c r="ORS3003" s="160"/>
      <c r="ORT3003" s="577"/>
      <c r="ORU3003" s="125"/>
      <c r="ORV3003" s="470"/>
      <c r="ORW3003" s="449"/>
      <c r="ORX3003" s="462"/>
      <c r="ORY3003" s="299"/>
      <c r="ORZ3003" s="81"/>
      <c r="OSA3003" s="160"/>
      <c r="OSB3003" s="577"/>
      <c r="OSC3003" s="125"/>
      <c r="OSD3003" s="470"/>
      <c r="OSE3003" s="449"/>
      <c r="OSF3003" s="462"/>
      <c r="OSG3003" s="299"/>
      <c r="OSH3003" s="81"/>
      <c r="OSI3003" s="160"/>
      <c r="OSJ3003" s="577"/>
      <c r="OSK3003" s="125"/>
      <c r="OSL3003" s="470"/>
      <c r="OSM3003" s="449"/>
      <c r="OSN3003" s="462"/>
      <c r="OSO3003" s="299"/>
      <c r="OSP3003" s="81"/>
      <c r="OSQ3003" s="160"/>
      <c r="OSR3003" s="577"/>
      <c r="OSS3003" s="125"/>
      <c r="OST3003" s="470"/>
      <c r="OSU3003" s="449"/>
      <c r="OSV3003" s="462"/>
      <c r="OSW3003" s="299"/>
      <c r="OSX3003" s="81"/>
      <c r="OSY3003" s="160"/>
      <c r="OSZ3003" s="577"/>
      <c r="OTA3003" s="125"/>
      <c r="OTB3003" s="470"/>
      <c r="OTC3003" s="449"/>
      <c r="OTD3003" s="462"/>
      <c r="OTE3003" s="299"/>
      <c r="OTF3003" s="81"/>
      <c r="OTG3003" s="160"/>
      <c r="OTH3003" s="577"/>
      <c r="OTI3003" s="125"/>
      <c r="OTJ3003" s="470"/>
      <c r="OTK3003" s="449"/>
      <c r="OTL3003" s="462"/>
      <c r="OTM3003" s="299"/>
      <c r="OTN3003" s="81"/>
      <c r="OTO3003" s="160"/>
      <c r="OTP3003" s="577"/>
      <c r="OTQ3003" s="125"/>
      <c r="OTR3003" s="470"/>
      <c r="OTS3003" s="449"/>
      <c r="OTT3003" s="462"/>
      <c r="OTU3003" s="299"/>
      <c r="OTV3003" s="81"/>
      <c r="OTW3003" s="160"/>
      <c r="OTX3003" s="577"/>
      <c r="OTY3003" s="125"/>
      <c r="OTZ3003" s="470"/>
      <c r="OUA3003" s="449"/>
      <c r="OUB3003" s="462"/>
      <c r="OUC3003" s="299"/>
      <c r="OUD3003" s="81"/>
      <c r="OUE3003" s="160"/>
      <c r="OUF3003" s="577"/>
      <c r="OUG3003" s="125"/>
      <c r="OUH3003" s="470"/>
      <c r="OUI3003" s="449"/>
      <c r="OUJ3003" s="462"/>
      <c r="OUK3003" s="299"/>
      <c r="OUL3003" s="81"/>
      <c r="OUM3003" s="160"/>
      <c r="OUN3003" s="577"/>
      <c r="OUO3003" s="125"/>
      <c r="OUP3003" s="470"/>
      <c r="OUQ3003" s="449"/>
      <c r="OUR3003" s="462"/>
      <c r="OUS3003" s="299"/>
      <c r="OUT3003" s="81"/>
      <c r="OUU3003" s="160"/>
      <c r="OUV3003" s="577"/>
      <c r="OUW3003" s="125"/>
      <c r="OUX3003" s="470"/>
      <c r="OUY3003" s="449"/>
      <c r="OUZ3003" s="462"/>
      <c r="OVA3003" s="299"/>
      <c r="OVB3003" s="81"/>
      <c r="OVC3003" s="160"/>
      <c r="OVD3003" s="577"/>
      <c r="OVE3003" s="125"/>
      <c r="OVF3003" s="470"/>
      <c r="OVG3003" s="449"/>
      <c r="OVH3003" s="462"/>
      <c r="OVI3003" s="299"/>
      <c r="OVJ3003" s="81"/>
      <c r="OVK3003" s="160"/>
      <c r="OVL3003" s="577"/>
      <c r="OVM3003" s="125"/>
      <c r="OVN3003" s="470"/>
      <c r="OVO3003" s="449"/>
      <c r="OVP3003" s="462"/>
      <c r="OVQ3003" s="299"/>
      <c r="OVR3003" s="81"/>
      <c r="OVS3003" s="160"/>
      <c r="OVT3003" s="577"/>
      <c r="OVU3003" s="125"/>
      <c r="OVV3003" s="470"/>
      <c r="OVW3003" s="449"/>
      <c r="OVX3003" s="462"/>
      <c r="OVY3003" s="299"/>
      <c r="OVZ3003" s="81"/>
      <c r="OWA3003" s="160"/>
      <c r="OWB3003" s="577"/>
      <c r="OWC3003" s="125"/>
      <c r="OWD3003" s="470"/>
      <c r="OWE3003" s="449"/>
      <c r="OWF3003" s="462"/>
      <c r="OWG3003" s="299"/>
      <c r="OWH3003" s="81"/>
      <c r="OWI3003" s="160"/>
      <c r="OWJ3003" s="577"/>
      <c r="OWK3003" s="125"/>
      <c r="OWL3003" s="470"/>
      <c r="OWM3003" s="449"/>
      <c r="OWN3003" s="462"/>
      <c r="OWO3003" s="299"/>
      <c r="OWP3003" s="81"/>
      <c r="OWQ3003" s="160"/>
      <c r="OWR3003" s="577"/>
      <c r="OWS3003" s="125"/>
      <c r="OWT3003" s="470"/>
      <c r="OWU3003" s="449"/>
      <c r="OWV3003" s="462"/>
      <c r="OWW3003" s="299"/>
      <c r="OWX3003" s="81"/>
      <c r="OWY3003" s="160"/>
      <c r="OWZ3003" s="577"/>
      <c r="OXA3003" s="125"/>
      <c r="OXB3003" s="470"/>
      <c r="OXC3003" s="449"/>
      <c r="OXD3003" s="462"/>
      <c r="OXE3003" s="299"/>
      <c r="OXF3003" s="81"/>
      <c r="OXG3003" s="160"/>
      <c r="OXH3003" s="577"/>
      <c r="OXI3003" s="125"/>
      <c r="OXJ3003" s="470"/>
      <c r="OXK3003" s="449"/>
      <c r="OXL3003" s="462"/>
      <c r="OXM3003" s="299"/>
      <c r="OXN3003" s="81"/>
      <c r="OXO3003" s="160"/>
      <c r="OXP3003" s="577"/>
      <c r="OXQ3003" s="125"/>
      <c r="OXR3003" s="470"/>
      <c r="OXS3003" s="449"/>
      <c r="OXT3003" s="462"/>
      <c r="OXU3003" s="299"/>
      <c r="OXV3003" s="81"/>
      <c r="OXW3003" s="160"/>
      <c r="OXX3003" s="577"/>
      <c r="OXY3003" s="125"/>
      <c r="OXZ3003" s="470"/>
      <c r="OYA3003" s="449"/>
      <c r="OYB3003" s="462"/>
      <c r="OYC3003" s="299"/>
      <c r="OYD3003" s="81"/>
      <c r="OYE3003" s="160"/>
      <c r="OYF3003" s="577"/>
      <c r="OYG3003" s="125"/>
      <c r="OYH3003" s="470"/>
      <c r="OYI3003" s="449"/>
      <c r="OYJ3003" s="462"/>
      <c r="OYK3003" s="299"/>
      <c r="OYL3003" s="81"/>
      <c r="OYM3003" s="160"/>
      <c r="OYN3003" s="577"/>
      <c r="OYO3003" s="125"/>
      <c r="OYP3003" s="470"/>
      <c r="OYQ3003" s="449"/>
      <c r="OYR3003" s="462"/>
      <c r="OYS3003" s="299"/>
      <c r="OYT3003" s="81"/>
      <c r="OYU3003" s="160"/>
      <c r="OYV3003" s="577"/>
      <c r="OYW3003" s="125"/>
      <c r="OYX3003" s="470"/>
      <c r="OYY3003" s="449"/>
      <c r="OYZ3003" s="462"/>
      <c r="OZA3003" s="299"/>
      <c r="OZB3003" s="81"/>
      <c r="OZC3003" s="160"/>
      <c r="OZD3003" s="577"/>
      <c r="OZE3003" s="125"/>
      <c r="OZF3003" s="470"/>
      <c r="OZG3003" s="449"/>
      <c r="OZH3003" s="462"/>
      <c r="OZI3003" s="299"/>
      <c r="OZJ3003" s="81"/>
      <c r="OZK3003" s="160"/>
      <c r="OZL3003" s="577"/>
      <c r="OZM3003" s="125"/>
      <c r="OZN3003" s="470"/>
      <c r="OZO3003" s="449"/>
      <c r="OZP3003" s="462"/>
      <c r="OZQ3003" s="299"/>
      <c r="OZR3003" s="81"/>
      <c r="OZS3003" s="160"/>
      <c r="OZT3003" s="577"/>
      <c r="OZU3003" s="125"/>
      <c r="OZV3003" s="470"/>
      <c r="OZW3003" s="449"/>
      <c r="OZX3003" s="462"/>
      <c r="OZY3003" s="299"/>
      <c r="OZZ3003" s="81"/>
      <c r="PAA3003" s="160"/>
      <c r="PAB3003" s="577"/>
      <c r="PAC3003" s="125"/>
      <c r="PAD3003" s="470"/>
      <c r="PAE3003" s="449"/>
      <c r="PAF3003" s="462"/>
      <c r="PAG3003" s="299"/>
      <c r="PAH3003" s="81"/>
      <c r="PAI3003" s="160"/>
      <c r="PAJ3003" s="577"/>
      <c r="PAK3003" s="125"/>
      <c r="PAL3003" s="470"/>
      <c r="PAM3003" s="449"/>
      <c r="PAN3003" s="462"/>
      <c r="PAO3003" s="299"/>
      <c r="PAP3003" s="81"/>
      <c r="PAQ3003" s="160"/>
      <c r="PAR3003" s="577"/>
      <c r="PAS3003" s="125"/>
      <c r="PAT3003" s="470"/>
      <c r="PAU3003" s="449"/>
      <c r="PAV3003" s="462"/>
      <c r="PAW3003" s="299"/>
      <c r="PAX3003" s="81"/>
      <c r="PAY3003" s="160"/>
      <c r="PAZ3003" s="577"/>
      <c r="PBA3003" s="125"/>
      <c r="PBB3003" s="470"/>
      <c r="PBC3003" s="449"/>
      <c r="PBD3003" s="462"/>
      <c r="PBE3003" s="299"/>
      <c r="PBF3003" s="81"/>
      <c r="PBG3003" s="160"/>
      <c r="PBH3003" s="577"/>
      <c r="PBI3003" s="125"/>
      <c r="PBJ3003" s="470"/>
      <c r="PBK3003" s="449"/>
      <c r="PBL3003" s="462"/>
      <c r="PBM3003" s="299"/>
      <c r="PBN3003" s="81"/>
      <c r="PBO3003" s="160"/>
      <c r="PBP3003" s="577"/>
      <c r="PBQ3003" s="125"/>
      <c r="PBR3003" s="470"/>
      <c r="PBS3003" s="449"/>
      <c r="PBT3003" s="462"/>
      <c r="PBU3003" s="299"/>
      <c r="PBV3003" s="81"/>
      <c r="PBW3003" s="160"/>
      <c r="PBX3003" s="577"/>
      <c r="PBY3003" s="125"/>
      <c r="PBZ3003" s="470"/>
      <c r="PCA3003" s="449"/>
      <c r="PCB3003" s="462"/>
      <c r="PCC3003" s="299"/>
      <c r="PCD3003" s="81"/>
      <c r="PCE3003" s="160"/>
      <c r="PCF3003" s="577"/>
      <c r="PCG3003" s="125"/>
      <c r="PCH3003" s="470"/>
      <c r="PCI3003" s="449"/>
      <c r="PCJ3003" s="462"/>
      <c r="PCK3003" s="299"/>
      <c r="PCL3003" s="81"/>
      <c r="PCM3003" s="160"/>
      <c r="PCN3003" s="577"/>
      <c r="PCO3003" s="125"/>
      <c r="PCP3003" s="470"/>
      <c r="PCQ3003" s="449"/>
      <c r="PCR3003" s="462"/>
      <c r="PCS3003" s="299"/>
      <c r="PCT3003" s="81"/>
      <c r="PCU3003" s="160"/>
      <c r="PCV3003" s="577"/>
      <c r="PCW3003" s="125"/>
      <c r="PCX3003" s="470"/>
      <c r="PCY3003" s="449"/>
      <c r="PCZ3003" s="462"/>
      <c r="PDA3003" s="299"/>
      <c r="PDB3003" s="81"/>
      <c r="PDC3003" s="160"/>
      <c r="PDD3003" s="577"/>
      <c r="PDE3003" s="125"/>
      <c r="PDF3003" s="470"/>
      <c r="PDG3003" s="449"/>
      <c r="PDH3003" s="462"/>
      <c r="PDI3003" s="299"/>
      <c r="PDJ3003" s="81"/>
      <c r="PDK3003" s="160"/>
      <c r="PDL3003" s="577"/>
      <c r="PDM3003" s="125"/>
      <c r="PDN3003" s="470"/>
      <c r="PDO3003" s="449"/>
      <c r="PDP3003" s="462"/>
      <c r="PDQ3003" s="299"/>
      <c r="PDR3003" s="81"/>
      <c r="PDS3003" s="160"/>
      <c r="PDT3003" s="577"/>
      <c r="PDU3003" s="125"/>
      <c r="PDV3003" s="470"/>
      <c r="PDW3003" s="449"/>
      <c r="PDX3003" s="462"/>
      <c r="PDY3003" s="299"/>
      <c r="PDZ3003" s="81"/>
      <c r="PEA3003" s="160"/>
      <c r="PEB3003" s="577"/>
      <c r="PEC3003" s="125"/>
      <c r="PED3003" s="470"/>
      <c r="PEE3003" s="449"/>
      <c r="PEF3003" s="462"/>
      <c r="PEG3003" s="299"/>
      <c r="PEH3003" s="81"/>
      <c r="PEI3003" s="160"/>
      <c r="PEJ3003" s="577"/>
      <c r="PEK3003" s="125"/>
      <c r="PEL3003" s="470"/>
      <c r="PEM3003" s="449"/>
      <c r="PEN3003" s="462"/>
      <c r="PEO3003" s="299"/>
      <c r="PEP3003" s="81"/>
      <c r="PEQ3003" s="160"/>
      <c r="PER3003" s="577"/>
      <c r="PES3003" s="125"/>
      <c r="PET3003" s="470"/>
      <c r="PEU3003" s="449"/>
      <c r="PEV3003" s="462"/>
      <c r="PEW3003" s="299"/>
      <c r="PEX3003" s="81"/>
      <c r="PEY3003" s="160"/>
      <c r="PEZ3003" s="577"/>
      <c r="PFA3003" s="125"/>
      <c r="PFB3003" s="470"/>
      <c r="PFC3003" s="449"/>
      <c r="PFD3003" s="462"/>
      <c r="PFE3003" s="299"/>
      <c r="PFF3003" s="81"/>
      <c r="PFG3003" s="160"/>
      <c r="PFH3003" s="577"/>
      <c r="PFI3003" s="125"/>
      <c r="PFJ3003" s="470"/>
      <c r="PFK3003" s="449"/>
      <c r="PFL3003" s="462"/>
      <c r="PFM3003" s="299"/>
      <c r="PFN3003" s="81"/>
      <c r="PFO3003" s="160"/>
      <c r="PFP3003" s="577"/>
      <c r="PFQ3003" s="125"/>
      <c r="PFR3003" s="470"/>
      <c r="PFS3003" s="449"/>
      <c r="PFT3003" s="462"/>
      <c r="PFU3003" s="299"/>
      <c r="PFV3003" s="81"/>
      <c r="PFW3003" s="160"/>
      <c r="PFX3003" s="577"/>
      <c r="PFY3003" s="125"/>
      <c r="PFZ3003" s="470"/>
      <c r="PGA3003" s="449"/>
      <c r="PGB3003" s="462"/>
      <c r="PGC3003" s="299"/>
      <c r="PGD3003" s="81"/>
      <c r="PGE3003" s="160"/>
      <c r="PGF3003" s="577"/>
      <c r="PGG3003" s="125"/>
      <c r="PGH3003" s="470"/>
      <c r="PGI3003" s="449"/>
      <c r="PGJ3003" s="462"/>
      <c r="PGK3003" s="299"/>
      <c r="PGL3003" s="81"/>
      <c r="PGM3003" s="160"/>
      <c r="PGN3003" s="577"/>
      <c r="PGO3003" s="125"/>
      <c r="PGP3003" s="470"/>
      <c r="PGQ3003" s="449"/>
      <c r="PGR3003" s="462"/>
      <c r="PGS3003" s="299"/>
      <c r="PGT3003" s="81"/>
      <c r="PGU3003" s="160"/>
      <c r="PGV3003" s="577"/>
      <c r="PGW3003" s="125"/>
      <c r="PGX3003" s="470"/>
      <c r="PGY3003" s="449"/>
      <c r="PGZ3003" s="462"/>
      <c r="PHA3003" s="299"/>
      <c r="PHB3003" s="81"/>
      <c r="PHC3003" s="160"/>
      <c r="PHD3003" s="577"/>
      <c r="PHE3003" s="125"/>
      <c r="PHF3003" s="470"/>
      <c r="PHG3003" s="449"/>
      <c r="PHH3003" s="462"/>
      <c r="PHI3003" s="299"/>
      <c r="PHJ3003" s="81"/>
      <c r="PHK3003" s="160"/>
      <c r="PHL3003" s="577"/>
      <c r="PHM3003" s="125"/>
      <c r="PHN3003" s="470"/>
      <c r="PHO3003" s="449"/>
      <c r="PHP3003" s="462"/>
      <c r="PHQ3003" s="299"/>
      <c r="PHR3003" s="81"/>
      <c r="PHS3003" s="160"/>
      <c r="PHT3003" s="577"/>
      <c r="PHU3003" s="125"/>
      <c r="PHV3003" s="470"/>
      <c r="PHW3003" s="449"/>
      <c r="PHX3003" s="462"/>
      <c r="PHY3003" s="299"/>
      <c r="PHZ3003" s="81"/>
      <c r="PIA3003" s="160"/>
      <c r="PIB3003" s="577"/>
      <c r="PIC3003" s="125"/>
      <c r="PID3003" s="470"/>
      <c r="PIE3003" s="449"/>
      <c r="PIF3003" s="462"/>
      <c r="PIG3003" s="299"/>
      <c r="PIH3003" s="81"/>
      <c r="PII3003" s="160"/>
      <c r="PIJ3003" s="577"/>
      <c r="PIK3003" s="125"/>
      <c r="PIL3003" s="470"/>
      <c r="PIM3003" s="449"/>
      <c r="PIN3003" s="462"/>
      <c r="PIO3003" s="299"/>
      <c r="PIP3003" s="81"/>
      <c r="PIQ3003" s="160"/>
      <c r="PIR3003" s="577"/>
      <c r="PIS3003" s="125"/>
      <c r="PIT3003" s="470"/>
      <c r="PIU3003" s="449"/>
      <c r="PIV3003" s="462"/>
      <c r="PIW3003" s="299"/>
      <c r="PIX3003" s="81"/>
      <c r="PIY3003" s="160"/>
      <c r="PIZ3003" s="577"/>
      <c r="PJA3003" s="125"/>
      <c r="PJB3003" s="470"/>
      <c r="PJC3003" s="449"/>
      <c r="PJD3003" s="462"/>
      <c r="PJE3003" s="299"/>
      <c r="PJF3003" s="81"/>
      <c r="PJG3003" s="160"/>
      <c r="PJH3003" s="577"/>
      <c r="PJI3003" s="125"/>
      <c r="PJJ3003" s="470"/>
      <c r="PJK3003" s="449"/>
      <c r="PJL3003" s="462"/>
      <c r="PJM3003" s="299"/>
      <c r="PJN3003" s="81"/>
      <c r="PJO3003" s="160"/>
      <c r="PJP3003" s="577"/>
      <c r="PJQ3003" s="125"/>
      <c r="PJR3003" s="470"/>
      <c r="PJS3003" s="449"/>
      <c r="PJT3003" s="462"/>
      <c r="PJU3003" s="299"/>
      <c r="PJV3003" s="81"/>
      <c r="PJW3003" s="160"/>
      <c r="PJX3003" s="577"/>
      <c r="PJY3003" s="125"/>
      <c r="PJZ3003" s="470"/>
      <c r="PKA3003" s="449"/>
      <c r="PKB3003" s="462"/>
      <c r="PKC3003" s="299"/>
      <c r="PKD3003" s="81"/>
      <c r="PKE3003" s="160"/>
      <c r="PKF3003" s="577"/>
      <c r="PKG3003" s="125"/>
      <c r="PKH3003" s="470"/>
      <c r="PKI3003" s="449"/>
      <c r="PKJ3003" s="462"/>
      <c r="PKK3003" s="299"/>
      <c r="PKL3003" s="81"/>
      <c r="PKM3003" s="160"/>
      <c r="PKN3003" s="577"/>
      <c r="PKO3003" s="125"/>
      <c r="PKP3003" s="470"/>
      <c r="PKQ3003" s="449"/>
      <c r="PKR3003" s="462"/>
      <c r="PKS3003" s="299"/>
      <c r="PKT3003" s="81"/>
      <c r="PKU3003" s="160"/>
      <c r="PKV3003" s="577"/>
      <c r="PKW3003" s="125"/>
      <c r="PKX3003" s="470"/>
      <c r="PKY3003" s="449"/>
      <c r="PKZ3003" s="462"/>
      <c r="PLA3003" s="299"/>
      <c r="PLB3003" s="81"/>
      <c r="PLC3003" s="160"/>
      <c r="PLD3003" s="577"/>
      <c r="PLE3003" s="125"/>
      <c r="PLF3003" s="470"/>
      <c r="PLG3003" s="449"/>
      <c r="PLH3003" s="462"/>
      <c r="PLI3003" s="299"/>
      <c r="PLJ3003" s="81"/>
      <c r="PLK3003" s="160"/>
      <c r="PLL3003" s="577"/>
      <c r="PLM3003" s="125"/>
      <c r="PLN3003" s="470"/>
      <c r="PLO3003" s="449"/>
      <c r="PLP3003" s="462"/>
      <c r="PLQ3003" s="299"/>
      <c r="PLR3003" s="81"/>
      <c r="PLS3003" s="160"/>
      <c r="PLT3003" s="577"/>
      <c r="PLU3003" s="125"/>
      <c r="PLV3003" s="470"/>
      <c r="PLW3003" s="449"/>
      <c r="PLX3003" s="462"/>
      <c r="PLY3003" s="299"/>
      <c r="PLZ3003" s="81"/>
      <c r="PMA3003" s="160"/>
      <c r="PMB3003" s="577"/>
      <c r="PMC3003" s="125"/>
      <c r="PMD3003" s="470"/>
      <c r="PME3003" s="449"/>
      <c r="PMF3003" s="462"/>
      <c r="PMG3003" s="299"/>
      <c r="PMH3003" s="81"/>
      <c r="PMI3003" s="160"/>
      <c r="PMJ3003" s="577"/>
      <c r="PMK3003" s="125"/>
      <c r="PML3003" s="470"/>
      <c r="PMM3003" s="449"/>
      <c r="PMN3003" s="462"/>
      <c r="PMO3003" s="299"/>
      <c r="PMP3003" s="81"/>
      <c r="PMQ3003" s="160"/>
      <c r="PMR3003" s="577"/>
      <c r="PMS3003" s="125"/>
      <c r="PMT3003" s="470"/>
      <c r="PMU3003" s="449"/>
      <c r="PMV3003" s="462"/>
      <c r="PMW3003" s="299"/>
      <c r="PMX3003" s="81"/>
      <c r="PMY3003" s="160"/>
      <c r="PMZ3003" s="577"/>
      <c r="PNA3003" s="125"/>
      <c r="PNB3003" s="470"/>
      <c r="PNC3003" s="449"/>
      <c r="PND3003" s="462"/>
      <c r="PNE3003" s="299"/>
      <c r="PNF3003" s="81"/>
      <c r="PNG3003" s="160"/>
      <c r="PNH3003" s="577"/>
      <c r="PNI3003" s="125"/>
      <c r="PNJ3003" s="470"/>
      <c r="PNK3003" s="449"/>
      <c r="PNL3003" s="462"/>
      <c r="PNM3003" s="299"/>
      <c r="PNN3003" s="81"/>
      <c r="PNO3003" s="160"/>
      <c r="PNP3003" s="577"/>
      <c r="PNQ3003" s="125"/>
      <c r="PNR3003" s="470"/>
      <c r="PNS3003" s="449"/>
      <c r="PNT3003" s="462"/>
      <c r="PNU3003" s="299"/>
      <c r="PNV3003" s="81"/>
      <c r="PNW3003" s="160"/>
      <c r="PNX3003" s="577"/>
      <c r="PNY3003" s="125"/>
      <c r="PNZ3003" s="470"/>
      <c r="POA3003" s="449"/>
      <c r="POB3003" s="462"/>
      <c r="POC3003" s="299"/>
      <c r="POD3003" s="81"/>
      <c r="POE3003" s="160"/>
      <c r="POF3003" s="577"/>
      <c r="POG3003" s="125"/>
      <c r="POH3003" s="470"/>
      <c r="POI3003" s="449"/>
      <c r="POJ3003" s="462"/>
      <c r="POK3003" s="299"/>
      <c r="POL3003" s="81"/>
      <c r="POM3003" s="160"/>
      <c r="PON3003" s="577"/>
      <c r="POO3003" s="125"/>
      <c r="POP3003" s="470"/>
      <c r="POQ3003" s="449"/>
      <c r="POR3003" s="462"/>
      <c r="POS3003" s="299"/>
      <c r="POT3003" s="81"/>
      <c r="POU3003" s="160"/>
      <c r="POV3003" s="577"/>
      <c r="POW3003" s="125"/>
      <c r="POX3003" s="470"/>
      <c r="POY3003" s="449"/>
      <c r="POZ3003" s="462"/>
      <c r="PPA3003" s="299"/>
      <c r="PPB3003" s="81"/>
      <c r="PPC3003" s="160"/>
      <c r="PPD3003" s="577"/>
      <c r="PPE3003" s="125"/>
      <c r="PPF3003" s="470"/>
      <c r="PPG3003" s="449"/>
      <c r="PPH3003" s="462"/>
      <c r="PPI3003" s="299"/>
      <c r="PPJ3003" s="81"/>
      <c r="PPK3003" s="160"/>
      <c r="PPL3003" s="577"/>
      <c r="PPM3003" s="125"/>
      <c r="PPN3003" s="470"/>
      <c r="PPO3003" s="449"/>
      <c r="PPP3003" s="462"/>
      <c r="PPQ3003" s="299"/>
      <c r="PPR3003" s="81"/>
      <c r="PPS3003" s="160"/>
      <c r="PPT3003" s="577"/>
      <c r="PPU3003" s="125"/>
      <c r="PPV3003" s="470"/>
      <c r="PPW3003" s="449"/>
      <c r="PPX3003" s="462"/>
      <c r="PPY3003" s="299"/>
      <c r="PPZ3003" s="81"/>
      <c r="PQA3003" s="160"/>
      <c r="PQB3003" s="577"/>
      <c r="PQC3003" s="125"/>
      <c r="PQD3003" s="470"/>
      <c r="PQE3003" s="449"/>
      <c r="PQF3003" s="462"/>
      <c r="PQG3003" s="299"/>
      <c r="PQH3003" s="81"/>
      <c r="PQI3003" s="160"/>
      <c r="PQJ3003" s="577"/>
      <c r="PQK3003" s="125"/>
      <c r="PQL3003" s="470"/>
      <c r="PQM3003" s="449"/>
      <c r="PQN3003" s="462"/>
      <c r="PQO3003" s="299"/>
      <c r="PQP3003" s="81"/>
      <c r="PQQ3003" s="160"/>
      <c r="PQR3003" s="577"/>
      <c r="PQS3003" s="125"/>
      <c r="PQT3003" s="470"/>
      <c r="PQU3003" s="449"/>
      <c r="PQV3003" s="462"/>
      <c r="PQW3003" s="299"/>
      <c r="PQX3003" s="81"/>
      <c r="PQY3003" s="160"/>
      <c r="PQZ3003" s="577"/>
      <c r="PRA3003" s="125"/>
      <c r="PRB3003" s="470"/>
      <c r="PRC3003" s="449"/>
      <c r="PRD3003" s="462"/>
      <c r="PRE3003" s="299"/>
      <c r="PRF3003" s="81"/>
      <c r="PRG3003" s="160"/>
      <c r="PRH3003" s="577"/>
      <c r="PRI3003" s="125"/>
      <c r="PRJ3003" s="470"/>
      <c r="PRK3003" s="449"/>
      <c r="PRL3003" s="462"/>
      <c r="PRM3003" s="299"/>
      <c r="PRN3003" s="81"/>
      <c r="PRO3003" s="160"/>
      <c r="PRP3003" s="577"/>
      <c r="PRQ3003" s="125"/>
      <c r="PRR3003" s="470"/>
      <c r="PRS3003" s="449"/>
      <c r="PRT3003" s="462"/>
      <c r="PRU3003" s="299"/>
      <c r="PRV3003" s="81"/>
      <c r="PRW3003" s="160"/>
      <c r="PRX3003" s="577"/>
      <c r="PRY3003" s="125"/>
      <c r="PRZ3003" s="470"/>
      <c r="PSA3003" s="449"/>
      <c r="PSB3003" s="462"/>
      <c r="PSC3003" s="299"/>
      <c r="PSD3003" s="81"/>
      <c r="PSE3003" s="160"/>
      <c r="PSF3003" s="577"/>
      <c r="PSG3003" s="125"/>
      <c r="PSH3003" s="470"/>
      <c r="PSI3003" s="449"/>
      <c r="PSJ3003" s="462"/>
      <c r="PSK3003" s="299"/>
      <c r="PSL3003" s="81"/>
      <c r="PSM3003" s="160"/>
      <c r="PSN3003" s="577"/>
      <c r="PSO3003" s="125"/>
      <c r="PSP3003" s="470"/>
      <c r="PSQ3003" s="449"/>
      <c r="PSR3003" s="462"/>
      <c r="PSS3003" s="299"/>
      <c r="PST3003" s="81"/>
      <c r="PSU3003" s="160"/>
      <c r="PSV3003" s="577"/>
      <c r="PSW3003" s="125"/>
      <c r="PSX3003" s="470"/>
      <c r="PSY3003" s="449"/>
      <c r="PSZ3003" s="462"/>
      <c r="PTA3003" s="299"/>
      <c r="PTB3003" s="81"/>
      <c r="PTC3003" s="160"/>
      <c r="PTD3003" s="577"/>
      <c r="PTE3003" s="125"/>
      <c r="PTF3003" s="470"/>
      <c r="PTG3003" s="449"/>
      <c r="PTH3003" s="462"/>
      <c r="PTI3003" s="299"/>
      <c r="PTJ3003" s="81"/>
      <c r="PTK3003" s="160"/>
      <c r="PTL3003" s="577"/>
      <c r="PTM3003" s="125"/>
      <c r="PTN3003" s="470"/>
      <c r="PTO3003" s="449"/>
      <c r="PTP3003" s="462"/>
      <c r="PTQ3003" s="299"/>
      <c r="PTR3003" s="81"/>
      <c r="PTS3003" s="160"/>
      <c r="PTT3003" s="577"/>
      <c r="PTU3003" s="125"/>
      <c r="PTV3003" s="470"/>
      <c r="PTW3003" s="449"/>
      <c r="PTX3003" s="462"/>
      <c r="PTY3003" s="299"/>
      <c r="PTZ3003" s="81"/>
      <c r="PUA3003" s="160"/>
      <c r="PUB3003" s="577"/>
      <c r="PUC3003" s="125"/>
      <c r="PUD3003" s="470"/>
      <c r="PUE3003" s="449"/>
      <c r="PUF3003" s="462"/>
      <c r="PUG3003" s="299"/>
      <c r="PUH3003" s="81"/>
      <c r="PUI3003" s="160"/>
      <c r="PUJ3003" s="577"/>
      <c r="PUK3003" s="125"/>
      <c r="PUL3003" s="470"/>
      <c r="PUM3003" s="449"/>
      <c r="PUN3003" s="462"/>
      <c r="PUO3003" s="299"/>
      <c r="PUP3003" s="81"/>
      <c r="PUQ3003" s="160"/>
      <c r="PUR3003" s="577"/>
      <c r="PUS3003" s="125"/>
      <c r="PUT3003" s="470"/>
      <c r="PUU3003" s="449"/>
      <c r="PUV3003" s="462"/>
      <c r="PUW3003" s="299"/>
      <c r="PUX3003" s="81"/>
      <c r="PUY3003" s="160"/>
      <c r="PUZ3003" s="577"/>
      <c r="PVA3003" s="125"/>
      <c r="PVB3003" s="470"/>
      <c r="PVC3003" s="449"/>
      <c r="PVD3003" s="462"/>
      <c r="PVE3003" s="299"/>
      <c r="PVF3003" s="81"/>
      <c r="PVG3003" s="160"/>
      <c r="PVH3003" s="577"/>
      <c r="PVI3003" s="125"/>
      <c r="PVJ3003" s="470"/>
      <c r="PVK3003" s="449"/>
      <c r="PVL3003" s="462"/>
      <c r="PVM3003" s="299"/>
      <c r="PVN3003" s="81"/>
      <c r="PVO3003" s="160"/>
      <c r="PVP3003" s="577"/>
      <c r="PVQ3003" s="125"/>
      <c r="PVR3003" s="470"/>
      <c r="PVS3003" s="449"/>
      <c r="PVT3003" s="462"/>
      <c r="PVU3003" s="299"/>
      <c r="PVV3003" s="81"/>
      <c r="PVW3003" s="160"/>
      <c r="PVX3003" s="577"/>
      <c r="PVY3003" s="125"/>
      <c r="PVZ3003" s="470"/>
      <c r="PWA3003" s="449"/>
      <c r="PWB3003" s="462"/>
      <c r="PWC3003" s="299"/>
      <c r="PWD3003" s="81"/>
      <c r="PWE3003" s="160"/>
      <c r="PWF3003" s="577"/>
      <c r="PWG3003" s="125"/>
      <c r="PWH3003" s="470"/>
      <c r="PWI3003" s="449"/>
      <c r="PWJ3003" s="462"/>
      <c r="PWK3003" s="299"/>
      <c r="PWL3003" s="81"/>
      <c r="PWM3003" s="160"/>
      <c r="PWN3003" s="577"/>
      <c r="PWO3003" s="125"/>
      <c r="PWP3003" s="470"/>
      <c r="PWQ3003" s="449"/>
      <c r="PWR3003" s="462"/>
      <c r="PWS3003" s="299"/>
      <c r="PWT3003" s="81"/>
      <c r="PWU3003" s="160"/>
      <c r="PWV3003" s="577"/>
      <c r="PWW3003" s="125"/>
      <c r="PWX3003" s="470"/>
      <c r="PWY3003" s="449"/>
      <c r="PWZ3003" s="462"/>
      <c r="PXA3003" s="299"/>
      <c r="PXB3003" s="81"/>
      <c r="PXC3003" s="160"/>
      <c r="PXD3003" s="577"/>
      <c r="PXE3003" s="125"/>
      <c r="PXF3003" s="470"/>
      <c r="PXG3003" s="449"/>
      <c r="PXH3003" s="462"/>
      <c r="PXI3003" s="299"/>
      <c r="PXJ3003" s="81"/>
      <c r="PXK3003" s="160"/>
      <c r="PXL3003" s="577"/>
      <c r="PXM3003" s="125"/>
      <c r="PXN3003" s="470"/>
      <c r="PXO3003" s="449"/>
      <c r="PXP3003" s="462"/>
      <c r="PXQ3003" s="299"/>
      <c r="PXR3003" s="81"/>
      <c r="PXS3003" s="160"/>
      <c r="PXT3003" s="577"/>
      <c r="PXU3003" s="125"/>
      <c r="PXV3003" s="470"/>
      <c r="PXW3003" s="449"/>
      <c r="PXX3003" s="462"/>
      <c r="PXY3003" s="299"/>
      <c r="PXZ3003" s="81"/>
      <c r="PYA3003" s="160"/>
      <c r="PYB3003" s="577"/>
      <c r="PYC3003" s="125"/>
      <c r="PYD3003" s="470"/>
      <c r="PYE3003" s="449"/>
      <c r="PYF3003" s="462"/>
      <c r="PYG3003" s="299"/>
      <c r="PYH3003" s="81"/>
      <c r="PYI3003" s="160"/>
      <c r="PYJ3003" s="577"/>
      <c r="PYK3003" s="125"/>
      <c r="PYL3003" s="470"/>
      <c r="PYM3003" s="449"/>
      <c r="PYN3003" s="462"/>
      <c r="PYO3003" s="299"/>
      <c r="PYP3003" s="81"/>
      <c r="PYQ3003" s="160"/>
      <c r="PYR3003" s="577"/>
      <c r="PYS3003" s="125"/>
      <c r="PYT3003" s="470"/>
      <c r="PYU3003" s="449"/>
      <c r="PYV3003" s="462"/>
      <c r="PYW3003" s="299"/>
      <c r="PYX3003" s="81"/>
      <c r="PYY3003" s="160"/>
      <c r="PYZ3003" s="577"/>
      <c r="PZA3003" s="125"/>
      <c r="PZB3003" s="470"/>
      <c r="PZC3003" s="449"/>
      <c r="PZD3003" s="462"/>
      <c r="PZE3003" s="299"/>
      <c r="PZF3003" s="81"/>
      <c r="PZG3003" s="160"/>
      <c r="PZH3003" s="577"/>
      <c r="PZI3003" s="125"/>
      <c r="PZJ3003" s="470"/>
      <c r="PZK3003" s="449"/>
      <c r="PZL3003" s="462"/>
      <c r="PZM3003" s="299"/>
      <c r="PZN3003" s="81"/>
      <c r="PZO3003" s="160"/>
      <c r="PZP3003" s="577"/>
      <c r="PZQ3003" s="125"/>
      <c r="PZR3003" s="470"/>
      <c r="PZS3003" s="449"/>
      <c r="PZT3003" s="462"/>
      <c r="PZU3003" s="299"/>
      <c r="PZV3003" s="81"/>
      <c r="PZW3003" s="160"/>
      <c r="PZX3003" s="577"/>
      <c r="PZY3003" s="125"/>
      <c r="PZZ3003" s="470"/>
      <c r="QAA3003" s="449"/>
      <c r="QAB3003" s="462"/>
      <c r="QAC3003" s="299"/>
      <c r="QAD3003" s="81"/>
      <c r="QAE3003" s="160"/>
      <c r="QAF3003" s="577"/>
      <c r="QAG3003" s="125"/>
      <c r="QAH3003" s="470"/>
      <c r="QAI3003" s="449"/>
      <c r="QAJ3003" s="462"/>
      <c r="QAK3003" s="299"/>
      <c r="QAL3003" s="81"/>
      <c r="QAM3003" s="160"/>
      <c r="QAN3003" s="577"/>
      <c r="QAO3003" s="125"/>
      <c r="QAP3003" s="470"/>
      <c r="QAQ3003" s="449"/>
      <c r="QAR3003" s="462"/>
      <c r="QAS3003" s="299"/>
      <c r="QAT3003" s="81"/>
      <c r="QAU3003" s="160"/>
      <c r="QAV3003" s="577"/>
      <c r="QAW3003" s="125"/>
      <c r="QAX3003" s="470"/>
      <c r="QAY3003" s="449"/>
      <c r="QAZ3003" s="462"/>
      <c r="QBA3003" s="299"/>
      <c r="QBB3003" s="81"/>
      <c r="QBC3003" s="160"/>
      <c r="QBD3003" s="577"/>
      <c r="QBE3003" s="125"/>
      <c r="QBF3003" s="470"/>
      <c r="QBG3003" s="449"/>
      <c r="QBH3003" s="462"/>
      <c r="QBI3003" s="299"/>
      <c r="QBJ3003" s="81"/>
      <c r="QBK3003" s="160"/>
      <c r="QBL3003" s="577"/>
      <c r="QBM3003" s="125"/>
      <c r="QBN3003" s="470"/>
      <c r="QBO3003" s="449"/>
      <c r="QBP3003" s="462"/>
      <c r="QBQ3003" s="299"/>
      <c r="QBR3003" s="81"/>
      <c r="QBS3003" s="160"/>
      <c r="QBT3003" s="577"/>
      <c r="QBU3003" s="125"/>
      <c r="QBV3003" s="470"/>
      <c r="QBW3003" s="449"/>
      <c r="QBX3003" s="462"/>
      <c r="QBY3003" s="299"/>
      <c r="QBZ3003" s="81"/>
      <c r="QCA3003" s="160"/>
      <c r="QCB3003" s="577"/>
      <c r="QCC3003" s="125"/>
      <c r="QCD3003" s="470"/>
      <c r="QCE3003" s="449"/>
      <c r="QCF3003" s="462"/>
      <c r="QCG3003" s="299"/>
      <c r="QCH3003" s="81"/>
      <c r="QCI3003" s="160"/>
      <c r="QCJ3003" s="577"/>
      <c r="QCK3003" s="125"/>
      <c r="QCL3003" s="470"/>
      <c r="QCM3003" s="449"/>
      <c r="QCN3003" s="462"/>
      <c r="QCO3003" s="299"/>
      <c r="QCP3003" s="81"/>
      <c r="QCQ3003" s="160"/>
      <c r="QCR3003" s="577"/>
      <c r="QCS3003" s="125"/>
      <c r="QCT3003" s="470"/>
      <c r="QCU3003" s="449"/>
      <c r="QCV3003" s="462"/>
      <c r="QCW3003" s="299"/>
      <c r="QCX3003" s="81"/>
      <c r="QCY3003" s="160"/>
      <c r="QCZ3003" s="577"/>
      <c r="QDA3003" s="125"/>
      <c r="QDB3003" s="470"/>
      <c r="QDC3003" s="449"/>
      <c r="QDD3003" s="462"/>
      <c r="QDE3003" s="299"/>
      <c r="QDF3003" s="81"/>
      <c r="QDG3003" s="160"/>
      <c r="QDH3003" s="577"/>
      <c r="QDI3003" s="125"/>
      <c r="QDJ3003" s="470"/>
      <c r="QDK3003" s="449"/>
      <c r="QDL3003" s="462"/>
      <c r="QDM3003" s="299"/>
      <c r="QDN3003" s="81"/>
      <c r="QDO3003" s="160"/>
      <c r="QDP3003" s="577"/>
      <c r="QDQ3003" s="125"/>
      <c r="QDR3003" s="470"/>
      <c r="QDS3003" s="449"/>
      <c r="QDT3003" s="462"/>
      <c r="QDU3003" s="299"/>
      <c r="QDV3003" s="81"/>
      <c r="QDW3003" s="160"/>
      <c r="QDX3003" s="577"/>
      <c r="QDY3003" s="125"/>
      <c r="QDZ3003" s="470"/>
      <c r="QEA3003" s="449"/>
      <c r="QEB3003" s="462"/>
      <c r="QEC3003" s="299"/>
      <c r="QED3003" s="81"/>
      <c r="QEE3003" s="160"/>
      <c r="QEF3003" s="577"/>
      <c r="QEG3003" s="125"/>
      <c r="QEH3003" s="470"/>
      <c r="QEI3003" s="449"/>
      <c r="QEJ3003" s="462"/>
      <c r="QEK3003" s="299"/>
      <c r="QEL3003" s="81"/>
      <c r="QEM3003" s="160"/>
      <c r="QEN3003" s="577"/>
      <c r="QEO3003" s="125"/>
      <c r="QEP3003" s="470"/>
      <c r="QEQ3003" s="449"/>
      <c r="QER3003" s="462"/>
      <c r="QES3003" s="299"/>
      <c r="QET3003" s="81"/>
      <c r="QEU3003" s="160"/>
      <c r="QEV3003" s="577"/>
      <c r="QEW3003" s="125"/>
      <c r="QEX3003" s="470"/>
      <c r="QEY3003" s="449"/>
      <c r="QEZ3003" s="462"/>
      <c r="QFA3003" s="299"/>
      <c r="QFB3003" s="81"/>
      <c r="QFC3003" s="160"/>
      <c r="QFD3003" s="577"/>
      <c r="QFE3003" s="125"/>
      <c r="QFF3003" s="470"/>
      <c r="QFG3003" s="449"/>
      <c r="QFH3003" s="462"/>
      <c r="QFI3003" s="299"/>
      <c r="QFJ3003" s="81"/>
      <c r="QFK3003" s="160"/>
      <c r="QFL3003" s="577"/>
      <c r="QFM3003" s="125"/>
      <c r="QFN3003" s="470"/>
      <c r="QFO3003" s="449"/>
      <c r="QFP3003" s="462"/>
      <c r="QFQ3003" s="299"/>
      <c r="QFR3003" s="81"/>
      <c r="QFS3003" s="160"/>
      <c r="QFT3003" s="577"/>
      <c r="QFU3003" s="125"/>
      <c r="QFV3003" s="470"/>
      <c r="QFW3003" s="449"/>
      <c r="QFX3003" s="462"/>
      <c r="QFY3003" s="299"/>
      <c r="QFZ3003" s="81"/>
      <c r="QGA3003" s="160"/>
      <c r="QGB3003" s="577"/>
      <c r="QGC3003" s="125"/>
      <c r="QGD3003" s="470"/>
      <c r="QGE3003" s="449"/>
      <c r="QGF3003" s="462"/>
      <c r="QGG3003" s="299"/>
      <c r="QGH3003" s="81"/>
      <c r="QGI3003" s="160"/>
      <c r="QGJ3003" s="577"/>
      <c r="QGK3003" s="125"/>
      <c r="QGL3003" s="470"/>
      <c r="QGM3003" s="449"/>
      <c r="QGN3003" s="462"/>
      <c r="QGO3003" s="299"/>
      <c r="QGP3003" s="81"/>
      <c r="QGQ3003" s="160"/>
      <c r="QGR3003" s="577"/>
      <c r="QGS3003" s="125"/>
      <c r="QGT3003" s="470"/>
      <c r="QGU3003" s="449"/>
      <c r="QGV3003" s="462"/>
      <c r="QGW3003" s="299"/>
      <c r="QGX3003" s="81"/>
      <c r="QGY3003" s="160"/>
      <c r="QGZ3003" s="577"/>
      <c r="QHA3003" s="125"/>
      <c r="QHB3003" s="470"/>
      <c r="QHC3003" s="449"/>
      <c r="QHD3003" s="462"/>
      <c r="QHE3003" s="299"/>
      <c r="QHF3003" s="81"/>
      <c r="QHG3003" s="160"/>
      <c r="QHH3003" s="577"/>
      <c r="QHI3003" s="125"/>
      <c r="QHJ3003" s="470"/>
      <c r="QHK3003" s="449"/>
      <c r="QHL3003" s="462"/>
      <c r="QHM3003" s="299"/>
      <c r="QHN3003" s="81"/>
      <c r="QHO3003" s="160"/>
      <c r="QHP3003" s="577"/>
      <c r="QHQ3003" s="125"/>
      <c r="QHR3003" s="470"/>
      <c r="QHS3003" s="449"/>
      <c r="QHT3003" s="462"/>
      <c r="QHU3003" s="299"/>
      <c r="QHV3003" s="81"/>
      <c r="QHW3003" s="160"/>
      <c r="QHX3003" s="577"/>
      <c r="QHY3003" s="125"/>
      <c r="QHZ3003" s="470"/>
      <c r="QIA3003" s="449"/>
      <c r="QIB3003" s="462"/>
      <c r="QIC3003" s="299"/>
      <c r="QID3003" s="81"/>
      <c r="QIE3003" s="160"/>
      <c r="QIF3003" s="577"/>
      <c r="QIG3003" s="125"/>
      <c r="QIH3003" s="470"/>
      <c r="QII3003" s="449"/>
      <c r="QIJ3003" s="462"/>
      <c r="QIK3003" s="299"/>
      <c r="QIL3003" s="81"/>
      <c r="QIM3003" s="160"/>
      <c r="QIN3003" s="577"/>
      <c r="QIO3003" s="125"/>
      <c r="QIP3003" s="470"/>
      <c r="QIQ3003" s="449"/>
      <c r="QIR3003" s="462"/>
      <c r="QIS3003" s="299"/>
      <c r="QIT3003" s="81"/>
      <c r="QIU3003" s="160"/>
      <c r="QIV3003" s="577"/>
      <c r="QIW3003" s="125"/>
      <c r="QIX3003" s="470"/>
      <c r="QIY3003" s="449"/>
      <c r="QIZ3003" s="462"/>
      <c r="QJA3003" s="299"/>
      <c r="QJB3003" s="81"/>
      <c r="QJC3003" s="160"/>
      <c r="QJD3003" s="577"/>
      <c r="QJE3003" s="125"/>
      <c r="QJF3003" s="470"/>
      <c r="QJG3003" s="449"/>
      <c r="QJH3003" s="462"/>
      <c r="QJI3003" s="299"/>
      <c r="QJJ3003" s="81"/>
      <c r="QJK3003" s="160"/>
      <c r="QJL3003" s="577"/>
      <c r="QJM3003" s="125"/>
      <c r="QJN3003" s="470"/>
      <c r="QJO3003" s="449"/>
      <c r="QJP3003" s="462"/>
      <c r="QJQ3003" s="299"/>
      <c r="QJR3003" s="81"/>
      <c r="QJS3003" s="160"/>
      <c r="QJT3003" s="577"/>
      <c r="QJU3003" s="125"/>
      <c r="QJV3003" s="470"/>
      <c r="QJW3003" s="449"/>
      <c r="QJX3003" s="462"/>
      <c r="QJY3003" s="299"/>
      <c r="QJZ3003" s="81"/>
      <c r="QKA3003" s="160"/>
      <c r="QKB3003" s="577"/>
      <c r="QKC3003" s="125"/>
      <c r="QKD3003" s="470"/>
      <c r="QKE3003" s="449"/>
      <c r="QKF3003" s="462"/>
      <c r="QKG3003" s="299"/>
      <c r="QKH3003" s="81"/>
      <c r="QKI3003" s="160"/>
      <c r="QKJ3003" s="577"/>
      <c r="QKK3003" s="125"/>
      <c r="QKL3003" s="470"/>
      <c r="QKM3003" s="449"/>
      <c r="QKN3003" s="462"/>
      <c r="QKO3003" s="299"/>
      <c r="QKP3003" s="81"/>
      <c r="QKQ3003" s="160"/>
      <c r="QKR3003" s="577"/>
      <c r="QKS3003" s="125"/>
      <c r="QKT3003" s="470"/>
      <c r="QKU3003" s="449"/>
      <c r="QKV3003" s="462"/>
      <c r="QKW3003" s="299"/>
      <c r="QKX3003" s="81"/>
      <c r="QKY3003" s="160"/>
      <c r="QKZ3003" s="577"/>
      <c r="QLA3003" s="125"/>
      <c r="QLB3003" s="470"/>
      <c r="QLC3003" s="449"/>
      <c r="QLD3003" s="462"/>
      <c r="QLE3003" s="299"/>
      <c r="QLF3003" s="81"/>
      <c r="QLG3003" s="160"/>
      <c r="QLH3003" s="577"/>
      <c r="QLI3003" s="125"/>
      <c r="QLJ3003" s="470"/>
      <c r="QLK3003" s="449"/>
      <c r="QLL3003" s="462"/>
      <c r="QLM3003" s="299"/>
      <c r="QLN3003" s="81"/>
      <c r="QLO3003" s="160"/>
      <c r="QLP3003" s="577"/>
      <c r="QLQ3003" s="125"/>
      <c r="QLR3003" s="470"/>
      <c r="QLS3003" s="449"/>
      <c r="QLT3003" s="462"/>
      <c r="QLU3003" s="299"/>
      <c r="QLV3003" s="81"/>
      <c r="QLW3003" s="160"/>
      <c r="QLX3003" s="577"/>
      <c r="QLY3003" s="125"/>
      <c r="QLZ3003" s="470"/>
      <c r="QMA3003" s="449"/>
      <c r="QMB3003" s="462"/>
      <c r="QMC3003" s="299"/>
      <c r="QMD3003" s="81"/>
      <c r="QME3003" s="160"/>
      <c r="QMF3003" s="577"/>
      <c r="QMG3003" s="125"/>
      <c r="QMH3003" s="470"/>
      <c r="QMI3003" s="449"/>
      <c r="QMJ3003" s="462"/>
      <c r="QMK3003" s="299"/>
      <c r="QML3003" s="81"/>
      <c r="QMM3003" s="160"/>
      <c r="QMN3003" s="577"/>
      <c r="QMO3003" s="125"/>
      <c r="QMP3003" s="470"/>
      <c r="QMQ3003" s="449"/>
      <c r="QMR3003" s="462"/>
      <c r="QMS3003" s="299"/>
      <c r="QMT3003" s="81"/>
      <c r="QMU3003" s="160"/>
      <c r="QMV3003" s="577"/>
      <c r="QMW3003" s="125"/>
      <c r="QMX3003" s="470"/>
      <c r="QMY3003" s="449"/>
      <c r="QMZ3003" s="462"/>
      <c r="QNA3003" s="299"/>
      <c r="QNB3003" s="81"/>
      <c r="QNC3003" s="160"/>
      <c r="QND3003" s="577"/>
      <c r="QNE3003" s="125"/>
      <c r="QNF3003" s="470"/>
      <c r="QNG3003" s="449"/>
      <c r="QNH3003" s="462"/>
      <c r="QNI3003" s="299"/>
      <c r="QNJ3003" s="81"/>
      <c r="QNK3003" s="160"/>
      <c r="QNL3003" s="577"/>
      <c r="QNM3003" s="125"/>
      <c r="QNN3003" s="470"/>
      <c r="QNO3003" s="449"/>
      <c r="QNP3003" s="462"/>
      <c r="QNQ3003" s="299"/>
      <c r="QNR3003" s="81"/>
      <c r="QNS3003" s="160"/>
      <c r="QNT3003" s="577"/>
      <c r="QNU3003" s="125"/>
      <c r="QNV3003" s="470"/>
      <c r="QNW3003" s="449"/>
      <c r="QNX3003" s="462"/>
      <c r="QNY3003" s="299"/>
      <c r="QNZ3003" s="81"/>
      <c r="QOA3003" s="160"/>
      <c r="QOB3003" s="577"/>
      <c r="QOC3003" s="125"/>
      <c r="QOD3003" s="470"/>
      <c r="QOE3003" s="449"/>
      <c r="QOF3003" s="462"/>
      <c r="QOG3003" s="299"/>
      <c r="QOH3003" s="81"/>
      <c r="QOI3003" s="160"/>
      <c r="QOJ3003" s="577"/>
      <c r="QOK3003" s="125"/>
      <c r="QOL3003" s="470"/>
      <c r="QOM3003" s="449"/>
      <c r="QON3003" s="462"/>
      <c r="QOO3003" s="299"/>
      <c r="QOP3003" s="81"/>
      <c r="QOQ3003" s="160"/>
      <c r="QOR3003" s="577"/>
      <c r="QOS3003" s="125"/>
      <c r="QOT3003" s="470"/>
      <c r="QOU3003" s="449"/>
      <c r="QOV3003" s="462"/>
      <c r="QOW3003" s="299"/>
      <c r="QOX3003" s="81"/>
      <c r="QOY3003" s="160"/>
      <c r="QOZ3003" s="577"/>
      <c r="QPA3003" s="125"/>
      <c r="QPB3003" s="470"/>
      <c r="QPC3003" s="449"/>
      <c r="QPD3003" s="462"/>
      <c r="QPE3003" s="299"/>
      <c r="QPF3003" s="81"/>
      <c r="QPG3003" s="160"/>
      <c r="QPH3003" s="577"/>
      <c r="QPI3003" s="125"/>
      <c r="QPJ3003" s="470"/>
      <c r="QPK3003" s="449"/>
      <c r="QPL3003" s="462"/>
      <c r="QPM3003" s="299"/>
      <c r="QPN3003" s="81"/>
      <c r="QPO3003" s="160"/>
      <c r="QPP3003" s="577"/>
      <c r="QPQ3003" s="125"/>
      <c r="QPR3003" s="470"/>
      <c r="QPS3003" s="449"/>
      <c r="QPT3003" s="462"/>
      <c r="QPU3003" s="299"/>
      <c r="QPV3003" s="81"/>
      <c r="QPW3003" s="160"/>
      <c r="QPX3003" s="577"/>
      <c r="QPY3003" s="125"/>
      <c r="QPZ3003" s="470"/>
      <c r="QQA3003" s="449"/>
      <c r="QQB3003" s="462"/>
      <c r="QQC3003" s="299"/>
      <c r="QQD3003" s="81"/>
      <c r="QQE3003" s="160"/>
      <c r="QQF3003" s="577"/>
      <c r="QQG3003" s="125"/>
      <c r="QQH3003" s="470"/>
      <c r="QQI3003" s="449"/>
      <c r="QQJ3003" s="462"/>
      <c r="QQK3003" s="299"/>
      <c r="QQL3003" s="81"/>
      <c r="QQM3003" s="160"/>
      <c r="QQN3003" s="577"/>
      <c r="QQO3003" s="125"/>
      <c r="QQP3003" s="470"/>
      <c r="QQQ3003" s="449"/>
      <c r="QQR3003" s="462"/>
      <c r="QQS3003" s="299"/>
      <c r="QQT3003" s="81"/>
      <c r="QQU3003" s="160"/>
      <c r="QQV3003" s="577"/>
      <c r="QQW3003" s="125"/>
      <c r="QQX3003" s="470"/>
      <c r="QQY3003" s="449"/>
      <c r="QQZ3003" s="462"/>
      <c r="QRA3003" s="299"/>
      <c r="QRB3003" s="81"/>
      <c r="QRC3003" s="160"/>
      <c r="QRD3003" s="577"/>
      <c r="QRE3003" s="125"/>
      <c r="QRF3003" s="470"/>
      <c r="QRG3003" s="449"/>
      <c r="QRH3003" s="462"/>
      <c r="QRI3003" s="299"/>
      <c r="QRJ3003" s="81"/>
      <c r="QRK3003" s="160"/>
      <c r="QRL3003" s="577"/>
      <c r="QRM3003" s="125"/>
      <c r="QRN3003" s="470"/>
      <c r="QRO3003" s="449"/>
      <c r="QRP3003" s="462"/>
      <c r="QRQ3003" s="299"/>
      <c r="QRR3003" s="81"/>
      <c r="QRS3003" s="160"/>
      <c r="QRT3003" s="577"/>
      <c r="QRU3003" s="125"/>
      <c r="QRV3003" s="470"/>
      <c r="QRW3003" s="449"/>
      <c r="QRX3003" s="462"/>
      <c r="QRY3003" s="299"/>
      <c r="QRZ3003" s="81"/>
      <c r="QSA3003" s="160"/>
      <c r="QSB3003" s="577"/>
      <c r="QSC3003" s="125"/>
      <c r="QSD3003" s="470"/>
      <c r="QSE3003" s="449"/>
      <c r="QSF3003" s="462"/>
      <c r="QSG3003" s="299"/>
      <c r="QSH3003" s="81"/>
      <c r="QSI3003" s="160"/>
      <c r="QSJ3003" s="577"/>
      <c r="QSK3003" s="125"/>
      <c r="QSL3003" s="470"/>
      <c r="QSM3003" s="449"/>
      <c r="QSN3003" s="462"/>
      <c r="QSO3003" s="299"/>
      <c r="QSP3003" s="81"/>
      <c r="QSQ3003" s="160"/>
      <c r="QSR3003" s="577"/>
      <c r="QSS3003" s="125"/>
      <c r="QST3003" s="470"/>
      <c r="QSU3003" s="449"/>
      <c r="QSV3003" s="462"/>
      <c r="QSW3003" s="299"/>
      <c r="QSX3003" s="81"/>
      <c r="QSY3003" s="160"/>
      <c r="QSZ3003" s="577"/>
      <c r="QTA3003" s="125"/>
      <c r="QTB3003" s="470"/>
      <c r="QTC3003" s="449"/>
      <c r="QTD3003" s="462"/>
      <c r="QTE3003" s="299"/>
      <c r="QTF3003" s="81"/>
      <c r="QTG3003" s="160"/>
      <c r="QTH3003" s="577"/>
      <c r="QTI3003" s="125"/>
      <c r="QTJ3003" s="470"/>
      <c r="QTK3003" s="449"/>
      <c r="QTL3003" s="462"/>
      <c r="QTM3003" s="299"/>
      <c r="QTN3003" s="81"/>
      <c r="QTO3003" s="160"/>
      <c r="QTP3003" s="577"/>
      <c r="QTQ3003" s="125"/>
      <c r="QTR3003" s="470"/>
      <c r="QTS3003" s="449"/>
      <c r="QTT3003" s="462"/>
      <c r="QTU3003" s="299"/>
      <c r="QTV3003" s="81"/>
      <c r="QTW3003" s="160"/>
      <c r="QTX3003" s="577"/>
      <c r="QTY3003" s="125"/>
      <c r="QTZ3003" s="470"/>
      <c r="QUA3003" s="449"/>
      <c r="QUB3003" s="462"/>
      <c r="QUC3003" s="299"/>
      <c r="QUD3003" s="81"/>
      <c r="QUE3003" s="160"/>
      <c r="QUF3003" s="577"/>
      <c r="QUG3003" s="125"/>
      <c r="QUH3003" s="470"/>
      <c r="QUI3003" s="449"/>
      <c r="QUJ3003" s="462"/>
      <c r="QUK3003" s="299"/>
      <c r="QUL3003" s="81"/>
      <c r="QUM3003" s="160"/>
      <c r="QUN3003" s="577"/>
      <c r="QUO3003" s="125"/>
      <c r="QUP3003" s="470"/>
      <c r="QUQ3003" s="449"/>
      <c r="QUR3003" s="462"/>
      <c r="QUS3003" s="299"/>
      <c r="QUT3003" s="81"/>
      <c r="QUU3003" s="160"/>
      <c r="QUV3003" s="577"/>
      <c r="QUW3003" s="125"/>
      <c r="QUX3003" s="470"/>
      <c r="QUY3003" s="449"/>
      <c r="QUZ3003" s="462"/>
      <c r="QVA3003" s="299"/>
      <c r="QVB3003" s="81"/>
      <c r="QVC3003" s="160"/>
      <c r="QVD3003" s="577"/>
      <c r="QVE3003" s="125"/>
      <c r="QVF3003" s="470"/>
      <c r="QVG3003" s="449"/>
      <c r="QVH3003" s="462"/>
      <c r="QVI3003" s="299"/>
      <c r="QVJ3003" s="81"/>
      <c r="QVK3003" s="160"/>
      <c r="QVL3003" s="577"/>
      <c r="QVM3003" s="125"/>
      <c r="QVN3003" s="470"/>
      <c r="QVO3003" s="449"/>
      <c r="QVP3003" s="462"/>
      <c r="QVQ3003" s="299"/>
      <c r="QVR3003" s="81"/>
      <c r="QVS3003" s="160"/>
      <c r="QVT3003" s="577"/>
      <c r="QVU3003" s="125"/>
      <c r="QVV3003" s="470"/>
      <c r="QVW3003" s="449"/>
      <c r="QVX3003" s="462"/>
      <c r="QVY3003" s="299"/>
      <c r="QVZ3003" s="81"/>
      <c r="QWA3003" s="160"/>
      <c r="QWB3003" s="577"/>
      <c r="QWC3003" s="125"/>
      <c r="QWD3003" s="470"/>
      <c r="QWE3003" s="449"/>
      <c r="QWF3003" s="462"/>
      <c r="QWG3003" s="299"/>
      <c r="QWH3003" s="81"/>
      <c r="QWI3003" s="160"/>
      <c r="QWJ3003" s="577"/>
      <c r="QWK3003" s="125"/>
      <c r="QWL3003" s="470"/>
      <c r="QWM3003" s="449"/>
      <c r="QWN3003" s="462"/>
      <c r="QWO3003" s="299"/>
      <c r="QWP3003" s="81"/>
      <c r="QWQ3003" s="160"/>
      <c r="QWR3003" s="577"/>
      <c r="QWS3003" s="125"/>
      <c r="QWT3003" s="470"/>
      <c r="QWU3003" s="449"/>
      <c r="QWV3003" s="462"/>
      <c r="QWW3003" s="299"/>
      <c r="QWX3003" s="81"/>
      <c r="QWY3003" s="160"/>
      <c r="QWZ3003" s="577"/>
      <c r="QXA3003" s="125"/>
      <c r="QXB3003" s="470"/>
      <c r="QXC3003" s="449"/>
      <c r="QXD3003" s="462"/>
      <c r="QXE3003" s="299"/>
      <c r="QXF3003" s="81"/>
      <c r="QXG3003" s="160"/>
      <c r="QXH3003" s="577"/>
      <c r="QXI3003" s="125"/>
      <c r="QXJ3003" s="470"/>
      <c r="QXK3003" s="449"/>
      <c r="QXL3003" s="462"/>
      <c r="QXM3003" s="299"/>
      <c r="QXN3003" s="81"/>
      <c r="QXO3003" s="160"/>
      <c r="QXP3003" s="577"/>
      <c r="QXQ3003" s="125"/>
      <c r="QXR3003" s="470"/>
      <c r="QXS3003" s="449"/>
      <c r="QXT3003" s="462"/>
      <c r="QXU3003" s="299"/>
      <c r="QXV3003" s="81"/>
      <c r="QXW3003" s="160"/>
      <c r="QXX3003" s="577"/>
      <c r="QXY3003" s="125"/>
      <c r="QXZ3003" s="470"/>
      <c r="QYA3003" s="449"/>
      <c r="QYB3003" s="462"/>
      <c r="QYC3003" s="299"/>
      <c r="QYD3003" s="81"/>
      <c r="QYE3003" s="160"/>
      <c r="QYF3003" s="577"/>
      <c r="QYG3003" s="125"/>
      <c r="QYH3003" s="470"/>
      <c r="QYI3003" s="449"/>
      <c r="QYJ3003" s="462"/>
      <c r="QYK3003" s="299"/>
      <c r="QYL3003" s="81"/>
      <c r="QYM3003" s="160"/>
      <c r="QYN3003" s="577"/>
      <c r="QYO3003" s="125"/>
      <c r="QYP3003" s="470"/>
      <c r="QYQ3003" s="449"/>
      <c r="QYR3003" s="462"/>
      <c r="QYS3003" s="299"/>
      <c r="QYT3003" s="81"/>
      <c r="QYU3003" s="160"/>
      <c r="QYV3003" s="577"/>
      <c r="QYW3003" s="125"/>
      <c r="QYX3003" s="470"/>
      <c r="QYY3003" s="449"/>
      <c r="QYZ3003" s="462"/>
      <c r="QZA3003" s="299"/>
      <c r="QZB3003" s="81"/>
      <c r="QZC3003" s="160"/>
      <c r="QZD3003" s="577"/>
      <c r="QZE3003" s="125"/>
      <c r="QZF3003" s="470"/>
      <c r="QZG3003" s="449"/>
      <c r="QZH3003" s="462"/>
      <c r="QZI3003" s="299"/>
      <c r="QZJ3003" s="81"/>
      <c r="QZK3003" s="160"/>
      <c r="QZL3003" s="577"/>
      <c r="QZM3003" s="125"/>
      <c r="QZN3003" s="470"/>
      <c r="QZO3003" s="449"/>
      <c r="QZP3003" s="462"/>
      <c r="QZQ3003" s="299"/>
      <c r="QZR3003" s="81"/>
      <c r="QZS3003" s="160"/>
      <c r="QZT3003" s="577"/>
      <c r="QZU3003" s="125"/>
      <c r="QZV3003" s="470"/>
      <c r="QZW3003" s="449"/>
      <c r="QZX3003" s="462"/>
      <c r="QZY3003" s="299"/>
      <c r="QZZ3003" s="81"/>
      <c r="RAA3003" s="160"/>
      <c r="RAB3003" s="577"/>
      <c r="RAC3003" s="125"/>
      <c r="RAD3003" s="470"/>
      <c r="RAE3003" s="449"/>
      <c r="RAF3003" s="462"/>
      <c r="RAG3003" s="299"/>
      <c r="RAH3003" s="81"/>
      <c r="RAI3003" s="160"/>
      <c r="RAJ3003" s="577"/>
      <c r="RAK3003" s="125"/>
      <c r="RAL3003" s="470"/>
      <c r="RAM3003" s="449"/>
      <c r="RAN3003" s="462"/>
      <c r="RAO3003" s="299"/>
      <c r="RAP3003" s="81"/>
      <c r="RAQ3003" s="160"/>
      <c r="RAR3003" s="577"/>
      <c r="RAS3003" s="125"/>
      <c r="RAT3003" s="470"/>
      <c r="RAU3003" s="449"/>
      <c r="RAV3003" s="462"/>
      <c r="RAW3003" s="299"/>
      <c r="RAX3003" s="81"/>
      <c r="RAY3003" s="160"/>
      <c r="RAZ3003" s="577"/>
      <c r="RBA3003" s="125"/>
      <c r="RBB3003" s="470"/>
      <c r="RBC3003" s="449"/>
      <c r="RBD3003" s="462"/>
      <c r="RBE3003" s="299"/>
      <c r="RBF3003" s="81"/>
      <c r="RBG3003" s="160"/>
      <c r="RBH3003" s="577"/>
      <c r="RBI3003" s="125"/>
      <c r="RBJ3003" s="470"/>
      <c r="RBK3003" s="449"/>
      <c r="RBL3003" s="462"/>
      <c r="RBM3003" s="299"/>
      <c r="RBN3003" s="81"/>
      <c r="RBO3003" s="160"/>
      <c r="RBP3003" s="577"/>
      <c r="RBQ3003" s="125"/>
      <c r="RBR3003" s="470"/>
      <c r="RBS3003" s="449"/>
      <c r="RBT3003" s="462"/>
      <c r="RBU3003" s="299"/>
      <c r="RBV3003" s="81"/>
      <c r="RBW3003" s="160"/>
      <c r="RBX3003" s="577"/>
      <c r="RBY3003" s="125"/>
      <c r="RBZ3003" s="470"/>
      <c r="RCA3003" s="449"/>
      <c r="RCB3003" s="462"/>
      <c r="RCC3003" s="299"/>
      <c r="RCD3003" s="81"/>
      <c r="RCE3003" s="160"/>
      <c r="RCF3003" s="577"/>
      <c r="RCG3003" s="125"/>
      <c r="RCH3003" s="470"/>
      <c r="RCI3003" s="449"/>
      <c r="RCJ3003" s="462"/>
      <c r="RCK3003" s="299"/>
      <c r="RCL3003" s="81"/>
      <c r="RCM3003" s="160"/>
      <c r="RCN3003" s="577"/>
      <c r="RCO3003" s="125"/>
      <c r="RCP3003" s="470"/>
      <c r="RCQ3003" s="449"/>
      <c r="RCR3003" s="462"/>
      <c r="RCS3003" s="299"/>
      <c r="RCT3003" s="81"/>
      <c r="RCU3003" s="160"/>
      <c r="RCV3003" s="577"/>
      <c r="RCW3003" s="125"/>
      <c r="RCX3003" s="470"/>
      <c r="RCY3003" s="449"/>
      <c r="RCZ3003" s="462"/>
      <c r="RDA3003" s="299"/>
      <c r="RDB3003" s="81"/>
      <c r="RDC3003" s="160"/>
      <c r="RDD3003" s="577"/>
      <c r="RDE3003" s="125"/>
      <c r="RDF3003" s="470"/>
      <c r="RDG3003" s="449"/>
      <c r="RDH3003" s="462"/>
      <c r="RDI3003" s="299"/>
      <c r="RDJ3003" s="81"/>
      <c r="RDK3003" s="160"/>
      <c r="RDL3003" s="577"/>
      <c r="RDM3003" s="125"/>
      <c r="RDN3003" s="470"/>
      <c r="RDO3003" s="449"/>
      <c r="RDP3003" s="462"/>
      <c r="RDQ3003" s="299"/>
      <c r="RDR3003" s="81"/>
      <c r="RDS3003" s="160"/>
      <c r="RDT3003" s="577"/>
      <c r="RDU3003" s="125"/>
      <c r="RDV3003" s="470"/>
      <c r="RDW3003" s="449"/>
      <c r="RDX3003" s="462"/>
      <c r="RDY3003" s="299"/>
      <c r="RDZ3003" s="81"/>
      <c r="REA3003" s="160"/>
      <c r="REB3003" s="577"/>
      <c r="REC3003" s="125"/>
      <c r="RED3003" s="470"/>
      <c r="REE3003" s="449"/>
      <c r="REF3003" s="462"/>
      <c r="REG3003" s="299"/>
      <c r="REH3003" s="81"/>
      <c r="REI3003" s="160"/>
      <c r="REJ3003" s="577"/>
      <c r="REK3003" s="125"/>
      <c r="REL3003" s="470"/>
      <c r="REM3003" s="449"/>
      <c r="REN3003" s="462"/>
      <c r="REO3003" s="299"/>
      <c r="REP3003" s="81"/>
      <c r="REQ3003" s="160"/>
      <c r="RER3003" s="577"/>
      <c r="RES3003" s="125"/>
      <c r="RET3003" s="470"/>
      <c r="REU3003" s="449"/>
      <c r="REV3003" s="462"/>
      <c r="REW3003" s="299"/>
      <c r="REX3003" s="81"/>
      <c r="REY3003" s="160"/>
      <c r="REZ3003" s="577"/>
      <c r="RFA3003" s="125"/>
      <c r="RFB3003" s="470"/>
      <c r="RFC3003" s="449"/>
      <c r="RFD3003" s="462"/>
      <c r="RFE3003" s="299"/>
      <c r="RFF3003" s="81"/>
      <c r="RFG3003" s="160"/>
      <c r="RFH3003" s="577"/>
      <c r="RFI3003" s="125"/>
      <c r="RFJ3003" s="470"/>
      <c r="RFK3003" s="449"/>
      <c r="RFL3003" s="462"/>
      <c r="RFM3003" s="299"/>
      <c r="RFN3003" s="81"/>
      <c r="RFO3003" s="160"/>
      <c r="RFP3003" s="577"/>
      <c r="RFQ3003" s="125"/>
      <c r="RFR3003" s="470"/>
      <c r="RFS3003" s="449"/>
      <c r="RFT3003" s="462"/>
      <c r="RFU3003" s="299"/>
      <c r="RFV3003" s="81"/>
      <c r="RFW3003" s="160"/>
      <c r="RFX3003" s="577"/>
      <c r="RFY3003" s="125"/>
      <c r="RFZ3003" s="470"/>
      <c r="RGA3003" s="449"/>
      <c r="RGB3003" s="462"/>
      <c r="RGC3003" s="299"/>
      <c r="RGD3003" s="81"/>
      <c r="RGE3003" s="160"/>
      <c r="RGF3003" s="577"/>
      <c r="RGG3003" s="125"/>
      <c r="RGH3003" s="470"/>
      <c r="RGI3003" s="449"/>
      <c r="RGJ3003" s="462"/>
      <c r="RGK3003" s="299"/>
      <c r="RGL3003" s="81"/>
      <c r="RGM3003" s="160"/>
      <c r="RGN3003" s="577"/>
      <c r="RGO3003" s="125"/>
      <c r="RGP3003" s="470"/>
      <c r="RGQ3003" s="449"/>
      <c r="RGR3003" s="462"/>
      <c r="RGS3003" s="299"/>
      <c r="RGT3003" s="81"/>
      <c r="RGU3003" s="160"/>
      <c r="RGV3003" s="577"/>
      <c r="RGW3003" s="125"/>
      <c r="RGX3003" s="470"/>
      <c r="RGY3003" s="449"/>
      <c r="RGZ3003" s="462"/>
      <c r="RHA3003" s="299"/>
      <c r="RHB3003" s="81"/>
      <c r="RHC3003" s="160"/>
      <c r="RHD3003" s="577"/>
      <c r="RHE3003" s="125"/>
      <c r="RHF3003" s="470"/>
      <c r="RHG3003" s="449"/>
      <c r="RHH3003" s="462"/>
      <c r="RHI3003" s="299"/>
      <c r="RHJ3003" s="81"/>
      <c r="RHK3003" s="160"/>
      <c r="RHL3003" s="577"/>
      <c r="RHM3003" s="125"/>
      <c r="RHN3003" s="470"/>
      <c r="RHO3003" s="449"/>
      <c r="RHP3003" s="462"/>
      <c r="RHQ3003" s="299"/>
      <c r="RHR3003" s="81"/>
      <c r="RHS3003" s="160"/>
      <c r="RHT3003" s="577"/>
      <c r="RHU3003" s="125"/>
      <c r="RHV3003" s="470"/>
      <c r="RHW3003" s="449"/>
      <c r="RHX3003" s="462"/>
      <c r="RHY3003" s="299"/>
      <c r="RHZ3003" s="81"/>
      <c r="RIA3003" s="160"/>
      <c r="RIB3003" s="577"/>
      <c r="RIC3003" s="125"/>
      <c r="RID3003" s="470"/>
      <c r="RIE3003" s="449"/>
      <c r="RIF3003" s="462"/>
      <c r="RIG3003" s="299"/>
      <c r="RIH3003" s="81"/>
      <c r="RII3003" s="160"/>
      <c r="RIJ3003" s="577"/>
      <c r="RIK3003" s="125"/>
      <c r="RIL3003" s="470"/>
      <c r="RIM3003" s="449"/>
      <c r="RIN3003" s="462"/>
      <c r="RIO3003" s="299"/>
      <c r="RIP3003" s="81"/>
      <c r="RIQ3003" s="160"/>
      <c r="RIR3003" s="577"/>
      <c r="RIS3003" s="125"/>
      <c r="RIT3003" s="470"/>
      <c r="RIU3003" s="449"/>
      <c r="RIV3003" s="462"/>
      <c r="RIW3003" s="299"/>
      <c r="RIX3003" s="81"/>
      <c r="RIY3003" s="160"/>
      <c r="RIZ3003" s="577"/>
      <c r="RJA3003" s="125"/>
      <c r="RJB3003" s="470"/>
      <c r="RJC3003" s="449"/>
      <c r="RJD3003" s="462"/>
      <c r="RJE3003" s="299"/>
      <c r="RJF3003" s="81"/>
      <c r="RJG3003" s="160"/>
      <c r="RJH3003" s="577"/>
      <c r="RJI3003" s="125"/>
      <c r="RJJ3003" s="470"/>
      <c r="RJK3003" s="449"/>
      <c r="RJL3003" s="462"/>
      <c r="RJM3003" s="299"/>
      <c r="RJN3003" s="81"/>
      <c r="RJO3003" s="160"/>
      <c r="RJP3003" s="577"/>
      <c r="RJQ3003" s="125"/>
      <c r="RJR3003" s="470"/>
      <c r="RJS3003" s="449"/>
      <c r="RJT3003" s="462"/>
      <c r="RJU3003" s="299"/>
      <c r="RJV3003" s="81"/>
      <c r="RJW3003" s="160"/>
      <c r="RJX3003" s="577"/>
      <c r="RJY3003" s="125"/>
      <c r="RJZ3003" s="470"/>
      <c r="RKA3003" s="449"/>
      <c r="RKB3003" s="462"/>
      <c r="RKC3003" s="299"/>
      <c r="RKD3003" s="81"/>
      <c r="RKE3003" s="160"/>
      <c r="RKF3003" s="577"/>
      <c r="RKG3003" s="125"/>
      <c r="RKH3003" s="470"/>
      <c r="RKI3003" s="449"/>
      <c r="RKJ3003" s="462"/>
      <c r="RKK3003" s="299"/>
      <c r="RKL3003" s="81"/>
      <c r="RKM3003" s="160"/>
      <c r="RKN3003" s="577"/>
      <c r="RKO3003" s="125"/>
      <c r="RKP3003" s="470"/>
      <c r="RKQ3003" s="449"/>
      <c r="RKR3003" s="462"/>
      <c r="RKS3003" s="299"/>
      <c r="RKT3003" s="81"/>
      <c r="RKU3003" s="160"/>
      <c r="RKV3003" s="577"/>
      <c r="RKW3003" s="125"/>
      <c r="RKX3003" s="470"/>
      <c r="RKY3003" s="449"/>
      <c r="RKZ3003" s="462"/>
      <c r="RLA3003" s="299"/>
      <c r="RLB3003" s="81"/>
      <c r="RLC3003" s="160"/>
      <c r="RLD3003" s="577"/>
      <c r="RLE3003" s="125"/>
      <c r="RLF3003" s="470"/>
      <c r="RLG3003" s="449"/>
      <c r="RLH3003" s="462"/>
      <c r="RLI3003" s="299"/>
      <c r="RLJ3003" s="81"/>
      <c r="RLK3003" s="160"/>
      <c r="RLL3003" s="577"/>
      <c r="RLM3003" s="125"/>
      <c r="RLN3003" s="470"/>
      <c r="RLO3003" s="449"/>
      <c r="RLP3003" s="462"/>
      <c r="RLQ3003" s="299"/>
      <c r="RLR3003" s="81"/>
      <c r="RLS3003" s="160"/>
      <c r="RLT3003" s="577"/>
      <c r="RLU3003" s="125"/>
      <c r="RLV3003" s="470"/>
      <c r="RLW3003" s="449"/>
      <c r="RLX3003" s="462"/>
      <c r="RLY3003" s="299"/>
      <c r="RLZ3003" s="81"/>
      <c r="RMA3003" s="160"/>
      <c r="RMB3003" s="577"/>
      <c r="RMC3003" s="125"/>
      <c r="RMD3003" s="470"/>
      <c r="RME3003" s="449"/>
      <c r="RMF3003" s="462"/>
      <c r="RMG3003" s="299"/>
      <c r="RMH3003" s="81"/>
      <c r="RMI3003" s="160"/>
      <c r="RMJ3003" s="577"/>
      <c r="RMK3003" s="125"/>
      <c r="RML3003" s="470"/>
      <c r="RMM3003" s="449"/>
      <c r="RMN3003" s="462"/>
      <c r="RMO3003" s="299"/>
      <c r="RMP3003" s="81"/>
      <c r="RMQ3003" s="160"/>
      <c r="RMR3003" s="577"/>
      <c r="RMS3003" s="125"/>
      <c r="RMT3003" s="470"/>
      <c r="RMU3003" s="449"/>
      <c r="RMV3003" s="462"/>
      <c r="RMW3003" s="299"/>
      <c r="RMX3003" s="81"/>
      <c r="RMY3003" s="160"/>
      <c r="RMZ3003" s="577"/>
      <c r="RNA3003" s="125"/>
      <c r="RNB3003" s="470"/>
      <c r="RNC3003" s="449"/>
      <c r="RND3003" s="462"/>
      <c r="RNE3003" s="299"/>
      <c r="RNF3003" s="81"/>
      <c r="RNG3003" s="160"/>
      <c r="RNH3003" s="577"/>
      <c r="RNI3003" s="125"/>
      <c r="RNJ3003" s="470"/>
      <c r="RNK3003" s="449"/>
      <c r="RNL3003" s="462"/>
      <c r="RNM3003" s="299"/>
      <c r="RNN3003" s="81"/>
      <c r="RNO3003" s="160"/>
      <c r="RNP3003" s="577"/>
      <c r="RNQ3003" s="125"/>
      <c r="RNR3003" s="470"/>
      <c r="RNS3003" s="449"/>
      <c r="RNT3003" s="462"/>
      <c r="RNU3003" s="299"/>
      <c r="RNV3003" s="81"/>
      <c r="RNW3003" s="160"/>
      <c r="RNX3003" s="577"/>
      <c r="RNY3003" s="125"/>
      <c r="RNZ3003" s="470"/>
      <c r="ROA3003" s="449"/>
      <c r="ROB3003" s="462"/>
      <c r="ROC3003" s="299"/>
      <c r="ROD3003" s="81"/>
      <c r="ROE3003" s="160"/>
      <c r="ROF3003" s="577"/>
      <c r="ROG3003" s="125"/>
      <c r="ROH3003" s="470"/>
      <c r="ROI3003" s="449"/>
      <c r="ROJ3003" s="462"/>
      <c r="ROK3003" s="299"/>
      <c r="ROL3003" s="81"/>
      <c r="ROM3003" s="160"/>
      <c r="RON3003" s="577"/>
      <c r="ROO3003" s="125"/>
      <c r="ROP3003" s="470"/>
      <c r="ROQ3003" s="449"/>
      <c r="ROR3003" s="462"/>
      <c r="ROS3003" s="299"/>
      <c r="ROT3003" s="81"/>
      <c r="ROU3003" s="160"/>
      <c r="ROV3003" s="577"/>
      <c r="ROW3003" s="125"/>
      <c r="ROX3003" s="470"/>
      <c r="ROY3003" s="449"/>
      <c r="ROZ3003" s="462"/>
      <c r="RPA3003" s="299"/>
      <c r="RPB3003" s="81"/>
      <c r="RPC3003" s="160"/>
      <c r="RPD3003" s="577"/>
      <c r="RPE3003" s="125"/>
      <c r="RPF3003" s="470"/>
      <c r="RPG3003" s="449"/>
      <c r="RPH3003" s="462"/>
      <c r="RPI3003" s="299"/>
      <c r="RPJ3003" s="81"/>
      <c r="RPK3003" s="160"/>
      <c r="RPL3003" s="577"/>
      <c r="RPM3003" s="125"/>
      <c r="RPN3003" s="470"/>
      <c r="RPO3003" s="449"/>
      <c r="RPP3003" s="462"/>
      <c r="RPQ3003" s="299"/>
      <c r="RPR3003" s="81"/>
      <c r="RPS3003" s="160"/>
      <c r="RPT3003" s="577"/>
      <c r="RPU3003" s="125"/>
      <c r="RPV3003" s="470"/>
      <c r="RPW3003" s="449"/>
      <c r="RPX3003" s="462"/>
      <c r="RPY3003" s="299"/>
      <c r="RPZ3003" s="81"/>
      <c r="RQA3003" s="160"/>
      <c r="RQB3003" s="577"/>
      <c r="RQC3003" s="125"/>
      <c r="RQD3003" s="470"/>
      <c r="RQE3003" s="449"/>
      <c r="RQF3003" s="462"/>
      <c r="RQG3003" s="299"/>
      <c r="RQH3003" s="81"/>
      <c r="RQI3003" s="160"/>
      <c r="RQJ3003" s="577"/>
      <c r="RQK3003" s="125"/>
      <c r="RQL3003" s="470"/>
      <c r="RQM3003" s="449"/>
      <c r="RQN3003" s="462"/>
      <c r="RQO3003" s="299"/>
      <c r="RQP3003" s="81"/>
      <c r="RQQ3003" s="160"/>
      <c r="RQR3003" s="577"/>
      <c r="RQS3003" s="125"/>
      <c r="RQT3003" s="470"/>
      <c r="RQU3003" s="449"/>
      <c r="RQV3003" s="462"/>
      <c r="RQW3003" s="299"/>
      <c r="RQX3003" s="81"/>
      <c r="RQY3003" s="160"/>
      <c r="RQZ3003" s="577"/>
      <c r="RRA3003" s="125"/>
      <c r="RRB3003" s="470"/>
      <c r="RRC3003" s="449"/>
      <c r="RRD3003" s="462"/>
      <c r="RRE3003" s="299"/>
      <c r="RRF3003" s="81"/>
      <c r="RRG3003" s="160"/>
      <c r="RRH3003" s="577"/>
      <c r="RRI3003" s="125"/>
      <c r="RRJ3003" s="470"/>
      <c r="RRK3003" s="449"/>
      <c r="RRL3003" s="462"/>
      <c r="RRM3003" s="299"/>
      <c r="RRN3003" s="81"/>
      <c r="RRO3003" s="160"/>
      <c r="RRP3003" s="577"/>
      <c r="RRQ3003" s="125"/>
      <c r="RRR3003" s="470"/>
      <c r="RRS3003" s="449"/>
      <c r="RRT3003" s="462"/>
      <c r="RRU3003" s="299"/>
      <c r="RRV3003" s="81"/>
      <c r="RRW3003" s="160"/>
      <c r="RRX3003" s="577"/>
      <c r="RRY3003" s="125"/>
      <c r="RRZ3003" s="470"/>
      <c r="RSA3003" s="449"/>
      <c r="RSB3003" s="462"/>
      <c r="RSC3003" s="299"/>
      <c r="RSD3003" s="81"/>
      <c r="RSE3003" s="160"/>
      <c r="RSF3003" s="577"/>
      <c r="RSG3003" s="125"/>
      <c r="RSH3003" s="470"/>
      <c r="RSI3003" s="449"/>
      <c r="RSJ3003" s="462"/>
      <c r="RSK3003" s="299"/>
      <c r="RSL3003" s="81"/>
      <c r="RSM3003" s="160"/>
      <c r="RSN3003" s="577"/>
      <c r="RSO3003" s="125"/>
      <c r="RSP3003" s="470"/>
      <c r="RSQ3003" s="449"/>
      <c r="RSR3003" s="462"/>
      <c r="RSS3003" s="299"/>
      <c r="RST3003" s="81"/>
      <c r="RSU3003" s="160"/>
      <c r="RSV3003" s="577"/>
      <c r="RSW3003" s="125"/>
      <c r="RSX3003" s="470"/>
      <c r="RSY3003" s="449"/>
      <c r="RSZ3003" s="462"/>
      <c r="RTA3003" s="299"/>
      <c r="RTB3003" s="81"/>
      <c r="RTC3003" s="160"/>
      <c r="RTD3003" s="577"/>
      <c r="RTE3003" s="125"/>
      <c r="RTF3003" s="470"/>
      <c r="RTG3003" s="449"/>
      <c r="RTH3003" s="462"/>
      <c r="RTI3003" s="299"/>
      <c r="RTJ3003" s="81"/>
      <c r="RTK3003" s="160"/>
      <c r="RTL3003" s="577"/>
      <c r="RTM3003" s="125"/>
      <c r="RTN3003" s="470"/>
      <c r="RTO3003" s="449"/>
      <c r="RTP3003" s="462"/>
      <c r="RTQ3003" s="299"/>
      <c r="RTR3003" s="81"/>
      <c r="RTS3003" s="160"/>
      <c r="RTT3003" s="577"/>
      <c r="RTU3003" s="125"/>
      <c r="RTV3003" s="470"/>
      <c r="RTW3003" s="449"/>
      <c r="RTX3003" s="462"/>
      <c r="RTY3003" s="299"/>
      <c r="RTZ3003" s="81"/>
      <c r="RUA3003" s="160"/>
      <c r="RUB3003" s="577"/>
      <c r="RUC3003" s="125"/>
      <c r="RUD3003" s="470"/>
      <c r="RUE3003" s="449"/>
      <c r="RUF3003" s="462"/>
      <c r="RUG3003" s="299"/>
      <c r="RUH3003" s="81"/>
      <c r="RUI3003" s="160"/>
      <c r="RUJ3003" s="577"/>
      <c r="RUK3003" s="125"/>
      <c r="RUL3003" s="470"/>
      <c r="RUM3003" s="449"/>
      <c r="RUN3003" s="462"/>
      <c r="RUO3003" s="299"/>
      <c r="RUP3003" s="81"/>
      <c r="RUQ3003" s="160"/>
      <c r="RUR3003" s="577"/>
      <c r="RUS3003" s="125"/>
      <c r="RUT3003" s="470"/>
      <c r="RUU3003" s="449"/>
      <c r="RUV3003" s="462"/>
      <c r="RUW3003" s="299"/>
      <c r="RUX3003" s="81"/>
      <c r="RUY3003" s="160"/>
      <c r="RUZ3003" s="577"/>
      <c r="RVA3003" s="125"/>
      <c r="RVB3003" s="470"/>
      <c r="RVC3003" s="449"/>
      <c r="RVD3003" s="462"/>
      <c r="RVE3003" s="299"/>
      <c r="RVF3003" s="81"/>
      <c r="RVG3003" s="160"/>
      <c r="RVH3003" s="577"/>
      <c r="RVI3003" s="125"/>
      <c r="RVJ3003" s="470"/>
      <c r="RVK3003" s="449"/>
      <c r="RVL3003" s="462"/>
      <c r="RVM3003" s="299"/>
      <c r="RVN3003" s="81"/>
      <c r="RVO3003" s="160"/>
      <c r="RVP3003" s="577"/>
      <c r="RVQ3003" s="125"/>
      <c r="RVR3003" s="470"/>
      <c r="RVS3003" s="449"/>
      <c r="RVT3003" s="462"/>
      <c r="RVU3003" s="299"/>
      <c r="RVV3003" s="81"/>
      <c r="RVW3003" s="160"/>
      <c r="RVX3003" s="577"/>
      <c r="RVY3003" s="125"/>
      <c r="RVZ3003" s="470"/>
      <c r="RWA3003" s="449"/>
      <c r="RWB3003" s="462"/>
      <c r="RWC3003" s="299"/>
      <c r="RWD3003" s="81"/>
      <c r="RWE3003" s="160"/>
      <c r="RWF3003" s="577"/>
      <c r="RWG3003" s="125"/>
      <c r="RWH3003" s="470"/>
      <c r="RWI3003" s="449"/>
      <c r="RWJ3003" s="462"/>
      <c r="RWK3003" s="299"/>
      <c r="RWL3003" s="81"/>
      <c r="RWM3003" s="160"/>
      <c r="RWN3003" s="577"/>
      <c r="RWO3003" s="125"/>
      <c r="RWP3003" s="470"/>
      <c r="RWQ3003" s="449"/>
      <c r="RWR3003" s="462"/>
      <c r="RWS3003" s="299"/>
      <c r="RWT3003" s="81"/>
      <c r="RWU3003" s="160"/>
      <c r="RWV3003" s="577"/>
      <c r="RWW3003" s="125"/>
      <c r="RWX3003" s="470"/>
      <c r="RWY3003" s="449"/>
      <c r="RWZ3003" s="462"/>
      <c r="RXA3003" s="299"/>
      <c r="RXB3003" s="81"/>
      <c r="RXC3003" s="160"/>
      <c r="RXD3003" s="577"/>
      <c r="RXE3003" s="125"/>
      <c r="RXF3003" s="470"/>
      <c r="RXG3003" s="449"/>
      <c r="RXH3003" s="462"/>
      <c r="RXI3003" s="299"/>
      <c r="RXJ3003" s="81"/>
      <c r="RXK3003" s="160"/>
      <c r="RXL3003" s="577"/>
      <c r="RXM3003" s="125"/>
      <c r="RXN3003" s="470"/>
      <c r="RXO3003" s="449"/>
      <c r="RXP3003" s="462"/>
      <c r="RXQ3003" s="299"/>
      <c r="RXR3003" s="81"/>
      <c r="RXS3003" s="160"/>
      <c r="RXT3003" s="577"/>
      <c r="RXU3003" s="125"/>
      <c r="RXV3003" s="470"/>
      <c r="RXW3003" s="449"/>
      <c r="RXX3003" s="462"/>
      <c r="RXY3003" s="299"/>
      <c r="RXZ3003" s="81"/>
      <c r="RYA3003" s="160"/>
      <c r="RYB3003" s="577"/>
      <c r="RYC3003" s="125"/>
      <c r="RYD3003" s="470"/>
      <c r="RYE3003" s="449"/>
      <c r="RYF3003" s="462"/>
      <c r="RYG3003" s="299"/>
      <c r="RYH3003" s="81"/>
      <c r="RYI3003" s="160"/>
      <c r="RYJ3003" s="577"/>
      <c r="RYK3003" s="125"/>
      <c r="RYL3003" s="470"/>
      <c r="RYM3003" s="449"/>
      <c r="RYN3003" s="462"/>
      <c r="RYO3003" s="299"/>
      <c r="RYP3003" s="81"/>
      <c r="RYQ3003" s="160"/>
      <c r="RYR3003" s="577"/>
      <c r="RYS3003" s="125"/>
      <c r="RYT3003" s="470"/>
      <c r="RYU3003" s="449"/>
      <c r="RYV3003" s="462"/>
      <c r="RYW3003" s="299"/>
      <c r="RYX3003" s="81"/>
      <c r="RYY3003" s="160"/>
      <c r="RYZ3003" s="577"/>
      <c r="RZA3003" s="125"/>
      <c r="RZB3003" s="470"/>
      <c r="RZC3003" s="449"/>
      <c r="RZD3003" s="462"/>
      <c r="RZE3003" s="299"/>
      <c r="RZF3003" s="81"/>
      <c r="RZG3003" s="160"/>
      <c r="RZH3003" s="577"/>
      <c r="RZI3003" s="125"/>
      <c r="RZJ3003" s="470"/>
      <c r="RZK3003" s="449"/>
      <c r="RZL3003" s="462"/>
      <c r="RZM3003" s="299"/>
      <c r="RZN3003" s="81"/>
      <c r="RZO3003" s="160"/>
      <c r="RZP3003" s="577"/>
      <c r="RZQ3003" s="125"/>
      <c r="RZR3003" s="470"/>
      <c r="RZS3003" s="449"/>
      <c r="RZT3003" s="462"/>
      <c r="RZU3003" s="299"/>
      <c r="RZV3003" s="81"/>
      <c r="RZW3003" s="160"/>
      <c r="RZX3003" s="577"/>
      <c r="RZY3003" s="125"/>
      <c r="RZZ3003" s="470"/>
      <c r="SAA3003" s="449"/>
      <c r="SAB3003" s="462"/>
      <c r="SAC3003" s="299"/>
      <c r="SAD3003" s="81"/>
      <c r="SAE3003" s="160"/>
      <c r="SAF3003" s="577"/>
      <c r="SAG3003" s="125"/>
      <c r="SAH3003" s="470"/>
      <c r="SAI3003" s="449"/>
      <c r="SAJ3003" s="462"/>
      <c r="SAK3003" s="299"/>
      <c r="SAL3003" s="81"/>
      <c r="SAM3003" s="160"/>
      <c r="SAN3003" s="577"/>
      <c r="SAO3003" s="125"/>
      <c r="SAP3003" s="470"/>
      <c r="SAQ3003" s="449"/>
      <c r="SAR3003" s="462"/>
      <c r="SAS3003" s="299"/>
      <c r="SAT3003" s="81"/>
      <c r="SAU3003" s="160"/>
      <c r="SAV3003" s="577"/>
      <c r="SAW3003" s="125"/>
      <c r="SAX3003" s="470"/>
      <c r="SAY3003" s="449"/>
      <c r="SAZ3003" s="462"/>
      <c r="SBA3003" s="299"/>
      <c r="SBB3003" s="81"/>
      <c r="SBC3003" s="160"/>
      <c r="SBD3003" s="577"/>
      <c r="SBE3003" s="125"/>
      <c r="SBF3003" s="470"/>
      <c r="SBG3003" s="449"/>
      <c r="SBH3003" s="462"/>
      <c r="SBI3003" s="299"/>
      <c r="SBJ3003" s="81"/>
      <c r="SBK3003" s="160"/>
      <c r="SBL3003" s="577"/>
      <c r="SBM3003" s="125"/>
      <c r="SBN3003" s="470"/>
      <c r="SBO3003" s="449"/>
      <c r="SBP3003" s="462"/>
      <c r="SBQ3003" s="299"/>
      <c r="SBR3003" s="81"/>
      <c r="SBS3003" s="160"/>
      <c r="SBT3003" s="577"/>
      <c r="SBU3003" s="125"/>
      <c r="SBV3003" s="470"/>
      <c r="SBW3003" s="449"/>
      <c r="SBX3003" s="462"/>
      <c r="SBY3003" s="299"/>
      <c r="SBZ3003" s="81"/>
      <c r="SCA3003" s="160"/>
      <c r="SCB3003" s="577"/>
      <c r="SCC3003" s="125"/>
      <c r="SCD3003" s="470"/>
      <c r="SCE3003" s="449"/>
      <c r="SCF3003" s="462"/>
      <c r="SCG3003" s="299"/>
      <c r="SCH3003" s="81"/>
      <c r="SCI3003" s="160"/>
      <c r="SCJ3003" s="577"/>
      <c r="SCK3003" s="125"/>
      <c r="SCL3003" s="470"/>
      <c r="SCM3003" s="449"/>
      <c r="SCN3003" s="462"/>
      <c r="SCO3003" s="299"/>
      <c r="SCP3003" s="81"/>
      <c r="SCQ3003" s="160"/>
      <c r="SCR3003" s="577"/>
      <c r="SCS3003" s="125"/>
      <c r="SCT3003" s="470"/>
      <c r="SCU3003" s="449"/>
      <c r="SCV3003" s="462"/>
      <c r="SCW3003" s="299"/>
      <c r="SCX3003" s="81"/>
      <c r="SCY3003" s="160"/>
      <c r="SCZ3003" s="577"/>
      <c r="SDA3003" s="125"/>
      <c r="SDB3003" s="470"/>
      <c r="SDC3003" s="449"/>
      <c r="SDD3003" s="462"/>
      <c r="SDE3003" s="299"/>
      <c r="SDF3003" s="81"/>
      <c r="SDG3003" s="160"/>
      <c r="SDH3003" s="577"/>
      <c r="SDI3003" s="125"/>
      <c r="SDJ3003" s="470"/>
      <c r="SDK3003" s="449"/>
      <c r="SDL3003" s="462"/>
      <c r="SDM3003" s="299"/>
      <c r="SDN3003" s="81"/>
      <c r="SDO3003" s="160"/>
      <c r="SDP3003" s="577"/>
      <c r="SDQ3003" s="125"/>
      <c r="SDR3003" s="470"/>
      <c r="SDS3003" s="449"/>
      <c r="SDT3003" s="462"/>
      <c r="SDU3003" s="299"/>
      <c r="SDV3003" s="81"/>
      <c r="SDW3003" s="160"/>
      <c r="SDX3003" s="577"/>
      <c r="SDY3003" s="125"/>
      <c r="SDZ3003" s="470"/>
      <c r="SEA3003" s="449"/>
      <c r="SEB3003" s="462"/>
      <c r="SEC3003" s="299"/>
      <c r="SED3003" s="81"/>
      <c r="SEE3003" s="160"/>
      <c r="SEF3003" s="577"/>
      <c r="SEG3003" s="125"/>
      <c r="SEH3003" s="470"/>
      <c r="SEI3003" s="449"/>
      <c r="SEJ3003" s="462"/>
      <c r="SEK3003" s="299"/>
      <c r="SEL3003" s="81"/>
      <c r="SEM3003" s="160"/>
      <c r="SEN3003" s="577"/>
      <c r="SEO3003" s="125"/>
      <c r="SEP3003" s="470"/>
      <c r="SEQ3003" s="449"/>
      <c r="SER3003" s="462"/>
      <c r="SES3003" s="299"/>
      <c r="SET3003" s="81"/>
      <c r="SEU3003" s="160"/>
      <c r="SEV3003" s="577"/>
      <c r="SEW3003" s="125"/>
      <c r="SEX3003" s="470"/>
      <c r="SEY3003" s="449"/>
      <c r="SEZ3003" s="462"/>
      <c r="SFA3003" s="299"/>
      <c r="SFB3003" s="81"/>
      <c r="SFC3003" s="160"/>
      <c r="SFD3003" s="577"/>
      <c r="SFE3003" s="125"/>
      <c r="SFF3003" s="470"/>
      <c r="SFG3003" s="449"/>
      <c r="SFH3003" s="462"/>
      <c r="SFI3003" s="299"/>
      <c r="SFJ3003" s="81"/>
      <c r="SFK3003" s="160"/>
      <c r="SFL3003" s="577"/>
      <c r="SFM3003" s="125"/>
      <c r="SFN3003" s="470"/>
      <c r="SFO3003" s="449"/>
      <c r="SFP3003" s="462"/>
      <c r="SFQ3003" s="299"/>
      <c r="SFR3003" s="81"/>
      <c r="SFS3003" s="160"/>
      <c r="SFT3003" s="577"/>
      <c r="SFU3003" s="125"/>
      <c r="SFV3003" s="470"/>
      <c r="SFW3003" s="449"/>
      <c r="SFX3003" s="462"/>
      <c r="SFY3003" s="299"/>
      <c r="SFZ3003" s="81"/>
      <c r="SGA3003" s="160"/>
      <c r="SGB3003" s="577"/>
      <c r="SGC3003" s="125"/>
      <c r="SGD3003" s="470"/>
      <c r="SGE3003" s="449"/>
      <c r="SGF3003" s="462"/>
      <c r="SGG3003" s="299"/>
      <c r="SGH3003" s="81"/>
      <c r="SGI3003" s="160"/>
      <c r="SGJ3003" s="577"/>
      <c r="SGK3003" s="125"/>
      <c r="SGL3003" s="470"/>
      <c r="SGM3003" s="449"/>
      <c r="SGN3003" s="462"/>
      <c r="SGO3003" s="299"/>
      <c r="SGP3003" s="81"/>
      <c r="SGQ3003" s="160"/>
      <c r="SGR3003" s="577"/>
      <c r="SGS3003" s="125"/>
      <c r="SGT3003" s="470"/>
      <c r="SGU3003" s="449"/>
      <c r="SGV3003" s="462"/>
      <c r="SGW3003" s="299"/>
      <c r="SGX3003" s="81"/>
      <c r="SGY3003" s="160"/>
      <c r="SGZ3003" s="577"/>
      <c r="SHA3003" s="125"/>
      <c r="SHB3003" s="470"/>
      <c r="SHC3003" s="449"/>
      <c r="SHD3003" s="462"/>
      <c r="SHE3003" s="299"/>
      <c r="SHF3003" s="81"/>
      <c r="SHG3003" s="160"/>
      <c r="SHH3003" s="577"/>
      <c r="SHI3003" s="125"/>
      <c r="SHJ3003" s="470"/>
      <c r="SHK3003" s="449"/>
      <c r="SHL3003" s="462"/>
      <c r="SHM3003" s="299"/>
      <c r="SHN3003" s="81"/>
      <c r="SHO3003" s="160"/>
      <c r="SHP3003" s="577"/>
      <c r="SHQ3003" s="125"/>
      <c r="SHR3003" s="470"/>
      <c r="SHS3003" s="449"/>
      <c r="SHT3003" s="462"/>
      <c r="SHU3003" s="299"/>
      <c r="SHV3003" s="81"/>
      <c r="SHW3003" s="160"/>
      <c r="SHX3003" s="577"/>
      <c r="SHY3003" s="125"/>
      <c r="SHZ3003" s="470"/>
      <c r="SIA3003" s="449"/>
      <c r="SIB3003" s="462"/>
      <c r="SIC3003" s="299"/>
      <c r="SID3003" s="81"/>
      <c r="SIE3003" s="160"/>
      <c r="SIF3003" s="577"/>
      <c r="SIG3003" s="125"/>
      <c r="SIH3003" s="470"/>
      <c r="SII3003" s="449"/>
      <c r="SIJ3003" s="462"/>
      <c r="SIK3003" s="299"/>
      <c r="SIL3003" s="81"/>
      <c r="SIM3003" s="160"/>
      <c r="SIN3003" s="577"/>
      <c r="SIO3003" s="125"/>
      <c r="SIP3003" s="470"/>
      <c r="SIQ3003" s="449"/>
      <c r="SIR3003" s="462"/>
      <c r="SIS3003" s="299"/>
      <c r="SIT3003" s="81"/>
      <c r="SIU3003" s="160"/>
      <c r="SIV3003" s="577"/>
      <c r="SIW3003" s="125"/>
      <c r="SIX3003" s="470"/>
      <c r="SIY3003" s="449"/>
      <c r="SIZ3003" s="462"/>
      <c r="SJA3003" s="299"/>
      <c r="SJB3003" s="81"/>
      <c r="SJC3003" s="160"/>
      <c r="SJD3003" s="577"/>
      <c r="SJE3003" s="125"/>
      <c r="SJF3003" s="470"/>
      <c r="SJG3003" s="449"/>
      <c r="SJH3003" s="462"/>
      <c r="SJI3003" s="299"/>
      <c r="SJJ3003" s="81"/>
      <c r="SJK3003" s="160"/>
      <c r="SJL3003" s="577"/>
      <c r="SJM3003" s="125"/>
      <c r="SJN3003" s="470"/>
      <c r="SJO3003" s="449"/>
      <c r="SJP3003" s="462"/>
      <c r="SJQ3003" s="299"/>
      <c r="SJR3003" s="81"/>
      <c r="SJS3003" s="160"/>
      <c r="SJT3003" s="577"/>
      <c r="SJU3003" s="125"/>
      <c r="SJV3003" s="470"/>
      <c r="SJW3003" s="449"/>
      <c r="SJX3003" s="462"/>
      <c r="SJY3003" s="299"/>
      <c r="SJZ3003" s="81"/>
      <c r="SKA3003" s="160"/>
      <c r="SKB3003" s="577"/>
      <c r="SKC3003" s="125"/>
      <c r="SKD3003" s="470"/>
      <c r="SKE3003" s="449"/>
      <c r="SKF3003" s="462"/>
      <c r="SKG3003" s="299"/>
      <c r="SKH3003" s="81"/>
      <c r="SKI3003" s="160"/>
      <c r="SKJ3003" s="577"/>
      <c r="SKK3003" s="125"/>
      <c r="SKL3003" s="470"/>
      <c r="SKM3003" s="449"/>
      <c r="SKN3003" s="462"/>
      <c r="SKO3003" s="299"/>
      <c r="SKP3003" s="81"/>
      <c r="SKQ3003" s="160"/>
      <c r="SKR3003" s="577"/>
      <c r="SKS3003" s="125"/>
      <c r="SKT3003" s="470"/>
      <c r="SKU3003" s="449"/>
      <c r="SKV3003" s="462"/>
      <c r="SKW3003" s="299"/>
      <c r="SKX3003" s="81"/>
      <c r="SKY3003" s="160"/>
      <c r="SKZ3003" s="577"/>
      <c r="SLA3003" s="125"/>
      <c r="SLB3003" s="470"/>
      <c r="SLC3003" s="449"/>
      <c r="SLD3003" s="462"/>
      <c r="SLE3003" s="299"/>
      <c r="SLF3003" s="81"/>
      <c r="SLG3003" s="160"/>
      <c r="SLH3003" s="577"/>
      <c r="SLI3003" s="125"/>
      <c r="SLJ3003" s="470"/>
      <c r="SLK3003" s="449"/>
      <c r="SLL3003" s="462"/>
      <c r="SLM3003" s="299"/>
      <c r="SLN3003" s="81"/>
      <c r="SLO3003" s="160"/>
      <c r="SLP3003" s="577"/>
      <c r="SLQ3003" s="125"/>
      <c r="SLR3003" s="470"/>
      <c r="SLS3003" s="449"/>
      <c r="SLT3003" s="462"/>
      <c r="SLU3003" s="299"/>
      <c r="SLV3003" s="81"/>
      <c r="SLW3003" s="160"/>
      <c r="SLX3003" s="577"/>
      <c r="SLY3003" s="125"/>
      <c r="SLZ3003" s="470"/>
      <c r="SMA3003" s="449"/>
      <c r="SMB3003" s="462"/>
      <c r="SMC3003" s="299"/>
      <c r="SMD3003" s="81"/>
      <c r="SME3003" s="160"/>
      <c r="SMF3003" s="577"/>
      <c r="SMG3003" s="125"/>
      <c r="SMH3003" s="470"/>
      <c r="SMI3003" s="449"/>
      <c r="SMJ3003" s="462"/>
      <c r="SMK3003" s="299"/>
      <c r="SML3003" s="81"/>
      <c r="SMM3003" s="160"/>
      <c r="SMN3003" s="577"/>
      <c r="SMO3003" s="125"/>
      <c r="SMP3003" s="470"/>
      <c r="SMQ3003" s="449"/>
      <c r="SMR3003" s="462"/>
      <c r="SMS3003" s="299"/>
      <c r="SMT3003" s="81"/>
      <c r="SMU3003" s="160"/>
      <c r="SMV3003" s="577"/>
      <c r="SMW3003" s="125"/>
      <c r="SMX3003" s="470"/>
      <c r="SMY3003" s="449"/>
      <c r="SMZ3003" s="462"/>
      <c r="SNA3003" s="299"/>
      <c r="SNB3003" s="81"/>
      <c r="SNC3003" s="160"/>
      <c r="SND3003" s="577"/>
      <c r="SNE3003" s="125"/>
      <c r="SNF3003" s="470"/>
      <c r="SNG3003" s="449"/>
      <c r="SNH3003" s="462"/>
      <c r="SNI3003" s="299"/>
      <c r="SNJ3003" s="81"/>
      <c r="SNK3003" s="160"/>
      <c r="SNL3003" s="577"/>
      <c r="SNM3003" s="125"/>
      <c r="SNN3003" s="470"/>
      <c r="SNO3003" s="449"/>
      <c r="SNP3003" s="462"/>
      <c r="SNQ3003" s="299"/>
      <c r="SNR3003" s="81"/>
      <c r="SNS3003" s="160"/>
      <c r="SNT3003" s="577"/>
      <c r="SNU3003" s="125"/>
      <c r="SNV3003" s="470"/>
      <c r="SNW3003" s="449"/>
      <c r="SNX3003" s="462"/>
      <c r="SNY3003" s="299"/>
      <c r="SNZ3003" s="81"/>
      <c r="SOA3003" s="160"/>
      <c r="SOB3003" s="577"/>
      <c r="SOC3003" s="125"/>
      <c r="SOD3003" s="470"/>
      <c r="SOE3003" s="449"/>
      <c r="SOF3003" s="462"/>
      <c r="SOG3003" s="299"/>
      <c r="SOH3003" s="81"/>
      <c r="SOI3003" s="160"/>
      <c r="SOJ3003" s="577"/>
      <c r="SOK3003" s="125"/>
      <c r="SOL3003" s="470"/>
      <c r="SOM3003" s="449"/>
      <c r="SON3003" s="462"/>
      <c r="SOO3003" s="299"/>
      <c r="SOP3003" s="81"/>
      <c r="SOQ3003" s="160"/>
      <c r="SOR3003" s="577"/>
      <c r="SOS3003" s="125"/>
      <c r="SOT3003" s="470"/>
      <c r="SOU3003" s="449"/>
      <c r="SOV3003" s="462"/>
      <c r="SOW3003" s="299"/>
      <c r="SOX3003" s="81"/>
      <c r="SOY3003" s="160"/>
      <c r="SOZ3003" s="577"/>
      <c r="SPA3003" s="125"/>
      <c r="SPB3003" s="470"/>
      <c r="SPC3003" s="449"/>
      <c r="SPD3003" s="462"/>
      <c r="SPE3003" s="299"/>
      <c r="SPF3003" s="81"/>
      <c r="SPG3003" s="160"/>
      <c r="SPH3003" s="577"/>
      <c r="SPI3003" s="125"/>
      <c r="SPJ3003" s="470"/>
      <c r="SPK3003" s="449"/>
      <c r="SPL3003" s="462"/>
      <c r="SPM3003" s="299"/>
      <c r="SPN3003" s="81"/>
      <c r="SPO3003" s="160"/>
      <c r="SPP3003" s="577"/>
      <c r="SPQ3003" s="125"/>
      <c r="SPR3003" s="470"/>
      <c r="SPS3003" s="449"/>
      <c r="SPT3003" s="462"/>
      <c r="SPU3003" s="299"/>
      <c r="SPV3003" s="81"/>
      <c r="SPW3003" s="160"/>
      <c r="SPX3003" s="577"/>
      <c r="SPY3003" s="125"/>
      <c r="SPZ3003" s="470"/>
      <c r="SQA3003" s="449"/>
      <c r="SQB3003" s="462"/>
      <c r="SQC3003" s="299"/>
      <c r="SQD3003" s="81"/>
      <c r="SQE3003" s="160"/>
      <c r="SQF3003" s="577"/>
      <c r="SQG3003" s="125"/>
      <c r="SQH3003" s="470"/>
      <c r="SQI3003" s="449"/>
      <c r="SQJ3003" s="462"/>
      <c r="SQK3003" s="299"/>
      <c r="SQL3003" s="81"/>
      <c r="SQM3003" s="160"/>
      <c r="SQN3003" s="577"/>
      <c r="SQO3003" s="125"/>
      <c r="SQP3003" s="470"/>
      <c r="SQQ3003" s="449"/>
      <c r="SQR3003" s="462"/>
      <c r="SQS3003" s="299"/>
      <c r="SQT3003" s="81"/>
      <c r="SQU3003" s="160"/>
      <c r="SQV3003" s="577"/>
      <c r="SQW3003" s="125"/>
      <c r="SQX3003" s="470"/>
      <c r="SQY3003" s="449"/>
      <c r="SQZ3003" s="462"/>
      <c r="SRA3003" s="299"/>
      <c r="SRB3003" s="81"/>
      <c r="SRC3003" s="160"/>
      <c r="SRD3003" s="577"/>
      <c r="SRE3003" s="125"/>
      <c r="SRF3003" s="470"/>
      <c r="SRG3003" s="449"/>
      <c r="SRH3003" s="462"/>
      <c r="SRI3003" s="299"/>
      <c r="SRJ3003" s="81"/>
      <c r="SRK3003" s="160"/>
      <c r="SRL3003" s="577"/>
      <c r="SRM3003" s="125"/>
      <c r="SRN3003" s="470"/>
      <c r="SRO3003" s="449"/>
      <c r="SRP3003" s="462"/>
      <c r="SRQ3003" s="299"/>
      <c r="SRR3003" s="81"/>
      <c r="SRS3003" s="160"/>
      <c r="SRT3003" s="577"/>
      <c r="SRU3003" s="125"/>
      <c r="SRV3003" s="470"/>
      <c r="SRW3003" s="449"/>
      <c r="SRX3003" s="462"/>
      <c r="SRY3003" s="299"/>
      <c r="SRZ3003" s="81"/>
      <c r="SSA3003" s="160"/>
      <c r="SSB3003" s="577"/>
      <c r="SSC3003" s="125"/>
      <c r="SSD3003" s="470"/>
      <c r="SSE3003" s="449"/>
      <c r="SSF3003" s="462"/>
      <c r="SSG3003" s="299"/>
      <c r="SSH3003" s="81"/>
      <c r="SSI3003" s="160"/>
      <c r="SSJ3003" s="577"/>
      <c r="SSK3003" s="125"/>
      <c r="SSL3003" s="470"/>
      <c r="SSM3003" s="449"/>
      <c r="SSN3003" s="462"/>
      <c r="SSO3003" s="299"/>
      <c r="SSP3003" s="81"/>
      <c r="SSQ3003" s="160"/>
      <c r="SSR3003" s="577"/>
      <c r="SSS3003" s="125"/>
      <c r="SST3003" s="470"/>
      <c r="SSU3003" s="449"/>
      <c r="SSV3003" s="462"/>
      <c r="SSW3003" s="299"/>
      <c r="SSX3003" s="81"/>
      <c r="SSY3003" s="160"/>
      <c r="SSZ3003" s="577"/>
      <c r="STA3003" s="125"/>
      <c r="STB3003" s="470"/>
      <c r="STC3003" s="449"/>
      <c r="STD3003" s="462"/>
      <c r="STE3003" s="299"/>
      <c r="STF3003" s="81"/>
      <c r="STG3003" s="160"/>
      <c r="STH3003" s="577"/>
      <c r="STI3003" s="125"/>
      <c r="STJ3003" s="470"/>
      <c r="STK3003" s="449"/>
      <c r="STL3003" s="462"/>
      <c r="STM3003" s="299"/>
      <c r="STN3003" s="81"/>
      <c r="STO3003" s="160"/>
      <c r="STP3003" s="577"/>
      <c r="STQ3003" s="125"/>
      <c r="STR3003" s="470"/>
      <c r="STS3003" s="449"/>
      <c r="STT3003" s="462"/>
      <c r="STU3003" s="299"/>
      <c r="STV3003" s="81"/>
      <c r="STW3003" s="160"/>
      <c r="STX3003" s="577"/>
      <c r="STY3003" s="125"/>
      <c r="STZ3003" s="470"/>
      <c r="SUA3003" s="449"/>
      <c r="SUB3003" s="462"/>
      <c r="SUC3003" s="299"/>
      <c r="SUD3003" s="81"/>
      <c r="SUE3003" s="160"/>
      <c r="SUF3003" s="577"/>
      <c r="SUG3003" s="125"/>
      <c r="SUH3003" s="470"/>
      <c r="SUI3003" s="449"/>
      <c r="SUJ3003" s="462"/>
      <c r="SUK3003" s="299"/>
      <c r="SUL3003" s="81"/>
      <c r="SUM3003" s="160"/>
      <c r="SUN3003" s="577"/>
      <c r="SUO3003" s="125"/>
      <c r="SUP3003" s="470"/>
      <c r="SUQ3003" s="449"/>
      <c r="SUR3003" s="462"/>
      <c r="SUS3003" s="299"/>
      <c r="SUT3003" s="81"/>
      <c r="SUU3003" s="160"/>
      <c r="SUV3003" s="577"/>
      <c r="SUW3003" s="125"/>
      <c r="SUX3003" s="470"/>
      <c r="SUY3003" s="449"/>
      <c r="SUZ3003" s="462"/>
      <c r="SVA3003" s="299"/>
      <c r="SVB3003" s="81"/>
      <c r="SVC3003" s="160"/>
      <c r="SVD3003" s="577"/>
      <c r="SVE3003" s="125"/>
      <c r="SVF3003" s="470"/>
      <c r="SVG3003" s="449"/>
      <c r="SVH3003" s="462"/>
      <c r="SVI3003" s="299"/>
      <c r="SVJ3003" s="81"/>
      <c r="SVK3003" s="160"/>
      <c r="SVL3003" s="577"/>
      <c r="SVM3003" s="125"/>
      <c r="SVN3003" s="470"/>
      <c r="SVO3003" s="449"/>
      <c r="SVP3003" s="462"/>
      <c r="SVQ3003" s="299"/>
      <c r="SVR3003" s="81"/>
      <c r="SVS3003" s="160"/>
      <c r="SVT3003" s="577"/>
      <c r="SVU3003" s="125"/>
      <c r="SVV3003" s="470"/>
      <c r="SVW3003" s="449"/>
      <c r="SVX3003" s="462"/>
      <c r="SVY3003" s="299"/>
      <c r="SVZ3003" s="81"/>
      <c r="SWA3003" s="160"/>
      <c r="SWB3003" s="577"/>
      <c r="SWC3003" s="125"/>
      <c r="SWD3003" s="470"/>
      <c r="SWE3003" s="449"/>
      <c r="SWF3003" s="462"/>
      <c r="SWG3003" s="299"/>
      <c r="SWH3003" s="81"/>
      <c r="SWI3003" s="160"/>
      <c r="SWJ3003" s="577"/>
      <c r="SWK3003" s="125"/>
      <c r="SWL3003" s="470"/>
      <c r="SWM3003" s="449"/>
      <c r="SWN3003" s="462"/>
      <c r="SWO3003" s="299"/>
      <c r="SWP3003" s="81"/>
      <c r="SWQ3003" s="160"/>
      <c r="SWR3003" s="577"/>
      <c r="SWS3003" s="125"/>
      <c r="SWT3003" s="470"/>
      <c r="SWU3003" s="449"/>
      <c r="SWV3003" s="462"/>
      <c r="SWW3003" s="299"/>
      <c r="SWX3003" s="81"/>
      <c r="SWY3003" s="160"/>
      <c r="SWZ3003" s="577"/>
      <c r="SXA3003" s="125"/>
      <c r="SXB3003" s="470"/>
      <c r="SXC3003" s="449"/>
      <c r="SXD3003" s="462"/>
      <c r="SXE3003" s="299"/>
      <c r="SXF3003" s="81"/>
      <c r="SXG3003" s="160"/>
      <c r="SXH3003" s="577"/>
      <c r="SXI3003" s="125"/>
      <c r="SXJ3003" s="470"/>
      <c r="SXK3003" s="449"/>
      <c r="SXL3003" s="462"/>
      <c r="SXM3003" s="299"/>
      <c r="SXN3003" s="81"/>
      <c r="SXO3003" s="160"/>
      <c r="SXP3003" s="577"/>
      <c r="SXQ3003" s="125"/>
      <c r="SXR3003" s="470"/>
      <c r="SXS3003" s="449"/>
      <c r="SXT3003" s="462"/>
      <c r="SXU3003" s="299"/>
      <c r="SXV3003" s="81"/>
      <c r="SXW3003" s="160"/>
      <c r="SXX3003" s="577"/>
      <c r="SXY3003" s="125"/>
      <c r="SXZ3003" s="470"/>
      <c r="SYA3003" s="449"/>
      <c r="SYB3003" s="462"/>
      <c r="SYC3003" s="299"/>
      <c r="SYD3003" s="81"/>
      <c r="SYE3003" s="160"/>
      <c r="SYF3003" s="577"/>
      <c r="SYG3003" s="125"/>
      <c r="SYH3003" s="470"/>
      <c r="SYI3003" s="449"/>
      <c r="SYJ3003" s="462"/>
      <c r="SYK3003" s="299"/>
      <c r="SYL3003" s="81"/>
      <c r="SYM3003" s="160"/>
      <c r="SYN3003" s="577"/>
      <c r="SYO3003" s="125"/>
      <c r="SYP3003" s="470"/>
      <c r="SYQ3003" s="449"/>
      <c r="SYR3003" s="462"/>
      <c r="SYS3003" s="299"/>
      <c r="SYT3003" s="81"/>
      <c r="SYU3003" s="160"/>
      <c r="SYV3003" s="577"/>
      <c r="SYW3003" s="125"/>
      <c r="SYX3003" s="470"/>
      <c r="SYY3003" s="449"/>
      <c r="SYZ3003" s="462"/>
      <c r="SZA3003" s="299"/>
      <c r="SZB3003" s="81"/>
      <c r="SZC3003" s="160"/>
      <c r="SZD3003" s="577"/>
      <c r="SZE3003" s="125"/>
      <c r="SZF3003" s="470"/>
      <c r="SZG3003" s="449"/>
      <c r="SZH3003" s="462"/>
      <c r="SZI3003" s="299"/>
      <c r="SZJ3003" s="81"/>
      <c r="SZK3003" s="160"/>
      <c r="SZL3003" s="577"/>
      <c r="SZM3003" s="125"/>
      <c r="SZN3003" s="470"/>
      <c r="SZO3003" s="449"/>
      <c r="SZP3003" s="462"/>
      <c r="SZQ3003" s="299"/>
      <c r="SZR3003" s="81"/>
      <c r="SZS3003" s="160"/>
      <c r="SZT3003" s="577"/>
      <c r="SZU3003" s="125"/>
      <c r="SZV3003" s="470"/>
      <c r="SZW3003" s="449"/>
      <c r="SZX3003" s="462"/>
      <c r="SZY3003" s="299"/>
      <c r="SZZ3003" s="81"/>
      <c r="TAA3003" s="160"/>
      <c r="TAB3003" s="577"/>
      <c r="TAC3003" s="125"/>
      <c r="TAD3003" s="470"/>
      <c r="TAE3003" s="449"/>
      <c r="TAF3003" s="462"/>
      <c r="TAG3003" s="299"/>
      <c r="TAH3003" s="81"/>
      <c r="TAI3003" s="160"/>
      <c r="TAJ3003" s="577"/>
      <c r="TAK3003" s="125"/>
      <c r="TAL3003" s="470"/>
      <c r="TAM3003" s="449"/>
      <c r="TAN3003" s="462"/>
      <c r="TAO3003" s="299"/>
      <c r="TAP3003" s="81"/>
      <c r="TAQ3003" s="160"/>
      <c r="TAR3003" s="577"/>
      <c r="TAS3003" s="125"/>
      <c r="TAT3003" s="470"/>
      <c r="TAU3003" s="449"/>
      <c r="TAV3003" s="462"/>
      <c r="TAW3003" s="299"/>
      <c r="TAX3003" s="81"/>
      <c r="TAY3003" s="160"/>
      <c r="TAZ3003" s="577"/>
      <c r="TBA3003" s="125"/>
      <c r="TBB3003" s="470"/>
      <c r="TBC3003" s="449"/>
      <c r="TBD3003" s="462"/>
      <c r="TBE3003" s="299"/>
      <c r="TBF3003" s="81"/>
      <c r="TBG3003" s="160"/>
      <c r="TBH3003" s="577"/>
      <c r="TBI3003" s="125"/>
      <c r="TBJ3003" s="470"/>
      <c r="TBK3003" s="449"/>
      <c r="TBL3003" s="462"/>
      <c r="TBM3003" s="299"/>
      <c r="TBN3003" s="81"/>
      <c r="TBO3003" s="160"/>
      <c r="TBP3003" s="577"/>
      <c r="TBQ3003" s="125"/>
      <c r="TBR3003" s="470"/>
      <c r="TBS3003" s="449"/>
      <c r="TBT3003" s="462"/>
      <c r="TBU3003" s="299"/>
      <c r="TBV3003" s="81"/>
      <c r="TBW3003" s="160"/>
      <c r="TBX3003" s="577"/>
      <c r="TBY3003" s="125"/>
      <c r="TBZ3003" s="470"/>
      <c r="TCA3003" s="449"/>
      <c r="TCB3003" s="462"/>
      <c r="TCC3003" s="299"/>
      <c r="TCD3003" s="81"/>
      <c r="TCE3003" s="160"/>
      <c r="TCF3003" s="577"/>
      <c r="TCG3003" s="125"/>
      <c r="TCH3003" s="470"/>
      <c r="TCI3003" s="449"/>
      <c r="TCJ3003" s="462"/>
      <c r="TCK3003" s="299"/>
      <c r="TCL3003" s="81"/>
      <c r="TCM3003" s="160"/>
      <c r="TCN3003" s="577"/>
      <c r="TCO3003" s="125"/>
      <c r="TCP3003" s="470"/>
      <c r="TCQ3003" s="449"/>
      <c r="TCR3003" s="462"/>
      <c r="TCS3003" s="299"/>
      <c r="TCT3003" s="81"/>
      <c r="TCU3003" s="160"/>
      <c r="TCV3003" s="577"/>
      <c r="TCW3003" s="125"/>
      <c r="TCX3003" s="470"/>
      <c r="TCY3003" s="449"/>
      <c r="TCZ3003" s="462"/>
      <c r="TDA3003" s="299"/>
      <c r="TDB3003" s="81"/>
      <c r="TDC3003" s="160"/>
      <c r="TDD3003" s="577"/>
      <c r="TDE3003" s="125"/>
      <c r="TDF3003" s="470"/>
      <c r="TDG3003" s="449"/>
      <c r="TDH3003" s="462"/>
      <c r="TDI3003" s="299"/>
      <c r="TDJ3003" s="81"/>
      <c r="TDK3003" s="160"/>
      <c r="TDL3003" s="577"/>
      <c r="TDM3003" s="125"/>
      <c r="TDN3003" s="470"/>
      <c r="TDO3003" s="449"/>
      <c r="TDP3003" s="462"/>
      <c r="TDQ3003" s="299"/>
      <c r="TDR3003" s="81"/>
      <c r="TDS3003" s="160"/>
      <c r="TDT3003" s="577"/>
      <c r="TDU3003" s="125"/>
      <c r="TDV3003" s="470"/>
      <c r="TDW3003" s="449"/>
      <c r="TDX3003" s="462"/>
      <c r="TDY3003" s="299"/>
      <c r="TDZ3003" s="81"/>
      <c r="TEA3003" s="160"/>
      <c r="TEB3003" s="577"/>
      <c r="TEC3003" s="125"/>
      <c r="TED3003" s="470"/>
      <c r="TEE3003" s="449"/>
      <c r="TEF3003" s="462"/>
      <c r="TEG3003" s="299"/>
      <c r="TEH3003" s="81"/>
      <c r="TEI3003" s="160"/>
      <c r="TEJ3003" s="577"/>
      <c r="TEK3003" s="125"/>
      <c r="TEL3003" s="470"/>
      <c r="TEM3003" s="449"/>
      <c r="TEN3003" s="462"/>
      <c r="TEO3003" s="299"/>
      <c r="TEP3003" s="81"/>
      <c r="TEQ3003" s="160"/>
      <c r="TER3003" s="577"/>
      <c r="TES3003" s="125"/>
      <c r="TET3003" s="470"/>
      <c r="TEU3003" s="449"/>
      <c r="TEV3003" s="462"/>
      <c r="TEW3003" s="299"/>
      <c r="TEX3003" s="81"/>
      <c r="TEY3003" s="160"/>
      <c r="TEZ3003" s="577"/>
      <c r="TFA3003" s="125"/>
      <c r="TFB3003" s="470"/>
      <c r="TFC3003" s="449"/>
      <c r="TFD3003" s="462"/>
      <c r="TFE3003" s="299"/>
      <c r="TFF3003" s="81"/>
      <c r="TFG3003" s="160"/>
      <c r="TFH3003" s="577"/>
      <c r="TFI3003" s="125"/>
      <c r="TFJ3003" s="470"/>
      <c r="TFK3003" s="449"/>
      <c r="TFL3003" s="462"/>
      <c r="TFM3003" s="299"/>
      <c r="TFN3003" s="81"/>
      <c r="TFO3003" s="160"/>
      <c r="TFP3003" s="577"/>
      <c r="TFQ3003" s="125"/>
      <c r="TFR3003" s="470"/>
      <c r="TFS3003" s="449"/>
      <c r="TFT3003" s="462"/>
      <c r="TFU3003" s="299"/>
      <c r="TFV3003" s="81"/>
      <c r="TFW3003" s="160"/>
      <c r="TFX3003" s="577"/>
      <c r="TFY3003" s="125"/>
      <c r="TFZ3003" s="470"/>
      <c r="TGA3003" s="449"/>
      <c r="TGB3003" s="462"/>
      <c r="TGC3003" s="299"/>
      <c r="TGD3003" s="81"/>
      <c r="TGE3003" s="160"/>
      <c r="TGF3003" s="577"/>
      <c r="TGG3003" s="125"/>
      <c r="TGH3003" s="470"/>
      <c r="TGI3003" s="449"/>
      <c r="TGJ3003" s="462"/>
      <c r="TGK3003" s="299"/>
      <c r="TGL3003" s="81"/>
      <c r="TGM3003" s="160"/>
      <c r="TGN3003" s="577"/>
      <c r="TGO3003" s="125"/>
      <c r="TGP3003" s="470"/>
      <c r="TGQ3003" s="449"/>
      <c r="TGR3003" s="462"/>
      <c r="TGS3003" s="299"/>
      <c r="TGT3003" s="81"/>
      <c r="TGU3003" s="160"/>
      <c r="TGV3003" s="577"/>
      <c r="TGW3003" s="125"/>
      <c r="TGX3003" s="470"/>
      <c r="TGY3003" s="449"/>
      <c r="TGZ3003" s="462"/>
      <c r="THA3003" s="299"/>
      <c r="THB3003" s="81"/>
      <c r="THC3003" s="160"/>
      <c r="THD3003" s="577"/>
      <c r="THE3003" s="125"/>
      <c r="THF3003" s="470"/>
      <c r="THG3003" s="449"/>
      <c r="THH3003" s="462"/>
      <c r="THI3003" s="299"/>
      <c r="THJ3003" s="81"/>
      <c r="THK3003" s="160"/>
      <c r="THL3003" s="577"/>
      <c r="THM3003" s="125"/>
      <c r="THN3003" s="470"/>
      <c r="THO3003" s="449"/>
      <c r="THP3003" s="462"/>
      <c r="THQ3003" s="299"/>
      <c r="THR3003" s="81"/>
      <c r="THS3003" s="160"/>
      <c r="THT3003" s="577"/>
      <c r="THU3003" s="125"/>
      <c r="THV3003" s="470"/>
      <c r="THW3003" s="449"/>
      <c r="THX3003" s="462"/>
      <c r="THY3003" s="299"/>
      <c r="THZ3003" s="81"/>
      <c r="TIA3003" s="160"/>
      <c r="TIB3003" s="577"/>
      <c r="TIC3003" s="125"/>
      <c r="TID3003" s="470"/>
      <c r="TIE3003" s="449"/>
      <c r="TIF3003" s="462"/>
      <c r="TIG3003" s="299"/>
      <c r="TIH3003" s="81"/>
      <c r="TII3003" s="160"/>
      <c r="TIJ3003" s="577"/>
      <c r="TIK3003" s="125"/>
      <c r="TIL3003" s="470"/>
      <c r="TIM3003" s="449"/>
      <c r="TIN3003" s="462"/>
      <c r="TIO3003" s="299"/>
      <c r="TIP3003" s="81"/>
      <c r="TIQ3003" s="160"/>
      <c r="TIR3003" s="577"/>
      <c r="TIS3003" s="125"/>
      <c r="TIT3003" s="470"/>
      <c r="TIU3003" s="449"/>
      <c r="TIV3003" s="462"/>
      <c r="TIW3003" s="299"/>
      <c r="TIX3003" s="81"/>
      <c r="TIY3003" s="160"/>
      <c r="TIZ3003" s="577"/>
      <c r="TJA3003" s="125"/>
      <c r="TJB3003" s="470"/>
      <c r="TJC3003" s="449"/>
      <c r="TJD3003" s="462"/>
      <c r="TJE3003" s="299"/>
      <c r="TJF3003" s="81"/>
      <c r="TJG3003" s="160"/>
      <c r="TJH3003" s="577"/>
      <c r="TJI3003" s="125"/>
      <c r="TJJ3003" s="470"/>
      <c r="TJK3003" s="449"/>
      <c r="TJL3003" s="462"/>
      <c r="TJM3003" s="299"/>
      <c r="TJN3003" s="81"/>
      <c r="TJO3003" s="160"/>
      <c r="TJP3003" s="577"/>
      <c r="TJQ3003" s="125"/>
      <c r="TJR3003" s="470"/>
      <c r="TJS3003" s="449"/>
      <c r="TJT3003" s="462"/>
      <c r="TJU3003" s="299"/>
      <c r="TJV3003" s="81"/>
      <c r="TJW3003" s="160"/>
      <c r="TJX3003" s="577"/>
      <c r="TJY3003" s="125"/>
      <c r="TJZ3003" s="470"/>
      <c r="TKA3003" s="449"/>
      <c r="TKB3003" s="462"/>
      <c r="TKC3003" s="299"/>
      <c r="TKD3003" s="81"/>
      <c r="TKE3003" s="160"/>
      <c r="TKF3003" s="577"/>
      <c r="TKG3003" s="125"/>
      <c r="TKH3003" s="470"/>
      <c r="TKI3003" s="449"/>
      <c r="TKJ3003" s="462"/>
      <c r="TKK3003" s="299"/>
      <c r="TKL3003" s="81"/>
      <c r="TKM3003" s="160"/>
      <c r="TKN3003" s="577"/>
      <c r="TKO3003" s="125"/>
      <c r="TKP3003" s="470"/>
      <c r="TKQ3003" s="449"/>
      <c r="TKR3003" s="462"/>
      <c r="TKS3003" s="299"/>
      <c r="TKT3003" s="81"/>
      <c r="TKU3003" s="160"/>
      <c r="TKV3003" s="577"/>
      <c r="TKW3003" s="125"/>
      <c r="TKX3003" s="470"/>
      <c r="TKY3003" s="449"/>
      <c r="TKZ3003" s="462"/>
      <c r="TLA3003" s="299"/>
      <c r="TLB3003" s="81"/>
      <c r="TLC3003" s="160"/>
      <c r="TLD3003" s="577"/>
      <c r="TLE3003" s="125"/>
      <c r="TLF3003" s="470"/>
      <c r="TLG3003" s="449"/>
      <c r="TLH3003" s="462"/>
      <c r="TLI3003" s="299"/>
      <c r="TLJ3003" s="81"/>
      <c r="TLK3003" s="160"/>
      <c r="TLL3003" s="577"/>
      <c r="TLM3003" s="125"/>
      <c r="TLN3003" s="470"/>
      <c r="TLO3003" s="449"/>
      <c r="TLP3003" s="462"/>
      <c r="TLQ3003" s="299"/>
      <c r="TLR3003" s="81"/>
      <c r="TLS3003" s="160"/>
      <c r="TLT3003" s="577"/>
      <c r="TLU3003" s="125"/>
      <c r="TLV3003" s="470"/>
      <c r="TLW3003" s="449"/>
      <c r="TLX3003" s="462"/>
      <c r="TLY3003" s="299"/>
      <c r="TLZ3003" s="81"/>
      <c r="TMA3003" s="160"/>
      <c r="TMB3003" s="577"/>
      <c r="TMC3003" s="125"/>
      <c r="TMD3003" s="470"/>
      <c r="TME3003" s="449"/>
      <c r="TMF3003" s="462"/>
      <c r="TMG3003" s="299"/>
      <c r="TMH3003" s="81"/>
      <c r="TMI3003" s="160"/>
      <c r="TMJ3003" s="577"/>
      <c r="TMK3003" s="125"/>
      <c r="TML3003" s="470"/>
      <c r="TMM3003" s="449"/>
      <c r="TMN3003" s="462"/>
      <c r="TMO3003" s="299"/>
      <c r="TMP3003" s="81"/>
      <c r="TMQ3003" s="160"/>
      <c r="TMR3003" s="577"/>
      <c r="TMS3003" s="125"/>
      <c r="TMT3003" s="470"/>
      <c r="TMU3003" s="449"/>
      <c r="TMV3003" s="462"/>
      <c r="TMW3003" s="299"/>
      <c r="TMX3003" s="81"/>
      <c r="TMY3003" s="160"/>
      <c r="TMZ3003" s="577"/>
      <c r="TNA3003" s="125"/>
      <c r="TNB3003" s="470"/>
      <c r="TNC3003" s="449"/>
      <c r="TND3003" s="462"/>
      <c r="TNE3003" s="299"/>
      <c r="TNF3003" s="81"/>
      <c r="TNG3003" s="160"/>
      <c r="TNH3003" s="577"/>
      <c r="TNI3003" s="125"/>
      <c r="TNJ3003" s="470"/>
      <c r="TNK3003" s="449"/>
      <c r="TNL3003" s="462"/>
      <c r="TNM3003" s="299"/>
      <c r="TNN3003" s="81"/>
      <c r="TNO3003" s="160"/>
      <c r="TNP3003" s="577"/>
      <c r="TNQ3003" s="125"/>
      <c r="TNR3003" s="470"/>
      <c r="TNS3003" s="449"/>
      <c r="TNT3003" s="462"/>
      <c r="TNU3003" s="299"/>
      <c r="TNV3003" s="81"/>
      <c r="TNW3003" s="160"/>
      <c r="TNX3003" s="577"/>
      <c r="TNY3003" s="125"/>
      <c r="TNZ3003" s="470"/>
      <c r="TOA3003" s="449"/>
      <c r="TOB3003" s="462"/>
      <c r="TOC3003" s="299"/>
      <c r="TOD3003" s="81"/>
      <c r="TOE3003" s="160"/>
      <c r="TOF3003" s="577"/>
      <c r="TOG3003" s="125"/>
      <c r="TOH3003" s="470"/>
      <c r="TOI3003" s="449"/>
      <c r="TOJ3003" s="462"/>
      <c r="TOK3003" s="299"/>
      <c r="TOL3003" s="81"/>
      <c r="TOM3003" s="160"/>
      <c r="TON3003" s="577"/>
      <c r="TOO3003" s="125"/>
      <c r="TOP3003" s="470"/>
      <c r="TOQ3003" s="449"/>
      <c r="TOR3003" s="462"/>
      <c r="TOS3003" s="299"/>
      <c r="TOT3003" s="81"/>
      <c r="TOU3003" s="160"/>
      <c r="TOV3003" s="577"/>
      <c r="TOW3003" s="125"/>
      <c r="TOX3003" s="470"/>
      <c r="TOY3003" s="449"/>
      <c r="TOZ3003" s="462"/>
      <c r="TPA3003" s="299"/>
      <c r="TPB3003" s="81"/>
      <c r="TPC3003" s="160"/>
      <c r="TPD3003" s="577"/>
      <c r="TPE3003" s="125"/>
      <c r="TPF3003" s="470"/>
      <c r="TPG3003" s="449"/>
      <c r="TPH3003" s="462"/>
      <c r="TPI3003" s="299"/>
      <c r="TPJ3003" s="81"/>
      <c r="TPK3003" s="160"/>
      <c r="TPL3003" s="577"/>
      <c r="TPM3003" s="125"/>
      <c r="TPN3003" s="470"/>
      <c r="TPO3003" s="449"/>
      <c r="TPP3003" s="462"/>
      <c r="TPQ3003" s="299"/>
      <c r="TPR3003" s="81"/>
      <c r="TPS3003" s="160"/>
      <c r="TPT3003" s="577"/>
      <c r="TPU3003" s="125"/>
      <c r="TPV3003" s="470"/>
      <c r="TPW3003" s="449"/>
      <c r="TPX3003" s="462"/>
      <c r="TPY3003" s="299"/>
      <c r="TPZ3003" s="81"/>
      <c r="TQA3003" s="160"/>
      <c r="TQB3003" s="577"/>
      <c r="TQC3003" s="125"/>
      <c r="TQD3003" s="470"/>
      <c r="TQE3003" s="449"/>
      <c r="TQF3003" s="462"/>
      <c r="TQG3003" s="299"/>
      <c r="TQH3003" s="81"/>
      <c r="TQI3003" s="160"/>
      <c r="TQJ3003" s="577"/>
      <c r="TQK3003" s="125"/>
      <c r="TQL3003" s="470"/>
      <c r="TQM3003" s="449"/>
      <c r="TQN3003" s="462"/>
      <c r="TQO3003" s="299"/>
      <c r="TQP3003" s="81"/>
      <c r="TQQ3003" s="160"/>
      <c r="TQR3003" s="577"/>
      <c r="TQS3003" s="125"/>
      <c r="TQT3003" s="470"/>
      <c r="TQU3003" s="449"/>
      <c r="TQV3003" s="462"/>
      <c r="TQW3003" s="299"/>
      <c r="TQX3003" s="81"/>
      <c r="TQY3003" s="160"/>
      <c r="TQZ3003" s="577"/>
      <c r="TRA3003" s="125"/>
      <c r="TRB3003" s="470"/>
      <c r="TRC3003" s="449"/>
      <c r="TRD3003" s="462"/>
      <c r="TRE3003" s="299"/>
      <c r="TRF3003" s="81"/>
      <c r="TRG3003" s="160"/>
      <c r="TRH3003" s="577"/>
      <c r="TRI3003" s="125"/>
      <c r="TRJ3003" s="470"/>
      <c r="TRK3003" s="449"/>
      <c r="TRL3003" s="462"/>
      <c r="TRM3003" s="299"/>
      <c r="TRN3003" s="81"/>
      <c r="TRO3003" s="160"/>
      <c r="TRP3003" s="577"/>
      <c r="TRQ3003" s="125"/>
      <c r="TRR3003" s="470"/>
      <c r="TRS3003" s="449"/>
      <c r="TRT3003" s="462"/>
      <c r="TRU3003" s="299"/>
      <c r="TRV3003" s="81"/>
      <c r="TRW3003" s="160"/>
      <c r="TRX3003" s="577"/>
      <c r="TRY3003" s="125"/>
      <c r="TRZ3003" s="470"/>
      <c r="TSA3003" s="449"/>
      <c r="TSB3003" s="462"/>
      <c r="TSC3003" s="299"/>
      <c r="TSD3003" s="81"/>
      <c r="TSE3003" s="160"/>
      <c r="TSF3003" s="577"/>
      <c r="TSG3003" s="125"/>
      <c r="TSH3003" s="470"/>
      <c r="TSI3003" s="449"/>
      <c r="TSJ3003" s="462"/>
      <c r="TSK3003" s="299"/>
      <c r="TSL3003" s="81"/>
      <c r="TSM3003" s="160"/>
      <c r="TSN3003" s="577"/>
      <c r="TSO3003" s="125"/>
      <c r="TSP3003" s="470"/>
      <c r="TSQ3003" s="449"/>
      <c r="TSR3003" s="462"/>
      <c r="TSS3003" s="299"/>
      <c r="TST3003" s="81"/>
      <c r="TSU3003" s="160"/>
      <c r="TSV3003" s="577"/>
      <c r="TSW3003" s="125"/>
      <c r="TSX3003" s="470"/>
      <c r="TSY3003" s="449"/>
      <c r="TSZ3003" s="462"/>
      <c r="TTA3003" s="299"/>
      <c r="TTB3003" s="81"/>
      <c r="TTC3003" s="160"/>
      <c r="TTD3003" s="577"/>
      <c r="TTE3003" s="125"/>
      <c r="TTF3003" s="470"/>
      <c r="TTG3003" s="449"/>
      <c r="TTH3003" s="462"/>
      <c r="TTI3003" s="299"/>
      <c r="TTJ3003" s="81"/>
      <c r="TTK3003" s="160"/>
      <c r="TTL3003" s="577"/>
      <c r="TTM3003" s="125"/>
      <c r="TTN3003" s="470"/>
      <c r="TTO3003" s="449"/>
      <c r="TTP3003" s="462"/>
      <c r="TTQ3003" s="299"/>
      <c r="TTR3003" s="81"/>
      <c r="TTS3003" s="160"/>
      <c r="TTT3003" s="577"/>
      <c r="TTU3003" s="125"/>
      <c r="TTV3003" s="470"/>
      <c r="TTW3003" s="449"/>
      <c r="TTX3003" s="462"/>
      <c r="TTY3003" s="299"/>
      <c r="TTZ3003" s="81"/>
      <c r="TUA3003" s="160"/>
      <c r="TUB3003" s="577"/>
      <c r="TUC3003" s="125"/>
      <c r="TUD3003" s="470"/>
      <c r="TUE3003" s="449"/>
      <c r="TUF3003" s="462"/>
      <c r="TUG3003" s="299"/>
      <c r="TUH3003" s="81"/>
      <c r="TUI3003" s="160"/>
      <c r="TUJ3003" s="577"/>
      <c r="TUK3003" s="125"/>
      <c r="TUL3003" s="470"/>
      <c r="TUM3003" s="449"/>
      <c r="TUN3003" s="462"/>
      <c r="TUO3003" s="299"/>
      <c r="TUP3003" s="81"/>
      <c r="TUQ3003" s="160"/>
      <c r="TUR3003" s="577"/>
      <c r="TUS3003" s="125"/>
      <c r="TUT3003" s="470"/>
      <c r="TUU3003" s="449"/>
      <c r="TUV3003" s="462"/>
      <c r="TUW3003" s="299"/>
      <c r="TUX3003" s="81"/>
      <c r="TUY3003" s="160"/>
      <c r="TUZ3003" s="577"/>
      <c r="TVA3003" s="125"/>
      <c r="TVB3003" s="470"/>
      <c r="TVC3003" s="449"/>
      <c r="TVD3003" s="462"/>
      <c r="TVE3003" s="299"/>
      <c r="TVF3003" s="81"/>
      <c r="TVG3003" s="160"/>
      <c r="TVH3003" s="577"/>
      <c r="TVI3003" s="125"/>
      <c r="TVJ3003" s="470"/>
      <c r="TVK3003" s="449"/>
      <c r="TVL3003" s="462"/>
      <c r="TVM3003" s="299"/>
      <c r="TVN3003" s="81"/>
      <c r="TVO3003" s="160"/>
      <c r="TVP3003" s="577"/>
      <c r="TVQ3003" s="125"/>
      <c r="TVR3003" s="470"/>
      <c r="TVS3003" s="449"/>
      <c r="TVT3003" s="462"/>
      <c r="TVU3003" s="299"/>
      <c r="TVV3003" s="81"/>
      <c r="TVW3003" s="160"/>
      <c r="TVX3003" s="577"/>
      <c r="TVY3003" s="125"/>
      <c r="TVZ3003" s="470"/>
      <c r="TWA3003" s="449"/>
      <c r="TWB3003" s="462"/>
      <c r="TWC3003" s="299"/>
      <c r="TWD3003" s="81"/>
      <c r="TWE3003" s="160"/>
      <c r="TWF3003" s="577"/>
      <c r="TWG3003" s="125"/>
      <c r="TWH3003" s="470"/>
      <c r="TWI3003" s="449"/>
      <c r="TWJ3003" s="462"/>
      <c r="TWK3003" s="299"/>
      <c r="TWL3003" s="81"/>
      <c r="TWM3003" s="160"/>
      <c r="TWN3003" s="577"/>
      <c r="TWO3003" s="125"/>
      <c r="TWP3003" s="470"/>
      <c r="TWQ3003" s="449"/>
      <c r="TWR3003" s="462"/>
      <c r="TWS3003" s="299"/>
      <c r="TWT3003" s="81"/>
      <c r="TWU3003" s="160"/>
      <c r="TWV3003" s="577"/>
      <c r="TWW3003" s="125"/>
      <c r="TWX3003" s="470"/>
      <c r="TWY3003" s="449"/>
      <c r="TWZ3003" s="462"/>
      <c r="TXA3003" s="299"/>
      <c r="TXB3003" s="81"/>
      <c r="TXC3003" s="160"/>
      <c r="TXD3003" s="577"/>
      <c r="TXE3003" s="125"/>
      <c r="TXF3003" s="470"/>
      <c r="TXG3003" s="449"/>
      <c r="TXH3003" s="462"/>
      <c r="TXI3003" s="299"/>
      <c r="TXJ3003" s="81"/>
      <c r="TXK3003" s="160"/>
      <c r="TXL3003" s="577"/>
      <c r="TXM3003" s="125"/>
      <c r="TXN3003" s="470"/>
      <c r="TXO3003" s="449"/>
      <c r="TXP3003" s="462"/>
      <c r="TXQ3003" s="299"/>
      <c r="TXR3003" s="81"/>
      <c r="TXS3003" s="160"/>
      <c r="TXT3003" s="577"/>
      <c r="TXU3003" s="125"/>
      <c r="TXV3003" s="470"/>
      <c r="TXW3003" s="449"/>
      <c r="TXX3003" s="462"/>
      <c r="TXY3003" s="299"/>
      <c r="TXZ3003" s="81"/>
      <c r="TYA3003" s="160"/>
      <c r="TYB3003" s="577"/>
      <c r="TYC3003" s="125"/>
      <c r="TYD3003" s="470"/>
      <c r="TYE3003" s="449"/>
      <c r="TYF3003" s="462"/>
      <c r="TYG3003" s="299"/>
      <c r="TYH3003" s="81"/>
      <c r="TYI3003" s="160"/>
      <c r="TYJ3003" s="577"/>
      <c r="TYK3003" s="125"/>
      <c r="TYL3003" s="470"/>
      <c r="TYM3003" s="449"/>
      <c r="TYN3003" s="462"/>
      <c r="TYO3003" s="299"/>
      <c r="TYP3003" s="81"/>
      <c r="TYQ3003" s="160"/>
      <c r="TYR3003" s="577"/>
      <c r="TYS3003" s="125"/>
      <c r="TYT3003" s="470"/>
      <c r="TYU3003" s="449"/>
      <c r="TYV3003" s="462"/>
      <c r="TYW3003" s="299"/>
      <c r="TYX3003" s="81"/>
      <c r="TYY3003" s="160"/>
      <c r="TYZ3003" s="577"/>
      <c r="TZA3003" s="125"/>
      <c r="TZB3003" s="470"/>
      <c r="TZC3003" s="449"/>
      <c r="TZD3003" s="462"/>
      <c r="TZE3003" s="299"/>
      <c r="TZF3003" s="81"/>
      <c r="TZG3003" s="160"/>
      <c r="TZH3003" s="577"/>
      <c r="TZI3003" s="125"/>
      <c r="TZJ3003" s="470"/>
      <c r="TZK3003" s="449"/>
      <c r="TZL3003" s="462"/>
      <c r="TZM3003" s="299"/>
      <c r="TZN3003" s="81"/>
      <c r="TZO3003" s="160"/>
      <c r="TZP3003" s="577"/>
      <c r="TZQ3003" s="125"/>
      <c r="TZR3003" s="470"/>
      <c r="TZS3003" s="449"/>
      <c r="TZT3003" s="462"/>
      <c r="TZU3003" s="299"/>
      <c r="TZV3003" s="81"/>
      <c r="TZW3003" s="160"/>
      <c r="TZX3003" s="577"/>
      <c r="TZY3003" s="125"/>
      <c r="TZZ3003" s="470"/>
      <c r="UAA3003" s="449"/>
      <c r="UAB3003" s="462"/>
      <c r="UAC3003" s="299"/>
      <c r="UAD3003" s="81"/>
      <c r="UAE3003" s="160"/>
      <c r="UAF3003" s="577"/>
      <c r="UAG3003" s="125"/>
      <c r="UAH3003" s="470"/>
      <c r="UAI3003" s="449"/>
      <c r="UAJ3003" s="462"/>
      <c r="UAK3003" s="299"/>
      <c r="UAL3003" s="81"/>
      <c r="UAM3003" s="160"/>
      <c r="UAN3003" s="577"/>
      <c r="UAO3003" s="125"/>
      <c r="UAP3003" s="470"/>
      <c r="UAQ3003" s="449"/>
      <c r="UAR3003" s="462"/>
      <c r="UAS3003" s="299"/>
      <c r="UAT3003" s="81"/>
      <c r="UAU3003" s="160"/>
      <c r="UAV3003" s="577"/>
      <c r="UAW3003" s="125"/>
      <c r="UAX3003" s="470"/>
      <c r="UAY3003" s="449"/>
      <c r="UAZ3003" s="462"/>
      <c r="UBA3003" s="299"/>
      <c r="UBB3003" s="81"/>
      <c r="UBC3003" s="160"/>
      <c r="UBD3003" s="577"/>
      <c r="UBE3003" s="125"/>
      <c r="UBF3003" s="470"/>
      <c r="UBG3003" s="449"/>
      <c r="UBH3003" s="462"/>
      <c r="UBI3003" s="299"/>
      <c r="UBJ3003" s="81"/>
      <c r="UBK3003" s="160"/>
      <c r="UBL3003" s="577"/>
      <c r="UBM3003" s="125"/>
      <c r="UBN3003" s="470"/>
      <c r="UBO3003" s="449"/>
      <c r="UBP3003" s="462"/>
      <c r="UBQ3003" s="299"/>
      <c r="UBR3003" s="81"/>
      <c r="UBS3003" s="160"/>
      <c r="UBT3003" s="577"/>
      <c r="UBU3003" s="125"/>
      <c r="UBV3003" s="470"/>
      <c r="UBW3003" s="449"/>
      <c r="UBX3003" s="462"/>
      <c r="UBY3003" s="299"/>
      <c r="UBZ3003" s="81"/>
      <c r="UCA3003" s="160"/>
      <c r="UCB3003" s="577"/>
      <c r="UCC3003" s="125"/>
      <c r="UCD3003" s="470"/>
      <c r="UCE3003" s="449"/>
      <c r="UCF3003" s="462"/>
      <c r="UCG3003" s="299"/>
      <c r="UCH3003" s="81"/>
      <c r="UCI3003" s="160"/>
      <c r="UCJ3003" s="577"/>
      <c r="UCK3003" s="125"/>
      <c r="UCL3003" s="470"/>
      <c r="UCM3003" s="449"/>
      <c r="UCN3003" s="462"/>
      <c r="UCO3003" s="299"/>
      <c r="UCP3003" s="81"/>
      <c r="UCQ3003" s="160"/>
      <c r="UCR3003" s="577"/>
      <c r="UCS3003" s="125"/>
      <c r="UCT3003" s="470"/>
      <c r="UCU3003" s="449"/>
      <c r="UCV3003" s="462"/>
      <c r="UCW3003" s="299"/>
      <c r="UCX3003" s="81"/>
      <c r="UCY3003" s="160"/>
      <c r="UCZ3003" s="577"/>
      <c r="UDA3003" s="125"/>
      <c r="UDB3003" s="470"/>
      <c r="UDC3003" s="449"/>
      <c r="UDD3003" s="462"/>
      <c r="UDE3003" s="299"/>
      <c r="UDF3003" s="81"/>
      <c r="UDG3003" s="160"/>
      <c r="UDH3003" s="577"/>
      <c r="UDI3003" s="125"/>
      <c r="UDJ3003" s="470"/>
      <c r="UDK3003" s="449"/>
      <c r="UDL3003" s="462"/>
      <c r="UDM3003" s="299"/>
      <c r="UDN3003" s="81"/>
      <c r="UDO3003" s="160"/>
      <c r="UDP3003" s="577"/>
      <c r="UDQ3003" s="125"/>
      <c r="UDR3003" s="470"/>
      <c r="UDS3003" s="449"/>
      <c r="UDT3003" s="462"/>
      <c r="UDU3003" s="299"/>
      <c r="UDV3003" s="81"/>
      <c r="UDW3003" s="160"/>
      <c r="UDX3003" s="577"/>
      <c r="UDY3003" s="125"/>
      <c r="UDZ3003" s="470"/>
      <c r="UEA3003" s="449"/>
      <c r="UEB3003" s="462"/>
      <c r="UEC3003" s="299"/>
      <c r="UED3003" s="81"/>
      <c r="UEE3003" s="160"/>
      <c r="UEF3003" s="577"/>
      <c r="UEG3003" s="125"/>
      <c r="UEH3003" s="470"/>
      <c r="UEI3003" s="449"/>
      <c r="UEJ3003" s="462"/>
      <c r="UEK3003" s="299"/>
      <c r="UEL3003" s="81"/>
      <c r="UEM3003" s="160"/>
      <c r="UEN3003" s="577"/>
      <c r="UEO3003" s="125"/>
      <c r="UEP3003" s="470"/>
      <c r="UEQ3003" s="449"/>
      <c r="UER3003" s="462"/>
      <c r="UES3003" s="299"/>
      <c r="UET3003" s="81"/>
      <c r="UEU3003" s="160"/>
      <c r="UEV3003" s="577"/>
      <c r="UEW3003" s="125"/>
      <c r="UEX3003" s="470"/>
      <c r="UEY3003" s="449"/>
      <c r="UEZ3003" s="462"/>
      <c r="UFA3003" s="299"/>
      <c r="UFB3003" s="81"/>
      <c r="UFC3003" s="160"/>
      <c r="UFD3003" s="577"/>
      <c r="UFE3003" s="125"/>
      <c r="UFF3003" s="470"/>
      <c r="UFG3003" s="449"/>
      <c r="UFH3003" s="462"/>
      <c r="UFI3003" s="299"/>
      <c r="UFJ3003" s="81"/>
      <c r="UFK3003" s="160"/>
      <c r="UFL3003" s="577"/>
      <c r="UFM3003" s="125"/>
      <c r="UFN3003" s="470"/>
      <c r="UFO3003" s="449"/>
      <c r="UFP3003" s="462"/>
      <c r="UFQ3003" s="299"/>
      <c r="UFR3003" s="81"/>
      <c r="UFS3003" s="160"/>
      <c r="UFT3003" s="577"/>
      <c r="UFU3003" s="125"/>
      <c r="UFV3003" s="470"/>
      <c r="UFW3003" s="449"/>
      <c r="UFX3003" s="462"/>
      <c r="UFY3003" s="299"/>
      <c r="UFZ3003" s="81"/>
      <c r="UGA3003" s="160"/>
      <c r="UGB3003" s="577"/>
      <c r="UGC3003" s="125"/>
      <c r="UGD3003" s="470"/>
      <c r="UGE3003" s="449"/>
      <c r="UGF3003" s="462"/>
      <c r="UGG3003" s="299"/>
      <c r="UGH3003" s="81"/>
      <c r="UGI3003" s="160"/>
      <c r="UGJ3003" s="577"/>
      <c r="UGK3003" s="125"/>
      <c r="UGL3003" s="470"/>
      <c r="UGM3003" s="449"/>
      <c r="UGN3003" s="462"/>
      <c r="UGO3003" s="299"/>
      <c r="UGP3003" s="81"/>
      <c r="UGQ3003" s="160"/>
      <c r="UGR3003" s="577"/>
      <c r="UGS3003" s="125"/>
      <c r="UGT3003" s="470"/>
      <c r="UGU3003" s="449"/>
      <c r="UGV3003" s="462"/>
      <c r="UGW3003" s="299"/>
      <c r="UGX3003" s="81"/>
      <c r="UGY3003" s="160"/>
      <c r="UGZ3003" s="577"/>
      <c r="UHA3003" s="125"/>
      <c r="UHB3003" s="470"/>
      <c r="UHC3003" s="449"/>
      <c r="UHD3003" s="462"/>
      <c r="UHE3003" s="299"/>
      <c r="UHF3003" s="81"/>
      <c r="UHG3003" s="160"/>
      <c r="UHH3003" s="577"/>
      <c r="UHI3003" s="125"/>
      <c r="UHJ3003" s="470"/>
      <c r="UHK3003" s="449"/>
      <c r="UHL3003" s="462"/>
      <c r="UHM3003" s="299"/>
      <c r="UHN3003" s="81"/>
      <c r="UHO3003" s="160"/>
      <c r="UHP3003" s="577"/>
      <c r="UHQ3003" s="125"/>
      <c r="UHR3003" s="470"/>
      <c r="UHS3003" s="449"/>
      <c r="UHT3003" s="462"/>
      <c r="UHU3003" s="299"/>
      <c r="UHV3003" s="81"/>
      <c r="UHW3003" s="160"/>
      <c r="UHX3003" s="577"/>
      <c r="UHY3003" s="125"/>
      <c r="UHZ3003" s="470"/>
      <c r="UIA3003" s="449"/>
      <c r="UIB3003" s="462"/>
      <c r="UIC3003" s="299"/>
      <c r="UID3003" s="81"/>
      <c r="UIE3003" s="160"/>
      <c r="UIF3003" s="577"/>
      <c r="UIG3003" s="125"/>
      <c r="UIH3003" s="470"/>
      <c r="UII3003" s="449"/>
      <c r="UIJ3003" s="462"/>
      <c r="UIK3003" s="299"/>
      <c r="UIL3003" s="81"/>
      <c r="UIM3003" s="160"/>
      <c r="UIN3003" s="577"/>
      <c r="UIO3003" s="125"/>
      <c r="UIP3003" s="470"/>
      <c r="UIQ3003" s="449"/>
      <c r="UIR3003" s="462"/>
      <c r="UIS3003" s="299"/>
      <c r="UIT3003" s="81"/>
      <c r="UIU3003" s="160"/>
      <c r="UIV3003" s="577"/>
      <c r="UIW3003" s="125"/>
      <c r="UIX3003" s="470"/>
      <c r="UIY3003" s="449"/>
      <c r="UIZ3003" s="462"/>
      <c r="UJA3003" s="299"/>
      <c r="UJB3003" s="81"/>
      <c r="UJC3003" s="160"/>
      <c r="UJD3003" s="577"/>
      <c r="UJE3003" s="125"/>
      <c r="UJF3003" s="470"/>
      <c r="UJG3003" s="449"/>
      <c r="UJH3003" s="462"/>
      <c r="UJI3003" s="299"/>
      <c r="UJJ3003" s="81"/>
      <c r="UJK3003" s="160"/>
      <c r="UJL3003" s="577"/>
      <c r="UJM3003" s="125"/>
      <c r="UJN3003" s="470"/>
      <c r="UJO3003" s="449"/>
      <c r="UJP3003" s="462"/>
      <c r="UJQ3003" s="299"/>
      <c r="UJR3003" s="81"/>
      <c r="UJS3003" s="160"/>
      <c r="UJT3003" s="577"/>
      <c r="UJU3003" s="125"/>
      <c r="UJV3003" s="470"/>
      <c r="UJW3003" s="449"/>
      <c r="UJX3003" s="462"/>
      <c r="UJY3003" s="299"/>
      <c r="UJZ3003" s="81"/>
      <c r="UKA3003" s="160"/>
      <c r="UKB3003" s="577"/>
      <c r="UKC3003" s="125"/>
      <c r="UKD3003" s="470"/>
      <c r="UKE3003" s="449"/>
      <c r="UKF3003" s="462"/>
      <c r="UKG3003" s="299"/>
      <c r="UKH3003" s="81"/>
      <c r="UKI3003" s="160"/>
      <c r="UKJ3003" s="577"/>
      <c r="UKK3003" s="125"/>
      <c r="UKL3003" s="470"/>
      <c r="UKM3003" s="449"/>
      <c r="UKN3003" s="462"/>
      <c r="UKO3003" s="299"/>
      <c r="UKP3003" s="81"/>
      <c r="UKQ3003" s="160"/>
      <c r="UKR3003" s="577"/>
      <c r="UKS3003" s="125"/>
      <c r="UKT3003" s="470"/>
      <c r="UKU3003" s="449"/>
      <c r="UKV3003" s="462"/>
      <c r="UKW3003" s="299"/>
      <c r="UKX3003" s="81"/>
      <c r="UKY3003" s="160"/>
      <c r="UKZ3003" s="577"/>
      <c r="ULA3003" s="125"/>
      <c r="ULB3003" s="470"/>
      <c r="ULC3003" s="449"/>
      <c r="ULD3003" s="462"/>
      <c r="ULE3003" s="299"/>
      <c r="ULF3003" s="81"/>
      <c r="ULG3003" s="160"/>
      <c r="ULH3003" s="577"/>
      <c r="ULI3003" s="125"/>
      <c r="ULJ3003" s="470"/>
      <c r="ULK3003" s="449"/>
      <c r="ULL3003" s="462"/>
      <c r="ULM3003" s="299"/>
      <c r="ULN3003" s="81"/>
      <c r="ULO3003" s="160"/>
      <c r="ULP3003" s="577"/>
      <c r="ULQ3003" s="125"/>
      <c r="ULR3003" s="470"/>
      <c r="ULS3003" s="449"/>
      <c r="ULT3003" s="462"/>
      <c r="ULU3003" s="299"/>
      <c r="ULV3003" s="81"/>
      <c r="ULW3003" s="160"/>
      <c r="ULX3003" s="577"/>
      <c r="ULY3003" s="125"/>
      <c r="ULZ3003" s="470"/>
      <c r="UMA3003" s="449"/>
      <c r="UMB3003" s="462"/>
      <c r="UMC3003" s="299"/>
      <c r="UMD3003" s="81"/>
      <c r="UME3003" s="160"/>
      <c r="UMF3003" s="577"/>
      <c r="UMG3003" s="125"/>
      <c r="UMH3003" s="470"/>
      <c r="UMI3003" s="449"/>
      <c r="UMJ3003" s="462"/>
      <c r="UMK3003" s="299"/>
      <c r="UML3003" s="81"/>
      <c r="UMM3003" s="160"/>
      <c r="UMN3003" s="577"/>
      <c r="UMO3003" s="125"/>
      <c r="UMP3003" s="470"/>
      <c r="UMQ3003" s="449"/>
      <c r="UMR3003" s="462"/>
      <c r="UMS3003" s="299"/>
      <c r="UMT3003" s="81"/>
      <c r="UMU3003" s="160"/>
      <c r="UMV3003" s="577"/>
      <c r="UMW3003" s="125"/>
      <c r="UMX3003" s="470"/>
      <c r="UMY3003" s="449"/>
      <c r="UMZ3003" s="462"/>
      <c r="UNA3003" s="299"/>
      <c r="UNB3003" s="81"/>
      <c r="UNC3003" s="160"/>
      <c r="UND3003" s="577"/>
      <c r="UNE3003" s="125"/>
      <c r="UNF3003" s="470"/>
      <c r="UNG3003" s="449"/>
      <c r="UNH3003" s="462"/>
      <c r="UNI3003" s="299"/>
      <c r="UNJ3003" s="81"/>
      <c r="UNK3003" s="160"/>
      <c r="UNL3003" s="577"/>
      <c r="UNM3003" s="125"/>
      <c r="UNN3003" s="470"/>
      <c r="UNO3003" s="449"/>
      <c r="UNP3003" s="462"/>
      <c r="UNQ3003" s="299"/>
      <c r="UNR3003" s="81"/>
      <c r="UNS3003" s="160"/>
      <c r="UNT3003" s="577"/>
      <c r="UNU3003" s="125"/>
      <c r="UNV3003" s="470"/>
      <c r="UNW3003" s="449"/>
      <c r="UNX3003" s="462"/>
      <c r="UNY3003" s="299"/>
      <c r="UNZ3003" s="81"/>
      <c r="UOA3003" s="160"/>
      <c r="UOB3003" s="577"/>
      <c r="UOC3003" s="125"/>
      <c r="UOD3003" s="470"/>
      <c r="UOE3003" s="449"/>
      <c r="UOF3003" s="462"/>
      <c r="UOG3003" s="299"/>
      <c r="UOH3003" s="81"/>
      <c r="UOI3003" s="160"/>
      <c r="UOJ3003" s="577"/>
      <c r="UOK3003" s="125"/>
      <c r="UOL3003" s="470"/>
      <c r="UOM3003" s="449"/>
      <c r="UON3003" s="462"/>
      <c r="UOO3003" s="299"/>
      <c r="UOP3003" s="81"/>
      <c r="UOQ3003" s="160"/>
      <c r="UOR3003" s="577"/>
      <c r="UOS3003" s="125"/>
      <c r="UOT3003" s="470"/>
      <c r="UOU3003" s="449"/>
      <c r="UOV3003" s="462"/>
      <c r="UOW3003" s="299"/>
      <c r="UOX3003" s="81"/>
      <c r="UOY3003" s="160"/>
      <c r="UOZ3003" s="577"/>
      <c r="UPA3003" s="125"/>
      <c r="UPB3003" s="470"/>
      <c r="UPC3003" s="449"/>
      <c r="UPD3003" s="462"/>
      <c r="UPE3003" s="299"/>
      <c r="UPF3003" s="81"/>
      <c r="UPG3003" s="160"/>
      <c r="UPH3003" s="577"/>
      <c r="UPI3003" s="125"/>
      <c r="UPJ3003" s="470"/>
      <c r="UPK3003" s="449"/>
      <c r="UPL3003" s="462"/>
      <c r="UPM3003" s="299"/>
      <c r="UPN3003" s="81"/>
      <c r="UPO3003" s="160"/>
      <c r="UPP3003" s="577"/>
      <c r="UPQ3003" s="125"/>
      <c r="UPR3003" s="470"/>
      <c r="UPS3003" s="449"/>
      <c r="UPT3003" s="462"/>
      <c r="UPU3003" s="299"/>
      <c r="UPV3003" s="81"/>
      <c r="UPW3003" s="160"/>
      <c r="UPX3003" s="577"/>
      <c r="UPY3003" s="125"/>
      <c r="UPZ3003" s="470"/>
      <c r="UQA3003" s="449"/>
      <c r="UQB3003" s="462"/>
      <c r="UQC3003" s="299"/>
      <c r="UQD3003" s="81"/>
      <c r="UQE3003" s="160"/>
      <c r="UQF3003" s="577"/>
      <c r="UQG3003" s="125"/>
      <c r="UQH3003" s="470"/>
      <c r="UQI3003" s="449"/>
      <c r="UQJ3003" s="462"/>
      <c r="UQK3003" s="299"/>
      <c r="UQL3003" s="81"/>
      <c r="UQM3003" s="160"/>
      <c r="UQN3003" s="577"/>
      <c r="UQO3003" s="125"/>
      <c r="UQP3003" s="470"/>
      <c r="UQQ3003" s="449"/>
      <c r="UQR3003" s="462"/>
      <c r="UQS3003" s="299"/>
      <c r="UQT3003" s="81"/>
      <c r="UQU3003" s="160"/>
      <c r="UQV3003" s="577"/>
      <c r="UQW3003" s="125"/>
      <c r="UQX3003" s="470"/>
      <c r="UQY3003" s="449"/>
      <c r="UQZ3003" s="462"/>
      <c r="URA3003" s="299"/>
      <c r="URB3003" s="81"/>
      <c r="URC3003" s="160"/>
      <c r="URD3003" s="577"/>
      <c r="URE3003" s="125"/>
      <c r="URF3003" s="470"/>
      <c r="URG3003" s="449"/>
      <c r="URH3003" s="462"/>
      <c r="URI3003" s="299"/>
      <c r="URJ3003" s="81"/>
      <c r="URK3003" s="160"/>
      <c r="URL3003" s="577"/>
      <c r="URM3003" s="125"/>
      <c r="URN3003" s="470"/>
      <c r="URO3003" s="449"/>
      <c r="URP3003" s="462"/>
      <c r="URQ3003" s="299"/>
      <c r="URR3003" s="81"/>
      <c r="URS3003" s="160"/>
      <c r="URT3003" s="577"/>
      <c r="URU3003" s="125"/>
      <c r="URV3003" s="470"/>
      <c r="URW3003" s="449"/>
      <c r="URX3003" s="462"/>
      <c r="URY3003" s="299"/>
      <c r="URZ3003" s="81"/>
      <c r="USA3003" s="160"/>
      <c r="USB3003" s="577"/>
      <c r="USC3003" s="125"/>
      <c r="USD3003" s="470"/>
      <c r="USE3003" s="449"/>
      <c r="USF3003" s="462"/>
      <c r="USG3003" s="299"/>
      <c r="USH3003" s="81"/>
      <c r="USI3003" s="160"/>
      <c r="USJ3003" s="577"/>
      <c r="USK3003" s="125"/>
      <c r="USL3003" s="470"/>
      <c r="USM3003" s="449"/>
      <c r="USN3003" s="462"/>
      <c r="USO3003" s="299"/>
      <c r="USP3003" s="81"/>
      <c r="USQ3003" s="160"/>
      <c r="USR3003" s="577"/>
      <c r="USS3003" s="125"/>
      <c r="UST3003" s="470"/>
      <c r="USU3003" s="449"/>
      <c r="USV3003" s="462"/>
      <c r="USW3003" s="299"/>
      <c r="USX3003" s="81"/>
      <c r="USY3003" s="160"/>
      <c r="USZ3003" s="577"/>
      <c r="UTA3003" s="125"/>
      <c r="UTB3003" s="470"/>
      <c r="UTC3003" s="449"/>
      <c r="UTD3003" s="462"/>
      <c r="UTE3003" s="299"/>
      <c r="UTF3003" s="81"/>
      <c r="UTG3003" s="160"/>
      <c r="UTH3003" s="577"/>
      <c r="UTI3003" s="125"/>
      <c r="UTJ3003" s="470"/>
      <c r="UTK3003" s="449"/>
      <c r="UTL3003" s="462"/>
      <c r="UTM3003" s="299"/>
      <c r="UTN3003" s="81"/>
      <c r="UTO3003" s="160"/>
      <c r="UTP3003" s="577"/>
      <c r="UTQ3003" s="125"/>
      <c r="UTR3003" s="470"/>
      <c r="UTS3003" s="449"/>
      <c r="UTT3003" s="462"/>
      <c r="UTU3003" s="299"/>
      <c r="UTV3003" s="81"/>
      <c r="UTW3003" s="160"/>
      <c r="UTX3003" s="577"/>
      <c r="UTY3003" s="125"/>
      <c r="UTZ3003" s="470"/>
      <c r="UUA3003" s="449"/>
      <c r="UUB3003" s="462"/>
      <c r="UUC3003" s="299"/>
      <c r="UUD3003" s="81"/>
      <c r="UUE3003" s="160"/>
      <c r="UUF3003" s="577"/>
      <c r="UUG3003" s="125"/>
      <c r="UUH3003" s="470"/>
      <c r="UUI3003" s="449"/>
      <c r="UUJ3003" s="462"/>
      <c r="UUK3003" s="299"/>
      <c r="UUL3003" s="81"/>
      <c r="UUM3003" s="160"/>
      <c r="UUN3003" s="577"/>
      <c r="UUO3003" s="125"/>
      <c r="UUP3003" s="470"/>
      <c r="UUQ3003" s="449"/>
      <c r="UUR3003" s="462"/>
      <c r="UUS3003" s="299"/>
      <c r="UUT3003" s="81"/>
      <c r="UUU3003" s="160"/>
      <c r="UUV3003" s="577"/>
      <c r="UUW3003" s="125"/>
      <c r="UUX3003" s="470"/>
      <c r="UUY3003" s="449"/>
      <c r="UUZ3003" s="462"/>
      <c r="UVA3003" s="299"/>
      <c r="UVB3003" s="81"/>
      <c r="UVC3003" s="160"/>
      <c r="UVD3003" s="577"/>
      <c r="UVE3003" s="125"/>
      <c r="UVF3003" s="470"/>
      <c r="UVG3003" s="449"/>
      <c r="UVH3003" s="462"/>
      <c r="UVI3003" s="299"/>
      <c r="UVJ3003" s="81"/>
      <c r="UVK3003" s="160"/>
      <c r="UVL3003" s="577"/>
      <c r="UVM3003" s="125"/>
      <c r="UVN3003" s="470"/>
      <c r="UVO3003" s="449"/>
      <c r="UVP3003" s="462"/>
      <c r="UVQ3003" s="299"/>
      <c r="UVR3003" s="81"/>
      <c r="UVS3003" s="160"/>
      <c r="UVT3003" s="577"/>
      <c r="UVU3003" s="125"/>
      <c r="UVV3003" s="470"/>
      <c r="UVW3003" s="449"/>
      <c r="UVX3003" s="462"/>
      <c r="UVY3003" s="299"/>
      <c r="UVZ3003" s="81"/>
      <c r="UWA3003" s="160"/>
      <c r="UWB3003" s="577"/>
      <c r="UWC3003" s="125"/>
      <c r="UWD3003" s="470"/>
      <c r="UWE3003" s="449"/>
      <c r="UWF3003" s="462"/>
      <c r="UWG3003" s="299"/>
      <c r="UWH3003" s="81"/>
      <c r="UWI3003" s="160"/>
      <c r="UWJ3003" s="577"/>
      <c r="UWK3003" s="125"/>
      <c r="UWL3003" s="470"/>
      <c r="UWM3003" s="449"/>
      <c r="UWN3003" s="462"/>
      <c r="UWO3003" s="299"/>
      <c r="UWP3003" s="81"/>
      <c r="UWQ3003" s="160"/>
      <c r="UWR3003" s="577"/>
      <c r="UWS3003" s="125"/>
      <c r="UWT3003" s="470"/>
      <c r="UWU3003" s="449"/>
      <c r="UWV3003" s="462"/>
      <c r="UWW3003" s="299"/>
      <c r="UWX3003" s="81"/>
      <c r="UWY3003" s="160"/>
      <c r="UWZ3003" s="577"/>
      <c r="UXA3003" s="125"/>
      <c r="UXB3003" s="470"/>
      <c r="UXC3003" s="449"/>
      <c r="UXD3003" s="462"/>
      <c r="UXE3003" s="299"/>
      <c r="UXF3003" s="81"/>
      <c r="UXG3003" s="160"/>
      <c r="UXH3003" s="577"/>
      <c r="UXI3003" s="125"/>
      <c r="UXJ3003" s="470"/>
      <c r="UXK3003" s="449"/>
      <c r="UXL3003" s="462"/>
      <c r="UXM3003" s="299"/>
      <c r="UXN3003" s="81"/>
      <c r="UXO3003" s="160"/>
      <c r="UXP3003" s="577"/>
      <c r="UXQ3003" s="125"/>
      <c r="UXR3003" s="470"/>
      <c r="UXS3003" s="449"/>
      <c r="UXT3003" s="462"/>
      <c r="UXU3003" s="299"/>
      <c r="UXV3003" s="81"/>
      <c r="UXW3003" s="160"/>
      <c r="UXX3003" s="577"/>
      <c r="UXY3003" s="125"/>
      <c r="UXZ3003" s="470"/>
      <c r="UYA3003" s="449"/>
      <c r="UYB3003" s="462"/>
      <c r="UYC3003" s="299"/>
      <c r="UYD3003" s="81"/>
      <c r="UYE3003" s="160"/>
      <c r="UYF3003" s="577"/>
      <c r="UYG3003" s="125"/>
      <c r="UYH3003" s="470"/>
      <c r="UYI3003" s="449"/>
      <c r="UYJ3003" s="462"/>
      <c r="UYK3003" s="299"/>
      <c r="UYL3003" s="81"/>
      <c r="UYM3003" s="160"/>
      <c r="UYN3003" s="577"/>
      <c r="UYO3003" s="125"/>
      <c r="UYP3003" s="470"/>
      <c r="UYQ3003" s="449"/>
      <c r="UYR3003" s="462"/>
      <c r="UYS3003" s="299"/>
      <c r="UYT3003" s="81"/>
      <c r="UYU3003" s="160"/>
      <c r="UYV3003" s="577"/>
      <c r="UYW3003" s="125"/>
      <c r="UYX3003" s="470"/>
      <c r="UYY3003" s="449"/>
      <c r="UYZ3003" s="462"/>
      <c r="UZA3003" s="299"/>
      <c r="UZB3003" s="81"/>
      <c r="UZC3003" s="160"/>
      <c r="UZD3003" s="577"/>
      <c r="UZE3003" s="125"/>
      <c r="UZF3003" s="470"/>
      <c r="UZG3003" s="449"/>
      <c r="UZH3003" s="462"/>
      <c r="UZI3003" s="299"/>
      <c r="UZJ3003" s="81"/>
      <c r="UZK3003" s="160"/>
      <c r="UZL3003" s="577"/>
      <c r="UZM3003" s="125"/>
      <c r="UZN3003" s="470"/>
      <c r="UZO3003" s="449"/>
      <c r="UZP3003" s="462"/>
      <c r="UZQ3003" s="299"/>
      <c r="UZR3003" s="81"/>
      <c r="UZS3003" s="160"/>
      <c r="UZT3003" s="577"/>
      <c r="UZU3003" s="125"/>
      <c r="UZV3003" s="470"/>
      <c r="UZW3003" s="449"/>
      <c r="UZX3003" s="462"/>
      <c r="UZY3003" s="299"/>
      <c r="UZZ3003" s="81"/>
      <c r="VAA3003" s="160"/>
      <c r="VAB3003" s="577"/>
      <c r="VAC3003" s="125"/>
      <c r="VAD3003" s="470"/>
      <c r="VAE3003" s="449"/>
      <c r="VAF3003" s="462"/>
      <c r="VAG3003" s="299"/>
      <c r="VAH3003" s="81"/>
      <c r="VAI3003" s="160"/>
      <c r="VAJ3003" s="577"/>
      <c r="VAK3003" s="125"/>
      <c r="VAL3003" s="470"/>
      <c r="VAM3003" s="449"/>
      <c r="VAN3003" s="462"/>
      <c r="VAO3003" s="299"/>
      <c r="VAP3003" s="81"/>
      <c r="VAQ3003" s="160"/>
      <c r="VAR3003" s="577"/>
      <c r="VAS3003" s="125"/>
      <c r="VAT3003" s="470"/>
      <c r="VAU3003" s="449"/>
      <c r="VAV3003" s="462"/>
      <c r="VAW3003" s="299"/>
      <c r="VAX3003" s="81"/>
      <c r="VAY3003" s="160"/>
      <c r="VAZ3003" s="577"/>
      <c r="VBA3003" s="125"/>
      <c r="VBB3003" s="470"/>
      <c r="VBC3003" s="449"/>
      <c r="VBD3003" s="462"/>
      <c r="VBE3003" s="299"/>
      <c r="VBF3003" s="81"/>
      <c r="VBG3003" s="160"/>
      <c r="VBH3003" s="577"/>
      <c r="VBI3003" s="125"/>
      <c r="VBJ3003" s="470"/>
      <c r="VBK3003" s="449"/>
      <c r="VBL3003" s="462"/>
      <c r="VBM3003" s="299"/>
      <c r="VBN3003" s="81"/>
      <c r="VBO3003" s="160"/>
      <c r="VBP3003" s="577"/>
      <c r="VBQ3003" s="125"/>
      <c r="VBR3003" s="470"/>
      <c r="VBS3003" s="449"/>
      <c r="VBT3003" s="462"/>
      <c r="VBU3003" s="299"/>
      <c r="VBV3003" s="81"/>
      <c r="VBW3003" s="160"/>
      <c r="VBX3003" s="577"/>
      <c r="VBY3003" s="125"/>
      <c r="VBZ3003" s="470"/>
      <c r="VCA3003" s="449"/>
      <c r="VCB3003" s="462"/>
      <c r="VCC3003" s="299"/>
      <c r="VCD3003" s="81"/>
      <c r="VCE3003" s="160"/>
      <c r="VCF3003" s="577"/>
      <c r="VCG3003" s="125"/>
      <c r="VCH3003" s="470"/>
      <c r="VCI3003" s="449"/>
      <c r="VCJ3003" s="462"/>
      <c r="VCK3003" s="299"/>
      <c r="VCL3003" s="81"/>
      <c r="VCM3003" s="160"/>
      <c r="VCN3003" s="577"/>
      <c r="VCO3003" s="125"/>
      <c r="VCP3003" s="470"/>
      <c r="VCQ3003" s="449"/>
      <c r="VCR3003" s="462"/>
      <c r="VCS3003" s="299"/>
      <c r="VCT3003" s="81"/>
      <c r="VCU3003" s="160"/>
      <c r="VCV3003" s="577"/>
      <c r="VCW3003" s="125"/>
      <c r="VCX3003" s="470"/>
      <c r="VCY3003" s="449"/>
      <c r="VCZ3003" s="462"/>
      <c r="VDA3003" s="299"/>
      <c r="VDB3003" s="81"/>
      <c r="VDC3003" s="160"/>
      <c r="VDD3003" s="577"/>
      <c r="VDE3003" s="125"/>
      <c r="VDF3003" s="470"/>
      <c r="VDG3003" s="449"/>
      <c r="VDH3003" s="462"/>
      <c r="VDI3003" s="299"/>
      <c r="VDJ3003" s="81"/>
      <c r="VDK3003" s="160"/>
      <c r="VDL3003" s="577"/>
      <c r="VDM3003" s="125"/>
      <c r="VDN3003" s="470"/>
      <c r="VDO3003" s="449"/>
      <c r="VDP3003" s="462"/>
      <c r="VDQ3003" s="299"/>
      <c r="VDR3003" s="81"/>
      <c r="VDS3003" s="160"/>
      <c r="VDT3003" s="577"/>
      <c r="VDU3003" s="125"/>
      <c r="VDV3003" s="470"/>
      <c r="VDW3003" s="449"/>
      <c r="VDX3003" s="462"/>
      <c r="VDY3003" s="299"/>
      <c r="VDZ3003" s="81"/>
      <c r="VEA3003" s="160"/>
      <c r="VEB3003" s="577"/>
      <c r="VEC3003" s="125"/>
      <c r="VED3003" s="470"/>
      <c r="VEE3003" s="449"/>
      <c r="VEF3003" s="462"/>
      <c r="VEG3003" s="299"/>
      <c r="VEH3003" s="81"/>
      <c r="VEI3003" s="160"/>
      <c r="VEJ3003" s="577"/>
      <c r="VEK3003" s="125"/>
      <c r="VEL3003" s="470"/>
      <c r="VEM3003" s="449"/>
      <c r="VEN3003" s="462"/>
      <c r="VEO3003" s="299"/>
      <c r="VEP3003" s="81"/>
      <c r="VEQ3003" s="160"/>
      <c r="VER3003" s="577"/>
      <c r="VES3003" s="125"/>
      <c r="VET3003" s="470"/>
      <c r="VEU3003" s="449"/>
      <c r="VEV3003" s="462"/>
      <c r="VEW3003" s="299"/>
      <c r="VEX3003" s="81"/>
      <c r="VEY3003" s="160"/>
      <c r="VEZ3003" s="577"/>
      <c r="VFA3003" s="125"/>
      <c r="VFB3003" s="470"/>
      <c r="VFC3003" s="449"/>
      <c r="VFD3003" s="462"/>
      <c r="VFE3003" s="299"/>
      <c r="VFF3003" s="81"/>
      <c r="VFG3003" s="160"/>
      <c r="VFH3003" s="577"/>
      <c r="VFI3003" s="125"/>
      <c r="VFJ3003" s="470"/>
      <c r="VFK3003" s="449"/>
      <c r="VFL3003" s="462"/>
      <c r="VFM3003" s="299"/>
      <c r="VFN3003" s="81"/>
      <c r="VFO3003" s="160"/>
      <c r="VFP3003" s="577"/>
      <c r="VFQ3003" s="125"/>
      <c r="VFR3003" s="470"/>
      <c r="VFS3003" s="449"/>
      <c r="VFT3003" s="462"/>
      <c r="VFU3003" s="299"/>
      <c r="VFV3003" s="81"/>
      <c r="VFW3003" s="160"/>
      <c r="VFX3003" s="577"/>
      <c r="VFY3003" s="125"/>
      <c r="VFZ3003" s="470"/>
      <c r="VGA3003" s="449"/>
      <c r="VGB3003" s="462"/>
      <c r="VGC3003" s="299"/>
      <c r="VGD3003" s="81"/>
      <c r="VGE3003" s="160"/>
      <c r="VGF3003" s="577"/>
      <c r="VGG3003" s="125"/>
      <c r="VGH3003" s="470"/>
      <c r="VGI3003" s="449"/>
      <c r="VGJ3003" s="462"/>
      <c r="VGK3003" s="299"/>
      <c r="VGL3003" s="81"/>
      <c r="VGM3003" s="160"/>
      <c r="VGN3003" s="577"/>
      <c r="VGO3003" s="125"/>
      <c r="VGP3003" s="470"/>
      <c r="VGQ3003" s="449"/>
      <c r="VGR3003" s="462"/>
      <c r="VGS3003" s="299"/>
      <c r="VGT3003" s="81"/>
      <c r="VGU3003" s="160"/>
      <c r="VGV3003" s="577"/>
      <c r="VGW3003" s="125"/>
      <c r="VGX3003" s="470"/>
      <c r="VGY3003" s="449"/>
      <c r="VGZ3003" s="462"/>
      <c r="VHA3003" s="299"/>
      <c r="VHB3003" s="81"/>
      <c r="VHC3003" s="160"/>
      <c r="VHD3003" s="577"/>
      <c r="VHE3003" s="125"/>
      <c r="VHF3003" s="470"/>
      <c r="VHG3003" s="449"/>
      <c r="VHH3003" s="462"/>
      <c r="VHI3003" s="299"/>
      <c r="VHJ3003" s="81"/>
      <c r="VHK3003" s="160"/>
      <c r="VHL3003" s="577"/>
      <c r="VHM3003" s="125"/>
      <c r="VHN3003" s="470"/>
      <c r="VHO3003" s="449"/>
      <c r="VHP3003" s="462"/>
      <c r="VHQ3003" s="299"/>
      <c r="VHR3003" s="81"/>
      <c r="VHS3003" s="160"/>
      <c r="VHT3003" s="577"/>
      <c r="VHU3003" s="125"/>
      <c r="VHV3003" s="470"/>
      <c r="VHW3003" s="449"/>
      <c r="VHX3003" s="462"/>
      <c r="VHY3003" s="299"/>
      <c r="VHZ3003" s="81"/>
      <c r="VIA3003" s="160"/>
      <c r="VIB3003" s="577"/>
      <c r="VIC3003" s="125"/>
      <c r="VID3003" s="470"/>
      <c r="VIE3003" s="449"/>
      <c r="VIF3003" s="462"/>
      <c r="VIG3003" s="299"/>
      <c r="VIH3003" s="81"/>
      <c r="VII3003" s="160"/>
      <c r="VIJ3003" s="577"/>
      <c r="VIK3003" s="125"/>
      <c r="VIL3003" s="470"/>
      <c r="VIM3003" s="449"/>
      <c r="VIN3003" s="462"/>
      <c r="VIO3003" s="299"/>
      <c r="VIP3003" s="81"/>
      <c r="VIQ3003" s="160"/>
      <c r="VIR3003" s="577"/>
      <c r="VIS3003" s="125"/>
      <c r="VIT3003" s="470"/>
      <c r="VIU3003" s="449"/>
      <c r="VIV3003" s="462"/>
      <c r="VIW3003" s="299"/>
      <c r="VIX3003" s="81"/>
      <c r="VIY3003" s="160"/>
      <c r="VIZ3003" s="577"/>
      <c r="VJA3003" s="125"/>
      <c r="VJB3003" s="470"/>
      <c r="VJC3003" s="449"/>
      <c r="VJD3003" s="462"/>
      <c r="VJE3003" s="299"/>
      <c r="VJF3003" s="81"/>
      <c r="VJG3003" s="160"/>
      <c r="VJH3003" s="577"/>
      <c r="VJI3003" s="125"/>
      <c r="VJJ3003" s="470"/>
      <c r="VJK3003" s="449"/>
      <c r="VJL3003" s="462"/>
      <c r="VJM3003" s="299"/>
      <c r="VJN3003" s="81"/>
      <c r="VJO3003" s="160"/>
      <c r="VJP3003" s="577"/>
      <c r="VJQ3003" s="125"/>
      <c r="VJR3003" s="470"/>
      <c r="VJS3003" s="449"/>
      <c r="VJT3003" s="462"/>
      <c r="VJU3003" s="299"/>
      <c r="VJV3003" s="81"/>
      <c r="VJW3003" s="160"/>
      <c r="VJX3003" s="577"/>
      <c r="VJY3003" s="125"/>
      <c r="VJZ3003" s="470"/>
      <c r="VKA3003" s="449"/>
      <c r="VKB3003" s="462"/>
      <c r="VKC3003" s="299"/>
      <c r="VKD3003" s="81"/>
      <c r="VKE3003" s="160"/>
      <c r="VKF3003" s="577"/>
      <c r="VKG3003" s="125"/>
      <c r="VKH3003" s="470"/>
      <c r="VKI3003" s="449"/>
      <c r="VKJ3003" s="462"/>
      <c r="VKK3003" s="299"/>
      <c r="VKL3003" s="81"/>
      <c r="VKM3003" s="160"/>
      <c r="VKN3003" s="577"/>
      <c r="VKO3003" s="125"/>
      <c r="VKP3003" s="470"/>
      <c r="VKQ3003" s="449"/>
      <c r="VKR3003" s="462"/>
      <c r="VKS3003" s="299"/>
      <c r="VKT3003" s="81"/>
      <c r="VKU3003" s="160"/>
      <c r="VKV3003" s="577"/>
      <c r="VKW3003" s="125"/>
      <c r="VKX3003" s="470"/>
      <c r="VKY3003" s="449"/>
      <c r="VKZ3003" s="462"/>
      <c r="VLA3003" s="299"/>
      <c r="VLB3003" s="81"/>
      <c r="VLC3003" s="160"/>
      <c r="VLD3003" s="577"/>
      <c r="VLE3003" s="125"/>
      <c r="VLF3003" s="470"/>
      <c r="VLG3003" s="449"/>
      <c r="VLH3003" s="462"/>
      <c r="VLI3003" s="299"/>
      <c r="VLJ3003" s="81"/>
      <c r="VLK3003" s="160"/>
      <c r="VLL3003" s="577"/>
      <c r="VLM3003" s="125"/>
      <c r="VLN3003" s="470"/>
      <c r="VLO3003" s="449"/>
      <c r="VLP3003" s="462"/>
      <c r="VLQ3003" s="299"/>
      <c r="VLR3003" s="81"/>
      <c r="VLS3003" s="160"/>
      <c r="VLT3003" s="577"/>
      <c r="VLU3003" s="125"/>
      <c r="VLV3003" s="470"/>
      <c r="VLW3003" s="449"/>
      <c r="VLX3003" s="462"/>
      <c r="VLY3003" s="299"/>
      <c r="VLZ3003" s="81"/>
      <c r="VMA3003" s="160"/>
      <c r="VMB3003" s="577"/>
      <c r="VMC3003" s="125"/>
      <c r="VMD3003" s="470"/>
      <c r="VME3003" s="449"/>
      <c r="VMF3003" s="462"/>
      <c r="VMG3003" s="299"/>
      <c r="VMH3003" s="81"/>
      <c r="VMI3003" s="160"/>
      <c r="VMJ3003" s="577"/>
      <c r="VMK3003" s="125"/>
      <c r="VML3003" s="470"/>
      <c r="VMM3003" s="449"/>
      <c r="VMN3003" s="462"/>
      <c r="VMO3003" s="299"/>
      <c r="VMP3003" s="81"/>
      <c r="VMQ3003" s="160"/>
      <c r="VMR3003" s="577"/>
      <c r="VMS3003" s="125"/>
      <c r="VMT3003" s="470"/>
      <c r="VMU3003" s="449"/>
      <c r="VMV3003" s="462"/>
      <c r="VMW3003" s="299"/>
      <c r="VMX3003" s="81"/>
      <c r="VMY3003" s="160"/>
      <c r="VMZ3003" s="577"/>
      <c r="VNA3003" s="125"/>
      <c r="VNB3003" s="470"/>
      <c r="VNC3003" s="449"/>
      <c r="VND3003" s="462"/>
      <c r="VNE3003" s="299"/>
      <c r="VNF3003" s="81"/>
      <c r="VNG3003" s="160"/>
      <c r="VNH3003" s="577"/>
      <c r="VNI3003" s="125"/>
      <c r="VNJ3003" s="470"/>
      <c r="VNK3003" s="449"/>
      <c r="VNL3003" s="462"/>
      <c r="VNM3003" s="299"/>
      <c r="VNN3003" s="81"/>
      <c r="VNO3003" s="160"/>
      <c r="VNP3003" s="577"/>
      <c r="VNQ3003" s="125"/>
      <c r="VNR3003" s="470"/>
      <c r="VNS3003" s="449"/>
      <c r="VNT3003" s="462"/>
      <c r="VNU3003" s="299"/>
      <c r="VNV3003" s="81"/>
      <c r="VNW3003" s="160"/>
      <c r="VNX3003" s="577"/>
      <c r="VNY3003" s="125"/>
      <c r="VNZ3003" s="470"/>
      <c r="VOA3003" s="449"/>
      <c r="VOB3003" s="462"/>
      <c r="VOC3003" s="299"/>
      <c r="VOD3003" s="81"/>
      <c r="VOE3003" s="160"/>
      <c r="VOF3003" s="577"/>
      <c r="VOG3003" s="125"/>
      <c r="VOH3003" s="470"/>
      <c r="VOI3003" s="449"/>
      <c r="VOJ3003" s="462"/>
      <c r="VOK3003" s="299"/>
      <c r="VOL3003" s="81"/>
      <c r="VOM3003" s="160"/>
      <c r="VON3003" s="577"/>
      <c r="VOO3003" s="125"/>
      <c r="VOP3003" s="470"/>
      <c r="VOQ3003" s="449"/>
      <c r="VOR3003" s="462"/>
      <c r="VOS3003" s="299"/>
      <c r="VOT3003" s="81"/>
      <c r="VOU3003" s="160"/>
      <c r="VOV3003" s="577"/>
      <c r="VOW3003" s="125"/>
      <c r="VOX3003" s="470"/>
      <c r="VOY3003" s="449"/>
      <c r="VOZ3003" s="462"/>
      <c r="VPA3003" s="299"/>
      <c r="VPB3003" s="81"/>
      <c r="VPC3003" s="160"/>
      <c r="VPD3003" s="577"/>
      <c r="VPE3003" s="125"/>
      <c r="VPF3003" s="470"/>
      <c r="VPG3003" s="449"/>
      <c r="VPH3003" s="462"/>
      <c r="VPI3003" s="299"/>
      <c r="VPJ3003" s="81"/>
      <c r="VPK3003" s="160"/>
      <c r="VPL3003" s="577"/>
      <c r="VPM3003" s="125"/>
      <c r="VPN3003" s="470"/>
      <c r="VPO3003" s="449"/>
      <c r="VPP3003" s="462"/>
      <c r="VPQ3003" s="299"/>
      <c r="VPR3003" s="81"/>
      <c r="VPS3003" s="160"/>
      <c r="VPT3003" s="577"/>
      <c r="VPU3003" s="125"/>
      <c r="VPV3003" s="470"/>
      <c r="VPW3003" s="449"/>
      <c r="VPX3003" s="462"/>
      <c r="VPY3003" s="299"/>
      <c r="VPZ3003" s="81"/>
      <c r="VQA3003" s="160"/>
      <c r="VQB3003" s="577"/>
      <c r="VQC3003" s="125"/>
      <c r="VQD3003" s="470"/>
      <c r="VQE3003" s="449"/>
      <c r="VQF3003" s="462"/>
      <c r="VQG3003" s="299"/>
      <c r="VQH3003" s="81"/>
      <c r="VQI3003" s="160"/>
      <c r="VQJ3003" s="577"/>
      <c r="VQK3003" s="125"/>
      <c r="VQL3003" s="470"/>
      <c r="VQM3003" s="449"/>
      <c r="VQN3003" s="462"/>
      <c r="VQO3003" s="299"/>
      <c r="VQP3003" s="81"/>
      <c r="VQQ3003" s="160"/>
      <c r="VQR3003" s="577"/>
      <c r="VQS3003" s="125"/>
      <c r="VQT3003" s="470"/>
      <c r="VQU3003" s="449"/>
      <c r="VQV3003" s="462"/>
      <c r="VQW3003" s="299"/>
      <c r="VQX3003" s="81"/>
      <c r="VQY3003" s="160"/>
      <c r="VQZ3003" s="577"/>
      <c r="VRA3003" s="125"/>
      <c r="VRB3003" s="470"/>
      <c r="VRC3003" s="449"/>
      <c r="VRD3003" s="462"/>
      <c r="VRE3003" s="299"/>
      <c r="VRF3003" s="81"/>
      <c r="VRG3003" s="160"/>
      <c r="VRH3003" s="577"/>
      <c r="VRI3003" s="125"/>
      <c r="VRJ3003" s="470"/>
      <c r="VRK3003" s="449"/>
      <c r="VRL3003" s="462"/>
      <c r="VRM3003" s="299"/>
      <c r="VRN3003" s="81"/>
      <c r="VRO3003" s="160"/>
      <c r="VRP3003" s="577"/>
      <c r="VRQ3003" s="125"/>
      <c r="VRR3003" s="470"/>
      <c r="VRS3003" s="449"/>
      <c r="VRT3003" s="462"/>
      <c r="VRU3003" s="299"/>
      <c r="VRV3003" s="81"/>
      <c r="VRW3003" s="160"/>
      <c r="VRX3003" s="577"/>
      <c r="VRY3003" s="125"/>
      <c r="VRZ3003" s="470"/>
      <c r="VSA3003" s="449"/>
      <c r="VSB3003" s="462"/>
      <c r="VSC3003" s="299"/>
      <c r="VSD3003" s="81"/>
      <c r="VSE3003" s="160"/>
      <c r="VSF3003" s="577"/>
      <c r="VSG3003" s="125"/>
      <c r="VSH3003" s="470"/>
      <c r="VSI3003" s="449"/>
      <c r="VSJ3003" s="462"/>
      <c r="VSK3003" s="299"/>
      <c r="VSL3003" s="81"/>
      <c r="VSM3003" s="160"/>
      <c r="VSN3003" s="577"/>
      <c r="VSO3003" s="125"/>
      <c r="VSP3003" s="470"/>
      <c r="VSQ3003" s="449"/>
      <c r="VSR3003" s="462"/>
      <c r="VSS3003" s="299"/>
      <c r="VST3003" s="81"/>
      <c r="VSU3003" s="160"/>
      <c r="VSV3003" s="577"/>
      <c r="VSW3003" s="125"/>
      <c r="VSX3003" s="470"/>
      <c r="VSY3003" s="449"/>
      <c r="VSZ3003" s="462"/>
      <c r="VTA3003" s="299"/>
      <c r="VTB3003" s="81"/>
      <c r="VTC3003" s="160"/>
      <c r="VTD3003" s="577"/>
      <c r="VTE3003" s="125"/>
      <c r="VTF3003" s="470"/>
      <c r="VTG3003" s="449"/>
      <c r="VTH3003" s="462"/>
      <c r="VTI3003" s="299"/>
      <c r="VTJ3003" s="81"/>
      <c r="VTK3003" s="160"/>
      <c r="VTL3003" s="577"/>
      <c r="VTM3003" s="125"/>
      <c r="VTN3003" s="470"/>
      <c r="VTO3003" s="449"/>
      <c r="VTP3003" s="462"/>
      <c r="VTQ3003" s="299"/>
      <c r="VTR3003" s="81"/>
      <c r="VTS3003" s="160"/>
      <c r="VTT3003" s="577"/>
      <c r="VTU3003" s="125"/>
      <c r="VTV3003" s="470"/>
      <c r="VTW3003" s="449"/>
      <c r="VTX3003" s="462"/>
      <c r="VTY3003" s="299"/>
      <c r="VTZ3003" s="81"/>
      <c r="VUA3003" s="160"/>
      <c r="VUB3003" s="577"/>
      <c r="VUC3003" s="125"/>
      <c r="VUD3003" s="470"/>
      <c r="VUE3003" s="449"/>
      <c r="VUF3003" s="462"/>
      <c r="VUG3003" s="299"/>
      <c r="VUH3003" s="81"/>
      <c r="VUI3003" s="160"/>
      <c r="VUJ3003" s="577"/>
      <c r="VUK3003" s="125"/>
      <c r="VUL3003" s="470"/>
      <c r="VUM3003" s="449"/>
      <c r="VUN3003" s="462"/>
      <c r="VUO3003" s="299"/>
      <c r="VUP3003" s="81"/>
      <c r="VUQ3003" s="160"/>
      <c r="VUR3003" s="577"/>
      <c r="VUS3003" s="125"/>
      <c r="VUT3003" s="470"/>
      <c r="VUU3003" s="449"/>
      <c r="VUV3003" s="462"/>
      <c r="VUW3003" s="299"/>
      <c r="VUX3003" s="81"/>
      <c r="VUY3003" s="160"/>
      <c r="VUZ3003" s="577"/>
      <c r="VVA3003" s="125"/>
      <c r="VVB3003" s="470"/>
      <c r="VVC3003" s="449"/>
      <c r="VVD3003" s="462"/>
      <c r="VVE3003" s="299"/>
      <c r="VVF3003" s="81"/>
      <c r="VVG3003" s="160"/>
      <c r="VVH3003" s="577"/>
      <c r="VVI3003" s="125"/>
      <c r="VVJ3003" s="470"/>
      <c r="VVK3003" s="449"/>
      <c r="VVL3003" s="462"/>
      <c r="VVM3003" s="299"/>
      <c r="VVN3003" s="81"/>
      <c r="VVO3003" s="160"/>
      <c r="VVP3003" s="577"/>
      <c r="VVQ3003" s="125"/>
      <c r="VVR3003" s="470"/>
      <c r="VVS3003" s="449"/>
      <c r="VVT3003" s="462"/>
      <c r="VVU3003" s="299"/>
      <c r="VVV3003" s="81"/>
      <c r="VVW3003" s="160"/>
      <c r="VVX3003" s="577"/>
      <c r="VVY3003" s="125"/>
      <c r="VVZ3003" s="470"/>
      <c r="VWA3003" s="449"/>
      <c r="VWB3003" s="462"/>
      <c r="VWC3003" s="299"/>
      <c r="VWD3003" s="81"/>
      <c r="VWE3003" s="160"/>
      <c r="VWF3003" s="577"/>
      <c r="VWG3003" s="125"/>
      <c r="VWH3003" s="470"/>
      <c r="VWI3003" s="449"/>
      <c r="VWJ3003" s="462"/>
      <c r="VWK3003" s="299"/>
      <c r="VWL3003" s="81"/>
      <c r="VWM3003" s="160"/>
      <c r="VWN3003" s="577"/>
      <c r="VWO3003" s="125"/>
      <c r="VWP3003" s="470"/>
      <c r="VWQ3003" s="449"/>
      <c r="VWR3003" s="462"/>
      <c r="VWS3003" s="299"/>
      <c r="VWT3003" s="81"/>
      <c r="VWU3003" s="160"/>
      <c r="VWV3003" s="577"/>
      <c r="VWW3003" s="125"/>
      <c r="VWX3003" s="470"/>
      <c r="VWY3003" s="449"/>
      <c r="VWZ3003" s="462"/>
      <c r="VXA3003" s="299"/>
      <c r="VXB3003" s="81"/>
      <c r="VXC3003" s="160"/>
      <c r="VXD3003" s="577"/>
      <c r="VXE3003" s="125"/>
      <c r="VXF3003" s="470"/>
      <c r="VXG3003" s="449"/>
      <c r="VXH3003" s="462"/>
      <c r="VXI3003" s="299"/>
      <c r="VXJ3003" s="81"/>
      <c r="VXK3003" s="160"/>
      <c r="VXL3003" s="577"/>
      <c r="VXM3003" s="125"/>
      <c r="VXN3003" s="470"/>
      <c r="VXO3003" s="449"/>
      <c r="VXP3003" s="462"/>
      <c r="VXQ3003" s="299"/>
      <c r="VXR3003" s="81"/>
      <c r="VXS3003" s="160"/>
      <c r="VXT3003" s="577"/>
      <c r="VXU3003" s="125"/>
      <c r="VXV3003" s="470"/>
      <c r="VXW3003" s="449"/>
      <c r="VXX3003" s="462"/>
      <c r="VXY3003" s="299"/>
      <c r="VXZ3003" s="81"/>
      <c r="VYA3003" s="160"/>
      <c r="VYB3003" s="577"/>
      <c r="VYC3003" s="125"/>
      <c r="VYD3003" s="470"/>
      <c r="VYE3003" s="449"/>
      <c r="VYF3003" s="462"/>
      <c r="VYG3003" s="299"/>
      <c r="VYH3003" s="81"/>
      <c r="VYI3003" s="160"/>
      <c r="VYJ3003" s="577"/>
      <c r="VYK3003" s="125"/>
      <c r="VYL3003" s="470"/>
      <c r="VYM3003" s="449"/>
      <c r="VYN3003" s="462"/>
      <c r="VYO3003" s="299"/>
      <c r="VYP3003" s="81"/>
      <c r="VYQ3003" s="160"/>
      <c r="VYR3003" s="577"/>
      <c r="VYS3003" s="125"/>
      <c r="VYT3003" s="470"/>
      <c r="VYU3003" s="449"/>
      <c r="VYV3003" s="462"/>
      <c r="VYW3003" s="299"/>
      <c r="VYX3003" s="81"/>
      <c r="VYY3003" s="160"/>
      <c r="VYZ3003" s="577"/>
      <c r="VZA3003" s="125"/>
      <c r="VZB3003" s="470"/>
      <c r="VZC3003" s="449"/>
      <c r="VZD3003" s="462"/>
      <c r="VZE3003" s="299"/>
      <c r="VZF3003" s="81"/>
      <c r="VZG3003" s="160"/>
      <c r="VZH3003" s="577"/>
      <c r="VZI3003" s="125"/>
      <c r="VZJ3003" s="470"/>
      <c r="VZK3003" s="449"/>
      <c r="VZL3003" s="462"/>
      <c r="VZM3003" s="299"/>
      <c r="VZN3003" s="81"/>
      <c r="VZO3003" s="160"/>
      <c r="VZP3003" s="577"/>
      <c r="VZQ3003" s="125"/>
      <c r="VZR3003" s="470"/>
      <c r="VZS3003" s="449"/>
      <c r="VZT3003" s="462"/>
      <c r="VZU3003" s="299"/>
      <c r="VZV3003" s="81"/>
      <c r="VZW3003" s="160"/>
      <c r="VZX3003" s="577"/>
      <c r="VZY3003" s="125"/>
      <c r="VZZ3003" s="470"/>
      <c r="WAA3003" s="449"/>
      <c r="WAB3003" s="462"/>
      <c r="WAC3003" s="299"/>
      <c r="WAD3003" s="81"/>
      <c r="WAE3003" s="160"/>
      <c r="WAF3003" s="577"/>
      <c r="WAG3003" s="125"/>
      <c r="WAH3003" s="470"/>
      <c r="WAI3003" s="449"/>
      <c r="WAJ3003" s="462"/>
      <c r="WAK3003" s="299"/>
      <c r="WAL3003" s="81"/>
      <c r="WAM3003" s="160"/>
      <c r="WAN3003" s="577"/>
      <c r="WAO3003" s="125"/>
      <c r="WAP3003" s="470"/>
      <c r="WAQ3003" s="449"/>
      <c r="WAR3003" s="462"/>
      <c r="WAS3003" s="299"/>
      <c r="WAT3003" s="81"/>
      <c r="WAU3003" s="160"/>
      <c r="WAV3003" s="577"/>
      <c r="WAW3003" s="125"/>
      <c r="WAX3003" s="470"/>
      <c r="WAY3003" s="449"/>
      <c r="WAZ3003" s="462"/>
      <c r="WBA3003" s="299"/>
      <c r="WBB3003" s="81"/>
      <c r="WBC3003" s="160"/>
      <c r="WBD3003" s="577"/>
      <c r="WBE3003" s="125"/>
      <c r="WBF3003" s="470"/>
      <c r="WBG3003" s="449"/>
      <c r="WBH3003" s="462"/>
      <c r="WBI3003" s="299"/>
      <c r="WBJ3003" s="81"/>
      <c r="WBK3003" s="160"/>
      <c r="WBL3003" s="577"/>
      <c r="WBM3003" s="125"/>
      <c r="WBN3003" s="470"/>
      <c r="WBO3003" s="449"/>
      <c r="WBP3003" s="462"/>
      <c r="WBQ3003" s="299"/>
      <c r="WBR3003" s="81"/>
      <c r="WBS3003" s="160"/>
      <c r="WBT3003" s="577"/>
      <c r="WBU3003" s="125"/>
      <c r="WBV3003" s="470"/>
      <c r="WBW3003" s="449"/>
      <c r="WBX3003" s="462"/>
      <c r="WBY3003" s="299"/>
      <c r="WBZ3003" s="81"/>
      <c r="WCA3003" s="160"/>
      <c r="WCB3003" s="577"/>
      <c r="WCC3003" s="125"/>
      <c r="WCD3003" s="470"/>
      <c r="WCE3003" s="449"/>
      <c r="WCF3003" s="462"/>
      <c r="WCG3003" s="299"/>
      <c r="WCH3003" s="81"/>
      <c r="WCI3003" s="160"/>
      <c r="WCJ3003" s="577"/>
      <c r="WCK3003" s="125"/>
      <c r="WCL3003" s="470"/>
      <c r="WCM3003" s="449"/>
      <c r="WCN3003" s="462"/>
      <c r="WCO3003" s="299"/>
      <c r="WCP3003" s="81"/>
      <c r="WCQ3003" s="160"/>
      <c r="WCR3003" s="577"/>
      <c r="WCS3003" s="125"/>
      <c r="WCT3003" s="470"/>
      <c r="WCU3003" s="449"/>
      <c r="WCV3003" s="462"/>
      <c r="WCW3003" s="299"/>
      <c r="WCX3003" s="81"/>
      <c r="WCY3003" s="160"/>
      <c r="WCZ3003" s="577"/>
      <c r="WDA3003" s="125"/>
      <c r="WDB3003" s="470"/>
      <c r="WDC3003" s="449"/>
      <c r="WDD3003" s="462"/>
      <c r="WDE3003" s="299"/>
      <c r="WDF3003" s="81"/>
      <c r="WDG3003" s="160"/>
      <c r="WDH3003" s="577"/>
      <c r="WDI3003" s="125"/>
      <c r="WDJ3003" s="470"/>
      <c r="WDK3003" s="449"/>
      <c r="WDL3003" s="462"/>
      <c r="WDM3003" s="299"/>
      <c r="WDN3003" s="81"/>
      <c r="WDO3003" s="160"/>
      <c r="WDP3003" s="577"/>
      <c r="WDQ3003" s="125"/>
      <c r="WDR3003" s="470"/>
      <c r="WDS3003" s="449"/>
      <c r="WDT3003" s="462"/>
      <c r="WDU3003" s="299"/>
      <c r="WDV3003" s="81"/>
      <c r="WDW3003" s="160"/>
      <c r="WDX3003" s="577"/>
      <c r="WDY3003" s="125"/>
      <c r="WDZ3003" s="470"/>
      <c r="WEA3003" s="449"/>
      <c r="WEB3003" s="462"/>
      <c r="WEC3003" s="299"/>
      <c r="WED3003" s="81"/>
      <c r="WEE3003" s="160"/>
      <c r="WEF3003" s="577"/>
      <c r="WEG3003" s="125"/>
      <c r="WEH3003" s="470"/>
      <c r="WEI3003" s="449"/>
      <c r="WEJ3003" s="462"/>
      <c r="WEK3003" s="299"/>
      <c r="WEL3003" s="81"/>
      <c r="WEM3003" s="160"/>
      <c r="WEN3003" s="577"/>
      <c r="WEO3003" s="125"/>
      <c r="WEP3003" s="470"/>
      <c r="WEQ3003" s="449"/>
      <c r="WER3003" s="462"/>
      <c r="WES3003" s="299"/>
      <c r="WET3003" s="81"/>
      <c r="WEU3003" s="160"/>
      <c r="WEV3003" s="577"/>
      <c r="WEW3003" s="125"/>
      <c r="WEX3003" s="470"/>
      <c r="WEY3003" s="449"/>
      <c r="WEZ3003" s="462"/>
      <c r="WFA3003" s="299"/>
      <c r="WFB3003" s="81"/>
      <c r="WFC3003" s="160"/>
      <c r="WFD3003" s="577"/>
      <c r="WFE3003" s="125"/>
      <c r="WFF3003" s="470"/>
      <c r="WFG3003" s="449"/>
      <c r="WFH3003" s="462"/>
      <c r="WFI3003" s="299"/>
      <c r="WFJ3003" s="81"/>
      <c r="WFK3003" s="160"/>
      <c r="WFL3003" s="577"/>
      <c r="WFM3003" s="125"/>
      <c r="WFN3003" s="470"/>
      <c r="WFO3003" s="449"/>
      <c r="WFP3003" s="462"/>
      <c r="WFQ3003" s="299"/>
      <c r="WFR3003" s="81"/>
      <c r="WFS3003" s="160"/>
      <c r="WFT3003" s="577"/>
      <c r="WFU3003" s="125"/>
      <c r="WFV3003" s="470"/>
      <c r="WFW3003" s="449"/>
      <c r="WFX3003" s="462"/>
      <c r="WFY3003" s="299"/>
      <c r="WFZ3003" s="81"/>
      <c r="WGA3003" s="160"/>
      <c r="WGB3003" s="577"/>
      <c r="WGC3003" s="125"/>
      <c r="WGD3003" s="470"/>
      <c r="WGE3003" s="449"/>
      <c r="WGF3003" s="462"/>
      <c r="WGG3003" s="299"/>
      <c r="WGH3003" s="81"/>
      <c r="WGI3003" s="160"/>
      <c r="WGJ3003" s="577"/>
      <c r="WGK3003" s="125"/>
      <c r="WGL3003" s="470"/>
      <c r="WGM3003" s="449"/>
      <c r="WGN3003" s="462"/>
      <c r="WGO3003" s="299"/>
      <c r="WGP3003" s="81"/>
      <c r="WGQ3003" s="160"/>
      <c r="WGR3003" s="577"/>
      <c r="WGS3003" s="125"/>
      <c r="WGT3003" s="470"/>
      <c r="WGU3003" s="449"/>
      <c r="WGV3003" s="462"/>
      <c r="WGW3003" s="299"/>
      <c r="WGX3003" s="81"/>
      <c r="WGY3003" s="160"/>
      <c r="WGZ3003" s="577"/>
      <c r="WHA3003" s="125"/>
      <c r="WHB3003" s="470"/>
      <c r="WHC3003" s="449"/>
      <c r="WHD3003" s="462"/>
      <c r="WHE3003" s="299"/>
      <c r="WHF3003" s="81"/>
      <c r="WHG3003" s="160"/>
      <c r="WHH3003" s="577"/>
      <c r="WHI3003" s="125"/>
      <c r="WHJ3003" s="470"/>
      <c r="WHK3003" s="449"/>
      <c r="WHL3003" s="462"/>
      <c r="WHM3003" s="299"/>
      <c r="WHN3003" s="81"/>
      <c r="WHO3003" s="160"/>
      <c r="WHP3003" s="577"/>
      <c r="WHQ3003" s="125"/>
      <c r="WHR3003" s="470"/>
      <c r="WHS3003" s="449"/>
      <c r="WHT3003" s="462"/>
      <c r="WHU3003" s="299"/>
      <c r="WHV3003" s="81"/>
      <c r="WHW3003" s="160"/>
      <c r="WHX3003" s="577"/>
      <c r="WHY3003" s="125"/>
      <c r="WHZ3003" s="470"/>
      <c r="WIA3003" s="449"/>
      <c r="WIB3003" s="462"/>
      <c r="WIC3003" s="299"/>
      <c r="WID3003" s="81"/>
      <c r="WIE3003" s="160"/>
      <c r="WIF3003" s="577"/>
      <c r="WIG3003" s="125"/>
      <c r="WIH3003" s="470"/>
      <c r="WII3003" s="449"/>
      <c r="WIJ3003" s="462"/>
      <c r="WIK3003" s="299"/>
      <c r="WIL3003" s="81"/>
      <c r="WIM3003" s="160"/>
      <c r="WIN3003" s="577"/>
      <c r="WIO3003" s="125"/>
      <c r="WIP3003" s="470"/>
      <c r="WIQ3003" s="449"/>
      <c r="WIR3003" s="462"/>
      <c r="WIS3003" s="299"/>
      <c r="WIT3003" s="81"/>
      <c r="WIU3003" s="160"/>
      <c r="WIV3003" s="577"/>
      <c r="WIW3003" s="125"/>
      <c r="WIX3003" s="470"/>
      <c r="WIY3003" s="449"/>
      <c r="WIZ3003" s="462"/>
      <c r="WJA3003" s="299"/>
      <c r="WJB3003" s="81"/>
      <c r="WJC3003" s="160"/>
      <c r="WJD3003" s="577"/>
      <c r="WJE3003" s="125"/>
      <c r="WJF3003" s="470"/>
      <c r="WJG3003" s="449"/>
      <c r="WJH3003" s="462"/>
      <c r="WJI3003" s="299"/>
      <c r="WJJ3003" s="81"/>
      <c r="WJK3003" s="160"/>
      <c r="WJL3003" s="577"/>
      <c r="WJM3003" s="125"/>
      <c r="WJN3003" s="470"/>
      <c r="WJO3003" s="449"/>
      <c r="WJP3003" s="462"/>
      <c r="WJQ3003" s="299"/>
      <c r="WJR3003" s="81"/>
      <c r="WJS3003" s="160"/>
      <c r="WJT3003" s="577"/>
      <c r="WJU3003" s="125"/>
      <c r="WJV3003" s="470"/>
      <c r="WJW3003" s="449"/>
      <c r="WJX3003" s="462"/>
      <c r="WJY3003" s="299"/>
      <c r="WJZ3003" s="81"/>
      <c r="WKA3003" s="160"/>
      <c r="WKB3003" s="577"/>
      <c r="WKC3003" s="125"/>
      <c r="WKD3003" s="470"/>
      <c r="WKE3003" s="449"/>
      <c r="WKF3003" s="462"/>
      <c r="WKG3003" s="299"/>
      <c r="WKH3003" s="81"/>
      <c r="WKI3003" s="160"/>
      <c r="WKJ3003" s="577"/>
      <c r="WKK3003" s="125"/>
      <c r="WKL3003" s="470"/>
      <c r="WKM3003" s="449"/>
      <c r="WKN3003" s="462"/>
      <c r="WKO3003" s="299"/>
      <c r="WKP3003" s="81"/>
      <c r="WKQ3003" s="160"/>
      <c r="WKR3003" s="577"/>
      <c r="WKS3003" s="125"/>
      <c r="WKT3003" s="470"/>
      <c r="WKU3003" s="449"/>
      <c r="WKV3003" s="462"/>
      <c r="WKW3003" s="299"/>
      <c r="WKX3003" s="81"/>
      <c r="WKY3003" s="160"/>
      <c r="WKZ3003" s="577"/>
      <c r="WLA3003" s="125"/>
      <c r="WLB3003" s="470"/>
      <c r="WLC3003" s="449"/>
      <c r="WLD3003" s="462"/>
      <c r="WLE3003" s="299"/>
      <c r="WLF3003" s="81"/>
      <c r="WLG3003" s="160"/>
      <c r="WLH3003" s="577"/>
      <c r="WLI3003" s="125"/>
      <c r="WLJ3003" s="470"/>
      <c r="WLK3003" s="449"/>
      <c r="WLL3003" s="462"/>
      <c r="WLM3003" s="299"/>
      <c r="WLN3003" s="81"/>
      <c r="WLO3003" s="160"/>
      <c r="WLP3003" s="577"/>
      <c r="WLQ3003" s="125"/>
      <c r="WLR3003" s="470"/>
      <c r="WLS3003" s="449"/>
      <c r="WLT3003" s="462"/>
      <c r="WLU3003" s="299"/>
      <c r="WLV3003" s="81"/>
      <c r="WLW3003" s="160"/>
      <c r="WLX3003" s="577"/>
      <c r="WLY3003" s="125"/>
      <c r="WLZ3003" s="470"/>
      <c r="WMA3003" s="449"/>
      <c r="WMB3003" s="462"/>
      <c r="WMC3003" s="299"/>
      <c r="WMD3003" s="81"/>
      <c r="WME3003" s="160"/>
      <c r="WMF3003" s="577"/>
      <c r="WMG3003" s="125"/>
      <c r="WMH3003" s="470"/>
      <c r="WMI3003" s="449"/>
      <c r="WMJ3003" s="462"/>
      <c r="WMK3003" s="299"/>
      <c r="WML3003" s="81"/>
      <c r="WMM3003" s="160"/>
      <c r="WMN3003" s="577"/>
      <c r="WMO3003" s="125"/>
      <c r="WMP3003" s="470"/>
      <c r="WMQ3003" s="449"/>
      <c r="WMR3003" s="462"/>
      <c r="WMS3003" s="299"/>
      <c r="WMT3003" s="81"/>
      <c r="WMU3003" s="160"/>
      <c r="WMV3003" s="577"/>
      <c r="WMW3003" s="125"/>
      <c r="WMX3003" s="470"/>
      <c r="WMY3003" s="449"/>
      <c r="WMZ3003" s="462"/>
      <c r="WNA3003" s="299"/>
      <c r="WNB3003" s="81"/>
      <c r="WNC3003" s="160"/>
      <c r="WND3003" s="577"/>
      <c r="WNE3003" s="125"/>
      <c r="WNF3003" s="470"/>
      <c r="WNG3003" s="449"/>
      <c r="WNH3003" s="462"/>
      <c r="WNI3003" s="299"/>
      <c r="WNJ3003" s="81"/>
      <c r="WNK3003" s="160"/>
      <c r="WNL3003" s="577"/>
      <c r="WNM3003" s="125"/>
      <c r="WNN3003" s="470"/>
      <c r="WNO3003" s="449"/>
      <c r="WNP3003" s="462"/>
      <c r="WNQ3003" s="299"/>
      <c r="WNR3003" s="81"/>
      <c r="WNS3003" s="160"/>
      <c r="WNT3003" s="577"/>
      <c r="WNU3003" s="125"/>
      <c r="WNV3003" s="470"/>
      <c r="WNW3003" s="449"/>
      <c r="WNX3003" s="462"/>
      <c r="WNY3003" s="299"/>
      <c r="WNZ3003" s="81"/>
      <c r="WOA3003" s="160"/>
      <c r="WOB3003" s="577"/>
      <c r="WOC3003" s="125"/>
      <c r="WOD3003" s="470"/>
      <c r="WOE3003" s="449"/>
      <c r="WOF3003" s="462"/>
      <c r="WOG3003" s="299"/>
      <c r="WOH3003" s="81"/>
      <c r="WOI3003" s="160"/>
      <c r="WOJ3003" s="577"/>
      <c r="WOK3003" s="125"/>
      <c r="WOL3003" s="470"/>
      <c r="WOM3003" s="449"/>
      <c r="WON3003" s="462"/>
      <c r="WOO3003" s="299"/>
      <c r="WOP3003" s="81"/>
      <c r="WOQ3003" s="160"/>
      <c r="WOR3003" s="577"/>
      <c r="WOS3003" s="125"/>
      <c r="WOT3003" s="470"/>
      <c r="WOU3003" s="449"/>
      <c r="WOV3003" s="462"/>
      <c r="WOW3003" s="299"/>
      <c r="WOX3003" s="81"/>
      <c r="WOY3003" s="160"/>
      <c r="WOZ3003" s="577"/>
      <c r="WPA3003" s="125"/>
      <c r="WPB3003" s="470"/>
      <c r="WPC3003" s="449"/>
      <c r="WPD3003" s="462"/>
      <c r="WPE3003" s="299"/>
      <c r="WPF3003" s="81"/>
      <c r="WPG3003" s="160"/>
      <c r="WPH3003" s="577"/>
      <c r="WPI3003" s="125"/>
      <c r="WPJ3003" s="470"/>
      <c r="WPK3003" s="449"/>
      <c r="WPL3003" s="462"/>
      <c r="WPM3003" s="299"/>
      <c r="WPN3003" s="81"/>
      <c r="WPO3003" s="160"/>
      <c r="WPP3003" s="577"/>
      <c r="WPQ3003" s="125"/>
      <c r="WPR3003" s="470"/>
      <c r="WPS3003" s="449"/>
      <c r="WPT3003" s="462"/>
      <c r="WPU3003" s="299"/>
      <c r="WPV3003" s="81"/>
      <c r="WPW3003" s="160"/>
      <c r="WPX3003" s="577"/>
      <c r="WPY3003" s="125"/>
      <c r="WPZ3003" s="470"/>
      <c r="WQA3003" s="449"/>
      <c r="WQB3003" s="462"/>
      <c r="WQC3003" s="299"/>
      <c r="WQD3003" s="81"/>
      <c r="WQE3003" s="160"/>
      <c r="WQF3003" s="577"/>
      <c r="WQG3003" s="125"/>
      <c r="WQH3003" s="470"/>
      <c r="WQI3003" s="449"/>
      <c r="WQJ3003" s="462"/>
      <c r="WQK3003" s="299"/>
      <c r="WQL3003" s="81"/>
      <c r="WQM3003" s="160"/>
      <c r="WQN3003" s="577"/>
      <c r="WQO3003" s="125"/>
      <c r="WQP3003" s="470"/>
      <c r="WQQ3003" s="449"/>
      <c r="WQR3003" s="462"/>
      <c r="WQS3003" s="299"/>
      <c r="WQT3003" s="81"/>
      <c r="WQU3003" s="160"/>
      <c r="WQV3003" s="577"/>
      <c r="WQW3003" s="125"/>
      <c r="WQX3003" s="470"/>
      <c r="WQY3003" s="449"/>
      <c r="WQZ3003" s="462"/>
      <c r="WRA3003" s="299"/>
      <c r="WRB3003" s="81"/>
      <c r="WRC3003" s="160"/>
      <c r="WRD3003" s="577"/>
      <c r="WRE3003" s="125"/>
      <c r="WRF3003" s="470"/>
      <c r="WRG3003" s="449"/>
      <c r="WRH3003" s="462"/>
      <c r="WRI3003" s="299"/>
      <c r="WRJ3003" s="81"/>
      <c r="WRK3003" s="160"/>
      <c r="WRL3003" s="577"/>
      <c r="WRM3003" s="125"/>
      <c r="WRN3003" s="470"/>
      <c r="WRO3003" s="449"/>
      <c r="WRP3003" s="462"/>
      <c r="WRQ3003" s="299"/>
      <c r="WRR3003" s="81"/>
      <c r="WRS3003" s="160"/>
      <c r="WRT3003" s="577"/>
      <c r="WRU3003" s="125"/>
      <c r="WRV3003" s="470"/>
      <c r="WRW3003" s="449"/>
      <c r="WRX3003" s="462"/>
      <c r="WRY3003" s="299"/>
      <c r="WRZ3003" s="81"/>
      <c r="WSA3003" s="160"/>
      <c r="WSB3003" s="577"/>
      <c r="WSC3003" s="125"/>
      <c r="WSD3003" s="470"/>
      <c r="WSE3003" s="449"/>
      <c r="WSF3003" s="462"/>
      <c r="WSG3003" s="299"/>
      <c r="WSH3003" s="81"/>
      <c r="WSI3003" s="160"/>
      <c r="WSJ3003" s="577"/>
      <c r="WSK3003" s="125"/>
      <c r="WSL3003" s="470"/>
      <c r="WSM3003" s="449"/>
      <c r="WSN3003" s="462"/>
      <c r="WSO3003" s="299"/>
      <c r="WSP3003" s="81"/>
      <c r="WSQ3003" s="160"/>
      <c r="WSR3003" s="577"/>
      <c r="WSS3003" s="125"/>
      <c r="WST3003" s="470"/>
      <c r="WSU3003" s="449"/>
      <c r="WSV3003" s="462"/>
      <c r="WSW3003" s="299"/>
      <c r="WSX3003" s="81"/>
      <c r="WSY3003" s="160"/>
      <c r="WSZ3003" s="577"/>
      <c r="WTA3003" s="125"/>
      <c r="WTB3003" s="470"/>
      <c r="WTC3003" s="449"/>
      <c r="WTD3003" s="462"/>
      <c r="WTE3003" s="299"/>
      <c r="WTF3003" s="81"/>
      <c r="WTG3003" s="160"/>
      <c r="WTH3003" s="577"/>
      <c r="WTI3003" s="125"/>
      <c r="WTJ3003" s="470"/>
      <c r="WTK3003" s="449"/>
      <c r="WTL3003" s="462"/>
      <c r="WTM3003" s="299"/>
      <c r="WTN3003" s="81"/>
      <c r="WTO3003" s="160"/>
      <c r="WTP3003" s="577"/>
      <c r="WTQ3003" s="125"/>
      <c r="WTR3003" s="470"/>
      <c r="WTS3003" s="449"/>
      <c r="WTT3003" s="462"/>
      <c r="WTU3003" s="299"/>
      <c r="WTV3003" s="81"/>
      <c r="WTW3003" s="160"/>
      <c r="WTX3003" s="577"/>
      <c r="WTY3003" s="125"/>
      <c r="WTZ3003" s="470"/>
      <c r="WUA3003" s="449"/>
      <c r="WUB3003" s="462"/>
      <c r="WUC3003" s="299"/>
      <c r="WUD3003" s="81"/>
      <c r="WUE3003" s="160"/>
      <c r="WUF3003" s="577"/>
      <c r="WUG3003" s="125"/>
      <c r="WUH3003" s="470"/>
      <c r="WUI3003" s="449"/>
      <c r="WUJ3003" s="462"/>
      <c r="WUK3003" s="299"/>
      <c r="WUL3003" s="81"/>
      <c r="WUM3003" s="160"/>
      <c r="WUN3003" s="577"/>
      <c r="WUO3003" s="125"/>
      <c r="WUP3003" s="470"/>
      <c r="WUQ3003" s="449"/>
      <c r="WUR3003" s="462"/>
      <c r="WUS3003" s="299"/>
      <c r="WUT3003" s="81"/>
      <c r="WUU3003" s="160"/>
      <c r="WUV3003" s="577"/>
      <c r="WUW3003" s="125"/>
      <c r="WUX3003" s="470"/>
      <c r="WUY3003" s="449"/>
      <c r="WUZ3003" s="462"/>
      <c r="WVA3003" s="299"/>
      <c r="WVB3003" s="81"/>
      <c r="WVC3003" s="160"/>
      <c r="WVD3003" s="577"/>
      <c r="WVE3003" s="125"/>
      <c r="WVF3003" s="470"/>
      <c r="WVG3003" s="449"/>
      <c r="WVH3003" s="462"/>
      <c r="WVI3003" s="299"/>
      <c r="WVJ3003" s="81"/>
      <c r="WVK3003" s="160"/>
      <c r="WVL3003" s="577"/>
      <c r="WVM3003" s="125"/>
      <c r="WVN3003" s="470"/>
      <c r="WVO3003" s="449"/>
      <c r="WVP3003" s="462"/>
      <c r="WVQ3003" s="299"/>
      <c r="WVR3003" s="81"/>
      <c r="WVS3003" s="160"/>
      <c r="WVT3003" s="577"/>
      <c r="WVU3003" s="125"/>
      <c r="WVV3003" s="470"/>
      <c r="WVW3003" s="449"/>
      <c r="WVX3003" s="462"/>
      <c r="WVY3003" s="299"/>
      <c r="WVZ3003" s="81"/>
      <c r="WWA3003" s="160"/>
      <c r="WWB3003" s="577"/>
      <c r="WWC3003" s="125"/>
      <c r="WWD3003" s="470"/>
      <c r="WWE3003" s="449"/>
      <c r="WWF3003" s="462"/>
      <c r="WWG3003" s="299"/>
      <c r="WWH3003" s="81"/>
      <c r="WWI3003" s="160"/>
      <c r="WWJ3003" s="577"/>
      <c r="WWK3003" s="125"/>
      <c r="WWL3003" s="470"/>
      <c r="WWM3003" s="449"/>
      <c r="WWN3003" s="462"/>
      <c r="WWO3003" s="299"/>
      <c r="WWP3003" s="81"/>
      <c r="WWQ3003" s="160"/>
      <c r="WWR3003" s="577"/>
      <c r="WWS3003" s="125"/>
      <c r="WWT3003" s="470"/>
      <c r="WWU3003" s="449"/>
      <c r="WWV3003" s="462"/>
      <c r="WWW3003" s="299"/>
      <c r="WWX3003" s="81"/>
      <c r="WWY3003" s="160"/>
      <c r="WWZ3003" s="577"/>
      <c r="WXA3003" s="125"/>
      <c r="WXB3003" s="470"/>
      <c r="WXC3003" s="449"/>
      <c r="WXD3003" s="462"/>
      <c r="WXE3003" s="299"/>
      <c r="WXF3003" s="81"/>
      <c r="WXG3003" s="160"/>
      <c r="WXH3003" s="577"/>
      <c r="WXI3003" s="125"/>
      <c r="WXJ3003" s="470"/>
      <c r="WXK3003" s="449"/>
      <c r="WXL3003" s="462"/>
      <c r="WXM3003" s="299"/>
      <c r="WXN3003" s="81"/>
      <c r="WXO3003" s="160"/>
      <c r="WXP3003" s="577"/>
      <c r="WXQ3003" s="125"/>
      <c r="WXR3003" s="470"/>
      <c r="WXS3003" s="449"/>
      <c r="WXT3003" s="462"/>
      <c r="WXU3003" s="299"/>
      <c r="WXV3003" s="81"/>
      <c r="WXW3003" s="160"/>
      <c r="WXX3003" s="577"/>
      <c r="WXY3003" s="125"/>
      <c r="WXZ3003" s="470"/>
      <c r="WYA3003" s="449"/>
      <c r="WYB3003" s="462"/>
      <c r="WYC3003" s="299"/>
      <c r="WYD3003" s="81"/>
      <c r="WYE3003" s="160"/>
      <c r="WYF3003" s="577"/>
      <c r="WYG3003" s="125"/>
      <c r="WYH3003" s="470"/>
      <c r="WYI3003" s="449"/>
      <c r="WYJ3003" s="462"/>
      <c r="WYK3003" s="299"/>
      <c r="WYL3003" s="81"/>
      <c r="WYM3003" s="160"/>
      <c r="WYN3003" s="577"/>
      <c r="WYO3003" s="125"/>
      <c r="WYP3003" s="470"/>
      <c r="WYQ3003" s="449"/>
      <c r="WYR3003" s="462"/>
      <c r="WYS3003" s="299"/>
      <c r="WYT3003" s="81"/>
      <c r="WYU3003" s="160"/>
      <c r="WYV3003" s="577"/>
      <c r="WYW3003" s="125"/>
      <c r="WYX3003" s="470"/>
      <c r="WYY3003" s="449"/>
      <c r="WYZ3003" s="462"/>
      <c r="WZA3003" s="299"/>
      <c r="WZB3003" s="81"/>
      <c r="WZC3003" s="160"/>
      <c r="WZD3003" s="577"/>
      <c r="WZE3003" s="125"/>
      <c r="WZF3003" s="470"/>
      <c r="WZG3003" s="449"/>
      <c r="WZH3003" s="462"/>
      <c r="WZI3003" s="299"/>
      <c r="WZJ3003" s="81"/>
      <c r="WZK3003" s="160"/>
      <c r="WZL3003" s="577"/>
      <c r="WZM3003" s="125"/>
      <c r="WZN3003" s="470"/>
      <c r="WZO3003" s="449"/>
      <c r="WZP3003" s="462"/>
      <c r="WZQ3003" s="299"/>
      <c r="WZR3003" s="81"/>
      <c r="WZS3003" s="160"/>
      <c r="WZT3003" s="577"/>
      <c r="WZU3003" s="125"/>
      <c r="WZV3003" s="470"/>
      <c r="WZW3003" s="449"/>
      <c r="WZX3003" s="462"/>
      <c r="WZY3003" s="299"/>
      <c r="WZZ3003" s="81"/>
      <c r="XAA3003" s="160"/>
      <c r="XAB3003" s="577"/>
      <c r="XAC3003" s="125"/>
      <c r="XAD3003" s="470"/>
      <c r="XAE3003" s="449"/>
      <c r="XAF3003" s="462"/>
      <c r="XAG3003" s="299"/>
      <c r="XAH3003" s="81"/>
      <c r="XAI3003" s="160"/>
      <c r="XAJ3003" s="577"/>
      <c r="XAK3003" s="125"/>
      <c r="XAL3003" s="470"/>
      <c r="XAM3003" s="449"/>
      <c r="XAN3003" s="462"/>
      <c r="XAO3003" s="299"/>
      <c r="XAP3003" s="81"/>
      <c r="XAQ3003" s="160"/>
      <c r="XAR3003" s="577"/>
      <c r="XAS3003" s="125"/>
      <c r="XAT3003" s="470"/>
      <c r="XAU3003" s="449"/>
      <c r="XAV3003" s="462"/>
      <c r="XAW3003" s="299"/>
      <c r="XAX3003" s="81"/>
      <c r="XAY3003" s="160"/>
      <c r="XAZ3003" s="577"/>
      <c r="XBA3003" s="125"/>
      <c r="XBB3003" s="470"/>
      <c r="XBC3003" s="449"/>
      <c r="XBD3003" s="462"/>
      <c r="XBE3003" s="299"/>
      <c r="XBF3003" s="81"/>
      <c r="XBG3003" s="160"/>
      <c r="XBH3003" s="577"/>
      <c r="XBI3003" s="125"/>
      <c r="XBJ3003" s="470"/>
      <c r="XBK3003" s="449"/>
      <c r="XBL3003" s="462"/>
      <c r="XBM3003" s="299"/>
      <c r="XBN3003" s="81"/>
      <c r="XBO3003" s="160"/>
      <c r="XBP3003" s="577"/>
      <c r="XBQ3003" s="125"/>
      <c r="XBR3003" s="470"/>
      <c r="XBS3003" s="449"/>
      <c r="XBT3003" s="462"/>
      <c r="XBU3003" s="299"/>
      <c r="XBV3003" s="81"/>
      <c r="XBW3003" s="160"/>
      <c r="XBX3003" s="577"/>
      <c r="XBY3003" s="125"/>
      <c r="XBZ3003" s="470"/>
      <c r="XCA3003" s="449"/>
      <c r="XCB3003" s="462"/>
      <c r="XCC3003" s="299"/>
      <c r="XCD3003" s="81"/>
      <c r="XCE3003" s="160"/>
      <c r="XCF3003" s="577"/>
      <c r="XCG3003" s="125"/>
      <c r="XCH3003" s="470"/>
      <c r="XCI3003" s="449"/>
      <c r="XCJ3003" s="462"/>
      <c r="XCK3003" s="299"/>
      <c r="XCL3003" s="81"/>
      <c r="XCM3003" s="160"/>
      <c r="XCN3003" s="577"/>
      <c r="XCO3003" s="125"/>
      <c r="XCP3003" s="470"/>
      <c r="XCQ3003" s="449"/>
      <c r="XCR3003" s="462"/>
      <c r="XCS3003" s="299"/>
      <c r="XCT3003" s="81"/>
      <c r="XCU3003" s="160"/>
      <c r="XCV3003" s="577"/>
      <c r="XCW3003" s="125"/>
      <c r="XCX3003" s="470"/>
      <c r="XCY3003" s="449"/>
      <c r="XCZ3003" s="462"/>
      <c r="XDA3003" s="299"/>
      <c r="XDB3003" s="81"/>
      <c r="XDC3003" s="160"/>
      <c r="XDD3003" s="577"/>
      <c r="XDE3003" s="125"/>
      <c r="XDF3003" s="470"/>
      <c r="XDG3003" s="449"/>
      <c r="XDH3003" s="462"/>
      <c r="XDI3003" s="299"/>
      <c r="XDJ3003" s="81"/>
      <c r="XDK3003" s="160"/>
      <c r="XDL3003" s="577"/>
      <c r="XDM3003" s="125"/>
      <c r="XDN3003" s="470"/>
      <c r="XDO3003" s="449"/>
      <c r="XDP3003" s="462"/>
      <c r="XDQ3003" s="299"/>
      <c r="XDR3003" s="81"/>
      <c r="XDS3003" s="160"/>
      <c r="XDT3003" s="577"/>
      <c r="XDU3003" s="125"/>
      <c r="XDV3003" s="470"/>
      <c r="XDW3003" s="449"/>
      <c r="XDX3003" s="462"/>
      <c r="XDY3003" s="299"/>
      <c r="XDZ3003" s="81"/>
      <c r="XEA3003" s="160"/>
      <c r="XEB3003" s="577"/>
      <c r="XEC3003" s="125"/>
      <c r="XED3003" s="470"/>
      <c r="XEE3003" s="449"/>
      <c r="XEF3003" s="462"/>
      <c r="XEG3003" s="299"/>
      <c r="XEH3003" s="81"/>
      <c r="XEI3003" s="160"/>
      <c r="XEJ3003" s="577"/>
      <c r="XEK3003" s="125"/>
      <c r="XEL3003" s="470"/>
      <c r="XEM3003" s="449"/>
      <c r="XEN3003" s="462"/>
      <c r="XEO3003" s="299"/>
      <c r="XEP3003" s="81"/>
      <c r="XEQ3003" s="160"/>
      <c r="XER3003" s="577"/>
      <c r="XES3003" s="125"/>
      <c r="XET3003" s="470"/>
      <c r="XEU3003" s="449"/>
      <c r="XEV3003" s="462"/>
      <c r="XEW3003" s="299"/>
      <c r="XEX3003" s="81"/>
      <c r="XEY3003" s="160"/>
      <c r="XEZ3003" s="577"/>
      <c r="XFA3003" s="125"/>
      <c r="XFB3003" s="470"/>
      <c r="XFC3003" s="449"/>
      <c r="XFD3003" s="462"/>
    </row>
    <row r="3004" spans="1:16384" ht="15" customHeight="1">
      <c r="A3004" s="1253">
        <v>45121</v>
      </c>
      <c r="B3004" s="1209">
        <v>4470</v>
      </c>
      <c r="C3004" s="1210">
        <v>29025</v>
      </c>
      <c r="D3004" s="1230">
        <v>28750</v>
      </c>
      <c r="E3004" s="1212">
        <f t="shared" si="1147"/>
        <v>-275</v>
      </c>
      <c r="F3004" s="1211">
        <f t="shared" si="1148"/>
        <v>-425</v>
      </c>
      <c r="G3004" s="1215"/>
      <c r="H3004" s="1269"/>
      <c r="I3004" s="1291">
        <v>233250</v>
      </c>
    </row>
    <row r="3005" spans="1:16384" ht="15" customHeight="1">
      <c r="A3005" s="1253">
        <v>45124</v>
      </c>
      <c r="B3005" s="1209">
        <v>4510</v>
      </c>
      <c r="C3005" s="1210">
        <v>28800</v>
      </c>
      <c r="D3005" s="1230">
        <v>28400</v>
      </c>
      <c r="E3005" s="1212">
        <f t="shared" si="1147"/>
        <v>-400</v>
      </c>
      <c r="F3005" s="1211">
        <f t="shared" si="1148"/>
        <v>-225</v>
      </c>
      <c r="G3005" s="1215"/>
      <c r="H3005" s="1269"/>
      <c r="I3005" s="1291">
        <v>232000</v>
      </c>
    </row>
    <row r="3006" spans="1:16384" ht="15" customHeight="1">
      <c r="A3006" s="1253">
        <v>45125</v>
      </c>
      <c r="B3006" s="1209">
        <v>4610</v>
      </c>
      <c r="C3006" s="1210">
        <v>28925</v>
      </c>
      <c r="D3006" s="1230">
        <v>28500</v>
      </c>
      <c r="E3006" s="1212">
        <f t="shared" si="1147"/>
        <v>-425</v>
      </c>
      <c r="F3006" s="1211">
        <f t="shared" si="1148"/>
        <v>125</v>
      </c>
      <c r="G3006" s="1215"/>
      <c r="H3006" s="1269"/>
      <c r="I3006" s="1291">
        <v>232500</v>
      </c>
    </row>
    <row r="3007" spans="1:16384" ht="15" customHeight="1">
      <c r="A3007" s="1253">
        <v>45126</v>
      </c>
      <c r="B3007" s="1209">
        <v>4610</v>
      </c>
      <c r="C3007" s="1210">
        <v>28350</v>
      </c>
      <c r="D3007" s="1230">
        <v>28175</v>
      </c>
      <c r="E3007" s="1212">
        <f t="shared" si="1147"/>
        <v>-175</v>
      </c>
      <c r="F3007" s="1211">
        <f t="shared" si="1148"/>
        <v>-575</v>
      </c>
      <c r="G3007" s="1215"/>
      <c r="H3007" s="1269"/>
      <c r="I3007" s="1291">
        <v>232250</v>
      </c>
    </row>
    <row r="3008" spans="1:16384" ht="15" customHeight="1">
      <c r="A3008" s="1253">
        <v>45127</v>
      </c>
      <c r="B3008" s="1209">
        <v>4710</v>
      </c>
      <c r="C3008" s="1210">
        <v>29250</v>
      </c>
      <c r="D3008" s="1230">
        <v>28800</v>
      </c>
      <c r="E3008" s="1212">
        <f t="shared" si="1147"/>
        <v>-450</v>
      </c>
      <c r="F3008" s="1211">
        <f t="shared" si="1148"/>
        <v>900</v>
      </c>
      <c r="G3008" s="1215"/>
      <c r="H3008" s="1269"/>
      <c r="I3008" s="1291">
        <v>231000</v>
      </c>
    </row>
    <row r="3009" spans="1:9" ht="15" customHeight="1">
      <c r="A3009" s="1253">
        <v>45128</v>
      </c>
      <c r="B3009" s="1209">
        <v>4755</v>
      </c>
      <c r="C3009" s="1210">
        <v>28900</v>
      </c>
      <c r="D3009" s="1230">
        <v>28675</v>
      </c>
      <c r="E3009" s="1212">
        <f t="shared" si="1147"/>
        <v>-225</v>
      </c>
      <c r="F3009" s="1211">
        <f t="shared" si="1148"/>
        <v>-350</v>
      </c>
      <c r="G3009" s="1215"/>
      <c r="H3009" s="1269"/>
      <c r="I3009" s="1291">
        <v>233000</v>
      </c>
    </row>
    <row r="3010" spans="1:9" ht="15" customHeight="1">
      <c r="A3010" s="1253">
        <v>45131</v>
      </c>
      <c r="B3010" s="1209">
        <v>4880</v>
      </c>
      <c r="C3010" s="1210">
        <v>28250</v>
      </c>
      <c r="D3010" s="1230">
        <v>28225</v>
      </c>
      <c r="E3010" s="1212">
        <f t="shared" ref="E3010" si="1149">D3010-C3010</f>
        <v>-25</v>
      </c>
      <c r="F3010" s="1211">
        <f t="shared" ref="F3010" si="1150">C3010-C3009</f>
        <v>-650</v>
      </c>
      <c r="G3010" s="1215"/>
      <c r="H3010" s="1269"/>
      <c r="I3010" s="1291">
        <v>232750</v>
      </c>
    </row>
    <row r="3011" spans="1:9" ht="15" customHeight="1">
      <c r="A3011" s="1253">
        <v>45132</v>
      </c>
      <c r="B3011" s="1209">
        <v>5030</v>
      </c>
      <c r="C3011" s="1210">
        <v>28875</v>
      </c>
      <c r="D3011" s="1230">
        <v>28725</v>
      </c>
      <c r="E3011" s="1212">
        <f t="shared" ref="E3011" si="1151">D3011-C3011</f>
        <v>-150</v>
      </c>
      <c r="F3011" s="1211">
        <f t="shared" ref="F3011" si="1152">C3011-C3010</f>
        <v>625</v>
      </c>
      <c r="G3011" s="1215"/>
      <c r="H3011" s="1269"/>
      <c r="I3011" s="1291">
        <v>233000</v>
      </c>
    </row>
    <row r="3012" spans="1:9" ht="15" customHeight="1">
      <c r="A3012" s="1253">
        <v>45133</v>
      </c>
      <c r="B3012" s="1209">
        <v>5050</v>
      </c>
      <c r="C3012" s="1210">
        <v>28800</v>
      </c>
      <c r="D3012" s="1230">
        <v>28735</v>
      </c>
      <c r="E3012" s="1212">
        <f t="shared" ref="E3012" si="1153">D3012-C3012</f>
        <v>-65</v>
      </c>
      <c r="F3012" s="1211">
        <f t="shared" ref="F3012" si="1154">C3012-C3011</f>
        <v>-75</v>
      </c>
      <c r="G3012" s="1215"/>
      <c r="H3012" s="1269"/>
      <c r="I3012" s="1291">
        <v>232500</v>
      </c>
    </row>
    <row r="3013" spans="1:9" ht="15" customHeight="1">
      <c r="A3013" s="1253">
        <v>45134</v>
      </c>
      <c r="B3013" s="1209">
        <v>5130</v>
      </c>
      <c r="C3013" s="1210">
        <v>29450</v>
      </c>
      <c r="D3013" s="1230">
        <v>29450</v>
      </c>
      <c r="E3013" s="1212">
        <f t="shared" ref="E3013" si="1155">D3013-C3013</f>
        <v>0</v>
      </c>
      <c r="F3013" s="1211">
        <f t="shared" ref="F3013" si="1156">C3013-C3012</f>
        <v>650</v>
      </c>
      <c r="G3013" s="1236"/>
      <c r="H3013" s="1280"/>
      <c r="I3013" s="1291">
        <v>242250</v>
      </c>
    </row>
    <row r="3014" spans="1:9" ht="15" customHeight="1">
      <c r="A3014" s="1253">
        <v>45135</v>
      </c>
      <c r="B3014" s="1209">
        <v>5215</v>
      </c>
      <c r="C3014" s="1210">
        <v>28755</v>
      </c>
      <c r="D3014" s="1230">
        <v>28750</v>
      </c>
      <c r="E3014" s="1212">
        <f t="shared" ref="E3014" si="1157">D3014-C3014</f>
        <v>-5</v>
      </c>
      <c r="F3014" s="1211">
        <f t="shared" ref="F3014" si="1158">C3014-C3013</f>
        <v>-695</v>
      </c>
      <c r="G3014" s="1236"/>
      <c r="H3014" s="1280"/>
      <c r="I3014" s="1291">
        <v>232250</v>
      </c>
    </row>
    <row r="3015" spans="1:9" ht="15" customHeight="1">
      <c r="A3015" s="1253">
        <v>45138</v>
      </c>
      <c r="B3015" s="1209">
        <v>5275</v>
      </c>
      <c r="C3015" s="1210">
        <v>28900</v>
      </c>
      <c r="D3015" s="1230">
        <v>28825</v>
      </c>
      <c r="E3015" s="1212">
        <f t="shared" ref="E3015" si="1159">D3015-C3015</f>
        <v>-75</v>
      </c>
      <c r="F3015" s="1211">
        <f t="shared" ref="F3015" si="1160">C3015-C3014</f>
        <v>145</v>
      </c>
      <c r="G3015" s="1237">
        <f>AVERAGE($C$2995:C3015)</f>
        <v>28751.428571428572</v>
      </c>
      <c r="H3015" s="1274">
        <f>AVERAGE($C$2866:C3015)</f>
        <v>26656</v>
      </c>
      <c r="I3015" s="1291">
        <v>233250</v>
      </c>
    </row>
    <row r="3016" spans="1:9" ht="15" customHeight="1">
      <c r="A3016" s="1253">
        <v>45139</v>
      </c>
      <c r="B3016" s="1209">
        <v>5255</v>
      </c>
      <c r="C3016" s="1210">
        <v>27560</v>
      </c>
      <c r="D3016" s="1230">
        <v>27680</v>
      </c>
      <c r="E3016" s="1212">
        <f t="shared" ref="E3016" si="1161">D3016-C3016</f>
        <v>120</v>
      </c>
      <c r="F3016" s="1211">
        <f t="shared" ref="F3016" si="1162">C3016-C3015</f>
        <v>-1340</v>
      </c>
      <c r="G3016" s="1236"/>
      <c r="H3016" s="1280"/>
      <c r="I3016" s="1291">
        <v>227250</v>
      </c>
    </row>
    <row r="3017" spans="1:9" ht="15" customHeight="1">
      <c r="A3017" s="1253">
        <v>45140</v>
      </c>
      <c r="B3017" s="1209">
        <v>5275</v>
      </c>
      <c r="C3017" s="1210">
        <v>27250</v>
      </c>
      <c r="D3017" s="1230">
        <v>27425</v>
      </c>
      <c r="E3017" s="1212">
        <f t="shared" ref="E3017" si="1163">D3017-C3017</f>
        <v>175</v>
      </c>
      <c r="F3017" s="1211">
        <f t="shared" ref="F3017" si="1164">C3017-C3016</f>
        <v>-310</v>
      </c>
      <c r="G3017" s="1236"/>
      <c r="H3017" s="1280"/>
      <c r="I3017" s="1291">
        <v>226500</v>
      </c>
    </row>
    <row r="3018" spans="1:9" ht="15" customHeight="1">
      <c r="A3018" s="1253">
        <v>45141</v>
      </c>
      <c r="B3018" s="1209">
        <v>5275</v>
      </c>
      <c r="C3018" s="1210">
        <v>27550</v>
      </c>
      <c r="D3018" s="1230">
        <v>27725</v>
      </c>
      <c r="E3018" s="1212">
        <f t="shared" ref="E3018:E3024" si="1165">D3018-C3018</f>
        <v>175</v>
      </c>
      <c r="F3018" s="1211">
        <f t="shared" ref="F3018:F3024" si="1166">C3018-C3017</f>
        <v>300</v>
      </c>
      <c r="G3018" s="1215"/>
      <c r="H3018" s="1269"/>
      <c r="I3018" s="1291">
        <v>230750</v>
      </c>
    </row>
    <row r="3019" spans="1:9" ht="15" customHeight="1">
      <c r="A3019" s="1253">
        <v>45142</v>
      </c>
      <c r="B3019" s="1209">
        <v>5480</v>
      </c>
      <c r="C3019" s="1210">
        <v>27925</v>
      </c>
      <c r="D3019" s="1230">
        <v>27950</v>
      </c>
      <c r="E3019" s="1212">
        <f t="shared" si="1165"/>
        <v>25</v>
      </c>
      <c r="F3019" s="1211">
        <f t="shared" si="1166"/>
        <v>375</v>
      </c>
      <c r="G3019" s="1215"/>
      <c r="H3019" s="1269"/>
      <c r="I3019" s="1291">
        <v>229000</v>
      </c>
    </row>
    <row r="3020" spans="1:9" ht="15" customHeight="1">
      <c r="A3020" s="1253">
        <v>45145</v>
      </c>
      <c r="B3020" s="1209">
        <v>5555</v>
      </c>
      <c r="C3020" s="1210">
        <v>27850</v>
      </c>
      <c r="D3020" s="1230">
        <v>27750</v>
      </c>
      <c r="E3020" s="1212">
        <f t="shared" si="1165"/>
        <v>-100</v>
      </c>
      <c r="F3020" s="1211">
        <f t="shared" si="1166"/>
        <v>-75</v>
      </c>
      <c r="G3020" s="1215"/>
      <c r="H3020" s="1269"/>
      <c r="I3020" s="1291">
        <v>228250</v>
      </c>
    </row>
    <row r="3021" spans="1:9" ht="15" customHeight="1">
      <c r="A3021" s="1253">
        <v>45146</v>
      </c>
      <c r="B3021" s="1209">
        <v>5605</v>
      </c>
      <c r="C3021" s="1210">
        <v>27550</v>
      </c>
      <c r="D3021" s="1230">
        <v>27600</v>
      </c>
      <c r="E3021" s="1212">
        <f t="shared" si="1165"/>
        <v>50</v>
      </c>
      <c r="F3021" s="1211">
        <f t="shared" si="1166"/>
        <v>-300</v>
      </c>
      <c r="G3021" s="1215"/>
      <c r="H3021" s="1269"/>
      <c r="I3021" s="1291">
        <v>227250</v>
      </c>
    </row>
    <row r="3022" spans="1:9" ht="15" customHeight="1">
      <c r="A3022" s="1253">
        <v>45147</v>
      </c>
      <c r="B3022" s="1209">
        <v>5675</v>
      </c>
      <c r="C3022" s="1210">
        <v>27080</v>
      </c>
      <c r="D3022" s="1230">
        <v>27325</v>
      </c>
      <c r="E3022" s="1212">
        <f t="shared" si="1165"/>
        <v>245</v>
      </c>
      <c r="F3022" s="1211">
        <f t="shared" si="1166"/>
        <v>-470</v>
      </c>
      <c r="G3022" s="1215"/>
      <c r="H3022" s="1269"/>
      <c r="I3022" s="1291">
        <v>226500</v>
      </c>
    </row>
    <row r="3023" spans="1:9" ht="15" customHeight="1">
      <c r="A3023" s="1253">
        <v>45148</v>
      </c>
      <c r="B3023" s="1209">
        <v>5695</v>
      </c>
      <c r="C3023" s="1210">
        <v>26775</v>
      </c>
      <c r="D3023" s="1230">
        <v>27000</v>
      </c>
      <c r="E3023" s="1212">
        <f t="shared" si="1165"/>
        <v>225</v>
      </c>
      <c r="F3023" s="1211">
        <f t="shared" si="1166"/>
        <v>-305</v>
      </c>
      <c r="G3023" s="1215"/>
      <c r="H3023" s="1269"/>
      <c r="I3023" s="1291">
        <v>223750</v>
      </c>
    </row>
    <row r="3024" spans="1:9" ht="15" customHeight="1">
      <c r="A3024" s="1253">
        <v>45149</v>
      </c>
      <c r="B3024" s="1209">
        <v>5780</v>
      </c>
      <c r="C3024" s="1210">
        <v>25775</v>
      </c>
      <c r="D3024" s="1230">
        <v>25900</v>
      </c>
      <c r="E3024" s="1212">
        <f t="shared" si="1165"/>
        <v>125</v>
      </c>
      <c r="F3024" s="1211">
        <f t="shared" si="1166"/>
        <v>-1000</v>
      </c>
      <c r="G3024" s="1215"/>
      <c r="H3024" s="1269"/>
      <c r="I3024" s="1291">
        <v>223000</v>
      </c>
    </row>
    <row r="3025" spans="1:9" ht="15" customHeight="1">
      <c r="A3025" s="1253">
        <v>45152</v>
      </c>
      <c r="B3025" s="1209">
        <v>5900</v>
      </c>
      <c r="C3025" s="1210">
        <v>24975</v>
      </c>
      <c r="D3025" s="1230">
        <v>25550</v>
      </c>
      <c r="E3025" s="1212">
        <f t="shared" ref="E3025" si="1167">D3025-C3025</f>
        <v>575</v>
      </c>
      <c r="F3025" s="1211">
        <f t="shared" ref="F3025" si="1168">C3025-C3024</f>
        <v>-800</v>
      </c>
      <c r="G3025" s="1215"/>
      <c r="H3025" s="1269"/>
      <c r="I3025" s="1291">
        <f>213750+3750</f>
        <v>217500</v>
      </c>
    </row>
    <row r="3026" spans="1:9" ht="15" customHeight="1">
      <c r="A3026" s="1253">
        <v>45153</v>
      </c>
      <c r="B3026" s="1209">
        <v>6000</v>
      </c>
      <c r="C3026" s="1210">
        <v>24600</v>
      </c>
      <c r="D3026" s="1230">
        <v>24860</v>
      </c>
      <c r="E3026" s="1212">
        <f t="shared" ref="E3026" si="1169">D3026-C3026</f>
        <v>260</v>
      </c>
      <c r="F3026" s="1211">
        <f t="shared" ref="F3026" si="1170">C3026-C3025</f>
        <v>-375</v>
      </c>
      <c r="G3026" s="1215"/>
      <c r="H3026" s="1269"/>
      <c r="I3026" s="1291">
        <v>213750</v>
      </c>
    </row>
    <row r="3027" spans="1:9" ht="15" customHeight="1">
      <c r="A3027" s="1253">
        <v>45154</v>
      </c>
      <c r="B3027" s="1209">
        <v>6035</v>
      </c>
      <c r="C3027" s="1210">
        <v>24730</v>
      </c>
      <c r="D3027" s="1230">
        <v>25100</v>
      </c>
      <c r="E3027" s="1212">
        <f t="shared" ref="E3027" si="1171">D3027-C3027</f>
        <v>370</v>
      </c>
      <c r="F3027" s="1211">
        <f t="shared" ref="F3027" si="1172">C3027-C3026</f>
        <v>130</v>
      </c>
      <c r="G3027" s="1215"/>
      <c r="H3027" s="1269"/>
      <c r="I3027" s="1291">
        <v>212250</v>
      </c>
    </row>
    <row r="3028" spans="1:9" ht="15" customHeight="1">
      <c r="A3028" s="1253">
        <v>45155</v>
      </c>
      <c r="B3028" s="1209">
        <v>6035</v>
      </c>
      <c r="C3028" s="1210">
        <v>25000</v>
      </c>
      <c r="D3028" s="1230">
        <v>25300</v>
      </c>
      <c r="E3028" s="1212">
        <f t="shared" ref="E3028" si="1173">D3028-C3028</f>
        <v>300</v>
      </c>
      <c r="F3028" s="1211">
        <f t="shared" ref="F3028" si="1174">C3028-C3027</f>
        <v>270</v>
      </c>
      <c r="G3028" s="1236"/>
      <c r="H3028" s="1280"/>
      <c r="I3028" s="1291">
        <v>211000</v>
      </c>
    </row>
    <row r="3029" spans="1:9" ht="15" customHeight="1">
      <c r="A3029" s="1253">
        <v>45156</v>
      </c>
      <c r="B3029" s="1209">
        <v>6090</v>
      </c>
      <c r="C3029" s="1210">
        <v>25050</v>
      </c>
      <c r="D3029" s="1230">
        <v>25250</v>
      </c>
      <c r="E3029" s="1212">
        <f t="shared" ref="E3029" si="1175">D3029-C3029</f>
        <v>200</v>
      </c>
      <c r="F3029" s="1211">
        <f t="shared" ref="F3029" si="1176">C3029-C3028</f>
        <v>50</v>
      </c>
      <c r="G3029" s="1236"/>
      <c r="H3029" s="1280"/>
      <c r="I3029" s="1291">
        <v>213500</v>
      </c>
    </row>
    <row r="3030" spans="1:9" ht="15" customHeight="1">
      <c r="A3030" s="1253">
        <v>45159</v>
      </c>
      <c r="B3030" s="1209">
        <v>6090</v>
      </c>
      <c r="C3030" s="1210">
        <v>24925</v>
      </c>
      <c r="D3030" s="1230">
        <v>25200</v>
      </c>
      <c r="E3030" s="1212">
        <f t="shared" ref="E3030" si="1177">D3030-C3030</f>
        <v>275</v>
      </c>
      <c r="F3030" s="1211">
        <f t="shared" ref="F3030" si="1178">C3030-C3029</f>
        <v>-125</v>
      </c>
      <c r="G3030" s="1236"/>
      <c r="H3030" s="1280"/>
      <c r="I3030" s="1291">
        <v>215250</v>
      </c>
    </row>
    <row r="3031" spans="1:9" ht="15" customHeight="1">
      <c r="A3031" s="1253">
        <v>45160</v>
      </c>
      <c r="B3031" s="1209">
        <v>6090</v>
      </c>
      <c r="C3031" s="1210">
        <v>25900</v>
      </c>
      <c r="D3031" s="1230">
        <v>26250</v>
      </c>
      <c r="E3031" s="1212">
        <f t="shared" ref="E3031" si="1179">D3031-C3031</f>
        <v>350</v>
      </c>
      <c r="F3031" s="1211">
        <f t="shared" ref="F3031" si="1180">C3031-C3030</f>
        <v>975</v>
      </c>
      <c r="G3031" s="1236"/>
      <c r="H3031" s="1280"/>
      <c r="I3031" s="1291">
        <v>219750</v>
      </c>
    </row>
    <row r="3032" spans="1:9" ht="15" customHeight="1">
      <c r="A3032" s="1253">
        <v>45161</v>
      </c>
      <c r="B3032" s="1209">
        <v>6115</v>
      </c>
      <c r="C3032" s="1210">
        <v>25635</v>
      </c>
      <c r="D3032" s="1230">
        <v>25825</v>
      </c>
      <c r="E3032" s="1212">
        <f t="shared" ref="E3032" si="1181">D3032-C3032</f>
        <v>190</v>
      </c>
      <c r="F3032" s="1211">
        <f t="shared" ref="F3032" si="1182">C3032-C3031</f>
        <v>-265</v>
      </c>
      <c r="G3032" s="1236"/>
      <c r="H3032" s="1280"/>
      <c r="I3032" s="1291">
        <v>219000</v>
      </c>
    </row>
    <row r="3033" spans="1:9" ht="15" customHeight="1">
      <c r="A3033" s="1253">
        <v>45162</v>
      </c>
      <c r="B3033" s="1209">
        <v>6150</v>
      </c>
      <c r="C3033" s="1210">
        <v>25750</v>
      </c>
      <c r="D3033" s="1230">
        <v>25875</v>
      </c>
      <c r="E3033" s="1212">
        <f t="shared" ref="E3033:E3034" si="1183">D3033-C3033</f>
        <v>125</v>
      </c>
      <c r="F3033" s="1211">
        <f t="shared" ref="F3033:F3034" si="1184">C3033-C3032</f>
        <v>115</v>
      </c>
      <c r="G3033" s="1215"/>
      <c r="H3033" s="1269"/>
      <c r="I3033" s="1291">
        <v>218500</v>
      </c>
    </row>
    <row r="3034" spans="1:9" ht="15" customHeight="1">
      <c r="A3034" s="1253">
        <v>45163</v>
      </c>
      <c r="B3034" s="1209">
        <v>6185</v>
      </c>
      <c r="C3034" s="1210">
        <v>25265</v>
      </c>
      <c r="D3034" s="1230">
        <v>25575</v>
      </c>
      <c r="E3034" s="1212">
        <f t="shared" si="1183"/>
        <v>310</v>
      </c>
      <c r="F3034" s="1211">
        <f t="shared" si="1184"/>
        <v>-485</v>
      </c>
      <c r="G3034" s="1215"/>
      <c r="H3034" s="1269"/>
      <c r="I3034" s="1291">
        <v>216000</v>
      </c>
    </row>
    <row r="3035" spans="1:9" ht="15" customHeight="1">
      <c r="A3035" s="1253">
        <v>45166</v>
      </c>
      <c r="B3035" s="1434"/>
      <c r="C3035" s="1434"/>
      <c r="D3035" s="1434"/>
      <c r="E3035" s="1434"/>
      <c r="F3035" s="1434"/>
      <c r="G3035" s="1434"/>
      <c r="H3035" s="1436"/>
      <c r="I3035" s="1291">
        <v>216500</v>
      </c>
    </row>
    <row r="3036" spans="1:9" ht="15" customHeight="1">
      <c r="A3036" s="1253">
        <v>45167</v>
      </c>
      <c r="B3036" s="1209">
        <v>6215</v>
      </c>
      <c r="C3036" s="1210">
        <v>24800</v>
      </c>
      <c r="D3036" s="1230">
        <v>25060</v>
      </c>
      <c r="E3036" s="1212">
        <f t="shared" ref="E3036:E3038" si="1185">D3036-C3036</f>
        <v>260</v>
      </c>
      <c r="F3036" s="1211">
        <f>C3036-C3034</f>
        <v>-465</v>
      </c>
      <c r="G3036" s="1215"/>
      <c r="H3036" s="1269"/>
      <c r="I3036" s="1291">
        <v>211000</v>
      </c>
    </row>
    <row r="3037" spans="1:9" ht="15" customHeight="1">
      <c r="A3037" s="1253">
        <v>45168</v>
      </c>
      <c r="B3037" s="1209">
        <v>6205</v>
      </c>
      <c r="C3037" s="1210">
        <v>24950</v>
      </c>
      <c r="D3037" s="1230">
        <v>25325</v>
      </c>
      <c r="E3037" s="1212">
        <f t="shared" si="1185"/>
        <v>375</v>
      </c>
      <c r="F3037" s="1211">
        <f t="shared" ref="F3037:F3042" si="1186">C3037-C3036</f>
        <v>150</v>
      </c>
      <c r="G3037" s="1215"/>
      <c r="H3037" s="1269"/>
      <c r="I3037" s="1291">
        <v>213750</v>
      </c>
    </row>
    <row r="3038" spans="1:9" ht="15" customHeight="1">
      <c r="A3038" s="1253">
        <v>45169</v>
      </c>
      <c r="B3038" s="1209">
        <v>6370</v>
      </c>
      <c r="C3038" s="1210">
        <v>25000</v>
      </c>
      <c r="D3038" s="1230">
        <v>25110</v>
      </c>
      <c r="E3038" s="1212">
        <f t="shared" si="1185"/>
        <v>110</v>
      </c>
      <c r="F3038" s="1211">
        <f t="shared" si="1186"/>
        <v>50</v>
      </c>
      <c r="G3038" s="1237">
        <f>AVERAGE($C$3016:C3038)</f>
        <v>25995.227272727272</v>
      </c>
      <c r="H3038" s="1274">
        <f>AVERAGE($C$2866:C3038)</f>
        <v>26568.952095808385</v>
      </c>
      <c r="I3038" s="1291">
        <v>215750</v>
      </c>
    </row>
    <row r="3039" spans="1:9" ht="15" customHeight="1">
      <c r="A3039" s="1253">
        <v>45170</v>
      </c>
      <c r="B3039" s="1209">
        <v>6370</v>
      </c>
      <c r="C3039" s="1210">
        <v>25600</v>
      </c>
      <c r="D3039" s="1230">
        <v>25800</v>
      </c>
      <c r="E3039" s="1212">
        <f t="shared" ref="E3039" si="1187">D3039-C3039</f>
        <v>200</v>
      </c>
      <c r="F3039" s="1211">
        <f t="shared" si="1186"/>
        <v>600</v>
      </c>
      <c r="G3039" s="1215"/>
      <c r="H3039" s="1269"/>
      <c r="I3039" s="1291">
        <v>217250</v>
      </c>
    </row>
    <row r="3040" spans="1:9" ht="15" customHeight="1">
      <c r="A3040" s="1253">
        <v>45173</v>
      </c>
      <c r="B3040" s="1209">
        <v>6390</v>
      </c>
      <c r="C3040" s="1210">
        <v>25560</v>
      </c>
      <c r="D3040" s="1230">
        <v>25900</v>
      </c>
      <c r="E3040" s="1212">
        <f t="shared" ref="E3040" si="1188">D3040-C3040</f>
        <v>340</v>
      </c>
      <c r="F3040" s="1211">
        <f t="shared" si="1186"/>
        <v>-40</v>
      </c>
      <c r="G3040" s="1236"/>
      <c r="H3040" s="1280"/>
      <c r="I3040" s="1291">
        <v>217500</v>
      </c>
    </row>
    <row r="3041" spans="1:9" ht="15" customHeight="1">
      <c r="A3041" s="1253">
        <v>45174</v>
      </c>
      <c r="B3041" s="1209">
        <v>6385</v>
      </c>
      <c r="C3041" s="1210">
        <v>26400</v>
      </c>
      <c r="D3041" s="1230">
        <v>26420</v>
      </c>
      <c r="E3041" s="1212">
        <f t="shared" ref="E3041" si="1189">D3041-C3041</f>
        <v>20</v>
      </c>
      <c r="F3041" s="1211">
        <f t="shared" si="1186"/>
        <v>840</v>
      </c>
      <c r="G3041" s="1236"/>
      <c r="H3041" s="1280"/>
      <c r="I3041" s="1291">
        <v>221750</v>
      </c>
    </row>
    <row r="3042" spans="1:9" ht="15" customHeight="1">
      <c r="A3042" s="1253">
        <v>45175</v>
      </c>
      <c r="B3042" s="1209">
        <v>6410</v>
      </c>
      <c r="C3042" s="1210">
        <v>26100</v>
      </c>
      <c r="D3042" s="1230">
        <v>26250</v>
      </c>
      <c r="E3042" s="1212">
        <f t="shared" ref="E3042" si="1190">D3042-C3042</f>
        <v>150</v>
      </c>
      <c r="F3042" s="1211">
        <f t="shared" si="1186"/>
        <v>-300</v>
      </c>
      <c r="G3042" s="1236"/>
      <c r="H3042" s="1280"/>
      <c r="I3042" s="1291">
        <v>222750</v>
      </c>
    </row>
    <row r="3043" spans="1:9" ht="15" customHeight="1">
      <c r="A3043" s="1253">
        <v>45176</v>
      </c>
      <c r="B3043" s="1209">
        <v>6695</v>
      </c>
      <c r="C3043" s="1210">
        <v>25725</v>
      </c>
      <c r="D3043" s="1230">
        <v>25775</v>
      </c>
      <c r="E3043" s="1212">
        <f t="shared" ref="E3043" si="1191">D3043-C3043</f>
        <v>50</v>
      </c>
      <c r="F3043" s="1211">
        <f t="shared" ref="F3043" si="1192">C3043-C3042</f>
        <v>-375</v>
      </c>
      <c r="G3043" s="1215"/>
      <c r="H3043" s="1269"/>
      <c r="I3043" s="1291">
        <v>222000</v>
      </c>
    </row>
    <row r="3044" spans="1:9" ht="15" customHeight="1">
      <c r="A3044" s="1253">
        <v>45177</v>
      </c>
      <c r="B3044" s="1209">
        <v>6815</v>
      </c>
      <c r="C3044" s="1210">
        <v>25335</v>
      </c>
      <c r="D3044" s="1230">
        <v>25650</v>
      </c>
      <c r="E3044" s="1212">
        <f t="shared" ref="E3044" si="1193">D3044-C3044</f>
        <v>315</v>
      </c>
      <c r="F3044" s="1211">
        <f t="shared" ref="F3044" si="1194">C3044-C3043</f>
        <v>-390</v>
      </c>
      <c r="G3044" s="1215"/>
      <c r="H3044" s="1269"/>
      <c r="I3044" s="1291">
        <v>222000</v>
      </c>
    </row>
    <row r="3045" spans="1:9" ht="15" customHeight="1">
      <c r="A3045" s="1253">
        <v>45180</v>
      </c>
      <c r="B3045" s="1209">
        <v>6885</v>
      </c>
      <c r="C3045" s="1210">
        <v>25550</v>
      </c>
      <c r="D3045" s="1230">
        <v>25775</v>
      </c>
      <c r="E3045" s="1212">
        <f t="shared" ref="E3045:E3047" si="1195">D3045-C3045</f>
        <v>225</v>
      </c>
      <c r="F3045" s="1211">
        <f t="shared" ref="F3045:F3047" si="1196">C3045-C3044</f>
        <v>215</v>
      </c>
      <c r="G3045" s="1215"/>
      <c r="H3045" s="1269"/>
      <c r="I3045" s="1291">
        <v>216750</v>
      </c>
    </row>
    <row r="3046" spans="1:9" ht="15" customHeight="1">
      <c r="A3046" s="1253">
        <v>45181</v>
      </c>
      <c r="B3046" s="1209">
        <v>6950</v>
      </c>
      <c r="C3046" s="1210">
        <v>25205</v>
      </c>
      <c r="D3046" s="1230">
        <v>25475</v>
      </c>
      <c r="E3046" s="1212">
        <f t="shared" si="1195"/>
        <v>270</v>
      </c>
      <c r="F3046" s="1211">
        <f t="shared" si="1196"/>
        <v>-345</v>
      </c>
      <c r="G3046" s="1215"/>
      <c r="H3046" s="1269"/>
      <c r="I3046" s="1291">
        <f>215000+2750</f>
        <v>217750</v>
      </c>
    </row>
    <row r="3047" spans="1:9" ht="15" customHeight="1">
      <c r="A3047" s="1253">
        <v>45182</v>
      </c>
      <c r="B3047" s="1209">
        <v>6975</v>
      </c>
      <c r="C3047" s="1210">
        <v>25200</v>
      </c>
      <c r="D3047" s="1230">
        <v>25350</v>
      </c>
      <c r="E3047" s="1212">
        <f t="shared" si="1195"/>
        <v>150</v>
      </c>
      <c r="F3047" s="1211">
        <f t="shared" si="1196"/>
        <v>-5</v>
      </c>
      <c r="G3047" s="1215"/>
      <c r="H3047" s="1269"/>
      <c r="I3047" s="1291">
        <v>215000</v>
      </c>
    </row>
    <row r="3048" spans="1:9" ht="15" customHeight="1">
      <c r="A3048" s="1253">
        <v>45183</v>
      </c>
      <c r="B3048" s="1209">
        <v>7035</v>
      </c>
      <c r="C3048" s="1210">
        <v>25650</v>
      </c>
      <c r="D3048" s="1230">
        <v>25850</v>
      </c>
      <c r="E3048" s="1212">
        <f t="shared" ref="E3048:E3050" si="1197">D3048-C3048</f>
        <v>200</v>
      </c>
      <c r="F3048" s="1211">
        <f t="shared" ref="F3048" si="1198">C3048-C3047</f>
        <v>450</v>
      </c>
      <c r="G3048" s="1215"/>
      <c r="H3048" s="1269"/>
      <c r="I3048" s="1291">
        <v>217250</v>
      </c>
    </row>
    <row r="3049" spans="1:9" ht="15" customHeight="1">
      <c r="A3049" s="1253">
        <v>45184</v>
      </c>
      <c r="B3049" s="1209">
        <v>7015</v>
      </c>
      <c r="C3049" s="1210">
        <v>25600</v>
      </c>
      <c r="D3049" s="1230">
        <v>25630</v>
      </c>
      <c r="E3049" s="1212">
        <f t="shared" si="1197"/>
        <v>30</v>
      </c>
      <c r="F3049" s="1211">
        <f t="shared" ref="F3049:F3054" si="1199">C3049-C3048</f>
        <v>-50</v>
      </c>
      <c r="G3049" s="1215"/>
      <c r="H3049" s="1269"/>
      <c r="I3049" s="1291">
        <v>219750</v>
      </c>
    </row>
    <row r="3050" spans="1:9" ht="15" customHeight="1">
      <c r="A3050" s="1253">
        <v>45187</v>
      </c>
      <c r="B3050" s="1209">
        <v>7050</v>
      </c>
      <c r="C3050" s="1210">
        <v>25550</v>
      </c>
      <c r="D3050" s="1230">
        <v>26000</v>
      </c>
      <c r="E3050" s="1212">
        <f t="shared" si="1197"/>
        <v>450</v>
      </c>
      <c r="F3050" s="1211">
        <f t="shared" si="1199"/>
        <v>-50</v>
      </c>
      <c r="G3050" s="1236"/>
      <c r="H3050" s="1280"/>
      <c r="I3050" s="1291">
        <v>223000</v>
      </c>
    </row>
    <row r="3051" spans="1:9" ht="15" customHeight="1">
      <c r="A3051" s="1253">
        <v>45188</v>
      </c>
      <c r="B3051" s="1209">
        <v>6955</v>
      </c>
      <c r="C3051" s="1210">
        <v>25650</v>
      </c>
      <c r="D3051" s="1230">
        <v>25850</v>
      </c>
      <c r="E3051" s="1212">
        <f t="shared" ref="E3051:E3053" si="1200">D3051-C3051</f>
        <v>200</v>
      </c>
      <c r="F3051" s="1211">
        <f t="shared" si="1199"/>
        <v>100</v>
      </c>
      <c r="G3051" s="1215"/>
      <c r="H3051" s="1269"/>
      <c r="I3051" s="1291">
        <v>218500</v>
      </c>
    </row>
    <row r="3052" spans="1:9" ht="15" customHeight="1">
      <c r="A3052" s="1253">
        <v>45189</v>
      </c>
      <c r="B3052" s="1209">
        <v>6805</v>
      </c>
      <c r="C3052" s="1210">
        <v>25800</v>
      </c>
      <c r="D3052" s="1230">
        <v>26075</v>
      </c>
      <c r="E3052" s="1212">
        <f t="shared" si="1200"/>
        <v>275</v>
      </c>
      <c r="F3052" s="1211">
        <f t="shared" si="1199"/>
        <v>150</v>
      </c>
      <c r="G3052" s="1215"/>
      <c r="H3052" s="1269"/>
      <c r="I3052" s="1291">
        <v>222250</v>
      </c>
    </row>
    <row r="3053" spans="1:9" ht="15" customHeight="1">
      <c r="A3053" s="1253">
        <v>45190</v>
      </c>
      <c r="B3053" s="1209">
        <v>6925</v>
      </c>
      <c r="C3053" s="1210">
        <v>25650</v>
      </c>
      <c r="D3053" s="1230">
        <v>25850</v>
      </c>
      <c r="E3053" s="1212">
        <f t="shared" si="1200"/>
        <v>200</v>
      </c>
      <c r="F3053" s="1211">
        <f t="shared" si="1199"/>
        <v>-150</v>
      </c>
      <c r="G3053" s="1215"/>
      <c r="H3053" s="1269"/>
      <c r="I3053" s="1291">
        <v>221500</v>
      </c>
    </row>
    <row r="3054" spans="1:9" ht="15" customHeight="1">
      <c r="A3054" s="1253">
        <v>45191</v>
      </c>
      <c r="B3054" s="1209">
        <v>6920</v>
      </c>
      <c r="C3054" s="1210">
        <v>25325</v>
      </c>
      <c r="D3054" s="1230">
        <v>25700</v>
      </c>
      <c r="E3054" s="1212">
        <f t="shared" ref="E3054" si="1201">D3054-C3054</f>
        <v>375</v>
      </c>
      <c r="F3054" s="1211">
        <f t="shared" si="1199"/>
        <v>-325</v>
      </c>
      <c r="G3054" s="1215"/>
      <c r="H3054" s="1269"/>
      <c r="I3054" s="1291">
        <v>218000</v>
      </c>
    </row>
    <row r="3055" spans="1:9" ht="15" customHeight="1">
      <c r="A3055" s="1253">
        <v>45194</v>
      </c>
      <c r="B3055" s="1209">
        <v>6960</v>
      </c>
      <c r="C3055" s="1210">
        <v>26100</v>
      </c>
      <c r="D3055" s="1230">
        <v>26160</v>
      </c>
      <c r="E3055" s="1212">
        <f t="shared" ref="E3055" si="1202">D3055-C3055</f>
        <v>60</v>
      </c>
      <c r="F3055" s="1211">
        <f t="shared" ref="F3055" si="1203">C3055-C3054</f>
        <v>775</v>
      </c>
      <c r="G3055" s="1215"/>
      <c r="H3055" s="1269"/>
      <c r="I3055" s="1291">
        <v>222750</v>
      </c>
    </row>
    <row r="3056" spans="1:9" ht="15" customHeight="1">
      <c r="A3056" s="1253">
        <v>45195</v>
      </c>
      <c r="B3056" s="1209">
        <v>7035</v>
      </c>
      <c r="C3056" s="1210">
        <v>25625</v>
      </c>
      <c r="D3056" s="1230">
        <v>25900</v>
      </c>
      <c r="E3056" s="1212">
        <f t="shared" ref="E3056" si="1204">D3056-C3056</f>
        <v>275</v>
      </c>
      <c r="F3056" s="1211">
        <f t="shared" ref="F3056" si="1205">C3056-C3055</f>
        <v>-475</v>
      </c>
      <c r="G3056" s="1236"/>
      <c r="H3056" s="1280"/>
      <c r="I3056" s="1291">
        <v>221500</v>
      </c>
    </row>
    <row r="3057" spans="1:9" ht="15" customHeight="1">
      <c r="A3057" s="1253">
        <v>45196</v>
      </c>
      <c r="B3057" s="1209">
        <v>6975</v>
      </c>
      <c r="C3057" s="1210">
        <v>25550</v>
      </c>
      <c r="D3057" s="1230">
        <v>25650</v>
      </c>
      <c r="E3057" s="1212">
        <f t="shared" ref="E3057" si="1206">D3057-C3057</f>
        <v>100</v>
      </c>
      <c r="F3057" s="1211">
        <f t="shared" ref="F3057" si="1207">C3057-C3056</f>
        <v>-75</v>
      </c>
      <c r="G3057" s="1236"/>
      <c r="H3057" s="1280"/>
      <c r="I3057" s="1291">
        <v>219250</v>
      </c>
    </row>
    <row r="3058" spans="1:9" ht="15" customHeight="1">
      <c r="A3058" s="1253">
        <v>45197</v>
      </c>
      <c r="B3058" s="1209">
        <v>7080</v>
      </c>
      <c r="C3058" s="1210">
        <v>25355</v>
      </c>
      <c r="D3058" s="1230">
        <v>25600</v>
      </c>
      <c r="E3058" s="1212">
        <f t="shared" ref="E3058" si="1208">D3058-C3058</f>
        <v>245</v>
      </c>
      <c r="F3058" s="1211">
        <f t="shared" ref="F3058" si="1209">C3058-C3057</f>
        <v>-195</v>
      </c>
      <c r="G3058" s="1236"/>
      <c r="H3058" s="1280"/>
      <c r="I3058" s="1291">
        <v>218500</v>
      </c>
    </row>
    <row r="3059" spans="1:9" ht="15" customHeight="1">
      <c r="A3059" s="1253">
        <v>2</v>
      </c>
      <c r="B3059" s="1209">
        <v>7350</v>
      </c>
      <c r="C3059" s="1210">
        <v>24200</v>
      </c>
      <c r="D3059" s="1230">
        <v>24450</v>
      </c>
      <c r="E3059" s="1212">
        <f t="shared" ref="E3059" si="1210">D3059-C3059</f>
        <v>250</v>
      </c>
      <c r="F3059" s="1211">
        <f t="shared" ref="F3059" si="1211">C3059-C3058</f>
        <v>-1155</v>
      </c>
      <c r="G3059" s="1237">
        <f>AVERAGE($C$3039:C3059)</f>
        <v>25558.571428571428</v>
      </c>
      <c r="H3059" s="1274">
        <f>AVERAGE($C$2866:C3059)</f>
        <v>26456.090425531915</v>
      </c>
      <c r="I3059" s="1291"/>
    </row>
    <row r="3060" spans="1:9" ht="15" customHeight="1">
      <c r="A3060" s="1253">
        <v>45201</v>
      </c>
      <c r="B3060" s="1209">
        <v>7350</v>
      </c>
      <c r="C3060" s="1210">
        <v>23900</v>
      </c>
      <c r="D3060" s="1230">
        <v>24200</v>
      </c>
      <c r="E3060" s="1212">
        <f t="shared" ref="E3060" si="1212">D3060-C3060</f>
        <v>300</v>
      </c>
      <c r="F3060" s="1211">
        <f t="shared" ref="F3060" si="1213">C3060-C3059</f>
        <v>-300</v>
      </c>
      <c r="G3060" s="1236"/>
      <c r="H3060" s="1280"/>
      <c r="I3060" s="1291"/>
    </row>
    <row r="3061" spans="1:9" ht="15" customHeight="1">
      <c r="A3061" s="1253">
        <v>45202</v>
      </c>
      <c r="B3061" s="1209">
        <v>7365</v>
      </c>
      <c r="C3061" s="1210">
        <v>24050</v>
      </c>
      <c r="D3061" s="1230">
        <v>24200</v>
      </c>
      <c r="E3061" s="1212">
        <f t="shared" ref="E3061" si="1214">D3061-C3061</f>
        <v>150</v>
      </c>
      <c r="F3061" s="1211">
        <f t="shared" ref="F3061" si="1215">C3061-C3060</f>
        <v>150</v>
      </c>
      <c r="G3061" s="1236"/>
      <c r="H3061" s="1280"/>
      <c r="I3061" s="1291"/>
    </row>
    <row r="3062" spans="1:9" ht="15" customHeight="1">
      <c r="A3062" s="1253">
        <v>45203</v>
      </c>
      <c r="B3062" s="1209">
        <v>7385</v>
      </c>
      <c r="C3062" s="1210">
        <v>24000</v>
      </c>
      <c r="D3062" s="1230">
        <v>24275</v>
      </c>
      <c r="E3062" s="1212">
        <f t="shared" ref="E3062" si="1216">D3062-C3062</f>
        <v>275</v>
      </c>
      <c r="F3062" s="1211">
        <f t="shared" ref="F3062" si="1217">C3062-C3061</f>
        <v>-50</v>
      </c>
      <c r="G3062" s="1236"/>
      <c r="H3062" s="1280"/>
      <c r="I3062" s="1291"/>
    </row>
    <row r="3063" spans="1:9" ht="15" customHeight="1">
      <c r="A3063" s="1253">
        <v>45204</v>
      </c>
      <c r="B3063" s="1209">
        <v>7425</v>
      </c>
      <c r="C3063" s="1210">
        <v>24050</v>
      </c>
      <c r="D3063" s="1230">
        <v>24350</v>
      </c>
      <c r="E3063" s="1212">
        <f t="shared" ref="E3063:E3068" si="1218">D3063-C3063</f>
        <v>300</v>
      </c>
      <c r="F3063" s="1211">
        <f t="shared" ref="F3063:F3065" si="1219">C3063-C3062</f>
        <v>50</v>
      </c>
      <c r="G3063" s="1215"/>
      <c r="H3063" s="1269"/>
      <c r="I3063" s="1291"/>
    </row>
    <row r="3064" spans="1:9" ht="15" customHeight="1">
      <c r="A3064" s="1253">
        <v>45205</v>
      </c>
      <c r="B3064" s="1209">
        <v>7515</v>
      </c>
      <c r="C3064" s="1210">
        <v>23965</v>
      </c>
      <c r="D3064" s="1230">
        <v>24435</v>
      </c>
      <c r="E3064" s="1212">
        <f t="shared" si="1218"/>
        <v>470</v>
      </c>
      <c r="F3064" s="1211">
        <f t="shared" si="1219"/>
        <v>-85</v>
      </c>
      <c r="G3064" s="1215"/>
      <c r="H3064" s="1269"/>
      <c r="I3064" s="1291">
        <f>214250+4250</f>
        <v>218500</v>
      </c>
    </row>
    <row r="3065" spans="1:9" ht="15" customHeight="1">
      <c r="A3065" s="1253">
        <v>45208</v>
      </c>
      <c r="B3065" s="1209">
        <v>7500</v>
      </c>
      <c r="C3065" s="1210">
        <v>24700</v>
      </c>
      <c r="D3065" s="1230">
        <v>25000</v>
      </c>
      <c r="E3065" s="1212">
        <f t="shared" si="1218"/>
        <v>300</v>
      </c>
      <c r="F3065" s="1211">
        <f t="shared" si="1219"/>
        <v>735</v>
      </c>
      <c r="G3065" s="1215"/>
      <c r="H3065" s="1269"/>
      <c r="I3065" s="1291">
        <v>214250</v>
      </c>
    </row>
    <row r="3066" spans="1:9" ht="15" customHeight="1">
      <c r="A3066" s="1253">
        <v>45209</v>
      </c>
      <c r="B3066" s="1209">
        <v>7560</v>
      </c>
      <c r="C3066" s="1210">
        <v>24500</v>
      </c>
      <c r="D3066" s="1230">
        <v>24725</v>
      </c>
      <c r="E3066" s="1212">
        <f t="shared" si="1218"/>
        <v>225</v>
      </c>
      <c r="F3066" s="1211">
        <f t="shared" ref="F3066:F3071" si="1220">C3066-C3065</f>
        <v>-200</v>
      </c>
      <c r="G3066" s="1215"/>
      <c r="H3066" s="1269"/>
      <c r="I3066" s="1291">
        <v>212500</v>
      </c>
    </row>
    <row r="3067" spans="1:9" ht="15" customHeight="1">
      <c r="A3067" s="1253">
        <v>45210</v>
      </c>
      <c r="B3067" s="1209">
        <v>7540</v>
      </c>
      <c r="C3067" s="1210">
        <v>24650</v>
      </c>
      <c r="D3067" s="1230">
        <v>24950</v>
      </c>
      <c r="E3067" s="1212">
        <f t="shared" si="1218"/>
        <v>300</v>
      </c>
      <c r="F3067" s="1211">
        <f t="shared" si="1220"/>
        <v>150</v>
      </c>
      <c r="G3067" s="1215"/>
      <c r="H3067" s="1269"/>
      <c r="I3067" s="1291">
        <v>213000</v>
      </c>
    </row>
    <row r="3068" spans="1:9" ht="15" customHeight="1">
      <c r="A3068" s="1253">
        <v>45211</v>
      </c>
      <c r="B3068" s="1209">
        <v>7480</v>
      </c>
      <c r="C3068" s="1210">
        <v>24900</v>
      </c>
      <c r="D3068" s="1230">
        <v>25195</v>
      </c>
      <c r="E3068" s="1212">
        <f t="shared" si="1218"/>
        <v>295</v>
      </c>
      <c r="F3068" s="1211">
        <f t="shared" si="1220"/>
        <v>250</v>
      </c>
      <c r="G3068" s="1215"/>
      <c r="H3068" s="1269"/>
      <c r="I3068" s="1291">
        <v>213500</v>
      </c>
    </row>
    <row r="3069" spans="1:9" ht="15" customHeight="1">
      <c r="A3069" s="1253">
        <v>45212</v>
      </c>
      <c r="B3069" s="1209">
        <v>7500</v>
      </c>
      <c r="C3069" s="1210">
        <v>25025</v>
      </c>
      <c r="D3069" s="1230">
        <v>25150</v>
      </c>
      <c r="E3069" s="1212">
        <f t="shared" ref="E3069:E3070" si="1221">D3069-C3069</f>
        <v>125</v>
      </c>
      <c r="F3069" s="1211">
        <f t="shared" si="1220"/>
        <v>125</v>
      </c>
      <c r="G3069" s="1215"/>
      <c r="H3069" s="1269"/>
      <c r="I3069" s="1291">
        <v>214000</v>
      </c>
    </row>
    <row r="3070" spans="1:9" ht="15" customHeight="1">
      <c r="A3070" s="1253">
        <v>45215</v>
      </c>
      <c r="B3070" s="1209">
        <v>7390</v>
      </c>
      <c r="C3070" s="1210">
        <v>24725</v>
      </c>
      <c r="D3070" s="1230">
        <v>25200</v>
      </c>
      <c r="E3070" s="1212">
        <f t="shared" si="1221"/>
        <v>475</v>
      </c>
      <c r="F3070" s="1211">
        <f t="shared" si="1220"/>
        <v>-300</v>
      </c>
      <c r="G3070" s="1215"/>
      <c r="H3070" s="1269"/>
      <c r="I3070" s="1291">
        <v>218500</v>
      </c>
    </row>
    <row r="3071" spans="1:9" ht="15" customHeight="1">
      <c r="A3071" s="1253">
        <v>45216</v>
      </c>
      <c r="B3071" s="1209">
        <v>7410</v>
      </c>
      <c r="C3071" s="1210">
        <v>24880</v>
      </c>
      <c r="D3071" s="1230">
        <v>25300</v>
      </c>
      <c r="E3071" s="1212">
        <f t="shared" ref="E3071" si="1222">D3071-C3071</f>
        <v>420</v>
      </c>
      <c r="F3071" s="1211">
        <f t="shared" si="1220"/>
        <v>155</v>
      </c>
      <c r="G3071" s="1215"/>
      <c r="H3071" s="1269"/>
      <c r="I3071" s="1291">
        <v>218000</v>
      </c>
    </row>
    <row r="3072" spans="1:9" ht="15" customHeight="1">
      <c r="A3072" s="1253">
        <v>45217</v>
      </c>
      <c r="B3072" s="1209">
        <v>7465</v>
      </c>
      <c r="C3072" s="1210">
        <v>25450</v>
      </c>
      <c r="D3072" s="1230">
        <v>25675</v>
      </c>
      <c r="E3072" s="1212">
        <f t="shared" ref="E3072" si="1223">D3072-C3072</f>
        <v>225</v>
      </c>
      <c r="F3072" s="1211">
        <f t="shared" ref="F3072" si="1224">C3072-C3071</f>
        <v>570</v>
      </c>
      <c r="G3072" s="1236"/>
      <c r="H3072" s="1280"/>
      <c r="I3072" s="1291">
        <v>219250</v>
      </c>
    </row>
    <row r="3073" spans="1:9" ht="15" customHeight="1">
      <c r="A3073" s="1253">
        <v>45218</v>
      </c>
      <c r="B3073" s="1209">
        <v>7395</v>
      </c>
      <c r="C3073" s="1210">
        <v>25075</v>
      </c>
      <c r="D3073" s="1230">
        <v>25175</v>
      </c>
      <c r="E3073" s="1212">
        <f t="shared" ref="E3073" si="1225">D3073-C3073</f>
        <v>100</v>
      </c>
      <c r="F3073" s="1211">
        <f t="shared" ref="F3073" si="1226">C3073-C3072</f>
        <v>-375</v>
      </c>
      <c r="G3073" s="1236"/>
      <c r="H3073" s="1280"/>
      <c r="I3073" s="1291">
        <v>218500</v>
      </c>
    </row>
    <row r="3074" spans="1:9" ht="15" customHeight="1">
      <c r="A3074" s="1253">
        <v>45219</v>
      </c>
      <c r="B3074" s="1209">
        <v>7345</v>
      </c>
      <c r="C3074" s="1210">
        <v>24405</v>
      </c>
      <c r="D3074" s="1230">
        <v>24700</v>
      </c>
      <c r="E3074" s="1212">
        <f t="shared" ref="E3074" si="1227">D3074-C3074</f>
        <v>295</v>
      </c>
      <c r="F3074" s="1211">
        <f t="shared" ref="F3074" si="1228">C3074-C3073</f>
        <v>-670</v>
      </c>
      <c r="G3074" s="1236"/>
      <c r="H3074" s="1280"/>
      <c r="I3074" s="1291">
        <v>217750</v>
      </c>
    </row>
    <row r="3075" spans="1:9" ht="15" customHeight="1">
      <c r="A3075" s="1253">
        <v>45222</v>
      </c>
      <c r="B3075" s="1209">
        <v>7335</v>
      </c>
      <c r="C3075" s="1210">
        <v>24555</v>
      </c>
      <c r="D3075" s="1230">
        <v>24850</v>
      </c>
      <c r="E3075" s="1212">
        <f t="shared" ref="E3075" si="1229">D3075-C3075</f>
        <v>295</v>
      </c>
      <c r="F3075" s="1211">
        <f t="shared" ref="F3075" si="1230">C3075-C3074</f>
        <v>150</v>
      </c>
      <c r="G3075" s="1236"/>
      <c r="H3075" s="1280"/>
      <c r="I3075" s="1291">
        <v>214750</v>
      </c>
    </row>
    <row r="3076" spans="1:9" ht="15" customHeight="1">
      <c r="A3076" s="1253">
        <v>45223</v>
      </c>
      <c r="B3076" s="1209">
        <v>7210</v>
      </c>
      <c r="C3076" s="1210">
        <v>24835</v>
      </c>
      <c r="D3076" s="1230">
        <v>25025</v>
      </c>
      <c r="E3076" s="1212">
        <f t="shared" ref="E3076" si="1231">D3076-C3076</f>
        <v>190</v>
      </c>
      <c r="F3076" s="1211">
        <f t="shared" ref="F3076" si="1232">C3076-C3075</f>
        <v>280</v>
      </c>
      <c r="G3076" s="1236"/>
      <c r="H3076" s="1280"/>
      <c r="I3076" s="1291">
        <v>213750</v>
      </c>
    </row>
    <row r="3077" spans="1:9" ht="15" customHeight="1">
      <c r="A3077" s="1253">
        <v>45224</v>
      </c>
      <c r="B3077" s="1209">
        <v>7285</v>
      </c>
      <c r="C3077" s="1210">
        <v>24925</v>
      </c>
      <c r="D3077" s="1230">
        <v>25200</v>
      </c>
      <c r="E3077" s="1212">
        <f t="shared" ref="E3077" si="1233">D3077-C3077</f>
        <v>275</v>
      </c>
      <c r="F3077" s="1211">
        <f t="shared" ref="F3077" si="1234">C3077-C3076</f>
        <v>90</v>
      </c>
      <c r="G3077" s="1236"/>
      <c r="H3077" s="1280"/>
      <c r="I3077" s="1291">
        <v>216500</v>
      </c>
    </row>
    <row r="3078" spans="1:9" ht="15" customHeight="1">
      <c r="A3078" s="1253">
        <v>45225</v>
      </c>
      <c r="B3078" s="1209">
        <v>7345</v>
      </c>
      <c r="C3078" s="1210">
        <v>24750</v>
      </c>
      <c r="D3078" s="1230">
        <v>25050</v>
      </c>
      <c r="E3078" s="1212">
        <f t="shared" ref="E3078:E3083" si="1235">D3078-C3078</f>
        <v>300</v>
      </c>
      <c r="F3078" s="1211">
        <f t="shared" ref="F3078:F3083" si="1236">C3078-C3077</f>
        <v>-175</v>
      </c>
      <c r="G3078" s="1215"/>
      <c r="H3078" s="1269"/>
      <c r="I3078" s="1291">
        <v>214750</v>
      </c>
    </row>
    <row r="3079" spans="1:9" ht="15" customHeight="1">
      <c r="A3079" s="1253">
        <v>45226</v>
      </c>
      <c r="B3079" s="1209">
        <v>7090</v>
      </c>
      <c r="C3079" s="1210">
        <v>24875</v>
      </c>
      <c r="D3079" s="1230">
        <v>24900</v>
      </c>
      <c r="E3079" s="1212">
        <f t="shared" si="1235"/>
        <v>25</v>
      </c>
      <c r="F3079" s="1211">
        <f t="shared" si="1236"/>
        <v>125</v>
      </c>
      <c r="G3079" s="1215"/>
      <c r="H3079" s="1269"/>
      <c r="I3079" s="1291">
        <v>212250</v>
      </c>
    </row>
    <row r="3080" spans="1:9" ht="15" customHeight="1">
      <c r="A3080" s="1253">
        <v>45229</v>
      </c>
      <c r="B3080" s="1209">
        <v>7120</v>
      </c>
      <c r="C3080" s="1210">
        <v>24825</v>
      </c>
      <c r="D3080" s="1230">
        <v>25025</v>
      </c>
      <c r="E3080" s="1212">
        <f t="shared" si="1235"/>
        <v>200</v>
      </c>
      <c r="F3080" s="1211">
        <f t="shared" si="1236"/>
        <v>-50</v>
      </c>
      <c r="G3080" s="1215"/>
      <c r="H3080" s="1269"/>
      <c r="I3080" s="1291">
        <v>215000</v>
      </c>
    </row>
    <row r="3081" spans="1:9" ht="15" customHeight="1">
      <c r="A3081" s="1253">
        <v>45230</v>
      </c>
      <c r="B3081" s="1209">
        <v>7355</v>
      </c>
      <c r="C3081" s="1210">
        <v>24550</v>
      </c>
      <c r="D3081" s="1230">
        <v>24725</v>
      </c>
      <c r="E3081" s="1212">
        <f t="shared" si="1235"/>
        <v>175</v>
      </c>
      <c r="F3081" s="1211">
        <f t="shared" si="1236"/>
        <v>-275</v>
      </c>
      <c r="G3081" s="1237">
        <f>AVERAGE($C$3060:C3081)</f>
        <v>24617.727272727272</v>
      </c>
      <c r="H3081" s="1274">
        <f>AVERAGE($C$2866:C3081)</f>
        <v>26263.5</v>
      </c>
      <c r="I3081" s="1291">
        <v>213250</v>
      </c>
    </row>
    <row r="3082" spans="1:9" ht="15" customHeight="1">
      <c r="A3082" s="1253">
        <v>45231</v>
      </c>
      <c r="B3082" s="1209">
        <v>7245</v>
      </c>
      <c r="C3082" s="1210">
        <v>23550</v>
      </c>
      <c r="D3082" s="1230">
        <v>23900</v>
      </c>
      <c r="E3082" s="1212">
        <f t="shared" si="1235"/>
        <v>350</v>
      </c>
      <c r="F3082" s="1211">
        <f t="shared" si="1236"/>
        <v>-1000</v>
      </c>
      <c r="G3082" s="1215"/>
      <c r="H3082" s="1269"/>
      <c r="I3082" s="1291">
        <v>205750</v>
      </c>
    </row>
    <row r="3083" spans="1:9" ht="15" customHeight="1">
      <c r="A3083" s="1253">
        <v>45232</v>
      </c>
      <c r="B3083" s="1209">
        <v>7345</v>
      </c>
      <c r="C3083" s="1210">
        <v>23795</v>
      </c>
      <c r="D3083" s="1230">
        <v>24000</v>
      </c>
      <c r="E3083" s="1212">
        <f t="shared" si="1235"/>
        <v>205</v>
      </c>
      <c r="F3083" s="1211">
        <f t="shared" si="1236"/>
        <v>245</v>
      </c>
      <c r="G3083" s="1215"/>
      <c r="H3083" s="1269"/>
      <c r="I3083" s="1291">
        <v>206750</v>
      </c>
    </row>
    <row r="3084" spans="1:9" ht="15" customHeight="1">
      <c r="A3084" s="1253">
        <v>45233</v>
      </c>
      <c r="B3084" s="1209">
        <v>7435</v>
      </c>
      <c r="C3084" s="1210">
        <v>24150</v>
      </c>
      <c r="D3084" s="1230">
        <v>24350</v>
      </c>
      <c r="E3084" s="1212">
        <f t="shared" ref="E3084" si="1237">D3084-C3084</f>
        <v>200</v>
      </c>
      <c r="F3084" s="1211">
        <f t="shared" ref="F3084" si="1238">C3084-C3083</f>
        <v>355</v>
      </c>
      <c r="G3084" s="1215"/>
      <c r="H3084" s="1269"/>
      <c r="I3084" s="1291">
        <v>207500</v>
      </c>
    </row>
    <row r="3085" spans="1:9" ht="15" customHeight="1">
      <c r="A3085" s="1253">
        <v>45236</v>
      </c>
      <c r="B3085" s="1209">
        <v>7430</v>
      </c>
      <c r="C3085" s="1210">
        <v>24300</v>
      </c>
      <c r="D3085" s="1230">
        <v>24550</v>
      </c>
      <c r="E3085" s="1212">
        <f t="shared" ref="E3085" si="1239">D3085-C3085</f>
        <v>250</v>
      </c>
      <c r="F3085" s="1211">
        <f t="shared" ref="F3085" si="1240">C3085-C3084</f>
        <v>150</v>
      </c>
      <c r="G3085" s="1215"/>
      <c r="H3085" s="1269"/>
      <c r="I3085" s="1291">
        <v>208000</v>
      </c>
    </row>
    <row r="3086" spans="1:9" ht="15" customHeight="1">
      <c r="A3086" s="1253">
        <v>45237</v>
      </c>
      <c r="B3086" s="1209">
        <v>7385</v>
      </c>
      <c r="C3086" s="1210">
        <v>24275</v>
      </c>
      <c r="D3086" s="1230">
        <v>24500</v>
      </c>
      <c r="E3086" s="1212">
        <f t="shared" ref="E3086" si="1241">D3086-C3086</f>
        <v>225</v>
      </c>
      <c r="F3086" s="1211">
        <f t="shared" ref="F3086" si="1242">C3086-C3085</f>
        <v>-25</v>
      </c>
      <c r="G3086" s="1215"/>
      <c r="H3086" s="1269"/>
      <c r="I3086" s="1291">
        <v>209500</v>
      </c>
    </row>
    <row r="3087" spans="1:9" ht="15" customHeight="1">
      <c r="A3087" s="1253">
        <v>45238</v>
      </c>
      <c r="B3087" s="1209">
        <v>7380</v>
      </c>
      <c r="C3087" s="1210">
        <v>24550</v>
      </c>
      <c r="D3087" s="1230">
        <v>24825</v>
      </c>
      <c r="E3087" s="1212">
        <f t="shared" ref="E3087" si="1243">D3087-C3087</f>
        <v>275</v>
      </c>
      <c r="F3087" s="1211">
        <f t="shared" ref="F3087" si="1244">C3087-C3086</f>
        <v>275</v>
      </c>
      <c r="G3087" s="1215"/>
      <c r="H3087" s="1269"/>
      <c r="I3087" s="1291">
        <v>211000</v>
      </c>
    </row>
    <row r="3088" spans="1:9" ht="15" customHeight="1">
      <c r="A3088" s="1253">
        <v>45239</v>
      </c>
      <c r="B3088" s="1209">
        <v>7500</v>
      </c>
      <c r="C3088" s="1210">
        <v>24640</v>
      </c>
      <c r="D3088" s="1230">
        <v>24675</v>
      </c>
      <c r="E3088" s="1212">
        <f t="shared" ref="E3088" si="1245">D3088-C3088</f>
        <v>35</v>
      </c>
      <c r="F3088" s="1211">
        <f t="shared" ref="F3088" si="1246">C3088-C3087</f>
        <v>90</v>
      </c>
      <c r="G3088" s="1236"/>
      <c r="H3088" s="1280"/>
      <c r="I3088" s="1291">
        <v>210250</v>
      </c>
    </row>
    <row r="3089" spans="1:9" ht="15" customHeight="1">
      <c r="A3089" s="1253">
        <v>45240</v>
      </c>
      <c r="B3089" s="1209">
        <v>7485</v>
      </c>
      <c r="C3089" s="1210">
        <v>24275</v>
      </c>
      <c r="D3089" s="1230">
        <v>24600</v>
      </c>
      <c r="E3089" s="1212">
        <f t="shared" ref="E3089" si="1247">D3089-C3089</f>
        <v>325</v>
      </c>
      <c r="F3089" s="1211">
        <f t="shared" ref="F3089" si="1248">C3089-C3088</f>
        <v>-365</v>
      </c>
      <c r="G3089" s="1236"/>
      <c r="H3089" s="1280"/>
      <c r="I3089" s="1291">
        <v>211000</v>
      </c>
    </row>
    <row r="3090" spans="1:9" ht="15" customHeight="1">
      <c r="A3090" s="1253">
        <v>45243</v>
      </c>
      <c r="B3090" s="1209">
        <v>7495</v>
      </c>
      <c r="C3090" s="1210">
        <v>24750</v>
      </c>
      <c r="D3090" s="1230">
        <v>24975</v>
      </c>
      <c r="E3090" s="1212">
        <f t="shared" ref="E3090" si="1249">D3090-C3090</f>
        <v>225</v>
      </c>
      <c r="F3090" s="1211">
        <f t="shared" ref="F3090" si="1250">C3090-C3089</f>
        <v>475</v>
      </c>
      <c r="G3090" s="1236"/>
      <c r="H3090" s="1280"/>
      <c r="I3090" s="1291">
        <v>215500</v>
      </c>
    </row>
    <row r="3091" spans="1:9" ht="15" customHeight="1">
      <c r="A3091" s="1253">
        <v>45244</v>
      </c>
      <c r="B3091" s="1209">
        <v>7395</v>
      </c>
      <c r="C3091" s="1210">
        <v>24600</v>
      </c>
      <c r="D3091" s="1230">
        <v>25000</v>
      </c>
      <c r="E3091" s="1212">
        <f t="shared" ref="E3091:E3092" si="1251">D3091-C3091</f>
        <v>400</v>
      </c>
      <c r="F3091" s="1211">
        <f t="shared" ref="F3091:F3092" si="1252">C3091-C3090</f>
        <v>-150</v>
      </c>
      <c r="G3091" s="1215"/>
      <c r="H3091" s="1269"/>
      <c r="I3091" s="1291">
        <v>213750</v>
      </c>
    </row>
    <row r="3092" spans="1:9" ht="15" customHeight="1">
      <c r="A3092" s="1253">
        <v>45245</v>
      </c>
      <c r="B3092" s="1209">
        <v>7475</v>
      </c>
      <c r="C3092" s="1210">
        <v>25100</v>
      </c>
      <c r="D3092" s="1230">
        <v>25330</v>
      </c>
      <c r="E3092" s="1212">
        <f t="shared" si="1251"/>
        <v>230</v>
      </c>
      <c r="F3092" s="1211">
        <f t="shared" si="1252"/>
        <v>500</v>
      </c>
      <c r="G3092" s="1236"/>
      <c r="H3092" s="1280"/>
      <c r="I3092" s="1291">
        <v>213750</v>
      </c>
    </row>
    <row r="3093" spans="1:9" ht="15" customHeight="1">
      <c r="A3093" s="1253">
        <v>45246</v>
      </c>
      <c r="B3093" s="1209">
        <v>7760</v>
      </c>
      <c r="C3093" s="1210">
        <v>25050</v>
      </c>
      <c r="D3093" s="1230">
        <v>25300</v>
      </c>
      <c r="E3093" s="1212">
        <f t="shared" ref="E3093" si="1253">D3093-C3093</f>
        <v>250</v>
      </c>
      <c r="F3093" s="1211">
        <f t="shared" ref="F3093" si="1254">C3093-C3092</f>
        <v>-50</v>
      </c>
      <c r="G3093" s="1236"/>
      <c r="H3093" s="1280"/>
      <c r="I3093" s="1291">
        <v>213750</v>
      </c>
    </row>
    <row r="3094" spans="1:9" ht="15" customHeight="1">
      <c r="A3094" s="1253">
        <v>45247</v>
      </c>
      <c r="B3094" s="1209">
        <v>7785</v>
      </c>
      <c r="C3094" s="1210">
        <v>25000</v>
      </c>
      <c r="D3094" s="1230">
        <v>25250</v>
      </c>
      <c r="E3094" s="1212">
        <f t="shared" ref="E3094" si="1255">D3094-C3094</f>
        <v>250</v>
      </c>
      <c r="F3094" s="1211">
        <f t="shared" ref="F3094" si="1256">C3094-C3093</f>
        <v>-50</v>
      </c>
      <c r="G3094" s="1236"/>
      <c r="H3094" s="1280"/>
      <c r="I3094" s="1291">
        <v>212750</v>
      </c>
    </row>
    <row r="3095" spans="1:9" ht="15" customHeight="1">
      <c r="A3095" s="1253">
        <v>45250</v>
      </c>
      <c r="B3095" s="1209">
        <v>7840</v>
      </c>
      <c r="C3095" s="1210">
        <v>24700</v>
      </c>
      <c r="D3095" s="1230">
        <v>24850</v>
      </c>
      <c r="E3095" s="1212">
        <f t="shared" ref="E3095:E3098" si="1257">D3095-C3095</f>
        <v>150</v>
      </c>
      <c r="F3095" s="1211">
        <f t="shared" ref="F3095:F3098" si="1258">C3095-C3094</f>
        <v>-300</v>
      </c>
      <c r="G3095" s="1215"/>
      <c r="H3095" s="1269"/>
      <c r="I3095" s="1291">
        <v>209250</v>
      </c>
    </row>
    <row r="3096" spans="1:9" ht="15" customHeight="1">
      <c r="A3096" s="1253">
        <v>45251</v>
      </c>
      <c r="B3096" s="1209">
        <v>7825</v>
      </c>
      <c r="C3096" s="1210">
        <v>24750</v>
      </c>
      <c r="D3096" s="1230">
        <v>24950</v>
      </c>
      <c r="E3096" s="1212">
        <f t="shared" si="1257"/>
        <v>200</v>
      </c>
      <c r="F3096" s="1211">
        <f t="shared" si="1258"/>
        <v>50</v>
      </c>
      <c r="G3096" s="1215"/>
      <c r="H3096" s="1269"/>
      <c r="I3096" s="1291">
        <v>209500</v>
      </c>
    </row>
    <row r="3097" spans="1:9" ht="15" customHeight="1">
      <c r="A3097" s="1253">
        <v>45252</v>
      </c>
      <c r="B3097" s="1209">
        <v>7810</v>
      </c>
      <c r="C3097" s="1210">
        <v>24575</v>
      </c>
      <c r="D3097" s="1230">
        <v>24835</v>
      </c>
      <c r="E3097" s="1212">
        <f t="shared" si="1257"/>
        <v>260</v>
      </c>
      <c r="F3097" s="1211">
        <f t="shared" si="1258"/>
        <v>-175</v>
      </c>
      <c r="G3097" s="1215"/>
      <c r="H3097" s="1269"/>
      <c r="I3097" s="1291">
        <v>207500</v>
      </c>
    </row>
    <row r="3098" spans="1:9" ht="15" customHeight="1">
      <c r="A3098" s="1253">
        <v>45253</v>
      </c>
      <c r="B3098" s="1209">
        <v>7815</v>
      </c>
      <c r="C3098" s="1210">
        <v>24200</v>
      </c>
      <c r="D3098" s="1230">
        <v>24450</v>
      </c>
      <c r="E3098" s="1212">
        <f t="shared" si="1257"/>
        <v>250</v>
      </c>
      <c r="F3098" s="1211">
        <f t="shared" si="1258"/>
        <v>-375</v>
      </c>
      <c r="G3098" s="1215"/>
      <c r="H3098" s="1269"/>
      <c r="I3098" s="1291">
        <v>206000</v>
      </c>
    </row>
    <row r="3099" spans="1:9" ht="15" customHeight="1">
      <c r="A3099" s="1253">
        <v>45254</v>
      </c>
      <c r="B3099" s="1209">
        <v>7765</v>
      </c>
      <c r="C3099" s="1210">
        <v>24050</v>
      </c>
      <c r="D3099" s="1230">
        <v>24300</v>
      </c>
      <c r="E3099" s="1212">
        <f t="shared" ref="E3099" si="1259">D3099-C3099</f>
        <v>250</v>
      </c>
      <c r="F3099" s="1211">
        <f t="shared" ref="F3099" si="1260">C3099-C3098</f>
        <v>-150</v>
      </c>
      <c r="G3099" s="1236"/>
      <c r="H3099" s="1280"/>
      <c r="I3099" s="1291">
        <v>201750</v>
      </c>
    </row>
    <row r="3100" spans="1:9" ht="15" customHeight="1">
      <c r="A3100" s="1253">
        <v>45257</v>
      </c>
      <c r="B3100" s="1209">
        <v>7810</v>
      </c>
      <c r="C3100" s="1210">
        <v>23550</v>
      </c>
      <c r="D3100" s="1230">
        <v>23775</v>
      </c>
      <c r="E3100" s="1212">
        <f t="shared" ref="E3100" si="1261">D3100-C3100</f>
        <v>225</v>
      </c>
      <c r="F3100" s="1211">
        <f t="shared" ref="F3100" si="1262">C3100-C3099</f>
        <v>-500</v>
      </c>
      <c r="G3100" s="1215"/>
      <c r="H3100" s="1269"/>
      <c r="I3100" s="1291">
        <v>201000</v>
      </c>
    </row>
    <row r="3101" spans="1:9" ht="15" customHeight="1">
      <c r="A3101" s="1253">
        <v>45258</v>
      </c>
      <c r="B3101" s="1209">
        <v>7810</v>
      </c>
      <c r="C3101" s="1210">
        <v>22975</v>
      </c>
      <c r="D3101" s="1230">
        <v>23300</v>
      </c>
      <c r="E3101" s="1212">
        <f t="shared" ref="E3101" si="1263">D3101-C3101</f>
        <v>325</v>
      </c>
      <c r="F3101" s="1211">
        <f t="shared" ref="F3101" si="1264">C3101-C3100</f>
        <v>-575</v>
      </c>
      <c r="G3101" s="1236"/>
      <c r="H3101" s="1280"/>
      <c r="I3101" s="1291">
        <v>194000</v>
      </c>
    </row>
    <row r="3102" spans="1:9" ht="15" customHeight="1">
      <c r="A3102" s="1253">
        <v>45259</v>
      </c>
      <c r="B3102" s="1209">
        <v>8095</v>
      </c>
      <c r="C3102" s="1210">
        <v>23120</v>
      </c>
      <c r="D3102" s="1230">
        <v>23385</v>
      </c>
      <c r="E3102" s="1212">
        <f t="shared" ref="E3102" si="1265">D3102-C3102</f>
        <v>265</v>
      </c>
      <c r="F3102" s="1211">
        <f t="shared" ref="F3102" si="1266">C3102-C3101</f>
        <v>145</v>
      </c>
      <c r="G3102" s="1236"/>
      <c r="H3102" s="1280"/>
      <c r="I3102" s="1291">
        <v>196250</v>
      </c>
    </row>
    <row r="3103" spans="1:9" ht="15" customHeight="1">
      <c r="A3103" s="1253">
        <v>45260</v>
      </c>
      <c r="B3103" s="1209">
        <v>8110</v>
      </c>
      <c r="C3103" s="1210">
        <v>22910</v>
      </c>
      <c r="D3103" s="1230">
        <v>23275</v>
      </c>
      <c r="E3103" s="1212">
        <f t="shared" ref="E3103:E3105" si="1267">D3103-C3103</f>
        <v>365</v>
      </c>
      <c r="F3103" s="1211">
        <f t="shared" ref="F3103:F3105" si="1268">C3103-C3102</f>
        <v>-210</v>
      </c>
      <c r="G3103" s="1237">
        <f>AVERAGE($C$3082:C3103)</f>
        <v>24221.136363636364</v>
      </c>
      <c r="H3103" s="1274">
        <f>AVERAGE($C$2866:C3103)</f>
        <v>26069.827586206895</v>
      </c>
      <c r="I3103" s="1291">
        <v>196250</v>
      </c>
    </row>
    <row r="3104" spans="1:9" ht="15" customHeight="1">
      <c r="A3104" s="1253">
        <v>45261</v>
      </c>
      <c r="B3104" s="1209">
        <v>8065</v>
      </c>
      <c r="C3104" s="1210">
        <v>23250</v>
      </c>
      <c r="D3104" s="1230">
        <v>23600</v>
      </c>
      <c r="E3104" s="1212">
        <f t="shared" si="1267"/>
        <v>350</v>
      </c>
      <c r="F3104" s="1211">
        <f t="shared" si="1268"/>
        <v>340</v>
      </c>
      <c r="G3104" s="1215"/>
      <c r="H3104" s="1269"/>
      <c r="I3104" s="1291">
        <v>196500</v>
      </c>
    </row>
    <row r="3105" spans="1:9" ht="15" customHeight="1">
      <c r="A3105" s="1253">
        <v>45264</v>
      </c>
      <c r="B3105" s="1209">
        <v>7985</v>
      </c>
      <c r="C3105" s="1210">
        <v>23625</v>
      </c>
      <c r="D3105" s="1230">
        <v>23900</v>
      </c>
      <c r="E3105" s="1212">
        <f t="shared" si="1267"/>
        <v>275</v>
      </c>
      <c r="F3105" s="1211">
        <f t="shared" si="1268"/>
        <v>375</v>
      </c>
      <c r="G3105" s="1215"/>
      <c r="H3105" s="1269"/>
      <c r="I3105" s="1291">
        <v>200500</v>
      </c>
    </row>
    <row r="3106" spans="1:9" ht="15" customHeight="1">
      <c r="A3106" s="1253">
        <v>45265</v>
      </c>
      <c r="B3106" s="1209">
        <v>7995</v>
      </c>
      <c r="C3106" s="1210">
        <v>23750</v>
      </c>
      <c r="D3106" s="1230">
        <v>23975</v>
      </c>
      <c r="E3106" s="1212">
        <f t="shared" ref="E3106" si="1269">D3106-C3106</f>
        <v>225</v>
      </c>
      <c r="F3106" s="1211">
        <f t="shared" ref="F3106" si="1270">C3106-C3105</f>
        <v>125</v>
      </c>
      <c r="G3106" s="1215"/>
      <c r="H3106" s="1269"/>
      <c r="I3106" s="1291">
        <v>200500</v>
      </c>
    </row>
    <row r="3107" spans="1:9" ht="15" customHeight="1">
      <c r="A3107" s="1253">
        <v>45266</v>
      </c>
      <c r="B3107" s="1209">
        <v>7970</v>
      </c>
      <c r="C3107" s="1210">
        <v>24450</v>
      </c>
      <c r="D3107" s="1230">
        <v>24475</v>
      </c>
      <c r="E3107" s="1212">
        <f t="shared" ref="E3107" si="1271">D3107-C3107</f>
        <v>25</v>
      </c>
      <c r="F3107" s="1211">
        <f t="shared" ref="F3107" si="1272">C3107-C3106</f>
        <v>700</v>
      </c>
      <c r="G3107" s="1215"/>
      <c r="H3107" s="1269"/>
      <c r="I3107" s="1291">
        <v>205500</v>
      </c>
    </row>
    <row r="3108" spans="1:9" ht="15" customHeight="1">
      <c r="A3108" s="1253">
        <v>45267</v>
      </c>
      <c r="B3108" s="1209">
        <v>8050</v>
      </c>
      <c r="C3108" s="1210">
        <v>24400</v>
      </c>
      <c r="D3108" s="1230">
        <v>24675</v>
      </c>
      <c r="E3108" s="1212">
        <f t="shared" ref="E3108:E3117" si="1273">D3108-C3108</f>
        <v>275</v>
      </c>
      <c r="F3108" s="1211">
        <f t="shared" ref="F3108:F3114" si="1274">C3108-C3107</f>
        <v>-50</v>
      </c>
      <c r="G3108" s="1215"/>
      <c r="H3108" s="1269"/>
      <c r="I3108" s="1291">
        <v>206750</v>
      </c>
    </row>
    <row r="3109" spans="1:9" ht="15" customHeight="1">
      <c r="A3109" s="1253">
        <v>45268</v>
      </c>
      <c r="B3109" s="1209">
        <v>8025</v>
      </c>
      <c r="C3109" s="1210">
        <v>24550</v>
      </c>
      <c r="D3109" s="1230">
        <v>24700</v>
      </c>
      <c r="E3109" s="1212">
        <f t="shared" si="1273"/>
        <v>150</v>
      </c>
      <c r="F3109" s="1211">
        <f t="shared" si="1274"/>
        <v>150</v>
      </c>
      <c r="G3109" s="1215"/>
      <c r="H3109" s="1269"/>
      <c r="I3109" s="1291">
        <v>209500</v>
      </c>
    </row>
    <row r="3110" spans="1:9" ht="15" customHeight="1">
      <c r="A3110" s="1253">
        <v>45271</v>
      </c>
      <c r="B3110" s="1209">
        <v>8080</v>
      </c>
      <c r="C3110" s="1210">
        <v>24260</v>
      </c>
      <c r="D3110" s="1230">
        <v>24500</v>
      </c>
      <c r="E3110" s="1212">
        <f t="shared" si="1273"/>
        <v>240</v>
      </c>
      <c r="F3110" s="1211">
        <f t="shared" si="1274"/>
        <v>-290</v>
      </c>
      <c r="G3110" s="1215"/>
      <c r="H3110" s="1269"/>
      <c r="I3110" s="1291">
        <v>206500</v>
      </c>
    </row>
    <row r="3111" spans="1:9" ht="15" customHeight="1">
      <c r="A3111" s="1253">
        <v>45272</v>
      </c>
      <c r="B3111" s="1209">
        <v>7965</v>
      </c>
      <c r="C3111" s="1210">
        <v>24560</v>
      </c>
      <c r="D3111" s="1230">
        <v>24825</v>
      </c>
      <c r="E3111" s="1212">
        <f t="shared" si="1273"/>
        <v>265</v>
      </c>
      <c r="F3111" s="1211">
        <f t="shared" si="1274"/>
        <v>300</v>
      </c>
      <c r="G3111" s="1215"/>
      <c r="H3111" s="1269"/>
      <c r="I3111" s="1291">
        <v>207500</v>
      </c>
    </row>
    <row r="3112" spans="1:9" ht="15" customHeight="1">
      <c r="A3112" s="1253">
        <v>45273</v>
      </c>
      <c r="B3112" s="1209">
        <v>7925</v>
      </c>
      <c r="C3112" s="1210">
        <v>24555</v>
      </c>
      <c r="D3112" s="1230">
        <v>24800</v>
      </c>
      <c r="E3112" s="1212">
        <f t="shared" si="1273"/>
        <v>245</v>
      </c>
      <c r="F3112" s="1211">
        <f t="shared" si="1274"/>
        <v>-5</v>
      </c>
      <c r="G3112" s="1215"/>
      <c r="H3112" s="1269"/>
      <c r="I3112" s="1291">
        <v>207000</v>
      </c>
    </row>
    <row r="3113" spans="1:9" ht="15" customHeight="1">
      <c r="A3113" s="1253">
        <v>45274</v>
      </c>
      <c r="B3113" s="1209">
        <v>7940</v>
      </c>
      <c r="C3113" s="1210">
        <v>25050</v>
      </c>
      <c r="D3113" s="1230">
        <v>25400</v>
      </c>
      <c r="E3113" s="1212">
        <f t="shared" si="1273"/>
        <v>350</v>
      </c>
      <c r="F3113" s="1211">
        <f t="shared" si="1274"/>
        <v>495</v>
      </c>
      <c r="G3113" s="1215"/>
      <c r="H3113" s="1269"/>
      <c r="I3113" s="1291">
        <v>208000</v>
      </c>
    </row>
    <row r="3114" spans="1:9" ht="15" customHeight="1">
      <c r="A3114" s="1253">
        <v>45275</v>
      </c>
      <c r="B3114" s="1209">
        <v>8110</v>
      </c>
      <c r="C3114" s="1210">
        <v>25225</v>
      </c>
      <c r="D3114" s="1230">
        <v>25335</v>
      </c>
      <c r="E3114" s="1212">
        <f t="shared" si="1273"/>
        <v>110</v>
      </c>
      <c r="F3114" s="1211">
        <f t="shared" si="1274"/>
        <v>175</v>
      </c>
      <c r="G3114" s="1236"/>
      <c r="H3114" s="1280"/>
      <c r="I3114" s="1291">
        <v>209000</v>
      </c>
    </row>
    <row r="3115" spans="1:9" ht="15" customHeight="1">
      <c r="A3115" s="1253">
        <v>45278</v>
      </c>
      <c r="B3115" s="1209">
        <v>8205</v>
      </c>
      <c r="C3115" s="1210">
        <v>24800</v>
      </c>
      <c r="D3115" s="1230">
        <v>25030</v>
      </c>
      <c r="E3115" s="1212">
        <f t="shared" si="1273"/>
        <v>230</v>
      </c>
      <c r="F3115" s="1211">
        <f t="shared" ref="F3115:F3122" si="1275">C3115-C3114</f>
        <v>-425</v>
      </c>
      <c r="G3115" s="1236"/>
      <c r="H3115" s="1280"/>
      <c r="I3115" s="1291">
        <v>207500</v>
      </c>
    </row>
    <row r="3116" spans="1:9" ht="15" customHeight="1">
      <c r="A3116" s="1253">
        <v>45279</v>
      </c>
      <c r="B3116" s="1209">
        <v>8190</v>
      </c>
      <c r="C3116" s="1210">
        <v>24750</v>
      </c>
      <c r="D3116" s="1230">
        <v>25050</v>
      </c>
      <c r="E3116" s="1212">
        <f t="shared" si="1273"/>
        <v>300</v>
      </c>
      <c r="F3116" s="1211">
        <f t="shared" si="1275"/>
        <v>-50</v>
      </c>
      <c r="G3116" s="1236"/>
      <c r="H3116" s="1280"/>
      <c r="I3116" s="1291">
        <v>208000</v>
      </c>
    </row>
    <row r="3117" spans="1:9" ht="15" customHeight="1">
      <c r="A3117" s="1253">
        <v>45280</v>
      </c>
      <c r="B3117" s="1209">
        <v>8040</v>
      </c>
      <c r="C3117" s="1210">
        <v>24875</v>
      </c>
      <c r="D3117" s="1230">
        <v>25055</v>
      </c>
      <c r="E3117" s="1212">
        <f t="shared" si="1273"/>
        <v>180</v>
      </c>
      <c r="F3117" s="1211">
        <f t="shared" si="1275"/>
        <v>125</v>
      </c>
      <c r="G3117" s="1236"/>
      <c r="H3117" s="1280"/>
      <c r="I3117" s="1291">
        <v>208500</v>
      </c>
    </row>
    <row r="3118" spans="1:9" ht="15" customHeight="1">
      <c r="A3118" s="1253">
        <v>45281</v>
      </c>
      <c r="B3118" s="1209">
        <v>7730</v>
      </c>
      <c r="C3118" s="1210">
        <v>24775</v>
      </c>
      <c r="D3118" s="1230">
        <v>25050</v>
      </c>
      <c r="E3118" s="1212">
        <f t="shared" ref="E3118:E3123" si="1276">D3118-C3118</f>
        <v>275</v>
      </c>
      <c r="F3118" s="1211">
        <f t="shared" si="1275"/>
        <v>-100</v>
      </c>
      <c r="G3118" s="1236"/>
      <c r="H3118" s="1280"/>
      <c r="I3118" s="1291">
        <v>208500</v>
      </c>
    </row>
    <row r="3119" spans="1:9" ht="15" customHeight="1">
      <c r="A3119" s="1253">
        <v>45282</v>
      </c>
      <c r="B3119" s="1209">
        <v>7755</v>
      </c>
      <c r="C3119" s="1210">
        <v>25035</v>
      </c>
      <c r="D3119" s="1230">
        <v>25350</v>
      </c>
      <c r="E3119" s="1212">
        <f t="shared" si="1276"/>
        <v>315</v>
      </c>
      <c r="F3119" s="1211">
        <f t="shared" si="1275"/>
        <v>260</v>
      </c>
      <c r="G3119" s="1236"/>
      <c r="H3119" s="1280"/>
      <c r="I3119" s="1291">
        <v>208500</v>
      </c>
    </row>
    <row r="3120" spans="1:9" ht="15" customHeight="1">
      <c r="A3120" s="1253">
        <v>45287</v>
      </c>
      <c r="B3120" s="1209">
        <v>7745</v>
      </c>
      <c r="C3120" s="1210">
        <v>25075</v>
      </c>
      <c r="D3120" s="1230">
        <v>25300</v>
      </c>
      <c r="E3120" s="1212">
        <f t="shared" si="1276"/>
        <v>225</v>
      </c>
      <c r="F3120" s="1211">
        <f>C3120-C3119</f>
        <v>40</v>
      </c>
      <c r="G3120" s="1236"/>
      <c r="H3120" s="1280"/>
      <c r="I3120" s="1291">
        <v>214000</v>
      </c>
    </row>
    <row r="3121" spans="1:9" ht="15" customHeight="1">
      <c r="A3121" s="1253">
        <v>45288</v>
      </c>
      <c r="B3121" s="1209">
        <v>7705</v>
      </c>
      <c r="C3121" s="1210">
        <v>25360</v>
      </c>
      <c r="D3121" s="1230">
        <v>25650</v>
      </c>
      <c r="E3121" s="1212">
        <f t="shared" si="1276"/>
        <v>290</v>
      </c>
      <c r="F3121" s="1211">
        <f t="shared" si="1275"/>
        <v>285</v>
      </c>
      <c r="G3121" s="1215"/>
      <c r="H3121" s="1269"/>
      <c r="I3121" s="1291">
        <v>214000</v>
      </c>
    </row>
    <row r="3122" spans="1:9" ht="15" customHeight="1" thickBot="1">
      <c r="A3122" s="1303">
        <v>45289</v>
      </c>
      <c r="B3122" s="1239">
        <v>7685</v>
      </c>
      <c r="C3122" s="1240">
        <v>25175</v>
      </c>
      <c r="D3122" s="1241">
        <v>25500</v>
      </c>
      <c r="E3122" s="1242">
        <f t="shared" si="1276"/>
        <v>325</v>
      </c>
      <c r="F3122" s="1243">
        <f t="shared" si="1275"/>
        <v>-185</v>
      </c>
      <c r="G3122" s="1244">
        <f>AVERAGE($C$3104:C3122)</f>
        <v>24606.315789473683</v>
      </c>
      <c r="H3122" s="1304">
        <f>AVERAGE($C$2866:C3122)</f>
        <v>25959.043824701195</v>
      </c>
      <c r="I3122" s="1291">
        <v>210750</v>
      </c>
    </row>
    <row r="3123" spans="1:9" ht="15" customHeight="1">
      <c r="A3123" s="1252">
        <v>45293</v>
      </c>
      <c r="B3123" s="1245">
        <v>7700</v>
      </c>
      <c r="C3123" s="1246">
        <v>25150</v>
      </c>
      <c r="D3123" s="1247">
        <v>25425</v>
      </c>
      <c r="E3123" s="1248">
        <f t="shared" si="1276"/>
        <v>275</v>
      </c>
      <c r="F3123" s="1249">
        <f t="shared" ref="F3123:F3130" si="1277">C3123-C3122</f>
        <v>-25</v>
      </c>
      <c r="G3123" s="1251"/>
      <c r="H3123" s="1305"/>
      <c r="I3123" s="1291">
        <v>208750</v>
      </c>
    </row>
    <row r="3124" spans="1:9" ht="15" customHeight="1">
      <c r="A3124" s="1253">
        <v>45294</v>
      </c>
      <c r="B3124" s="1209">
        <v>7730</v>
      </c>
      <c r="C3124" s="1210">
        <v>25050</v>
      </c>
      <c r="D3124" s="1230">
        <v>25250</v>
      </c>
      <c r="E3124" s="1212">
        <f t="shared" ref="E3124:E3130" si="1278">D3124-C3124</f>
        <v>200</v>
      </c>
      <c r="F3124" s="1211">
        <f t="shared" si="1277"/>
        <v>-100</v>
      </c>
      <c r="G3124" s="1236"/>
      <c r="H3124" s="1306"/>
      <c r="I3124" s="1291">
        <v>210250</v>
      </c>
    </row>
    <row r="3125" spans="1:9" ht="15" customHeight="1">
      <c r="A3125" s="1253">
        <v>45295</v>
      </c>
      <c r="B3125" s="1209">
        <v>7755</v>
      </c>
      <c r="C3125" s="1210">
        <v>24925</v>
      </c>
      <c r="D3125" s="1230">
        <v>25205</v>
      </c>
      <c r="E3125" s="1212">
        <f t="shared" si="1278"/>
        <v>280</v>
      </c>
      <c r="F3125" s="1211">
        <f t="shared" si="1277"/>
        <v>-125</v>
      </c>
      <c r="G3125" s="1236"/>
      <c r="H3125" s="1306"/>
      <c r="I3125" s="1291">
        <v>211000</v>
      </c>
    </row>
    <row r="3126" spans="1:9" ht="15" customHeight="1">
      <c r="A3126" s="1253">
        <v>45296</v>
      </c>
      <c r="B3126" s="1209">
        <v>7450</v>
      </c>
      <c r="C3126" s="1210">
        <v>24200</v>
      </c>
      <c r="D3126" s="1230">
        <v>24450</v>
      </c>
      <c r="E3126" s="1212">
        <f t="shared" si="1278"/>
        <v>250</v>
      </c>
      <c r="F3126" s="1211">
        <f t="shared" si="1277"/>
        <v>-725</v>
      </c>
      <c r="G3126" s="1215"/>
      <c r="H3126" s="1263"/>
      <c r="I3126" s="1291">
        <v>208250</v>
      </c>
    </row>
    <row r="3127" spans="1:9" ht="15" customHeight="1">
      <c r="A3127" s="1253">
        <v>45299</v>
      </c>
      <c r="B3127" s="1209">
        <v>7450</v>
      </c>
      <c r="C3127" s="1210">
        <v>24400</v>
      </c>
      <c r="D3127" s="1230">
        <v>24600</v>
      </c>
      <c r="E3127" s="1212">
        <f t="shared" si="1278"/>
        <v>200</v>
      </c>
      <c r="F3127" s="1211">
        <f t="shared" si="1277"/>
        <v>200</v>
      </c>
      <c r="G3127" s="1215"/>
      <c r="H3127" s="1263"/>
      <c r="I3127" s="1291">
        <v>205750</v>
      </c>
    </row>
    <row r="3128" spans="1:9" ht="15" customHeight="1">
      <c r="A3128" s="1253">
        <v>45300</v>
      </c>
      <c r="B3128" s="1209">
        <v>7445</v>
      </c>
      <c r="C3128" s="1210">
        <v>24300</v>
      </c>
      <c r="D3128" s="1230">
        <v>24485</v>
      </c>
      <c r="E3128" s="1212">
        <f t="shared" si="1278"/>
        <v>185</v>
      </c>
      <c r="F3128" s="1211">
        <f t="shared" si="1277"/>
        <v>-100</v>
      </c>
      <c r="G3128" s="1215"/>
      <c r="H3128" s="1263"/>
      <c r="I3128" s="1291">
        <v>205000</v>
      </c>
    </row>
    <row r="3129" spans="1:9" ht="15" customHeight="1">
      <c r="A3129" s="1253">
        <v>45301</v>
      </c>
      <c r="B3129" s="1209">
        <v>7460</v>
      </c>
      <c r="C3129" s="1210">
        <v>24025</v>
      </c>
      <c r="D3129" s="1230">
        <v>24350</v>
      </c>
      <c r="E3129" s="1212">
        <f t="shared" si="1278"/>
        <v>325</v>
      </c>
      <c r="F3129" s="1211">
        <f t="shared" si="1277"/>
        <v>-275</v>
      </c>
      <c r="G3129" s="1215"/>
      <c r="H3129" s="1263"/>
      <c r="I3129" s="1291">
        <v>205000</v>
      </c>
    </row>
    <row r="3130" spans="1:9" ht="15" customHeight="1">
      <c r="A3130" s="1253">
        <v>45302</v>
      </c>
      <c r="B3130" s="1209">
        <v>7505</v>
      </c>
      <c r="C3130" s="1210">
        <v>24300</v>
      </c>
      <c r="D3130" s="1230">
        <v>24600</v>
      </c>
      <c r="E3130" s="1212">
        <f t="shared" si="1278"/>
        <v>300</v>
      </c>
      <c r="F3130" s="1211">
        <f t="shared" si="1277"/>
        <v>275</v>
      </c>
      <c r="G3130" s="1238"/>
      <c r="H3130" s="1309"/>
      <c r="I3130" s="1291">
        <v>206500</v>
      </c>
    </row>
    <row r="3131" spans="1:9" ht="15" customHeight="1">
      <c r="A3131" s="1253">
        <v>45303</v>
      </c>
      <c r="B3131" s="1209">
        <v>7395</v>
      </c>
      <c r="C3131" s="1210">
        <v>24350</v>
      </c>
      <c r="D3131" s="1230">
        <v>24700</v>
      </c>
      <c r="E3131" s="1212">
        <f t="shared" ref="E3131" si="1279">D3131-C3131</f>
        <v>350</v>
      </c>
      <c r="F3131" s="1211">
        <f t="shared" ref="F3131" si="1280">C3131-C3130</f>
        <v>50</v>
      </c>
      <c r="G3131" s="1236"/>
      <c r="H3131" s="1306"/>
      <c r="I3131" s="1301">
        <v>206500</v>
      </c>
    </row>
    <row r="3132" spans="1:9" ht="15" customHeight="1">
      <c r="A3132" s="1253">
        <v>45306</v>
      </c>
      <c r="B3132" s="1209">
        <v>7320</v>
      </c>
      <c r="C3132" s="1210">
        <v>24550</v>
      </c>
      <c r="D3132" s="1230">
        <v>24850</v>
      </c>
      <c r="E3132" s="1212">
        <f t="shared" ref="E3132" si="1281">D3132-C3132</f>
        <v>300</v>
      </c>
      <c r="F3132" s="1211">
        <f t="shared" ref="F3132" si="1282">C3132-C3131</f>
        <v>200</v>
      </c>
      <c r="G3132" s="1236"/>
      <c r="H3132" s="1306"/>
      <c r="I3132" s="1301">
        <v>209500</v>
      </c>
    </row>
    <row r="3133" spans="1:9" ht="15" customHeight="1">
      <c r="A3133" s="1253">
        <v>45307</v>
      </c>
      <c r="B3133" s="1209">
        <v>6995</v>
      </c>
      <c r="C3133" s="1210">
        <v>24500</v>
      </c>
      <c r="D3133" s="1230">
        <v>24800</v>
      </c>
      <c r="E3133" s="1212">
        <f t="shared" ref="E3133" si="1283">D3133-C3133</f>
        <v>300</v>
      </c>
      <c r="F3133" s="1211">
        <f t="shared" ref="F3133" si="1284">C3133-C3132</f>
        <v>-50</v>
      </c>
      <c r="G3133" s="1236"/>
      <c r="H3133" s="1306"/>
      <c r="I3133" s="1301">
        <v>210000</v>
      </c>
    </row>
    <row r="3134" spans="1:9" ht="15" customHeight="1">
      <c r="A3134" s="1253">
        <v>45308</v>
      </c>
      <c r="B3134" s="1209">
        <v>7015</v>
      </c>
      <c r="C3134" s="1210">
        <v>25025</v>
      </c>
      <c r="D3134" s="1230">
        <v>25250</v>
      </c>
      <c r="E3134" s="1212">
        <f t="shared" ref="E3134" si="1285">D3134-C3134</f>
        <v>225</v>
      </c>
      <c r="F3134" s="1211">
        <f t="shared" ref="F3134" si="1286">C3134-C3133</f>
        <v>525</v>
      </c>
      <c r="G3134" s="1236"/>
      <c r="H3134" s="1306"/>
      <c r="I3134" s="1301">
        <v>213750</v>
      </c>
    </row>
    <row r="3135" spans="1:9" ht="15" customHeight="1">
      <c r="A3135" s="1253">
        <v>45309</v>
      </c>
      <c r="B3135" s="1209">
        <v>7020</v>
      </c>
      <c r="C3135" s="1210">
        <v>25200</v>
      </c>
      <c r="D3135" s="1230">
        <v>25400</v>
      </c>
      <c r="E3135" s="1212">
        <f t="shared" ref="E3135" si="1287">D3135-C3135</f>
        <v>200</v>
      </c>
      <c r="F3135" s="1211">
        <f t="shared" ref="F3135" si="1288">C3135-C3134</f>
        <v>175</v>
      </c>
      <c r="G3135" s="1236"/>
      <c r="H3135" s="1306"/>
      <c r="I3135" s="1301">
        <v>212500</v>
      </c>
    </row>
    <row r="3136" spans="1:9" ht="15" customHeight="1">
      <c r="A3136" s="1253">
        <v>45310</v>
      </c>
      <c r="B3136" s="1209">
        <v>7030</v>
      </c>
      <c r="C3136" s="1210">
        <v>25550</v>
      </c>
      <c r="D3136" s="1230">
        <v>25750</v>
      </c>
      <c r="E3136" s="1212">
        <f t="shared" ref="E3136:E3145" si="1289">D3136-C3136</f>
        <v>200</v>
      </c>
      <c r="F3136" s="1211">
        <f t="shared" ref="F3136:F3143" si="1290">C3136-C3135</f>
        <v>350</v>
      </c>
      <c r="G3136" s="1236"/>
      <c r="H3136" s="1306"/>
      <c r="I3136" s="1291">
        <v>214000</v>
      </c>
    </row>
    <row r="3137" spans="1:9" ht="15" customHeight="1">
      <c r="A3137" s="1253">
        <v>45313</v>
      </c>
      <c r="B3137" s="1209">
        <v>6900</v>
      </c>
      <c r="C3137" s="1210">
        <v>25375</v>
      </c>
      <c r="D3137" s="1230">
        <v>25650</v>
      </c>
      <c r="E3137" s="1212">
        <f t="shared" si="1289"/>
        <v>275</v>
      </c>
      <c r="F3137" s="1211">
        <f t="shared" si="1290"/>
        <v>-175</v>
      </c>
      <c r="G3137" s="1236"/>
      <c r="H3137" s="1306"/>
      <c r="I3137" s="1291">
        <v>214000</v>
      </c>
    </row>
    <row r="3138" spans="1:9" ht="15" customHeight="1">
      <c r="A3138" s="1253">
        <v>45314</v>
      </c>
      <c r="B3138" s="1209">
        <v>6645</v>
      </c>
      <c r="C3138" s="1210">
        <v>26000</v>
      </c>
      <c r="D3138" s="1230">
        <v>26165</v>
      </c>
      <c r="E3138" s="1212">
        <f t="shared" si="1289"/>
        <v>165</v>
      </c>
      <c r="F3138" s="1211">
        <f t="shared" si="1290"/>
        <v>625</v>
      </c>
      <c r="G3138" s="1236"/>
      <c r="H3138" s="1306"/>
      <c r="I3138" s="1291">
        <v>217250</v>
      </c>
    </row>
    <row r="3139" spans="1:9" ht="15" customHeight="1">
      <c r="A3139" s="1253">
        <v>45315</v>
      </c>
      <c r="B3139" s="1209">
        <v>6555</v>
      </c>
      <c r="C3139" s="1210">
        <v>26350</v>
      </c>
      <c r="D3139" s="1230">
        <v>26475</v>
      </c>
      <c r="E3139" s="1212">
        <f t="shared" si="1289"/>
        <v>125</v>
      </c>
      <c r="F3139" s="1211">
        <f t="shared" si="1290"/>
        <v>350</v>
      </c>
      <c r="G3139" s="1236"/>
      <c r="H3139" s="1306"/>
      <c r="I3139" s="1291">
        <v>217500</v>
      </c>
    </row>
    <row r="3140" spans="1:9" ht="15" customHeight="1">
      <c r="A3140" s="1253">
        <v>45316</v>
      </c>
      <c r="B3140" s="1209">
        <v>6515</v>
      </c>
      <c r="C3140" s="1210">
        <v>26450</v>
      </c>
      <c r="D3140" s="1230">
        <v>26650</v>
      </c>
      <c r="E3140" s="1212">
        <f t="shared" si="1289"/>
        <v>200</v>
      </c>
      <c r="F3140" s="1211">
        <f t="shared" si="1290"/>
        <v>100</v>
      </c>
      <c r="G3140" s="1215"/>
      <c r="H3140" s="1263"/>
      <c r="I3140" s="1291">
        <v>219750</v>
      </c>
    </row>
    <row r="3141" spans="1:9" ht="15" customHeight="1">
      <c r="A3141" s="1253">
        <v>45317</v>
      </c>
      <c r="B3141" s="1209">
        <v>6515</v>
      </c>
      <c r="C3141" s="1210">
        <v>26550</v>
      </c>
      <c r="D3141" s="1230">
        <v>26725</v>
      </c>
      <c r="E3141" s="1212">
        <f t="shared" si="1289"/>
        <v>175</v>
      </c>
      <c r="F3141" s="1211">
        <f t="shared" si="1290"/>
        <v>100</v>
      </c>
      <c r="G3141" s="1215"/>
      <c r="H3141" s="1263"/>
      <c r="I3141" s="1291">
        <v>222500</v>
      </c>
    </row>
    <row r="3142" spans="1:9" ht="15" customHeight="1">
      <c r="A3142" s="1253">
        <v>45318</v>
      </c>
      <c r="B3142" s="1209">
        <v>6340</v>
      </c>
      <c r="C3142" s="1210">
        <v>26350</v>
      </c>
      <c r="D3142" s="1230">
        <v>26575</v>
      </c>
      <c r="E3142" s="1212">
        <f t="shared" si="1289"/>
        <v>225</v>
      </c>
      <c r="F3142" s="1211">
        <f t="shared" si="1290"/>
        <v>-200</v>
      </c>
      <c r="G3142" s="1215"/>
      <c r="H3142" s="1263"/>
      <c r="I3142" s="1291">
        <v>221250</v>
      </c>
    </row>
    <row r="3143" spans="1:9" ht="15" customHeight="1">
      <c r="A3143" s="1253">
        <v>45321</v>
      </c>
      <c r="B3143" s="1209">
        <v>6605</v>
      </c>
      <c r="C3143" s="1210">
        <v>26050</v>
      </c>
      <c r="D3143" s="1230">
        <v>26200</v>
      </c>
      <c r="E3143" s="1212">
        <f t="shared" si="1289"/>
        <v>150</v>
      </c>
      <c r="F3143" s="1211">
        <f t="shared" si="1290"/>
        <v>-300</v>
      </c>
      <c r="G3143" s="1215"/>
      <c r="H3143" s="1263"/>
      <c r="I3143" s="1291">
        <v>219250</v>
      </c>
    </row>
    <row r="3144" spans="1:9" ht="15" customHeight="1" thickBot="1">
      <c r="A3144" s="1254">
        <v>45322</v>
      </c>
      <c r="B3144" s="1255">
        <v>6605</v>
      </c>
      <c r="C3144" s="1256">
        <v>26000</v>
      </c>
      <c r="D3144" s="1257">
        <v>26200</v>
      </c>
      <c r="E3144" s="1258">
        <f t="shared" si="1289"/>
        <v>200</v>
      </c>
      <c r="F3144" s="1259">
        <f t="shared" ref="F3144:F3154" si="1291">C3144-C3143</f>
        <v>-50</v>
      </c>
      <c r="G3144" s="1260">
        <f>AVERAGE($C$3123:C3144)</f>
        <v>25211.363636363636</v>
      </c>
      <c r="H3144" s="1307">
        <f>AVERAGE($C$3123:C3144)</f>
        <v>25211.363636363636</v>
      </c>
      <c r="I3144" s="1291">
        <v>217750</v>
      </c>
    </row>
    <row r="3145" spans="1:9" ht="15" customHeight="1">
      <c r="A3145" s="1252">
        <v>45323</v>
      </c>
      <c r="B3145" s="1245">
        <v>6495</v>
      </c>
      <c r="C3145" s="1246">
        <v>25700</v>
      </c>
      <c r="D3145" s="1247">
        <v>25960</v>
      </c>
      <c r="E3145" s="1248">
        <f t="shared" si="1289"/>
        <v>260</v>
      </c>
      <c r="F3145" s="1249">
        <f t="shared" si="1291"/>
        <v>-300</v>
      </c>
      <c r="G3145" s="1251"/>
      <c r="H3145" s="1305"/>
      <c r="I3145" s="1291">
        <v>217000</v>
      </c>
    </row>
    <row r="3146" spans="1:9" ht="15" customHeight="1">
      <c r="A3146" s="1253">
        <v>45324</v>
      </c>
      <c r="B3146" s="1209">
        <v>6415</v>
      </c>
      <c r="C3146" s="1210">
        <v>25475</v>
      </c>
      <c r="D3146" s="1230">
        <v>25800</v>
      </c>
      <c r="E3146" s="1212">
        <f t="shared" ref="E3146" si="1292">D3146-C3146</f>
        <v>325</v>
      </c>
      <c r="F3146" s="1211">
        <f t="shared" si="1291"/>
        <v>-225</v>
      </c>
      <c r="G3146" s="1236"/>
      <c r="H3146" s="1306"/>
      <c r="I3146" s="1291">
        <v>214750</v>
      </c>
    </row>
    <row r="3147" spans="1:9" ht="15" customHeight="1">
      <c r="A3147" s="1253">
        <v>45327</v>
      </c>
      <c r="B3147" s="1209">
        <v>6295</v>
      </c>
      <c r="C3147" s="1210">
        <v>24780</v>
      </c>
      <c r="D3147" s="1230">
        <v>25150</v>
      </c>
      <c r="E3147" s="1212">
        <f t="shared" ref="E3147" si="1293">D3147-C3147</f>
        <v>370</v>
      </c>
      <c r="F3147" s="1211">
        <f t="shared" si="1291"/>
        <v>-695</v>
      </c>
      <c r="G3147" s="1236"/>
      <c r="H3147" s="1306"/>
      <c r="I3147" s="1291">
        <v>211250</v>
      </c>
    </row>
    <row r="3148" spans="1:9" ht="15" customHeight="1">
      <c r="A3148" s="1253">
        <v>45328</v>
      </c>
      <c r="B3148" s="1209">
        <v>6280</v>
      </c>
      <c r="C3148" s="1210">
        <v>25075</v>
      </c>
      <c r="D3148" s="1230">
        <v>25350</v>
      </c>
      <c r="E3148" s="1212">
        <f t="shared" ref="E3148" si="1294">D3148-C3148</f>
        <v>275</v>
      </c>
      <c r="F3148" s="1211">
        <f t="shared" si="1291"/>
        <v>295</v>
      </c>
      <c r="G3148" s="1236"/>
      <c r="H3148" s="1306"/>
      <c r="I3148" s="1291">
        <v>207750</v>
      </c>
    </row>
    <row r="3149" spans="1:9" ht="15" customHeight="1">
      <c r="A3149" s="1253">
        <v>45329</v>
      </c>
      <c r="B3149" s="1209">
        <v>6230</v>
      </c>
      <c r="C3149" s="1210">
        <v>25150</v>
      </c>
      <c r="D3149" s="1230">
        <v>25350</v>
      </c>
      <c r="E3149" s="1212">
        <f t="shared" ref="E3149:E3189" si="1295">D3149-C3149</f>
        <v>200</v>
      </c>
      <c r="F3149" s="1211">
        <f t="shared" si="1291"/>
        <v>75</v>
      </c>
      <c r="G3149" s="1236"/>
      <c r="H3149" s="1306"/>
      <c r="I3149" s="1291">
        <v>210000</v>
      </c>
    </row>
    <row r="3150" spans="1:9" ht="15" customHeight="1">
      <c r="A3150" s="1253">
        <v>45330</v>
      </c>
      <c r="B3150" s="1209">
        <v>6170</v>
      </c>
      <c r="C3150" s="1210">
        <v>25600</v>
      </c>
      <c r="D3150" s="1230">
        <v>25760</v>
      </c>
      <c r="E3150" s="1212">
        <f t="shared" si="1295"/>
        <v>160</v>
      </c>
      <c r="F3150" s="1211">
        <f t="shared" si="1291"/>
        <v>450</v>
      </c>
      <c r="G3150" s="1215"/>
      <c r="H3150" s="1263"/>
      <c r="I3150" s="1302">
        <v>214500</v>
      </c>
    </row>
    <row r="3151" spans="1:9" ht="15" customHeight="1">
      <c r="A3151" s="1253">
        <v>45331</v>
      </c>
      <c r="B3151" s="1209">
        <v>6300</v>
      </c>
      <c r="C3151" s="1210">
        <v>25980</v>
      </c>
      <c r="D3151" s="1230">
        <v>26250</v>
      </c>
      <c r="E3151" s="1212">
        <f t="shared" si="1295"/>
        <v>270</v>
      </c>
      <c r="F3151" s="1211">
        <f t="shared" si="1291"/>
        <v>380</v>
      </c>
      <c r="G3151" s="1215"/>
      <c r="H3151" s="1263"/>
      <c r="I3151" s="1475"/>
    </row>
    <row r="3152" spans="1:9" ht="15" customHeight="1">
      <c r="A3152" s="1253">
        <v>45334</v>
      </c>
      <c r="B3152" s="1209">
        <v>6280</v>
      </c>
      <c r="C3152" s="1210">
        <v>26650</v>
      </c>
      <c r="D3152" s="1230">
        <v>26850</v>
      </c>
      <c r="E3152" s="1212">
        <f t="shared" si="1295"/>
        <v>200</v>
      </c>
      <c r="F3152" s="1211">
        <f t="shared" si="1291"/>
        <v>670</v>
      </c>
      <c r="G3152" s="1236"/>
      <c r="H3152" s="1306"/>
      <c r="I3152" s="1475"/>
    </row>
    <row r="3153" spans="1:9" ht="15" customHeight="1">
      <c r="A3153" s="1253">
        <v>45335</v>
      </c>
      <c r="B3153" s="1209">
        <v>6280</v>
      </c>
      <c r="C3153" s="1210">
        <v>27500</v>
      </c>
      <c r="D3153" s="1230">
        <v>27680</v>
      </c>
      <c r="E3153" s="1212">
        <f t="shared" si="1295"/>
        <v>180</v>
      </c>
      <c r="F3153" s="1211">
        <f t="shared" si="1291"/>
        <v>850</v>
      </c>
      <c r="G3153" s="1236"/>
      <c r="H3153" s="1306"/>
      <c r="I3153" s="1475"/>
    </row>
    <row r="3154" spans="1:9" ht="15" customHeight="1">
      <c r="A3154" s="1253">
        <v>45336</v>
      </c>
      <c r="B3154" s="1209">
        <v>6215</v>
      </c>
      <c r="C3154" s="1210">
        <v>27265</v>
      </c>
      <c r="D3154" s="1230">
        <v>27500</v>
      </c>
      <c r="E3154" s="1212">
        <f t="shared" si="1295"/>
        <v>235</v>
      </c>
      <c r="F3154" s="1211">
        <f t="shared" si="1291"/>
        <v>-235</v>
      </c>
      <c r="G3154" s="1236"/>
      <c r="H3154" s="1306"/>
      <c r="I3154" s="1475"/>
    </row>
    <row r="3155" spans="1:9" ht="15" customHeight="1">
      <c r="A3155" s="1253">
        <v>45337</v>
      </c>
      <c r="B3155" s="1209">
        <v>6155</v>
      </c>
      <c r="C3155" s="1210">
        <v>27275</v>
      </c>
      <c r="D3155" s="1230">
        <v>27550</v>
      </c>
      <c r="E3155" s="1212">
        <f t="shared" si="1295"/>
        <v>275</v>
      </c>
      <c r="F3155" s="1211">
        <f t="shared" ref="F3155:F3156" si="1296">C3155-C3154</f>
        <v>10</v>
      </c>
      <c r="G3155" s="1215"/>
      <c r="H3155" s="1263"/>
      <c r="I3155" s="1475"/>
    </row>
    <row r="3156" spans="1:9" ht="15" customHeight="1">
      <c r="A3156" s="1253">
        <v>45338</v>
      </c>
      <c r="B3156" s="1209">
        <v>5950</v>
      </c>
      <c r="C3156" s="1210">
        <v>26950</v>
      </c>
      <c r="D3156" s="1230">
        <v>27105</v>
      </c>
      <c r="E3156" s="1212">
        <f t="shared" si="1295"/>
        <v>155</v>
      </c>
      <c r="F3156" s="1211">
        <f t="shared" si="1296"/>
        <v>-325</v>
      </c>
      <c r="G3156" s="1236"/>
      <c r="H3156" s="1306"/>
      <c r="I3156" s="1475"/>
    </row>
    <row r="3157" spans="1:9" ht="15" customHeight="1">
      <c r="A3157" s="1253">
        <v>45341</v>
      </c>
      <c r="B3157" s="1209">
        <v>5945</v>
      </c>
      <c r="C3157" s="1210">
        <v>26405</v>
      </c>
      <c r="D3157" s="1230">
        <v>26650</v>
      </c>
      <c r="E3157" s="1212">
        <f t="shared" si="1295"/>
        <v>245</v>
      </c>
      <c r="F3157" s="1211">
        <f t="shared" ref="F3157:F3160" si="1297">C3157-C3156</f>
        <v>-545</v>
      </c>
      <c r="G3157" s="1215"/>
      <c r="H3157" s="1263"/>
      <c r="I3157" s="1291">
        <v>217750</v>
      </c>
    </row>
    <row r="3158" spans="1:9" ht="15" customHeight="1">
      <c r="A3158" s="1253">
        <v>45342</v>
      </c>
      <c r="B3158" s="1209">
        <v>5930</v>
      </c>
      <c r="C3158" s="1210">
        <v>26250</v>
      </c>
      <c r="D3158" s="1230">
        <v>26500</v>
      </c>
      <c r="E3158" s="1212">
        <f t="shared" si="1295"/>
        <v>250</v>
      </c>
      <c r="F3158" s="1211">
        <f t="shared" si="1297"/>
        <v>-155</v>
      </c>
      <c r="G3158" s="1215"/>
      <c r="H3158" s="1263"/>
      <c r="I3158" s="1291">
        <v>217500</v>
      </c>
    </row>
    <row r="3159" spans="1:9" ht="15" customHeight="1">
      <c r="A3159" s="1253">
        <v>45343</v>
      </c>
      <c r="B3159" s="1209">
        <v>5980</v>
      </c>
      <c r="C3159" s="1210">
        <v>26310</v>
      </c>
      <c r="D3159" s="1230">
        <v>26565</v>
      </c>
      <c r="E3159" s="1212">
        <f t="shared" si="1295"/>
        <v>255</v>
      </c>
      <c r="F3159" s="1211">
        <f t="shared" si="1297"/>
        <v>60</v>
      </c>
      <c r="G3159" s="1215"/>
      <c r="H3159" s="1263"/>
      <c r="I3159" s="1291">
        <v>218000</v>
      </c>
    </row>
    <row r="3160" spans="1:9" ht="15" customHeight="1">
      <c r="A3160" s="1253">
        <v>45344</v>
      </c>
      <c r="B3160" s="1209">
        <v>5965</v>
      </c>
      <c r="C3160" s="1210">
        <v>25975</v>
      </c>
      <c r="D3160" s="1230">
        <v>26200</v>
      </c>
      <c r="E3160" s="1212">
        <f t="shared" si="1295"/>
        <v>225</v>
      </c>
      <c r="F3160" s="1211">
        <f t="shared" si="1297"/>
        <v>-335</v>
      </c>
      <c r="G3160" s="1236"/>
      <c r="H3160" s="1306"/>
      <c r="I3160" s="1291">
        <v>217000</v>
      </c>
    </row>
    <row r="3161" spans="1:9" ht="15" customHeight="1">
      <c r="A3161" s="1253">
        <v>45345</v>
      </c>
      <c r="B3161" s="1209">
        <v>5945</v>
      </c>
      <c r="C3161" s="1210">
        <v>26300</v>
      </c>
      <c r="D3161" s="1230">
        <v>26460</v>
      </c>
      <c r="E3161" s="1212">
        <f t="shared" si="1295"/>
        <v>160</v>
      </c>
      <c r="F3161" s="1211">
        <f t="shared" ref="F3161" si="1298">C3161-C3160</f>
        <v>325</v>
      </c>
      <c r="G3161" s="1236"/>
      <c r="H3161" s="1306"/>
      <c r="I3161" s="1291">
        <v>216500</v>
      </c>
    </row>
    <row r="3162" spans="1:9" ht="15" customHeight="1">
      <c r="A3162" s="1253">
        <v>45348</v>
      </c>
      <c r="B3162" s="1209">
        <v>6000</v>
      </c>
      <c r="C3162" s="1210">
        <v>26100</v>
      </c>
      <c r="D3162" s="1230">
        <v>26300</v>
      </c>
      <c r="E3162" s="1212">
        <f t="shared" si="1295"/>
        <v>200</v>
      </c>
      <c r="F3162" s="1211">
        <f t="shared" ref="F3162" si="1299">C3162-C3161</f>
        <v>-200</v>
      </c>
      <c r="G3162" s="1236"/>
      <c r="H3162" s="1306"/>
      <c r="I3162" s="1291">
        <v>215750</v>
      </c>
    </row>
    <row r="3163" spans="1:9" ht="15" customHeight="1">
      <c r="A3163" s="1253">
        <v>45349</v>
      </c>
      <c r="B3163" s="1209">
        <v>6000</v>
      </c>
      <c r="C3163" s="1210">
        <v>26075</v>
      </c>
      <c r="D3163" s="1230">
        <v>26300</v>
      </c>
      <c r="E3163" s="1212">
        <f t="shared" si="1295"/>
        <v>225</v>
      </c>
      <c r="F3163" s="1211">
        <f t="shared" ref="F3163" si="1300">C3163-C3162</f>
        <v>-25</v>
      </c>
      <c r="G3163" s="1236"/>
      <c r="H3163" s="1306"/>
      <c r="I3163" s="1291">
        <v>215750</v>
      </c>
    </row>
    <row r="3164" spans="1:9" ht="15" customHeight="1">
      <c r="A3164" s="1253">
        <v>45350</v>
      </c>
      <c r="B3164" s="1209">
        <v>5945</v>
      </c>
      <c r="C3164" s="1210">
        <v>26100</v>
      </c>
      <c r="D3164" s="1230">
        <v>26375</v>
      </c>
      <c r="E3164" s="1212">
        <f t="shared" si="1295"/>
        <v>275</v>
      </c>
      <c r="F3164" s="1211">
        <f t="shared" ref="F3164:F3170" si="1301">C3164-C3163</f>
        <v>25</v>
      </c>
      <c r="G3164" s="1215"/>
      <c r="H3164" s="1263"/>
      <c r="I3164" s="1291">
        <v>217000</v>
      </c>
    </row>
    <row r="3165" spans="1:9" ht="15" customHeight="1" thickBot="1">
      <c r="A3165" s="1254">
        <v>45351</v>
      </c>
      <c r="B3165" s="1255">
        <v>5910</v>
      </c>
      <c r="C3165" s="1256">
        <v>26375</v>
      </c>
      <c r="D3165" s="1257">
        <v>26530</v>
      </c>
      <c r="E3165" s="1258">
        <f t="shared" si="1295"/>
        <v>155</v>
      </c>
      <c r="F3165" s="1259">
        <f t="shared" si="1301"/>
        <v>275</v>
      </c>
      <c r="G3165" s="1260">
        <f>AVERAGE($C$3145:C3165)</f>
        <v>26156.666666666668</v>
      </c>
      <c r="H3165" s="1307">
        <f>AVERAGE($C$3123:C3165)</f>
        <v>25673.023255813954</v>
      </c>
      <c r="I3165" s="1291">
        <v>217750</v>
      </c>
    </row>
    <row r="3166" spans="1:9" ht="15" customHeight="1">
      <c r="A3166" s="1252">
        <v>45352</v>
      </c>
      <c r="B3166" s="1245">
        <v>5680</v>
      </c>
      <c r="C3166" s="1246">
        <v>26150</v>
      </c>
      <c r="D3166" s="1247">
        <v>26400</v>
      </c>
      <c r="E3166" s="1248">
        <f t="shared" si="1295"/>
        <v>250</v>
      </c>
      <c r="F3166" s="1249">
        <f t="shared" si="1301"/>
        <v>-225</v>
      </c>
      <c r="G3166" s="1250"/>
      <c r="H3166" s="1308"/>
      <c r="I3166" s="1291">
        <v>218250</v>
      </c>
    </row>
    <row r="3167" spans="1:9" ht="15" customHeight="1">
      <c r="A3167" s="1253">
        <v>45355</v>
      </c>
      <c r="B3167" s="1209">
        <v>5640</v>
      </c>
      <c r="C3167" s="1210">
        <v>26600</v>
      </c>
      <c r="D3167" s="1230">
        <v>26825</v>
      </c>
      <c r="E3167" s="1212">
        <f t="shared" si="1295"/>
        <v>225</v>
      </c>
      <c r="F3167" s="1211">
        <f t="shared" si="1301"/>
        <v>450</v>
      </c>
      <c r="G3167" s="1215"/>
      <c r="H3167" s="1263"/>
      <c r="I3167" s="1291">
        <v>218500</v>
      </c>
    </row>
    <row r="3168" spans="1:9" ht="15" customHeight="1">
      <c r="A3168" s="1253">
        <v>45356</v>
      </c>
      <c r="B3168" s="1209">
        <v>5575</v>
      </c>
      <c r="C3168" s="1210">
        <v>26500</v>
      </c>
      <c r="D3168" s="1230">
        <v>26700</v>
      </c>
      <c r="E3168" s="1212">
        <f t="shared" si="1295"/>
        <v>200</v>
      </c>
      <c r="F3168" s="1211">
        <f t="shared" si="1301"/>
        <v>-100</v>
      </c>
      <c r="G3168" s="1215"/>
      <c r="H3168" s="1263"/>
      <c r="I3168" s="1291">
        <v>218750</v>
      </c>
    </row>
    <row r="3169" spans="1:9" ht="15" customHeight="1">
      <c r="A3169" s="1253">
        <v>45357</v>
      </c>
      <c r="B3169" s="1209">
        <v>5520</v>
      </c>
      <c r="C3169" s="1210">
        <v>27050</v>
      </c>
      <c r="D3169" s="1230">
        <v>27110</v>
      </c>
      <c r="E3169" s="1212">
        <f t="shared" si="1295"/>
        <v>60</v>
      </c>
      <c r="F3169" s="1211">
        <f t="shared" si="1301"/>
        <v>550</v>
      </c>
      <c r="G3169" s="1215"/>
      <c r="H3169" s="1263"/>
      <c r="I3169" s="1291">
        <v>218000</v>
      </c>
    </row>
    <row r="3170" spans="1:9" ht="15" customHeight="1">
      <c r="A3170" s="1253">
        <v>45358</v>
      </c>
      <c r="B3170" s="1209">
        <v>5365</v>
      </c>
      <c r="C3170" s="1210">
        <v>27550</v>
      </c>
      <c r="D3170" s="1230">
        <v>27635</v>
      </c>
      <c r="E3170" s="1212">
        <f t="shared" si="1295"/>
        <v>85</v>
      </c>
      <c r="F3170" s="1211">
        <f t="shared" si="1301"/>
        <v>500</v>
      </c>
      <c r="G3170" s="1236"/>
      <c r="H3170" s="1306"/>
      <c r="I3170" s="1291">
        <v>220500</v>
      </c>
    </row>
    <row r="3171" spans="1:9" ht="15" customHeight="1">
      <c r="A3171" s="1253">
        <v>45359</v>
      </c>
      <c r="B3171" s="1209">
        <v>5335</v>
      </c>
      <c r="C3171" s="1210">
        <v>27485</v>
      </c>
      <c r="D3171" s="1230">
        <v>27675</v>
      </c>
      <c r="E3171" s="1212">
        <f t="shared" si="1295"/>
        <v>190</v>
      </c>
      <c r="F3171" s="1211">
        <f t="shared" ref="F3171" si="1302">C3171-C3170</f>
        <v>-65</v>
      </c>
      <c r="G3171" s="1236"/>
      <c r="H3171" s="1306"/>
      <c r="I3171" s="1291">
        <v>221750</v>
      </c>
    </row>
    <row r="3172" spans="1:9" ht="15" customHeight="1">
      <c r="A3172" s="1253">
        <v>45362</v>
      </c>
      <c r="B3172" s="1209">
        <v>5300</v>
      </c>
      <c r="C3172" s="1210">
        <v>27450</v>
      </c>
      <c r="D3172" s="1230">
        <v>27650</v>
      </c>
      <c r="E3172" s="1212">
        <f t="shared" si="1295"/>
        <v>200</v>
      </c>
      <c r="F3172" s="1211">
        <f t="shared" ref="F3172" si="1303">C3172-C3171</f>
        <v>-35</v>
      </c>
      <c r="G3172" s="1236"/>
      <c r="H3172" s="1306"/>
      <c r="I3172" s="1291">
        <v>219750</v>
      </c>
    </row>
    <row r="3173" spans="1:9" ht="15" customHeight="1">
      <c r="A3173" s="1253">
        <v>45363</v>
      </c>
      <c r="B3173" s="1209">
        <v>5315</v>
      </c>
      <c r="C3173" s="1210">
        <v>27600</v>
      </c>
      <c r="D3173" s="1230">
        <v>27660</v>
      </c>
      <c r="E3173" s="1212">
        <f t="shared" si="1295"/>
        <v>60</v>
      </c>
      <c r="F3173" s="1211">
        <f t="shared" ref="F3173" si="1304">C3173-C3172</f>
        <v>150</v>
      </c>
      <c r="G3173" s="1236"/>
      <c r="H3173" s="1306"/>
      <c r="I3173" s="1291">
        <v>219500</v>
      </c>
    </row>
    <row r="3174" spans="1:9" ht="15" customHeight="1">
      <c r="A3174" s="1253">
        <v>45364</v>
      </c>
      <c r="B3174" s="1209">
        <v>5255</v>
      </c>
      <c r="C3174" s="1210">
        <v>27625</v>
      </c>
      <c r="D3174" s="1230">
        <v>27700</v>
      </c>
      <c r="E3174" s="1212">
        <f t="shared" si="1295"/>
        <v>75</v>
      </c>
      <c r="F3174" s="1211">
        <f t="shared" ref="F3174" si="1305">C3174-C3173</f>
        <v>25</v>
      </c>
      <c r="G3174" s="1236"/>
      <c r="H3174" s="1306"/>
      <c r="I3174" s="1291">
        <v>218750</v>
      </c>
    </row>
    <row r="3175" spans="1:9" ht="15" customHeight="1">
      <c r="A3175" s="1253">
        <v>45365</v>
      </c>
      <c r="B3175" s="1209">
        <v>5055</v>
      </c>
      <c r="C3175" s="1210">
        <v>28055</v>
      </c>
      <c r="D3175" s="1230">
        <v>28200</v>
      </c>
      <c r="E3175" s="1212">
        <f t="shared" si="1295"/>
        <v>145</v>
      </c>
      <c r="F3175" s="1211">
        <f t="shared" ref="F3175" si="1306">C3175-C3174</f>
        <v>430</v>
      </c>
      <c r="G3175" s="1236"/>
      <c r="H3175" s="1306"/>
      <c r="I3175" s="1291">
        <v>225500</v>
      </c>
    </row>
    <row r="3176" spans="1:9" ht="15" customHeight="1">
      <c r="A3176" s="1253">
        <v>45366</v>
      </c>
      <c r="B3176" s="1209">
        <v>5070</v>
      </c>
      <c r="C3176" s="1210">
        <v>28410</v>
      </c>
      <c r="D3176" s="1230">
        <v>28550</v>
      </c>
      <c r="E3176" s="1212">
        <f t="shared" si="1295"/>
        <v>140</v>
      </c>
      <c r="F3176" s="1211">
        <f t="shared" ref="F3176:F3180" si="1307">C3176-C3175</f>
        <v>355</v>
      </c>
      <c r="G3176" s="1215"/>
      <c r="H3176" s="1263"/>
      <c r="I3176" s="1291">
        <v>224000</v>
      </c>
    </row>
    <row r="3177" spans="1:9" ht="15" customHeight="1">
      <c r="A3177" s="1253">
        <v>45369</v>
      </c>
      <c r="B3177" s="1209">
        <v>5035</v>
      </c>
      <c r="C3177" s="1210">
        <v>28550</v>
      </c>
      <c r="D3177" s="1230">
        <v>28725</v>
      </c>
      <c r="E3177" s="1212">
        <f t="shared" si="1295"/>
        <v>175</v>
      </c>
      <c r="F3177" s="1211">
        <f t="shared" si="1307"/>
        <v>140</v>
      </c>
      <c r="G3177" s="1215"/>
      <c r="H3177" s="1263"/>
      <c r="I3177" s="1291">
        <v>228250</v>
      </c>
    </row>
    <row r="3178" spans="1:9" ht="15" customHeight="1">
      <c r="A3178" s="1253">
        <v>45370</v>
      </c>
      <c r="B3178" s="1209">
        <v>5085</v>
      </c>
      <c r="C3178" s="1210">
        <v>27805</v>
      </c>
      <c r="D3178" s="1230">
        <v>28000</v>
      </c>
      <c r="E3178" s="1212">
        <f t="shared" si="1295"/>
        <v>195</v>
      </c>
      <c r="F3178" s="1211">
        <f t="shared" si="1307"/>
        <v>-745</v>
      </c>
      <c r="G3178" s="1215"/>
      <c r="H3178" s="1263"/>
      <c r="I3178" s="1291">
        <v>230750</v>
      </c>
    </row>
    <row r="3179" spans="1:9" ht="15" customHeight="1">
      <c r="A3179" s="1253">
        <v>45371</v>
      </c>
      <c r="B3179" s="1209">
        <v>5125</v>
      </c>
      <c r="C3179" s="1210">
        <v>26900</v>
      </c>
      <c r="D3179" s="1230">
        <v>27150</v>
      </c>
      <c r="E3179" s="1212">
        <f t="shared" si="1295"/>
        <v>250</v>
      </c>
      <c r="F3179" s="1211">
        <f t="shared" si="1307"/>
        <v>-905</v>
      </c>
      <c r="G3179" s="1215"/>
      <c r="H3179" s="1263"/>
      <c r="I3179" s="1291">
        <v>224750</v>
      </c>
    </row>
    <row r="3180" spans="1:9" ht="15" customHeight="1">
      <c r="A3180" s="1253">
        <v>45372</v>
      </c>
      <c r="B3180" s="1209">
        <v>4980</v>
      </c>
      <c r="C3180" s="1210">
        <v>27700</v>
      </c>
      <c r="D3180" s="1230">
        <v>27800</v>
      </c>
      <c r="E3180" s="1212">
        <f t="shared" si="1295"/>
        <v>100</v>
      </c>
      <c r="F3180" s="1211">
        <f t="shared" si="1307"/>
        <v>800</v>
      </c>
      <c r="G3180" s="1236"/>
      <c r="H3180" s="1306"/>
      <c r="I3180" s="1291">
        <v>226000</v>
      </c>
    </row>
    <row r="3181" spans="1:9" ht="15" customHeight="1">
      <c r="A3181" s="1253">
        <v>45373</v>
      </c>
      <c r="B3181" s="1209">
        <v>4955</v>
      </c>
      <c r="C3181" s="1210">
        <v>27550</v>
      </c>
      <c r="D3181" s="1230">
        <v>27705</v>
      </c>
      <c r="E3181" s="1212">
        <f t="shared" si="1295"/>
        <v>155</v>
      </c>
      <c r="F3181" s="1211">
        <f t="shared" ref="F3181" si="1308">C3181-C3180</f>
        <v>-150</v>
      </c>
      <c r="G3181" s="1236"/>
      <c r="H3181" s="1306"/>
      <c r="I3181" s="1291">
        <v>225750</v>
      </c>
    </row>
    <row r="3182" spans="1:9" ht="15" customHeight="1">
      <c r="A3182" s="1253">
        <v>45376</v>
      </c>
      <c r="B3182" s="1209">
        <v>4865</v>
      </c>
      <c r="C3182" s="1210">
        <v>27525</v>
      </c>
      <c r="D3182" s="1230">
        <v>27650</v>
      </c>
      <c r="E3182" s="1212">
        <f t="shared" si="1295"/>
        <v>125</v>
      </c>
      <c r="F3182" s="1211">
        <f t="shared" ref="F3182" si="1309">C3182-C3181</f>
        <v>-25</v>
      </c>
      <c r="G3182" s="1236"/>
      <c r="H3182" s="1306"/>
      <c r="I3182" s="1291">
        <v>225500</v>
      </c>
    </row>
    <row r="3183" spans="1:9" ht="15" customHeight="1">
      <c r="A3183" s="1253">
        <v>45377</v>
      </c>
      <c r="B3183" s="1209">
        <v>4775</v>
      </c>
      <c r="C3183" s="1210">
        <v>27410</v>
      </c>
      <c r="D3183" s="1230">
        <v>27500</v>
      </c>
      <c r="E3183" s="1212">
        <f t="shared" si="1295"/>
        <v>90</v>
      </c>
      <c r="F3183" s="1211">
        <f t="shared" ref="F3183" si="1310">C3183-C3182</f>
        <v>-115</v>
      </c>
      <c r="G3183" s="1236"/>
      <c r="H3183" s="1306"/>
      <c r="I3183" s="1291">
        <v>222000</v>
      </c>
    </row>
    <row r="3184" spans="1:9" ht="15" customHeight="1">
      <c r="A3184" s="1253">
        <v>45378</v>
      </c>
      <c r="B3184" s="1209">
        <v>4675</v>
      </c>
      <c r="C3184" s="1210">
        <v>27355</v>
      </c>
      <c r="D3184" s="1230">
        <v>27375</v>
      </c>
      <c r="E3184" s="1212">
        <f t="shared" si="1295"/>
        <v>20</v>
      </c>
      <c r="F3184" s="1211">
        <f t="shared" ref="F3184" si="1311">C3184-C3183</f>
        <v>-55</v>
      </c>
      <c r="G3184" s="1236"/>
      <c r="H3184" s="1306"/>
      <c r="I3184" s="1291">
        <v>222250</v>
      </c>
    </row>
    <row r="3185" spans="1:9" ht="15" customHeight="1" thickBot="1">
      <c r="A3185" s="1254">
        <v>45379</v>
      </c>
      <c r="B3185" s="1255">
        <v>4570</v>
      </c>
      <c r="C3185" s="1256">
        <v>27650</v>
      </c>
      <c r="D3185" s="1257">
        <v>27600</v>
      </c>
      <c r="E3185" s="1258">
        <f t="shared" si="1295"/>
        <v>-50</v>
      </c>
      <c r="F3185" s="1259">
        <f t="shared" ref="F3185" si="1312">C3185-C3184</f>
        <v>295</v>
      </c>
      <c r="G3185" s="1260">
        <f>AVERAGE($C$3166:C3185)</f>
        <v>27446</v>
      </c>
      <c r="H3185" s="1307">
        <f>AVERAGE($C$3123:C3185)</f>
        <v>26235.873015873014</v>
      </c>
      <c r="I3185" s="1291">
        <v>222750</v>
      </c>
    </row>
    <row r="3186" spans="1:9" ht="15" customHeight="1">
      <c r="A3186" s="1252">
        <v>45384</v>
      </c>
      <c r="B3186" s="1245">
        <v>4585</v>
      </c>
      <c r="C3186" s="1246">
        <v>27845</v>
      </c>
      <c r="D3186" s="1247">
        <v>27850</v>
      </c>
      <c r="E3186" s="1248">
        <f t="shared" si="1295"/>
        <v>5</v>
      </c>
      <c r="F3186" s="1249">
        <f>C3186-C3185</f>
        <v>195</v>
      </c>
      <c r="G3186" s="1251"/>
      <c r="H3186" s="1305"/>
      <c r="I3186" s="1291">
        <v>226750</v>
      </c>
    </row>
    <row r="3187" spans="1:9" ht="15" customHeight="1">
      <c r="A3187" s="1253">
        <v>45385</v>
      </c>
      <c r="B3187" s="1209">
        <v>4435</v>
      </c>
      <c r="C3187" s="1210">
        <v>28025</v>
      </c>
      <c r="D3187" s="1230">
        <v>28000</v>
      </c>
      <c r="E3187" s="1212">
        <f t="shared" si="1295"/>
        <v>-25</v>
      </c>
      <c r="F3187" s="1211">
        <f t="shared" ref="F3187" si="1313">C3187-C3186</f>
        <v>180</v>
      </c>
      <c r="G3187" s="1236"/>
      <c r="H3187" s="1306"/>
      <c r="I3187" s="1291">
        <v>227500</v>
      </c>
    </row>
    <row r="3188" spans="1:9" ht="15" customHeight="1">
      <c r="A3188" s="1253">
        <v>45386</v>
      </c>
      <c r="B3188" s="1209">
        <v>4415</v>
      </c>
      <c r="C3188" s="1210">
        <v>28450</v>
      </c>
      <c r="D3188" s="1230">
        <v>28450</v>
      </c>
      <c r="E3188" s="1212">
        <f t="shared" si="1295"/>
        <v>0</v>
      </c>
      <c r="F3188" s="1211">
        <f t="shared" ref="F3188:F3189" si="1314">C3188-C3187</f>
        <v>425</v>
      </c>
      <c r="G3188" s="1215"/>
      <c r="H3188" s="1263"/>
      <c r="I3188" s="1433"/>
    </row>
    <row r="3189" spans="1:9" ht="15" customHeight="1">
      <c r="A3189" s="1253">
        <v>45387</v>
      </c>
      <c r="B3189" s="1209">
        <v>4365</v>
      </c>
      <c r="C3189" s="1210">
        <v>28705</v>
      </c>
      <c r="D3189" s="1230">
        <v>28900</v>
      </c>
      <c r="E3189" s="1212">
        <f t="shared" si="1295"/>
        <v>195</v>
      </c>
      <c r="F3189" s="1211">
        <f t="shared" si="1314"/>
        <v>255</v>
      </c>
      <c r="G3189" s="1215"/>
      <c r="H3189" s="1263"/>
      <c r="I3189" s="1433"/>
    </row>
    <row r="3190" spans="1:9" ht="15" customHeight="1">
      <c r="A3190" s="1253">
        <v>45390</v>
      </c>
      <c r="B3190" s="1209">
        <v>4290</v>
      </c>
      <c r="C3190" s="1210">
        <v>29395</v>
      </c>
      <c r="D3190" s="1230">
        <v>29400</v>
      </c>
      <c r="E3190" s="1212">
        <f t="shared" ref="E3190:E3193" si="1315">D3190-C3190</f>
        <v>5</v>
      </c>
      <c r="F3190" s="1211">
        <f t="shared" ref="F3190:F3198" si="1316">C3190-C3189</f>
        <v>690</v>
      </c>
      <c r="G3190" s="1215"/>
      <c r="H3190" s="1263"/>
      <c r="I3190" s="1291">
        <v>235000</v>
      </c>
    </row>
    <row r="3191" spans="1:9" ht="15" customHeight="1">
      <c r="A3191" s="1253">
        <v>45391</v>
      </c>
      <c r="B3191" s="1209">
        <v>4285</v>
      </c>
      <c r="C3191" s="1210">
        <v>30585</v>
      </c>
      <c r="D3191" s="1230">
        <v>30560</v>
      </c>
      <c r="E3191" s="1212">
        <f t="shared" si="1315"/>
        <v>-25</v>
      </c>
      <c r="F3191" s="1211">
        <f t="shared" si="1316"/>
        <v>1190</v>
      </c>
      <c r="G3191" s="1215"/>
      <c r="H3191" s="1263"/>
      <c r="I3191" s="1291">
        <f>246000-8500</f>
        <v>237500</v>
      </c>
    </row>
    <row r="3192" spans="1:9" ht="15" customHeight="1">
      <c r="A3192" s="1253">
        <v>45392</v>
      </c>
      <c r="B3192" s="1209">
        <v>4185</v>
      </c>
      <c r="C3192" s="1210">
        <v>32925</v>
      </c>
      <c r="D3192" s="1230">
        <v>32825</v>
      </c>
      <c r="E3192" s="1212">
        <f t="shared" si="1315"/>
        <v>-100</v>
      </c>
      <c r="F3192" s="1211">
        <f t="shared" si="1316"/>
        <v>2340</v>
      </c>
      <c r="G3192" s="1215"/>
      <c r="H3192" s="1263"/>
      <c r="I3192" s="1291">
        <v>246000</v>
      </c>
    </row>
    <row r="3193" spans="1:9" ht="15" customHeight="1">
      <c r="A3193" s="1253">
        <v>45393</v>
      </c>
      <c r="B3193" s="1209">
        <v>4145</v>
      </c>
      <c r="C3193" s="1210">
        <v>31850</v>
      </c>
      <c r="D3193" s="1230">
        <v>31675</v>
      </c>
      <c r="E3193" s="1212">
        <f t="shared" si="1315"/>
        <v>-175</v>
      </c>
      <c r="F3193" s="1211">
        <f t="shared" si="1316"/>
        <v>-1075</v>
      </c>
      <c r="G3193" s="1236"/>
      <c r="H3193" s="1306"/>
      <c r="I3193" s="1291">
        <v>246250</v>
      </c>
    </row>
    <row r="3194" spans="1:9" ht="15" customHeight="1">
      <c r="A3194" s="1253">
        <v>45394</v>
      </c>
      <c r="B3194" s="1209">
        <v>4115</v>
      </c>
      <c r="C3194" s="1210">
        <v>32975</v>
      </c>
      <c r="D3194" s="1230">
        <v>32800</v>
      </c>
      <c r="E3194" s="1212">
        <f t="shared" ref="E3194:E3224" si="1317">D3194-C3194</f>
        <v>-175</v>
      </c>
      <c r="F3194" s="1211">
        <f t="shared" si="1316"/>
        <v>1125</v>
      </c>
      <c r="G3194" s="1215"/>
      <c r="H3194" s="1263"/>
      <c r="I3194" s="1291">
        <v>248000</v>
      </c>
    </row>
    <row r="3195" spans="1:9" ht="15" customHeight="1">
      <c r="A3195" s="1253">
        <v>45397</v>
      </c>
      <c r="B3195" s="1209">
        <v>4115</v>
      </c>
      <c r="C3195" s="1210">
        <v>32950</v>
      </c>
      <c r="D3195" s="1230">
        <v>32750</v>
      </c>
      <c r="E3195" s="1212">
        <f t="shared" si="1317"/>
        <v>-200</v>
      </c>
      <c r="F3195" s="1211">
        <f t="shared" si="1316"/>
        <v>-25</v>
      </c>
      <c r="G3195" s="1215"/>
      <c r="H3195" s="1263"/>
      <c r="I3195" s="1291">
        <v>252750</v>
      </c>
    </row>
    <row r="3196" spans="1:9" ht="15" customHeight="1">
      <c r="A3196" s="1253">
        <v>45398</v>
      </c>
      <c r="B3196" s="1209">
        <v>4135</v>
      </c>
      <c r="C3196" s="1210">
        <v>32200</v>
      </c>
      <c r="D3196" s="1230">
        <v>32150</v>
      </c>
      <c r="E3196" s="1212">
        <f t="shared" si="1317"/>
        <v>-50</v>
      </c>
      <c r="F3196" s="1211">
        <f t="shared" si="1316"/>
        <v>-750</v>
      </c>
      <c r="G3196" s="1215"/>
      <c r="H3196" s="1263"/>
      <c r="I3196" s="1291">
        <v>256000</v>
      </c>
    </row>
    <row r="3197" spans="1:9" ht="15" customHeight="1">
      <c r="A3197" s="1253">
        <v>45399</v>
      </c>
      <c r="B3197" s="1209">
        <v>4135</v>
      </c>
      <c r="C3197" s="1210">
        <v>32640</v>
      </c>
      <c r="D3197" s="1230">
        <v>32185</v>
      </c>
      <c r="E3197" s="1212">
        <f t="shared" si="1317"/>
        <v>-455</v>
      </c>
      <c r="F3197" s="1211">
        <f t="shared" si="1316"/>
        <v>440</v>
      </c>
      <c r="G3197" s="1215"/>
      <c r="H3197" s="1263"/>
      <c r="I3197" s="1291">
        <v>251750</v>
      </c>
    </row>
    <row r="3198" spans="1:9" ht="15" customHeight="1">
      <c r="A3198" s="1253">
        <v>45400</v>
      </c>
      <c r="B3198" s="1209">
        <v>4245</v>
      </c>
      <c r="C3198" s="1210">
        <v>34025</v>
      </c>
      <c r="D3198" s="1230">
        <v>33710</v>
      </c>
      <c r="E3198" s="1212">
        <f t="shared" si="1317"/>
        <v>-315</v>
      </c>
      <c r="F3198" s="1211">
        <f t="shared" si="1316"/>
        <v>1385</v>
      </c>
      <c r="G3198" s="1236"/>
      <c r="H3198" s="1306"/>
      <c r="I3198" s="1291">
        <v>255750</v>
      </c>
    </row>
    <row r="3199" spans="1:9" ht="15" customHeight="1">
      <c r="A3199" s="1253">
        <v>45401</v>
      </c>
      <c r="B3199" s="1209">
        <v>4215</v>
      </c>
      <c r="C3199" s="1210">
        <v>35685</v>
      </c>
      <c r="D3199" s="1230">
        <v>35325</v>
      </c>
      <c r="E3199" s="1212">
        <f t="shared" si="1317"/>
        <v>-360</v>
      </c>
      <c r="F3199" s="1211">
        <f t="shared" ref="F3199:F3203" si="1318">C3199-C3198</f>
        <v>1660</v>
      </c>
      <c r="G3199" s="1215"/>
      <c r="H3199" s="1263"/>
      <c r="I3199" s="1291">
        <v>264500</v>
      </c>
    </row>
    <row r="3200" spans="1:9" ht="15" customHeight="1">
      <c r="A3200" s="1253">
        <v>45404</v>
      </c>
      <c r="B3200" s="1209">
        <v>4190</v>
      </c>
      <c r="C3200" s="1210">
        <v>35250</v>
      </c>
      <c r="D3200" s="1230">
        <v>34975</v>
      </c>
      <c r="E3200" s="1212">
        <f t="shared" si="1317"/>
        <v>-275</v>
      </c>
      <c r="F3200" s="1211">
        <f t="shared" si="1318"/>
        <v>-435</v>
      </c>
      <c r="G3200" s="1215"/>
      <c r="H3200" s="1263"/>
      <c r="I3200" s="1291">
        <v>281250</v>
      </c>
    </row>
    <row r="3201" spans="1:9" ht="15" customHeight="1">
      <c r="A3201" s="1253">
        <v>45405</v>
      </c>
      <c r="B3201" s="1209">
        <v>4415</v>
      </c>
      <c r="C3201" s="1210">
        <v>32600</v>
      </c>
      <c r="D3201" s="1230">
        <v>32335</v>
      </c>
      <c r="E3201" s="1212">
        <f t="shared" si="1317"/>
        <v>-265</v>
      </c>
      <c r="F3201" s="1211">
        <f t="shared" si="1318"/>
        <v>-2650</v>
      </c>
      <c r="G3201" s="1215"/>
      <c r="H3201" s="1263"/>
      <c r="I3201" s="1291">
        <v>265000</v>
      </c>
    </row>
    <row r="3202" spans="1:9" ht="15" customHeight="1">
      <c r="A3202" s="1253">
        <v>45406</v>
      </c>
      <c r="B3202" s="1209">
        <v>4450</v>
      </c>
      <c r="C3202" s="1210">
        <v>32085</v>
      </c>
      <c r="D3202" s="1230">
        <v>31805</v>
      </c>
      <c r="E3202" s="1212">
        <f t="shared" si="1317"/>
        <v>-280</v>
      </c>
      <c r="F3202" s="1211">
        <f t="shared" si="1318"/>
        <v>-515</v>
      </c>
      <c r="G3202" s="1215"/>
      <c r="H3202" s="1263"/>
      <c r="I3202" s="1291">
        <v>254500</v>
      </c>
    </row>
    <row r="3203" spans="1:9" ht="15" customHeight="1">
      <c r="A3203" s="1253">
        <v>45407</v>
      </c>
      <c r="B3203" s="1209">
        <v>4490</v>
      </c>
      <c r="C3203" s="1210">
        <v>32450</v>
      </c>
      <c r="D3203" s="1230">
        <v>32300</v>
      </c>
      <c r="E3203" s="1212">
        <f t="shared" si="1317"/>
        <v>-150</v>
      </c>
      <c r="F3203" s="1211">
        <f t="shared" si="1318"/>
        <v>365</v>
      </c>
      <c r="G3203" s="1236"/>
      <c r="H3203" s="1306"/>
      <c r="I3203" s="1291">
        <v>255250</v>
      </c>
    </row>
    <row r="3204" spans="1:9" ht="15" customHeight="1">
      <c r="A3204" s="1253">
        <v>45408</v>
      </c>
      <c r="B3204" s="1209">
        <v>4735</v>
      </c>
      <c r="C3204" s="1210">
        <v>33125</v>
      </c>
      <c r="D3204" s="1230">
        <v>33200</v>
      </c>
      <c r="E3204" s="1212">
        <f t="shared" si="1317"/>
        <v>75</v>
      </c>
      <c r="F3204" s="1211">
        <f t="shared" ref="F3204" si="1319">C3204-C3203</f>
        <v>675</v>
      </c>
      <c r="G3204" s="1236"/>
      <c r="H3204" s="1306"/>
      <c r="I3204" s="1291">
        <v>260000</v>
      </c>
    </row>
    <row r="3205" spans="1:9" ht="15" customHeight="1">
      <c r="A3205" s="1253">
        <v>45411</v>
      </c>
      <c r="B3205" s="1209">
        <v>4770</v>
      </c>
      <c r="C3205" s="1210">
        <v>32675</v>
      </c>
      <c r="D3205" s="1230">
        <v>32550</v>
      </c>
      <c r="E3205" s="1212">
        <f t="shared" si="1317"/>
        <v>-125</v>
      </c>
      <c r="F3205" s="1211">
        <f t="shared" ref="F3205:F3207" si="1320">C3205-C3204</f>
        <v>-450</v>
      </c>
      <c r="G3205" s="1236"/>
      <c r="H3205" s="1306"/>
      <c r="I3205" s="1291">
        <v>260000</v>
      </c>
    </row>
    <row r="3206" spans="1:9" ht="15" customHeight="1" thickBot="1">
      <c r="A3206" s="1254">
        <v>45412</v>
      </c>
      <c r="B3206" s="1255">
        <v>4805</v>
      </c>
      <c r="C3206" s="1256">
        <v>32300</v>
      </c>
      <c r="D3206" s="1257">
        <v>32150</v>
      </c>
      <c r="E3206" s="1258">
        <f t="shared" si="1317"/>
        <v>-150</v>
      </c>
      <c r="F3206" s="1259">
        <f t="shared" si="1320"/>
        <v>-375</v>
      </c>
      <c r="G3206" s="1260">
        <f>AVERAGE($C$3186:C3206)</f>
        <v>31844.761904761905</v>
      </c>
      <c r="H3206" s="1307">
        <f>AVERAGE($C$3123:C3206)</f>
        <v>27638.095238095237</v>
      </c>
      <c r="I3206" s="1291">
        <v>262500</v>
      </c>
    </row>
    <row r="3207" spans="1:9" ht="15" customHeight="1">
      <c r="A3207" s="1252">
        <v>45413</v>
      </c>
      <c r="B3207" s="1245">
        <v>4825</v>
      </c>
      <c r="C3207" s="1246">
        <v>31150</v>
      </c>
      <c r="D3207" s="1247">
        <v>31050</v>
      </c>
      <c r="E3207" s="1248">
        <f t="shared" si="1317"/>
        <v>-100</v>
      </c>
      <c r="F3207" s="1249">
        <f t="shared" si="1320"/>
        <v>-1150</v>
      </c>
      <c r="G3207" s="1251"/>
      <c r="H3207" s="1305"/>
      <c r="I3207" s="1433"/>
    </row>
    <row r="3208" spans="1:9" ht="15" customHeight="1">
      <c r="A3208" s="1253">
        <v>45414</v>
      </c>
      <c r="B3208" s="1209">
        <v>4825</v>
      </c>
      <c r="C3208" s="1210">
        <v>31375</v>
      </c>
      <c r="D3208" s="1230">
        <v>31150</v>
      </c>
      <c r="E3208" s="1212">
        <f t="shared" si="1317"/>
        <v>-225</v>
      </c>
      <c r="F3208" s="1211">
        <f t="shared" ref="F3208" si="1321">C3208-C3207</f>
        <v>225</v>
      </c>
      <c r="G3208" s="1236"/>
      <c r="H3208" s="1306"/>
      <c r="I3208" s="1433"/>
    </row>
    <row r="3209" spans="1:9" ht="15" customHeight="1">
      <c r="A3209" s="1253">
        <v>45415</v>
      </c>
      <c r="B3209" s="1209">
        <v>4835</v>
      </c>
      <c r="C3209" s="1210">
        <v>32050</v>
      </c>
      <c r="D3209" s="1230">
        <v>31900</v>
      </c>
      <c r="E3209" s="1212">
        <f t="shared" si="1317"/>
        <v>-150</v>
      </c>
      <c r="F3209" s="1211">
        <f t="shared" ref="F3209" si="1322">C3209-C3208</f>
        <v>675</v>
      </c>
      <c r="G3209" s="1236"/>
      <c r="H3209" s="1306"/>
      <c r="I3209" s="1433"/>
    </row>
    <row r="3210" spans="1:9" ht="15" customHeight="1">
      <c r="A3210" s="1253">
        <v>45418</v>
      </c>
      <c r="B3210" s="1434"/>
      <c r="C3210" s="1434"/>
      <c r="D3210" s="1434"/>
      <c r="E3210" s="1434"/>
      <c r="F3210" s="1434"/>
      <c r="G3210" s="1434"/>
      <c r="H3210" s="1435"/>
      <c r="I3210" s="1291"/>
    </row>
    <row r="3211" spans="1:9" ht="15" customHeight="1">
      <c r="A3211" s="1253">
        <v>45419</v>
      </c>
      <c r="B3211" s="1209">
        <v>4855</v>
      </c>
      <c r="C3211" s="1210">
        <v>32575</v>
      </c>
      <c r="D3211" s="1230">
        <v>32400</v>
      </c>
      <c r="E3211" s="1212">
        <f t="shared" si="1317"/>
        <v>-175</v>
      </c>
      <c r="F3211" s="1211">
        <f>C3211-C3209</f>
        <v>525</v>
      </c>
      <c r="G3211" s="1236"/>
      <c r="H3211" s="1306"/>
      <c r="I3211" s="1291">
        <v>262250</v>
      </c>
    </row>
    <row r="3212" spans="1:9" ht="15" customHeight="1">
      <c r="A3212" s="1253">
        <v>45420</v>
      </c>
      <c r="B3212" s="1209">
        <v>4780</v>
      </c>
      <c r="C3212" s="1210">
        <v>32650</v>
      </c>
      <c r="D3212" s="1230">
        <v>32450</v>
      </c>
      <c r="E3212" s="1212">
        <f t="shared" si="1317"/>
        <v>-200</v>
      </c>
      <c r="F3212" s="1211">
        <f t="shared" ref="F3212" si="1323">C3212-C3211</f>
        <v>75</v>
      </c>
      <c r="G3212" s="1236"/>
      <c r="H3212" s="1306"/>
      <c r="I3212" s="1291">
        <v>259750</v>
      </c>
    </row>
    <row r="3213" spans="1:9" ht="15" customHeight="1">
      <c r="A3213" s="1253">
        <v>45421</v>
      </c>
      <c r="B3213" s="1209">
        <v>4780</v>
      </c>
      <c r="C3213" s="1210">
        <v>32400</v>
      </c>
      <c r="D3213" s="1230">
        <v>32150</v>
      </c>
      <c r="E3213" s="1212">
        <f t="shared" si="1317"/>
        <v>-250</v>
      </c>
      <c r="F3213" s="1211">
        <f t="shared" ref="F3213:F3218" si="1324">C3213-C3212</f>
        <v>-250</v>
      </c>
      <c r="G3213" s="1215"/>
      <c r="H3213" s="1263"/>
      <c r="I3213" s="1291">
        <v>259750</v>
      </c>
    </row>
    <row r="3214" spans="1:9" ht="15" customHeight="1">
      <c r="A3214" s="1253">
        <v>45422</v>
      </c>
      <c r="B3214" s="1209">
        <v>4800</v>
      </c>
      <c r="C3214" s="1210">
        <v>32895</v>
      </c>
      <c r="D3214" s="1230">
        <v>32675</v>
      </c>
      <c r="E3214" s="1212">
        <f t="shared" si="1317"/>
        <v>-220</v>
      </c>
      <c r="F3214" s="1211">
        <f t="shared" si="1324"/>
        <v>495</v>
      </c>
      <c r="G3214" s="1215"/>
      <c r="H3214" s="1263"/>
      <c r="I3214" s="1291">
        <v>261250</v>
      </c>
    </row>
    <row r="3215" spans="1:9" ht="15" customHeight="1">
      <c r="A3215" s="1253">
        <v>45425</v>
      </c>
      <c r="B3215" s="1209">
        <v>4760</v>
      </c>
      <c r="C3215" s="1210">
        <v>32675</v>
      </c>
      <c r="D3215" s="1230">
        <v>32600</v>
      </c>
      <c r="E3215" s="1212">
        <f t="shared" si="1317"/>
        <v>-75</v>
      </c>
      <c r="F3215" s="1211">
        <f t="shared" si="1324"/>
        <v>-220</v>
      </c>
      <c r="G3215" s="1215"/>
      <c r="H3215" s="1263"/>
      <c r="I3215" s="1291">
        <v>260500</v>
      </c>
    </row>
    <row r="3216" spans="1:9" ht="15" customHeight="1">
      <c r="A3216" s="1253">
        <v>45426</v>
      </c>
      <c r="B3216" s="1209">
        <v>4835</v>
      </c>
      <c r="C3216" s="1210">
        <v>33300</v>
      </c>
      <c r="D3216" s="1230">
        <v>33325</v>
      </c>
      <c r="E3216" s="1212">
        <f t="shared" si="1317"/>
        <v>25</v>
      </c>
      <c r="F3216" s="1211">
        <f t="shared" si="1324"/>
        <v>625</v>
      </c>
      <c r="G3216" s="1215"/>
      <c r="H3216" s="1263"/>
      <c r="I3216" s="1291">
        <f>272000-2500</f>
        <v>269500</v>
      </c>
    </row>
    <row r="3217" spans="1:9" ht="15" customHeight="1">
      <c r="A3217" s="1253">
        <v>45427</v>
      </c>
      <c r="B3217" s="1209">
        <v>5015</v>
      </c>
      <c r="C3217" s="1210">
        <v>34100</v>
      </c>
      <c r="D3217" s="1230">
        <v>33970</v>
      </c>
      <c r="E3217" s="1212">
        <f t="shared" si="1317"/>
        <v>-130</v>
      </c>
      <c r="F3217" s="1211">
        <f t="shared" si="1324"/>
        <v>800</v>
      </c>
      <c r="G3217" s="1215"/>
      <c r="H3217" s="1263"/>
      <c r="I3217" s="1291">
        <v>272000</v>
      </c>
    </row>
    <row r="3218" spans="1:9" ht="15" customHeight="1">
      <c r="A3218" s="1253">
        <v>45428</v>
      </c>
      <c r="B3218" s="1209">
        <v>4920</v>
      </c>
      <c r="C3218" s="1210">
        <v>33625</v>
      </c>
      <c r="D3218" s="1230">
        <v>33650</v>
      </c>
      <c r="E3218" s="1212">
        <f t="shared" si="1317"/>
        <v>25</v>
      </c>
      <c r="F3218" s="1211">
        <f t="shared" si="1324"/>
        <v>-475</v>
      </c>
      <c r="G3218" s="1236"/>
      <c r="H3218" s="1306"/>
      <c r="I3218" s="1291">
        <v>274500</v>
      </c>
    </row>
    <row r="3219" spans="1:9" ht="15" customHeight="1">
      <c r="A3219" s="1253">
        <v>45429</v>
      </c>
      <c r="B3219" s="1209">
        <v>4935</v>
      </c>
      <c r="C3219" s="1210">
        <v>34190</v>
      </c>
      <c r="D3219" s="1230">
        <v>34300</v>
      </c>
      <c r="E3219" s="1212">
        <f t="shared" si="1317"/>
        <v>110</v>
      </c>
      <c r="F3219" s="1211">
        <f t="shared" ref="F3219" si="1325">C3219-C3218</f>
        <v>565</v>
      </c>
      <c r="G3219" s="1236"/>
      <c r="H3219" s="1306"/>
      <c r="I3219" s="1291">
        <v>273500</v>
      </c>
    </row>
    <row r="3220" spans="1:9" ht="15" customHeight="1">
      <c r="A3220" s="1253">
        <v>45432</v>
      </c>
      <c r="B3220" s="1209">
        <v>5000</v>
      </c>
      <c r="C3220" s="1210">
        <v>34575</v>
      </c>
      <c r="D3220" s="1230">
        <v>34800</v>
      </c>
      <c r="E3220" s="1212">
        <f t="shared" si="1317"/>
        <v>225</v>
      </c>
      <c r="F3220" s="1211">
        <f t="shared" ref="F3220" si="1326">C3220-C3219</f>
        <v>385</v>
      </c>
      <c r="G3220" s="1236"/>
      <c r="H3220" s="1306"/>
      <c r="I3220" s="1291">
        <v>280000</v>
      </c>
    </row>
    <row r="3221" spans="1:9" ht="15" customHeight="1">
      <c r="A3221" s="1253">
        <v>45433</v>
      </c>
      <c r="B3221" s="1209">
        <v>4995</v>
      </c>
      <c r="C3221" s="1210">
        <v>34105</v>
      </c>
      <c r="D3221" s="1230">
        <v>34350</v>
      </c>
      <c r="E3221" s="1212">
        <f t="shared" si="1317"/>
        <v>245</v>
      </c>
      <c r="F3221" s="1211">
        <f t="shared" ref="F3221" si="1327">C3221-C3220</f>
        <v>-470</v>
      </c>
      <c r="G3221" s="1236"/>
      <c r="H3221" s="1306"/>
      <c r="I3221" s="1291">
        <v>274250</v>
      </c>
    </row>
    <row r="3222" spans="1:9" ht="15" customHeight="1">
      <c r="A3222" s="1253">
        <v>45434</v>
      </c>
      <c r="B3222" s="1209">
        <v>4945</v>
      </c>
      <c r="C3222" s="1210">
        <v>33350</v>
      </c>
      <c r="D3222" s="1230">
        <v>33600</v>
      </c>
      <c r="E3222" s="1212">
        <f t="shared" si="1317"/>
        <v>250</v>
      </c>
      <c r="F3222" s="1211">
        <f t="shared" ref="F3222" si="1328">C3222-C3221</f>
        <v>-755</v>
      </c>
      <c r="G3222" s="1236"/>
      <c r="H3222" s="1306"/>
      <c r="I3222" s="1291">
        <v>278500</v>
      </c>
    </row>
    <row r="3223" spans="1:9" ht="15" customHeight="1">
      <c r="A3223" s="1253">
        <v>45435</v>
      </c>
      <c r="B3223" s="1209">
        <v>4935</v>
      </c>
      <c r="C3223" s="1210">
        <v>33125</v>
      </c>
      <c r="D3223" s="1230">
        <v>33115</v>
      </c>
      <c r="E3223" s="1212">
        <f t="shared" si="1317"/>
        <v>-10</v>
      </c>
      <c r="F3223" s="1211">
        <f t="shared" ref="F3223:F3224" si="1329">C3223-C3222</f>
        <v>-225</v>
      </c>
      <c r="G3223" s="1215"/>
      <c r="H3223" s="1263"/>
      <c r="I3223" s="1291">
        <v>272500</v>
      </c>
    </row>
    <row r="3224" spans="1:9" ht="15" customHeight="1">
      <c r="A3224" s="1253">
        <v>45436</v>
      </c>
      <c r="B3224" s="1209">
        <v>4945</v>
      </c>
      <c r="C3224" s="1210">
        <v>33725</v>
      </c>
      <c r="D3224" s="1230">
        <v>33850</v>
      </c>
      <c r="E3224" s="1212">
        <f t="shared" si="1317"/>
        <v>125</v>
      </c>
      <c r="F3224" s="1211">
        <f t="shared" si="1329"/>
        <v>600</v>
      </c>
      <c r="G3224" s="1215"/>
      <c r="H3224" s="1263"/>
      <c r="I3224" s="1291">
        <v>272750</v>
      </c>
    </row>
    <row r="3225" spans="1:9" ht="15" customHeight="1">
      <c r="A3225" s="1253">
        <v>45439</v>
      </c>
      <c r="B3225" s="1434"/>
      <c r="C3225" s="1434"/>
      <c r="D3225" s="1434"/>
      <c r="E3225" s="1434"/>
      <c r="F3225" s="1434"/>
      <c r="G3225" s="1434"/>
      <c r="H3225" s="1435"/>
      <c r="I3225" s="1291">
        <v>272250</v>
      </c>
    </row>
    <row r="3226" spans="1:9" ht="15" customHeight="1">
      <c r="A3226" s="1253">
        <v>45440</v>
      </c>
      <c r="B3226" s="1209">
        <v>4970</v>
      </c>
      <c r="C3226" s="1210">
        <v>33950</v>
      </c>
      <c r="D3226" s="1230">
        <v>34125</v>
      </c>
      <c r="E3226" s="1212">
        <f t="shared" ref="E3226:E3231" si="1330">D3226-C3226</f>
        <v>175</v>
      </c>
      <c r="F3226" s="1211">
        <f>C3226-C3224</f>
        <v>225</v>
      </c>
      <c r="G3226" s="1215"/>
      <c r="H3226" s="1263"/>
      <c r="I3226" s="1291">
        <v>278750</v>
      </c>
    </row>
    <row r="3227" spans="1:9" ht="15" customHeight="1">
      <c r="A3227" s="1253">
        <v>45441</v>
      </c>
      <c r="B3227" s="1209">
        <v>4940</v>
      </c>
      <c r="C3227" s="1210">
        <v>33955</v>
      </c>
      <c r="D3227" s="1230">
        <v>34100</v>
      </c>
      <c r="E3227" s="1212">
        <f t="shared" si="1330"/>
        <v>145</v>
      </c>
      <c r="F3227" s="1211">
        <f t="shared" ref="F3227:F3228" si="1331">C3227-C3226</f>
        <v>5</v>
      </c>
      <c r="G3227" s="1215"/>
      <c r="H3227" s="1263"/>
      <c r="I3227" s="1291">
        <v>279250</v>
      </c>
    </row>
    <row r="3228" spans="1:9" ht="15" customHeight="1">
      <c r="A3228" s="1253">
        <v>45442</v>
      </c>
      <c r="B3228" s="1209">
        <v>4940</v>
      </c>
      <c r="C3228" s="1210">
        <v>33150</v>
      </c>
      <c r="D3228" s="1230">
        <v>33300</v>
      </c>
      <c r="E3228" s="1212">
        <f t="shared" si="1330"/>
        <v>150</v>
      </c>
      <c r="F3228" s="1211">
        <f t="shared" si="1331"/>
        <v>-805</v>
      </c>
      <c r="G3228" s="1236"/>
      <c r="H3228" s="1306"/>
      <c r="I3228" s="1291">
        <v>278000</v>
      </c>
    </row>
    <row r="3229" spans="1:9" ht="15" customHeight="1" thickBot="1">
      <c r="A3229" s="1254">
        <v>45443</v>
      </c>
      <c r="B3229" s="1255">
        <v>4995</v>
      </c>
      <c r="C3229" s="1256">
        <v>33300</v>
      </c>
      <c r="D3229" s="1257">
        <v>33525</v>
      </c>
      <c r="E3229" s="1258">
        <f t="shared" si="1330"/>
        <v>225</v>
      </c>
      <c r="F3229" s="1259">
        <f t="shared" ref="F3229" si="1332">C3229-C3228</f>
        <v>150</v>
      </c>
      <c r="G3229" s="1260">
        <f>AVERAGE($C$3207:C3229)</f>
        <v>33153.333333333336</v>
      </c>
      <c r="H3229" s="1307">
        <f>AVERAGE($C$3123:C3229)</f>
        <v>28741.142857142859</v>
      </c>
      <c r="I3229" s="1291">
        <v>274000</v>
      </c>
    </row>
    <row r="3230" spans="1:9" ht="15" customHeight="1">
      <c r="A3230" s="1252">
        <v>45446</v>
      </c>
      <c r="B3230" s="1245">
        <v>5000</v>
      </c>
      <c r="C3230" s="1246">
        <v>32600</v>
      </c>
      <c r="D3230" s="1247">
        <v>32825</v>
      </c>
      <c r="E3230" s="1248">
        <f t="shared" si="1330"/>
        <v>225</v>
      </c>
      <c r="F3230" s="1249">
        <f t="shared" ref="F3230" si="1333">C3230-C3229</f>
        <v>-700</v>
      </c>
      <c r="G3230" s="1251"/>
      <c r="H3230" s="1305"/>
      <c r="I3230" s="1291">
        <v>271250</v>
      </c>
    </row>
    <row r="3231" spans="1:9" ht="15" customHeight="1">
      <c r="A3231" s="1253">
        <v>45447</v>
      </c>
      <c r="B3231" s="1209">
        <v>5000</v>
      </c>
      <c r="C3231" s="1210">
        <v>32000</v>
      </c>
      <c r="D3231" s="1230">
        <v>32150</v>
      </c>
      <c r="E3231" s="1212">
        <f t="shared" si="1330"/>
        <v>150</v>
      </c>
      <c r="F3231" s="1211">
        <f t="shared" ref="F3231" si="1334">C3231-C3230</f>
        <v>-600</v>
      </c>
      <c r="G3231" s="1215"/>
      <c r="H3231" s="1263"/>
      <c r="I3231" s="1291">
        <v>267500</v>
      </c>
    </row>
    <row r="3232" spans="1:9" ht="15" customHeight="1">
      <c r="A3232" s="1253">
        <v>45448</v>
      </c>
      <c r="B3232" s="1209">
        <v>5000</v>
      </c>
      <c r="C3232" s="1210">
        <v>31375</v>
      </c>
      <c r="D3232" s="1230">
        <v>31700</v>
      </c>
      <c r="E3232" s="1212">
        <f t="shared" ref="E3232:E3249" si="1335">D3232-C3232</f>
        <v>325</v>
      </c>
      <c r="F3232" s="1211">
        <f t="shared" ref="F3232:F3238" si="1336">C3232-C3231</f>
        <v>-625</v>
      </c>
      <c r="G3232" s="1215"/>
      <c r="H3232" s="1263"/>
      <c r="I3232" s="1291">
        <v>262500</v>
      </c>
    </row>
    <row r="3233" spans="1:9" ht="15" customHeight="1">
      <c r="A3233" s="1253">
        <v>45449</v>
      </c>
      <c r="B3233" s="1209">
        <v>4815</v>
      </c>
      <c r="C3233" s="1210">
        <v>31900</v>
      </c>
      <c r="D3233" s="1230">
        <v>32125</v>
      </c>
      <c r="E3233" s="1212">
        <f t="shared" si="1335"/>
        <v>225</v>
      </c>
      <c r="F3233" s="1211">
        <f t="shared" si="1336"/>
        <v>525</v>
      </c>
      <c r="G3233" s="1215"/>
      <c r="H3233" s="1263"/>
      <c r="I3233" s="1291">
        <v>263000</v>
      </c>
    </row>
    <row r="3234" spans="1:9" ht="15" customHeight="1">
      <c r="A3234" s="1253">
        <v>45450</v>
      </c>
      <c r="B3234" s="1209">
        <v>4810</v>
      </c>
      <c r="C3234" s="1210">
        <v>32105</v>
      </c>
      <c r="D3234" s="1230">
        <v>32420</v>
      </c>
      <c r="E3234" s="1212">
        <f t="shared" si="1335"/>
        <v>315</v>
      </c>
      <c r="F3234" s="1211">
        <f t="shared" si="1336"/>
        <v>205</v>
      </c>
      <c r="G3234" s="1215"/>
      <c r="H3234" s="1263"/>
      <c r="I3234" s="1291">
        <v>266500</v>
      </c>
    </row>
    <row r="3235" spans="1:9" ht="15" customHeight="1">
      <c r="A3235" s="1253">
        <v>45453</v>
      </c>
      <c r="B3235" s="1209">
        <v>4795</v>
      </c>
      <c r="C3235" s="1210">
        <v>31700</v>
      </c>
      <c r="D3235" s="1230">
        <v>32000</v>
      </c>
      <c r="E3235" s="1212">
        <f t="shared" si="1335"/>
        <v>300</v>
      </c>
      <c r="F3235" s="1211">
        <f t="shared" si="1336"/>
        <v>-405</v>
      </c>
      <c r="G3235" s="1215"/>
      <c r="H3235" s="1263"/>
      <c r="I3235" s="1291"/>
    </row>
    <row r="3236" spans="1:9" ht="15" customHeight="1">
      <c r="A3236" s="1253">
        <v>45454</v>
      </c>
      <c r="B3236" s="1209">
        <v>4820</v>
      </c>
      <c r="C3236" s="1210">
        <v>31750</v>
      </c>
      <c r="D3236" s="1230">
        <v>32000</v>
      </c>
      <c r="E3236" s="1212">
        <f t="shared" si="1335"/>
        <v>250</v>
      </c>
      <c r="F3236" s="1211">
        <f t="shared" si="1336"/>
        <v>50</v>
      </c>
      <c r="G3236" s="1215"/>
      <c r="H3236" s="1263"/>
      <c r="I3236" s="1291">
        <v>264250</v>
      </c>
    </row>
    <row r="3237" spans="1:9" ht="15" customHeight="1">
      <c r="A3237" s="1253">
        <v>45455</v>
      </c>
      <c r="B3237" s="1209">
        <v>4665</v>
      </c>
      <c r="C3237" s="1210">
        <v>32750</v>
      </c>
      <c r="D3237" s="1230">
        <v>32925</v>
      </c>
      <c r="E3237" s="1212">
        <f t="shared" si="1335"/>
        <v>175</v>
      </c>
      <c r="F3237" s="1211">
        <f t="shared" si="1336"/>
        <v>1000</v>
      </c>
      <c r="G3237" s="1215"/>
      <c r="H3237" s="1263"/>
      <c r="I3237" s="1291">
        <v>271000</v>
      </c>
    </row>
    <row r="3238" spans="1:9" ht="15" customHeight="1">
      <c r="A3238" s="1253">
        <v>45456</v>
      </c>
      <c r="B3238" s="1209">
        <v>4665</v>
      </c>
      <c r="C3238" s="1210">
        <v>33150</v>
      </c>
      <c r="D3238" s="1230">
        <v>33400</v>
      </c>
      <c r="E3238" s="1212">
        <f t="shared" si="1335"/>
        <v>250</v>
      </c>
      <c r="F3238" s="1211">
        <f t="shared" si="1336"/>
        <v>400</v>
      </c>
      <c r="G3238" s="1236"/>
      <c r="H3238" s="1306"/>
      <c r="I3238" s="1291">
        <v>274250</v>
      </c>
    </row>
    <row r="3239" spans="1:9" ht="15" customHeight="1">
      <c r="A3239" s="1253">
        <v>45457</v>
      </c>
      <c r="B3239" s="1209">
        <v>4610</v>
      </c>
      <c r="C3239" s="1210">
        <v>32410</v>
      </c>
      <c r="D3239" s="1230">
        <v>32700</v>
      </c>
      <c r="E3239" s="1212">
        <f t="shared" si="1335"/>
        <v>290</v>
      </c>
      <c r="F3239" s="1211">
        <f t="shared" ref="F3239" si="1337">C3239-C3238</f>
        <v>-740</v>
      </c>
      <c r="G3239" s="1236"/>
      <c r="H3239" s="1306"/>
      <c r="I3239" s="1291">
        <v>270500</v>
      </c>
    </row>
    <row r="3240" spans="1:9" ht="15" customHeight="1">
      <c r="A3240" s="1253">
        <v>45460</v>
      </c>
      <c r="B3240" s="1209">
        <v>4675</v>
      </c>
      <c r="C3240" s="1210">
        <v>31800</v>
      </c>
      <c r="D3240" s="1230">
        <v>31900</v>
      </c>
      <c r="E3240" s="1212">
        <f t="shared" si="1335"/>
        <v>100</v>
      </c>
      <c r="F3240" s="1211">
        <f t="shared" ref="F3240" si="1338">C3240-C3239</f>
        <v>-610</v>
      </c>
      <c r="G3240" s="1236"/>
      <c r="H3240" s="1306"/>
      <c r="I3240" s="1291">
        <v>268000</v>
      </c>
    </row>
    <row r="3241" spans="1:9" ht="15" customHeight="1">
      <c r="A3241" s="1253">
        <v>45461</v>
      </c>
      <c r="B3241" s="1209">
        <v>4675</v>
      </c>
      <c r="C3241" s="1210">
        <v>31775</v>
      </c>
      <c r="D3241" s="1230">
        <v>32000</v>
      </c>
      <c r="E3241" s="1212">
        <f t="shared" si="1335"/>
        <v>225</v>
      </c>
      <c r="F3241" s="1211">
        <f t="shared" ref="F3241" si="1339">C3241-C3240</f>
        <v>-25</v>
      </c>
      <c r="G3241" s="1236"/>
      <c r="H3241" s="1306"/>
      <c r="I3241" s="1291">
        <v>267750</v>
      </c>
    </row>
    <row r="3242" spans="1:9" ht="15" customHeight="1">
      <c r="A3242" s="1253">
        <v>45462</v>
      </c>
      <c r="B3242" s="1209">
        <v>4765</v>
      </c>
      <c r="C3242" s="1210">
        <v>32150</v>
      </c>
      <c r="D3242" s="1230">
        <v>32350</v>
      </c>
      <c r="E3242" s="1212">
        <f t="shared" si="1335"/>
        <v>200</v>
      </c>
      <c r="F3242" s="1211">
        <f t="shared" ref="F3242:F3244" si="1340">C3242-C3241</f>
        <v>375</v>
      </c>
      <c r="G3242" s="1215"/>
      <c r="H3242" s="1263"/>
      <c r="I3242" s="1291">
        <v>267000</v>
      </c>
    </row>
    <row r="3243" spans="1:9" ht="15" customHeight="1">
      <c r="A3243" s="1253">
        <v>45463</v>
      </c>
      <c r="B3243" s="1209">
        <v>4745</v>
      </c>
      <c r="C3243" s="1210">
        <v>32575</v>
      </c>
      <c r="D3243" s="1230">
        <v>32875</v>
      </c>
      <c r="E3243" s="1212">
        <f t="shared" si="1335"/>
        <v>300</v>
      </c>
      <c r="F3243" s="1211">
        <f t="shared" si="1340"/>
        <v>425</v>
      </c>
      <c r="G3243" s="1215"/>
      <c r="H3243" s="1263"/>
      <c r="I3243" s="1291">
        <v>272250</v>
      </c>
    </row>
    <row r="3244" spans="1:9" ht="15" customHeight="1">
      <c r="A3244" s="1253">
        <v>45464</v>
      </c>
      <c r="B3244" s="1209">
        <v>4735</v>
      </c>
      <c r="C3244" s="1210">
        <v>32650</v>
      </c>
      <c r="D3244" s="1230">
        <v>32900</v>
      </c>
      <c r="E3244" s="1212">
        <f t="shared" si="1335"/>
        <v>250</v>
      </c>
      <c r="F3244" s="1211">
        <f t="shared" si="1340"/>
        <v>75</v>
      </c>
      <c r="G3244" s="1236"/>
      <c r="H3244" s="1306"/>
      <c r="I3244" s="1291">
        <v>273750</v>
      </c>
    </row>
    <row r="3245" spans="1:9" ht="15" customHeight="1">
      <c r="A3245" s="1253">
        <v>45467</v>
      </c>
      <c r="B3245" s="1209">
        <v>4735</v>
      </c>
      <c r="C3245" s="1210">
        <v>32595</v>
      </c>
      <c r="D3245" s="1230">
        <v>32850</v>
      </c>
      <c r="E3245" s="1212">
        <f t="shared" si="1335"/>
        <v>255</v>
      </c>
      <c r="F3245" s="1211">
        <f t="shared" ref="F3245:F3246" si="1341">C3245-C3244</f>
        <v>-55</v>
      </c>
      <c r="G3245" s="1215"/>
      <c r="H3245" s="1263"/>
      <c r="I3245" s="1291">
        <v>271000</v>
      </c>
    </row>
    <row r="3246" spans="1:9" ht="15" customHeight="1">
      <c r="A3246" s="1253">
        <v>45468</v>
      </c>
      <c r="B3246" s="1209">
        <v>4725</v>
      </c>
      <c r="C3246" s="1210">
        <v>32645</v>
      </c>
      <c r="D3246" s="1230">
        <v>32850</v>
      </c>
      <c r="E3246" s="1212">
        <f t="shared" si="1335"/>
        <v>205</v>
      </c>
      <c r="F3246" s="1211">
        <f t="shared" si="1341"/>
        <v>50</v>
      </c>
      <c r="G3246" s="1236"/>
      <c r="H3246" s="1306"/>
      <c r="I3246" s="1291">
        <v>271250</v>
      </c>
    </row>
    <row r="3247" spans="1:9" ht="15" customHeight="1">
      <c r="A3247" s="1253">
        <v>45469</v>
      </c>
      <c r="B3247" s="1209">
        <v>4780</v>
      </c>
      <c r="C3247" s="1210">
        <v>31560</v>
      </c>
      <c r="D3247" s="1230">
        <v>31850</v>
      </c>
      <c r="E3247" s="1212">
        <f t="shared" si="1335"/>
        <v>290</v>
      </c>
      <c r="F3247" s="1211">
        <f t="shared" ref="F3247" si="1342">C3247-C3246</f>
        <v>-1085</v>
      </c>
      <c r="G3247" s="1236"/>
      <c r="H3247" s="1306"/>
      <c r="I3247" s="1291">
        <v>263250</v>
      </c>
    </row>
    <row r="3248" spans="1:9" ht="15" customHeight="1">
      <c r="A3248" s="1253">
        <v>45470</v>
      </c>
      <c r="B3248" s="1209">
        <v>4780</v>
      </c>
      <c r="C3248" s="1210">
        <v>32085</v>
      </c>
      <c r="D3248" s="1230">
        <v>32275</v>
      </c>
      <c r="E3248" s="1212">
        <f t="shared" si="1335"/>
        <v>190</v>
      </c>
      <c r="F3248" s="1211">
        <f t="shared" ref="F3248" si="1343">C3248-C3247</f>
        <v>525</v>
      </c>
      <c r="G3248" s="1236"/>
      <c r="H3248" s="1306"/>
      <c r="I3248" s="1291">
        <v>267750</v>
      </c>
    </row>
    <row r="3249" spans="1:10" ht="15" customHeight="1" thickBot="1">
      <c r="A3249" s="1254">
        <v>45471</v>
      </c>
      <c r="B3249" s="1255">
        <v>4770</v>
      </c>
      <c r="C3249" s="1256">
        <v>33000</v>
      </c>
      <c r="D3249" s="1257">
        <v>33200</v>
      </c>
      <c r="E3249" s="1258">
        <f t="shared" si="1335"/>
        <v>200</v>
      </c>
      <c r="F3249" s="1259">
        <f t="shared" ref="F3249" si="1344">C3249-C3248</f>
        <v>915</v>
      </c>
      <c r="G3249" s="1260">
        <f>AVERAGE($C$3230:C3249)</f>
        <v>32228.75</v>
      </c>
      <c r="H3249" s="1307">
        <f>AVERAGE($C$3123:C3249)</f>
        <v>29299.16</v>
      </c>
      <c r="I3249" s="1291">
        <v>270250</v>
      </c>
    </row>
    <row r="3250" spans="1:10" ht="15" customHeight="1">
      <c r="A3250" s="1252">
        <v>45474</v>
      </c>
      <c r="B3250" s="1245">
        <v>4750</v>
      </c>
      <c r="C3250" s="1246">
        <v>32840</v>
      </c>
      <c r="D3250" s="1247">
        <v>33050</v>
      </c>
      <c r="E3250" s="1248">
        <f t="shared" ref="E3250:E3289" si="1345">D3250-C3250</f>
        <v>210</v>
      </c>
      <c r="F3250" s="1249">
        <f t="shared" ref="F3250" si="1346">C3250-C3249</f>
        <v>-160</v>
      </c>
      <c r="G3250" s="1251"/>
      <c r="H3250" s="1305"/>
      <c r="I3250" s="1291">
        <v>274500</v>
      </c>
    </row>
    <row r="3251" spans="1:10" ht="15" customHeight="1">
      <c r="A3251" s="1253">
        <v>45475</v>
      </c>
      <c r="B3251" s="1209">
        <v>4725</v>
      </c>
      <c r="C3251" s="1210">
        <v>32900</v>
      </c>
      <c r="D3251" s="1230">
        <v>33150</v>
      </c>
      <c r="E3251" s="1212">
        <f t="shared" si="1345"/>
        <v>250</v>
      </c>
      <c r="F3251" s="1211">
        <f t="shared" ref="F3251" si="1347">C3251-C3250</f>
        <v>60</v>
      </c>
      <c r="G3251" s="1236"/>
      <c r="H3251" s="1306"/>
      <c r="I3251" s="1291">
        <v>273000</v>
      </c>
    </row>
    <row r="3252" spans="1:10" ht="15" customHeight="1">
      <c r="A3252" s="1253">
        <v>45476</v>
      </c>
      <c r="B3252" s="1209">
        <v>4575</v>
      </c>
      <c r="C3252" s="1210">
        <v>33100</v>
      </c>
      <c r="D3252" s="1230">
        <v>33275</v>
      </c>
      <c r="E3252" s="1212">
        <f t="shared" si="1345"/>
        <v>175</v>
      </c>
      <c r="F3252" s="1211">
        <f t="shared" ref="F3252" si="1348">C3252-C3251</f>
        <v>200</v>
      </c>
      <c r="G3252" s="1236"/>
      <c r="H3252" s="1306"/>
      <c r="I3252" s="1291">
        <v>271750</v>
      </c>
    </row>
    <row r="3253" spans="1:10" ht="15" customHeight="1">
      <c r="A3253" s="1253">
        <v>45477</v>
      </c>
      <c r="B3253" s="1209">
        <v>4565</v>
      </c>
      <c r="C3253" s="1210">
        <v>33225</v>
      </c>
      <c r="D3253" s="1230">
        <v>33250</v>
      </c>
      <c r="E3253" s="1212">
        <f t="shared" si="1345"/>
        <v>25</v>
      </c>
      <c r="F3253" s="1211">
        <f t="shared" ref="F3253:F3258" si="1349">C3253-C3252</f>
        <v>125</v>
      </c>
      <c r="G3253" s="1215"/>
      <c r="H3253" s="1263"/>
      <c r="I3253" s="1291">
        <v>276000</v>
      </c>
    </row>
    <row r="3254" spans="1:10" ht="15" customHeight="1">
      <c r="A3254" s="1253">
        <v>45478</v>
      </c>
      <c r="B3254" s="1209">
        <v>4570</v>
      </c>
      <c r="C3254" s="1210">
        <v>33595</v>
      </c>
      <c r="D3254" s="1230">
        <v>33625</v>
      </c>
      <c r="E3254" s="1212">
        <f t="shared" si="1345"/>
        <v>30</v>
      </c>
      <c r="F3254" s="1211">
        <f t="shared" si="1349"/>
        <v>370</v>
      </c>
      <c r="G3254" s="1215"/>
      <c r="H3254" s="1263"/>
      <c r="I3254" s="1291">
        <v>276000</v>
      </c>
    </row>
    <row r="3255" spans="1:10" ht="15" customHeight="1">
      <c r="A3255" s="1253">
        <v>45481</v>
      </c>
      <c r="B3255" s="1209">
        <v>4625</v>
      </c>
      <c r="C3255" s="1210">
        <v>34450</v>
      </c>
      <c r="D3255" s="1230">
        <v>34400</v>
      </c>
      <c r="E3255" s="1212">
        <f t="shared" si="1345"/>
        <v>-50</v>
      </c>
      <c r="F3255" s="1211">
        <f t="shared" si="1349"/>
        <v>855</v>
      </c>
      <c r="G3255" s="1215"/>
      <c r="H3255" s="1263"/>
      <c r="I3255" s="1291">
        <v>276000</v>
      </c>
    </row>
    <row r="3256" spans="1:10" ht="15" customHeight="1">
      <c r="A3256" s="1253">
        <v>45482</v>
      </c>
      <c r="B3256" s="1209">
        <v>4600</v>
      </c>
      <c r="C3256" s="1210">
        <v>34325</v>
      </c>
      <c r="D3256" s="1230">
        <v>34300</v>
      </c>
      <c r="E3256" s="1212">
        <f t="shared" si="1345"/>
        <v>-25</v>
      </c>
      <c r="F3256" s="1211">
        <f t="shared" si="1349"/>
        <v>-125</v>
      </c>
      <c r="G3256" s="1215"/>
      <c r="H3256" s="1263"/>
      <c r="I3256" s="1291">
        <v>275750</v>
      </c>
    </row>
    <row r="3257" spans="1:10" ht="15" customHeight="1">
      <c r="A3257" s="1253">
        <v>45483</v>
      </c>
      <c r="B3257" s="1209">
        <v>4450</v>
      </c>
      <c r="C3257" s="1210">
        <v>34900</v>
      </c>
      <c r="D3257" s="1230">
        <v>34700</v>
      </c>
      <c r="E3257" s="1212">
        <f t="shared" si="1345"/>
        <v>-200</v>
      </c>
      <c r="F3257" s="1211">
        <f t="shared" si="1349"/>
        <v>575</v>
      </c>
      <c r="G3257" s="1215"/>
      <c r="H3257" s="1263"/>
      <c r="I3257" s="1291">
        <v>278750</v>
      </c>
    </row>
    <row r="3258" spans="1:10" ht="15" customHeight="1">
      <c r="A3258" s="1253">
        <v>45484</v>
      </c>
      <c r="B3258" s="1209">
        <v>4440</v>
      </c>
      <c r="C3258" s="1210">
        <v>35600</v>
      </c>
      <c r="D3258" s="1230">
        <v>35350</v>
      </c>
      <c r="E3258" s="1212">
        <f t="shared" si="1345"/>
        <v>-250</v>
      </c>
      <c r="F3258" s="1211">
        <f t="shared" si="1349"/>
        <v>700</v>
      </c>
      <c r="G3258" s="1236"/>
      <c r="H3258" s="1306"/>
      <c r="I3258" s="1291">
        <v>281750</v>
      </c>
    </row>
    <row r="3259" spans="1:10" ht="15" customHeight="1">
      <c r="A3259" s="1253">
        <v>45485</v>
      </c>
      <c r="B3259" s="1209">
        <v>4440</v>
      </c>
      <c r="C3259" s="1210">
        <v>33950</v>
      </c>
      <c r="D3259" s="1230">
        <v>33955</v>
      </c>
      <c r="E3259" s="1212">
        <f t="shared" si="1345"/>
        <v>5</v>
      </c>
      <c r="F3259" s="1211">
        <f>C3259-C3258</f>
        <v>-1650</v>
      </c>
      <c r="G3259" s="1236"/>
      <c r="H3259" s="1306"/>
      <c r="I3259" s="1291">
        <v>275750</v>
      </c>
    </row>
    <row r="3260" spans="1:10" ht="15" customHeight="1">
      <c r="A3260" s="1253">
        <v>45488</v>
      </c>
      <c r="B3260" s="1209">
        <v>4440</v>
      </c>
      <c r="C3260" s="1210">
        <v>33600</v>
      </c>
      <c r="D3260" s="1230">
        <v>33785</v>
      </c>
      <c r="E3260" s="1212">
        <f t="shared" si="1345"/>
        <v>185</v>
      </c>
      <c r="F3260" s="1211">
        <f t="shared" ref="F3260" si="1350">C3260-C3259</f>
        <v>-350</v>
      </c>
      <c r="G3260" s="1236"/>
      <c r="H3260" s="1306"/>
      <c r="I3260" s="1291">
        <v>275750</v>
      </c>
    </row>
    <row r="3261" spans="1:10" ht="15" customHeight="1">
      <c r="A3261" s="1253">
        <v>45489</v>
      </c>
      <c r="B3261" s="1209">
        <v>4460</v>
      </c>
      <c r="C3261" s="1210">
        <v>32950</v>
      </c>
      <c r="D3261" s="1230">
        <v>33085</v>
      </c>
      <c r="E3261" s="1212">
        <f t="shared" si="1345"/>
        <v>135</v>
      </c>
      <c r="F3261" s="1211">
        <f t="shared" ref="F3261" si="1351">C3261-C3260</f>
        <v>-650</v>
      </c>
      <c r="G3261" s="1236"/>
      <c r="H3261" s="1306"/>
      <c r="I3261" s="1291">
        <v>272750</v>
      </c>
    </row>
    <row r="3262" spans="1:10" ht="15" customHeight="1">
      <c r="A3262" s="1253">
        <v>45490</v>
      </c>
      <c r="B3262" s="1209">
        <v>4455</v>
      </c>
      <c r="C3262" s="1210">
        <v>33300</v>
      </c>
      <c r="D3262" s="1230">
        <v>33360</v>
      </c>
      <c r="E3262" s="1212">
        <f t="shared" si="1345"/>
        <v>60</v>
      </c>
      <c r="F3262" s="1211">
        <f t="shared" ref="F3262:F3267" si="1352">C3262-C3261</f>
        <v>350</v>
      </c>
      <c r="G3262" s="1215"/>
      <c r="H3262" s="1263"/>
      <c r="I3262" s="1291">
        <v>274500</v>
      </c>
    </row>
    <row r="3263" spans="1:10" ht="15" customHeight="1">
      <c r="A3263" s="1253">
        <v>45491</v>
      </c>
      <c r="B3263" s="1209">
        <v>4505</v>
      </c>
      <c r="C3263" s="1210">
        <v>31700</v>
      </c>
      <c r="D3263" s="1230">
        <v>31800</v>
      </c>
      <c r="E3263" s="1212">
        <f t="shared" si="1345"/>
        <v>100</v>
      </c>
      <c r="F3263" s="1211">
        <f t="shared" si="1352"/>
        <v>-1600</v>
      </c>
      <c r="G3263" s="1215"/>
      <c r="H3263" s="1263"/>
      <c r="I3263" s="1291">
        <v>266500</v>
      </c>
    </row>
    <row r="3264" spans="1:10" ht="15" customHeight="1">
      <c r="A3264" s="1253">
        <v>45492</v>
      </c>
      <c r="B3264" s="1209">
        <v>4560</v>
      </c>
      <c r="C3264" s="1210">
        <v>30695</v>
      </c>
      <c r="D3264" s="1230">
        <v>30850</v>
      </c>
      <c r="E3264" s="1212">
        <f t="shared" si="1345"/>
        <v>155</v>
      </c>
      <c r="F3264" s="1211">
        <f t="shared" si="1352"/>
        <v>-1005</v>
      </c>
      <c r="G3264" s="1215"/>
      <c r="H3264" s="1263"/>
      <c r="I3264" s="1291">
        <v>262000</v>
      </c>
      <c r="J3264" s="414"/>
    </row>
    <row r="3265" spans="1:9" ht="15" customHeight="1">
      <c r="A3265" s="1253">
        <v>45495</v>
      </c>
      <c r="B3265" s="1209">
        <v>4570</v>
      </c>
      <c r="C3265" s="1210">
        <v>30200</v>
      </c>
      <c r="D3265" s="1230">
        <v>30375</v>
      </c>
      <c r="E3265" s="1212">
        <f t="shared" si="1345"/>
        <v>175</v>
      </c>
      <c r="F3265" s="1211">
        <f t="shared" si="1352"/>
        <v>-495</v>
      </c>
      <c r="G3265" s="1215"/>
      <c r="H3265" s="1263"/>
      <c r="I3265" s="1291">
        <v>260500</v>
      </c>
    </row>
    <row r="3266" spans="1:9" ht="15" customHeight="1">
      <c r="A3266" s="1253">
        <v>45496</v>
      </c>
      <c r="B3266" s="1209">
        <v>4590</v>
      </c>
      <c r="C3266" s="1210">
        <v>29050</v>
      </c>
      <c r="D3266" s="1230">
        <v>29110</v>
      </c>
      <c r="E3266" s="1212">
        <f t="shared" si="1345"/>
        <v>60</v>
      </c>
      <c r="F3266" s="1211">
        <f t="shared" si="1352"/>
        <v>-1150</v>
      </c>
      <c r="G3266" s="1215"/>
      <c r="H3266" s="1263"/>
      <c r="I3266" s="1291">
        <v>253000</v>
      </c>
    </row>
    <row r="3267" spans="1:9" ht="15" customHeight="1">
      <c r="A3267" s="1253">
        <v>45497</v>
      </c>
      <c r="B3267" s="1209">
        <v>4605</v>
      </c>
      <c r="C3267" s="1210">
        <v>30050</v>
      </c>
      <c r="D3267" s="1230">
        <v>30200</v>
      </c>
      <c r="E3267" s="1212">
        <f t="shared" si="1345"/>
        <v>150</v>
      </c>
      <c r="F3267" s="1211">
        <f t="shared" si="1352"/>
        <v>1000</v>
      </c>
      <c r="G3267" s="1236"/>
      <c r="H3267" s="1306"/>
      <c r="I3267" s="1291">
        <v>249250</v>
      </c>
    </row>
    <row r="3268" spans="1:9" ht="15" customHeight="1">
      <c r="A3268" s="1253">
        <v>45498</v>
      </c>
      <c r="B3268" s="1209">
        <v>4605</v>
      </c>
      <c r="C3268" s="1210">
        <v>29080</v>
      </c>
      <c r="D3268" s="1230">
        <v>29300</v>
      </c>
      <c r="E3268" s="1212">
        <f t="shared" si="1345"/>
        <v>220</v>
      </c>
      <c r="F3268" s="1211">
        <f t="shared" ref="F3268" si="1353">C3268-C3267</f>
        <v>-970</v>
      </c>
      <c r="G3268" s="1236"/>
      <c r="H3268" s="1306"/>
      <c r="I3268" s="1291">
        <v>249250</v>
      </c>
    </row>
    <row r="3269" spans="1:9" ht="15" customHeight="1">
      <c r="A3269" s="1253">
        <v>45499</v>
      </c>
      <c r="B3269" s="1209">
        <v>4605</v>
      </c>
      <c r="C3269" s="1210">
        <v>29410</v>
      </c>
      <c r="D3269" s="1230">
        <v>29600</v>
      </c>
      <c r="E3269" s="1212">
        <f t="shared" si="1345"/>
        <v>190</v>
      </c>
      <c r="F3269" s="1211">
        <f t="shared" ref="F3269" si="1354">C3269-C3268</f>
        <v>330</v>
      </c>
      <c r="G3269" s="1236"/>
      <c r="H3269" s="1306"/>
      <c r="I3269" s="1291">
        <v>250500</v>
      </c>
    </row>
    <row r="3270" spans="1:9" ht="15" customHeight="1">
      <c r="A3270" s="1253">
        <v>45502</v>
      </c>
      <c r="B3270" s="1209">
        <v>4605</v>
      </c>
      <c r="C3270" s="1210">
        <v>29155</v>
      </c>
      <c r="D3270" s="1230">
        <v>29350</v>
      </c>
      <c r="E3270" s="1212">
        <f t="shared" si="1345"/>
        <v>195</v>
      </c>
      <c r="F3270" s="1211">
        <f t="shared" ref="F3270" si="1355">C3270-C3269</f>
        <v>-255</v>
      </c>
      <c r="G3270" s="1236"/>
      <c r="H3270" s="1306"/>
      <c r="I3270" s="1291">
        <v>247750</v>
      </c>
    </row>
    <row r="3271" spans="1:9" ht="15" customHeight="1">
      <c r="A3271" s="1253">
        <v>45503</v>
      </c>
      <c r="B3271" s="1209">
        <v>4625</v>
      </c>
      <c r="C3271" s="1210">
        <v>28405</v>
      </c>
      <c r="D3271" s="1230">
        <v>28750</v>
      </c>
      <c r="E3271" s="1212">
        <f t="shared" si="1345"/>
        <v>345</v>
      </c>
      <c r="F3271" s="1211">
        <f t="shared" ref="F3271" si="1356">C3271-C3270</f>
        <v>-750</v>
      </c>
      <c r="G3271" s="1236"/>
      <c r="H3271" s="1306"/>
      <c r="I3271" s="1291">
        <v>246000</v>
      </c>
    </row>
    <row r="3272" spans="1:9" ht="15" customHeight="1" thickBot="1">
      <c r="A3272" s="1254">
        <v>45504</v>
      </c>
      <c r="B3272" s="1255">
        <v>4600</v>
      </c>
      <c r="C3272" s="1256">
        <v>29610</v>
      </c>
      <c r="D3272" s="1257">
        <v>30025</v>
      </c>
      <c r="E3272" s="1258">
        <f t="shared" si="1345"/>
        <v>415</v>
      </c>
      <c r="F3272" s="1259">
        <f t="shared" ref="F3272" si="1357">C3272-C3271</f>
        <v>1205</v>
      </c>
      <c r="G3272" s="1260">
        <f>AVERAGE($C$3250:C3272)</f>
        <v>32003.91304347826</v>
      </c>
      <c r="H3272" s="1307">
        <f>AVERAGE($C$3123:C3272)</f>
        <v>29719.493243243243</v>
      </c>
      <c r="I3272" s="1291">
        <v>248000</v>
      </c>
    </row>
    <row r="3273" spans="1:9" ht="15" customHeight="1">
      <c r="A3273" s="1252">
        <v>45505</v>
      </c>
      <c r="B3273" s="1245">
        <v>4700</v>
      </c>
      <c r="C3273" s="1246">
        <v>29635</v>
      </c>
      <c r="D3273" s="1247">
        <v>29900</v>
      </c>
      <c r="E3273" s="1248">
        <f t="shared" si="1345"/>
        <v>265</v>
      </c>
      <c r="F3273" s="1249">
        <f t="shared" ref="F3273:F3278" si="1358">C3273-C3272</f>
        <v>25</v>
      </c>
      <c r="G3273" s="1250"/>
      <c r="H3273" s="1308"/>
      <c r="I3273" s="1291">
        <v>251000</v>
      </c>
    </row>
    <row r="3274" spans="1:9" ht="15" customHeight="1">
      <c r="A3274" s="1253">
        <v>45506</v>
      </c>
      <c r="B3274" s="1209">
        <v>4720</v>
      </c>
      <c r="C3274" s="1210">
        <v>30200</v>
      </c>
      <c r="D3274" s="1230">
        <v>30350</v>
      </c>
      <c r="E3274" s="1212">
        <f t="shared" si="1345"/>
        <v>150</v>
      </c>
      <c r="F3274" s="1211">
        <f t="shared" si="1358"/>
        <v>565</v>
      </c>
      <c r="G3274" s="1215"/>
      <c r="H3274" s="1263"/>
      <c r="I3274" s="1291">
        <v>248700</v>
      </c>
    </row>
    <row r="3275" spans="1:9" ht="15" customHeight="1">
      <c r="A3275" s="1253">
        <v>45509</v>
      </c>
      <c r="B3275" s="1209">
        <v>4695</v>
      </c>
      <c r="C3275" s="1210">
        <v>28900</v>
      </c>
      <c r="D3275" s="1230">
        <v>28950</v>
      </c>
      <c r="E3275" s="1212">
        <f t="shared" si="1345"/>
        <v>50</v>
      </c>
      <c r="F3275" s="1211">
        <f t="shared" si="1358"/>
        <v>-1300</v>
      </c>
      <c r="G3275" s="1215"/>
      <c r="H3275" s="1263"/>
      <c r="I3275" s="1291">
        <v>249100</v>
      </c>
    </row>
    <row r="3276" spans="1:9" ht="15" customHeight="1">
      <c r="A3276" s="1253">
        <v>45510</v>
      </c>
      <c r="B3276" s="1209">
        <v>4695</v>
      </c>
      <c r="C3276" s="1210">
        <v>29400</v>
      </c>
      <c r="D3276" s="1230">
        <v>29575</v>
      </c>
      <c r="E3276" s="1212">
        <f t="shared" si="1345"/>
        <v>175</v>
      </c>
      <c r="F3276" s="1211">
        <f t="shared" si="1358"/>
        <v>500</v>
      </c>
      <c r="G3276" s="1215"/>
      <c r="H3276" s="1263"/>
      <c r="I3276" s="1291">
        <v>246000</v>
      </c>
    </row>
    <row r="3277" spans="1:9" ht="15" customHeight="1">
      <c r="A3277" s="1253">
        <v>45511</v>
      </c>
      <c r="B3277" s="1209">
        <v>4570</v>
      </c>
      <c r="C3277" s="1210">
        <v>29800</v>
      </c>
      <c r="D3277" s="1230">
        <v>29900</v>
      </c>
      <c r="E3277" s="1212">
        <f t="shared" si="1345"/>
        <v>100</v>
      </c>
      <c r="F3277" s="1211">
        <f t="shared" si="1358"/>
        <v>400</v>
      </c>
      <c r="G3277" s="1215"/>
      <c r="H3277" s="1263"/>
      <c r="I3277" s="1291">
        <v>247650</v>
      </c>
    </row>
    <row r="3278" spans="1:9" ht="15" customHeight="1">
      <c r="A3278" s="1253">
        <v>45512</v>
      </c>
      <c r="B3278" s="1209">
        <v>4535</v>
      </c>
      <c r="C3278" s="1210">
        <v>30125</v>
      </c>
      <c r="D3278" s="1230">
        <v>30075</v>
      </c>
      <c r="E3278" s="1212">
        <f t="shared" si="1345"/>
        <v>-50</v>
      </c>
      <c r="F3278" s="1211">
        <f t="shared" si="1358"/>
        <v>325</v>
      </c>
      <c r="G3278" s="1236"/>
      <c r="H3278" s="1306"/>
      <c r="I3278" s="1291">
        <v>246600</v>
      </c>
    </row>
    <row r="3279" spans="1:9" ht="15" customHeight="1">
      <c r="A3279" s="1253">
        <v>45513</v>
      </c>
      <c r="B3279" s="1209">
        <v>4535</v>
      </c>
      <c r="C3279" s="1210">
        <v>31900</v>
      </c>
      <c r="D3279" s="1230">
        <v>31800</v>
      </c>
      <c r="E3279" s="1212">
        <f t="shared" si="1345"/>
        <v>-100</v>
      </c>
      <c r="F3279" s="1211">
        <f t="shared" ref="F3279" si="1359">C3279-C3278</f>
        <v>1775</v>
      </c>
      <c r="G3279" s="1236"/>
      <c r="H3279" s="1306"/>
      <c r="I3279" s="1291">
        <v>257000</v>
      </c>
    </row>
    <row r="3280" spans="1:9" ht="15" customHeight="1">
      <c r="A3280" s="1253">
        <v>45516</v>
      </c>
      <c r="B3280" s="1209">
        <v>4510</v>
      </c>
      <c r="C3280" s="1210">
        <v>32010</v>
      </c>
      <c r="D3280" s="1230">
        <v>31900</v>
      </c>
      <c r="E3280" s="1212">
        <f t="shared" si="1345"/>
        <v>-110</v>
      </c>
      <c r="F3280" s="1211">
        <f t="shared" ref="F3280" si="1360">C3280-C3279</f>
        <v>110</v>
      </c>
      <c r="G3280" s="1236"/>
      <c r="H3280" s="1306"/>
      <c r="I3280" s="1291">
        <v>256700</v>
      </c>
    </row>
    <row r="3281" spans="1:9" ht="15" customHeight="1">
      <c r="A3281" s="1253">
        <v>45517</v>
      </c>
      <c r="B3281" s="1209">
        <v>4525</v>
      </c>
      <c r="C3281" s="1210">
        <v>31360</v>
      </c>
      <c r="D3281" s="1230">
        <v>31110</v>
      </c>
      <c r="E3281" s="1212">
        <f t="shared" si="1345"/>
        <v>-250</v>
      </c>
      <c r="F3281" s="1211">
        <f t="shared" ref="F3281:F3288" si="1361">C3281-C3280</f>
        <v>-650</v>
      </c>
      <c r="G3281" s="1215"/>
      <c r="H3281" s="1263"/>
      <c r="I3281" s="1291">
        <v>257600</v>
      </c>
    </row>
    <row r="3282" spans="1:9" ht="15" customHeight="1">
      <c r="A3282" s="1253">
        <v>45518</v>
      </c>
      <c r="B3282" s="1209">
        <v>4400</v>
      </c>
      <c r="C3282" s="1210">
        <v>31410</v>
      </c>
      <c r="D3282" s="1230">
        <v>31575</v>
      </c>
      <c r="E3282" s="1212">
        <f t="shared" si="1345"/>
        <v>165</v>
      </c>
      <c r="F3282" s="1211">
        <f t="shared" si="1361"/>
        <v>50</v>
      </c>
      <c r="G3282" s="1215"/>
      <c r="H3282" s="1263"/>
      <c r="I3282" s="1291"/>
    </row>
    <row r="3283" spans="1:9" ht="15" customHeight="1">
      <c r="A3283" s="1253">
        <v>45519</v>
      </c>
      <c r="B3283" s="1209">
        <v>4125</v>
      </c>
      <c r="C3283" s="1210">
        <v>31750</v>
      </c>
      <c r="D3283" s="1230">
        <v>31895</v>
      </c>
      <c r="E3283" s="1212">
        <f t="shared" si="1345"/>
        <v>145</v>
      </c>
      <c r="F3283" s="1211">
        <f t="shared" si="1361"/>
        <v>340</v>
      </c>
      <c r="G3283" s="1215"/>
      <c r="H3283" s="1263"/>
      <c r="I3283" s="1291">
        <v>256800</v>
      </c>
    </row>
    <row r="3284" spans="1:9" ht="15" customHeight="1">
      <c r="A3284" s="1253">
        <v>45520</v>
      </c>
      <c r="B3284" s="1209">
        <v>4140</v>
      </c>
      <c r="C3284" s="1210">
        <v>31560</v>
      </c>
      <c r="D3284" s="1230">
        <v>31650</v>
      </c>
      <c r="E3284" s="1212">
        <f t="shared" si="1345"/>
        <v>90</v>
      </c>
      <c r="F3284" s="1211">
        <f t="shared" si="1361"/>
        <v>-190</v>
      </c>
      <c r="G3284" s="1215"/>
      <c r="H3284" s="1263"/>
      <c r="I3284" s="1291">
        <v>263300</v>
      </c>
    </row>
    <row r="3285" spans="1:9" ht="15" customHeight="1">
      <c r="A3285" s="1253">
        <v>45523</v>
      </c>
      <c r="B3285" s="1209">
        <v>4140</v>
      </c>
      <c r="C3285" s="1210">
        <v>32410</v>
      </c>
      <c r="D3285" s="1230">
        <v>32475</v>
      </c>
      <c r="E3285" s="1212">
        <f t="shared" si="1345"/>
        <v>65</v>
      </c>
      <c r="F3285" s="1211">
        <f t="shared" si="1361"/>
        <v>850</v>
      </c>
      <c r="G3285" s="1215"/>
      <c r="H3285" s="1263"/>
      <c r="I3285" s="1291">
        <v>263300</v>
      </c>
    </row>
    <row r="3286" spans="1:9" ht="15" customHeight="1">
      <c r="A3286" s="1253">
        <v>45524</v>
      </c>
      <c r="B3286" s="1209">
        <v>4150</v>
      </c>
      <c r="C3286" s="1210">
        <v>32650</v>
      </c>
      <c r="D3286" s="1230">
        <v>32775</v>
      </c>
      <c r="E3286" s="1212">
        <f t="shared" si="1345"/>
        <v>125</v>
      </c>
      <c r="F3286" s="1211">
        <f t="shared" si="1361"/>
        <v>240</v>
      </c>
      <c r="G3286" s="1215"/>
      <c r="H3286" s="1263"/>
      <c r="I3286" s="1291">
        <v>263500</v>
      </c>
    </row>
    <row r="3287" spans="1:9" ht="15" customHeight="1">
      <c r="A3287" s="1253">
        <v>45525</v>
      </c>
      <c r="B3287" s="1209">
        <v>4230</v>
      </c>
      <c r="C3287" s="1210">
        <v>32535</v>
      </c>
      <c r="D3287" s="1230">
        <v>32700</v>
      </c>
      <c r="E3287" s="1212">
        <f t="shared" si="1345"/>
        <v>165</v>
      </c>
      <c r="F3287" s="1211">
        <f t="shared" si="1361"/>
        <v>-115</v>
      </c>
      <c r="G3287" s="1215"/>
      <c r="H3287" s="1263"/>
      <c r="I3287" s="1291">
        <v>263800</v>
      </c>
    </row>
    <row r="3288" spans="1:9" ht="15" customHeight="1">
      <c r="A3288" s="1253">
        <v>45526</v>
      </c>
      <c r="B3288" s="1209">
        <v>4470</v>
      </c>
      <c r="C3288" s="1210">
        <v>32755</v>
      </c>
      <c r="D3288" s="1230">
        <v>32850</v>
      </c>
      <c r="E3288" s="1212">
        <f t="shared" si="1345"/>
        <v>95</v>
      </c>
      <c r="F3288" s="1211">
        <f t="shared" si="1361"/>
        <v>220</v>
      </c>
      <c r="G3288" s="1236"/>
      <c r="H3288" s="1306"/>
      <c r="I3288" s="1291">
        <v>266000</v>
      </c>
    </row>
    <row r="3289" spans="1:9" ht="15" customHeight="1">
      <c r="A3289" s="1253">
        <v>45527</v>
      </c>
      <c r="B3289" s="1209">
        <v>4500</v>
      </c>
      <c r="C3289" s="1210">
        <v>32825</v>
      </c>
      <c r="D3289" s="1230">
        <v>32825</v>
      </c>
      <c r="E3289" s="1212">
        <f t="shared" si="1345"/>
        <v>0</v>
      </c>
      <c r="F3289" s="1211">
        <f t="shared" ref="F3289" si="1362">C3289-C3288</f>
        <v>70</v>
      </c>
      <c r="G3289" s="1236"/>
      <c r="H3289" s="1306"/>
      <c r="I3289" s="1291">
        <v>267500</v>
      </c>
    </row>
    <row r="3290" spans="1:9" ht="15" customHeight="1">
      <c r="A3290" s="1253">
        <v>45530</v>
      </c>
      <c r="B3290" s="1434"/>
      <c r="C3290" s="1434"/>
      <c r="D3290" s="1434"/>
      <c r="E3290" s="1434"/>
      <c r="F3290" s="1434"/>
      <c r="G3290" s="1434"/>
      <c r="H3290" s="1435"/>
      <c r="I3290" s="1291">
        <v>265700</v>
      </c>
    </row>
    <row r="3291" spans="1:9" ht="15" customHeight="1">
      <c r="A3291" s="1253">
        <v>45531</v>
      </c>
      <c r="B3291" s="1209">
        <v>4510</v>
      </c>
      <c r="C3291" s="1210">
        <v>33085</v>
      </c>
      <c r="D3291" s="1230">
        <v>33000</v>
      </c>
      <c r="E3291" s="1212">
        <f t="shared" ref="E3291:E3333" si="1363">D3291-C3291</f>
        <v>-85</v>
      </c>
      <c r="F3291" s="1211">
        <f t="shared" ref="F3291" si="1364">C3291-C3290</f>
        <v>33085</v>
      </c>
      <c r="G3291" s="1236"/>
      <c r="H3291" s="1306"/>
      <c r="I3291" s="1291">
        <v>265500</v>
      </c>
    </row>
    <row r="3292" spans="1:9" ht="15" customHeight="1">
      <c r="A3292" s="1253">
        <v>45532</v>
      </c>
      <c r="B3292" s="1209">
        <v>4570</v>
      </c>
      <c r="C3292" s="1210">
        <v>32475</v>
      </c>
      <c r="D3292" s="1230">
        <v>32400</v>
      </c>
      <c r="E3292" s="1212">
        <f t="shared" si="1363"/>
        <v>-75</v>
      </c>
      <c r="F3292" s="1211">
        <f t="shared" ref="F3292" si="1365">C3292-C3291</f>
        <v>-610</v>
      </c>
      <c r="G3292" s="1236"/>
      <c r="H3292" s="1306"/>
      <c r="I3292" s="1291">
        <v>267300</v>
      </c>
    </row>
    <row r="3293" spans="1:9" ht="15" customHeight="1">
      <c r="A3293" s="1253">
        <v>45533</v>
      </c>
      <c r="B3293" s="1209">
        <v>4600</v>
      </c>
      <c r="C3293" s="1210">
        <v>32545</v>
      </c>
      <c r="D3293" s="1230">
        <v>32495</v>
      </c>
      <c r="E3293" s="1212">
        <f t="shared" si="1363"/>
        <v>-50</v>
      </c>
      <c r="F3293" s="1211">
        <f t="shared" ref="F3293:F3294" si="1366">C3293-C3292</f>
        <v>70</v>
      </c>
      <c r="G3293" s="1215"/>
      <c r="H3293" s="1263"/>
      <c r="I3293" s="1291">
        <v>262200</v>
      </c>
    </row>
    <row r="3294" spans="1:9" ht="15" customHeight="1" thickBot="1">
      <c r="A3294" s="1254">
        <v>45534</v>
      </c>
      <c r="B3294" s="1255">
        <v>4630</v>
      </c>
      <c r="C3294" s="1256">
        <v>32425</v>
      </c>
      <c r="D3294" s="1257">
        <v>32550</v>
      </c>
      <c r="E3294" s="1258">
        <f t="shared" si="1363"/>
        <v>125</v>
      </c>
      <c r="F3294" s="1259">
        <f t="shared" si="1366"/>
        <v>-120</v>
      </c>
      <c r="G3294" s="1260">
        <f>AVERAGE($C$3273:C3294)</f>
        <v>31512.142857142859</v>
      </c>
      <c r="H3294" s="1307">
        <f>AVERAGE($C$3123:C3294)</f>
        <v>29942.248520710058</v>
      </c>
      <c r="I3294" s="1291">
        <v>263500</v>
      </c>
    </row>
    <row r="3295" spans="1:9" ht="15" customHeight="1">
      <c r="A3295" s="1252">
        <v>45537</v>
      </c>
      <c r="B3295" s="1245">
        <v>4630</v>
      </c>
      <c r="C3295" s="1246">
        <v>31300</v>
      </c>
      <c r="D3295" s="1247">
        <v>31205</v>
      </c>
      <c r="E3295" s="1248">
        <f t="shared" si="1363"/>
        <v>-95</v>
      </c>
      <c r="F3295" s="1249">
        <f t="shared" ref="F3295:F3300" si="1367">C3295-C3294</f>
        <v>-1125</v>
      </c>
      <c r="G3295" s="1250"/>
      <c r="H3295" s="1308"/>
      <c r="I3295" s="1291">
        <v>258200</v>
      </c>
    </row>
    <row r="3296" spans="1:9" ht="15" customHeight="1">
      <c r="A3296" s="1253">
        <v>45538</v>
      </c>
      <c r="B3296" s="1209">
        <v>4585</v>
      </c>
      <c r="C3296" s="1210">
        <v>30875</v>
      </c>
      <c r="D3296" s="1230">
        <v>30900</v>
      </c>
      <c r="E3296" s="1212">
        <f t="shared" si="1363"/>
        <v>25</v>
      </c>
      <c r="F3296" s="1211">
        <f t="shared" si="1367"/>
        <v>-425</v>
      </c>
      <c r="G3296" s="1215"/>
      <c r="H3296" s="1263"/>
      <c r="I3296" s="1291">
        <v>257600</v>
      </c>
    </row>
    <row r="3297" spans="1:10" ht="15" customHeight="1">
      <c r="A3297" s="1253">
        <v>45539</v>
      </c>
      <c r="B3297" s="1209">
        <v>4625</v>
      </c>
      <c r="C3297" s="1210">
        <v>30200</v>
      </c>
      <c r="D3297" s="1230">
        <v>30300</v>
      </c>
      <c r="E3297" s="1212">
        <f t="shared" si="1363"/>
        <v>100</v>
      </c>
      <c r="F3297" s="1211">
        <f t="shared" si="1367"/>
        <v>-675</v>
      </c>
      <c r="G3297" s="1215"/>
      <c r="H3297" s="1263"/>
      <c r="I3297" s="1291">
        <v>252400</v>
      </c>
    </row>
    <row r="3298" spans="1:10" ht="15" customHeight="1">
      <c r="A3298" s="1253">
        <v>45540</v>
      </c>
      <c r="B3298" s="1209">
        <v>4635</v>
      </c>
      <c r="C3298" s="1210">
        <v>30300</v>
      </c>
      <c r="D3298" s="1230">
        <v>30150</v>
      </c>
      <c r="E3298" s="1212">
        <f t="shared" si="1363"/>
        <v>-150</v>
      </c>
      <c r="F3298" s="1211">
        <f t="shared" si="1367"/>
        <v>100</v>
      </c>
      <c r="G3298" s="1236"/>
      <c r="H3298" s="1306"/>
      <c r="I3298" s="1291">
        <v>249200</v>
      </c>
    </row>
    <row r="3299" spans="1:10" ht="15" customHeight="1">
      <c r="A3299" s="1253">
        <v>45541</v>
      </c>
      <c r="B3299" s="1209">
        <v>4685</v>
      </c>
      <c r="C3299" s="1210">
        <v>31500</v>
      </c>
      <c r="D3299" s="1230">
        <v>31450</v>
      </c>
      <c r="E3299" s="1212">
        <f t="shared" si="1363"/>
        <v>-50</v>
      </c>
      <c r="F3299" s="1211">
        <f t="shared" si="1367"/>
        <v>1200</v>
      </c>
      <c r="G3299" s="1236"/>
      <c r="H3299" s="1306"/>
      <c r="I3299" s="1291">
        <v>250500</v>
      </c>
    </row>
    <row r="3300" spans="1:10" ht="15" customHeight="1">
      <c r="A3300" s="1253">
        <v>45544</v>
      </c>
      <c r="B3300" s="1209">
        <v>4685</v>
      </c>
      <c r="C3300" s="1210">
        <v>31050</v>
      </c>
      <c r="D3300" s="1230">
        <v>31005</v>
      </c>
      <c r="E3300" s="1212">
        <f t="shared" si="1363"/>
        <v>-45</v>
      </c>
      <c r="F3300" s="1211">
        <f t="shared" si="1367"/>
        <v>-450</v>
      </c>
      <c r="G3300" s="1236"/>
      <c r="H3300" s="1306"/>
      <c r="I3300" s="1291">
        <v>250800</v>
      </c>
    </row>
    <row r="3301" spans="1:10" ht="15" customHeight="1">
      <c r="A3301" s="1253">
        <v>45545</v>
      </c>
      <c r="B3301" s="1209">
        <v>4660</v>
      </c>
      <c r="C3301" s="1210">
        <v>30750</v>
      </c>
      <c r="D3301" s="1230">
        <v>30850</v>
      </c>
      <c r="E3301" s="1212">
        <f t="shared" si="1363"/>
        <v>100</v>
      </c>
      <c r="F3301" s="1211">
        <f t="shared" ref="F3301" si="1368">C3301-C3300</f>
        <v>-300</v>
      </c>
      <c r="G3301" s="1236"/>
      <c r="H3301" s="1306"/>
      <c r="I3301" s="1291">
        <v>252600</v>
      </c>
    </row>
    <row r="3302" spans="1:10" ht="15" customHeight="1">
      <c r="A3302" s="1253">
        <v>45546</v>
      </c>
      <c r="B3302" s="1209">
        <v>4695</v>
      </c>
      <c r="C3302" s="1210">
        <v>31100</v>
      </c>
      <c r="D3302" s="1230">
        <v>31150</v>
      </c>
      <c r="E3302" s="1212">
        <f t="shared" si="1363"/>
        <v>50</v>
      </c>
      <c r="F3302" s="1211">
        <f t="shared" ref="F3302:F3309" si="1369">C3302-C3301</f>
        <v>350</v>
      </c>
      <c r="G3302" s="1215"/>
      <c r="H3302" s="1263"/>
      <c r="I3302" s="1291">
        <v>251500</v>
      </c>
    </row>
    <row r="3303" spans="1:10" ht="15" customHeight="1">
      <c r="A3303" s="1253">
        <v>45547</v>
      </c>
      <c r="B3303" s="1209">
        <v>4725</v>
      </c>
      <c r="C3303" s="1210">
        <v>31400</v>
      </c>
      <c r="D3303" s="1230">
        <v>31350</v>
      </c>
      <c r="E3303" s="1212">
        <f t="shared" si="1363"/>
        <v>-50</v>
      </c>
      <c r="F3303" s="1211">
        <f t="shared" si="1369"/>
        <v>300</v>
      </c>
      <c r="G3303" s="1215"/>
      <c r="H3303" s="1263"/>
      <c r="I3303" s="1433"/>
    </row>
    <row r="3304" spans="1:10" ht="15" customHeight="1">
      <c r="A3304" s="1253">
        <v>45548</v>
      </c>
      <c r="B3304" s="1209">
        <v>4725</v>
      </c>
      <c r="C3304" s="1210">
        <v>31750</v>
      </c>
      <c r="D3304" s="1230">
        <v>31900</v>
      </c>
      <c r="E3304" s="1212">
        <f t="shared" si="1363"/>
        <v>150</v>
      </c>
      <c r="F3304" s="1211">
        <f t="shared" si="1369"/>
        <v>350</v>
      </c>
      <c r="G3304" s="1215"/>
      <c r="H3304" s="1263"/>
      <c r="I3304" s="1433"/>
    </row>
    <row r="3305" spans="1:10" ht="15" customHeight="1">
      <c r="A3305" s="1253">
        <v>45551</v>
      </c>
      <c r="B3305" s="1209">
        <v>4785</v>
      </c>
      <c r="C3305" s="1210">
        <v>31895</v>
      </c>
      <c r="D3305" s="1230">
        <v>32000</v>
      </c>
      <c r="E3305" s="1212">
        <f t="shared" si="1363"/>
        <v>105</v>
      </c>
      <c r="F3305" s="1211">
        <f t="shared" si="1369"/>
        <v>145</v>
      </c>
      <c r="G3305" s="1215"/>
      <c r="H3305" s="1263"/>
      <c r="I3305" s="1433"/>
    </row>
    <row r="3306" spans="1:10" ht="15" customHeight="1">
      <c r="A3306" s="1253">
        <v>45552</v>
      </c>
      <c r="B3306" s="1209">
        <v>4770</v>
      </c>
      <c r="C3306" s="1210">
        <v>31750</v>
      </c>
      <c r="D3306" s="1230">
        <v>31875</v>
      </c>
      <c r="E3306" s="1212">
        <f t="shared" si="1363"/>
        <v>125</v>
      </c>
      <c r="F3306" s="1211">
        <f t="shared" si="1369"/>
        <v>-145</v>
      </c>
      <c r="G3306" s="1215"/>
      <c r="H3306" s="1263"/>
      <c r="I3306" s="1433"/>
    </row>
    <row r="3307" spans="1:10" ht="15" customHeight="1">
      <c r="A3307" s="1253">
        <v>45553</v>
      </c>
      <c r="B3307" s="1209">
        <v>4755</v>
      </c>
      <c r="C3307" s="1210">
        <v>31600</v>
      </c>
      <c r="D3307" s="1230">
        <v>31750</v>
      </c>
      <c r="E3307" s="1212">
        <f t="shared" si="1363"/>
        <v>150</v>
      </c>
      <c r="F3307" s="1211">
        <f t="shared" si="1369"/>
        <v>-150</v>
      </c>
      <c r="G3307" s="1215"/>
      <c r="H3307" s="1263"/>
      <c r="I3307" s="1291">
        <f>I3308-50</f>
        <v>256950</v>
      </c>
    </row>
    <row r="3308" spans="1:10" ht="15" customHeight="1">
      <c r="A3308" s="1253">
        <v>45554</v>
      </c>
      <c r="B3308" s="1209">
        <v>4790</v>
      </c>
      <c r="C3308" s="1210">
        <v>31925</v>
      </c>
      <c r="D3308" s="1230">
        <v>32025</v>
      </c>
      <c r="E3308" s="1212">
        <f t="shared" si="1363"/>
        <v>100</v>
      </c>
      <c r="F3308" s="1211">
        <f t="shared" si="1369"/>
        <v>325</v>
      </c>
      <c r="G3308" s="1215"/>
      <c r="H3308" s="1263"/>
      <c r="I3308" s="1291">
        <v>257000</v>
      </c>
    </row>
    <row r="3309" spans="1:10" ht="15" customHeight="1">
      <c r="A3309" s="1253">
        <v>45555</v>
      </c>
      <c r="B3309" s="1209">
        <v>4830</v>
      </c>
      <c r="C3309" s="1210">
        <v>32150</v>
      </c>
      <c r="D3309" s="1230">
        <v>32175</v>
      </c>
      <c r="E3309" s="1212">
        <f t="shared" si="1363"/>
        <v>25</v>
      </c>
      <c r="F3309" s="1211">
        <f t="shared" si="1369"/>
        <v>225</v>
      </c>
      <c r="G3309" s="1236"/>
      <c r="H3309" s="1306"/>
      <c r="I3309" s="1291">
        <v>261500</v>
      </c>
      <c r="J3309" s="414"/>
    </row>
    <row r="3310" spans="1:10" ht="15" customHeight="1">
      <c r="A3310" s="1253">
        <v>45558</v>
      </c>
      <c r="B3310" s="1209">
        <v>4795</v>
      </c>
      <c r="C3310" s="1210">
        <v>32050</v>
      </c>
      <c r="D3310" s="1230">
        <v>32150</v>
      </c>
      <c r="E3310" s="1212">
        <f t="shared" si="1363"/>
        <v>100</v>
      </c>
      <c r="F3310" s="1211">
        <f t="shared" ref="F3310" si="1370">C3310-C3309</f>
        <v>-100</v>
      </c>
      <c r="G3310" s="1236"/>
      <c r="H3310" s="1306"/>
      <c r="I3310" s="1291">
        <v>258400</v>
      </c>
    </row>
    <row r="3311" spans="1:10" ht="15" customHeight="1">
      <c r="A3311" s="1253">
        <v>45559</v>
      </c>
      <c r="B3311" s="1209">
        <v>4780</v>
      </c>
      <c r="C3311" s="1210">
        <v>32500</v>
      </c>
      <c r="D3311" s="1230">
        <v>32505</v>
      </c>
      <c r="E3311" s="1212">
        <f t="shared" si="1363"/>
        <v>5</v>
      </c>
      <c r="F3311" s="1211">
        <f t="shared" ref="F3311" si="1371">C3311-C3310</f>
        <v>450</v>
      </c>
      <c r="G3311" s="1236"/>
      <c r="H3311" s="1306"/>
      <c r="I3311" s="1291">
        <v>260000</v>
      </c>
    </row>
    <row r="3312" spans="1:10" ht="15" customHeight="1">
      <c r="A3312" s="1253">
        <v>45560</v>
      </c>
      <c r="B3312" s="1209">
        <v>4730</v>
      </c>
      <c r="C3312" s="1210">
        <v>32250</v>
      </c>
      <c r="D3312" s="1230">
        <v>32150</v>
      </c>
      <c r="E3312" s="1212">
        <f t="shared" si="1363"/>
        <v>-100</v>
      </c>
      <c r="F3312" s="1211">
        <f t="shared" ref="F3312" si="1372">C3312-C3311</f>
        <v>-250</v>
      </c>
      <c r="G3312" s="1236"/>
      <c r="H3312" s="1306"/>
      <c r="I3312" s="1291">
        <v>261600</v>
      </c>
    </row>
    <row r="3313" spans="1:9" ht="15" customHeight="1">
      <c r="A3313" s="1253">
        <v>45561</v>
      </c>
      <c r="B3313" s="1209">
        <v>4730</v>
      </c>
      <c r="C3313" s="1210">
        <v>32400</v>
      </c>
      <c r="D3313" s="1230">
        <v>32500</v>
      </c>
      <c r="E3313" s="1212">
        <f t="shared" si="1363"/>
        <v>100</v>
      </c>
      <c r="F3313" s="1211">
        <f t="shared" ref="F3313:F3314" si="1373">C3313-C3312</f>
        <v>150</v>
      </c>
      <c r="G3313" s="1215"/>
      <c r="H3313" s="1263"/>
      <c r="I3313" s="1291">
        <v>255400</v>
      </c>
    </row>
    <row r="3314" spans="1:9" ht="15" customHeight="1">
      <c r="A3314" s="1253">
        <v>45562</v>
      </c>
      <c r="B3314" s="1209">
        <v>4740</v>
      </c>
      <c r="C3314" s="1210">
        <v>32450</v>
      </c>
      <c r="D3314" s="1230">
        <v>32375</v>
      </c>
      <c r="E3314" s="1212">
        <f t="shared" si="1363"/>
        <v>-75</v>
      </c>
      <c r="F3314" s="1211">
        <f t="shared" si="1373"/>
        <v>50</v>
      </c>
      <c r="G3314" s="1215"/>
      <c r="H3314" s="1263"/>
      <c r="I3314" s="1291">
        <v>257500</v>
      </c>
    </row>
    <row r="3315" spans="1:9" ht="15" customHeight="1" thickBot="1">
      <c r="A3315" s="1254">
        <v>45565</v>
      </c>
      <c r="B3315" s="1255">
        <v>4660</v>
      </c>
      <c r="C3315" s="1256">
        <v>33325</v>
      </c>
      <c r="D3315" s="1257">
        <v>33305</v>
      </c>
      <c r="E3315" s="1258">
        <f t="shared" si="1363"/>
        <v>-20</v>
      </c>
      <c r="F3315" s="1259">
        <f t="shared" ref="F3315:F3320" si="1374">C3315-C3314</f>
        <v>875</v>
      </c>
      <c r="G3315" s="1260">
        <f>AVERAGE($C$3295:C3315)</f>
        <v>31643.809523809523</v>
      </c>
      <c r="H3315" s="1307">
        <f>AVERAGE($C$3123:C3315)</f>
        <v>30130.315789473683</v>
      </c>
      <c r="I3315" s="1291">
        <v>264100</v>
      </c>
    </row>
    <row r="3316" spans="1:9" ht="15" customHeight="1">
      <c r="A3316" s="1252">
        <v>45566</v>
      </c>
      <c r="B3316" s="1245">
        <v>4595</v>
      </c>
      <c r="C3316" s="1246">
        <v>33550</v>
      </c>
      <c r="D3316" s="1247">
        <v>33500</v>
      </c>
      <c r="E3316" s="1248">
        <f t="shared" si="1363"/>
        <v>-50</v>
      </c>
      <c r="F3316" s="1249">
        <f t="shared" si="1374"/>
        <v>225</v>
      </c>
      <c r="G3316" s="1251"/>
      <c r="H3316" s="1305"/>
      <c r="I3316" s="1433"/>
    </row>
    <row r="3317" spans="1:9" ht="15" customHeight="1">
      <c r="A3317" s="1253">
        <v>45567</v>
      </c>
      <c r="B3317" s="1209">
        <v>4570</v>
      </c>
      <c r="C3317" s="1210">
        <v>34275</v>
      </c>
      <c r="D3317" s="1230">
        <v>34300</v>
      </c>
      <c r="E3317" s="1212">
        <f t="shared" si="1363"/>
        <v>25</v>
      </c>
      <c r="F3317" s="1211">
        <f t="shared" si="1374"/>
        <v>725</v>
      </c>
      <c r="G3317" s="1215"/>
      <c r="H3317" s="1263"/>
      <c r="I3317" s="1433"/>
    </row>
    <row r="3318" spans="1:9" ht="15" customHeight="1">
      <c r="A3318" s="1253">
        <v>45568</v>
      </c>
      <c r="B3318" s="1209">
        <v>4565</v>
      </c>
      <c r="C3318" s="1210">
        <v>33810</v>
      </c>
      <c r="D3318" s="1230">
        <v>33825</v>
      </c>
      <c r="E3318" s="1212">
        <f t="shared" si="1363"/>
        <v>15</v>
      </c>
      <c r="F3318" s="1211">
        <f t="shared" si="1374"/>
        <v>-465</v>
      </c>
      <c r="G3318" s="1236"/>
      <c r="H3318" s="1306"/>
      <c r="I3318" s="1433"/>
    </row>
    <row r="3319" spans="1:9" ht="15" customHeight="1">
      <c r="A3319" s="1253">
        <v>45569</v>
      </c>
      <c r="B3319" s="1209">
        <v>4580</v>
      </c>
      <c r="C3319" s="1210">
        <v>33805</v>
      </c>
      <c r="D3319" s="1230">
        <v>33775</v>
      </c>
      <c r="E3319" s="1212">
        <f t="shared" si="1363"/>
        <v>-30</v>
      </c>
      <c r="F3319" s="1211">
        <f t="shared" si="1374"/>
        <v>-5</v>
      </c>
      <c r="G3319" s="1236"/>
      <c r="H3319" s="1306"/>
      <c r="I3319" s="1433"/>
    </row>
    <row r="3320" spans="1:9" ht="15" customHeight="1">
      <c r="A3320" s="1253">
        <v>45572</v>
      </c>
      <c r="B3320" s="1209">
        <v>4525</v>
      </c>
      <c r="C3320" s="1210">
        <v>34100</v>
      </c>
      <c r="D3320" s="1230">
        <v>34100</v>
      </c>
      <c r="E3320" s="1212">
        <f t="shared" si="1363"/>
        <v>0</v>
      </c>
      <c r="F3320" s="1211">
        <f t="shared" si="1374"/>
        <v>295</v>
      </c>
      <c r="G3320" s="1236"/>
      <c r="H3320" s="1306"/>
      <c r="I3320" s="1433"/>
    </row>
    <row r="3321" spans="1:9" ht="15" customHeight="1">
      <c r="A3321" s="1253">
        <v>45573</v>
      </c>
      <c r="B3321" s="1209">
        <v>4505</v>
      </c>
      <c r="C3321" s="1210">
        <v>33175</v>
      </c>
      <c r="D3321" s="1230">
        <v>33110</v>
      </c>
      <c r="E3321" s="1212">
        <f t="shared" si="1363"/>
        <v>-65</v>
      </c>
      <c r="F3321" s="1211">
        <f t="shared" ref="F3321" si="1375">C3321-C3320</f>
        <v>-925</v>
      </c>
      <c r="G3321" s="1236"/>
      <c r="H3321" s="1306"/>
      <c r="I3321" s="1291">
        <v>268000</v>
      </c>
    </row>
    <row r="3322" spans="1:9" ht="15" customHeight="1">
      <c r="A3322" s="1253">
        <v>45574</v>
      </c>
      <c r="B3322" s="1209">
        <v>4505</v>
      </c>
      <c r="C3322" s="1210">
        <v>32600</v>
      </c>
      <c r="D3322" s="1230">
        <v>32650</v>
      </c>
      <c r="E3322" s="1212">
        <f t="shared" si="1363"/>
        <v>50</v>
      </c>
      <c r="F3322" s="1211">
        <f t="shared" ref="F3322" si="1376">C3322-C3321</f>
        <v>-575</v>
      </c>
      <c r="G3322" s="1236"/>
      <c r="H3322" s="1306"/>
      <c r="I3322" s="1291">
        <v>265000</v>
      </c>
    </row>
    <row r="3323" spans="1:9" ht="15" customHeight="1">
      <c r="A3323" s="1253">
        <v>45575</v>
      </c>
      <c r="B3323" s="1209">
        <v>4505</v>
      </c>
      <c r="C3323" s="1210">
        <v>32560</v>
      </c>
      <c r="D3323" s="1230">
        <v>32800</v>
      </c>
      <c r="E3323" s="1212">
        <f t="shared" si="1363"/>
        <v>240</v>
      </c>
      <c r="F3323" s="1211">
        <f t="shared" ref="F3323" si="1377">C3323-C3322</f>
        <v>-40</v>
      </c>
      <c r="G3323" s="1236"/>
      <c r="H3323" s="1306"/>
      <c r="I3323" s="1291">
        <v>264700</v>
      </c>
    </row>
    <row r="3324" spans="1:9" ht="15" customHeight="1">
      <c r="A3324" s="1253">
        <v>45576</v>
      </c>
      <c r="B3324" s="1209">
        <v>4585</v>
      </c>
      <c r="C3324" s="1210">
        <v>33150</v>
      </c>
      <c r="D3324" s="1230">
        <v>33300</v>
      </c>
      <c r="E3324" s="1212">
        <f t="shared" si="1363"/>
        <v>150</v>
      </c>
      <c r="F3324" s="1211">
        <f t="shared" ref="F3324:F3327" si="1378">C3324-C3323</f>
        <v>590</v>
      </c>
      <c r="G3324" s="1236"/>
      <c r="H3324" s="1306"/>
      <c r="I3324" s="1291">
        <v>268000</v>
      </c>
    </row>
    <row r="3325" spans="1:9" ht="15" customHeight="1">
      <c r="A3325" s="1253">
        <v>45579</v>
      </c>
      <c r="B3325" s="1209">
        <v>4535</v>
      </c>
      <c r="C3325" s="1210">
        <v>32500</v>
      </c>
      <c r="D3325" s="1230">
        <v>32750</v>
      </c>
      <c r="E3325" s="1212">
        <f t="shared" si="1363"/>
        <v>250</v>
      </c>
      <c r="F3325" s="1211">
        <f t="shared" si="1378"/>
        <v>-650</v>
      </c>
      <c r="G3325" s="1215"/>
      <c r="H3325" s="1263"/>
      <c r="I3325" s="1291">
        <v>265900</v>
      </c>
    </row>
    <row r="3326" spans="1:9" ht="15" customHeight="1">
      <c r="A3326" s="1253">
        <v>45580</v>
      </c>
      <c r="B3326" s="1209">
        <v>4520</v>
      </c>
      <c r="C3326" s="1210">
        <v>31900</v>
      </c>
      <c r="D3326" s="1230">
        <v>32055</v>
      </c>
      <c r="E3326" s="1212">
        <f t="shared" si="1363"/>
        <v>155</v>
      </c>
      <c r="F3326" s="1211">
        <f t="shared" si="1378"/>
        <v>-600</v>
      </c>
      <c r="G3326" s="1215"/>
      <c r="H3326" s="1263"/>
      <c r="I3326" s="1291">
        <v>264800</v>
      </c>
    </row>
    <row r="3327" spans="1:9" ht="15" customHeight="1">
      <c r="A3327" s="1253">
        <v>45581</v>
      </c>
      <c r="B3327" s="1209">
        <v>4595</v>
      </c>
      <c r="C3327" s="1210">
        <v>32500</v>
      </c>
      <c r="D3327" s="1230">
        <v>32655</v>
      </c>
      <c r="E3327" s="1212">
        <f t="shared" si="1363"/>
        <v>155</v>
      </c>
      <c r="F3327" s="1211">
        <f t="shared" si="1378"/>
        <v>600</v>
      </c>
      <c r="G3327" s="1236"/>
      <c r="H3327" s="1306"/>
      <c r="I3327" s="1291">
        <v>266300</v>
      </c>
    </row>
    <row r="3328" spans="1:9" ht="15" customHeight="1">
      <c r="A3328" s="1253">
        <v>45582</v>
      </c>
      <c r="B3328" s="1209">
        <v>4595</v>
      </c>
      <c r="C3328" s="1210">
        <v>31310</v>
      </c>
      <c r="D3328" s="1230">
        <v>31380</v>
      </c>
      <c r="E3328" s="1212">
        <f t="shared" si="1363"/>
        <v>70</v>
      </c>
      <c r="F3328" s="1211">
        <f t="shared" ref="F3328" si="1379">C3328-C3327</f>
        <v>-1190</v>
      </c>
      <c r="G3328" s="1236"/>
      <c r="H3328" s="1306"/>
      <c r="I3328" s="1291">
        <v>264100</v>
      </c>
    </row>
    <row r="3329" spans="1:9" ht="15" customHeight="1">
      <c r="A3329" s="1253">
        <v>45583</v>
      </c>
      <c r="B3329" s="1209">
        <v>4770</v>
      </c>
      <c r="C3329" s="1210">
        <v>31500</v>
      </c>
      <c r="D3329" s="1230">
        <v>31700</v>
      </c>
      <c r="E3329" s="1212">
        <f t="shared" si="1363"/>
        <v>200</v>
      </c>
      <c r="F3329" s="1211">
        <f t="shared" ref="F3329" si="1380">C3329-C3328</f>
        <v>190</v>
      </c>
      <c r="G3329" s="1236"/>
      <c r="H3329" s="1306"/>
      <c r="I3329" s="1291">
        <v>256400</v>
      </c>
    </row>
    <row r="3330" spans="1:9" ht="15" customHeight="1">
      <c r="A3330" s="1253">
        <v>45586</v>
      </c>
      <c r="B3330" s="1209">
        <v>4760</v>
      </c>
      <c r="C3330" s="1210">
        <v>31395</v>
      </c>
      <c r="D3330" s="1230">
        <v>31600</v>
      </c>
      <c r="E3330" s="1212">
        <f t="shared" si="1363"/>
        <v>205</v>
      </c>
      <c r="F3330" s="1211">
        <f t="shared" ref="F3330" si="1381">C3330-C3329</f>
        <v>-105</v>
      </c>
      <c r="G3330" s="1236"/>
      <c r="H3330" s="1306"/>
      <c r="I3330" s="1291">
        <v>256400</v>
      </c>
    </row>
    <row r="3331" spans="1:9" ht="15" customHeight="1">
      <c r="A3331" s="1253">
        <v>45587</v>
      </c>
      <c r="B3331" s="1209">
        <v>4800</v>
      </c>
      <c r="C3331" s="1210">
        <v>30895</v>
      </c>
      <c r="D3331" s="1230">
        <v>31100</v>
      </c>
      <c r="E3331" s="1212">
        <f t="shared" si="1363"/>
        <v>205</v>
      </c>
      <c r="F3331" s="1211">
        <f t="shared" ref="F3331" si="1382">C3331-C3330</f>
        <v>-500</v>
      </c>
      <c r="G3331" s="1236"/>
      <c r="H3331" s="1306"/>
      <c r="I3331" s="1291">
        <v>253400</v>
      </c>
    </row>
    <row r="3332" spans="1:9" ht="15" customHeight="1">
      <c r="A3332" s="1253">
        <v>45588</v>
      </c>
      <c r="B3332" s="1209">
        <v>4810</v>
      </c>
      <c r="C3332" s="1210">
        <v>31000</v>
      </c>
      <c r="D3332" s="1230">
        <v>31035</v>
      </c>
      <c r="E3332" s="1212">
        <f t="shared" si="1363"/>
        <v>35</v>
      </c>
      <c r="F3332" s="1211">
        <f t="shared" ref="F3332" si="1383">C3332-C3331</f>
        <v>105</v>
      </c>
      <c r="G3332" s="1236"/>
      <c r="H3332" s="1306"/>
      <c r="I3332" s="1291">
        <v>254500</v>
      </c>
    </row>
    <row r="3333" spans="1:9" ht="15" customHeight="1">
      <c r="A3333" s="1303">
        <v>45589</v>
      </c>
      <c r="B3333" s="1239">
        <v>4840</v>
      </c>
      <c r="C3333" s="1240">
        <v>31250</v>
      </c>
      <c r="D3333" s="1241">
        <v>31375</v>
      </c>
      <c r="E3333" s="1242">
        <f t="shared" si="1363"/>
        <v>125</v>
      </c>
      <c r="F3333" s="1243">
        <f t="shared" ref="F3333" si="1384">C3333-C3332</f>
        <v>250</v>
      </c>
      <c r="G3333" s="1236"/>
      <c r="H3333" s="1306"/>
      <c r="I3333" s="1299">
        <v>255200</v>
      </c>
    </row>
    <row r="3334" spans="1:9" ht="15" customHeight="1">
      <c r="A3334" s="1262">
        <v>45590</v>
      </c>
      <c r="B3334" s="1209">
        <v>4730</v>
      </c>
      <c r="C3334" s="1210">
        <v>31175</v>
      </c>
      <c r="D3334" s="1233">
        <v>31275</v>
      </c>
      <c r="E3334" s="1212">
        <f t="shared" ref="E3334:E3335" si="1385">D3334-C3334</f>
        <v>100</v>
      </c>
      <c r="F3334" s="1232">
        <f t="shared" ref="F3334" si="1386">C3334-C3333</f>
        <v>-75</v>
      </c>
      <c r="G3334" s="1236"/>
      <c r="H3334" s="1306"/>
      <c r="I3334" s="1299">
        <v>254000</v>
      </c>
    </row>
    <row r="3335" spans="1:9" ht="15" customHeight="1">
      <c r="A3335" s="1315">
        <v>45593</v>
      </c>
      <c r="B3335" s="1209">
        <v>4705</v>
      </c>
      <c r="C3335" s="1210">
        <v>31350</v>
      </c>
      <c r="D3335" s="1312">
        <v>31600</v>
      </c>
      <c r="E3335" s="1212">
        <f t="shared" si="1385"/>
        <v>250</v>
      </c>
      <c r="F3335" s="1313">
        <f t="shared" ref="F3335" si="1387">C3335-C3334</f>
        <v>175</v>
      </c>
      <c r="G3335" s="1237">
        <f>AVERAGE($C$3316:C3335)</f>
        <v>32390</v>
      </c>
      <c r="H3335" s="1314">
        <f>AVERAGE($C$3123:C3335)</f>
        <v>30345.523809523809</v>
      </c>
      <c r="I3335" s="268">
        <v>257700</v>
      </c>
    </row>
    <row r="3336" spans="1:9" ht="15" customHeight="1">
      <c r="B3336" s="81"/>
      <c r="C3336" s="160"/>
      <c r="D3336" s="228"/>
      <c r="E3336" s="125"/>
      <c r="F3336" s="159"/>
      <c r="I3336" s="268"/>
    </row>
    <row r="3337" spans="1:9" ht="15" customHeight="1">
      <c r="B3337" s="81"/>
      <c r="C3337" s="160"/>
      <c r="D3337" s="228"/>
      <c r="E3337" s="125"/>
      <c r="F3337" s="159"/>
      <c r="I3337" s="268"/>
    </row>
    <row r="3338" spans="1:9" ht="15" customHeight="1">
      <c r="B3338" s="81"/>
      <c r="C3338" s="160"/>
      <c r="D3338" s="228"/>
      <c r="E3338" s="125"/>
      <c r="F3338" s="159"/>
      <c r="I3338" s="268"/>
    </row>
    <row r="3339" spans="1:9" ht="15" customHeight="1">
      <c r="B3339" s="81"/>
      <c r="C3339" s="160"/>
      <c r="D3339" s="228"/>
      <c r="E3339" s="125"/>
      <c r="F3339" s="159"/>
      <c r="I3339" s="268"/>
    </row>
    <row r="3340" spans="1:9" ht="15" customHeight="1">
      <c r="B3340" s="81"/>
      <c r="C3340" s="160"/>
      <c r="D3340" s="228"/>
      <c r="E3340" s="125"/>
      <c r="F3340" s="159"/>
      <c r="I3340" s="268"/>
    </row>
    <row r="3341" spans="1:9" ht="15" customHeight="1">
      <c r="B3341" s="81"/>
      <c r="C3341" s="160"/>
      <c r="D3341" s="228"/>
      <c r="E3341" s="125"/>
      <c r="F3341" s="159"/>
      <c r="I3341" s="268"/>
    </row>
    <row r="3342" spans="1:9" ht="15" customHeight="1">
      <c r="B3342" s="81"/>
      <c r="C3342" s="160"/>
      <c r="D3342" s="228"/>
      <c r="E3342" s="125"/>
      <c r="F3342" s="159"/>
      <c r="I3342" s="268"/>
    </row>
    <row r="3343" spans="1:9" ht="15" customHeight="1">
      <c r="B3343" s="81"/>
      <c r="C3343" s="160"/>
      <c r="D3343" s="228"/>
      <c r="E3343" s="125"/>
      <c r="F3343" s="159"/>
      <c r="I3343" s="268"/>
    </row>
    <row r="3344" spans="1:9" ht="15" customHeight="1">
      <c r="B3344" s="81"/>
      <c r="C3344" s="160"/>
      <c r="D3344" s="228"/>
      <c r="E3344" s="125"/>
      <c r="F3344" s="159"/>
      <c r="I3344" s="268"/>
    </row>
    <row r="3345" spans="2:9" ht="15" customHeight="1">
      <c r="B3345" s="81"/>
      <c r="C3345" s="160"/>
      <c r="D3345" s="228"/>
      <c r="E3345" s="125"/>
      <c r="F3345" s="159"/>
      <c r="I3345" s="268"/>
    </row>
    <row r="3346" spans="2:9" ht="15" customHeight="1">
      <c r="B3346" s="81"/>
      <c r="C3346" s="160"/>
      <c r="D3346" s="228"/>
      <c r="E3346" s="125"/>
      <c r="F3346" s="159"/>
      <c r="I3346" s="268"/>
    </row>
    <row r="3347" spans="2:9" ht="15" customHeight="1">
      <c r="B3347" s="81"/>
      <c r="C3347" s="160"/>
      <c r="D3347" s="228"/>
      <c r="E3347" s="125"/>
      <c r="F3347" s="159"/>
      <c r="I3347" s="268"/>
    </row>
    <row r="3348" spans="2:9" ht="15" customHeight="1">
      <c r="B3348" s="81"/>
      <c r="C3348" s="160"/>
      <c r="D3348" s="228"/>
      <c r="E3348" s="125"/>
      <c r="F3348" s="159"/>
      <c r="I3348" s="268"/>
    </row>
    <row r="3349" spans="2:9" ht="15" customHeight="1">
      <c r="B3349" s="81"/>
      <c r="C3349" s="160"/>
      <c r="D3349" s="228"/>
      <c r="E3349" s="125"/>
      <c r="F3349" s="159"/>
      <c r="I3349" s="268"/>
    </row>
    <row r="3350" spans="2:9" ht="15" customHeight="1">
      <c r="B3350" s="81"/>
      <c r="C3350" s="160"/>
      <c r="D3350" s="228"/>
      <c r="E3350" s="125"/>
      <c r="F3350" s="159"/>
      <c r="I3350" s="268"/>
    </row>
    <row r="3351" spans="2:9" ht="15" customHeight="1">
      <c r="B3351" s="81"/>
      <c r="C3351" s="160"/>
      <c r="D3351" s="228"/>
      <c r="E3351" s="125"/>
      <c r="F3351" s="159"/>
      <c r="I3351" s="268"/>
    </row>
    <row r="3352" spans="2:9" ht="15" customHeight="1">
      <c r="B3352" s="81"/>
      <c r="C3352" s="160"/>
      <c r="D3352" s="228"/>
      <c r="E3352" s="125"/>
      <c r="F3352" s="159"/>
      <c r="I3352" s="268"/>
    </row>
    <row r="3353" spans="2:9" ht="15" customHeight="1">
      <c r="B3353" s="81"/>
      <c r="C3353" s="160"/>
      <c r="D3353" s="228"/>
      <c r="E3353" s="125"/>
      <c r="F3353" s="159"/>
      <c r="I3353" s="268"/>
    </row>
    <row r="3354" spans="2:9" ht="15" customHeight="1">
      <c r="B3354" s="81"/>
      <c r="C3354" s="160"/>
      <c r="D3354" s="228"/>
      <c r="E3354" s="125"/>
      <c r="F3354" s="159"/>
      <c r="I3354" s="268"/>
    </row>
    <row r="3355" spans="2:9" ht="15" customHeight="1">
      <c r="B3355" s="81"/>
      <c r="C3355" s="160"/>
      <c r="D3355" s="228"/>
      <c r="E3355" s="125"/>
      <c r="F3355" s="159"/>
      <c r="I3355" s="268"/>
    </row>
    <row r="3356" spans="2:9" ht="15" customHeight="1">
      <c r="B3356" s="81"/>
      <c r="C3356" s="160"/>
      <c r="D3356" s="228"/>
      <c r="E3356" s="125"/>
      <c r="F3356" s="159"/>
      <c r="I3356" s="268"/>
    </row>
    <row r="3357" spans="2:9" ht="15" customHeight="1">
      <c r="B3357" s="81"/>
      <c r="C3357" s="160"/>
      <c r="D3357" s="228"/>
      <c r="E3357" s="125"/>
      <c r="F3357" s="159"/>
      <c r="I3357" s="268"/>
    </row>
    <row r="3358" spans="2:9" ht="15" customHeight="1">
      <c r="B3358" s="81"/>
      <c r="C3358" s="160"/>
      <c r="D3358" s="228"/>
      <c r="E3358" s="125"/>
      <c r="F3358" s="159"/>
      <c r="I3358" s="268"/>
    </row>
    <row r="3359" spans="2:9" ht="15" customHeight="1">
      <c r="B3359" s="81"/>
      <c r="C3359" s="160"/>
      <c r="D3359" s="228"/>
      <c r="E3359" s="125"/>
      <c r="F3359" s="159"/>
      <c r="I3359" s="268"/>
    </row>
    <row r="3360" spans="2:9" ht="15" customHeight="1">
      <c r="B3360" s="81"/>
      <c r="C3360" s="160"/>
      <c r="D3360" s="228"/>
      <c r="E3360" s="125"/>
      <c r="F3360" s="159"/>
      <c r="I3360" s="268"/>
    </row>
    <row r="3361" spans="2:9" ht="15" customHeight="1">
      <c r="B3361" s="81"/>
      <c r="C3361" s="160"/>
      <c r="D3361" s="228"/>
      <c r="E3361" s="125"/>
      <c r="F3361" s="159"/>
      <c r="I3361" s="268"/>
    </row>
    <row r="3362" spans="2:9" ht="15" customHeight="1">
      <c r="B3362" s="81"/>
      <c r="C3362" s="160"/>
      <c r="D3362" s="228"/>
      <c r="E3362" s="125"/>
      <c r="F3362" s="159"/>
      <c r="I3362" s="268"/>
    </row>
    <row r="3363" spans="2:9" ht="15" customHeight="1">
      <c r="B3363" s="81"/>
      <c r="C3363" s="160"/>
      <c r="D3363" s="228"/>
      <c r="E3363" s="125"/>
      <c r="F3363" s="159"/>
      <c r="I3363" s="268"/>
    </row>
    <row r="3364" spans="2:9" ht="15" customHeight="1">
      <c r="B3364" s="81"/>
      <c r="C3364" s="160"/>
      <c r="D3364" s="228"/>
      <c r="E3364" s="125"/>
      <c r="F3364" s="159"/>
      <c r="I3364" s="268"/>
    </row>
    <row r="3365" spans="2:9" ht="15" customHeight="1">
      <c r="B3365" s="81"/>
      <c r="C3365" s="160"/>
      <c r="D3365" s="228"/>
      <c r="E3365" s="125"/>
      <c r="F3365" s="159"/>
      <c r="I3365" s="268"/>
    </row>
    <row r="3366" spans="2:9" ht="15" customHeight="1">
      <c r="B3366" s="81"/>
      <c r="C3366" s="160"/>
      <c r="D3366" s="228"/>
      <c r="E3366" s="125"/>
      <c r="F3366" s="159"/>
      <c r="I3366" s="268"/>
    </row>
    <row r="3367" spans="2:9" ht="15" customHeight="1">
      <c r="B3367" s="81"/>
      <c r="C3367" s="160"/>
      <c r="D3367" s="228"/>
      <c r="E3367" s="125"/>
      <c r="F3367" s="159"/>
      <c r="I3367" s="268"/>
    </row>
    <row r="3368" spans="2:9" ht="15" customHeight="1">
      <c r="B3368" s="81"/>
      <c r="C3368" s="160"/>
      <c r="D3368" s="228"/>
      <c r="E3368" s="125"/>
      <c r="F3368" s="159"/>
      <c r="I3368" s="268"/>
    </row>
    <row r="3369" spans="2:9" ht="15" customHeight="1">
      <c r="B3369" s="81"/>
      <c r="C3369" s="160"/>
      <c r="D3369" s="228"/>
      <c r="E3369" s="125"/>
      <c r="F3369" s="159"/>
      <c r="I3369" s="268"/>
    </row>
    <row r="3370" spans="2:9" ht="15" customHeight="1">
      <c r="B3370" s="81"/>
      <c r="C3370" s="160"/>
      <c r="D3370" s="228"/>
      <c r="E3370" s="125"/>
      <c r="F3370" s="159"/>
      <c r="I3370" s="268"/>
    </row>
    <row r="3371" spans="2:9" ht="15" customHeight="1">
      <c r="B3371" s="81"/>
      <c r="C3371" s="160"/>
      <c r="D3371" s="228"/>
      <c r="E3371" s="125"/>
      <c r="F3371" s="159"/>
      <c r="I3371" s="268"/>
    </row>
    <row r="3372" spans="2:9" ht="15" customHeight="1">
      <c r="B3372" s="81"/>
      <c r="C3372" s="160"/>
      <c r="D3372" s="228"/>
      <c r="E3372" s="125"/>
      <c r="F3372" s="159"/>
      <c r="I3372" s="268"/>
    </row>
    <row r="3373" spans="2:9" ht="15" customHeight="1">
      <c r="B3373" s="81"/>
      <c r="C3373" s="160"/>
      <c r="D3373" s="228"/>
      <c r="E3373" s="125"/>
      <c r="F3373" s="159"/>
      <c r="I3373" s="268"/>
    </row>
    <row r="3374" spans="2:9" ht="15" customHeight="1">
      <c r="B3374" s="81"/>
      <c r="C3374" s="160"/>
      <c r="D3374" s="228"/>
      <c r="E3374" s="125"/>
      <c r="F3374" s="159"/>
      <c r="I3374" s="268"/>
    </row>
    <row r="3375" spans="2:9" ht="15" customHeight="1">
      <c r="B3375" s="81"/>
      <c r="C3375" s="160"/>
      <c r="D3375" s="228"/>
      <c r="E3375" s="125"/>
      <c r="F3375" s="159"/>
      <c r="I3375" s="268"/>
    </row>
    <row r="3376" spans="2:9" ht="15" customHeight="1">
      <c r="B3376" s="81"/>
      <c r="C3376" s="160"/>
      <c r="D3376" s="228"/>
      <c r="E3376" s="125"/>
      <c r="F3376" s="159"/>
      <c r="I3376" s="268"/>
    </row>
    <row r="3377" spans="2:9" ht="15" customHeight="1">
      <c r="B3377" s="81"/>
      <c r="C3377" s="160"/>
      <c r="D3377" s="228"/>
      <c r="E3377" s="125"/>
      <c r="F3377" s="159"/>
      <c r="I3377" s="268"/>
    </row>
    <row r="3378" spans="2:9" ht="15" customHeight="1">
      <c r="B3378" s="81"/>
      <c r="C3378" s="160"/>
      <c r="D3378" s="228"/>
      <c r="E3378" s="125"/>
      <c r="F3378" s="159"/>
      <c r="I3378" s="268"/>
    </row>
    <row r="3379" spans="2:9" ht="15" customHeight="1">
      <c r="B3379" s="81"/>
      <c r="C3379" s="160"/>
      <c r="D3379" s="228"/>
      <c r="E3379" s="125"/>
      <c r="F3379" s="159"/>
      <c r="I3379" s="268"/>
    </row>
    <row r="3380" spans="2:9" ht="15" customHeight="1">
      <c r="B3380" s="81"/>
      <c r="C3380" s="160"/>
      <c r="D3380" s="228"/>
      <c r="E3380" s="125"/>
      <c r="F3380" s="159"/>
      <c r="I3380" s="268"/>
    </row>
    <row r="3381" spans="2:9" ht="15" customHeight="1">
      <c r="B3381" s="81"/>
      <c r="C3381" s="160"/>
      <c r="D3381" s="228"/>
      <c r="E3381" s="125"/>
      <c r="F3381" s="159"/>
      <c r="I3381" s="268"/>
    </row>
    <row r="3382" spans="2:9" ht="15" customHeight="1">
      <c r="B3382" s="81"/>
      <c r="C3382" s="160"/>
      <c r="D3382" s="228"/>
      <c r="E3382" s="125"/>
      <c r="F3382" s="159"/>
      <c r="I3382" s="268"/>
    </row>
    <row r="3383" spans="2:9" ht="15" customHeight="1">
      <c r="B3383" s="81"/>
      <c r="C3383" s="160"/>
      <c r="D3383" s="228"/>
      <c r="E3383" s="125"/>
      <c r="F3383" s="159"/>
      <c r="I3383" s="268"/>
    </row>
    <row r="3384" spans="2:9" ht="15" customHeight="1">
      <c r="B3384" s="81"/>
      <c r="C3384" s="160"/>
      <c r="D3384" s="228"/>
      <c r="E3384" s="125"/>
      <c r="F3384" s="159"/>
      <c r="I3384" s="268"/>
    </row>
    <row r="3385" spans="2:9" ht="15" customHeight="1">
      <c r="B3385" s="81"/>
      <c r="C3385" s="160"/>
      <c r="D3385" s="228"/>
      <c r="E3385" s="125"/>
      <c r="F3385" s="159"/>
      <c r="I3385" s="268"/>
    </row>
    <row r="3386" spans="2:9" ht="15" customHeight="1">
      <c r="B3386" s="81"/>
      <c r="C3386" s="160"/>
      <c r="D3386" s="228"/>
      <c r="E3386" s="125"/>
      <c r="F3386" s="159"/>
      <c r="I3386" s="268"/>
    </row>
    <row r="3387" spans="2:9" ht="15" customHeight="1">
      <c r="B3387" s="81"/>
      <c r="C3387" s="160"/>
      <c r="D3387" s="228"/>
      <c r="E3387" s="125"/>
      <c r="F3387" s="159"/>
      <c r="I3387" s="268"/>
    </row>
    <row r="3388" spans="2:9" ht="15" customHeight="1">
      <c r="B3388" s="81"/>
      <c r="C3388" s="160"/>
      <c r="D3388" s="228"/>
      <c r="E3388" s="125"/>
      <c r="F3388" s="159"/>
      <c r="I3388" s="268"/>
    </row>
    <row r="3389" spans="2:9" ht="15" customHeight="1">
      <c r="B3389" s="81"/>
      <c r="C3389" s="160"/>
      <c r="D3389" s="228"/>
      <c r="E3389" s="125"/>
      <c r="F3389" s="159"/>
      <c r="I3389" s="268"/>
    </row>
    <row r="3390" spans="2:9" ht="15" customHeight="1">
      <c r="B3390" s="81"/>
      <c r="C3390" s="160"/>
      <c r="D3390" s="228"/>
      <c r="E3390" s="125"/>
      <c r="F3390" s="159"/>
      <c r="I3390" s="268"/>
    </row>
    <row r="3391" spans="2:9" ht="15" customHeight="1">
      <c r="B3391" s="81"/>
      <c r="C3391" s="160"/>
      <c r="D3391" s="228"/>
      <c r="E3391" s="125"/>
      <c r="F3391" s="159"/>
      <c r="I3391" s="268"/>
    </row>
    <row r="3392" spans="2:9" ht="15" customHeight="1">
      <c r="B3392" s="81"/>
      <c r="C3392" s="160"/>
      <c r="D3392" s="228"/>
      <c r="E3392" s="125"/>
      <c r="F3392" s="159"/>
      <c r="I3392" s="268"/>
    </row>
    <row r="3393" spans="2:9" ht="15" customHeight="1">
      <c r="B3393" s="81"/>
      <c r="C3393" s="160"/>
      <c r="D3393" s="228"/>
      <c r="E3393" s="125"/>
      <c r="F3393" s="159"/>
      <c r="I3393" s="268"/>
    </row>
    <row r="3394" spans="2:9" ht="15" customHeight="1">
      <c r="B3394" s="81"/>
      <c r="C3394" s="160"/>
      <c r="D3394" s="228"/>
      <c r="E3394" s="125"/>
      <c r="F3394" s="159"/>
      <c r="I3394" s="268"/>
    </row>
    <row r="3395" spans="2:9" ht="15" customHeight="1">
      <c r="B3395" s="81"/>
      <c r="C3395" s="160"/>
      <c r="D3395" s="228"/>
      <c r="E3395" s="125"/>
      <c r="F3395" s="159"/>
      <c r="I3395" s="268"/>
    </row>
    <row r="3396" spans="2:9" ht="15" customHeight="1">
      <c r="B3396" s="81"/>
      <c r="C3396" s="160"/>
      <c r="D3396" s="228"/>
      <c r="E3396" s="125"/>
      <c r="F3396" s="159"/>
      <c r="I3396" s="268"/>
    </row>
    <row r="3397" spans="2:9" ht="15" customHeight="1">
      <c r="B3397" s="81"/>
      <c r="C3397" s="160"/>
      <c r="D3397" s="228"/>
      <c r="E3397" s="125"/>
      <c r="F3397" s="159"/>
      <c r="I3397" s="268"/>
    </row>
    <row r="3398" spans="2:9" ht="15" customHeight="1">
      <c r="B3398" s="81"/>
      <c r="C3398" s="160"/>
      <c r="D3398" s="228"/>
      <c r="E3398" s="125"/>
      <c r="F3398" s="159"/>
      <c r="I3398" s="268"/>
    </row>
    <row r="3399" spans="2:9" ht="15" customHeight="1">
      <c r="B3399" s="81"/>
      <c r="C3399" s="160"/>
      <c r="D3399" s="228"/>
      <c r="E3399" s="125"/>
      <c r="F3399" s="159"/>
      <c r="I3399" s="268"/>
    </row>
    <row r="3400" spans="2:9" ht="15" customHeight="1">
      <c r="B3400" s="81"/>
      <c r="C3400" s="160"/>
      <c r="D3400" s="228"/>
      <c r="E3400" s="125"/>
      <c r="F3400" s="159"/>
      <c r="I3400" s="268"/>
    </row>
    <row r="3401" spans="2:9" ht="15" customHeight="1">
      <c r="B3401" s="81"/>
      <c r="C3401" s="160"/>
      <c r="D3401" s="228"/>
      <c r="E3401" s="125"/>
      <c r="F3401" s="159"/>
      <c r="I3401" s="268"/>
    </row>
    <row r="3402" spans="2:9" ht="15" customHeight="1">
      <c r="B3402" s="81"/>
      <c r="C3402" s="160"/>
      <c r="D3402" s="228"/>
      <c r="E3402" s="125"/>
      <c r="F3402" s="159"/>
      <c r="I3402" s="268"/>
    </row>
    <row r="3403" spans="2:9" ht="15" customHeight="1">
      <c r="B3403" s="81"/>
      <c r="C3403" s="160"/>
      <c r="D3403" s="228"/>
      <c r="E3403" s="125"/>
      <c r="F3403" s="159"/>
      <c r="I3403" s="268"/>
    </row>
    <row r="3404" spans="2:9" ht="15" customHeight="1">
      <c r="B3404" s="81"/>
      <c r="C3404" s="160"/>
      <c r="D3404" s="228"/>
      <c r="E3404" s="125"/>
      <c r="F3404" s="159"/>
      <c r="I3404" s="268"/>
    </row>
    <row r="3405" spans="2:9" ht="15" customHeight="1">
      <c r="B3405" s="81"/>
      <c r="C3405" s="160"/>
      <c r="D3405" s="228"/>
      <c r="E3405" s="125"/>
      <c r="F3405" s="159"/>
      <c r="I3405" s="268"/>
    </row>
    <row r="3406" spans="2:9" ht="15" customHeight="1">
      <c r="B3406" s="81"/>
      <c r="C3406" s="160"/>
      <c r="D3406" s="228"/>
      <c r="E3406" s="125"/>
      <c r="F3406" s="159"/>
      <c r="I3406" s="268"/>
    </row>
    <row r="3407" spans="2:9" ht="15" customHeight="1">
      <c r="B3407" s="81"/>
      <c r="C3407" s="160"/>
      <c r="D3407" s="228"/>
      <c r="E3407" s="125"/>
      <c r="F3407" s="159"/>
      <c r="I3407" s="268"/>
    </row>
    <row r="3408" spans="2:9" ht="15" customHeight="1">
      <c r="B3408" s="81"/>
      <c r="C3408" s="160"/>
      <c r="D3408" s="228"/>
      <c r="E3408" s="125"/>
      <c r="F3408" s="159"/>
      <c r="I3408" s="268"/>
    </row>
    <row r="3409" spans="2:9" ht="15" customHeight="1">
      <c r="B3409" s="81"/>
      <c r="C3409" s="160"/>
      <c r="D3409" s="228"/>
      <c r="E3409" s="125"/>
      <c r="F3409" s="159"/>
      <c r="I3409" s="268"/>
    </row>
    <row r="3410" spans="2:9" ht="15" customHeight="1">
      <c r="B3410" s="81"/>
      <c r="C3410" s="160"/>
      <c r="D3410" s="228"/>
      <c r="E3410" s="125"/>
      <c r="F3410" s="159"/>
      <c r="I3410" s="268"/>
    </row>
    <row r="3411" spans="2:9" ht="15" customHeight="1">
      <c r="B3411" s="81"/>
      <c r="C3411" s="160"/>
      <c r="D3411" s="228"/>
      <c r="E3411" s="125"/>
      <c r="F3411" s="159"/>
      <c r="I3411" s="268"/>
    </row>
    <row r="3412" spans="2:9" ht="15" customHeight="1">
      <c r="B3412" s="81"/>
      <c r="C3412" s="160"/>
      <c r="D3412" s="228"/>
      <c r="E3412" s="125"/>
      <c r="F3412" s="159"/>
      <c r="I3412" s="268"/>
    </row>
    <row r="3413" spans="2:9" ht="15" customHeight="1">
      <c r="B3413" s="81"/>
      <c r="C3413" s="160"/>
      <c r="D3413" s="228"/>
      <c r="E3413" s="125"/>
      <c r="F3413" s="159"/>
      <c r="I3413" s="268"/>
    </row>
    <row r="3414" spans="2:9" ht="15" customHeight="1">
      <c r="B3414" s="81"/>
      <c r="C3414" s="160"/>
      <c r="D3414" s="228"/>
      <c r="E3414" s="125"/>
      <c r="F3414" s="159"/>
      <c r="I3414" s="268"/>
    </row>
    <row r="3415" spans="2:9" ht="15" customHeight="1">
      <c r="B3415" s="81"/>
      <c r="C3415" s="160"/>
      <c r="D3415" s="228"/>
      <c r="E3415" s="125"/>
      <c r="F3415" s="159"/>
      <c r="I3415" s="268"/>
    </row>
    <row r="3416" spans="2:9" ht="15" customHeight="1">
      <c r="B3416" s="81"/>
      <c r="C3416" s="160"/>
      <c r="D3416" s="228"/>
      <c r="E3416" s="125"/>
      <c r="F3416" s="159"/>
      <c r="I3416" s="268"/>
    </row>
    <row r="3417" spans="2:9" ht="15" customHeight="1">
      <c r="B3417" s="81"/>
      <c r="C3417" s="160"/>
      <c r="D3417" s="228"/>
      <c r="E3417" s="125"/>
      <c r="F3417" s="159"/>
      <c r="I3417" s="268"/>
    </row>
    <row r="3418" spans="2:9" ht="15" customHeight="1">
      <c r="B3418" s="81"/>
      <c r="C3418" s="160"/>
      <c r="D3418" s="228"/>
      <c r="E3418" s="125"/>
      <c r="F3418" s="159"/>
      <c r="I3418" s="268"/>
    </row>
    <row r="3419" spans="2:9" ht="15" customHeight="1">
      <c r="B3419" s="81"/>
      <c r="C3419" s="160"/>
      <c r="D3419" s="228"/>
      <c r="E3419" s="125"/>
      <c r="F3419" s="159"/>
      <c r="I3419" s="268"/>
    </row>
    <row r="3420" spans="2:9" ht="15" customHeight="1">
      <c r="B3420" s="81"/>
      <c r="C3420" s="160"/>
      <c r="D3420" s="228"/>
      <c r="E3420" s="125"/>
      <c r="F3420" s="159"/>
      <c r="I3420" s="268"/>
    </row>
    <row r="3421" spans="2:9" ht="15" customHeight="1">
      <c r="B3421" s="81"/>
      <c r="C3421" s="160"/>
      <c r="D3421" s="228"/>
      <c r="E3421" s="125"/>
      <c r="F3421" s="159"/>
      <c r="I3421" s="268"/>
    </row>
    <row r="3422" spans="2:9" ht="15" customHeight="1">
      <c r="B3422" s="81"/>
      <c r="C3422" s="160"/>
      <c r="D3422" s="228"/>
      <c r="E3422" s="125"/>
      <c r="F3422" s="159"/>
      <c r="I3422" s="268"/>
    </row>
    <row r="3423" spans="2:9" ht="15" customHeight="1">
      <c r="B3423" s="81"/>
      <c r="C3423" s="160"/>
      <c r="D3423" s="228"/>
      <c r="E3423" s="125"/>
      <c r="F3423" s="159"/>
      <c r="I3423" s="268"/>
    </row>
    <row r="3424" spans="2:9" ht="15" customHeight="1">
      <c r="B3424" s="81"/>
      <c r="C3424" s="160"/>
      <c r="D3424" s="228"/>
      <c r="E3424" s="125"/>
      <c r="F3424" s="159"/>
      <c r="I3424" s="268"/>
    </row>
    <row r="3425" spans="2:9" ht="15" customHeight="1">
      <c r="B3425" s="81"/>
      <c r="C3425" s="160"/>
      <c r="D3425" s="228"/>
      <c r="E3425" s="125"/>
      <c r="F3425" s="159"/>
      <c r="I3425" s="268"/>
    </row>
    <row r="3426" spans="2:9" ht="15" customHeight="1">
      <c r="B3426" s="81"/>
      <c r="C3426" s="160"/>
      <c r="D3426" s="228"/>
      <c r="E3426" s="125"/>
      <c r="F3426" s="159"/>
      <c r="I3426" s="268"/>
    </row>
    <row r="3427" spans="2:9" ht="15" customHeight="1">
      <c r="B3427" s="81"/>
      <c r="C3427" s="160"/>
      <c r="D3427" s="228"/>
      <c r="E3427" s="125"/>
      <c r="F3427" s="159"/>
      <c r="I3427" s="268"/>
    </row>
    <row r="3428" spans="2:9" ht="15" customHeight="1">
      <c r="B3428" s="81"/>
      <c r="C3428" s="160"/>
      <c r="D3428" s="228"/>
      <c r="E3428" s="125"/>
      <c r="F3428" s="159"/>
      <c r="I3428" s="268"/>
    </row>
    <row r="3429" spans="2:9" ht="15" customHeight="1">
      <c r="B3429" s="81"/>
      <c r="C3429" s="160"/>
      <c r="D3429" s="228"/>
      <c r="E3429" s="125"/>
      <c r="F3429" s="159"/>
      <c r="I3429" s="268"/>
    </row>
    <row r="3430" spans="2:9" ht="15" customHeight="1">
      <c r="B3430" s="81"/>
      <c r="C3430" s="160"/>
      <c r="D3430" s="228"/>
      <c r="E3430" s="125"/>
      <c r="F3430" s="159"/>
      <c r="I3430" s="268"/>
    </row>
    <row r="3431" spans="2:9" ht="15" customHeight="1">
      <c r="B3431" s="81"/>
      <c r="C3431" s="160"/>
      <c r="D3431" s="228"/>
      <c r="E3431" s="125"/>
      <c r="F3431" s="159"/>
      <c r="I3431" s="268"/>
    </row>
    <row r="3432" spans="2:9" ht="15" customHeight="1">
      <c r="B3432" s="81"/>
      <c r="C3432" s="160"/>
      <c r="D3432" s="228"/>
      <c r="E3432" s="125"/>
      <c r="F3432" s="159"/>
      <c r="I3432" s="268"/>
    </row>
    <row r="3433" spans="2:9" ht="15" customHeight="1">
      <c r="B3433" s="81"/>
      <c r="C3433" s="160"/>
      <c r="D3433" s="228"/>
      <c r="E3433" s="125"/>
      <c r="F3433" s="159"/>
      <c r="I3433" s="268"/>
    </row>
    <row r="3434" spans="2:9" ht="15" customHeight="1">
      <c r="B3434" s="81"/>
      <c r="C3434" s="160"/>
      <c r="D3434" s="228"/>
      <c r="E3434" s="125"/>
      <c r="F3434" s="159"/>
      <c r="I3434" s="268"/>
    </row>
    <row r="3435" spans="2:9" ht="15" customHeight="1">
      <c r="B3435" s="81"/>
      <c r="C3435" s="160"/>
      <c r="D3435" s="228"/>
      <c r="E3435" s="125"/>
      <c r="F3435" s="159"/>
      <c r="I3435" s="268"/>
    </row>
    <row r="3436" spans="2:9" ht="15" customHeight="1">
      <c r="B3436" s="81"/>
      <c r="C3436" s="160"/>
      <c r="D3436" s="228"/>
      <c r="E3436" s="125"/>
      <c r="F3436" s="159"/>
      <c r="I3436" s="268"/>
    </row>
    <row r="3437" spans="2:9" ht="15" customHeight="1">
      <c r="B3437" s="81"/>
      <c r="C3437" s="160"/>
      <c r="D3437" s="228"/>
      <c r="E3437" s="125"/>
      <c r="F3437" s="159"/>
      <c r="I3437" s="268"/>
    </row>
    <row r="3438" spans="2:9" ht="15" customHeight="1">
      <c r="B3438" s="81"/>
      <c r="C3438" s="160"/>
      <c r="D3438" s="228"/>
      <c r="E3438" s="125"/>
      <c r="F3438" s="159"/>
      <c r="I3438" s="268"/>
    </row>
    <row r="3439" spans="2:9" ht="15" customHeight="1">
      <c r="B3439" s="81"/>
      <c r="C3439" s="160"/>
      <c r="D3439" s="228"/>
      <c r="E3439" s="125"/>
      <c r="F3439" s="159"/>
      <c r="I3439" s="268"/>
    </row>
    <row r="3440" spans="2:9" ht="15" customHeight="1">
      <c r="B3440" s="81"/>
      <c r="C3440" s="160"/>
      <c r="D3440" s="228"/>
      <c r="E3440" s="125"/>
      <c r="F3440" s="159"/>
      <c r="I3440" s="268"/>
    </row>
    <row r="3441" spans="2:9" ht="15" customHeight="1">
      <c r="B3441" s="81"/>
      <c r="C3441" s="160"/>
      <c r="D3441" s="228"/>
      <c r="E3441" s="125"/>
      <c r="F3441" s="159"/>
      <c r="I3441" s="268"/>
    </row>
    <row r="3442" spans="2:9" ht="15" customHeight="1">
      <c r="B3442" s="81"/>
      <c r="C3442" s="160"/>
      <c r="D3442" s="228"/>
      <c r="E3442" s="125"/>
      <c r="F3442" s="159"/>
      <c r="I3442" s="268"/>
    </row>
    <row r="3443" spans="2:9" ht="15" customHeight="1">
      <c r="B3443" s="81"/>
      <c r="C3443" s="160"/>
      <c r="D3443" s="228"/>
      <c r="E3443" s="125"/>
      <c r="F3443" s="159"/>
      <c r="I3443" s="268"/>
    </row>
    <row r="3444" spans="2:9" ht="15" customHeight="1">
      <c r="B3444" s="81"/>
      <c r="C3444" s="160"/>
      <c r="D3444" s="228"/>
      <c r="E3444" s="125"/>
      <c r="F3444" s="159"/>
      <c r="I3444" s="268"/>
    </row>
    <row r="3445" spans="2:9" ht="15" customHeight="1">
      <c r="B3445" s="81"/>
      <c r="C3445" s="160"/>
      <c r="D3445" s="228"/>
      <c r="E3445" s="125"/>
      <c r="F3445" s="159"/>
      <c r="I3445" s="268"/>
    </row>
    <row r="3446" spans="2:9" ht="15" customHeight="1">
      <c r="B3446" s="81"/>
      <c r="C3446" s="160"/>
      <c r="D3446" s="228"/>
      <c r="E3446" s="125"/>
      <c r="F3446" s="159"/>
      <c r="I3446" s="268"/>
    </row>
    <row r="3447" spans="2:9" ht="15" customHeight="1">
      <c r="B3447" s="81"/>
      <c r="C3447" s="160"/>
      <c r="D3447" s="228"/>
      <c r="E3447" s="125"/>
      <c r="F3447" s="159"/>
      <c r="I3447" s="268"/>
    </row>
    <row r="3448" spans="2:9" ht="15" customHeight="1">
      <c r="B3448" s="81"/>
      <c r="C3448" s="160"/>
      <c r="D3448" s="228"/>
      <c r="E3448" s="125"/>
      <c r="F3448" s="159"/>
      <c r="I3448" s="268"/>
    </row>
    <row r="3449" spans="2:9" ht="15" customHeight="1">
      <c r="B3449" s="81"/>
      <c r="C3449" s="160"/>
      <c r="D3449" s="228"/>
      <c r="E3449" s="125"/>
      <c r="F3449" s="159"/>
      <c r="I3449" s="268"/>
    </row>
    <row r="3450" spans="2:9" ht="15" customHeight="1">
      <c r="B3450" s="81"/>
      <c r="C3450" s="160"/>
      <c r="D3450" s="228"/>
      <c r="E3450" s="125"/>
      <c r="F3450" s="159"/>
      <c r="I3450" s="268"/>
    </row>
    <row r="3451" spans="2:9" ht="15" customHeight="1">
      <c r="B3451" s="81"/>
      <c r="C3451" s="160"/>
      <c r="D3451" s="228"/>
      <c r="E3451" s="125"/>
      <c r="F3451" s="159"/>
      <c r="I3451" s="268"/>
    </row>
    <row r="3452" spans="2:9" ht="15" customHeight="1">
      <c r="B3452" s="81"/>
      <c r="C3452" s="160"/>
      <c r="D3452" s="228"/>
      <c r="E3452" s="125"/>
      <c r="F3452" s="159"/>
      <c r="I3452" s="268"/>
    </row>
    <row r="3453" spans="2:9" ht="15" customHeight="1">
      <c r="B3453" s="81"/>
      <c r="C3453" s="160"/>
      <c r="D3453" s="228"/>
      <c r="E3453" s="125"/>
      <c r="F3453" s="159"/>
      <c r="I3453" s="268"/>
    </row>
    <row r="3454" spans="2:9" ht="15" customHeight="1">
      <c r="B3454" s="81"/>
      <c r="C3454" s="160"/>
      <c r="D3454" s="228"/>
      <c r="E3454" s="125"/>
      <c r="F3454" s="159"/>
      <c r="I3454" s="268"/>
    </row>
    <row r="3455" spans="2:9" ht="15" customHeight="1">
      <c r="B3455" s="81"/>
      <c r="C3455" s="160"/>
      <c r="D3455" s="228"/>
      <c r="E3455" s="125"/>
      <c r="F3455" s="159"/>
      <c r="I3455" s="268"/>
    </row>
    <row r="3456" spans="2:9" ht="15" customHeight="1">
      <c r="B3456" s="81"/>
      <c r="C3456" s="160"/>
      <c r="D3456" s="228"/>
      <c r="E3456" s="125"/>
      <c r="F3456" s="159"/>
      <c r="I3456" s="268"/>
    </row>
    <row r="3457" spans="2:9" ht="15" customHeight="1">
      <c r="B3457" s="81"/>
      <c r="C3457" s="160"/>
      <c r="D3457" s="228"/>
      <c r="E3457" s="125"/>
      <c r="F3457" s="159"/>
      <c r="I3457" s="268"/>
    </row>
    <row r="3458" spans="2:9" ht="15" customHeight="1">
      <c r="B3458" s="81"/>
      <c r="C3458" s="160"/>
      <c r="D3458" s="228"/>
      <c r="E3458" s="125"/>
      <c r="F3458" s="159"/>
      <c r="I3458" s="268"/>
    </row>
    <row r="3459" spans="2:9" ht="15" customHeight="1">
      <c r="B3459" s="81"/>
      <c r="C3459" s="160"/>
      <c r="D3459" s="228"/>
      <c r="E3459" s="125"/>
      <c r="F3459" s="159"/>
      <c r="I3459" s="268"/>
    </row>
    <row r="3460" spans="2:9" ht="15" customHeight="1">
      <c r="B3460" s="81"/>
      <c r="C3460" s="160"/>
      <c r="D3460" s="228"/>
      <c r="E3460" s="125"/>
      <c r="F3460" s="159"/>
      <c r="I3460" s="268"/>
    </row>
    <row r="3461" spans="2:9" ht="15" customHeight="1">
      <c r="B3461" s="81"/>
      <c r="C3461" s="160"/>
      <c r="D3461" s="228"/>
      <c r="E3461" s="125"/>
      <c r="F3461" s="159"/>
      <c r="I3461" s="268"/>
    </row>
    <row r="3462" spans="2:9" ht="15" customHeight="1">
      <c r="B3462" s="81"/>
      <c r="C3462" s="160"/>
      <c r="D3462" s="228"/>
      <c r="E3462" s="125"/>
      <c r="F3462" s="159"/>
      <c r="I3462" s="268"/>
    </row>
    <row r="3463" spans="2:9" ht="15" customHeight="1">
      <c r="B3463" s="81"/>
      <c r="C3463" s="160"/>
      <c r="D3463" s="228"/>
      <c r="E3463" s="125"/>
      <c r="F3463" s="159"/>
      <c r="I3463" s="268"/>
    </row>
    <row r="3464" spans="2:9" ht="15" customHeight="1">
      <c r="B3464" s="81"/>
      <c r="C3464" s="160"/>
      <c r="D3464" s="228"/>
      <c r="E3464" s="125"/>
      <c r="F3464" s="159"/>
      <c r="I3464" s="268"/>
    </row>
    <row r="3465" spans="2:9" ht="15" customHeight="1">
      <c r="B3465" s="81"/>
      <c r="C3465" s="160"/>
      <c r="D3465" s="228"/>
      <c r="E3465" s="125"/>
      <c r="F3465" s="159"/>
      <c r="I3465" s="268"/>
    </row>
    <row r="3466" spans="2:9" ht="15" customHeight="1">
      <c r="B3466" s="81"/>
      <c r="C3466" s="160"/>
      <c r="D3466" s="228"/>
      <c r="E3466" s="125"/>
      <c r="F3466" s="159"/>
      <c r="I3466" s="268"/>
    </row>
    <row r="3467" spans="2:9" ht="15" customHeight="1">
      <c r="B3467" s="81"/>
      <c r="C3467" s="160"/>
      <c r="D3467" s="228"/>
      <c r="E3467" s="125"/>
      <c r="F3467" s="159"/>
      <c r="I3467" s="268"/>
    </row>
    <row r="3468" spans="2:9" ht="15" customHeight="1">
      <c r="B3468" s="81"/>
      <c r="C3468" s="160"/>
      <c r="D3468" s="228"/>
      <c r="E3468" s="125"/>
      <c r="F3468" s="159"/>
      <c r="I3468" s="268"/>
    </row>
    <row r="3469" spans="2:9" ht="15" customHeight="1">
      <c r="B3469" s="81"/>
      <c r="C3469" s="160"/>
      <c r="D3469" s="228"/>
      <c r="E3469" s="125"/>
      <c r="F3469" s="159"/>
      <c r="I3469" s="268"/>
    </row>
    <row r="3470" spans="2:9" ht="15" customHeight="1">
      <c r="B3470" s="81"/>
      <c r="C3470" s="160"/>
      <c r="D3470" s="228"/>
      <c r="E3470" s="125"/>
      <c r="F3470" s="159"/>
      <c r="I3470" s="268"/>
    </row>
    <row r="3471" spans="2:9" ht="15" customHeight="1">
      <c r="B3471" s="81"/>
      <c r="C3471" s="160"/>
      <c r="D3471" s="228"/>
      <c r="E3471" s="125"/>
      <c r="F3471" s="159"/>
      <c r="I3471" s="268"/>
    </row>
    <row r="3472" spans="2:9" ht="15" customHeight="1">
      <c r="B3472" s="81"/>
      <c r="C3472" s="160"/>
      <c r="D3472" s="228"/>
      <c r="E3472" s="125"/>
      <c r="F3472" s="159"/>
      <c r="I3472" s="268"/>
    </row>
    <row r="3473" spans="2:9" ht="15" customHeight="1">
      <c r="B3473" s="81"/>
      <c r="C3473" s="160"/>
      <c r="D3473" s="228"/>
      <c r="E3473" s="125"/>
      <c r="F3473" s="159"/>
      <c r="I3473" s="268"/>
    </row>
    <row r="3474" spans="2:9" ht="15" customHeight="1">
      <c r="B3474" s="81"/>
      <c r="C3474" s="160"/>
      <c r="D3474" s="228"/>
      <c r="E3474" s="125"/>
      <c r="F3474" s="159"/>
      <c r="I3474" s="268"/>
    </row>
    <row r="3475" spans="2:9" ht="15" customHeight="1">
      <c r="B3475" s="81"/>
      <c r="C3475" s="160"/>
      <c r="D3475" s="228"/>
      <c r="E3475" s="125"/>
      <c r="F3475" s="159"/>
      <c r="I3475" s="268"/>
    </row>
    <row r="3476" spans="2:9" ht="15" customHeight="1">
      <c r="B3476" s="81"/>
      <c r="C3476" s="160"/>
      <c r="D3476" s="228"/>
      <c r="E3476" s="125"/>
      <c r="F3476" s="159"/>
      <c r="I3476" s="268"/>
    </row>
    <row r="3477" spans="2:9" ht="15" customHeight="1">
      <c r="B3477" s="81"/>
      <c r="C3477" s="160"/>
      <c r="D3477" s="228"/>
      <c r="E3477" s="125"/>
      <c r="F3477" s="159"/>
      <c r="I3477" s="268"/>
    </row>
    <row r="3478" spans="2:9" ht="15" customHeight="1">
      <c r="B3478" s="81"/>
      <c r="C3478" s="160"/>
      <c r="D3478" s="228"/>
      <c r="E3478" s="125"/>
      <c r="F3478" s="159"/>
      <c r="I3478" s="268"/>
    </row>
    <row r="3479" spans="2:9" ht="15" customHeight="1">
      <c r="B3479" s="81"/>
      <c r="C3479" s="160"/>
      <c r="D3479" s="228"/>
      <c r="E3479" s="125"/>
      <c r="F3479" s="159"/>
      <c r="I3479" s="268"/>
    </row>
    <row r="3480" spans="2:9" ht="15" customHeight="1">
      <c r="B3480" s="81"/>
      <c r="C3480" s="160"/>
      <c r="D3480" s="228"/>
      <c r="E3480" s="125"/>
      <c r="F3480" s="159"/>
      <c r="I3480" s="268"/>
    </row>
    <row r="3481" spans="2:9" ht="15" customHeight="1">
      <c r="B3481" s="81"/>
      <c r="C3481" s="160"/>
      <c r="D3481" s="228"/>
      <c r="E3481" s="125"/>
      <c r="F3481" s="159"/>
      <c r="I3481" s="268"/>
    </row>
    <row r="3482" spans="2:9" ht="15" customHeight="1">
      <c r="B3482" s="81"/>
      <c r="C3482" s="160"/>
      <c r="D3482" s="228"/>
      <c r="E3482" s="125"/>
      <c r="F3482" s="159"/>
      <c r="I3482" s="268"/>
    </row>
    <row r="3483" spans="2:9" ht="15" customHeight="1">
      <c r="B3483" s="81"/>
      <c r="C3483" s="160"/>
      <c r="D3483" s="228"/>
      <c r="E3483" s="125"/>
      <c r="F3483" s="159"/>
      <c r="I3483" s="268"/>
    </row>
    <row r="3484" spans="2:9" ht="15" customHeight="1">
      <c r="B3484" s="81"/>
      <c r="C3484" s="160"/>
      <c r="D3484" s="228"/>
      <c r="E3484" s="125"/>
      <c r="F3484" s="159"/>
      <c r="I3484" s="268"/>
    </row>
    <row r="3485" spans="2:9" ht="15" customHeight="1">
      <c r="B3485" s="81"/>
      <c r="C3485" s="160"/>
      <c r="D3485" s="228"/>
      <c r="E3485" s="125"/>
      <c r="F3485" s="159"/>
      <c r="I3485" s="268"/>
    </row>
    <row r="3486" spans="2:9" ht="15" customHeight="1">
      <c r="B3486" s="81"/>
      <c r="C3486" s="160"/>
      <c r="D3486" s="228"/>
      <c r="E3486" s="125"/>
      <c r="F3486" s="159"/>
      <c r="I3486" s="268"/>
    </row>
    <row r="3487" spans="2:9" ht="15" customHeight="1">
      <c r="B3487" s="81"/>
      <c r="C3487" s="160"/>
      <c r="D3487" s="228"/>
      <c r="E3487" s="125"/>
      <c r="F3487" s="159"/>
      <c r="I3487" s="268"/>
    </row>
    <row r="3488" spans="2:9" ht="15" customHeight="1">
      <c r="B3488" s="81"/>
      <c r="C3488" s="160"/>
      <c r="D3488" s="228"/>
      <c r="E3488" s="125"/>
      <c r="F3488" s="159"/>
      <c r="I3488" s="268"/>
    </row>
    <row r="3489" spans="2:9" ht="15" customHeight="1">
      <c r="B3489" s="81"/>
      <c r="C3489" s="160"/>
      <c r="D3489" s="228"/>
      <c r="E3489" s="125"/>
      <c r="F3489" s="159"/>
      <c r="I3489" s="268"/>
    </row>
    <row r="3490" spans="2:9" ht="15" customHeight="1">
      <c r="B3490" s="81"/>
      <c r="C3490" s="160"/>
      <c r="D3490" s="228"/>
      <c r="E3490" s="125"/>
      <c r="F3490" s="159"/>
      <c r="I3490" s="268"/>
    </row>
    <row r="3491" spans="2:9" ht="15" customHeight="1">
      <c r="B3491" s="81"/>
      <c r="C3491" s="160"/>
      <c r="D3491" s="228"/>
      <c r="E3491" s="125"/>
      <c r="F3491" s="159"/>
      <c r="I3491" s="268"/>
    </row>
    <row r="3492" spans="2:9" ht="15" customHeight="1">
      <c r="B3492" s="81"/>
      <c r="C3492" s="160"/>
      <c r="D3492" s="228"/>
      <c r="E3492" s="125"/>
      <c r="F3492" s="159"/>
      <c r="I3492" s="268"/>
    </row>
    <row r="3493" spans="2:9" ht="15" customHeight="1">
      <c r="B3493" s="81"/>
      <c r="C3493" s="160"/>
      <c r="D3493" s="228"/>
      <c r="E3493" s="125"/>
      <c r="F3493" s="159"/>
      <c r="I3493" s="268"/>
    </row>
    <row r="3494" spans="2:9" ht="15" customHeight="1">
      <c r="B3494" s="81"/>
      <c r="C3494" s="160"/>
      <c r="D3494" s="228"/>
      <c r="E3494" s="125"/>
      <c r="F3494" s="159"/>
      <c r="I3494" s="268"/>
    </row>
    <row r="3495" spans="2:9" ht="15" customHeight="1">
      <c r="B3495" s="81"/>
      <c r="C3495" s="160"/>
      <c r="D3495" s="228"/>
      <c r="E3495" s="125"/>
      <c r="F3495" s="159"/>
      <c r="I3495" s="268"/>
    </row>
    <row r="3496" spans="2:9" ht="15" customHeight="1">
      <c r="B3496" s="81"/>
      <c r="C3496" s="160"/>
      <c r="D3496" s="228"/>
      <c r="E3496" s="125"/>
      <c r="F3496" s="159"/>
      <c r="I3496" s="268"/>
    </row>
    <row r="3497" spans="2:9" ht="15" customHeight="1">
      <c r="B3497" s="81"/>
      <c r="C3497" s="160"/>
      <c r="D3497" s="228"/>
      <c r="E3497" s="125"/>
      <c r="F3497" s="159"/>
      <c r="I3497" s="268"/>
    </row>
    <row r="3498" spans="2:9" ht="15" customHeight="1">
      <c r="B3498" s="81"/>
      <c r="C3498" s="160"/>
      <c r="D3498" s="228"/>
      <c r="E3498" s="125"/>
      <c r="F3498" s="159"/>
      <c r="I3498" s="268"/>
    </row>
    <row r="3499" spans="2:9" ht="15" customHeight="1">
      <c r="B3499" s="81"/>
      <c r="C3499" s="160"/>
      <c r="D3499" s="228"/>
      <c r="E3499" s="125"/>
      <c r="F3499" s="159"/>
      <c r="I3499" s="268"/>
    </row>
    <row r="3500" spans="2:9" ht="15" customHeight="1">
      <c r="B3500" s="81"/>
      <c r="C3500" s="160"/>
      <c r="D3500" s="228"/>
      <c r="E3500" s="125"/>
      <c r="F3500" s="159"/>
      <c r="I3500" s="268"/>
    </row>
    <row r="3501" spans="2:9" ht="15" customHeight="1">
      <c r="B3501" s="81"/>
      <c r="C3501" s="160"/>
      <c r="D3501" s="228"/>
      <c r="E3501" s="125"/>
      <c r="F3501" s="159"/>
      <c r="I3501" s="268"/>
    </row>
    <row r="3502" spans="2:9" ht="15" customHeight="1">
      <c r="B3502" s="81"/>
      <c r="C3502" s="160"/>
      <c r="D3502" s="228"/>
      <c r="E3502" s="125"/>
      <c r="F3502" s="159"/>
      <c r="I3502" s="268"/>
    </row>
    <row r="3503" spans="2:9" ht="15" customHeight="1">
      <c r="B3503" s="81"/>
      <c r="C3503" s="160"/>
      <c r="D3503" s="228"/>
      <c r="E3503" s="125"/>
      <c r="F3503" s="159"/>
      <c r="I3503" s="268"/>
    </row>
    <row r="3504" spans="2:9" ht="15" customHeight="1">
      <c r="B3504" s="81"/>
      <c r="C3504" s="160"/>
      <c r="D3504" s="228"/>
      <c r="E3504" s="125"/>
      <c r="F3504" s="159"/>
      <c r="I3504" s="268"/>
    </row>
    <row r="3505" spans="2:6" ht="15" customHeight="1">
      <c r="B3505" s="81"/>
      <c r="C3505" s="160"/>
      <c r="D3505" s="228"/>
      <c r="E3505" s="125"/>
      <c r="F3505" s="159"/>
    </row>
    <row r="3506" spans="2:6" ht="15" customHeight="1">
      <c r="B3506" s="81"/>
      <c r="C3506" s="160"/>
      <c r="D3506" s="228"/>
      <c r="E3506" s="125"/>
      <c r="F3506" s="159"/>
    </row>
  </sheetData>
  <mergeCells count="120">
    <mergeCell ref="I294:I298"/>
    <mergeCell ref="I349:I350"/>
    <mergeCell ref="I3303:I3306"/>
    <mergeCell ref="B3210:H3210"/>
    <mergeCell ref="I3151:I3156"/>
    <mergeCell ref="I2988:I2989"/>
    <mergeCell ref="B329:F329"/>
    <mergeCell ref="B328:F328"/>
    <mergeCell ref="B851:F852"/>
    <mergeCell ref="B522:F522"/>
    <mergeCell ref="C602:C603"/>
    <mergeCell ref="B2950:F2950"/>
    <mergeCell ref="B2934:F2934"/>
    <mergeCell ref="I2880:I2884"/>
    <mergeCell ref="B2860:F2861"/>
    <mergeCell ref="B1150:F1150"/>
    <mergeCell ref="I2950:I2952"/>
    <mergeCell ref="I960:I961"/>
    <mergeCell ref="I1323:I1325"/>
    <mergeCell ref="B1300:F1301"/>
    <mergeCell ref="I976:I977"/>
    <mergeCell ref="I1033:I1035"/>
    <mergeCell ref="I1069:I1074"/>
    <mergeCell ref="I1158:I1159"/>
    <mergeCell ref="I332:I333"/>
    <mergeCell ref="B521:F521"/>
    <mergeCell ref="I819:I823"/>
    <mergeCell ref="C693:D693"/>
    <mergeCell ref="B434:F434"/>
    <mergeCell ref="I452:I453"/>
    <mergeCell ref="I460:I464"/>
    <mergeCell ref="B781:F782"/>
    <mergeCell ref="I379:I381"/>
    <mergeCell ref="I548:I551"/>
    <mergeCell ref="B369:F369"/>
    <mergeCell ref="B354:F354"/>
    <mergeCell ref="I980:I985"/>
    <mergeCell ref="B2430:D2430"/>
    <mergeCell ref="B2713:F2714"/>
    <mergeCell ref="I1596:I1600"/>
    <mergeCell ref="I720:I725"/>
    <mergeCell ref="B1559:H1560"/>
    <mergeCell ref="B1215:F1215"/>
    <mergeCell ref="B1104:F1105"/>
    <mergeCell ref="B1130:F1130"/>
    <mergeCell ref="B872:F872"/>
    <mergeCell ref="B1041:F1041"/>
    <mergeCell ref="I2373:I2377"/>
    <mergeCell ref="B2340:F2341"/>
    <mergeCell ref="I2430:I2432"/>
    <mergeCell ref="B2409:D2410"/>
    <mergeCell ref="B957:F957"/>
    <mergeCell ref="B887:F887"/>
    <mergeCell ref="I1228:I1229"/>
    <mergeCell ref="I1240:I1244"/>
    <mergeCell ref="B1912:H1912"/>
    <mergeCell ref="B2605:D2605"/>
    <mergeCell ref="A2:A3"/>
    <mergeCell ref="C2:C3"/>
    <mergeCell ref="D2:D3"/>
    <mergeCell ref="F2:F3"/>
    <mergeCell ref="B4:F4"/>
    <mergeCell ref="B265:F265"/>
    <mergeCell ref="I265:I267"/>
    <mergeCell ref="I69:I71"/>
    <mergeCell ref="I19:I23"/>
    <mergeCell ref="B260:F260"/>
    <mergeCell ref="I4:I5"/>
    <mergeCell ref="B73:F74"/>
    <mergeCell ref="B94:F94"/>
    <mergeCell ref="B114:F115"/>
    <mergeCell ref="I199:I203"/>
    <mergeCell ref="G2:G3"/>
    <mergeCell ref="H2:H3"/>
    <mergeCell ref="E2:E3"/>
    <mergeCell ref="B174:F174"/>
    <mergeCell ref="B261:F261"/>
    <mergeCell ref="B2775:F2775"/>
    <mergeCell ref="I1369:I1370"/>
    <mergeCell ref="B2256:F2256"/>
    <mergeCell ref="I1631:I1632"/>
    <mergeCell ref="B2155:F2156"/>
    <mergeCell ref="B1992:F1992"/>
    <mergeCell ref="I2099:I2105"/>
    <mergeCell ref="B1901:H1902"/>
    <mergeCell ref="B1628:F1628"/>
    <mergeCell ref="B1627:F1627"/>
    <mergeCell ref="B1474:F1474"/>
    <mergeCell ref="B1653:F1653"/>
    <mergeCell ref="B1819:H1820"/>
    <mergeCell ref="B1733:F1733"/>
    <mergeCell ref="B2175:F2175"/>
    <mergeCell ref="B2515:D2515"/>
    <mergeCell ref="B2450:F2450"/>
    <mergeCell ref="B2600:D2601"/>
    <mergeCell ref="B1409:F1409"/>
    <mergeCell ref="A1:I1"/>
    <mergeCell ref="I3316:I3320"/>
    <mergeCell ref="B3290:H3290"/>
    <mergeCell ref="B3225:H3225"/>
    <mergeCell ref="I3207:I3209"/>
    <mergeCell ref="I3188:I3189"/>
    <mergeCell ref="B3035:H3035"/>
    <mergeCell ref="I1326:I1327"/>
    <mergeCell ref="B1389:F1389"/>
    <mergeCell ref="B1378:F1379"/>
    <mergeCell ref="B2970:F2970"/>
    <mergeCell ref="B2955:F2955"/>
    <mergeCell ref="B2935:F2935"/>
    <mergeCell ref="B2865:F2865"/>
    <mergeCell ref="I2800:I2804"/>
    <mergeCell ref="B1668:F1668"/>
    <mergeCell ref="I2170:I2172"/>
    <mergeCell ref="I2279:I2284"/>
    <mergeCell ref="B1927:H1927"/>
    <mergeCell ref="B2079:H2080"/>
    <mergeCell ref="B2186:F2186"/>
    <mergeCell ref="I2690:I2692"/>
    <mergeCell ref="B2690:D2690"/>
    <mergeCell ref="B2679:D2680"/>
  </mergeCells>
  <phoneticPr fontId="2" type="noConversion"/>
  <conditionalFormatting sqref="F2:F2429 F3232:F3238 F3316:F3317 F3336:F1048576">
    <cfRule type="cellIs" dxfId="448" priority="1279" operator="lessThan">
      <formula>0</formula>
    </cfRule>
  </conditionalFormatting>
  <conditionalFormatting sqref="F2431:F2449">
    <cfRule type="cellIs" dxfId="447" priority="1259" operator="lessThan">
      <formula>0</formula>
    </cfRule>
  </conditionalFormatting>
  <conditionalFormatting sqref="F2451:F2689">
    <cfRule type="cellIs" dxfId="446" priority="1215" operator="lessThan">
      <formula>0</formula>
    </cfRule>
  </conditionalFormatting>
  <conditionalFormatting sqref="F2691:F2712">
    <cfRule type="cellIs" dxfId="445" priority="1160" operator="lessThan">
      <formula>0</formula>
    </cfRule>
  </conditionalFormatting>
  <conditionalFormatting sqref="F2715:F2774">
    <cfRule type="cellIs" dxfId="444" priority="980" operator="lessThan">
      <formula>0</formula>
    </cfRule>
  </conditionalFormatting>
  <conditionalFormatting sqref="F2776:F2859">
    <cfRule type="cellIs" dxfId="443" priority="737" operator="lessThan">
      <formula>0</formula>
    </cfRule>
  </conditionalFormatting>
  <conditionalFormatting sqref="F2862:F2864">
    <cfRule type="cellIs" dxfId="442" priority="725" operator="lessThan">
      <formula>0</formula>
    </cfRule>
  </conditionalFormatting>
  <conditionalFormatting sqref="F2866:F2933">
    <cfRule type="cellIs" dxfId="441" priority="497" operator="lessThan">
      <formula>0</formula>
    </cfRule>
  </conditionalFormatting>
  <conditionalFormatting sqref="F2936:F2945">
    <cfRule type="cellIs" dxfId="440" priority="464" operator="lessThan">
      <formula>0</formula>
    </cfRule>
  </conditionalFormatting>
  <conditionalFormatting sqref="F2946">
    <cfRule type="cellIs" dxfId="439" priority="463" operator="lessThan">
      <formula>0</formula>
    </cfRule>
  </conditionalFormatting>
  <conditionalFormatting sqref="F2947">
    <cfRule type="cellIs" dxfId="438" priority="462" operator="lessThan">
      <formula>0</formula>
    </cfRule>
  </conditionalFormatting>
  <conditionalFormatting sqref="F2948">
    <cfRule type="cellIs" dxfId="437" priority="461" operator="lessThan">
      <formula>0</formula>
    </cfRule>
  </conditionalFormatting>
  <conditionalFormatting sqref="F2949">
    <cfRule type="cellIs" dxfId="436" priority="459" operator="lessThan">
      <formula>0</formula>
    </cfRule>
  </conditionalFormatting>
  <conditionalFormatting sqref="F2951">
    <cfRule type="cellIs" dxfId="435" priority="458" operator="lessThan">
      <formula>0</formula>
    </cfRule>
  </conditionalFormatting>
  <conditionalFormatting sqref="F2952">
    <cfRule type="cellIs" dxfId="434" priority="457" operator="lessThan">
      <formula>0</formula>
    </cfRule>
  </conditionalFormatting>
  <conditionalFormatting sqref="F2953">
    <cfRule type="cellIs" dxfId="433" priority="456" operator="lessThan">
      <formula>0</formula>
    </cfRule>
  </conditionalFormatting>
  <conditionalFormatting sqref="F2954">
    <cfRule type="cellIs" dxfId="432" priority="455" operator="lessThan">
      <formula>0</formula>
    </cfRule>
  </conditionalFormatting>
  <conditionalFormatting sqref="F2956">
    <cfRule type="cellIs" dxfId="431" priority="453" operator="lessThan">
      <formula>0</formula>
    </cfRule>
  </conditionalFormatting>
  <conditionalFormatting sqref="F2957">
    <cfRule type="cellIs" dxfId="430" priority="452" operator="lessThan">
      <formula>0</formula>
    </cfRule>
  </conditionalFormatting>
  <conditionalFormatting sqref="F2958">
    <cfRule type="cellIs" dxfId="429" priority="451" operator="lessThan">
      <formula>0</formula>
    </cfRule>
  </conditionalFormatting>
  <conditionalFormatting sqref="F2959">
    <cfRule type="cellIs" dxfId="428" priority="450" operator="lessThan">
      <formula>0</formula>
    </cfRule>
  </conditionalFormatting>
  <conditionalFormatting sqref="F2960">
    <cfRule type="cellIs" dxfId="427" priority="449" operator="lessThan">
      <formula>0</formula>
    </cfRule>
  </conditionalFormatting>
  <conditionalFormatting sqref="F2961">
    <cfRule type="cellIs" dxfId="426" priority="447" operator="lessThan">
      <formula>0</formula>
    </cfRule>
  </conditionalFormatting>
  <conditionalFormatting sqref="F2962">
    <cfRule type="cellIs" dxfId="425" priority="446" operator="lessThan">
      <formula>0</formula>
    </cfRule>
  </conditionalFormatting>
  <conditionalFormatting sqref="F2963">
    <cfRule type="cellIs" dxfId="424" priority="445" operator="lessThan">
      <formula>0</formula>
    </cfRule>
  </conditionalFormatting>
  <conditionalFormatting sqref="F2964">
    <cfRule type="cellIs" dxfId="423" priority="444" operator="lessThan">
      <formula>0</formula>
    </cfRule>
  </conditionalFormatting>
  <conditionalFormatting sqref="F2965">
    <cfRule type="cellIs" dxfId="422" priority="443" operator="lessThan">
      <formula>0</formula>
    </cfRule>
  </conditionalFormatting>
  <conditionalFormatting sqref="F2966">
    <cfRule type="cellIs" dxfId="421" priority="442" operator="lessThan">
      <formula>0</formula>
    </cfRule>
  </conditionalFormatting>
  <conditionalFormatting sqref="F2967">
    <cfRule type="cellIs" dxfId="420" priority="441" operator="lessThan">
      <formula>0</formula>
    </cfRule>
  </conditionalFormatting>
  <conditionalFormatting sqref="F2968">
    <cfRule type="cellIs" dxfId="419" priority="440" operator="lessThan">
      <formula>0</formula>
    </cfRule>
  </conditionalFormatting>
  <conditionalFormatting sqref="F2969">
    <cfRule type="cellIs" dxfId="418" priority="439" operator="lessThan">
      <formula>0</formula>
    </cfRule>
  </conditionalFormatting>
  <conditionalFormatting sqref="F2971">
    <cfRule type="cellIs" dxfId="417" priority="438" operator="lessThan">
      <formula>0</formula>
    </cfRule>
  </conditionalFormatting>
  <conditionalFormatting sqref="F2972">
    <cfRule type="cellIs" dxfId="416" priority="437" operator="lessThan">
      <formula>0</formula>
    </cfRule>
  </conditionalFormatting>
  <conditionalFormatting sqref="F2973">
    <cfRule type="cellIs" dxfId="415" priority="436" operator="lessThan">
      <formula>0</formula>
    </cfRule>
  </conditionalFormatting>
  <conditionalFormatting sqref="F2974">
    <cfRule type="cellIs" dxfId="414" priority="435" operator="lessThan">
      <formula>0</formula>
    </cfRule>
  </conditionalFormatting>
  <conditionalFormatting sqref="F2975">
    <cfRule type="cellIs" dxfId="413" priority="434" operator="lessThan">
      <formula>0</formula>
    </cfRule>
  </conditionalFormatting>
  <conditionalFormatting sqref="F2976">
    <cfRule type="cellIs" dxfId="412" priority="433" operator="lessThan">
      <formula>0</formula>
    </cfRule>
  </conditionalFormatting>
  <conditionalFormatting sqref="F2977">
    <cfRule type="cellIs" dxfId="411" priority="432" operator="lessThan">
      <formula>0</formula>
    </cfRule>
  </conditionalFormatting>
  <conditionalFormatting sqref="F2978">
    <cfRule type="cellIs" dxfId="410" priority="430" operator="lessThan">
      <formula>0</formula>
    </cfRule>
  </conditionalFormatting>
  <conditionalFormatting sqref="F2979">
    <cfRule type="cellIs" dxfId="409" priority="429" operator="lessThan">
      <formula>0</formula>
    </cfRule>
  </conditionalFormatting>
  <conditionalFormatting sqref="F2980">
    <cfRule type="cellIs" dxfId="408" priority="428" operator="lessThan">
      <formula>0</formula>
    </cfRule>
  </conditionalFormatting>
  <conditionalFormatting sqref="F2981">
    <cfRule type="cellIs" dxfId="407" priority="427" operator="lessThan">
      <formula>0</formula>
    </cfRule>
  </conditionalFormatting>
  <conditionalFormatting sqref="F2982">
    <cfRule type="cellIs" dxfId="406" priority="426" operator="lessThan">
      <formula>0</formula>
    </cfRule>
  </conditionalFormatting>
  <conditionalFormatting sqref="F2983">
    <cfRule type="cellIs" dxfId="405" priority="425" operator="lessThan">
      <formula>0</formula>
    </cfRule>
  </conditionalFormatting>
  <conditionalFormatting sqref="F2984">
    <cfRule type="cellIs" dxfId="404" priority="424" operator="lessThan">
      <formula>0</formula>
    </cfRule>
  </conditionalFormatting>
  <conditionalFormatting sqref="F2985">
    <cfRule type="cellIs" dxfId="403" priority="423" operator="lessThan">
      <formula>0</formula>
    </cfRule>
  </conditionalFormatting>
  <conditionalFormatting sqref="F2986">
    <cfRule type="cellIs" dxfId="402" priority="422" operator="lessThan">
      <formula>0</formula>
    </cfRule>
  </conditionalFormatting>
  <conditionalFormatting sqref="F2987">
    <cfRule type="cellIs" dxfId="401" priority="421" operator="lessThan">
      <formula>0</formula>
    </cfRule>
  </conditionalFormatting>
  <conditionalFormatting sqref="F2988">
    <cfRule type="cellIs" dxfId="400" priority="420" operator="lessThan">
      <formula>0</formula>
    </cfRule>
  </conditionalFormatting>
  <conditionalFormatting sqref="F2989">
    <cfRule type="cellIs" dxfId="399" priority="419" operator="lessThan">
      <formula>0</formula>
    </cfRule>
  </conditionalFormatting>
  <conditionalFormatting sqref="F2990">
    <cfRule type="cellIs" dxfId="398" priority="418" operator="lessThan">
      <formula>0</formula>
    </cfRule>
  </conditionalFormatting>
  <conditionalFormatting sqref="F2991">
    <cfRule type="cellIs" dxfId="397" priority="417" operator="lessThan">
      <formula>0</formula>
    </cfRule>
  </conditionalFormatting>
  <conditionalFormatting sqref="F2992">
    <cfRule type="cellIs" dxfId="396" priority="416" operator="lessThan">
      <formula>0</formula>
    </cfRule>
  </conditionalFormatting>
  <conditionalFormatting sqref="F2993">
    <cfRule type="cellIs" dxfId="395" priority="415" operator="lessThan">
      <formula>0</formula>
    </cfRule>
  </conditionalFormatting>
  <conditionalFormatting sqref="F2994">
    <cfRule type="cellIs" dxfId="394" priority="414" operator="lessThan">
      <formula>0</formula>
    </cfRule>
  </conditionalFormatting>
  <conditionalFormatting sqref="F2995">
    <cfRule type="cellIs" dxfId="393" priority="41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92" priority="41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91" priority="41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90" priority="40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9" priority="40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8" priority="40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7" priority="40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6" priority="405" operator="lessThan">
      <formula>0</formula>
    </cfRule>
  </conditionalFormatting>
  <conditionalFormatting sqref="F3003 N3003 V3003 AD3003 AL3003 AT3003 BB3003 BJ3003 BR3003 BZ3003 CH3003 CP3003 CX3003 DF3003 DN3003 DV3003 ED3003 EL3003 ET3003 FB3003 FJ3003 FR3003 FZ3003 GH3003 GP3003 GX3003 HF3003 HN3003 HV3003 ID3003 IL3003 IT3003 JB3003 JJ3003 JR3003 JZ3003 KH3003 KP3003 KX3003 LF3003 LN3003 LV3003 MD3003 ML3003 MT3003 NB3003 NJ3003 NR3003 NZ3003 OH3003 OP3003 OX3003 PF3003 PN3003 PV3003 QD3003 QL3003 QT3003 RB3003 RJ3003 RR3003 RZ3003 SH3003 SP3003 SX3003 TF3003 TN3003 TV3003 UD3003 UL3003 UT3003 VB3003 VJ3003 VR3003 VZ3003 WH3003 WP3003 WX3003 XF3003 XN3003 XV3003 YD3003 YL3003 YT3003 ZB3003 ZJ3003 ZR3003 ZZ3003 AAH3003 AAP3003 AAX3003 ABF3003 ABN3003 ABV3003 ACD3003 ACL3003 ACT3003 ADB3003 ADJ3003 ADR3003 ADZ3003 AEH3003 AEP3003 AEX3003 AFF3003 AFN3003 AFV3003 AGD3003 AGL3003 AGT3003 AHB3003 AHJ3003 AHR3003 AHZ3003 AIH3003 AIP3003 AIX3003 AJF3003 AJN3003 AJV3003 AKD3003 AKL3003 AKT3003 ALB3003 ALJ3003 ALR3003 ALZ3003 AMH3003 AMP3003 AMX3003 ANF3003 ANN3003 ANV3003 AOD3003 AOL3003 AOT3003 APB3003 APJ3003 APR3003 APZ3003 AQH3003 AQP3003 AQX3003 ARF3003 ARN3003 ARV3003 ASD3003 ASL3003 AST3003 ATB3003 ATJ3003 ATR3003 ATZ3003 AUH3003 AUP3003 AUX3003 AVF3003 AVN3003 AVV3003 AWD3003 AWL3003 AWT3003 AXB3003 AXJ3003 AXR3003 AXZ3003 AYH3003 AYP3003 AYX3003 AZF3003 AZN3003 AZV3003 BAD3003 BAL3003 BAT3003 BBB3003 BBJ3003 BBR3003 BBZ3003 BCH3003 BCP3003 BCX3003 BDF3003 BDN3003 BDV3003 BED3003 BEL3003 BET3003 BFB3003 BFJ3003 BFR3003 BFZ3003 BGH3003 BGP3003 BGX3003 BHF3003 BHN3003 BHV3003 BID3003 BIL3003 BIT3003 BJB3003 BJJ3003 BJR3003 BJZ3003 BKH3003 BKP3003 BKX3003 BLF3003 BLN3003 BLV3003 BMD3003 BML3003 BMT3003 BNB3003 BNJ3003 BNR3003 BNZ3003 BOH3003 BOP3003 BOX3003 BPF3003 BPN3003 BPV3003 BQD3003 BQL3003 BQT3003 BRB3003 BRJ3003 BRR3003 BRZ3003 BSH3003 BSP3003 BSX3003 BTF3003 BTN3003 BTV3003 BUD3003 BUL3003 BUT3003 BVB3003 BVJ3003 BVR3003 BVZ3003 BWH3003 BWP3003 BWX3003 BXF3003 BXN3003 BXV3003 BYD3003 BYL3003 BYT3003 BZB3003 BZJ3003 BZR3003 BZZ3003 CAH3003 CAP3003 CAX3003 CBF3003 CBN3003 CBV3003 CCD3003 CCL3003 CCT3003 CDB3003 CDJ3003 CDR3003 CDZ3003 CEH3003 CEP3003 CEX3003 CFF3003 CFN3003 CFV3003 CGD3003 CGL3003 CGT3003 CHB3003 CHJ3003 CHR3003 CHZ3003 CIH3003 CIP3003 CIX3003 CJF3003 CJN3003 CJV3003 CKD3003 CKL3003 CKT3003 CLB3003 CLJ3003 CLR3003 CLZ3003 CMH3003 CMP3003 CMX3003 CNF3003 CNN3003 CNV3003 COD3003 COL3003 COT3003 CPB3003 CPJ3003 CPR3003 CPZ3003 CQH3003 CQP3003 CQX3003 CRF3003 CRN3003 CRV3003 CSD3003 CSL3003 CST3003 CTB3003 CTJ3003 CTR3003 CTZ3003 CUH3003 CUP3003 CUX3003 CVF3003 CVN3003 CVV3003 CWD3003 CWL3003 CWT3003 CXB3003 CXJ3003 CXR3003 CXZ3003 CYH3003 CYP3003 CYX3003 CZF3003 CZN3003 CZV3003 DAD3003 DAL3003 DAT3003 DBB3003 DBJ3003 DBR3003 DBZ3003 DCH3003 DCP3003 DCX3003 DDF3003 DDN3003 DDV3003 DED3003 DEL3003 DET3003 DFB3003 DFJ3003 DFR3003 DFZ3003 DGH3003 DGP3003 DGX3003 DHF3003 DHN3003 DHV3003 DID3003 DIL3003 DIT3003 DJB3003 DJJ3003 DJR3003 DJZ3003 DKH3003 DKP3003 DKX3003 DLF3003 DLN3003 DLV3003 DMD3003 DML3003 DMT3003 DNB3003 DNJ3003 DNR3003 DNZ3003 DOH3003 DOP3003 DOX3003 DPF3003 DPN3003 DPV3003 DQD3003 DQL3003 DQT3003 DRB3003 DRJ3003 DRR3003 DRZ3003 DSH3003 DSP3003 DSX3003 DTF3003 DTN3003 DTV3003 DUD3003 DUL3003 DUT3003 DVB3003 DVJ3003 DVR3003 DVZ3003 DWH3003 DWP3003 DWX3003 DXF3003 DXN3003 DXV3003 DYD3003 DYL3003 DYT3003 DZB3003 DZJ3003 DZR3003 DZZ3003 EAH3003 EAP3003 EAX3003 EBF3003 EBN3003 EBV3003 ECD3003 ECL3003 ECT3003 EDB3003 EDJ3003 EDR3003 EDZ3003 EEH3003 EEP3003 EEX3003 EFF3003 EFN3003 EFV3003 EGD3003 EGL3003 EGT3003 EHB3003 EHJ3003 EHR3003 EHZ3003 EIH3003 EIP3003 EIX3003 EJF3003 EJN3003 EJV3003 EKD3003 EKL3003 EKT3003 ELB3003 ELJ3003 ELR3003 ELZ3003 EMH3003 EMP3003 EMX3003 ENF3003 ENN3003 ENV3003 EOD3003 EOL3003 EOT3003 EPB3003 EPJ3003 EPR3003 EPZ3003 EQH3003 EQP3003 EQX3003 ERF3003 ERN3003 ERV3003 ESD3003 ESL3003 EST3003 ETB3003 ETJ3003 ETR3003 ETZ3003 EUH3003 EUP3003 EUX3003 EVF3003 EVN3003 EVV3003 EWD3003 EWL3003 EWT3003 EXB3003 EXJ3003 EXR3003 EXZ3003 EYH3003 EYP3003 EYX3003 EZF3003 EZN3003 EZV3003 FAD3003 FAL3003 FAT3003 FBB3003 FBJ3003 FBR3003 FBZ3003 FCH3003 FCP3003 FCX3003 FDF3003 FDN3003 FDV3003 FED3003 FEL3003 FET3003 FFB3003 FFJ3003 FFR3003 FFZ3003 FGH3003 FGP3003 FGX3003 FHF3003 FHN3003 FHV3003 FID3003 FIL3003 FIT3003 FJB3003 FJJ3003 FJR3003 FJZ3003 FKH3003 FKP3003 FKX3003 FLF3003 FLN3003 FLV3003 FMD3003 FML3003 FMT3003 FNB3003 FNJ3003 FNR3003 FNZ3003 FOH3003 FOP3003 FOX3003 FPF3003 FPN3003 FPV3003 FQD3003 FQL3003 FQT3003 FRB3003 FRJ3003 FRR3003 FRZ3003 FSH3003 FSP3003 FSX3003 FTF3003 FTN3003 FTV3003 FUD3003 FUL3003 FUT3003 FVB3003 FVJ3003 FVR3003 FVZ3003 FWH3003 FWP3003 FWX3003 FXF3003 FXN3003 FXV3003 FYD3003 FYL3003 FYT3003 FZB3003 FZJ3003 FZR3003 FZZ3003 GAH3003 GAP3003 GAX3003 GBF3003 GBN3003 GBV3003 GCD3003 GCL3003 GCT3003 GDB3003 GDJ3003 GDR3003 GDZ3003 GEH3003 GEP3003 GEX3003 GFF3003 GFN3003 GFV3003 GGD3003 GGL3003 GGT3003 GHB3003 GHJ3003 GHR3003 GHZ3003 GIH3003 GIP3003 GIX3003 GJF3003 GJN3003 GJV3003 GKD3003 GKL3003 GKT3003 GLB3003 GLJ3003 GLR3003 GLZ3003 GMH3003 GMP3003 GMX3003 GNF3003 GNN3003 GNV3003 GOD3003 GOL3003 GOT3003 GPB3003 GPJ3003 GPR3003 GPZ3003 GQH3003 GQP3003 GQX3003 GRF3003 GRN3003 GRV3003 GSD3003 GSL3003 GST3003 GTB3003 GTJ3003 GTR3003 GTZ3003 GUH3003 GUP3003 GUX3003 GVF3003 GVN3003 GVV3003 GWD3003 GWL3003 GWT3003 GXB3003 GXJ3003 GXR3003 GXZ3003 GYH3003 GYP3003 GYX3003 GZF3003 GZN3003 GZV3003 HAD3003 HAL3003 HAT3003 HBB3003 HBJ3003 HBR3003 HBZ3003 HCH3003 HCP3003 HCX3003 HDF3003 HDN3003 HDV3003 HED3003 HEL3003 HET3003 HFB3003 HFJ3003 HFR3003 HFZ3003 HGH3003 HGP3003 HGX3003 HHF3003 HHN3003 HHV3003 HID3003 HIL3003 HIT3003 HJB3003 HJJ3003 HJR3003 HJZ3003 HKH3003 HKP3003 HKX3003 HLF3003 HLN3003 HLV3003 HMD3003 HML3003 HMT3003 HNB3003 HNJ3003 HNR3003 HNZ3003 HOH3003 HOP3003 HOX3003 HPF3003 HPN3003 HPV3003 HQD3003 HQL3003 HQT3003 HRB3003 HRJ3003 HRR3003 HRZ3003 HSH3003 HSP3003 HSX3003 HTF3003 HTN3003 HTV3003 HUD3003 HUL3003 HUT3003 HVB3003 HVJ3003 HVR3003 HVZ3003 HWH3003 HWP3003 HWX3003 HXF3003 HXN3003 HXV3003 HYD3003 HYL3003 HYT3003 HZB3003 HZJ3003 HZR3003 HZZ3003 IAH3003 IAP3003 IAX3003 IBF3003 IBN3003 IBV3003 ICD3003 ICL3003 ICT3003 IDB3003 IDJ3003 IDR3003 IDZ3003 IEH3003 IEP3003 IEX3003 IFF3003 IFN3003 IFV3003 IGD3003 IGL3003 IGT3003 IHB3003 IHJ3003 IHR3003 IHZ3003 IIH3003 IIP3003 IIX3003 IJF3003 IJN3003 IJV3003 IKD3003 IKL3003 IKT3003 ILB3003 ILJ3003 ILR3003 ILZ3003 IMH3003 IMP3003 IMX3003 INF3003 INN3003 INV3003 IOD3003 IOL3003 IOT3003 IPB3003 IPJ3003 IPR3003 IPZ3003 IQH3003 IQP3003 IQX3003 IRF3003 IRN3003 IRV3003 ISD3003 ISL3003 IST3003 ITB3003 ITJ3003 ITR3003 ITZ3003 IUH3003 IUP3003 IUX3003 IVF3003 IVN3003 IVV3003 IWD3003 IWL3003 IWT3003 IXB3003 IXJ3003 IXR3003 IXZ3003 IYH3003 IYP3003 IYX3003 IZF3003 IZN3003 IZV3003 JAD3003 JAL3003 JAT3003 JBB3003 JBJ3003 JBR3003 JBZ3003 JCH3003 JCP3003 JCX3003 JDF3003 JDN3003 JDV3003 JED3003 JEL3003 JET3003 JFB3003 JFJ3003 JFR3003 JFZ3003 JGH3003 JGP3003 JGX3003 JHF3003 JHN3003 JHV3003 JID3003 JIL3003 JIT3003 JJB3003 JJJ3003 JJR3003 JJZ3003 JKH3003 JKP3003 JKX3003 JLF3003 JLN3003 JLV3003 JMD3003 JML3003 JMT3003 JNB3003 JNJ3003 JNR3003 JNZ3003 JOH3003 JOP3003 JOX3003 JPF3003 JPN3003 JPV3003 JQD3003 JQL3003 JQT3003 JRB3003 JRJ3003 JRR3003 JRZ3003 JSH3003 JSP3003 JSX3003 JTF3003 JTN3003 JTV3003 JUD3003 JUL3003 JUT3003 JVB3003 JVJ3003 JVR3003 JVZ3003 JWH3003 JWP3003 JWX3003 JXF3003 JXN3003 JXV3003 JYD3003 JYL3003 JYT3003 JZB3003 JZJ3003 JZR3003 JZZ3003 KAH3003 KAP3003 KAX3003 KBF3003 KBN3003 KBV3003 KCD3003 KCL3003 KCT3003 KDB3003 KDJ3003 KDR3003 KDZ3003 KEH3003 KEP3003 KEX3003 KFF3003 KFN3003 KFV3003 KGD3003 KGL3003 KGT3003 KHB3003 KHJ3003 KHR3003 KHZ3003 KIH3003 KIP3003 KIX3003 KJF3003 KJN3003 KJV3003 KKD3003 KKL3003 KKT3003 KLB3003 KLJ3003 KLR3003 KLZ3003 KMH3003 KMP3003 KMX3003 KNF3003 KNN3003 KNV3003 KOD3003 KOL3003 KOT3003 KPB3003 KPJ3003 KPR3003 KPZ3003 KQH3003 KQP3003 KQX3003 KRF3003 KRN3003 KRV3003 KSD3003 KSL3003 KST3003 KTB3003 KTJ3003 KTR3003 KTZ3003 KUH3003 KUP3003 KUX3003 KVF3003 KVN3003 KVV3003 KWD3003 KWL3003 KWT3003 KXB3003 KXJ3003 KXR3003 KXZ3003 KYH3003 KYP3003 KYX3003 KZF3003 KZN3003 KZV3003 LAD3003 LAL3003 LAT3003 LBB3003 LBJ3003 LBR3003 LBZ3003 LCH3003 LCP3003 LCX3003 LDF3003 LDN3003 LDV3003 LED3003 LEL3003 LET3003 LFB3003 LFJ3003 LFR3003 LFZ3003 LGH3003 LGP3003 LGX3003 LHF3003 LHN3003 LHV3003 LID3003 LIL3003 LIT3003 LJB3003 LJJ3003 LJR3003 LJZ3003 LKH3003 LKP3003 LKX3003 LLF3003 LLN3003 LLV3003 LMD3003 LML3003 LMT3003 LNB3003 LNJ3003 LNR3003 LNZ3003 LOH3003 LOP3003 LOX3003 LPF3003 LPN3003 LPV3003 LQD3003 LQL3003 LQT3003 LRB3003 LRJ3003 LRR3003 LRZ3003 LSH3003 LSP3003 LSX3003 LTF3003 LTN3003 LTV3003 LUD3003 LUL3003 LUT3003 LVB3003 LVJ3003 LVR3003 LVZ3003 LWH3003 LWP3003 LWX3003 LXF3003 LXN3003 LXV3003 LYD3003 LYL3003 LYT3003 LZB3003 LZJ3003 LZR3003 LZZ3003 MAH3003 MAP3003 MAX3003 MBF3003 MBN3003 MBV3003 MCD3003 MCL3003 MCT3003 MDB3003 MDJ3003 MDR3003 MDZ3003 MEH3003 MEP3003 MEX3003 MFF3003 MFN3003 MFV3003 MGD3003 MGL3003 MGT3003 MHB3003 MHJ3003 MHR3003 MHZ3003 MIH3003 MIP3003 MIX3003 MJF3003 MJN3003 MJV3003 MKD3003 MKL3003 MKT3003 MLB3003 MLJ3003 MLR3003 MLZ3003 MMH3003 MMP3003 MMX3003 MNF3003 MNN3003 MNV3003 MOD3003 MOL3003 MOT3003 MPB3003 MPJ3003 MPR3003 MPZ3003 MQH3003 MQP3003 MQX3003 MRF3003 MRN3003 MRV3003 MSD3003 MSL3003 MST3003 MTB3003 MTJ3003 MTR3003 MTZ3003 MUH3003 MUP3003 MUX3003 MVF3003 MVN3003 MVV3003 MWD3003 MWL3003 MWT3003 MXB3003 MXJ3003 MXR3003 MXZ3003 MYH3003 MYP3003 MYX3003 MZF3003 MZN3003 MZV3003 NAD3003 NAL3003 NAT3003 NBB3003 NBJ3003 NBR3003 NBZ3003 NCH3003 NCP3003 NCX3003 NDF3003 NDN3003 NDV3003 NED3003 NEL3003 NET3003 NFB3003 NFJ3003 NFR3003 NFZ3003 NGH3003 NGP3003 NGX3003 NHF3003 NHN3003 NHV3003 NID3003 NIL3003 NIT3003 NJB3003 NJJ3003 NJR3003 NJZ3003 NKH3003 NKP3003 NKX3003 NLF3003 NLN3003 NLV3003 NMD3003 NML3003 NMT3003 NNB3003 NNJ3003 NNR3003 NNZ3003 NOH3003 NOP3003 NOX3003 NPF3003 NPN3003 NPV3003 NQD3003 NQL3003 NQT3003 NRB3003 NRJ3003 NRR3003 NRZ3003 NSH3003 NSP3003 NSX3003 NTF3003 NTN3003 NTV3003 NUD3003 NUL3003 NUT3003 NVB3003 NVJ3003 NVR3003 NVZ3003 NWH3003 NWP3003 NWX3003 NXF3003 NXN3003 NXV3003 NYD3003 NYL3003 NYT3003 NZB3003 NZJ3003 NZR3003 NZZ3003 OAH3003 OAP3003 OAX3003 OBF3003 OBN3003 OBV3003 OCD3003 OCL3003 OCT3003 ODB3003 ODJ3003 ODR3003 ODZ3003 OEH3003 OEP3003 OEX3003 OFF3003 OFN3003 OFV3003 OGD3003 OGL3003 OGT3003 OHB3003 OHJ3003 OHR3003 OHZ3003 OIH3003 OIP3003 OIX3003 OJF3003 OJN3003 OJV3003 OKD3003 OKL3003 OKT3003 OLB3003 OLJ3003 OLR3003 OLZ3003 OMH3003 OMP3003 OMX3003 ONF3003 ONN3003 ONV3003 OOD3003 OOL3003 OOT3003 OPB3003 OPJ3003 OPR3003 OPZ3003 OQH3003 OQP3003 OQX3003 ORF3003 ORN3003 ORV3003 OSD3003 OSL3003 OST3003 OTB3003 OTJ3003 OTR3003 OTZ3003 OUH3003 OUP3003 OUX3003 OVF3003 OVN3003 OVV3003 OWD3003 OWL3003 OWT3003 OXB3003 OXJ3003 OXR3003 OXZ3003 OYH3003 OYP3003 OYX3003 OZF3003 OZN3003 OZV3003 PAD3003 PAL3003 PAT3003 PBB3003 PBJ3003 PBR3003 PBZ3003 PCH3003 PCP3003 PCX3003 PDF3003 PDN3003 PDV3003 PED3003 PEL3003 PET3003 PFB3003 PFJ3003 PFR3003 PFZ3003 PGH3003 PGP3003 PGX3003 PHF3003 PHN3003 PHV3003 PID3003 PIL3003 PIT3003 PJB3003 PJJ3003 PJR3003 PJZ3003 PKH3003 PKP3003 PKX3003 PLF3003 PLN3003 PLV3003 PMD3003 PML3003 PMT3003 PNB3003 PNJ3003 PNR3003 PNZ3003 POH3003 POP3003 POX3003 PPF3003 PPN3003 PPV3003 PQD3003 PQL3003 PQT3003 PRB3003 PRJ3003 PRR3003 PRZ3003 PSH3003 PSP3003 PSX3003 PTF3003 PTN3003 PTV3003 PUD3003 PUL3003 PUT3003 PVB3003 PVJ3003 PVR3003 PVZ3003 PWH3003 PWP3003 PWX3003 PXF3003 PXN3003 PXV3003 PYD3003 PYL3003 PYT3003 PZB3003 PZJ3003 PZR3003 PZZ3003 QAH3003 QAP3003 QAX3003 QBF3003 QBN3003 QBV3003 QCD3003 QCL3003 QCT3003 QDB3003 QDJ3003 QDR3003 QDZ3003 QEH3003 QEP3003 QEX3003 QFF3003 QFN3003 QFV3003 QGD3003 QGL3003 QGT3003 QHB3003 QHJ3003 QHR3003 QHZ3003 QIH3003 QIP3003 QIX3003 QJF3003 QJN3003 QJV3003 QKD3003 QKL3003 QKT3003 QLB3003 QLJ3003 QLR3003 QLZ3003 QMH3003 QMP3003 QMX3003 QNF3003 QNN3003 QNV3003 QOD3003 QOL3003 QOT3003 QPB3003 QPJ3003 QPR3003 QPZ3003 QQH3003 QQP3003 QQX3003 QRF3003 QRN3003 QRV3003 QSD3003 QSL3003 QST3003 QTB3003 QTJ3003 QTR3003 QTZ3003 QUH3003 QUP3003 QUX3003 QVF3003 QVN3003 QVV3003 QWD3003 QWL3003 QWT3003 QXB3003 QXJ3003 QXR3003 QXZ3003 QYH3003 QYP3003 QYX3003 QZF3003 QZN3003 QZV3003 RAD3003 RAL3003 RAT3003 RBB3003 RBJ3003 RBR3003 RBZ3003 RCH3003 RCP3003 RCX3003 RDF3003 RDN3003 RDV3003 RED3003 REL3003 RET3003 RFB3003 RFJ3003 RFR3003 RFZ3003 RGH3003 RGP3003 RGX3003 RHF3003 RHN3003 RHV3003 RID3003 RIL3003 RIT3003 RJB3003 RJJ3003 RJR3003 RJZ3003 RKH3003 RKP3003 RKX3003 RLF3003 RLN3003 RLV3003 RMD3003 RML3003 RMT3003 RNB3003 RNJ3003 RNR3003 RNZ3003 ROH3003 ROP3003 ROX3003 RPF3003 RPN3003 RPV3003 RQD3003 RQL3003 RQT3003 RRB3003 RRJ3003 RRR3003 RRZ3003 RSH3003 RSP3003 RSX3003 RTF3003 RTN3003 RTV3003 RUD3003 RUL3003 RUT3003 RVB3003 RVJ3003 RVR3003 RVZ3003 RWH3003 RWP3003 RWX3003 RXF3003 RXN3003 RXV3003 RYD3003 RYL3003 RYT3003 RZB3003 RZJ3003 RZR3003 RZZ3003 SAH3003 SAP3003 SAX3003 SBF3003 SBN3003 SBV3003 SCD3003 SCL3003 SCT3003 SDB3003 SDJ3003 SDR3003 SDZ3003 SEH3003 SEP3003 SEX3003 SFF3003 SFN3003 SFV3003 SGD3003 SGL3003 SGT3003 SHB3003 SHJ3003 SHR3003 SHZ3003 SIH3003 SIP3003 SIX3003 SJF3003 SJN3003 SJV3003 SKD3003 SKL3003 SKT3003 SLB3003 SLJ3003 SLR3003 SLZ3003 SMH3003 SMP3003 SMX3003 SNF3003 SNN3003 SNV3003 SOD3003 SOL3003 SOT3003 SPB3003 SPJ3003 SPR3003 SPZ3003 SQH3003 SQP3003 SQX3003 SRF3003 SRN3003 SRV3003 SSD3003 SSL3003 SST3003 STB3003 STJ3003 STR3003 STZ3003 SUH3003 SUP3003 SUX3003 SVF3003 SVN3003 SVV3003 SWD3003 SWL3003 SWT3003 SXB3003 SXJ3003 SXR3003 SXZ3003 SYH3003 SYP3003 SYX3003 SZF3003 SZN3003 SZV3003 TAD3003 TAL3003 TAT3003 TBB3003 TBJ3003 TBR3003 TBZ3003 TCH3003 TCP3003 TCX3003 TDF3003 TDN3003 TDV3003 TED3003 TEL3003 TET3003 TFB3003 TFJ3003 TFR3003 TFZ3003 TGH3003 TGP3003 TGX3003 THF3003 THN3003 THV3003 TID3003 TIL3003 TIT3003 TJB3003 TJJ3003 TJR3003 TJZ3003 TKH3003 TKP3003 TKX3003 TLF3003 TLN3003 TLV3003 TMD3003 TML3003 TMT3003 TNB3003 TNJ3003 TNR3003 TNZ3003 TOH3003 TOP3003 TOX3003 TPF3003 TPN3003 TPV3003 TQD3003 TQL3003 TQT3003 TRB3003 TRJ3003 TRR3003 TRZ3003 TSH3003 TSP3003 TSX3003 TTF3003 TTN3003 TTV3003 TUD3003 TUL3003 TUT3003 TVB3003 TVJ3003 TVR3003 TVZ3003 TWH3003 TWP3003 TWX3003 TXF3003 TXN3003 TXV3003 TYD3003 TYL3003 TYT3003 TZB3003 TZJ3003 TZR3003 TZZ3003 UAH3003 UAP3003 UAX3003 UBF3003 UBN3003 UBV3003 UCD3003 UCL3003 UCT3003 UDB3003 UDJ3003 UDR3003 UDZ3003 UEH3003 UEP3003 UEX3003 UFF3003 UFN3003 UFV3003 UGD3003 UGL3003 UGT3003 UHB3003 UHJ3003 UHR3003 UHZ3003 UIH3003 UIP3003 UIX3003 UJF3003 UJN3003 UJV3003 UKD3003 UKL3003 UKT3003 ULB3003 ULJ3003 ULR3003 ULZ3003 UMH3003 UMP3003 UMX3003 UNF3003 UNN3003 UNV3003 UOD3003 UOL3003 UOT3003 UPB3003 UPJ3003 UPR3003 UPZ3003 UQH3003 UQP3003 UQX3003 URF3003 URN3003 URV3003 USD3003 USL3003 UST3003 UTB3003 UTJ3003 UTR3003 UTZ3003 UUH3003 UUP3003 UUX3003 UVF3003 UVN3003 UVV3003 UWD3003 UWL3003 UWT3003 UXB3003 UXJ3003 UXR3003 UXZ3003 UYH3003 UYP3003 UYX3003 UZF3003 UZN3003 UZV3003 VAD3003 VAL3003 VAT3003 VBB3003 VBJ3003 VBR3003 VBZ3003 VCH3003 VCP3003 VCX3003 VDF3003 VDN3003 VDV3003 VED3003 VEL3003 VET3003 VFB3003 VFJ3003 VFR3003 VFZ3003 VGH3003 VGP3003 VGX3003 VHF3003 VHN3003 VHV3003 VID3003 VIL3003 VIT3003 VJB3003 VJJ3003 VJR3003 VJZ3003 VKH3003 VKP3003 VKX3003 VLF3003 VLN3003 VLV3003 VMD3003 VML3003 VMT3003 VNB3003 VNJ3003 VNR3003 VNZ3003 VOH3003 VOP3003 VOX3003 VPF3003 VPN3003 VPV3003 VQD3003 VQL3003 VQT3003 VRB3003 VRJ3003 VRR3003 VRZ3003 VSH3003 VSP3003 VSX3003 VTF3003 VTN3003 VTV3003 VUD3003 VUL3003 VUT3003 VVB3003 VVJ3003 VVR3003 VVZ3003 VWH3003 VWP3003 VWX3003 VXF3003 VXN3003 VXV3003 VYD3003 VYL3003 VYT3003 VZB3003 VZJ3003 VZR3003 VZZ3003 WAH3003 WAP3003 WAX3003 WBF3003 WBN3003 WBV3003 WCD3003 WCL3003 WCT3003 WDB3003 WDJ3003 WDR3003 WDZ3003 WEH3003 WEP3003 WEX3003 WFF3003 WFN3003 WFV3003 WGD3003 WGL3003 WGT3003 WHB3003 WHJ3003 WHR3003 WHZ3003 WIH3003 WIP3003 WIX3003 WJF3003 WJN3003 WJV3003 WKD3003 WKL3003 WKT3003 WLB3003 WLJ3003 WLR3003 WLZ3003 WMH3003 WMP3003 WMX3003 WNF3003 WNN3003 WNV3003 WOD3003 WOL3003 WOT3003 WPB3003 WPJ3003 WPR3003 WPZ3003 WQH3003 WQP3003 WQX3003 WRF3003 WRN3003 WRV3003 WSD3003 WSL3003 WST3003 WTB3003 WTJ3003 WTR3003 WTZ3003 WUH3003 WUP3003 WUX3003 WVF3003 WVN3003 WVV3003 WWD3003 WWL3003 WWT3003 WXB3003 WXJ3003 WXR3003 WXZ3003 WYH3003 WYP3003 WYX3003 WZF3003 WZN3003 WZV3003 XAD3003 XAL3003 XAT3003 XBB3003 XBJ3003 XBR3003 XBZ3003 XCH3003 XCP3003 XCX3003 XDF3003 XDN3003 XDV3003 XED3003 XEL3003 XET3003 XFB3003">
    <cfRule type="cellIs" dxfId="385" priority="404" operator="lessThan">
      <formula>0</formula>
    </cfRule>
  </conditionalFormatting>
  <conditionalFormatting sqref="F3004">
    <cfRule type="cellIs" dxfId="384" priority="403" operator="lessThan">
      <formula>0</formula>
    </cfRule>
  </conditionalFormatting>
  <conditionalFormatting sqref="F3005">
    <cfRule type="cellIs" dxfId="383" priority="402" operator="lessThan">
      <formula>0</formula>
    </cfRule>
  </conditionalFormatting>
  <conditionalFormatting sqref="F3006">
    <cfRule type="cellIs" dxfId="382" priority="401" operator="lessThan">
      <formula>0</formula>
    </cfRule>
  </conditionalFormatting>
  <conditionalFormatting sqref="F3007">
    <cfRule type="cellIs" dxfId="381" priority="400" operator="lessThan">
      <formula>0</formula>
    </cfRule>
  </conditionalFormatting>
  <conditionalFormatting sqref="F3008">
    <cfRule type="cellIs" dxfId="380" priority="399" operator="lessThan">
      <formula>0</formula>
    </cfRule>
  </conditionalFormatting>
  <conditionalFormatting sqref="F3009">
    <cfRule type="cellIs" dxfId="379" priority="398" operator="lessThan">
      <formula>0</formula>
    </cfRule>
  </conditionalFormatting>
  <conditionalFormatting sqref="F3010">
    <cfRule type="cellIs" dxfId="378" priority="397" operator="lessThan">
      <formula>0</formula>
    </cfRule>
  </conditionalFormatting>
  <conditionalFormatting sqref="F3011">
    <cfRule type="cellIs" dxfId="377" priority="396" operator="lessThan">
      <formula>0</formula>
    </cfRule>
  </conditionalFormatting>
  <conditionalFormatting sqref="F3012">
    <cfRule type="cellIs" dxfId="376" priority="395" operator="lessThan">
      <formula>0</formula>
    </cfRule>
  </conditionalFormatting>
  <conditionalFormatting sqref="F3013">
    <cfRule type="cellIs" dxfId="375" priority="394" operator="lessThan">
      <formula>0</formula>
    </cfRule>
  </conditionalFormatting>
  <conditionalFormatting sqref="F3014">
    <cfRule type="cellIs" dxfId="374" priority="393" operator="lessThan">
      <formula>0</formula>
    </cfRule>
  </conditionalFormatting>
  <conditionalFormatting sqref="F3015">
    <cfRule type="cellIs" dxfId="373" priority="392" operator="lessThan">
      <formula>0</formula>
    </cfRule>
  </conditionalFormatting>
  <conditionalFormatting sqref="F3016">
    <cfRule type="cellIs" dxfId="372" priority="391" operator="lessThan">
      <formula>0</formula>
    </cfRule>
  </conditionalFormatting>
  <conditionalFormatting sqref="F3017">
    <cfRule type="cellIs" dxfId="371" priority="390" operator="lessThan">
      <formula>0</formula>
    </cfRule>
  </conditionalFormatting>
  <conditionalFormatting sqref="F3018">
    <cfRule type="cellIs" dxfId="370" priority="389" operator="lessThan">
      <formula>0</formula>
    </cfRule>
  </conditionalFormatting>
  <conditionalFormatting sqref="F3019">
    <cfRule type="cellIs" dxfId="369" priority="388" operator="lessThan">
      <formula>0</formula>
    </cfRule>
  </conditionalFormatting>
  <conditionalFormatting sqref="F3020">
    <cfRule type="cellIs" dxfId="368" priority="385" operator="lessThan">
      <formula>0</formula>
    </cfRule>
  </conditionalFormatting>
  <conditionalFormatting sqref="F3021">
    <cfRule type="cellIs" dxfId="367" priority="384" operator="lessThan">
      <formula>0</formula>
    </cfRule>
  </conditionalFormatting>
  <conditionalFormatting sqref="F3022">
    <cfRule type="cellIs" dxfId="366" priority="383" operator="lessThan">
      <formula>0</formula>
    </cfRule>
  </conditionalFormatting>
  <conditionalFormatting sqref="F3023">
    <cfRule type="cellIs" dxfId="365" priority="382" operator="lessThan">
      <formula>0</formula>
    </cfRule>
  </conditionalFormatting>
  <conditionalFormatting sqref="F3024">
    <cfRule type="cellIs" dxfId="364" priority="381" operator="lessThan">
      <formula>0</formula>
    </cfRule>
  </conditionalFormatting>
  <conditionalFormatting sqref="F3025">
    <cfRule type="cellIs" dxfId="363" priority="380" operator="lessThan">
      <formula>0</formula>
    </cfRule>
  </conditionalFormatting>
  <conditionalFormatting sqref="F3026">
    <cfRule type="cellIs" dxfId="362" priority="379" operator="lessThan">
      <formula>0</formula>
    </cfRule>
  </conditionalFormatting>
  <conditionalFormatting sqref="F3027">
    <cfRule type="cellIs" dxfId="361" priority="378" operator="lessThan">
      <formula>0</formula>
    </cfRule>
  </conditionalFormatting>
  <conditionalFormatting sqref="F3028">
    <cfRule type="cellIs" dxfId="360" priority="377" operator="lessThan">
      <formula>0</formula>
    </cfRule>
  </conditionalFormatting>
  <conditionalFormatting sqref="F3029">
    <cfRule type="cellIs" dxfId="359" priority="376" operator="lessThan">
      <formula>0</formula>
    </cfRule>
  </conditionalFormatting>
  <conditionalFormatting sqref="F3030">
    <cfRule type="cellIs" dxfId="358" priority="375" operator="lessThan">
      <formula>0</formula>
    </cfRule>
  </conditionalFormatting>
  <conditionalFormatting sqref="F3031">
    <cfRule type="cellIs" dxfId="357" priority="374" operator="lessThan">
      <formula>0</formula>
    </cfRule>
  </conditionalFormatting>
  <conditionalFormatting sqref="F3032">
    <cfRule type="cellIs" dxfId="356" priority="373" operator="lessThan">
      <formula>0</formula>
    </cfRule>
  </conditionalFormatting>
  <conditionalFormatting sqref="F3033">
    <cfRule type="cellIs" dxfId="355" priority="372" operator="lessThan">
      <formula>0</formula>
    </cfRule>
  </conditionalFormatting>
  <conditionalFormatting sqref="F3034">
    <cfRule type="cellIs" dxfId="354" priority="371" operator="lessThan">
      <formula>0</formula>
    </cfRule>
  </conditionalFormatting>
  <conditionalFormatting sqref="F3036">
    <cfRule type="cellIs" dxfId="353" priority="369" operator="lessThan">
      <formula>0</formula>
    </cfRule>
  </conditionalFormatting>
  <conditionalFormatting sqref="F3037">
    <cfRule type="cellIs" dxfId="352" priority="368" operator="lessThan">
      <formula>0</formula>
    </cfRule>
  </conditionalFormatting>
  <conditionalFormatting sqref="F3038">
    <cfRule type="cellIs" dxfId="351" priority="367" operator="lessThan">
      <formula>0</formula>
    </cfRule>
  </conditionalFormatting>
  <conditionalFormatting sqref="F3039">
    <cfRule type="cellIs" dxfId="350" priority="366" operator="lessThan">
      <formula>0</formula>
    </cfRule>
  </conditionalFormatting>
  <conditionalFormatting sqref="F3040">
    <cfRule type="cellIs" dxfId="349" priority="364" operator="lessThan">
      <formula>0</formula>
    </cfRule>
  </conditionalFormatting>
  <conditionalFormatting sqref="F3041">
    <cfRule type="cellIs" dxfId="348" priority="363" operator="lessThan">
      <formula>0</formula>
    </cfRule>
  </conditionalFormatting>
  <conditionalFormatting sqref="F3042">
    <cfRule type="cellIs" dxfId="347" priority="362" operator="lessThan">
      <formula>0</formula>
    </cfRule>
  </conditionalFormatting>
  <conditionalFormatting sqref="F3043">
    <cfRule type="cellIs" dxfId="346" priority="361" operator="lessThan">
      <formula>0</formula>
    </cfRule>
  </conditionalFormatting>
  <conditionalFormatting sqref="F3044">
    <cfRule type="cellIs" dxfId="345" priority="360" operator="lessThan">
      <formula>0</formula>
    </cfRule>
  </conditionalFormatting>
  <conditionalFormatting sqref="F3045">
    <cfRule type="cellIs" dxfId="344" priority="359" operator="lessThan">
      <formula>0</formula>
    </cfRule>
  </conditionalFormatting>
  <conditionalFormatting sqref="F3046">
    <cfRule type="cellIs" dxfId="343" priority="358" operator="lessThan">
      <formula>0</formula>
    </cfRule>
  </conditionalFormatting>
  <conditionalFormatting sqref="F3047">
    <cfRule type="cellIs" dxfId="342" priority="357" operator="lessThan">
      <formula>0</formula>
    </cfRule>
  </conditionalFormatting>
  <conditionalFormatting sqref="F3048">
    <cfRule type="cellIs" dxfId="341" priority="356" operator="lessThan">
      <formula>0</formula>
    </cfRule>
  </conditionalFormatting>
  <conditionalFormatting sqref="F3049">
    <cfRule type="cellIs" dxfId="340" priority="355" operator="lessThan">
      <formula>0</formula>
    </cfRule>
  </conditionalFormatting>
  <conditionalFormatting sqref="F3050">
    <cfRule type="cellIs" dxfId="339" priority="354" operator="lessThan">
      <formula>0</formula>
    </cfRule>
  </conditionalFormatting>
  <conditionalFormatting sqref="F3051">
    <cfRule type="cellIs" dxfId="338" priority="353" operator="lessThan">
      <formula>0</formula>
    </cfRule>
  </conditionalFormatting>
  <conditionalFormatting sqref="F3052">
    <cfRule type="cellIs" dxfId="337" priority="352" operator="lessThan">
      <formula>0</formula>
    </cfRule>
  </conditionalFormatting>
  <conditionalFormatting sqref="F3053">
    <cfRule type="cellIs" dxfId="336" priority="351" operator="lessThan">
      <formula>0</formula>
    </cfRule>
  </conditionalFormatting>
  <conditionalFormatting sqref="F3054">
    <cfRule type="cellIs" dxfId="335" priority="350" operator="lessThan">
      <formula>0</formula>
    </cfRule>
  </conditionalFormatting>
  <conditionalFormatting sqref="F3055">
    <cfRule type="cellIs" dxfId="334" priority="349" operator="lessThan">
      <formula>0</formula>
    </cfRule>
  </conditionalFormatting>
  <conditionalFormatting sqref="F3056">
    <cfRule type="cellIs" dxfId="333" priority="348" operator="lessThan">
      <formula>0</formula>
    </cfRule>
  </conditionalFormatting>
  <conditionalFormatting sqref="F3057">
    <cfRule type="cellIs" dxfId="332" priority="347" operator="lessThan">
      <formula>0</formula>
    </cfRule>
  </conditionalFormatting>
  <conditionalFormatting sqref="F3058">
    <cfRule type="cellIs" dxfId="331" priority="346" operator="lessThan">
      <formula>0</formula>
    </cfRule>
  </conditionalFormatting>
  <conditionalFormatting sqref="F3059">
    <cfRule type="cellIs" dxfId="330" priority="345" operator="lessThan">
      <formula>0</formula>
    </cfRule>
  </conditionalFormatting>
  <conditionalFormatting sqref="F3060">
    <cfRule type="cellIs" dxfId="329" priority="344" operator="lessThan">
      <formula>0</formula>
    </cfRule>
  </conditionalFormatting>
  <conditionalFormatting sqref="F3061">
    <cfRule type="cellIs" dxfId="328" priority="343" operator="lessThan">
      <formula>0</formula>
    </cfRule>
  </conditionalFormatting>
  <conditionalFormatting sqref="F3062">
    <cfRule type="cellIs" dxfId="327" priority="342" operator="lessThan">
      <formula>0</formula>
    </cfRule>
  </conditionalFormatting>
  <conditionalFormatting sqref="F3063">
    <cfRule type="cellIs" dxfId="326" priority="341" operator="lessThan">
      <formula>0</formula>
    </cfRule>
  </conditionalFormatting>
  <conditionalFormatting sqref="F3064">
    <cfRule type="cellIs" dxfId="325" priority="340" operator="lessThan">
      <formula>0</formula>
    </cfRule>
  </conditionalFormatting>
  <conditionalFormatting sqref="F3065">
    <cfRule type="cellIs" dxfId="324" priority="339" operator="lessThan">
      <formula>0</formula>
    </cfRule>
  </conditionalFormatting>
  <conditionalFormatting sqref="F3066">
    <cfRule type="cellIs" dxfId="323" priority="338" operator="lessThan">
      <formula>0</formula>
    </cfRule>
  </conditionalFormatting>
  <conditionalFormatting sqref="F3067">
    <cfRule type="cellIs" dxfId="322" priority="337" operator="lessThan">
      <formula>0</formula>
    </cfRule>
  </conditionalFormatting>
  <conditionalFormatting sqref="F3068">
    <cfRule type="cellIs" dxfId="321" priority="336" operator="lessThan">
      <formula>0</formula>
    </cfRule>
  </conditionalFormatting>
  <conditionalFormatting sqref="F3069">
    <cfRule type="cellIs" dxfId="320" priority="335" operator="lessThan">
      <formula>0</formula>
    </cfRule>
  </conditionalFormatting>
  <conditionalFormatting sqref="F3070">
    <cfRule type="cellIs" dxfId="319" priority="334" operator="lessThan">
      <formula>0</formula>
    </cfRule>
  </conditionalFormatting>
  <conditionalFormatting sqref="F3071">
    <cfRule type="cellIs" dxfId="318" priority="333" operator="lessThan">
      <formula>0</formula>
    </cfRule>
  </conditionalFormatting>
  <conditionalFormatting sqref="F3072">
    <cfRule type="cellIs" dxfId="317" priority="332" operator="lessThan">
      <formula>0</formula>
    </cfRule>
  </conditionalFormatting>
  <conditionalFormatting sqref="F3073">
    <cfRule type="cellIs" dxfId="316" priority="331" operator="lessThan">
      <formula>0</formula>
    </cfRule>
  </conditionalFormatting>
  <conditionalFormatting sqref="F3074">
    <cfRule type="cellIs" dxfId="315" priority="330" operator="lessThan">
      <formula>0</formula>
    </cfRule>
  </conditionalFormatting>
  <conditionalFormatting sqref="F3075">
    <cfRule type="cellIs" dxfId="314" priority="329" operator="lessThan">
      <formula>0</formula>
    </cfRule>
  </conditionalFormatting>
  <conditionalFormatting sqref="F3076">
    <cfRule type="cellIs" dxfId="313" priority="328" operator="lessThan">
      <formula>0</formula>
    </cfRule>
  </conditionalFormatting>
  <conditionalFormatting sqref="F3077">
    <cfRule type="cellIs" dxfId="312" priority="327" operator="lessThan">
      <formula>0</formula>
    </cfRule>
  </conditionalFormatting>
  <conditionalFormatting sqref="F3078">
    <cfRule type="cellIs" dxfId="311" priority="326" operator="lessThan">
      <formula>0</formula>
    </cfRule>
  </conditionalFormatting>
  <conditionalFormatting sqref="F3079">
    <cfRule type="cellIs" dxfId="310" priority="324" operator="lessThan">
      <formula>0</formula>
    </cfRule>
  </conditionalFormatting>
  <conditionalFormatting sqref="F3080">
    <cfRule type="cellIs" dxfId="309" priority="323" operator="lessThan">
      <formula>0</formula>
    </cfRule>
  </conditionalFormatting>
  <conditionalFormatting sqref="F3081">
    <cfRule type="cellIs" dxfId="308" priority="318" operator="lessThan">
      <formula>0</formula>
    </cfRule>
  </conditionalFormatting>
  <conditionalFormatting sqref="F3082">
    <cfRule type="cellIs" dxfId="307" priority="317" operator="lessThan">
      <formula>0</formula>
    </cfRule>
  </conditionalFormatting>
  <conditionalFormatting sqref="F3083">
    <cfRule type="cellIs" dxfId="306" priority="315" operator="lessThan">
      <formula>0</formula>
    </cfRule>
  </conditionalFormatting>
  <conditionalFormatting sqref="F3084">
    <cfRule type="cellIs" dxfId="305" priority="314" operator="lessThan">
      <formula>0</formula>
    </cfRule>
  </conditionalFormatting>
  <conditionalFormatting sqref="F3085">
    <cfRule type="cellIs" dxfId="304" priority="313" operator="lessThan">
      <formula>0</formula>
    </cfRule>
  </conditionalFormatting>
  <conditionalFormatting sqref="F3086">
    <cfRule type="cellIs" dxfId="303" priority="312" operator="lessThan">
      <formula>0</formula>
    </cfRule>
  </conditionalFormatting>
  <conditionalFormatting sqref="F3087">
    <cfRule type="cellIs" dxfId="302" priority="311" operator="lessThan">
      <formula>0</formula>
    </cfRule>
  </conditionalFormatting>
  <conditionalFormatting sqref="F3088">
    <cfRule type="cellIs" dxfId="301" priority="310" operator="lessThan">
      <formula>0</formula>
    </cfRule>
  </conditionalFormatting>
  <conditionalFormatting sqref="F3089">
    <cfRule type="cellIs" dxfId="300" priority="309" operator="lessThan">
      <formula>0</formula>
    </cfRule>
  </conditionalFormatting>
  <conditionalFormatting sqref="F3090">
    <cfRule type="cellIs" dxfId="299" priority="308" operator="lessThan">
      <formula>0</formula>
    </cfRule>
  </conditionalFormatting>
  <conditionalFormatting sqref="F3091">
    <cfRule type="cellIs" dxfId="298" priority="307" operator="lessThan">
      <formula>0</formula>
    </cfRule>
  </conditionalFormatting>
  <conditionalFormatting sqref="F3092">
    <cfRule type="cellIs" dxfId="297" priority="306" operator="lessThan">
      <formula>0</formula>
    </cfRule>
  </conditionalFormatting>
  <conditionalFormatting sqref="F3093">
    <cfRule type="cellIs" dxfId="296" priority="305" operator="lessThan">
      <formula>0</formula>
    </cfRule>
  </conditionalFormatting>
  <conditionalFormatting sqref="F3094">
    <cfRule type="cellIs" dxfId="295" priority="304" operator="lessThan">
      <formula>0</formula>
    </cfRule>
  </conditionalFormatting>
  <conditionalFormatting sqref="F3095">
    <cfRule type="cellIs" dxfId="294" priority="303" operator="lessThan">
      <formula>0</formula>
    </cfRule>
  </conditionalFormatting>
  <conditionalFormatting sqref="F3096">
    <cfRule type="cellIs" dxfId="293" priority="302" operator="lessThan">
      <formula>0</formula>
    </cfRule>
  </conditionalFormatting>
  <conditionalFormatting sqref="F3097">
    <cfRule type="cellIs" dxfId="292" priority="301" operator="lessThan">
      <formula>0</formula>
    </cfRule>
  </conditionalFormatting>
  <conditionalFormatting sqref="F3098">
    <cfRule type="cellIs" dxfId="291" priority="300" operator="lessThan">
      <formula>0</formula>
    </cfRule>
  </conditionalFormatting>
  <conditionalFormatting sqref="F3099">
    <cfRule type="cellIs" dxfId="290" priority="299" operator="lessThan">
      <formula>0</formula>
    </cfRule>
  </conditionalFormatting>
  <conditionalFormatting sqref="F3100">
    <cfRule type="cellIs" dxfId="289" priority="298" operator="lessThan">
      <formula>0</formula>
    </cfRule>
  </conditionalFormatting>
  <conditionalFormatting sqref="F3101">
    <cfRule type="cellIs" dxfId="288" priority="297" operator="lessThan">
      <formula>0</formula>
    </cfRule>
  </conditionalFormatting>
  <conditionalFormatting sqref="F3102">
    <cfRule type="cellIs" dxfId="287" priority="296" operator="lessThan">
      <formula>0</formula>
    </cfRule>
  </conditionalFormatting>
  <conditionalFormatting sqref="F3103">
    <cfRule type="cellIs" dxfId="286" priority="295" operator="lessThan">
      <formula>0</formula>
    </cfRule>
  </conditionalFormatting>
  <conditionalFormatting sqref="F3104">
    <cfRule type="cellIs" dxfId="285" priority="294" operator="lessThan">
      <formula>0</formula>
    </cfRule>
  </conditionalFormatting>
  <conditionalFormatting sqref="F3105">
    <cfRule type="cellIs" dxfId="284" priority="293" operator="lessThan">
      <formula>0</formula>
    </cfRule>
  </conditionalFormatting>
  <conditionalFormatting sqref="F3106">
    <cfRule type="cellIs" dxfId="283" priority="292" operator="lessThan">
      <formula>0</formula>
    </cfRule>
  </conditionalFormatting>
  <conditionalFormatting sqref="F3107">
    <cfRule type="cellIs" dxfId="282" priority="291" operator="lessThan">
      <formula>0</formula>
    </cfRule>
  </conditionalFormatting>
  <conditionalFormatting sqref="F3108">
    <cfRule type="cellIs" dxfId="281" priority="290" operator="lessThan">
      <formula>0</formula>
    </cfRule>
  </conditionalFormatting>
  <conditionalFormatting sqref="F3109">
    <cfRule type="cellIs" dxfId="280" priority="289" operator="lessThan">
      <formula>0</formula>
    </cfRule>
  </conditionalFormatting>
  <conditionalFormatting sqref="F3110">
    <cfRule type="cellIs" dxfId="279" priority="288" operator="lessThan">
      <formula>0</formula>
    </cfRule>
  </conditionalFormatting>
  <conditionalFormatting sqref="F3111">
    <cfRule type="cellIs" dxfId="278" priority="287" operator="lessThan">
      <formula>0</formula>
    </cfRule>
  </conditionalFormatting>
  <conditionalFormatting sqref="F3112">
    <cfRule type="cellIs" dxfId="277" priority="286" operator="lessThan">
      <formula>0</formula>
    </cfRule>
  </conditionalFormatting>
  <conditionalFormatting sqref="F3113">
    <cfRule type="cellIs" dxfId="276" priority="285" operator="lessThan">
      <formula>0</formula>
    </cfRule>
  </conditionalFormatting>
  <conditionalFormatting sqref="F3114:F3115">
    <cfRule type="cellIs" dxfId="275" priority="284" operator="lessThan">
      <formula>0</formula>
    </cfRule>
  </conditionalFormatting>
  <conditionalFormatting sqref="F3116:F3123">
    <cfRule type="cellIs" dxfId="274" priority="283" operator="lessThan">
      <formula>0</formula>
    </cfRule>
  </conditionalFormatting>
  <conditionalFormatting sqref="F3124">
    <cfRule type="cellIs" dxfId="273" priority="282" operator="lessThan">
      <formula>0</formula>
    </cfRule>
  </conditionalFormatting>
  <conditionalFormatting sqref="F3125">
    <cfRule type="cellIs" dxfId="272" priority="281" operator="lessThan">
      <formula>0</formula>
    </cfRule>
  </conditionalFormatting>
  <conditionalFormatting sqref="F3126">
    <cfRule type="cellIs" dxfId="271" priority="280" operator="lessThan">
      <formula>0</formula>
    </cfRule>
  </conditionalFormatting>
  <conditionalFormatting sqref="F3127">
    <cfRule type="cellIs" dxfId="270" priority="279" operator="lessThan">
      <formula>0</formula>
    </cfRule>
  </conditionalFormatting>
  <conditionalFormatting sqref="F3128">
    <cfRule type="cellIs" dxfId="269" priority="278" operator="lessThan">
      <formula>0</formula>
    </cfRule>
  </conditionalFormatting>
  <conditionalFormatting sqref="F3129">
    <cfRule type="cellIs" dxfId="268" priority="277" operator="lessThan">
      <formula>0</formula>
    </cfRule>
  </conditionalFormatting>
  <conditionalFormatting sqref="F3130">
    <cfRule type="cellIs" dxfId="267" priority="276" operator="lessThan">
      <formula>0</formula>
    </cfRule>
  </conditionalFormatting>
  <conditionalFormatting sqref="F3131">
    <cfRule type="cellIs" dxfId="266" priority="275" operator="lessThan">
      <formula>0</formula>
    </cfRule>
  </conditionalFormatting>
  <conditionalFormatting sqref="F3132">
    <cfRule type="cellIs" dxfId="265" priority="274" operator="lessThan">
      <formula>0</formula>
    </cfRule>
  </conditionalFormatting>
  <conditionalFormatting sqref="F3133">
    <cfRule type="cellIs" dxfId="264" priority="273" operator="lessThan">
      <formula>0</formula>
    </cfRule>
  </conditionalFormatting>
  <conditionalFormatting sqref="F3134">
    <cfRule type="cellIs" dxfId="263" priority="272" operator="lessThan">
      <formula>0</formula>
    </cfRule>
  </conditionalFormatting>
  <conditionalFormatting sqref="F3135">
    <cfRule type="cellIs" dxfId="262" priority="271" operator="lessThan">
      <formula>0</formula>
    </cfRule>
  </conditionalFormatting>
  <conditionalFormatting sqref="F3136:F3137">
    <cfRule type="cellIs" dxfId="261" priority="270" operator="lessThan">
      <formula>0</formula>
    </cfRule>
  </conditionalFormatting>
  <conditionalFormatting sqref="F3138">
    <cfRule type="cellIs" dxfId="260" priority="269" operator="lessThan">
      <formula>0</formula>
    </cfRule>
  </conditionalFormatting>
  <conditionalFormatting sqref="F3139">
    <cfRule type="cellIs" dxfId="259" priority="267" operator="lessThan">
      <formula>0</formula>
    </cfRule>
  </conditionalFormatting>
  <conditionalFormatting sqref="F3140">
    <cfRule type="cellIs" dxfId="258" priority="266" operator="lessThan">
      <formula>0</formula>
    </cfRule>
  </conditionalFormatting>
  <conditionalFormatting sqref="F3141">
    <cfRule type="cellIs" dxfId="257" priority="265" operator="lessThan">
      <formula>0</formula>
    </cfRule>
  </conditionalFormatting>
  <conditionalFormatting sqref="F3142">
    <cfRule type="cellIs" dxfId="256" priority="264" operator="lessThan">
      <formula>0</formula>
    </cfRule>
  </conditionalFormatting>
  <conditionalFormatting sqref="F3143">
    <cfRule type="cellIs" dxfId="255" priority="263" operator="lessThan">
      <formula>0</formula>
    </cfRule>
  </conditionalFormatting>
  <conditionalFormatting sqref="F3144">
    <cfRule type="cellIs" dxfId="254" priority="262" operator="lessThan">
      <formula>0</formula>
    </cfRule>
  </conditionalFormatting>
  <conditionalFormatting sqref="F3145">
    <cfRule type="cellIs" dxfId="253" priority="261" operator="lessThan">
      <formula>0</formula>
    </cfRule>
  </conditionalFormatting>
  <conditionalFormatting sqref="F3146">
    <cfRule type="cellIs" dxfId="252" priority="260" operator="lessThan">
      <formula>0</formula>
    </cfRule>
  </conditionalFormatting>
  <conditionalFormatting sqref="F3147">
    <cfRule type="cellIs" dxfId="251" priority="259" operator="lessThan">
      <formula>0</formula>
    </cfRule>
  </conditionalFormatting>
  <conditionalFormatting sqref="F3148">
    <cfRule type="cellIs" dxfId="250" priority="258" operator="lessThan">
      <formula>0</formula>
    </cfRule>
  </conditionalFormatting>
  <conditionalFormatting sqref="F3149:F3152">
    <cfRule type="cellIs" dxfId="249" priority="257" operator="lessThan">
      <formula>0</formula>
    </cfRule>
  </conditionalFormatting>
  <conditionalFormatting sqref="F3153:F3154">
    <cfRule type="cellIs" dxfId="248" priority="256" operator="lessThan">
      <formula>0</formula>
    </cfRule>
  </conditionalFormatting>
  <conditionalFormatting sqref="F3155">
    <cfRule type="cellIs" dxfId="247" priority="255" operator="lessThan">
      <formula>0</formula>
    </cfRule>
  </conditionalFormatting>
  <conditionalFormatting sqref="F3156">
    <cfRule type="cellIs" dxfId="246" priority="254" operator="lessThan">
      <formula>0</formula>
    </cfRule>
  </conditionalFormatting>
  <conditionalFormatting sqref="F3157">
    <cfRule type="cellIs" dxfId="245" priority="253" operator="lessThan">
      <formula>0</formula>
    </cfRule>
  </conditionalFormatting>
  <conditionalFormatting sqref="F3158">
    <cfRule type="cellIs" dxfId="244" priority="252" operator="lessThan">
      <formula>0</formula>
    </cfRule>
  </conditionalFormatting>
  <conditionalFormatting sqref="F3159">
    <cfRule type="cellIs" dxfId="243" priority="251" operator="lessThan">
      <formula>0</formula>
    </cfRule>
  </conditionalFormatting>
  <conditionalFormatting sqref="F3160">
    <cfRule type="cellIs" dxfId="242" priority="250" operator="lessThan">
      <formula>0</formula>
    </cfRule>
  </conditionalFormatting>
  <conditionalFormatting sqref="F3161">
    <cfRule type="cellIs" dxfId="241" priority="249" operator="lessThan">
      <formula>0</formula>
    </cfRule>
  </conditionalFormatting>
  <conditionalFormatting sqref="F3162">
    <cfRule type="cellIs" dxfId="240" priority="248" operator="lessThan">
      <formula>0</formula>
    </cfRule>
  </conditionalFormatting>
  <conditionalFormatting sqref="F3163">
    <cfRule type="cellIs" dxfId="239" priority="247" operator="lessThan">
      <formula>0</formula>
    </cfRule>
  </conditionalFormatting>
  <conditionalFormatting sqref="F3164">
    <cfRule type="cellIs" dxfId="238" priority="246" operator="lessThan">
      <formula>0</formula>
    </cfRule>
  </conditionalFormatting>
  <conditionalFormatting sqref="F3165">
    <cfRule type="cellIs" dxfId="237" priority="245" operator="lessThan">
      <formula>0</formula>
    </cfRule>
  </conditionalFormatting>
  <conditionalFormatting sqref="F3166">
    <cfRule type="cellIs" dxfId="236" priority="244" operator="lessThan">
      <formula>0</formula>
    </cfRule>
  </conditionalFormatting>
  <conditionalFormatting sqref="F3167">
    <cfRule type="cellIs" dxfId="235" priority="243" operator="lessThan">
      <formula>0</formula>
    </cfRule>
  </conditionalFormatting>
  <conditionalFormatting sqref="F3168">
    <cfRule type="cellIs" dxfId="234" priority="242" operator="lessThan">
      <formula>0</formula>
    </cfRule>
  </conditionalFormatting>
  <conditionalFormatting sqref="F3169">
    <cfRule type="cellIs" dxfId="233" priority="240" operator="lessThan">
      <formula>0</formula>
    </cfRule>
  </conditionalFormatting>
  <conditionalFormatting sqref="F3170">
    <cfRule type="cellIs" dxfId="232" priority="239" operator="lessThan">
      <formula>0</formula>
    </cfRule>
  </conditionalFormatting>
  <conditionalFormatting sqref="F3171">
    <cfRule type="cellIs" dxfId="231" priority="238" operator="lessThan">
      <formula>0</formula>
    </cfRule>
  </conditionalFormatting>
  <conditionalFormatting sqref="F3172">
    <cfRule type="cellIs" dxfId="230" priority="237" operator="lessThan">
      <formula>0</formula>
    </cfRule>
  </conditionalFormatting>
  <conditionalFormatting sqref="F3173">
    <cfRule type="cellIs" dxfId="229" priority="236" operator="lessThan">
      <formula>0</formula>
    </cfRule>
  </conditionalFormatting>
  <conditionalFormatting sqref="F3174">
    <cfRule type="cellIs" dxfId="228" priority="235" operator="lessThan">
      <formula>0</formula>
    </cfRule>
  </conditionalFormatting>
  <conditionalFormatting sqref="F3175">
    <cfRule type="cellIs" dxfId="227" priority="234" operator="lessThan">
      <formula>0</formula>
    </cfRule>
  </conditionalFormatting>
  <conditionalFormatting sqref="F3176">
    <cfRule type="cellIs" dxfId="226" priority="233" operator="lessThan">
      <formula>0</formula>
    </cfRule>
  </conditionalFormatting>
  <conditionalFormatting sqref="F3177">
    <cfRule type="cellIs" dxfId="225" priority="232" operator="lessThan">
      <formula>0</formula>
    </cfRule>
  </conditionalFormatting>
  <conditionalFormatting sqref="F3178">
    <cfRule type="cellIs" dxfId="224" priority="231" operator="lessThan">
      <formula>0</formula>
    </cfRule>
  </conditionalFormatting>
  <conditionalFormatting sqref="F3179">
    <cfRule type="cellIs" dxfId="223" priority="230" operator="lessThan">
      <formula>0</formula>
    </cfRule>
  </conditionalFormatting>
  <conditionalFormatting sqref="F3180">
    <cfRule type="cellIs" dxfId="222" priority="229" operator="lessThan">
      <formula>0</formula>
    </cfRule>
  </conditionalFormatting>
  <conditionalFormatting sqref="F3181">
    <cfRule type="cellIs" dxfId="221" priority="228" operator="lessThan">
      <formula>0</formula>
    </cfRule>
  </conditionalFormatting>
  <conditionalFormatting sqref="F3182">
    <cfRule type="cellIs" dxfId="220" priority="227" operator="lessThan">
      <formula>0</formula>
    </cfRule>
  </conditionalFormatting>
  <conditionalFormatting sqref="F3183">
    <cfRule type="cellIs" dxfId="219" priority="226" operator="lessThan">
      <formula>0</formula>
    </cfRule>
  </conditionalFormatting>
  <conditionalFormatting sqref="F3184">
    <cfRule type="cellIs" dxfId="218" priority="225" operator="lessThan">
      <formula>0</formula>
    </cfRule>
  </conditionalFormatting>
  <conditionalFormatting sqref="F3185">
    <cfRule type="cellIs" dxfId="217" priority="224" operator="lessThan">
      <formula>0</formula>
    </cfRule>
  </conditionalFormatting>
  <conditionalFormatting sqref="F3186">
    <cfRule type="cellIs" dxfId="216" priority="222" operator="lessThan">
      <formula>0</formula>
    </cfRule>
  </conditionalFormatting>
  <conditionalFormatting sqref="F3187">
    <cfRule type="cellIs" dxfId="215" priority="221" operator="lessThan">
      <formula>0</formula>
    </cfRule>
  </conditionalFormatting>
  <conditionalFormatting sqref="F3188">
    <cfRule type="cellIs" dxfId="214" priority="220" operator="lessThan">
      <formula>0</formula>
    </cfRule>
  </conditionalFormatting>
  <conditionalFormatting sqref="F3189">
    <cfRule type="cellIs" dxfId="213" priority="219" operator="lessThan">
      <formula>0</formula>
    </cfRule>
  </conditionalFormatting>
  <conditionalFormatting sqref="F3190">
    <cfRule type="cellIs" dxfId="212" priority="218" operator="lessThan">
      <formula>0</formula>
    </cfRule>
  </conditionalFormatting>
  <conditionalFormatting sqref="F3191">
    <cfRule type="cellIs" dxfId="211" priority="217" operator="lessThan">
      <formula>0</formula>
    </cfRule>
  </conditionalFormatting>
  <conditionalFormatting sqref="F3192">
    <cfRule type="cellIs" dxfId="210" priority="216" operator="lessThan">
      <formula>0</formula>
    </cfRule>
  </conditionalFormatting>
  <conditionalFormatting sqref="F3193">
    <cfRule type="cellIs" dxfId="209" priority="215" operator="lessThan">
      <formula>0</formula>
    </cfRule>
  </conditionalFormatting>
  <conditionalFormatting sqref="F3194">
    <cfRule type="cellIs" dxfId="208" priority="214" operator="lessThan">
      <formula>0</formula>
    </cfRule>
  </conditionalFormatting>
  <conditionalFormatting sqref="F3195">
    <cfRule type="cellIs" dxfId="207" priority="213" operator="lessThan">
      <formula>0</formula>
    </cfRule>
  </conditionalFormatting>
  <conditionalFormatting sqref="F3196">
    <cfRule type="cellIs" dxfId="206" priority="212" operator="lessThan">
      <formula>0</formula>
    </cfRule>
  </conditionalFormatting>
  <conditionalFormatting sqref="F3197">
    <cfRule type="cellIs" dxfId="205" priority="211" operator="lessThan">
      <formula>0</formula>
    </cfRule>
  </conditionalFormatting>
  <conditionalFormatting sqref="F3198">
    <cfRule type="cellIs" dxfId="204" priority="210" operator="lessThan">
      <formula>0</formula>
    </cfRule>
  </conditionalFormatting>
  <conditionalFormatting sqref="F3199">
    <cfRule type="cellIs" dxfId="203" priority="209" operator="lessThan">
      <formula>0</formula>
    </cfRule>
  </conditionalFormatting>
  <conditionalFormatting sqref="F3200">
    <cfRule type="cellIs" dxfId="202" priority="208" operator="lessThan">
      <formula>0</formula>
    </cfRule>
  </conditionalFormatting>
  <conditionalFormatting sqref="F3201">
    <cfRule type="cellIs" dxfId="201" priority="206" operator="lessThan">
      <formula>0</formula>
    </cfRule>
  </conditionalFormatting>
  <conditionalFormatting sqref="F3202">
    <cfRule type="cellIs" dxfId="200" priority="205" operator="lessThan">
      <formula>0</formula>
    </cfRule>
  </conditionalFormatting>
  <conditionalFormatting sqref="F3203">
    <cfRule type="cellIs" dxfId="199" priority="204" operator="lessThan">
      <formula>0</formula>
    </cfRule>
  </conditionalFormatting>
  <conditionalFormatting sqref="F3204">
    <cfRule type="cellIs" dxfId="198" priority="203" operator="lessThan">
      <formula>0</formula>
    </cfRule>
  </conditionalFormatting>
  <conditionalFormatting sqref="F3205:F3207">
    <cfRule type="cellIs" dxfId="197" priority="202" operator="lessThan">
      <formula>0</formula>
    </cfRule>
  </conditionalFormatting>
  <conditionalFormatting sqref="F3208">
    <cfRule type="cellIs" dxfId="196" priority="201" operator="lessThan">
      <formula>0</formula>
    </cfRule>
  </conditionalFormatting>
  <conditionalFormatting sqref="F3209">
    <cfRule type="cellIs" dxfId="195" priority="200" operator="lessThan">
      <formula>0</formula>
    </cfRule>
  </conditionalFormatting>
  <conditionalFormatting sqref="F3211">
    <cfRule type="cellIs" dxfId="194" priority="199" operator="lessThan">
      <formula>0</formula>
    </cfRule>
  </conditionalFormatting>
  <conditionalFormatting sqref="F3212">
    <cfRule type="cellIs" dxfId="193" priority="198" operator="lessThan">
      <formula>0</formula>
    </cfRule>
  </conditionalFormatting>
  <conditionalFormatting sqref="F3213">
    <cfRule type="cellIs" dxfId="192" priority="197" operator="lessThan">
      <formula>0</formula>
    </cfRule>
  </conditionalFormatting>
  <conditionalFormatting sqref="F3214">
    <cfRule type="cellIs" dxfId="191" priority="196" operator="lessThan">
      <formula>0</formula>
    </cfRule>
  </conditionalFormatting>
  <conditionalFormatting sqref="F3215">
    <cfRule type="cellIs" dxfId="190" priority="195" operator="lessThan">
      <formula>0</formula>
    </cfRule>
  </conditionalFormatting>
  <conditionalFormatting sqref="F3216">
    <cfRule type="cellIs" dxfId="189" priority="194" operator="lessThan">
      <formula>0</formula>
    </cfRule>
  </conditionalFormatting>
  <conditionalFormatting sqref="F3217">
    <cfRule type="cellIs" dxfId="188" priority="193" operator="lessThan">
      <formula>0</formula>
    </cfRule>
  </conditionalFormatting>
  <conditionalFormatting sqref="F3218">
    <cfRule type="cellIs" dxfId="187" priority="192" operator="lessThan">
      <formula>0</formula>
    </cfRule>
  </conditionalFormatting>
  <conditionalFormatting sqref="F3219">
    <cfRule type="cellIs" dxfId="186" priority="191" operator="lessThan">
      <formula>0</formula>
    </cfRule>
  </conditionalFormatting>
  <conditionalFormatting sqref="F3220">
    <cfRule type="cellIs" dxfId="185" priority="190" operator="lessThan">
      <formula>0</formula>
    </cfRule>
  </conditionalFormatting>
  <conditionalFormatting sqref="F3221">
    <cfRule type="cellIs" dxfId="184" priority="189" operator="lessThan">
      <formula>0</formula>
    </cfRule>
  </conditionalFormatting>
  <conditionalFormatting sqref="F3222">
    <cfRule type="cellIs" dxfId="183" priority="188" operator="lessThan">
      <formula>0</formula>
    </cfRule>
  </conditionalFormatting>
  <conditionalFormatting sqref="F3223">
    <cfRule type="cellIs" dxfId="182" priority="187" operator="lessThan">
      <formula>0</formula>
    </cfRule>
  </conditionalFormatting>
  <conditionalFormatting sqref="F3224">
    <cfRule type="cellIs" dxfId="181" priority="186" operator="lessThan">
      <formula>0</formula>
    </cfRule>
  </conditionalFormatting>
  <conditionalFormatting sqref="F3226">
    <cfRule type="cellIs" dxfId="180" priority="185" operator="lessThan">
      <formula>0</formula>
    </cfRule>
  </conditionalFormatting>
  <conditionalFormatting sqref="F3227">
    <cfRule type="cellIs" dxfId="179" priority="184" operator="lessThan">
      <formula>0</formula>
    </cfRule>
  </conditionalFormatting>
  <conditionalFormatting sqref="F3228">
    <cfRule type="cellIs" dxfId="178" priority="183" operator="lessThan">
      <formula>0</formula>
    </cfRule>
  </conditionalFormatting>
  <conditionalFormatting sqref="F3229">
    <cfRule type="cellIs" dxfId="177" priority="182" operator="lessThan">
      <formula>0</formula>
    </cfRule>
  </conditionalFormatting>
  <conditionalFormatting sqref="F3230">
    <cfRule type="cellIs" dxfId="176" priority="181" operator="lessThan">
      <formula>0</formula>
    </cfRule>
  </conditionalFormatting>
  <conditionalFormatting sqref="F3231:F3233">
    <cfRule type="cellIs" dxfId="175" priority="180" operator="lessThan">
      <formula>0</formula>
    </cfRule>
  </conditionalFormatting>
  <conditionalFormatting sqref="F3234">
    <cfRule type="cellIs" dxfId="174" priority="179" operator="lessThan">
      <formula>0</formula>
    </cfRule>
  </conditionalFormatting>
  <conditionalFormatting sqref="F3235">
    <cfRule type="cellIs" dxfId="173" priority="178" operator="lessThan">
      <formula>0</formula>
    </cfRule>
  </conditionalFormatting>
  <conditionalFormatting sqref="F3236">
    <cfRule type="cellIs" dxfId="172" priority="177" operator="lessThan">
      <formula>0</formula>
    </cfRule>
  </conditionalFormatting>
  <conditionalFormatting sqref="F3237">
    <cfRule type="cellIs" dxfId="171" priority="176" operator="lessThan">
      <formula>0</formula>
    </cfRule>
  </conditionalFormatting>
  <conditionalFormatting sqref="F3238">
    <cfRule type="cellIs" dxfId="170" priority="175" operator="lessThan">
      <formula>0</formula>
    </cfRule>
  </conditionalFormatting>
  <conditionalFormatting sqref="F3239">
    <cfRule type="cellIs" dxfId="169" priority="174" operator="lessThan">
      <formula>0</formula>
    </cfRule>
  </conditionalFormatting>
  <conditionalFormatting sqref="F3239">
    <cfRule type="cellIs" dxfId="168" priority="173" operator="lessThan">
      <formula>0</formula>
    </cfRule>
  </conditionalFormatting>
  <conditionalFormatting sqref="F3240">
    <cfRule type="cellIs" dxfId="167" priority="172" operator="lessThan">
      <formula>0</formula>
    </cfRule>
  </conditionalFormatting>
  <conditionalFormatting sqref="F3240">
    <cfRule type="cellIs" dxfId="166" priority="171" operator="lessThan">
      <formula>0</formula>
    </cfRule>
  </conditionalFormatting>
  <conditionalFormatting sqref="F3241">
    <cfRule type="cellIs" dxfId="165" priority="170" operator="lessThan">
      <formula>0</formula>
    </cfRule>
  </conditionalFormatting>
  <conditionalFormatting sqref="F3241">
    <cfRule type="cellIs" dxfId="164" priority="169" operator="lessThan">
      <formula>0</formula>
    </cfRule>
  </conditionalFormatting>
  <conditionalFormatting sqref="F3242">
    <cfRule type="cellIs" dxfId="163" priority="168" operator="lessThan">
      <formula>0</formula>
    </cfRule>
  </conditionalFormatting>
  <conditionalFormatting sqref="F3242">
    <cfRule type="cellIs" dxfId="162" priority="167" operator="lessThan">
      <formula>0</formula>
    </cfRule>
  </conditionalFormatting>
  <conditionalFormatting sqref="F3243">
    <cfRule type="cellIs" dxfId="161" priority="166" operator="lessThan">
      <formula>0</formula>
    </cfRule>
  </conditionalFormatting>
  <conditionalFormatting sqref="F3243">
    <cfRule type="cellIs" dxfId="160" priority="165" operator="lessThan">
      <formula>0</formula>
    </cfRule>
  </conditionalFormatting>
  <conditionalFormatting sqref="F3244">
    <cfRule type="cellIs" dxfId="159" priority="164" operator="lessThan">
      <formula>0</formula>
    </cfRule>
  </conditionalFormatting>
  <conditionalFormatting sqref="F3244">
    <cfRule type="cellIs" dxfId="158" priority="163" operator="lessThan">
      <formula>0</formula>
    </cfRule>
  </conditionalFormatting>
  <conditionalFormatting sqref="F3245">
    <cfRule type="cellIs" dxfId="157" priority="162" operator="lessThan">
      <formula>0</formula>
    </cfRule>
  </conditionalFormatting>
  <conditionalFormatting sqref="F3245">
    <cfRule type="cellIs" dxfId="156" priority="161" operator="lessThan">
      <formula>0</formula>
    </cfRule>
  </conditionalFormatting>
  <conditionalFormatting sqref="F3246">
    <cfRule type="cellIs" dxfId="155" priority="160" operator="lessThan">
      <formula>0</formula>
    </cfRule>
  </conditionalFormatting>
  <conditionalFormatting sqref="F3246">
    <cfRule type="cellIs" dxfId="154" priority="159" operator="lessThan">
      <formula>0</formula>
    </cfRule>
  </conditionalFormatting>
  <conditionalFormatting sqref="F3247">
    <cfRule type="cellIs" dxfId="153" priority="158" operator="lessThan">
      <formula>0</formula>
    </cfRule>
  </conditionalFormatting>
  <conditionalFormatting sqref="F3247">
    <cfRule type="cellIs" dxfId="152" priority="157" operator="lessThan">
      <formula>0</formula>
    </cfRule>
  </conditionalFormatting>
  <conditionalFormatting sqref="F3248">
    <cfRule type="cellIs" dxfId="151" priority="156" operator="lessThan">
      <formula>0</formula>
    </cfRule>
  </conditionalFormatting>
  <conditionalFormatting sqref="F3248">
    <cfRule type="cellIs" dxfId="150" priority="155" operator="lessThan">
      <formula>0</formula>
    </cfRule>
  </conditionalFormatting>
  <conditionalFormatting sqref="F3249">
    <cfRule type="cellIs" dxfId="149" priority="154" operator="lessThan">
      <formula>0</formula>
    </cfRule>
  </conditionalFormatting>
  <conditionalFormatting sqref="F3249">
    <cfRule type="cellIs" dxfId="148" priority="153" operator="lessThan">
      <formula>0</formula>
    </cfRule>
  </conditionalFormatting>
  <conditionalFormatting sqref="F3250">
    <cfRule type="cellIs" dxfId="147" priority="152" operator="lessThan">
      <formula>0</formula>
    </cfRule>
  </conditionalFormatting>
  <conditionalFormatting sqref="F3250">
    <cfRule type="cellIs" dxfId="146" priority="151" operator="lessThan">
      <formula>0</formula>
    </cfRule>
  </conditionalFormatting>
  <conditionalFormatting sqref="F3251">
    <cfRule type="cellIs" dxfId="145" priority="150" operator="lessThan">
      <formula>0</formula>
    </cfRule>
  </conditionalFormatting>
  <conditionalFormatting sqref="F3251">
    <cfRule type="cellIs" dxfId="144" priority="149" operator="lessThan">
      <formula>0</formula>
    </cfRule>
  </conditionalFormatting>
  <conditionalFormatting sqref="F3252">
    <cfRule type="cellIs" dxfId="143" priority="148" operator="lessThan">
      <formula>0</formula>
    </cfRule>
  </conditionalFormatting>
  <conditionalFormatting sqref="F3252">
    <cfRule type="cellIs" dxfId="142" priority="147" operator="lessThan">
      <formula>0</formula>
    </cfRule>
  </conditionalFormatting>
  <conditionalFormatting sqref="F3253">
    <cfRule type="cellIs" dxfId="141" priority="146" operator="lessThan">
      <formula>0</formula>
    </cfRule>
  </conditionalFormatting>
  <conditionalFormatting sqref="F3253">
    <cfRule type="cellIs" dxfId="140" priority="145" operator="lessThan">
      <formula>0</formula>
    </cfRule>
  </conditionalFormatting>
  <conditionalFormatting sqref="F3254">
    <cfRule type="cellIs" dxfId="139" priority="144" operator="lessThan">
      <formula>0</formula>
    </cfRule>
  </conditionalFormatting>
  <conditionalFormatting sqref="F3254">
    <cfRule type="cellIs" dxfId="138" priority="143" operator="lessThan">
      <formula>0</formula>
    </cfRule>
  </conditionalFormatting>
  <conditionalFormatting sqref="F3255">
    <cfRule type="cellIs" dxfId="137" priority="142" operator="lessThan">
      <formula>0</formula>
    </cfRule>
  </conditionalFormatting>
  <conditionalFormatting sqref="F3255">
    <cfRule type="cellIs" dxfId="136" priority="141" operator="lessThan">
      <formula>0</formula>
    </cfRule>
  </conditionalFormatting>
  <conditionalFormatting sqref="F3256">
    <cfRule type="cellIs" dxfId="135" priority="140" operator="lessThan">
      <formula>0</formula>
    </cfRule>
  </conditionalFormatting>
  <conditionalFormatting sqref="F3256">
    <cfRule type="cellIs" dxfId="134" priority="139" operator="lessThan">
      <formula>0</formula>
    </cfRule>
  </conditionalFormatting>
  <conditionalFormatting sqref="F3257">
    <cfRule type="cellIs" dxfId="133" priority="138" operator="lessThan">
      <formula>0</formula>
    </cfRule>
  </conditionalFormatting>
  <conditionalFormatting sqref="F3257">
    <cfRule type="cellIs" dxfId="132" priority="137" operator="lessThan">
      <formula>0</formula>
    </cfRule>
  </conditionalFormatting>
  <conditionalFormatting sqref="F3258">
    <cfRule type="cellIs" dxfId="131" priority="136" operator="lessThan">
      <formula>0</formula>
    </cfRule>
  </conditionalFormatting>
  <conditionalFormatting sqref="F3258">
    <cfRule type="cellIs" dxfId="130" priority="135" operator="lessThan">
      <formula>0</formula>
    </cfRule>
  </conditionalFormatting>
  <conditionalFormatting sqref="F3259">
    <cfRule type="cellIs" dxfId="129" priority="134" operator="lessThan">
      <formula>0</formula>
    </cfRule>
  </conditionalFormatting>
  <conditionalFormatting sqref="F3259">
    <cfRule type="cellIs" dxfId="128" priority="133" operator="lessThan">
      <formula>0</formula>
    </cfRule>
  </conditionalFormatting>
  <conditionalFormatting sqref="F3260">
    <cfRule type="cellIs" dxfId="127" priority="132" operator="lessThan">
      <formula>0</formula>
    </cfRule>
  </conditionalFormatting>
  <conditionalFormatting sqref="F3260">
    <cfRule type="cellIs" dxfId="126" priority="131" operator="lessThan">
      <formula>0</formula>
    </cfRule>
  </conditionalFormatting>
  <conditionalFormatting sqref="F3261">
    <cfRule type="cellIs" dxfId="125" priority="130" operator="lessThan">
      <formula>0</formula>
    </cfRule>
  </conditionalFormatting>
  <conditionalFormatting sqref="F3261">
    <cfRule type="cellIs" dxfId="124" priority="129" operator="lessThan">
      <formula>0</formula>
    </cfRule>
  </conditionalFormatting>
  <conditionalFormatting sqref="F3262">
    <cfRule type="cellIs" dxfId="123" priority="128" operator="lessThan">
      <formula>0</formula>
    </cfRule>
  </conditionalFormatting>
  <conditionalFormatting sqref="F3262">
    <cfRule type="cellIs" dxfId="122" priority="127" operator="lessThan">
      <formula>0</formula>
    </cfRule>
  </conditionalFormatting>
  <conditionalFormatting sqref="F3263">
    <cfRule type="cellIs" dxfId="121" priority="126" operator="lessThan">
      <formula>0</formula>
    </cfRule>
  </conditionalFormatting>
  <conditionalFormatting sqref="F3263">
    <cfRule type="cellIs" dxfId="120" priority="125" operator="lessThan">
      <formula>0</formula>
    </cfRule>
  </conditionalFormatting>
  <conditionalFormatting sqref="F3264">
    <cfRule type="cellIs" dxfId="119" priority="124" operator="lessThan">
      <formula>0</formula>
    </cfRule>
  </conditionalFormatting>
  <conditionalFormatting sqref="F3264">
    <cfRule type="cellIs" dxfId="118" priority="123" operator="lessThan">
      <formula>0</formula>
    </cfRule>
  </conditionalFormatting>
  <conditionalFormatting sqref="F3265">
    <cfRule type="cellIs" dxfId="117" priority="122" operator="lessThan">
      <formula>0</formula>
    </cfRule>
  </conditionalFormatting>
  <conditionalFormatting sqref="F3265">
    <cfRule type="cellIs" dxfId="116" priority="121" operator="lessThan">
      <formula>0</formula>
    </cfRule>
  </conditionalFormatting>
  <conditionalFormatting sqref="F3266">
    <cfRule type="cellIs" dxfId="115" priority="120" operator="lessThan">
      <formula>0</formula>
    </cfRule>
  </conditionalFormatting>
  <conditionalFormatting sqref="F3266">
    <cfRule type="cellIs" dxfId="114" priority="119" operator="lessThan">
      <formula>0</formula>
    </cfRule>
  </conditionalFormatting>
  <conditionalFormatting sqref="F3267">
    <cfRule type="cellIs" dxfId="113" priority="118" operator="lessThan">
      <formula>0</formula>
    </cfRule>
  </conditionalFormatting>
  <conditionalFormatting sqref="F3267">
    <cfRule type="cellIs" dxfId="112" priority="117" operator="lessThan">
      <formula>0</formula>
    </cfRule>
  </conditionalFormatting>
  <conditionalFormatting sqref="F3268">
    <cfRule type="cellIs" dxfId="111" priority="116" operator="lessThan">
      <formula>0</formula>
    </cfRule>
  </conditionalFormatting>
  <conditionalFormatting sqref="F3268">
    <cfRule type="cellIs" dxfId="110" priority="115" operator="lessThan">
      <formula>0</formula>
    </cfRule>
  </conditionalFormatting>
  <conditionalFormatting sqref="F3269">
    <cfRule type="cellIs" dxfId="109" priority="114" operator="lessThan">
      <formula>0</formula>
    </cfRule>
  </conditionalFormatting>
  <conditionalFormatting sqref="F3269">
    <cfRule type="cellIs" dxfId="108" priority="113" operator="lessThan">
      <formula>0</formula>
    </cfRule>
  </conditionalFormatting>
  <conditionalFormatting sqref="F3270">
    <cfRule type="cellIs" dxfId="107" priority="112" operator="lessThan">
      <formula>0</formula>
    </cfRule>
  </conditionalFormatting>
  <conditionalFormatting sqref="F3270">
    <cfRule type="cellIs" dxfId="106" priority="111" operator="lessThan">
      <formula>0</formula>
    </cfRule>
  </conditionalFormatting>
  <conditionalFormatting sqref="F3271">
    <cfRule type="cellIs" dxfId="105" priority="110" operator="lessThan">
      <formula>0</formula>
    </cfRule>
  </conditionalFormatting>
  <conditionalFormatting sqref="F3271">
    <cfRule type="cellIs" dxfId="104" priority="109" operator="lessThan">
      <formula>0</formula>
    </cfRule>
  </conditionalFormatting>
  <conditionalFormatting sqref="F3272">
    <cfRule type="cellIs" dxfId="103" priority="108" operator="lessThan">
      <formula>0</formula>
    </cfRule>
  </conditionalFormatting>
  <conditionalFormatting sqref="F3272">
    <cfRule type="cellIs" dxfId="102" priority="107" operator="lessThan">
      <formula>0</formula>
    </cfRule>
  </conditionalFormatting>
  <conditionalFormatting sqref="F3273">
    <cfRule type="cellIs" dxfId="101" priority="106" operator="lessThan">
      <formula>0</formula>
    </cfRule>
  </conditionalFormatting>
  <conditionalFormatting sqref="F3273">
    <cfRule type="cellIs" dxfId="100" priority="105" operator="lessThan">
      <formula>0</formula>
    </cfRule>
  </conditionalFormatting>
  <conditionalFormatting sqref="F3274">
    <cfRule type="cellIs" dxfId="99" priority="104" operator="lessThan">
      <formula>0</formula>
    </cfRule>
  </conditionalFormatting>
  <conditionalFormatting sqref="F3274">
    <cfRule type="cellIs" dxfId="98" priority="103" operator="lessThan">
      <formula>0</formula>
    </cfRule>
  </conditionalFormatting>
  <conditionalFormatting sqref="F3275">
    <cfRule type="cellIs" dxfId="97" priority="102" operator="lessThan">
      <formula>0</formula>
    </cfRule>
  </conditionalFormatting>
  <conditionalFormatting sqref="F3275">
    <cfRule type="cellIs" dxfId="96" priority="101" operator="lessThan">
      <formula>0</formula>
    </cfRule>
  </conditionalFormatting>
  <conditionalFormatting sqref="F3276">
    <cfRule type="cellIs" dxfId="95" priority="100" operator="lessThan">
      <formula>0</formula>
    </cfRule>
  </conditionalFormatting>
  <conditionalFormatting sqref="F3276">
    <cfRule type="cellIs" dxfId="94" priority="99" operator="lessThan">
      <formula>0</formula>
    </cfRule>
  </conditionalFormatting>
  <conditionalFormatting sqref="F3277">
    <cfRule type="cellIs" dxfId="93" priority="98" operator="lessThan">
      <formula>0</formula>
    </cfRule>
  </conditionalFormatting>
  <conditionalFormatting sqref="F3277">
    <cfRule type="cellIs" dxfId="92" priority="97" operator="lessThan">
      <formula>0</formula>
    </cfRule>
  </conditionalFormatting>
  <conditionalFormatting sqref="F3278">
    <cfRule type="cellIs" dxfId="91" priority="96" operator="lessThan">
      <formula>0</formula>
    </cfRule>
  </conditionalFormatting>
  <conditionalFormatting sqref="F3278">
    <cfRule type="cellIs" dxfId="90" priority="95" operator="lessThan">
      <formula>0</formula>
    </cfRule>
  </conditionalFormatting>
  <conditionalFormatting sqref="F3279">
    <cfRule type="cellIs" dxfId="89" priority="94" operator="lessThan">
      <formula>0</formula>
    </cfRule>
  </conditionalFormatting>
  <conditionalFormatting sqref="F3279">
    <cfRule type="cellIs" dxfId="88" priority="93" operator="lessThan">
      <formula>0</formula>
    </cfRule>
  </conditionalFormatting>
  <conditionalFormatting sqref="F3280">
    <cfRule type="cellIs" dxfId="87" priority="92" operator="lessThan">
      <formula>0</formula>
    </cfRule>
  </conditionalFormatting>
  <conditionalFormatting sqref="F3280">
    <cfRule type="cellIs" dxfId="86" priority="91" operator="lessThan">
      <formula>0</formula>
    </cfRule>
  </conditionalFormatting>
  <conditionalFormatting sqref="F3281">
    <cfRule type="cellIs" dxfId="85" priority="90" operator="lessThan">
      <formula>0</formula>
    </cfRule>
  </conditionalFormatting>
  <conditionalFormatting sqref="F3281">
    <cfRule type="cellIs" dxfId="84" priority="89" operator="lessThan">
      <formula>0</formula>
    </cfRule>
  </conditionalFormatting>
  <conditionalFormatting sqref="F3282">
    <cfRule type="cellIs" dxfId="83" priority="88" operator="lessThan">
      <formula>0</formula>
    </cfRule>
  </conditionalFormatting>
  <conditionalFormatting sqref="F3282">
    <cfRule type="cellIs" dxfId="82" priority="87" operator="lessThan">
      <formula>0</formula>
    </cfRule>
  </conditionalFormatting>
  <conditionalFormatting sqref="F3283">
    <cfRule type="cellIs" dxfId="81" priority="86" operator="lessThan">
      <formula>0</formula>
    </cfRule>
  </conditionalFormatting>
  <conditionalFormatting sqref="F3283">
    <cfRule type="cellIs" dxfId="80" priority="85" operator="lessThan">
      <formula>0</formula>
    </cfRule>
  </conditionalFormatting>
  <conditionalFormatting sqref="F3284">
    <cfRule type="cellIs" dxfId="79" priority="84" operator="lessThan">
      <formula>0</formula>
    </cfRule>
  </conditionalFormatting>
  <conditionalFormatting sqref="F3284">
    <cfRule type="cellIs" dxfId="78" priority="83" operator="lessThan">
      <formula>0</formula>
    </cfRule>
  </conditionalFormatting>
  <conditionalFormatting sqref="F3285">
    <cfRule type="cellIs" dxfId="77" priority="82" operator="lessThan">
      <formula>0</formula>
    </cfRule>
  </conditionalFormatting>
  <conditionalFormatting sqref="F3285">
    <cfRule type="cellIs" dxfId="76" priority="81" operator="lessThan">
      <formula>0</formula>
    </cfRule>
  </conditionalFormatting>
  <conditionalFormatting sqref="F3286">
    <cfRule type="cellIs" dxfId="75" priority="80" operator="lessThan">
      <formula>0</formula>
    </cfRule>
  </conditionalFormatting>
  <conditionalFormatting sqref="F3286">
    <cfRule type="cellIs" dxfId="74" priority="79" operator="lessThan">
      <formula>0</formula>
    </cfRule>
  </conditionalFormatting>
  <conditionalFormatting sqref="F3287">
    <cfRule type="cellIs" dxfId="73" priority="78" operator="lessThan">
      <formula>0</formula>
    </cfRule>
  </conditionalFormatting>
  <conditionalFormatting sqref="F3287">
    <cfRule type="cellIs" dxfId="72" priority="77" operator="lessThan">
      <formula>0</formula>
    </cfRule>
  </conditionalFormatting>
  <conditionalFormatting sqref="F3288">
    <cfRule type="cellIs" dxfId="71" priority="76" operator="lessThan">
      <formula>0</formula>
    </cfRule>
  </conditionalFormatting>
  <conditionalFormatting sqref="F3288">
    <cfRule type="cellIs" dxfId="70" priority="75" operator="lessThan">
      <formula>0</formula>
    </cfRule>
  </conditionalFormatting>
  <conditionalFormatting sqref="F3289">
    <cfRule type="cellIs" dxfId="69" priority="74" operator="lessThan">
      <formula>0</formula>
    </cfRule>
  </conditionalFormatting>
  <conditionalFormatting sqref="F3289">
    <cfRule type="cellIs" dxfId="68" priority="73" operator="lessThan">
      <formula>0</formula>
    </cfRule>
  </conditionalFormatting>
  <conditionalFormatting sqref="F3291">
    <cfRule type="cellIs" dxfId="67" priority="72" operator="lessThan">
      <formula>0</formula>
    </cfRule>
  </conditionalFormatting>
  <conditionalFormatting sqref="F3291">
    <cfRule type="cellIs" dxfId="66" priority="71" operator="lessThan">
      <formula>0</formula>
    </cfRule>
  </conditionalFormatting>
  <conditionalFormatting sqref="F3292">
    <cfRule type="cellIs" dxfId="65" priority="70" operator="lessThan">
      <formula>0</formula>
    </cfRule>
  </conditionalFormatting>
  <conditionalFormatting sqref="F3292">
    <cfRule type="cellIs" dxfId="64" priority="69" operator="lessThan">
      <formula>0</formula>
    </cfRule>
  </conditionalFormatting>
  <conditionalFormatting sqref="F3293">
    <cfRule type="cellIs" dxfId="63" priority="68" operator="lessThan">
      <formula>0</formula>
    </cfRule>
  </conditionalFormatting>
  <conditionalFormatting sqref="F3293">
    <cfRule type="cellIs" dxfId="62" priority="67" operator="lessThan">
      <formula>0</formula>
    </cfRule>
  </conditionalFormatting>
  <conditionalFormatting sqref="F3294">
    <cfRule type="cellIs" dxfId="61" priority="64" operator="lessThan">
      <formula>0</formula>
    </cfRule>
  </conditionalFormatting>
  <conditionalFormatting sqref="F3294">
    <cfRule type="cellIs" dxfId="60" priority="63" operator="lessThan">
      <formula>0</formula>
    </cfRule>
  </conditionalFormatting>
  <conditionalFormatting sqref="F3295">
    <cfRule type="cellIs" dxfId="59" priority="62" operator="lessThan">
      <formula>0</formula>
    </cfRule>
  </conditionalFormatting>
  <conditionalFormatting sqref="F3295">
    <cfRule type="cellIs" dxfId="58" priority="61" operator="lessThan">
      <formula>0</formula>
    </cfRule>
  </conditionalFormatting>
  <conditionalFormatting sqref="F3296">
    <cfRule type="cellIs" dxfId="57" priority="60" operator="lessThan">
      <formula>0</formula>
    </cfRule>
  </conditionalFormatting>
  <conditionalFormatting sqref="F3296">
    <cfRule type="cellIs" dxfId="56" priority="59" operator="lessThan">
      <formula>0</formula>
    </cfRule>
  </conditionalFormatting>
  <conditionalFormatting sqref="F3297">
    <cfRule type="cellIs" dxfId="55" priority="58" operator="lessThan">
      <formula>0</formula>
    </cfRule>
  </conditionalFormatting>
  <conditionalFormatting sqref="F3297">
    <cfRule type="cellIs" dxfId="54" priority="57" operator="lessThan">
      <formula>0</formula>
    </cfRule>
  </conditionalFormatting>
  <conditionalFormatting sqref="F3298">
    <cfRule type="cellIs" dxfId="53" priority="56" operator="lessThan">
      <formula>0</formula>
    </cfRule>
  </conditionalFormatting>
  <conditionalFormatting sqref="F3298">
    <cfRule type="cellIs" dxfId="52" priority="55" operator="lessThan">
      <formula>0</formula>
    </cfRule>
  </conditionalFormatting>
  <conditionalFormatting sqref="F3299">
    <cfRule type="cellIs" dxfId="51" priority="54" operator="lessThan">
      <formula>0</formula>
    </cfRule>
  </conditionalFormatting>
  <conditionalFormatting sqref="F3299">
    <cfRule type="cellIs" dxfId="50" priority="53" operator="lessThan">
      <formula>0</formula>
    </cfRule>
  </conditionalFormatting>
  <conditionalFormatting sqref="F3300">
    <cfRule type="cellIs" dxfId="49" priority="52" operator="lessThan">
      <formula>0</formula>
    </cfRule>
  </conditionalFormatting>
  <conditionalFormatting sqref="F3300">
    <cfRule type="cellIs" dxfId="48" priority="51" operator="lessThan">
      <formula>0</formula>
    </cfRule>
  </conditionalFormatting>
  <conditionalFormatting sqref="F3301">
    <cfRule type="cellIs" dxfId="47" priority="50" operator="lessThan">
      <formula>0</formula>
    </cfRule>
  </conditionalFormatting>
  <conditionalFormatting sqref="F3301">
    <cfRule type="cellIs" dxfId="46" priority="49" operator="lessThan">
      <formula>0</formula>
    </cfRule>
  </conditionalFormatting>
  <conditionalFormatting sqref="F3302">
    <cfRule type="cellIs" dxfId="45" priority="48" operator="lessThan">
      <formula>0</formula>
    </cfRule>
  </conditionalFormatting>
  <conditionalFormatting sqref="F3302">
    <cfRule type="cellIs" dxfId="44" priority="47" operator="lessThan">
      <formula>0</formula>
    </cfRule>
  </conditionalFormatting>
  <conditionalFormatting sqref="F3303">
    <cfRule type="cellIs" dxfId="43" priority="46" operator="lessThan">
      <formula>0</formula>
    </cfRule>
  </conditionalFormatting>
  <conditionalFormatting sqref="F3303">
    <cfRule type="cellIs" dxfId="42" priority="45" operator="lessThan">
      <formula>0</formula>
    </cfRule>
  </conditionalFormatting>
  <conditionalFormatting sqref="F3304">
    <cfRule type="cellIs" dxfId="41" priority="44" operator="lessThan">
      <formula>0</formula>
    </cfRule>
  </conditionalFormatting>
  <conditionalFormatting sqref="F3304">
    <cfRule type="cellIs" dxfId="40" priority="43" operator="lessThan">
      <formula>0</formula>
    </cfRule>
  </conditionalFormatting>
  <conditionalFormatting sqref="F3305">
    <cfRule type="cellIs" dxfId="39" priority="42" operator="lessThan">
      <formula>0</formula>
    </cfRule>
  </conditionalFormatting>
  <conditionalFormatting sqref="F3305">
    <cfRule type="cellIs" dxfId="38" priority="41" operator="lessThan">
      <formula>0</formula>
    </cfRule>
  </conditionalFormatting>
  <conditionalFormatting sqref="F3306">
    <cfRule type="cellIs" dxfId="37" priority="40" operator="lessThan">
      <formula>0</formula>
    </cfRule>
  </conditionalFormatting>
  <conditionalFormatting sqref="F3306">
    <cfRule type="cellIs" dxfId="36" priority="39" operator="lessThan">
      <formula>0</formula>
    </cfRule>
  </conditionalFormatting>
  <conditionalFormatting sqref="F3307">
    <cfRule type="cellIs" dxfId="35" priority="38" operator="lessThan">
      <formula>0</formula>
    </cfRule>
  </conditionalFormatting>
  <conditionalFormatting sqref="F3307">
    <cfRule type="cellIs" dxfId="34" priority="37" operator="lessThan">
      <formula>0</formula>
    </cfRule>
  </conditionalFormatting>
  <conditionalFormatting sqref="F3308">
    <cfRule type="cellIs" dxfId="33" priority="36" operator="lessThan">
      <formula>0</formula>
    </cfRule>
  </conditionalFormatting>
  <conditionalFormatting sqref="F3308">
    <cfRule type="cellIs" dxfId="32" priority="35" operator="lessThan">
      <formula>0</formula>
    </cfRule>
  </conditionalFormatting>
  <conditionalFormatting sqref="F3309">
    <cfRule type="cellIs" dxfId="31" priority="34" operator="lessThan">
      <formula>0</formula>
    </cfRule>
  </conditionalFormatting>
  <conditionalFormatting sqref="F3309">
    <cfRule type="cellIs" dxfId="30" priority="33" operator="lessThan">
      <formula>0</formula>
    </cfRule>
  </conditionalFormatting>
  <conditionalFormatting sqref="F3310">
    <cfRule type="cellIs" dxfId="29" priority="32" operator="lessThan">
      <formula>0</formula>
    </cfRule>
  </conditionalFormatting>
  <conditionalFormatting sqref="F3310">
    <cfRule type="cellIs" dxfId="28" priority="31" operator="lessThan">
      <formula>0</formula>
    </cfRule>
  </conditionalFormatting>
  <conditionalFormatting sqref="F3311">
    <cfRule type="cellIs" dxfId="27" priority="30" operator="lessThan">
      <formula>0</formula>
    </cfRule>
  </conditionalFormatting>
  <conditionalFormatting sqref="F3311">
    <cfRule type="cellIs" dxfId="26" priority="29" operator="lessThan">
      <formula>0</formula>
    </cfRule>
  </conditionalFormatting>
  <conditionalFormatting sqref="F3312">
    <cfRule type="cellIs" dxfId="25" priority="28" operator="lessThan">
      <formula>0</formula>
    </cfRule>
  </conditionalFormatting>
  <conditionalFormatting sqref="F3312">
    <cfRule type="cellIs" dxfId="24" priority="27" operator="lessThan">
      <formula>0</formula>
    </cfRule>
  </conditionalFormatting>
  <conditionalFormatting sqref="F3313">
    <cfRule type="cellIs" dxfId="23" priority="26" operator="lessThan">
      <formula>0</formula>
    </cfRule>
  </conditionalFormatting>
  <conditionalFormatting sqref="F3313">
    <cfRule type="cellIs" dxfId="22" priority="25" operator="lessThan">
      <formula>0</formula>
    </cfRule>
  </conditionalFormatting>
  <conditionalFormatting sqref="F3314">
    <cfRule type="cellIs" dxfId="21" priority="24" operator="lessThan">
      <formula>0</formula>
    </cfRule>
  </conditionalFormatting>
  <conditionalFormatting sqref="F3314">
    <cfRule type="cellIs" dxfId="20" priority="23" operator="lessThan">
      <formula>0</formula>
    </cfRule>
  </conditionalFormatting>
  <conditionalFormatting sqref="F3315">
    <cfRule type="cellIs" dxfId="19" priority="20" operator="lessThan">
      <formula>0</formula>
    </cfRule>
  </conditionalFormatting>
  <conditionalFormatting sqref="F3315">
    <cfRule type="cellIs" dxfId="18" priority="19" operator="lessThan">
      <formula>0</formula>
    </cfRule>
  </conditionalFormatting>
  <conditionalFormatting sqref="F3318">
    <cfRule type="cellIs" dxfId="17" priority="18" operator="lessThan">
      <formula>0</formula>
    </cfRule>
  </conditionalFormatting>
  <conditionalFormatting sqref="F3319">
    <cfRule type="cellIs" dxfId="16" priority="17" operator="lessThan">
      <formula>0</formula>
    </cfRule>
  </conditionalFormatting>
  <conditionalFormatting sqref="F3320">
    <cfRule type="cellIs" dxfId="15" priority="16" operator="lessThan">
      <formula>0</formula>
    </cfRule>
  </conditionalFormatting>
  <conditionalFormatting sqref="F3321">
    <cfRule type="cellIs" dxfId="14" priority="15" operator="lessThan">
      <formula>0</formula>
    </cfRule>
  </conditionalFormatting>
  <conditionalFormatting sqref="F3322">
    <cfRule type="cellIs" dxfId="13" priority="14" operator="lessThan">
      <formula>0</formula>
    </cfRule>
  </conditionalFormatting>
  <conditionalFormatting sqref="F3323">
    <cfRule type="cellIs" dxfId="12" priority="13" operator="lessThan">
      <formula>0</formula>
    </cfRule>
  </conditionalFormatting>
  <conditionalFormatting sqref="F3324">
    <cfRule type="cellIs" dxfId="11" priority="12" operator="lessThan">
      <formula>0</formula>
    </cfRule>
  </conditionalFormatting>
  <conditionalFormatting sqref="F3325">
    <cfRule type="cellIs" dxfId="10" priority="11" operator="lessThan">
      <formula>0</formula>
    </cfRule>
  </conditionalFormatting>
  <conditionalFormatting sqref="F3326">
    <cfRule type="cellIs" dxfId="9" priority="10" operator="lessThan">
      <formula>0</formula>
    </cfRule>
  </conditionalFormatting>
  <conditionalFormatting sqref="F3327">
    <cfRule type="cellIs" dxfId="8" priority="9" operator="lessThan">
      <formula>0</formula>
    </cfRule>
  </conditionalFormatting>
  <conditionalFormatting sqref="F3328">
    <cfRule type="cellIs" dxfId="7" priority="8" operator="lessThan">
      <formula>0</formula>
    </cfRule>
  </conditionalFormatting>
  <conditionalFormatting sqref="F3329">
    <cfRule type="cellIs" dxfId="6" priority="7" operator="lessThan">
      <formula>0</formula>
    </cfRule>
  </conditionalFormatting>
  <conditionalFormatting sqref="F3330">
    <cfRule type="cellIs" dxfId="5" priority="6" operator="lessThan">
      <formula>0</formula>
    </cfRule>
  </conditionalFormatting>
  <conditionalFormatting sqref="F3331">
    <cfRule type="cellIs" dxfId="4" priority="5" operator="lessThan">
      <formula>0</formula>
    </cfRule>
  </conditionalFormatting>
  <conditionalFormatting sqref="F3332">
    <cfRule type="cellIs" dxfId="3" priority="4" operator="lessThan">
      <formula>0</formula>
    </cfRule>
  </conditionalFormatting>
  <conditionalFormatting sqref="F3333">
    <cfRule type="cellIs" dxfId="2" priority="3" operator="lessThan">
      <formula>0</formula>
    </cfRule>
  </conditionalFormatting>
  <conditionalFormatting sqref="F3334">
    <cfRule type="cellIs" dxfId="1" priority="2" operator="lessThan">
      <formula>0</formula>
    </cfRule>
  </conditionalFormatting>
  <conditionalFormatting sqref="F333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37" zoomScale="85" zoomScaleNormal="85" workbookViewId="0">
      <selection activeCell="Q62" sqref="Q62"/>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647"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539"/>
      <c r="K1" s="813"/>
      <c r="L1" s="814">
        <f ca="1">TODAY()</f>
        <v>45594</v>
      </c>
      <c r="M1" s="1479" t="s">
        <v>208</v>
      </c>
      <c r="N1" s="1480"/>
    </row>
    <row r="2" spans="1:15" s="57" customFormat="1" ht="15" customHeight="1">
      <c r="A2" s="55" t="s">
        <v>121</v>
      </c>
      <c r="B2" s="56" t="s">
        <v>122</v>
      </c>
      <c r="C2" s="56" t="s">
        <v>123</v>
      </c>
      <c r="D2" s="56" t="s">
        <v>124</v>
      </c>
      <c r="E2" s="56" t="s">
        <v>125</v>
      </c>
      <c r="F2" s="56" t="s">
        <v>126</v>
      </c>
      <c r="G2" s="56" t="s">
        <v>127</v>
      </c>
      <c r="H2" s="56" t="s">
        <v>128</v>
      </c>
      <c r="I2" s="56" t="s">
        <v>129</v>
      </c>
      <c r="J2" s="56" t="s">
        <v>130</v>
      </c>
      <c r="K2" s="642" t="s">
        <v>131</v>
      </c>
      <c r="L2" s="56" t="s">
        <v>132</v>
      </c>
      <c r="M2" s="56" t="s">
        <v>133</v>
      </c>
      <c r="N2" s="56" t="s">
        <v>134</v>
      </c>
      <c r="O2" s="57" t="s">
        <v>212</v>
      </c>
    </row>
    <row r="3" spans="1:15" s="91" customFormat="1" ht="15" hidden="1" customHeight="1">
      <c r="A3" s="91" t="s">
        <v>135</v>
      </c>
      <c r="B3" s="92">
        <v>673.19</v>
      </c>
      <c r="C3" s="92">
        <v>810.15</v>
      </c>
      <c r="D3" s="92">
        <v>557.22</v>
      </c>
      <c r="E3" s="92">
        <v>541.66</v>
      </c>
      <c r="F3" s="92">
        <v>206.43</v>
      </c>
      <c r="G3" s="92">
        <v>547.76</v>
      </c>
      <c r="H3" s="92">
        <v>630.99</v>
      </c>
      <c r="I3" s="92">
        <v>774</v>
      </c>
      <c r="J3" s="92">
        <v>624.19000000000005</v>
      </c>
      <c r="K3" s="650">
        <v>528.63</v>
      </c>
      <c r="L3" s="92">
        <v>502.62</v>
      </c>
      <c r="M3" s="92">
        <v>453.95</v>
      </c>
      <c r="N3" s="92">
        <f>AVERAGE(B3:M3)</f>
        <v>570.8991666666667</v>
      </c>
    </row>
    <row r="4" spans="1:15" s="89" customFormat="1" ht="15" hidden="1" customHeight="1">
      <c r="A4" s="87" t="s">
        <v>136</v>
      </c>
      <c r="B4" s="88">
        <v>707.66</v>
      </c>
      <c r="C4" s="88">
        <v>779.93</v>
      </c>
      <c r="D4" s="88">
        <v>1060.67</v>
      </c>
      <c r="E4" s="88">
        <v>836.17</v>
      </c>
      <c r="F4" s="88">
        <v>825.47</v>
      </c>
      <c r="G4" s="88">
        <v>837.46</v>
      </c>
      <c r="H4" s="88">
        <v>874.08</v>
      </c>
      <c r="I4" s="88">
        <v>874.07</v>
      </c>
      <c r="J4" s="88">
        <v>838.05</v>
      </c>
      <c r="K4" s="88">
        <v>760.63</v>
      </c>
      <c r="L4" s="88">
        <v>701.14</v>
      </c>
      <c r="M4" s="88">
        <v>626.49</v>
      </c>
      <c r="N4" s="88">
        <f t="shared" ref="N4:N18" si="0">AVERAGE(B4:M4)</f>
        <v>810.15166666666664</v>
      </c>
    </row>
    <row r="5" spans="1:15" s="89" customFormat="1" ht="15" hidden="1" customHeight="1">
      <c r="A5" s="87" t="s">
        <v>137</v>
      </c>
      <c r="B5" s="88">
        <v>600.01</v>
      </c>
      <c r="C5" s="88">
        <v>593.98</v>
      </c>
      <c r="D5" s="88">
        <v>604.78</v>
      </c>
      <c r="E5" s="88">
        <v>600.38</v>
      </c>
      <c r="F5" s="88">
        <v>555.91</v>
      </c>
      <c r="G5" s="88">
        <v>548.4</v>
      </c>
      <c r="H5" s="88">
        <v>546.71</v>
      </c>
      <c r="I5" s="88">
        <v>539.78</v>
      </c>
      <c r="J5" s="88">
        <v>538.97</v>
      </c>
      <c r="K5" s="88">
        <v>522.11</v>
      </c>
      <c r="L5" s="88">
        <v>505.49</v>
      </c>
      <c r="M5" s="88">
        <v>530.09</v>
      </c>
      <c r="N5" s="88">
        <f t="shared" si="0"/>
        <v>557.21749999999997</v>
      </c>
    </row>
    <row r="6" spans="1:15" s="89" customFormat="1" ht="15" hidden="1" customHeight="1">
      <c r="A6" s="87" t="s">
        <v>138</v>
      </c>
      <c r="B6" s="88">
        <v>515.69000000000005</v>
      </c>
      <c r="C6" s="88">
        <v>504.68</v>
      </c>
      <c r="D6" s="88">
        <v>521.38</v>
      </c>
      <c r="E6" s="88">
        <v>532.79</v>
      </c>
      <c r="F6" s="88">
        <v>520.55999999999995</v>
      </c>
      <c r="G6" s="88">
        <v>547.59</v>
      </c>
      <c r="H6" s="88">
        <v>626.45000000000005</v>
      </c>
      <c r="I6" s="88">
        <v>652.46</v>
      </c>
      <c r="J6" s="88">
        <v>623.74</v>
      </c>
      <c r="K6" s="88">
        <v>538.91999999999996</v>
      </c>
      <c r="L6" s="88">
        <v>460.52</v>
      </c>
      <c r="M6" s="88">
        <v>455.16</v>
      </c>
      <c r="N6" s="88">
        <f t="shared" si="0"/>
        <v>541.66166666666675</v>
      </c>
    </row>
    <row r="7" spans="1:15" s="89" customFormat="1" ht="15" hidden="1" customHeight="1">
      <c r="A7" s="87" t="s">
        <v>139</v>
      </c>
      <c r="B7" s="88">
        <v>436.54</v>
      </c>
      <c r="C7" s="88">
        <v>413.5</v>
      </c>
      <c r="D7" s="88">
        <v>405.68</v>
      </c>
      <c r="E7" s="88">
        <v>421.27</v>
      </c>
      <c r="F7" s="88">
        <v>407.25</v>
      </c>
      <c r="G7" s="88">
        <v>394.79</v>
      </c>
      <c r="H7" s="88">
        <v>388.25</v>
      </c>
      <c r="I7" s="88">
        <v>388.38</v>
      </c>
      <c r="J7" s="88">
        <v>375.73</v>
      </c>
      <c r="K7" s="88">
        <v>384.26</v>
      </c>
      <c r="L7" s="88">
        <v>400.25</v>
      </c>
      <c r="M7" s="88">
        <v>461.21</v>
      </c>
      <c r="N7" s="88">
        <f t="shared" si="0"/>
        <v>406.42583333333329</v>
      </c>
    </row>
    <row r="8" spans="1:15" s="89" customFormat="1" ht="15" hidden="1" customHeight="1">
      <c r="A8" s="87" t="s">
        <v>140</v>
      </c>
      <c r="B8" s="88">
        <v>490.08</v>
      </c>
      <c r="C8" s="88">
        <v>485.43</v>
      </c>
      <c r="D8" s="88">
        <v>451.46</v>
      </c>
      <c r="E8" s="88">
        <v>439.89</v>
      </c>
      <c r="F8" s="88">
        <v>473.5</v>
      </c>
      <c r="G8" s="88">
        <v>525.04999999999995</v>
      </c>
      <c r="H8" s="88">
        <v>580.14</v>
      </c>
      <c r="I8" s="88">
        <v>570.75</v>
      </c>
      <c r="J8" s="88">
        <v>613.45000000000005</v>
      </c>
      <c r="K8" s="88">
        <v>641.83000000000004</v>
      </c>
      <c r="L8" s="88">
        <v>667.18</v>
      </c>
      <c r="M8" s="88">
        <v>634.29999999999995</v>
      </c>
      <c r="N8" s="88">
        <f t="shared" si="0"/>
        <v>547.755</v>
      </c>
    </row>
    <row r="9" spans="1:15" s="89" customFormat="1" ht="15" hidden="1" customHeight="1">
      <c r="A9" s="87" t="s">
        <v>141</v>
      </c>
      <c r="B9" s="88">
        <v>666.64</v>
      </c>
      <c r="C9" s="88">
        <v>580.35</v>
      </c>
      <c r="D9" s="88">
        <v>585.57000000000005</v>
      </c>
      <c r="E9" s="88">
        <v>608.5</v>
      </c>
      <c r="F9" s="88">
        <v>596.48</v>
      </c>
      <c r="G9" s="88">
        <v>611.79999999999995</v>
      </c>
      <c r="H9" s="88">
        <v>621.9</v>
      </c>
      <c r="I9" s="88">
        <v>623.64</v>
      </c>
      <c r="J9" s="88">
        <v>592.71</v>
      </c>
      <c r="K9" s="88">
        <v>639.09</v>
      </c>
      <c r="L9" s="88">
        <v>713.59</v>
      </c>
      <c r="M9" s="88">
        <v>731.61</v>
      </c>
      <c r="N9" s="88">
        <f t="shared" si="0"/>
        <v>630.99</v>
      </c>
    </row>
    <row r="10" spans="1:15" s="89" customFormat="1" ht="15" hidden="1" customHeight="1">
      <c r="A10" s="87" t="s">
        <v>142</v>
      </c>
      <c r="B10" s="88">
        <v>709.5</v>
      </c>
      <c r="C10" s="88">
        <v>769.67</v>
      </c>
      <c r="D10" s="88">
        <v>813.45</v>
      </c>
      <c r="E10" s="88">
        <v>815</v>
      </c>
      <c r="F10" s="88">
        <v>840.24</v>
      </c>
      <c r="G10" s="88">
        <v>796.53</v>
      </c>
      <c r="H10" s="88">
        <v>784.09</v>
      </c>
      <c r="I10" s="88">
        <v>815.67</v>
      </c>
      <c r="J10" s="88">
        <v>796.57</v>
      </c>
      <c r="K10" s="88">
        <v>741.89</v>
      </c>
      <c r="L10" s="88">
        <v>716.55</v>
      </c>
      <c r="M10" s="88">
        <v>688.78</v>
      </c>
      <c r="N10" s="88">
        <f t="shared" si="0"/>
        <v>773.995</v>
      </c>
    </row>
    <row r="11" spans="1:15" s="89" customFormat="1" ht="15" hidden="1" customHeight="1">
      <c r="A11" s="87" t="s">
        <v>143</v>
      </c>
      <c r="B11" s="88">
        <v>692.25</v>
      </c>
      <c r="C11" s="88">
        <v>660.23</v>
      </c>
      <c r="D11" s="88">
        <v>694.63</v>
      </c>
      <c r="E11" s="88">
        <v>642.48</v>
      </c>
      <c r="F11" s="88">
        <v>618.6</v>
      </c>
      <c r="G11" s="88">
        <v>614.92999999999995</v>
      </c>
      <c r="H11" s="88">
        <v>634.33000000000004</v>
      </c>
      <c r="I11" s="88">
        <v>608.1</v>
      </c>
      <c r="J11" s="88">
        <v>634.42999999999995</v>
      </c>
      <c r="K11" s="88">
        <v>600.26</v>
      </c>
      <c r="L11" s="88">
        <v>563.4</v>
      </c>
      <c r="M11" s="88">
        <v>526.62</v>
      </c>
      <c r="N11" s="88">
        <f t="shared" si="0"/>
        <v>624.18833333333339</v>
      </c>
    </row>
    <row r="12" spans="1:15" s="90" customFormat="1" ht="15" hidden="1" customHeight="1">
      <c r="A12" s="87" t="s">
        <v>144</v>
      </c>
      <c r="B12" s="88">
        <v>531.58000000000004</v>
      </c>
      <c r="C12" s="88">
        <v>516.38</v>
      </c>
      <c r="D12" s="88">
        <v>559.82000000000005</v>
      </c>
      <c r="E12" s="88">
        <v>572.65</v>
      </c>
      <c r="F12" s="88">
        <v>543.47</v>
      </c>
      <c r="G12" s="88">
        <v>528.32000000000005</v>
      </c>
      <c r="H12" s="88">
        <v>546.20000000000005</v>
      </c>
      <c r="I12" s="88">
        <v>536.70000000000005</v>
      </c>
      <c r="J12" s="88">
        <v>520.16</v>
      </c>
      <c r="K12" s="88">
        <v>492.82</v>
      </c>
      <c r="L12" s="88">
        <v>494.17</v>
      </c>
      <c r="M12" s="88">
        <v>501.26</v>
      </c>
      <c r="N12" s="88">
        <f t="shared" si="0"/>
        <v>528.62750000000005</v>
      </c>
    </row>
    <row r="13" spans="1:15" s="90" customFormat="1" ht="15" hidden="1" customHeight="1">
      <c r="A13" s="87" t="s">
        <v>145</v>
      </c>
      <c r="B13" s="88">
        <v>492.3</v>
      </c>
      <c r="C13" s="88">
        <v>513.654</v>
      </c>
      <c r="D13" s="88">
        <v>507.83</v>
      </c>
      <c r="E13" s="88">
        <v>519.33000000000004</v>
      </c>
      <c r="F13" s="88">
        <v>541.53</v>
      </c>
      <c r="G13" s="88">
        <v>496.11</v>
      </c>
      <c r="H13" s="88">
        <v>495.8</v>
      </c>
      <c r="I13" s="88">
        <v>503.07</v>
      </c>
      <c r="J13" s="88">
        <v>507.32</v>
      </c>
      <c r="K13" s="88">
        <v>497.1</v>
      </c>
      <c r="L13" s="88">
        <v>478.32</v>
      </c>
      <c r="M13" s="88">
        <v>479.05</v>
      </c>
      <c r="N13" s="88">
        <f t="shared" si="0"/>
        <v>502.61783333333341</v>
      </c>
    </row>
    <row r="14" spans="1:15" s="90" customFormat="1" ht="15" hidden="1" customHeight="1">
      <c r="A14" s="87" t="s">
        <v>146</v>
      </c>
      <c r="B14" s="88">
        <v>472.08</v>
      </c>
      <c r="C14" s="88">
        <v>452.38</v>
      </c>
      <c r="D14" s="88">
        <v>441.3</v>
      </c>
      <c r="E14" s="88">
        <v>421.14</v>
      </c>
      <c r="F14" s="88">
        <v>412.12</v>
      </c>
      <c r="G14" s="88">
        <v>419.59</v>
      </c>
      <c r="H14" s="88">
        <v>452.12</v>
      </c>
      <c r="I14" s="88">
        <v>473.09</v>
      </c>
      <c r="J14" s="88">
        <v>487.05</v>
      </c>
      <c r="K14" s="88">
        <v>486.14</v>
      </c>
      <c r="L14" s="88">
        <v>468.02</v>
      </c>
      <c r="M14" s="88">
        <v>462.34</v>
      </c>
      <c r="N14" s="88">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643">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6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6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6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6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6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643">
        <v>3719.72</v>
      </c>
      <c r="L21" s="79">
        <v>3328.18</v>
      </c>
      <c r="M21" s="48">
        <v>2596.0300000000002</v>
      </c>
      <c r="N21" s="297">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645">
        <v>1480.11</v>
      </c>
      <c r="L22" s="46">
        <v>1291.0999999999999</v>
      </c>
      <c r="M22" s="46">
        <v>962.88</v>
      </c>
      <c r="N22" s="298">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3">
        <v>1900.1</v>
      </c>
      <c r="J23" s="48">
        <v>2204.5500000000002</v>
      </c>
      <c r="K23" s="643">
        <v>2240.77</v>
      </c>
      <c r="L23" s="79">
        <v>2308.7600000000002</v>
      </c>
      <c r="M23" s="296">
        <v>2328.52</v>
      </c>
      <c r="N23" s="297">
        <v>1726.11</v>
      </c>
    </row>
    <row r="24" spans="1:14" s="51" customFormat="1" ht="15" hidden="1" customHeight="1">
      <c r="A24" s="47" t="s">
        <v>156</v>
      </c>
      <c r="B24" s="79">
        <v>2368.38</v>
      </c>
      <c r="C24" s="79">
        <v>2123.6750000000002</v>
      </c>
      <c r="D24" s="79">
        <v>2172.0869565217399</v>
      </c>
      <c r="E24" s="79">
        <v>2264.85</v>
      </c>
      <c r="F24" s="79">
        <v>1882.6842105263158</v>
      </c>
      <c r="G24" s="316">
        <v>1703.9545454545455</v>
      </c>
      <c r="H24" s="316">
        <v>1836.9772727272727</v>
      </c>
      <c r="I24" s="296">
        <v>2075.2380952380954</v>
      </c>
      <c r="J24" s="296">
        <v>2184.2272727272725</v>
      </c>
      <c r="K24" s="646">
        <v>2379.6666666666665</v>
      </c>
      <c r="L24" s="79">
        <v>2376.7272727272725</v>
      </c>
      <c r="M24" s="79">
        <v>2412.9285714285702</v>
      </c>
      <c r="N24" s="31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643">
        <v>1948.5952380952381</v>
      </c>
      <c r="L25" s="79">
        <v>1982.0454545454545</v>
      </c>
      <c r="M25" s="79">
        <v>2018.9749999999999</v>
      </c>
      <c r="N25" s="94">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643">
        <v>2153.304347826087</v>
      </c>
      <c r="L26" s="79">
        <v>2179.4772727272725</v>
      </c>
      <c r="M26" s="232">
        <v>2275.5</v>
      </c>
      <c r="N26" s="94">
        <v>2061.39</v>
      </c>
    </row>
    <row r="27" spans="1:14" s="51" customFormat="1" ht="15" hidden="1" customHeight="1">
      <c r="A27" s="47" t="s">
        <v>159</v>
      </c>
      <c r="B27" s="232">
        <v>2340.27</v>
      </c>
      <c r="C27" s="232">
        <v>2376.1999999999998</v>
      </c>
      <c r="D27" s="232">
        <v>2183.48</v>
      </c>
      <c r="E27" s="232">
        <v>2030.26</v>
      </c>
      <c r="F27" s="232">
        <v>2028.29</v>
      </c>
      <c r="G27" s="232">
        <v>2103.83</v>
      </c>
      <c r="H27" s="232">
        <v>2048.2399999999998</v>
      </c>
      <c r="I27" s="232">
        <v>2173.4499999999998</v>
      </c>
      <c r="J27" s="232">
        <v>2088.4</v>
      </c>
      <c r="K27" s="643">
        <v>2111.46</v>
      </c>
      <c r="L27" s="232">
        <v>2090.19</v>
      </c>
      <c r="M27" s="232">
        <v>2133</v>
      </c>
      <c r="N27" s="94">
        <v>2141.15</v>
      </c>
    </row>
    <row r="28" spans="1:14" s="51" customFormat="1" ht="15" hidden="1" customHeight="1">
      <c r="A28" s="47" t="s">
        <v>160</v>
      </c>
      <c r="B28" s="232">
        <v>2148.89</v>
      </c>
      <c r="C28" s="232">
        <v>2110.48</v>
      </c>
      <c r="D28" s="232">
        <v>2056.36</v>
      </c>
      <c r="E28" s="232">
        <v>2085.9499999999998</v>
      </c>
      <c r="F28" s="232">
        <v>2097.13</v>
      </c>
      <c r="G28" s="79">
        <v>2103.31</v>
      </c>
      <c r="H28" s="79">
        <v>2189.2600000000002</v>
      </c>
      <c r="I28" s="79">
        <v>2236.58</v>
      </c>
      <c r="J28" s="79">
        <v>2122.25</v>
      </c>
      <c r="K28" s="643">
        <v>2038.09</v>
      </c>
      <c r="L28" s="79">
        <v>2023.73</v>
      </c>
      <c r="M28" s="79">
        <v>1936.1</v>
      </c>
      <c r="N28" s="23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18">
        <v>1682.05</v>
      </c>
      <c r="K29" s="643">
        <v>1724.57</v>
      </c>
      <c r="L29" s="318">
        <v>1615.98</v>
      </c>
      <c r="M29" s="232">
        <v>1701.29</v>
      </c>
      <c r="N29" s="23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18">
        <v>1942.02</v>
      </c>
      <c r="K30" s="643">
        <v>2039.93</v>
      </c>
      <c r="L30" s="318">
        <v>2178.840909090909</v>
      </c>
      <c r="M30" s="232">
        <v>2230.8249999999998</v>
      </c>
      <c r="N30" s="231">
        <v>1871.5770750988142</v>
      </c>
    </row>
    <row r="31" spans="1:14" s="51" customFormat="1" ht="15" hidden="1" customHeight="1">
      <c r="A31" s="47" t="s">
        <v>163</v>
      </c>
      <c r="B31" s="79">
        <v>2236.6904761904761</v>
      </c>
      <c r="C31" s="318">
        <v>2321.73</v>
      </c>
      <c r="D31" s="318">
        <v>2277.304347826087</v>
      </c>
      <c r="E31" s="318">
        <v>2231.3055555555557</v>
      </c>
      <c r="F31" s="318">
        <v>2131.67</v>
      </c>
      <c r="G31" s="318">
        <v>2131.181818181818</v>
      </c>
      <c r="H31" s="318">
        <v>2266.4047619047619</v>
      </c>
      <c r="I31" s="318">
        <v>2357.318181818182</v>
      </c>
      <c r="J31" s="318">
        <v>2377.2857142857142</v>
      </c>
      <c r="K31" s="643">
        <v>2506.2954545454545</v>
      </c>
      <c r="L31" s="318">
        <v>2464.409090909091</v>
      </c>
      <c r="M31" s="318">
        <v>2508.8157894736842</v>
      </c>
      <c r="N31" s="231">
        <v>2317.4563492063494</v>
      </c>
    </row>
    <row r="32" spans="1:14" s="51" customFormat="1" ht="15" hidden="1" customHeight="1">
      <c r="A32" s="47" t="s">
        <v>164</v>
      </c>
      <c r="B32" s="79">
        <v>2589.7727272727275</v>
      </c>
      <c r="C32" s="318">
        <v>2580.8249999999998</v>
      </c>
      <c r="D32" s="318">
        <v>2397</v>
      </c>
      <c r="E32" s="318">
        <v>2357.375</v>
      </c>
      <c r="F32" s="318">
        <v>2363.8809523809523</v>
      </c>
      <c r="G32" s="318">
        <v>2440.7399999999998</v>
      </c>
      <c r="H32" s="318">
        <v>2212.909090909091</v>
      </c>
      <c r="I32" s="318">
        <v>2064.86</v>
      </c>
      <c r="J32" s="318">
        <v>2028.23</v>
      </c>
      <c r="K32" s="643">
        <v>1985.1521739130435</v>
      </c>
      <c r="L32" s="318">
        <v>1940.159090909091</v>
      </c>
      <c r="M32" s="318">
        <v>1965.4736842105262</v>
      </c>
      <c r="N32" s="457">
        <f>'Pb 가격및재고'!O5748</f>
        <v>1999.6798418972332</v>
      </c>
    </row>
    <row r="33" spans="1:256" s="51" customFormat="1" ht="15" hidden="1" customHeight="1">
      <c r="A33" s="49" t="s">
        <v>165</v>
      </c>
      <c r="B33" s="52">
        <v>1994.159090909091</v>
      </c>
      <c r="C33" s="412">
        <v>2062.0749999999998</v>
      </c>
      <c r="D33" s="412">
        <v>2054.5714285714284</v>
      </c>
      <c r="E33" s="412">
        <v>1948.85</v>
      </c>
      <c r="F33" s="412">
        <v>1817.2142857142858</v>
      </c>
      <c r="G33" s="412">
        <v>1891.5</v>
      </c>
      <c r="H33" s="412">
        <v>1974.0217391304348</v>
      </c>
      <c r="I33" s="412">
        <v>2043.1904761904761</v>
      </c>
      <c r="J33" s="412">
        <v>2070.8571428571427</v>
      </c>
      <c r="K33" s="644">
        <v>2184.304347826087</v>
      </c>
      <c r="L33" s="412">
        <v>2031.9047619047619</v>
      </c>
      <c r="M33" s="412">
        <v>1899.25</v>
      </c>
      <c r="N33" s="457">
        <f>'Pb 가격및재고'!O5748</f>
        <v>1999.6798418972332</v>
      </c>
    </row>
    <row r="34" spans="1:256" s="51" customFormat="1" ht="15" hidden="1" customHeight="1">
      <c r="A34" s="49" t="s">
        <v>166</v>
      </c>
      <c r="B34" s="52">
        <v>1925.159090909091</v>
      </c>
      <c r="C34" s="412">
        <v>1872.3</v>
      </c>
      <c r="D34" s="412">
        <v>1744.6363636363637</v>
      </c>
      <c r="E34" s="412">
        <v>1651.5250000000001</v>
      </c>
      <c r="F34" s="412">
        <v>1618.1578947368421</v>
      </c>
      <c r="G34" s="412">
        <v>1739.8636363636363</v>
      </c>
      <c r="H34" s="412">
        <v>1812.1521739130435</v>
      </c>
      <c r="I34" s="412">
        <v>1935.2</v>
      </c>
      <c r="J34" s="412">
        <v>1881.3636363636363</v>
      </c>
      <c r="K34" s="644">
        <v>1777.0681818181818</v>
      </c>
      <c r="L34" s="412">
        <v>1914.4761904761904</v>
      </c>
      <c r="M34" s="412">
        <v>2018.5952380952381</v>
      </c>
      <c r="N34" s="457">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643">
        <f>'Pb 가격및재고'!N6246</f>
        <v>2339.4523809523807</v>
      </c>
      <c r="L35" s="437">
        <f>'Pb 가격및재고'!N6269</f>
        <v>2347.568181818182</v>
      </c>
      <c r="M35" s="437">
        <f>'Pb 가격및재고'!N6293</f>
        <v>2304.7857142857142</v>
      </c>
      <c r="N35" s="457">
        <f>'Pb 가격및재고'!O6293</f>
        <v>2206.2252964426875</v>
      </c>
    </row>
    <row r="36" spans="1:256" ht="15" hidden="1" customHeight="1">
      <c r="A36" s="49" t="s">
        <v>168</v>
      </c>
      <c r="B36" s="456">
        <v>2342.6999999999998</v>
      </c>
      <c r="C36" s="456">
        <f>'[4]Pb 가격및재고'!N6336</f>
        <v>2299.9</v>
      </c>
      <c r="D36" s="456">
        <f>'[4]Pb 가격및재고'!N6360</f>
        <v>2359.478260869565</v>
      </c>
      <c r="E36" s="456">
        <v>2396.7399999999998</v>
      </c>
      <c r="F36" s="456">
        <v>2145.17</v>
      </c>
      <c r="G36" s="52">
        <v>2067.38</v>
      </c>
      <c r="H36" s="52">
        <v>1976.26</v>
      </c>
      <c r="I36" s="52">
        <v>2077.91</v>
      </c>
      <c r="J36" s="52">
        <v>1874.45</v>
      </c>
      <c r="K36" s="644">
        <v>1988.1</v>
      </c>
      <c r="L36" s="422">
        <v>2099.3863636363635</v>
      </c>
      <c r="M36" s="456">
        <v>2212.4749999999999</v>
      </c>
      <c r="N36" s="457">
        <f>'Pb 가격및재고'!O6565</f>
        <v>2150.1733067729083</v>
      </c>
    </row>
    <row r="37" spans="1:256" ht="14.4" customHeight="1">
      <c r="A37" s="826" t="s">
        <v>169</v>
      </c>
      <c r="B37" s="651">
        <v>2208.1666666666702</v>
      </c>
      <c r="C37" s="651">
        <v>2098.9</v>
      </c>
      <c r="D37" s="651">
        <v>2114.782608695652</v>
      </c>
      <c r="E37" s="651">
        <v>2149.1388888888901</v>
      </c>
      <c r="F37" s="651">
        <v>2087.5</v>
      </c>
      <c r="G37" s="651">
        <v>2118.36</v>
      </c>
      <c r="H37" s="651">
        <v>2106.8809523809523</v>
      </c>
      <c r="I37" s="651">
        <v>2151.7272727272725</v>
      </c>
      <c r="J37" s="651">
        <v>2252.8571428571427</v>
      </c>
      <c r="K37" s="651">
        <v>2136.3863636363635</v>
      </c>
      <c r="L37" s="651">
        <v>2185.068181818182</v>
      </c>
      <c r="M37" s="651">
        <v>2036.3947368421052</v>
      </c>
      <c r="N37" s="1105">
        <f>'Pb 가격및재고'!O6835</f>
        <v>2138.1832669322707</v>
      </c>
    </row>
    <row r="38" spans="1:256" ht="15" customHeight="1">
      <c r="A38" s="58" t="s">
        <v>209</v>
      </c>
      <c r="B38" s="901">
        <v>2087.5</v>
      </c>
      <c r="C38" s="901">
        <v>2084.2380952380954</v>
      </c>
      <c r="D38" s="651">
        <f>'Pb 가격및재고'!N6901</f>
        <v>2056.9</v>
      </c>
      <c r="E38" s="651">
        <f>'Pb 가격및재고'!N6925</f>
        <v>2129.6666666666665</v>
      </c>
      <c r="F38" s="651">
        <f>'Pb 가격및재고'!N6949</f>
        <v>2221.2619047619046</v>
      </c>
      <c r="G38" s="651">
        <f>'Pb 가격및재고'!N6970</f>
        <v>2147.8249999999998</v>
      </c>
      <c r="H38" s="651">
        <f>'Pb 가격및재고'!N6994</f>
        <v>2114.3478260869565</v>
      </c>
      <c r="I38" s="651">
        <f>'Pb 가격및재고'!N7017</f>
        <v>2002.4047619047619</v>
      </c>
      <c r="J38" s="398">
        <f>'Pb 가격및재고'!N7039</f>
        <v>2007.3571428571429</v>
      </c>
      <c r="K38" s="433">
        <f>'Pb 가격및재고'!N7060</f>
        <v>2045.5</v>
      </c>
      <c r="L38" s="433"/>
      <c r="M38" s="1106"/>
      <c r="N38" s="1107">
        <f>'Pb 가격및재고'!O7060</f>
        <v>2090.0142857142855</v>
      </c>
    </row>
    <row r="39" spans="1:256" s="57" customFormat="1" ht="15" customHeight="1">
      <c r="A39" s="61" t="s">
        <v>170</v>
      </c>
      <c r="B39" s="865">
        <f>B38-M37</f>
        <v>51.105263157894797</v>
      </c>
      <c r="C39" s="865">
        <f t="shared" ref="C39:K39" si="1">C38-B38</f>
        <v>-3.2619047619045887</v>
      </c>
      <c r="D39" s="652">
        <f t="shared" si="1"/>
        <v>-27.33809523809532</v>
      </c>
      <c r="E39" s="652">
        <f t="shared" si="1"/>
        <v>72.766666666666424</v>
      </c>
      <c r="F39" s="652">
        <f t="shared" si="1"/>
        <v>91.595238095238074</v>
      </c>
      <c r="G39" s="652">
        <f t="shared" si="1"/>
        <v>-73.436904761904771</v>
      </c>
      <c r="H39" s="652">
        <f t="shared" si="1"/>
        <v>-33.477173913043316</v>
      </c>
      <c r="I39" s="652">
        <f t="shared" si="1"/>
        <v>-111.94306418219458</v>
      </c>
      <c r="J39" s="973">
        <f>J38-I38</f>
        <v>4.9523809523809632</v>
      </c>
      <c r="K39" s="652">
        <f t="shared" si="1"/>
        <v>38.14285714285711</v>
      </c>
      <c r="L39" s="652"/>
      <c r="M39" s="512"/>
      <c r="N39" s="59"/>
      <c r="O39" s="44"/>
    </row>
    <row r="40" spans="1:256" s="57" customFormat="1" ht="18.75" customHeight="1">
      <c r="A40" s="61"/>
      <c r="B40" s="182"/>
      <c r="C40" s="182"/>
      <c r="D40" s="182"/>
      <c r="E40" s="182"/>
      <c r="F40" s="182"/>
      <c r="G40" s="182"/>
      <c r="H40" s="182"/>
      <c r="I40" s="182"/>
      <c r="J40" s="182"/>
      <c r="K40" s="652"/>
      <c r="L40" s="182"/>
      <c r="M40" s="182"/>
      <c r="N40" s="59"/>
      <c r="O40" s="44"/>
    </row>
    <row r="41" spans="1:256" ht="18.75" customHeight="1">
      <c r="A41" s="54" t="s">
        <v>206</v>
      </c>
      <c r="I41" s="44"/>
      <c r="J41" s="60"/>
      <c r="K41" s="647"/>
    </row>
    <row r="42" spans="1:256" ht="15" customHeight="1">
      <c r="A42" s="55" t="s">
        <v>121</v>
      </c>
      <c r="B42" s="56" t="s">
        <v>122</v>
      </c>
      <c r="C42" s="56" t="s">
        <v>123</v>
      </c>
      <c r="D42" s="56" t="s">
        <v>124</v>
      </c>
      <c r="E42" s="56" t="s">
        <v>125</v>
      </c>
      <c r="F42" s="56" t="s">
        <v>126</v>
      </c>
      <c r="G42" s="56" t="s">
        <v>127</v>
      </c>
      <c r="H42" s="56" t="s">
        <v>128</v>
      </c>
      <c r="I42" s="56" t="s">
        <v>129</v>
      </c>
      <c r="J42" s="56" t="s">
        <v>130</v>
      </c>
      <c r="K42" s="642" t="s">
        <v>131</v>
      </c>
      <c r="L42" s="56" t="s">
        <v>132</v>
      </c>
      <c r="M42" s="56" t="s">
        <v>133</v>
      </c>
      <c r="N42" s="56" t="s">
        <v>134</v>
      </c>
    </row>
    <row r="43" spans="1:256" s="51" customFormat="1" ht="15" hidden="1" customHeight="1">
      <c r="A43" s="415" t="s">
        <v>171</v>
      </c>
      <c r="B43" s="416">
        <v>1048.3599999999999</v>
      </c>
      <c r="C43" s="416">
        <v>1032.3900000000001</v>
      </c>
      <c r="D43" s="416">
        <v>1017.32</v>
      </c>
      <c r="E43" s="416">
        <v>1020.8</v>
      </c>
      <c r="F43" s="416">
        <v>1012</v>
      </c>
      <c r="G43" s="416">
        <v>1020.73</v>
      </c>
      <c r="H43" s="416">
        <v>1047.55</v>
      </c>
      <c r="I43" s="416">
        <v>1031.1300000000001</v>
      </c>
      <c r="J43" s="416">
        <v>1039.3599999999999</v>
      </c>
      <c r="K43" s="644">
        <v>1056.45</v>
      </c>
      <c r="L43" s="50">
        <v>1051.5899999999999</v>
      </c>
      <c r="M43" s="50">
        <v>1034.1400000000001</v>
      </c>
      <c r="N43" s="50">
        <f>AVERAGE(B43:M43)</f>
        <v>1034.3183333333334</v>
      </c>
      <c r="O43" s="44"/>
    </row>
    <row r="44" spans="1:256" s="51" customFormat="1" ht="15" hidden="1" customHeight="1">
      <c r="A44" s="415" t="s">
        <v>172</v>
      </c>
      <c r="B44" s="416">
        <v>996.65</v>
      </c>
      <c r="C44" s="416">
        <v>979.68</v>
      </c>
      <c r="D44" s="416">
        <v>984.6</v>
      </c>
      <c r="E44" s="416">
        <v>963.74</v>
      </c>
      <c r="F44" s="416">
        <v>950.58</v>
      </c>
      <c r="G44" s="416">
        <v>964.47</v>
      </c>
      <c r="H44" s="416">
        <v>959.42</v>
      </c>
      <c r="I44" s="416">
        <v>970.09</v>
      </c>
      <c r="J44" s="416">
        <v>962.96</v>
      </c>
      <c r="K44" s="644">
        <v>963.52</v>
      </c>
      <c r="L44" s="50">
        <v>945.35</v>
      </c>
      <c r="M44" s="50">
        <v>934.77</v>
      </c>
      <c r="N44" s="50">
        <f>AVERAGE(B44:M44)</f>
        <v>964.65250000000015</v>
      </c>
      <c r="O44" s="44"/>
    </row>
    <row r="45" spans="1:256" s="51" customFormat="1" ht="15" hidden="1" customHeight="1">
      <c r="A45" s="415" t="s">
        <v>153</v>
      </c>
      <c r="B45" s="416">
        <v>945.48</v>
      </c>
      <c r="C45" s="416">
        <v>946.14</v>
      </c>
      <c r="D45" s="416">
        <v>952.44</v>
      </c>
      <c r="E45" s="416">
        <v>940.58</v>
      </c>
      <c r="F45" s="416">
        <v>936.96</v>
      </c>
      <c r="G45" s="416">
        <v>937.35</v>
      </c>
      <c r="H45" s="416">
        <v>927.8</v>
      </c>
      <c r="I45" s="416">
        <v>942.91</v>
      </c>
      <c r="J45" s="416">
        <v>941.49</v>
      </c>
      <c r="K45" s="644">
        <v>924.76</v>
      </c>
      <c r="L45" s="50">
        <v>925.9</v>
      </c>
      <c r="M45" s="50">
        <v>939.31</v>
      </c>
      <c r="N45" s="50">
        <f>AVERAGE(B45:M45)</f>
        <v>938.42666666666673</v>
      </c>
      <c r="O45" s="44"/>
    </row>
    <row r="46" spans="1:256" s="51" customFormat="1" ht="15" hidden="1" customHeight="1">
      <c r="A46" s="53" t="s">
        <v>154</v>
      </c>
      <c r="B46" s="417">
        <v>951.56</v>
      </c>
      <c r="C46" s="417">
        <v>953.89</v>
      </c>
      <c r="D46" s="417">
        <v>989.41</v>
      </c>
      <c r="E46" s="417">
        <v>996.27</v>
      </c>
      <c r="F46" s="417">
        <v>1046.8499999999999</v>
      </c>
      <c r="G46" s="417">
        <v>1039.3</v>
      </c>
      <c r="H46" s="417">
        <v>1029.05</v>
      </c>
      <c r="I46" s="417">
        <v>1051.71</v>
      </c>
      <c r="J46" s="417">
        <v>1141.43</v>
      </c>
      <c r="K46" s="643">
        <v>1339.88</v>
      </c>
      <c r="L46" s="48">
        <v>1403.67</v>
      </c>
      <c r="M46" s="48">
        <v>1387.27</v>
      </c>
      <c r="N46" s="48">
        <v>1113.3399999999999</v>
      </c>
      <c r="O46" s="44"/>
    </row>
    <row r="47" spans="1:256" s="419" customFormat="1" ht="15" hidden="1" customHeight="1">
      <c r="A47" s="53" t="s">
        <v>173</v>
      </c>
      <c r="B47" s="265">
        <v>1359.25</v>
      </c>
      <c r="C47" s="417">
        <v>1443.42</v>
      </c>
      <c r="D47" s="417">
        <v>1476.25</v>
      </c>
      <c r="E47" s="265">
        <v>1355</v>
      </c>
      <c r="F47" s="265">
        <v>1270.99</v>
      </c>
      <c r="G47" s="418">
        <v>1273.67</v>
      </c>
      <c r="H47" s="418">
        <v>1276.3</v>
      </c>
      <c r="I47" s="418">
        <v>1250.49</v>
      </c>
      <c r="J47" s="265">
        <v>1231.06</v>
      </c>
      <c r="K47" s="643">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65">
        <v>1149.94</v>
      </c>
      <c r="C48" s="265">
        <v>1168.3699999999999</v>
      </c>
      <c r="D48" s="265">
        <v>1148.74</v>
      </c>
      <c r="E48" s="265">
        <v>1128.01</v>
      </c>
      <c r="F48" s="265">
        <v>1174.45</v>
      </c>
      <c r="G48" s="420">
        <v>1224.17</v>
      </c>
      <c r="H48" s="420">
        <v>1219.0899999999999</v>
      </c>
      <c r="I48" s="420">
        <v>1191.44</v>
      </c>
      <c r="J48" s="421">
        <v>1178.3800000000001</v>
      </c>
      <c r="K48" s="265">
        <v>1134.4100000000001</v>
      </c>
      <c r="L48" s="79">
        <v>1137.2</v>
      </c>
      <c r="M48" s="79">
        <v>1158.75</v>
      </c>
      <c r="N48" s="48">
        <v>1167.54</v>
      </c>
      <c r="O48" s="44"/>
    </row>
    <row r="49" spans="1:15" s="57" customFormat="1" ht="15" hidden="1" customHeight="1">
      <c r="A49" s="53" t="s">
        <v>174</v>
      </c>
      <c r="B49" s="265">
        <v>1131</v>
      </c>
      <c r="C49" s="265">
        <v>1129.06</v>
      </c>
      <c r="D49" s="265">
        <v>1133.4000000000001</v>
      </c>
      <c r="E49" s="265">
        <v>1097.44</v>
      </c>
      <c r="F49" s="265">
        <v>1094.1099999999999</v>
      </c>
      <c r="G49" s="265">
        <v>1091.82</v>
      </c>
      <c r="H49" s="265">
        <v>1069.83</v>
      </c>
      <c r="I49" s="265">
        <v>1083.6400000000001</v>
      </c>
      <c r="J49" s="265">
        <v>1129.53</v>
      </c>
      <c r="K49" s="265">
        <v>1166.72</v>
      </c>
      <c r="L49" s="265">
        <v>1143.3699999999999</v>
      </c>
      <c r="M49" s="265">
        <v>1158.6500000000001</v>
      </c>
      <c r="N49" s="48">
        <v>1118.92</v>
      </c>
      <c r="O49" s="44"/>
    </row>
    <row r="50" spans="1:15" s="57" customFormat="1" ht="15" hidden="1" customHeight="1">
      <c r="A50" s="53" t="s">
        <v>175</v>
      </c>
      <c r="B50" s="265">
        <v>1157.04</v>
      </c>
      <c r="C50" s="265">
        <v>1134.31</v>
      </c>
      <c r="D50" s="265">
        <v>1136.8900000000001</v>
      </c>
      <c r="E50" s="265">
        <v>1146.6300000000001</v>
      </c>
      <c r="F50" s="265">
        <v>1165.52</v>
      </c>
      <c r="G50" s="265">
        <v>1176.8699999999999</v>
      </c>
      <c r="H50" s="265">
        <v>1154.52</v>
      </c>
      <c r="I50" s="265">
        <v>1142.74</v>
      </c>
      <c r="J50" s="265">
        <v>1135.74</v>
      </c>
      <c r="K50" s="265">
        <v>1117.73</v>
      </c>
      <c r="L50" s="265">
        <v>1098.1199999999999</v>
      </c>
      <c r="M50" s="234">
        <v>1087.5</v>
      </c>
      <c r="N50" s="232">
        <v>1137.8699999999999</v>
      </c>
      <c r="O50" s="44"/>
    </row>
    <row r="51" spans="1:15" s="57" customFormat="1" ht="15" hidden="1" customHeight="1">
      <c r="A51" s="53" t="s">
        <v>176</v>
      </c>
      <c r="B51" s="265">
        <v>1075.75</v>
      </c>
      <c r="C51" s="265">
        <v>1097.28</v>
      </c>
      <c r="D51" s="265">
        <v>1112.95</v>
      </c>
      <c r="E51" s="265">
        <v>1132.77</v>
      </c>
      <c r="F51" s="265">
        <v>1121.51</v>
      </c>
      <c r="G51" s="265">
        <v>1146.29</v>
      </c>
      <c r="H51" s="265">
        <v>1138.23</v>
      </c>
      <c r="I51" s="265">
        <v>1127.8800000000001</v>
      </c>
      <c r="J51" s="265">
        <v>1097.97</v>
      </c>
      <c r="K51" s="265">
        <v>1077.21</v>
      </c>
      <c r="L51" s="265">
        <v>1073.19</v>
      </c>
      <c r="M51" s="234">
        <v>1066.98</v>
      </c>
      <c r="N51" s="232">
        <v>1112.78</v>
      </c>
      <c r="O51" s="44"/>
    </row>
    <row r="52" spans="1:15" s="57" customFormat="1" ht="15" hidden="1" customHeight="1">
      <c r="A52" s="53" t="s">
        <v>160</v>
      </c>
      <c r="B52" s="232">
        <v>1075.1400000000001</v>
      </c>
      <c r="C52" s="232">
        <v>1081.76</v>
      </c>
      <c r="D52" s="232">
        <v>1081.33</v>
      </c>
      <c r="E52" s="232">
        <v>1054.74</v>
      </c>
      <c r="F52" s="232">
        <v>1035</v>
      </c>
      <c r="G52" s="79">
        <v>1029.29</v>
      </c>
      <c r="H52" s="79">
        <v>1029.8699999999999</v>
      </c>
      <c r="I52" s="79">
        <v>1035.3599999999999</v>
      </c>
      <c r="J52" s="265">
        <v>1043.32</v>
      </c>
      <c r="K52" s="265">
        <v>1070.6199999999999</v>
      </c>
      <c r="L52" s="265">
        <v>1105.78</v>
      </c>
      <c r="M52" s="265">
        <v>1115.0999999999999</v>
      </c>
      <c r="N52" s="23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65">
        <v>1196.31</v>
      </c>
      <c r="K53" s="265">
        <v>1159.3800000000001</v>
      </c>
      <c r="L53" s="320">
        <v>1163.21</v>
      </c>
      <c r="M53" s="234">
        <v>1183.68</v>
      </c>
      <c r="N53" s="23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65">
        <v>1118.3</v>
      </c>
      <c r="K54" s="265">
        <v>1136.26</v>
      </c>
      <c r="L54" s="320">
        <v>1172.97</v>
      </c>
      <c r="M54" s="234">
        <v>1193.81</v>
      </c>
      <c r="N54" s="232">
        <v>1171.83</v>
      </c>
      <c r="O54" s="44"/>
    </row>
    <row r="55" spans="1:15" s="57" customFormat="1" ht="15" hidden="1" customHeight="1">
      <c r="A55" s="53" t="s">
        <v>163</v>
      </c>
      <c r="B55" s="79">
        <v>1196.67</v>
      </c>
      <c r="C55" s="318">
        <v>1156.0899999999999</v>
      </c>
      <c r="D55" s="318">
        <v>1145.8399999999999</v>
      </c>
      <c r="E55" s="318">
        <v>1143.77</v>
      </c>
      <c r="F55" s="318">
        <v>1136.25</v>
      </c>
      <c r="G55" s="318">
        <v>1141.05</v>
      </c>
      <c r="H55" s="318">
        <v>1145.48</v>
      </c>
      <c r="I55" s="318">
        <v>1141.82</v>
      </c>
      <c r="J55" s="318">
        <v>1142.6300000000001</v>
      </c>
      <c r="K55" s="643">
        <v>1142.5999999999999</v>
      </c>
      <c r="L55" s="318">
        <v>1115.82</v>
      </c>
      <c r="M55" s="232">
        <v>1096.3699999999999</v>
      </c>
      <c r="N55" s="232">
        <v>1141.8699999999999</v>
      </c>
      <c r="O55" s="44"/>
    </row>
    <row r="56" spans="1:15" s="57" customFormat="1" ht="15" hidden="1" customHeight="1">
      <c r="A56" s="53" t="s">
        <v>164</v>
      </c>
      <c r="B56" s="79">
        <v>1077.0999999999999</v>
      </c>
      <c r="C56" s="318">
        <v>1090.1099999999999</v>
      </c>
      <c r="D56" s="318">
        <v>1082.32</v>
      </c>
      <c r="E56" s="318">
        <v>1078.1600000000001</v>
      </c>
      <c r="F56" s="318">
        <v>1086.8800000000001</v>
      </c>
      <c r="G56" s="318">
        <v>1103.46</v>
      </c>
      <c r="H56" s="318">
        <v>1133.75</v>
      </c>
      <c r="I56" s="318">
        <v>1132.08</v>
      </c>
      <c r="J56" s="318">
        <v>1131.54</v>
      </c>
      <c r="K56" s="643">
        <v>1141.83</v>
      </c>
      <c r="L56" s="318">
        <v>1139.58</v>
      </c>
      <c r="M56" s="318">
        <v>1133.8499999999999</v>
      </c>
      <c r="N56" s="232">
        <v>1111.03</v>
      </c>
      <c r="O56" s="44"/>
    </row>
    <row r="57" spans="1:15" s="57" customFormat="1" ht="15" hidden="1" customHeight="1">
      <c r="A57" s="415" t="s">
        <v>165</v>
      </c>
      <c r="B57" s="52">
        <v>1132.93</v>
      </c>
      <c r="C57" s="412">
        <v>1133.4100000000001</v>
      </c>
      <c r="D57" s="412">
        <v>1141.76</v>
      </c>
      <c r="E57" s="412">
        <v>1152.08</v>
      </c>
      <c r="F57" s="412">
        <v>1194.83</v>
      </c>
      <c r="G57" s="412">
        <v>1187.0899999999999</v>
      </c>
      <c r="H57" s="412">
        <v>1186.77</v>
      </c>
      <c r="I57" s="412">
        <v>1220.77</v>
      </c>
      <c r="J57" s="412">
        <v>1209.23</v>
      </c>
      <c r="K57" s="644">
        <v>1195.7</v>
      </c>
      <c r="L57" s="412">
        <v>1178.8499999999999</v>
      </c>
      <c r="M57" s="412">
        <v>1187.3</v>
      </c>
      <c r="N57" s="422">
        <v>1177.03</v>
      </c>
      <c r="O57" s="44"/>
    </row>
    <row r="58" spans="1:15" s="57" customFormat="1" ht="15" hidden="1" customHeight="1">
      <c r="A58" s="415" t="s">
        <v>177</v>
      </c>
      <c r="B58" s="52">
        <v>1175.6400000000001</v>
      </c>
      <c r="C58" s="412">
        <v>1205.44</v>
      </c>
      <c r="D58" s="412">
        <v>1231.99</v>
      </c>
      <c r="E58" s="412">
        <v>1237.19</v>
      </c>
      <c r="F58" s="412">
        <v>1240.67</v>
      </c>
      <c r="G58" s="412">
        <v>1221.82</v>
      </c>
      <c r="H58" s="412">
        <v>1210.5999999999999</v>
      </c>
      <c r="I58" s="412">
        <v>1198.44</v>
      </c>
      <c r="J58" s="412">
        <v>1190.31</v>
      </c>
      <c r="K58" s="644">
        <v>1155.8599999999999</v>
      </c>
      <c r="L58" s="412">
        <v>1127.67</v>
      </c>
      <c r="M58" s="412">
        <v>1105.82</v>
      </c>
      <c r="N58" s="42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643">
        <v>1194.3599999999999</v>
      </c>
      <c r="L59" s="318">
        <v>1194.45</v>
      </c>
      <c r="M59" s="437">
        <v>1195.26</v>
      </c>
      <c r="N59" s="318">
        <v>1155.58</v>
      </c>
      <c r="O59" s="432"/>
    </row>
    <row r="60" spans="1:15" ht="15" hidden="1" customHeight="1">
      <c r="A60" s="49" t="s">
        <v>168</v>
      </c>
      <c r="B60" s="456">
        <v>1205.6600000000001</v>
      </c>
      <c r="C60" s="456">
        <v>1210.04</v>
      </c>
      <c r="D60" s="456">
        <v>1232.94</v>
      </c>
      <c r="E60" s="456">
        <v>1244.3699999999999</v>
      </c>
      <c r="F60" s="456">
        <v>1282.29</v>
      </c>
      <c r="G60" s="52">
        <v>1289.82</v>
      </c>
      <c r="H60" s="52">
        <v>1320.16</v>
      </c>
      <c r="I60" s="52">
        <v>1331.33</v>
      </c>
      <c r="J60" s="52">
        <v>1405.18</v>
      </c>
      <c r="K60" s="644">
        <v>1440.59</v>
      </c>
      <c r="L60" s="422">
        <v>1377.42</v>
      </c>
      <c r="M60" s="456">
        <v>1308.8900000000001</v>
      </c>
      <c r="N60" s="1015">
        <v>1304.56</v>
      </c>
    </row>
    <row r="61" spans="1:15" ht="15" customHeight="1">
      <c r="A61" s="58" t="s">
        <v>169</v>
      </c>
      <c r="B61" s="651">
        <v>1259.42</v>
      </c>
      <c r="C61" s="433">
        <v>1283.1400000000001</v>
      </c>
      <c r="D61" s="433">
        <v>1318.48</v>
      </c>
      <c r="E61" s="511">
        <v>1332.9</v>
      </c>
      <c r="F61" s="511">
        <v>1341.17</v>
      </c>
      <c r="G61" s="433">
        <v>1309.3699999999999</v>
      </c>
      <c r="H61" s="433">
        <v>1298.8699999999999</v>
      </c>
      <c r="I61" s="433">
        <v>1331.35</v>
      </c>
      <c r="J61" s="511">
        <v>1342.45</v>
      </c>
      <c r="K61" s="511">
        <v>1363.89</v>
      </c>
      <c r="L61" s="651">
        <v>1323.17</v>
      </c>
      <c r="M61" s="791">
        <v>1316.71</v>
      </c>
      <c r="N61" s="651">
        <v>1318.15</v>
      </c>
    </row>
    <row r="62" spans="1:15" ht="15" customHeight="1">
      <c r="A62" s="58" t="s">
        <v>209</v>
      </c>
      <c r="B62" s="901">
        <v>1336.48</v>
      </c>
      <c r="C62" s="901">
        <f>1344.74</f>
        <v>1344.74</v>
      </c>
      <c r="D62" s="651">
        <v>1343.68</v>
      </c>
      <c r="E62" s="651">
        <v>1381.18</v>
      </c>
      <c r="F62" s="651">
        <v>1378.73</v>
      </c>
      <c r="G62" s="651">
        <v>1393.62</v>
      </c>
      <c r="H62" s="651">
        <v>1396.89</v>
      </c>
      <c r="I62" s="651">
        <v>1367.37</v>
      </c>
      <c r="J62" s="398">
        <v>1347.85</v>
      </c>
      <c r="K62" s="433">
        <v>1371.8</v>
      </c>
      <c r="L62" s="791"/>
      <c r="M62" s="433"/>
      <c r="N62" s="1107">
        <v>1366.57</v>
      </c>
    </row>
    <row r="63" spans="1:15" ht="15" customHeight="1">
      <c r="A63" s="423" t="s">
        <v>179</v>
      </c>
      <c r="B63" s="865">
        <f>B62-M61</f>
        <v>19.769999999999982</v>
      </c>
      <c r="C63" s="865">
        <f t="shared" ref="C63:I63" si="2">C62-B62</f>
        <v>8.2599999999999909</v>
      </c>
      <c r="D63" s="652">
        <f t="shared" si="2"/>
        <v>-1.0599999999999454</v>
      </c>
      <c r="E63" s="652">
        <f t="shared" si="2"/>
        <v>37.5</v>
      </c>
      <c r="F63" s="652">
        <f t="shared" si="2"/>
        <v>-2.4500000000000455</v>
      </c>
      <c r="G63" s="652">
        <f t="shared" si="2"/>
        <v>14.889999999999873</v>
      </c>
      <c r="H63" s="652">
        <f>H62-G62</f>
        <v>3.2700000000002092</v>
      </c>
      <c r="I63" s="652">
        <f t="shared" si="2"/>
        <v>-29.520000000000209</v>
      </c>
      <c r="J63" s="973">
        <f>J62-I62</f>
        <v>-19.519999999999982</v>
      </c>
      <c r="K63" s="652">
        <f t="shared" ref="K63" si="3">K62-J62</f>
        <v>23.950000000000045</v>
      </c>
      <c r="L63" s="652"/>
      <c r="M63" s="512"/>
      <c r="N63" s="51"/>
    </row>
    <row r="64" spans="1:15" s="57" customFormat="1" ht="18.75" customHeight="1">
      <c r="A64" s="61"/>
      <c r="B64" s="182"/>
      <c r="C64" s="182"/>
      <c r="D64" s="182"/>
      <c r="E64" s="182"/>
      <c r="F64" s="182"/>
      <c r="G64" s="182"/>
      <c r="H64" s="182"/>
      <c r="I64" s="182"/>
      <c r="J64" s="182"/>
      <c r="K64" s="652"/>
      <c r="L64" s="182"/>
      <c r="M64" s="182"/>
      <c r="N64" s="59"/>
      <c r="O64" s="44"/>
    </row>
    <row r="65" spans="1:15" ht="15" customHeight="1">
      <c r="A65" s="54" t="s">
        <v>180</v>
      </c>
      <c r="E65" s="75"/>
      <c r="F65" s="75"/>
      <c r="G65" s="54"/>
      <c r="H65" s="54"/>
      <c r="I65" s="54"/>
      <c r="J65" s="60"/>
      <c r="K65" s="653"/>
      <c r="L65" s="75"/>
      <c r="M65" s="98"/>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642" t="s">
        <v>207</v>
      </c>
      <c r="L66" s="76" t="s">
        <v>132</v>
      </c>
      <c r="M66" s="56" t="s">
        <v>133</v>
      </c>
      <c r="N66" s="56" t="s">
        <v>134</v>
      </c>
      <c r="O66" s="44"/>
    </row>
    <row r="67" spans="1:15" ht="15" hidden="1" customHeight="1">
      <c r="A67" s="53" t="s">
        <v>151</v>
      </c>
      <c r="B67" s="39">
        <v>1038.23</v>
      </c>
      <c r="C67" s="39">
        <v>1022.43</v>
      </c>
      <c r="D67" s="39">
        <v>1007.49</v>
      </c>
      <c r="E67" s="95">
        <v>1010.94</v>
      </c>
      <c r="F67" s="95">
        <v>1002.21</v>
      </c>
      <c r="G67" s="39">
        <v>1010.87</v>
      </c>
      <c r="H67" s="39">
        <v>1037.44</v>
      </c>
      <c r="I67" s="39">
        <v>1021.17</v>
      </c>
      <c r="J67" s="39">
        <v>1029.33</v>
      </c>
      <c r="K67" s="95">
        <v>1046.25</v>
      </c>
      <c r="L67" s="77">
        <v>1041.43</v>
      </c>
      <c r="M67" s="40">
        <v>1024.1500000000001</v>
      </c>
      <c r="N67" s="39">
        <f>AVERAGE(B67:M67)</f>
        <v>1024.3283333333331</v>
      </c>
    </row>
    <row r="68" spans="1:15" ht="15" hidden="1" customHeight="1">
      <c r="A68" s="53" t="s">
        <v>184</v>
      </c>
      <c r="B68" s="39">
        <v>987.03</v>
      </c>
      <c r="C68" s="39">
        <v>970.22</v>
      </c>
      <c r="D68" s="39">
        <v>975.09</v>
      </c>
      <c r="E68" s="95">
        <v>954.44</v>
      </c>
      <c r="F68" s="95">
        <v>941.4</v>
      </c>
      <c r="G68" s="39">
        <v>955.16</v>
      </c>
      <c r="H68" s="39">
        <v>950.15</v>
      </c>
      <c r="I68" s="39">
        <v>960.72</v>
      </c>
      <c r="J68" s="39">
        <v>953.68</v>
      </c>
      <c r="K68" s="95">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648">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648">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649">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649">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649">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649">
        <v>1106.93</v>
      </c>
      <c r="L74" s="77">
        <v>1087.52</v>
      </c>
      <c r="M74" s="233">
        <v>1076.97</v>
      </c>
      <c r="N74" s="40">
        <v>1126.8800000000001</v>
      </c>
    </row>
    <row r="75" spans="1:15" ht="15" hidden="1" customHeight="1">
      <c r="A75" s="47" t="s">
        <v>159</v>
      </c>
      <c r="B75" s="233">
        <v>1065.3499999999999</v>
      </c>
      <c r="C75" s="233">
        <v>1086.68</v>
      </c>
      <c r="D75" s="233">
        <v>1102.2</v>
      </c>
      <c r="E75" s="233">
        <v>1121.83</v>
      </c>
      <c r="F75" s="233">
        <v>1110.67</v>
      </c>
      <c r="G75" s="233">
        <v>1135.21</v>
      </c>
      <c r="H75" s="233">
        <v>1127.23</v>
      </c>
      <c r="I75" s="233">
        <v>1116.98</v>
      </c>
      <c r="J75" s="233">
        <v>1087.3499999999999</v>
      </c>
      <c r="K75" s="649">
        <v>1066.8</v>
      </c>
      <c r="L75" s="234">
        <v>1062.82</v>
      </c>
      <c r="M75" s="233">
        <v>1056.67</v>
      </c>
      <c r="N75" s="40">
        <v>1095.04</v>
      </c>
    </row>
    <row r="76" spans="1:15" ht="15" hidden="1" customHeight="1">
      <c r="A76" s="47" t="s">
        <v>160</v>
      </c>
      <c r="B76" s="232">
        <v>1064.75</v>
      </c>
      <c r="C76" s="232">
        <v>1071.3</v>
      </c>
      <c r="D76" s="232">
        <v>1070.8900000000001</v>
      </c>
      <c r="E76" s="232">
        <v>1044.55</v>
      </c>
      <c r="F76" s="232">
        <v>1024.99</v>
      </c>
      <c r="G76" s="79">
        <v>1019.36</v>
      </c>
      <c r="H76" s="79">
        <v>1019.93</v>
      </c>
      <c r="I76" s="79">
        <v>1025.3599999999999</v>
      </c>
      <c r="J76" s="77">
        <v>1033.24</v>
      </c>
      <c r="K76" s="649">
        <v>1060.28</v>
      </c>
      <c r="L76" s="265">
        <v>1095.0999999999999</v>
      </c>
      <c r="M76" s="77">
        <v>1104.33</v>
      </c>
      <c r="N76" s="23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649">
        <v>1148.18</v>
      </c>
      <c r="L77" s="320">
        <v>1151.97</v>
      </c>
      <c r="M77" s="233">
        <v>1172.24</v>
      </c>
      <c r="N77" s="23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649">
        <v>1125.28</v>
      </c>
      <c r="L78" s="320">
        <v>1161.6400000000001</v>
      </c>
      <c r="M78" s="233">
        <v>1182.28</v>
      </c>
      <c r="N78" s="233">
        <v>1160.5</v>
      </c>
    </row>
    <row r="79" spans="1:15" ht="15" hidden="1" customHeight="1">
      <c r="A79" s="47" t="s">
        <v>163</v>
      </c>
      <c r="B79" s="79">
        <v>1185.0999999999999</v>
      </c>
      <c r="C79" s="318">
        <v>1144.92</v>
      </c>
      <c r="D79" s="318">
        <v>1134.77</v>
      </c>
      <c r="E79" s="318">
        <v>1132.73</v>
      </c>
      <c r="F79" s="318">
        <v>1125.28</v>
      </c>
      <c r="G79" s="318">
        <v>1130.04</v>
      </c>
      <c r="H79" s="318">
        <v>1134.4000000000001</v>
      </c>
      <c r="I79" s="318">
        <v>1130.79</v>
      </c>
      <c r="J79" s="318">
        <v>1131.5899999999999</v>
      </c>
      <c r="K79" s="643">
        <v>1131.57</v>
      </c>
      <c r="L79" s="318">
        <v>1105.04</v>
      </c>
      <c r="M79" s="318">
        <v>1085.78</v>
      </c>
      <c r="N79" s="318">
        <v>1130.8399999999999</v>
      </c>
    </row>
    <row r="80" spans="1:15" ht="15" hidden="1" customHeight="1">
      <c r="A80" s="47" t="s">
        <v>164</v>
      </c>
      <c r="B80" s="79">
        <v>1066.7</v>
      </c>
      <c r="C80" s="318">
        <v>1079.58</v>
      </c>
      <c r="D80" s="318">
        <v>1071.8900000000001</v>
      </c>
      <c r="E80" s="318">
        <v>1067.76</v>
      </c>
      <c r="F80" s="318">
        <v>1076.3900000000001</v>
      </c>
      <c r="G80" s="318">
        <v>1092.8</v>
      </c>
      <c r="H80" s="318">
        <v>1122.8</v>
      </c>
      <c r="I80" s="318">
        <v>1121.1500000000001</v>
      </c>
      <c r="J80" s="318">
        <v>1120.5999999999999</v>
      </c>
      <c r="K80" s="643">
        <v>1130.81</v>
      </c>
      <c r="L80" s="318">
        <v>1128.58</v>
      </c>
      <c r="M80" s="318">
        <v>1122.9000000000001</v>
      </c>
      <c r="N80" s="318">
        <v>1100.3</v>
      </c>
    </row>
    <row r="81" spans="1:18" ht="15" hidden="1" customHeight="1">
      <c r="A81" s="49" t="s">
        <v>165</v>
      </c>
      <c r="B81" s="52">
        <v>1122</v>
      </c>
      <c r="C81" s="412">
        <v>1122.45</v>
      </c>
      <c r="D81" s="412">
        <v>1130.72</v>
      </c>
      <c r="E81" s="412">
        <v>1140.95</v>
      </c>
      <c r="F81" s="412">
        <v>1183.29</v>
      </c>
      <c r="G81" s="412">
        <v>1175.6199999999999</v>
      </c>
      <c r="H81" s="412">
        <v>1175.31</v>
      </c>
      <c r="I81" s="412">
        <v>1208.98</v>
      </c>
      <c r="J81" s="412">
        <v>1197.55</v>
      </c>
      <c r="K81" s="644">
        <v>1184.1300000000001</v>
      </c>
      <c r="L81" s="412">
        <v>1167.45</v>
      </c>
      <c r="M81" s="412">
        <v>1175.8399999999999</v>
      </c>
      <c r="N81" s="412">
        <v>1165.6500000000001</v>
      </c>
    </row>
    <row r="82" spans="1:18" ht="15" hidden="1" customHeight="1">
      <c r="A82" s="49" t="s">
        <v>166</v>
      </c>
      <c r="B82" s="52">
        <v>1164.28</v>
      </c>
      <c r="C82" s="412">
        <v>1193.79</v>
      </c>
      <c r="D82" s="412">
        <v>1220.0899999999999</v>
      </c>
      <c r="E82" s="412">
        <v>1225.23</v>
      </c>
      <c r="F82" s="412">
        <v>1228.67</v>
      </c>
      <c r="G82" s="412">
        <v>1210.01</v>
      </c>
      <c r="H82" s="412">
        <v>1198.9000000000001</v>
      </c>
      <c r="I82" s="412">
        <v>1186.8499999999999</v>
      </c>
      <c r="J82" s="412">
        <v>1178.8</v>
      </c>
      <c r="K82" s="644">
        <v>1144.68</v>
      </c>
      <c r="L82" s="412">
        <v>1116.76</v>
      </c>
      <c r="M82" s="412">
        <v>1095.1300000000001</v>
      </c>
      <c r="N82" s="412">
        <v>1180.05</v>
      </c>
      <c r="O82" s="75"/>
    </row>
    <row r="83" spans="1:18" ht="15" hidden="1" customHeight="1">
      <c r="A83" s="415" t="s">
        <v>167</v>
      </c>
      <c r="B83" s="52">
        <v>1097.49</v>
      </c>
      <c r="C83" s="52">
        <v>1111.72</v>
      </c>
      <c r="D83" s="52">
        <v>1131.02</v>
      </c>
      <c r="E83" s="52">
        <v>1119.4000000000001</v>
      </c>
      <c r="F83" s="52">
        <v>1123.28</v>
      </c>
      <c r="G83" s="52">
        <v>1121.3</v>
      </c>
      <c r="H83" s="52">
        <v>1143.98</v>
      </c>
      <c r="I83" s="52">
        <v>1160.3399999999999</v>
      </c>
      <c r="J83" s="52">
        <v>1169.54</v>
      </c>
      <c r="K83" s="644">
        <v>1182.82</v>
      </c>
      <c r="L83" s="412">
        <v>1182.9100000000001</v>
      </c>
      <c r="M83" s="456">
        <v>1183.7</v>
      </c>
      <c r="N83" s="412">
        <v>1144.42</v>
      </c>
      <c r="O83" s="432"/>
    </row>
    <row r="84" spans="1:18" ht="15" hidden="1" customHeight="1">
      <c r="A84" s="47" t="s">
        <v>168</v>
      </c>
      <c r="B84" s="437">
        <v>1194.01</v>
      </c>
      <c r="C84" s="437">
        <v>1198.3399999999999</v>
      </c>
      <c r="D84" s="437">
        <v>1221.03</v>
      </c>
      <c r="E84" s="437">
        <v>1232.3399999999999</v>
      </c>
      <c r="F84" s="437">
        <v>1269.8800000000001</v>
      </c>
      <c r="G84" s="79">
        <v>1277.3499999999999</v>
      </c>
      <c r="H84" s="79">
        <v>1307.4000000000001</v>
      </c>
      <c r="I84" s="79">
        <v>1318.44</v>
      </c>
      <c r="J84" s="79">
        <v>1391.59</v>
      </c>
      <c r="K84" s="643">
        <v>1426.66</v>
      </c>
      <c r="L84" s="232">
        <v>1364.1</v>
      </c>
      <c r="M84" s="437">
        <v>1296.22</v>
      </c>
      <c r="N84" s="876">
        <v>1291.95</v>
      </c>
    </row>
    <row r="85" spans="1:18" ht="15" customHeight="1">
      <c r="A85" s="58" t="s">
        <v>169</v>
      </c>
      <c r="B85" s="651">
        <v>1247.25</v>
      </c>
      <c r="C85" s="433">
        <v>1270.74</v>
      </c>
      <c r="D85" s="433">
        <v>1305.73</v>
      </c>
      <c r="E85" s="511">
        <v>1320.01</v>
      </c>
      <c r="F85" s="511">
        <v>1328.21</v>
      </c>
      <c r="G85" s="433">
        <v>1296.71</v>
      </c>
      <c r="H85" s="433">
        <v>1286.3</v>
      </c>
      <c r="I85" s="433">
        <v>1318.47</v>
      </c>
      <c r="J85" s="511">
        <v>1329.47</v>
      </c>
      <c r="K85" s="511">
        <v>1350.69</v>
      </c>
      <c r="L85" s="651">
        <v>1310.3900000000001</v>
      </c>
      <c r="M85" s="651">
        <v>1303.98</v>
      </c>
      <c r="N85" s="651">
        <v>1305.4100000000001</v>
      </c>
    </row>
    <row r="86" spans="1:18" ht="15" customHeight="1">
      <c r="A86" s="58" t="s">
        <v>209</v>
      </c>
      <c r="B86" s="901">
        <v>1323.57</v>
      </c>
      <c r="C86" s="901">
        <f>1331.74</f>
        <v>1331.74</v>
      </c>
      <c r="D86" s="651">
        <v>1330.7</v>
      </c>
      <c r="E86" s="651">
        <v>1367.83</v>
      </c>
      <c r="F86" s="651">
        <v>1365.39</v>
      </c>
      <c r="G86" s="651">
        <v>1380.13</v>
      </c>
      <c r="H86" s="651">
        <v>1383.38</v>
      </c>
      <c r="I86" s="651">
        <v>1354.15</v>
      </c>
      <c r="J86" s="398">
        <v>1334.82</v>
      </c>
      <c r="K86" s="433">
        <v>1358.53</v>
      </c>
      <c r="L86" s="651"/>
      <c r="M86" s="651"/>
      <c r="N86" s="1107">
        <v>1353.36</v>
      </c>
    </row>
    <row r="87" spans="1:18" ht="15" customHeight="1">
      <c r="A87" s="306" t="s">
        <v>170</v>
      </c>
      <c r="B87" s="865">
        <f>B86-M85</f>
        <v>19.589999999999918</v>
      </c>
      <c r="C87" s="865">
        <f t="shared" ref="C87:I87" si="4">C86-B86</f>
        <v>8.1700000000000728</v>
      </c>
      <c r="D87" s="652">
        <f t="shared" si="4"/>
        <v>-1.0399999999999636</v>
      </c>
      <c r="E87" s="652">
        <f t="shared" si="4"/>
        <v>37.129999999999882</v>
      </c>
      <c r="F87" s="652">
        <f t="shared" si="4"/>
        <v>-2.4399999999998272</v>
      </c>
      <c r="G87" s="652">
        <f t="shared" si="4"/>
        <v>14.740000000000009</v>
      </c>
      <c r="H87" s="652">
        <f>H86-G86</f>
        <v>3.25</v>
      </c>
      <c r="I87" s="652">
        <f t="shared" si="4"/>
        <v>-29.230000000000018</v>
      </c>
      <c r="J87" s="973">
        <f>J86-I86</f>
        <v>-19.330000000000155</v>
      </c>
      <c r="K87" s="652">
        <f t="shared" ref="K87" si="5">K86-J86</f>
        <v>23.710000000000036</v>
      </c>
      <c r="L87" s="652"/>
      <c r="M87" s="652"/>
      <c r="N87" s="60"/>
    </row>
    <row r="88" spans="1:18" ht="18.75" customHeight="1">
      <c r="I88" s="44"/>
      <c r="K88" s="647"/>
    </row>
    <row r="89" spans="1:18" ht="15" customHeight="1">
      <c r="A89" s="54" t="s">
        <v>185</v>
      </c>
      <c r="E89" s="75"/>
      <c r="F89" s="75"/>
      <c r="G89" s="54"/>
      <c r="H89" s="54"/>
      <c r="I89" s="54"/>
      <c r="J89" s="60"/>
      <c r="K89" s="653"/>
      <c r="L89" s="75"/>
      <c r="M89" s="98"/>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642" t="s">
        <v>207</v>
      </c>
      <c r="L90" s="76" t="s">
        <v>132</v>
      </c>
      <c r="M90" s="56" t="s">
        <v>133</v>
      </c>
      <c r="N90" s="56" t="s">
        <v>134</v>
      </c>
      <c r="O90" s="44"/>
      <c r="P90" s="44"/>
      <c r="Q90" s="44"/>
      <c r="R90" s="44"/>
    </row>
    <row r="91" spans="1:18" ht="15" hidden="1" customHeight="1">
      <c r="A91" s="47" t="s">
        <v>164</v>
      </c>
      <c r="B91" s="79">
        <v>1299.57</v>
      </c>
      <c r="C91" s="318">
        <v>1332.23</v>
      </c>
      <c r="D91" s="318">
        <v>1322.89</v>
      </c>
      <c r="E91" s="318">
        <v>1311.84</v>
      </c>
      <c r="F91" s="318">
        <v>1271.8</v>
      </c>
      <c r="G91" s="318">
        <v>1261.76</v>
      </c>
      <c r="H91" s="318">
        <v>1298.3499999999999</v>
      </c>
      <c r="I91" s="318">
        <v>1282.56</v>
      </c>
      <c r="J91" s="318">
        <v>1304.74</v>
      </c>
      <c r="K91" s="643">
        <v>1299.55</v>
      </c>
      <c r="L91" s="318">
        <v>1282.44</v>
      </c>
      <c r="M91" s="318">
        <v>1277</v>
      </c>
      <c r="N91" s="318">
        <v>1298.6300000000001</v>
      </c>
    </row>
    <row r="92" spans="1:18" ht="15" hidden="1" customHeight="1">
      <c r="A92" s="49" t="s">
        <v>165</v>
      </c>
      <c r="B92" s="52">
        <v>1281.52</v>
      </c>
      <c r="C92" s="412">
        <v>1272.47</v>
      </c>
      <c r="D92" s="412">
        <v>1278.47</v>
      </c>
      <c r="E92" s="412">
        <v>1281.77</v>
      </c>
      <c r="F92" s="412">
        <v>1323.65</v>
      </c>
      <c r="G92" s="412">
        <v>1327.32</v>
      </c>
      <c r="H92" s="412">
        <v>1319.42</v>
      </c>
      <c r="I92" s="412">
        <v>1345.55</v>
      </c>
      <c r="J92" s="412">
        <v>1318.51</v>
      </c>
      <c r="K92" s="644">
        <v>1309.03</v>
      </c>
      <c r="L92" s="412">
        <v>1290.56</v>
      </c>
      <c r="M92" s="412">
        <v>1306.26</v>
      </c>
      <c r="N92" s="412">
        <v>1304.81</v>
      </c>
    </row>
    <row r="93" spans="1:18" ht="15" hidden="1" customHeight="1">
      <c r="A93" s="49" t="s">
        <v>166</v>
      </c>
      <c r="B93" s="52">
        <v>1293.7</v>
      </c>
      <c r="C93" s="412">
        <v>1302.33</v>
      </c>
      <c r="D93" s="412">
        <v>1350.35</v>
      </c>
      <c r="E93" s="412">
        <v>1331.71</v>
      </c>
      <c r="F93" s="412">
        <v>1338.74</v>
      </c>
      <c r="G93" s="412">
        <v>1361.77</v>
      </c>
      <c r="H93" s="412">
        <v>1372.98</v>
      </c>
      <c r="I93" s="412">
        <v>1403.36</v>
      </c>
      <c r="J93" s="412">
        <v>1391.02</v>
      </c>
      <c r="K93" s="644">
        <v>1347.55</v>
      </c>
      <c r="L93" s="412">
        <v>1320.66</v>
      </c>
      <c r="M93" s="412">
        <v>1331.75</v>
      </c>
      <c r="N93" s="412">
        <v>1345.99</v>
      </c>
      <c r="O93" s="75"/>
    </row>
    <row r="94" spans="1:18" ht="15" hidden="1" customHeight="1">
      <c r="A94" s="415" t="s">
        <v>167</v>
      </c>
      <c r="B94" s="52">
        <v>1336.31</v>
      </c>
      <c r="C94" s="52">
        <v>1344.6</v>
      </c>
      <c r="D94" s="52">
        <v>1346.74</v>
      </c>
      <c r="E94" s="52">
        <v>1338.47</v>
      </c>
      <c r="F94" s="52">
        <v>1363.91</v>
      </c>
      <c r="G94" s="52">
        <v>1351.94</v>
      </c>
      <c r="H94" s="52">
        <v>1364.13</v>
      </c>
      <c r="I94" s="52">
        <v>1365.63</v>
      </c>
      <c r="J94" s="52">
        <v>1378.19</v>
      </c>
      <c r="K94" s="644">
        <v>1372.24</v>
      </c>
      <c r="L94" s="412">
        <v>1350.43</v>
      </c>
      <c r="M94" s="456">
        <v>1338.19</v>
      </c>
      <c r="N94" s="412">
        <v>1352.79</v>
      </c>
      <c r="O94" s="432"/>
    </row>
    <row r="95" spans="1:18" ht="15.6" hidden="1" customHeight="1">
      <c r="A95" s="47" t="s">
        <v>168</v>
      </c>
      <c r="B95" s="437">
        <v>1353.2</v>
      </c>
      <c r="C95" s="437">
        <v>1359.89</v>
      </c>
      <c r="D95" s="437">
        <v>1345.33</v>
      </c>
      <c r="E95" s="437">
        <v>1334.08</v>
      </c>
      <c r="F95" s="437">
        <v>1342.43</v>
      </c>
      <c r="G95" s="79">
        <v>1348.96</v>
      </c>
      <c r="H95" s="79">
        <v>1332.91</v>
      </c>
      <c r="I95" s="79">
        <v>1334.53</v>
      </c>
      <c r="J95" s="79">
        <v>1377.09</v>
      </c>
      <c r="K95" s="643">
        <v>1404.83</v>
      </c>
      <c r="L95" s="232">
        <v>1388.29</v>
      </c>
      <c r="M95" s="437">
        <v>1371.13</v>
      </c>
      <c r="N95" s="459">
        <v>1357.38</v>
      </c>
    </row>
    <row r="96" spans="1:18" ht="15" customHeight="1">
      <c r="A96" s="58" t="s">
        <v>169</v>
      </c>
      <c r="B96" s="651">
        <v>1342.37</v>
      </c>
      <c r="C96" s="433">
        <v>1361.65</v>
      </c>
      <c r="D96" s="433">
        <v>1398.5</v>
      </c>
      <c r="E96" s="511">
        <v>1446.41</v>
      </c>
      <c r="F96" s="511">
        <v>1444.2</v>
      </c>
      <c r="G96" s="433">
        <v>1405.98</v>
      </c>
      <c r="H96" s="433">
        <v>1421.87</v>
      </c>
      <c r="I96" s="433">
        <v>1439.04</v>
      </c>
      <c r="J96" s="511">
        <v>1422.61</v>
      </c>
      <c r="K96" s="511">
        <v>1427.31</v>
      </c>
      <c r="L96" s="651">
        <v>1415.59</v>
      </c>
      <c r="M96" s="651">
        <v>1422.28</v>
      </c>
      <c r="N96" s="651">
        <v>1412.36</v>
      </c>
    </row>
    <row r="97" spans="1:14" ht="15" customHeight="1">
      <c r="A97" s="58" t="s">
        <v>209</v>
      </c>
      <c r="B97" s="901">
        <v>1444.12</v>
      </c>
      <c r="C97" s="901">
        <f>1437.52</f>
        <v>1437.52</v>
      </c>
      <c r="D97" s="651">
        <v>1447.27</v>
      </c>
      <c r="E97" s="651">
        <v>1466.77</v>
      </c>
      <c r="F97" s="651">
        <v>1476.24</v>
      </c>
      <c r="G97" s="651">
        <v>1485.57</v>
      </c>
      <c r="H97" s="651">
        <v>1499.68</v>
      </c>
      <c r="I97" s="651">
        <v>1491.48</v>
      </c>
      <c r="J97" s="398">
        <v>1481.6</v>
      </c>
      <c r="K97" s="433">
        <v>1479.35</v>
      </c>
      <c r="L97" s="651"/>
      <c r="M97" s="651"/>
      <c r="N97" s="1107">
        <v>1471.11</v>
      </c>
    </row>
    <row r="98" spans="1:14" ht="15" customHeight="1">
      <c r="A98" s="306" t="s">
        <v>170</v>
      </c>
      <c r="B98" s="865">
        <f>B97-M96</f>
        <v>21.839999999999918</v>
      </c>
      <c r="C98" s="865">
        <f t="shared" ref="C98:I98" si="6">C97-B97</f>
        <v>-6.5999999999999091</v>
      </c>
      <c r="D98" s="652">
        <f t="shared" si="6"/>
        <v>9.75</v>
      </c>
      <c r="E98" s="652">
        <f t="shared" si="6"/>
        <v>19.5</v>
      </c>
      <c r="F98" s="652">
        <f t="shared" si="6"/>
        <v>9.4700000000000273</v>
      </c>
      <c r="G98" s="652">
        <f t="shared" si="6"/>
        <v>9.3299999999999272</v>
      </c>
      <c r="H98" s="652">
        <f t="shared" si="6"/>
        <v>14.110000000000127</v>
      </c>
      <c r="I98" s="652">
        <f t="shared" si="6"/>
        <v>-8.2000000000000455</v>
      </c>
      <c r="J98" s="973">
        <f>J97-I97</f>
        <v>-9.8800000000001091</v>
      </c>
      <c r="K98" s="652">
        <f t="shared" ref="K98" si="7">K97-J97</f>
        <v>-2.25</v>
      </c>
      <c r="L98" s="652"/>
      <c r="M98" s="652"/>
      <c r="N98" s="60"/>
    </row>
    <row r="99" spans="1:14" ht="18.75" customHeight="1">
      <c r="I99" s="44"/>
      <c r="K99" s="647"/>
      <c r="L99" s="647"/>
      <c r="M99" s="647"/>
    </row>
    <row r="100" spans="1:14" ht="15" customHeight="1">
      <c r="A100" s="54" t="s">
        <v>186</v>
      </c>
      <c r="I100" s="44"/>
      <c r="K100" s="647"/>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642"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424">
        <v>22701.14</v>
      </c>
      <c r="K102" s="647">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643">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647">
        <v>21320.652173913044</v>
      </c>
      <c r="L104" s="75">
        <v>20700.227272727272</v>
      </c>
      <c r="M104" s="307">
        <v>22844.21</v>
      </c>
      <c r="N104" s="305">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643">
        <v>23128.26</v>
      </c>
      <c r="L105" s="79">
        <v>22856.67</v>
      </c>
      <c r="M105" s="308">
        <v>22835</v>
      </c>
      <c r="N105" s="23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643">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643">
        <v>15848.18</v>
      </c>
      <c r="L107" s="318">
        <v>14742.62</v>
      </c>
      <c r="M107" s="232">
        <v>14702.380952380952</v>
      </c>
      <c r="N107" s="23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643">
        <v>20182.38</v>
      </c>
      <c r="L108" s="318">
        <v>21235</v>
      </c>
      <c r="M108" s="232">
        <v>21286.25</v>
      </c>
      <c r="N108" s="232">
        <v>18005.92885375494</v>
      </c>
    </row>
    <row r="109" spans="1:14" ht="15" hidden="1" customHeight="1">
      <c r="A109" s="47" t="s">
        <v>163</v>
      </c>
      <c r="B109" s="79">
        <v>20749.761904761905</v>
      </c>
      <c r="C109" s="318">
        <v>19491.5</v>
      </c>
      <c r="D109" s="318">
        <v>19831.521739130436</v>
      </c>
      <c r="E109" s="318">
        <v>19991.388888888891</v>
      </c>
      <c r="F109" s="318">
        <v>20230.95</v>
      </c>
      <c r="G109" s="318">
        <v>19701.81818181818</v>
      </c>
      <c r="H109" s="318">
        <v>20272.857142857141</v>
      </c>
      <c r="I109" s="318">
        <v>20570</v>
      </c>
      <c r="J109" s="318">
        <v>20855.476190476191</v>
      </c>
      <c r="K109" s="643">
        <v>20468.863636363636</v>
      </c>
      <c r="L109" s="318">
        <v>19574.545454545456</v>
      </c>
      <c r="M109" s="318">
        <v>19440</v>
      </c>
      <c r="N109" s="318">
        <v>20104.702380952382</v>
      </c>
    </row>
    <row r="110" spans="1:14" ht="15" hidden="1" customHeight="1">
      <c r="A110" s="47" t="s">
        <v>164</v>
      </c>
      <c r="B110" s="79">
        <v>20710.68181818182</v>
      </c>
      <c r="C110" s="318">
        <v>21693.5</v>
      </c>
      <c r="D110" s="318">
        <v>21214.047619047618</v>
      </c>
      <c r="E110" s="318">
        <v>21339.5</v>
      </c>
      <c r="F110" s="318">
        <v>20899.761904761905</v>
      </c>
      <c r="G110" s="318">
        <v>20663.099999999999</v>
      </c>
      <c r="H110" s="318">
        <v>19700.454545454544</v>
      </c>
      <c r="I110" s="318">
        <v>19278.41</v>
      </c>
      <c r="J110" s="318">
        <v>18998.75</v>
      </c>
      <c r="K110" s="643">
        <v>19129.130434782608</v>
      </c>
      <c r="L110" s="318">
        <v>19139.31818181818</v>
      </c>
      <c r="M110" s="318">
        <v>19242.63157894737</v>
      </c>
      <c r="N110" s="318">
        <v>20153.221343873516</v>
      </c>
    </row>
    <row r="111" spans="1:14" ht="15" hidden="1" customHeight="1">
      <c r="A111" s="49" t="s">
        <v>165</v>
      </c>
      <c r="B111" s="52">
        <v>20480</v>
      </c>
      <c r="C111" s="412">
        <v>21268</v>
      </c>
      <c r="D111" s="412">
        <v>21444.285714285714</v>
      </c>
      <c r="E111" s="412">
        <v>20683.75</v>
      </c>
      <c r="F111" s="412">
        <v>19530.952380952382</v>
      </c>
      <c r="G111" s="412">
        <v>19176.5</v>
      </c>
      <c r="H111" s="412">
        <v>17991.304347826088</v>
      </c>
      <c r="I111" s="412">
        <v>16577.142857142859</v>
      </c>
      <c r="J111" s="412">
        <v>16839.761904761905</v>
      </c>
      <c r="K111" s="644">
        <v>16603.043478260868</v>
      </c>
      <c r="L111" s="412">
        <v>16369.285714285714</v>
      </c>
      <c r="M111" s="412">
        <v>17100.75</v>
      </c>
      <c r="N111" s="412">
        <v>18643.478260869564</v>
      </c>
    </row>
    <row r="112" spans="1:14" ht="15" hidden="1" customHeight="1">
      <c r="A112" s="49" t="s">
        <v>166</v>
      </c>
      <c r="B112" s="52">
        <v>17071.136363636364</v>
      </c>
      <c r="C112" s="412">
        <v>16456.5</v>
      </c>
      <c r="D112" s="412">
        <v>15321.40909090909</v>
      </c>
      <c r="E112" s="412">
        <v>15039.35</v>
      </c>
      <c r="F112" s="412">
        <v>15408.526315789473</v>
      </c>
      <c r="G112" s="412">
        <v>16806.272727272728</v>
      </c>
      <c r="H112" s="412">
        <v>17450.347826086956</v>
      </c>
      <c r="I112" s="412">
        <v>17671.900000000001</v>
      </c>
      <c r="J112" s="412">
        <v>17945.954545454544</v>
      </c>
      <c r="K112" s="644">
        <v>18154.090909090908</v>
      </c>
      <c r="L112" s="412">
        <v>18567.904761904763</v>
      </c>
      <c r="M112" s="412">
        <v>19727.333333333332</v>
      </c>
      <c r="N112" s="41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643">
        <f>'Sn 가격및재고'!G2559</f>
        <v>37962.380952380954</v>
      </c>
      <c r="L113" s="318">
        <f>'Sn 가격및재고'!G2581</f>
        <v>39332.727272727272</v>
      </c>
      <c r="M113" s="318">
        <f>'Sn 가격및재고'!G2604</f>
        <v>39573.809523809527</v>
      </c>
      <c r="N113" s="437">
        <f>'Sn 가격및재고'!H2604</f>
        <v>32678.162055335968</v>
      </c>
    </row>
    <row r="114" spans="1:17" ht="15" hidden="1" customHeight="1">
      <c r="A114" s="47" t="s">
        <v>168</v>
      </c>
      <c r="B114" s="437">
        <v>41807</v>
      </c>
      <c r="C114" s="437">
        <v>44117.75</v>
      </c>
      <c r="D114" s="437">
        <v>44248.913043478264</v>
      </c>
      <c r="E114" s="437">
        <v>43121.58</v>
      </c>
      <c r="F114" s="437">
        <v>35944.76</v>
      </c>
      <c r="G114" s="79">
        <v>31776.75</v>
      </c>
      <c r="H114" s="79">
        <v>25173.1</v>
      </c>
      <c r="I114" s="79">
        <v>24511.360000000001</v>
      </c>
      <c r="J114" s="79">
        <v>21257.95</v>
      </c>
      <c r="K114" s="643">
        <v>19406.189999999999</v>
      </c>
      <c r="L114" s="232">
        <v>21136.363636363636</v>
      </c>
      <c r="M114" s="437">
        <v>24099</v>
      </c>
      <c r="N114" s="1015">
        <f>'Sn 가격및재고'!H2864</f>
        <v>31219.023904382469</v>
      </c>
    </row>
    <row r="115" spans="1:17" ht="15" customHeight="1">
      <c r="A115" s="58" t="s">
        <v>169</v>
      </c>
      <c r="B115" s="651">
        <v>28080.714285714301</v>
      </c>
      <c r="C115" s="433">
        <v>27069.5</v>
      </c>
      <c r="D115" s="433">
        <v>24014.347826086956</v>
      </c>
      <c r="E115" s="511">
        <v>25886.111111111109</v>
      </c>
      <c r="F115" s="511">
        <v>25609.75</v>
      </c>
      <c r="G115" s="552">
        <v>27262.73</v>
      </c>
      <c r="H115" s="552">
        <v>28751.428571428572</v>
      </c>
      <c r="I115" s="552">
        <v>25995.227272727301</v>
      </c>
      <c r="J115" s="552">
        <v>25558.571428571428</v>
      </c>
      <c r="K115" s="511">
        <v>24617.727272727272</v>
      </c>
      <c r="L115" s="651">
        <v>24221.136363636364</v>
      </c>
      <c r="M115" s="651">
        <v>24606.315789473683</v>
      </c>
      <c r="N115" s="651">
        <f>'Sn 가격및재고'!H3122</f>
        <v>25959.043824701195</v>
      </c>
    </row>
    <row r="116" spans="1:17" ht="15" customHeight="1">
      <c r="A116" s="58" t="s">
        <v>209</v>
      </c>
      <c r="B116" s="901">
        <v>25211.3636363636</v>
      </c>
      <c r="C116" s="901">
        <v>26156.666666666668</v>
      </c>
      <c r="D116" s="651">
        <f>'Sn 가격및재고'!G3185</f>
        <v>27446</v>
      </c>
      <c r="E116" s="651">
        <f>'Sn 가격및재고'!G3206</f>
        <v>31844.761904761905</v>
      </c>
      <c r="F116" s="651">
        <f>'Sn 가격및재고'!G3229</f>
        <v>33153.333333333336</v>
      </c>
      <c r="G116" s="651">
        <f>'Sn 가격및재고'!G3249</f>
        <v>32228.75</v>
      </c>
      <c r="H116" s="651">
        <f>'Sn 가격및재고'!G3272</f>
        <v>32003.91304347826</v>
      </c>
      <c r="I116" s="651">
        <f>'Sn 가격및재고'!G3294</f>
        <v>31512.142857142859</v>
      </c>
      <c r="J116" s="398">
        <f>'Sn 가격및재고'!G3315</f>
        <v>31643.809523809523</v>
      </c>
      <c r="K116" s="433">
        <f>'Sn 가격및재고'!G3335</f>
        <v>32390</v>
      </c>
      <c r="L116" s="651"/>
      <c r="M116" s="651"/>
      <c r="N116" s="319">
        <f>'Sn 가격및재고'!H3335</f>
        <v>30345.523809523809</v>
      </c>
    </row>
    <row r="117" spans="1:17" ht="15" customHeight="1">
      <c r="A117" s="61" t="s">
        <v>170</v>
      </c>
      <c r="B117" s="865">
        <f>B116-M115</f>
        <v>605.0478468899164</v>
      </c>
      <c r="C117" s="865">
        <f t="shared" ref="C117:I117" si="8">C116-B116</f>
        <v>945.30303030306823</v>
      </c>
      <c r="D117" s="652">
        <f t="shared" si="8"/>
        <v>1289.3333333333321</v>
      </c>
      <c r="E117" s="652">
        <f t="shared" si="8"/>
        <v>4398.7619047619046</v>
      </c>
      <c r="F117" s="652">
        <f t="shared" si="8"/>
        <v>1308.5714285714312</v>
      </c>
      <c r="G117" s="652">
        <f t="shared" si="8"/>
        <v>-924.58333333333576</v>
      </c>
      <c r="H117" s="652">
        <f t="shared" si="8"/>
        <v>-224.83695652173992</v>
      </c>
      <c r="I117" s="652">
        <f t="shared" si="8"/>
        <v>-491.77018633540138</v>
      </c>
      <c r="J117" s="973">
        <f>J116-I116</f>
        <v>131.66666666666424</v>
      </c>
      <c r="K117" s="652">
        <f t="shared" ref="K117" si="9">K116-J116</f>
        <v>746.19047619047706</v>
      </c>
      <c r="L117" s="652"/>
      <c r="M117" s="652"/>
      <c r="N117" s="59"/>
      <c r="Q117"/>
    </row>
    <row r="118" spans="1:17" ht="15" customHeight="1">
      <c r="G118" s="458"/>
      <c r="H118" s="458"/>
      <c r="I118" s="458"/>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424">
        <v>5513</v>
      </c>
      <c r="K121" s="42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07">
        <v>5928.5714285714284</v>
      </c>
      <c r="N123" s="305">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08">
        <v>12097.619047619048</v>
      </c>
      <c r="N124" s="23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18">
        <v>12667.391304347826</v>
      </c>
      <c r="L126" s="318">
        <v>12218.181818181818</v>
      </c>
      <c r="M126" s="232">
        <v>12100</v>
      </c>
      <c r="N126" s="23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18">
        <v>10400</v>
      </c>
      <c r="L127" s="318">
        <v>10216.666666666666</v>
      </c>
      <c r="M127" s="232">
        <v>10150</v>
      </c>
      <c r="N127" s="232">
        <v>10537.747035573122</v>
      </c>
    </row>
    <row r="128" spans="1:17" ht="15" hidden="1" customHeight="1">
      <c r="A128" s="49" t="s">
        <v>194</v>
      </c>
      <c r="B128" s="79">
        <v>9593.181818181818</v>
      </c>
      <c r="C128" s="318">
        <v>9747.5</v>
      </c>
      <c r="D128" s="318">
        <v>9763.0952380952385</v>
      </c>
      <c r="E128" s="318">
        <v>9652.65</v>
      </c>
      <c r="F128" s="318">
        <v>9450</v>
      </c>
      <c r="G128" s="318">
        <v>9554.7619047619046</v>
      </c>
      <c r="H128" s="318">
        <v>9460.8695652173919</v>
      </c>
      <c r="I128" s="318">
        <v>9437.5</v>
      </c>
      <c r="J128" s="318">
        <v>9454.545454545454</v>
      </c>
      <c r="K128" s="318">
        <v>9386.95652173913</v>
      </c>
      <c r="L128" s="318">
        <v>9050</v>
      </c>
      <c r="M128" s="318">
        <v>9050</v>
      </c>
      <c r="N128" s="318">
        <v>9466.5138339920941</v>
      </c>
    </row>
    <row r="129" spans="1:14" ht="15" hidden="1" customHeight="1">
      <c r="A129" s="49" t="s">
        <v>195</v>
      </c>
      <c r="B129" s="79">
        <v>8788.0952380952385</v>
      </c>
      <c r="C129" s="318">
        <v>7915</v>
      </c>
      <c r="D129" s="318">
        <v>8293.181818181818</v>
      </c>
      <c r="E129" s="318">
        <v>8462.5</v>
      </c>
      <c r="F129" s="318">
        <v>8625</v>
      </c>
      <c r="G129" s="318">
        <v>8625</v>
      </c>
      <c r="H129" s="318">
        <v>7516.304347826087</v>
      </c>
      <c r="I129" s="318">
        <v>7350</v>
      </c>
      <c r="J129" s="318">
        <v>7350</v>
      </c>
      <c r="K129" s="318">
        <v>6800</v>
      </c>
      <c r="L129" s="318">
        <v>5895.2380952380954</v>
      </c>
      <c r="M129" s="318">
        <v>5247.6190476190477</v>
      </c>
      <c r="N129" s="318">
        <f>'Sb 안티모니'!F2335</f>
        <v>7562.648221343874</v>
      </c>
    </row>
    <row r="130" spans="1:14" ht="15" hidden="1" customHeight="1">
      <c r="A130" s="49" t="s">
        <v>196</v>
      </c>
      <c r="B130" s="52">
        <v>5205</v>
      </c>
      <c r="C130" s="412">
        <v>5300</v>
      </c>
      <c r="D130" s="412">
        <v>5234.782608695652</v>
      </c>
      <c r="E130" s="412">
        <v>5616.666666666667</v>
      </c>
      <c r="F130" s="412">
        <v>6285</v>
      </c>
      <c r="G130" s="412">
        <v>6268.181818181818</v>
      </c>
      <c r="H130" s="412">
        <v>6557.1428571428569</v>
      </c>
      <c r="I130" s="412">
        <v>6954.545454545455</v>
      </c>
      <c r="J130" s="412">
        <v>7425</v>
      </c>
      <c r="K130" s="412">
        <v>7647.6190476190477</v>
      </c>
      <c r="L130" s="412">
        <v>7636.363636363636</v>
      </c>
      <c r="M130" s="412">
        <v>7350</v>
      </c>
      <c r="N130" s="412">
        <f>'Sb 안티모니'!F2595</f>
        <v>6458.8235294117649</v>
      </c>
    </row>
    <row r="131" spans="1:14" ht="15" hidden="1" customHeight="1">
      <c r="A131" s="49" t="s">
        <v>197</v>
      </c>
      <c r="B131" s="52">
        <v>7342.6190476190477</v>
      </c>
      <c r="C131" s="412">
        <v>7740</v>
      </c>
      <c r="D131" s="412">
        <v>8445.652173913044</v>
      </c>
      <c r="E131" s="412">
        <v>8950</v>
      </c>
      <c r="F131" s="412">
        <v>8950</v>
      </c>
      <c r="G131" s="412">
        <v>8769.318181818182</v>
      </c>
      <c r="H131" s="412">
        <v>8032.1428571428569</v>
      </c>
      <c r="I131" s="412">
        <v>8351.136363636364</v>
      </c>
      <c r="J131" s="412">
        <v>8475</v>
      </c>
      <c r="K131" s="412">
        <v>8189.772727272727</v>
      </c>
      <c r="L131" s="412">
        <v>8072.727272727273</v>
      </c>
      <c r="M131" s="412">
        <v>8168.4210526315792</v>
      </c>
      <c r="N131" s="412">
        <f>'Sb 안티모니'!F2854</f>
        <v>8287.9761904761908</v>
      </c>
    </row>
    <row r="132" spans="1:14" ht="15" hidden="1" customHeight="1">
      <c r="A132" s="49" t="s">
        <v>198</v>
      </c>
      <c r="B132" s="52">
        <v>8237.5</v>
      </c>
      <c r="C132" s="412">
        <v>8562.5</v>
      </c>
      <c r="D132" s="412">
        <v>8708.3333333333339</v>
      </c>
      <c r="E132" s="412">
        <v>8426.25</v>
      </c>
      <c r="F132" s="412">
        <v>8233.3333333333339</v>
      </c>
      <c r="G132" s="412">
        <v>8228.5714285714294</v>
      </c>
      <c r="H132" s="412">
        <v>7998.863636363636</v>
      </c>
      <c r="I132" s="412">
        <v>8260.2272727272721</v>
      </c>
      <c r="J132" s="412">
        <v>8555</v>
      </c>
      <c r="K132" s="412">
        <v>8435.8695652173919</v>
      </c>
      <c r="L132" s="412">
        <v>8203.4090909090901</v>
      </c>
      <c r="M132" s="412">
        <v>8005.2631578947367</v>
      </c>
      <c r="N132" s="412">
        <f>'Sb 안티모니'!F3114</f>
        <v>8320.0592885375499</v>
      </c>
    </row>
    <row r="133" spans="1:14" ht="15" hidden="1" customHeight="1">
      <c r="A133" s="49" t="s">
        <v>199</v>
      </c>
      <c r="B133" s="52">
        <v>7945.454545454545</v>
      </c>
      <c r="C133" s="412">
        <v>7900</v>
      </c>
      <c r="D133" s="412">
        <v>7619.0476190476193</v>
      </c>
      <c r="E133" s="412">
        <v>7182.5</v>
      </c>
      <c r="F133" s="412">
        <v>7003.5714285714284</v>
      </c>
      <c r="G133" s="412">
        <v>6512</v>
      </c>
      <c r="H133" s="412">
        <v>6106.739130434783</v>
      </c>
      <c r="I133" s="412">
        <v>6013.0952380952385</v>
      </c>
      <c r="J133" s="412">
        <v>5920.2380952380954</v>
      </c>
      <c r="K133" s="412">
        <v>6183.152173913043</v>
      </c>
      <c r="L133" s="412">
        <v>6252.3809523809523</v>
      </c>
      <c r="M133" s="412">
        <v>6095</v>
      </c>
      <c r="N133" s="412">
        <f>'Sb 안티모니'!F3374</f>
        <v>6720.286561264822</v>
      </c>
    </row>
    <row r="134" spans="1:14" ht="15" hidden="1" customHeight="1">
      <c r="A134" s="49" t="s">
        <v>166</v>
      </c>
      <c r="B134" s="52">
        <v>5913.636363636364</v>
      </c>
      <c r="C134" s="412">
        <v>6216.666666666667</v>
      </c>
      <c r="D134" s="412">
        <v>6367.045454545455</v>
      </c>
      <c r="E134" s="412">
        <v>5907.25</v>
      </c>
      <c r="F134" s="412">
        <v>5689.4736842105267</v>
      </c>
      <c r="G134" s="412">
        <v>5468.522727272727</v>
      </c>
      <c r="H134" s="412">
        <v>5309.782608695652</v>
      </c>
      <c r="I134" s="412">
        <v>5457.5</v>
      </c>
      <c r="J134" s="412">
        <v>5797.727272727273</v>
      </c>
      <c r="K134" s="412">
        <v>5969.318181818182</v>
      </c>
      <c r="L134" s="412">
        <v>6254.7619047619046</v>
      </c>
      <c r="M134" s="412">
        <v>6567.2619047619046</v>
      </c>
      <c r="N134" s="41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18">
        <f>'Sb 안티모니'!E3873</f>
        <v>13154.545454545454</v>
      </c>
      <c r="M135" s="437">
        <v>13235.714285714286</v>
      </c>
      <c r="N135" s="437">
        <f>'Sb 안티모니'!F3896</f>
        <v>11192.193675889328</v>
      </c>
    </row>
    <row r="136" spans="1:14" ht="15" hidden="1" customHeight="1">
      <c r="A136" s="49" t="s">
        <v>168</v>
      </c>
      <c r="B136" s="456">
        <v>13360</v>
      </c>
      <c r="C136" s="456">
        <f>'Sb 안티모니'!E3937</f>
        <v>13482.5</v>
      </c>
      <c r="D136" s="456">
        <f>'Sb 안티모니'!E3960</f>
        <v>14659.782608695652</v>
      </c>
      <c r="E136" s="456">
        <v>14941.43</v>
      </c>
      <c r="F136" s="456">
        <v>13716.9</v>
      </c>
      <c r="G136" s="52">
        <v>13376.55</v>
      </c>
      <c r="H136" s="52">
        <v>13805.56</v>
      </c>
      <c r="I136" s="52">
        <v>13186.67</v>
      </c>
      <c r="J136" s="52">
        <v>12784.44</v>
      </c>
      <c r="K136" s="52">
        <v>12175</v>
      </c>
      <c r="L136" s="422">
        <v>11356.94</v>
      </c>
      <c r="M136" s="456">
        <v>10819.444444444445</v>
      </c>
      <c r="N136" s="437">
        <f>'Sb 안티모니'!F4078</f>
        <v>13473.379888268157</v>
      </c>
    </row>
    <row r="137" spans="1:14" ht="15" customHeight="1">
      <c r="A137" s="49" t="s">
        <v>169</v>
      </c>
      <c r="B137" s="456">
        <v>12436.5625</v>
      </c>
      <c r="C137" s="456">
        <v>13081.25</v>
      </c>
      <c r="D137" s="456">
        <v>12535</v>
      </c>
      <c r="E137" s="456">
        <v>11828.571428571429</v>
      </c>
      <c r="F137" s="456">
        <v>12150</v>
      </c>
      <c r="G137" s="52">
        <v>12203.88</v>
      </c>
      <c r="H137" s="52">
        <v>11637.5</v>
      </c>
      <c r="I137" s="52">
        <v>11800</v>
      </c>
      <c r="J137" s="52">
        <f>'[5]Sb 안티모니'!E4156</f>
        <v>12125</v>
      </c>
      <c r="K137" s="52">
        <f>'Sb 안티모니'!E4164</f>
        <v>11770.9375</v>
      </c>
      <c r="L137" s="422">
        <v>11436.111111111111</v>
      </c>
      <c r="M137" s="456">
        <v>11586.111111111111</v>
      </c>
      <c r="N137" s="437">
        <f>'Sb 안티모니'!F4182</f>
        <v>11935.288461538461</v>
      </c>
    </row>
    <row r="138" spans="1:14" ht="15" customHeight="1">
      <c r="A138" s="58" t="s">
        <v>210</v>
      </c>
      <c r="B138" s="901">
        <v>12911.12</v>
      </c>
      <c r="C138" s="901">
        <v>13584.375</v>
      </c>
      <c r="D138" s="651">
        <v>13518.75</v>
      </c>
      <c r="E138" s="651">
        <f>'Sb 안티모니'!E4216</f>
        <v>13903.12</v>
      </c>
      <c r="F138" s="651">
        <f>'Sb 안티모니'!E4226</f>
        <v>17661.25</v>
      </c>
      <c r="G138" s="651">
        <f>'Sb 안티모니'!E4234</f>
        <v>22606.25</v>
      </c>
      <c r="H138" s="651">
        <f>'Sb 안티모니'!E4243</f>
        <v>22677.777777777777</v>
      </c>
      <c r="I138" s="651">
        <f>'Sb 안티모니'!E4252</f>
        <v>24161.111111111109</v>
      </c>
      <c r="J138" s="398">
        <f>'Sb 안티모니'!E4260</f>
        <v>26856.25</v>
      </c>
      <c r="K138" s="511">
        <f>'Sb 안티모니'!E4268</f>
        <v>31925</v>
      </c>
      <c r="L138" s="511"/>
      <c r="M138" s="511"/>
      <c r="N138" s="1016">
        <f>'Sb 안티모니'!F4268</f>
        <v>19692.005813953489</v>
      </c>
    </row>
    <row r="139" spans="1:14" ht="15" customHeight="1">
      <c r="A139" s="61" t="s">
        <v>170</v>
      </c>
      <c r="B139" s="865">
        <f>B137-M136</f>
        <v>1617.1180555555547</v>
      </c>
      <c r="C139" s="865">
        <f t="shared" ref="C139:H139" si="10">C138-B138</f>
        <v>673.2549999999992</v>
      </c>
      <c r="D139" s="652">
        <f t="shared" si="10"/>
        <v>-65.625</v>
      </c>
      <c r="E139" s="652">
        <f t="shared" si="10"/>
        <v>384.3700000000008</v>
      </c>
      <c r="F139" s="652">
        <f t="shared" si="10"/>
        <v>3758.1299999999992</v>
      </c>
      <c r="G139" s="652">
        <f t="shared" si="10"/>
        <v>4945</v>
      </c>
      <c r="H139" s="652">
        <f t="shared" si="10"/>
        <v>71.527777777777374</v>
      </c>
      <c r="I139" s="652">
        <f>I138-H138</f>
        <v>1483.3333333333321</v>
      </c>
      <c r="J139" s="973">
        <f>J138-I138</f>
        <v>2695.1388888888905</v>
      </c>
      <c r="K139" s="652">
        <f>K138-J138</f>
        <v>5068.75</v>
      </c>
      <c r="L139" s="512"/>
      <c r="M139" s="512"/>
      <c r="N139" s="59"/>
    </row>
    <row r="145" spans="7:7" ht="15" customHeight="1">
      <c r="G145" s="426"/>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279"/>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0" customWidth="1"/>
    <col min="10" max="16384" width="8.8984375" style="100"/>
  </cols>
  <sheetData>
    <row r="3" spans="1:9" ht="24" customHeight="1">
      <c r="A3" s="1481" t="s">
        <v>200</v>
      </c>
      <c r="B3" s="1481"/>
      <c r="C3" s="1481"/>
      <c r="D3" s="1481"/>
      <c r="E3" s="1481"/>
      <c r="F3" s="1481"/>
      <c r="G3" s="1481"/>
      <c r="H3" s="1481"/>
      <c r="I3" s="1481"/>
    </row>
    <row r="5" spans="1:9" ht="18" thickBot="1">
      <c r="A5" s="100" t="s">
        <v>201</v>
      </c>
    </row>
    <row r="6" spans="1:9" s="107" customFormat="1" ht="33.75" customHeight="1">
      <c r="A6" s="101" t="s">
        <v>202</v>
      </c>
      <c r="B6" s="102">
        <v>2000</v>
      </c>
      <c r="C6" s="102">
        <v>2050</v>
      </c>
      <c r="D6" s="102">
        <v>2100</v>
      </c>
      <c r="E6" s="102">
        <v>2150</v>
      </c>
      <c r="F6" s="102">
        <v>2200</v>
      </c>
      <c r="G6" s="102">
        <v>2250</v>
      </c>
      <c r="H6" s="102">
        <v>2300</v>
      </c>
      <c r="I6" s="103">
        <v>2350</v>
      </c>
    </row>
    <row r="7" spans="1:9" s="107" customFormat="1" ht="33.75" customHeight="1" thickBot="1">
      <c r="A7" s="104" t="s">
        <v>203</v>
      </c>
      <c r="B7" s="105">
        <v>1999.6</v>
      </c>
      <c r="C7" s="105">
        <v>2014.76</v>
      </c>
      <c r="D7" s="105">
        <v>2029.92</v>
      </c>
      <c r="E7" s="105">
        <v>2045.07</v>
      </c>
      <c r="F7" s="105">
        <v>2060.23</v>
      </c>
      <c r="G7" s="105">
        <v>2075.39</v>
      </c>
      <c r="H7" s="105">
        <v>2090.5500000000002</v>
      </c>
      <c r="I7" s="106">
        <v>2105.6999999999998</v>
      </c>
    </row>
    <row r="9" spans="1:9" ht="27" customHeight="1">
      <c r="A9" s="100" t="s">
        <v>204</v>
      </c>
    </row>
    <row r="10" spans="1:9" ht="27" customHeight="1">
      <c r="A10" s="100"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2024-10-28T23:27:28Z</cp:lastPrinted>
  <dcterms:created xsi:type="dcterms:W3CDTF">2002-04-26T04:09:18Z</dcterms:created>
  <dcterms:modified xsi:type="dcterms:W3CDTF">2024-10-28T23:33:21Z</dcterms:modified>
  <cp:category/>
  <cp:contentStatus/>
</cp:coreProperties>
</file>